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5.xml" ContentType="application/vnd.openxmlformats-officedocument.spreadsheetml.comment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xr:revisionPtr revIDLastSave="0" documentId="8_{429B5DDF-5343-47D0-96B7-8652B642D4D4}" xr6:coauthVersionLast="47" xr6:coauthVersionMax="47" xr10:uidLastSave="{00000000-0000-0000-0000-000000000000}"/>
  <bookViews>
    <workbookView xWindow="28680" yWindow="-7380" windowWidth="29040" windowHeight="15720" tabRatio="748" firstSheet="2" activeTab="2" xr2:uid="{00000000-000D-0000-FFFF-FFFF00000000}"/>
  </bookViews>
  <sheets>
    <sheet name="非表示_リスト(計画・実績報告)" sheetId="77" state="hidden" r:id="rId1"/>
    <sheet name="A.貼付_2025提出" sheetId="68" state="hidden" r:id="rId2"/>
    <sheet name="A.貼付_2026提出" sheetId="69" r:id="rId3"/>
    <sheet name="A.貼付_2027提出" sheetId="70" state="hidden" r:id="rId4"/>
    <sheet name="A.貼付_2028提出" sheetId="71" state="hidden" r:id="rId5"/>
    <sheet name="報告1面" sheetId="52" r:id="rId6"/>
    <sheet name="報告2面" sheetId="48" r:id="rId7"/>
    <sheet name="報告3面" sheetId="51" r:id="rId8"/>
    <sheet name="報告4面個別票" sheetId="50" r:id="rId9"/>
    <sheet name="参考2_エネ使用量経年" sheetId="75" r:id="rId10"/>
    <sheet name="参考3_排出量経年" sheetId="76" r:id="rId11"/>
  </sheets>
  <externalReferences>
    <externalReference r:id="rId12"/>
    <externalReference r:id="rId13"/>
  </externalReferences>
  <definedNames>
    <definedName name="_xlnm._FilterDatabase" localSheetId="9" hidden="1">参考2_エネ使用量経年!#REF!</definedName>
    <definedName name="_xlnm._FilterDatabase" localSheetId="10" hidden="1">参考3_排出量経年!#REF!</definedName>
    <definedName name="A1_その他欄集計" localSheetId="0">[1]A.貼付_2028提出!$B$318</definedName>
    <definedName name="A1_その他欄集計">A.貼付_2028提出!$B$318</definedName>
    <definedName name="A1_基礎情報集計" localSheetId="0">[1]A.貼付_2028提出!$B$340</definedName>
    <definedName name="A1_基礎情報集計">A.貼付_2028提出!$B$340</definedName>
    <definedName name="A1_原単位2024" localSheetId="0">[1]A.貼付_2025提出!$B$246</definedName>
    <definedName name="A1_原単位2024">A.貼付_2025提出!$B$246</definedName>
    <definedName name="A1_原単位2025" localSheetId="0">[1]A.貼付_2026提出!$B$246</definedName>
    <definedName name="A1_原単位2025">A.貼付_2026提出!$B$246</definedName>
    <definedName name="A1_原単位2026" localSheetId="0">[1]A.貼付_2027提出!$B$246</definedName>
    <definedName name="A1_原単位2026">A.貼付_2027提出!$B$246</definedName>
    <definedName name="A1_原単位2027" localSheetId="0">[1]A.貼付_2028提出!$B$246</definedName>
    <definedName name="A1_原単位2027">A.貼付_2028提出!$B$246</definedName>
    <definedName name="A1_原単位改善率集計" localSheetId="0">#REF!</definedName>
    <definedName name="A1_原単位改善率集計">#REF!</definedName>
    <definedName name="A1_原単位集計" localSheetId="0">#REF!</definedName>
    <definedName name="A1_原単位集計">#REF!</definedName>
    <definedName name="A1_集計2024" localSheetId="0">[1]A.貼付_2025提出!$B$226</definedName>
    <definedName name="A1_集計2024">A.貼付_2025提出!$B$226</definedName>
    <definedName name="A1_集計2025" localSheetId="0">[1]A.貼付_2026提出!$B$226</definedName>
    <definedName name="A1_集計2025">A.貼付_2026提出!$B$226</definedName>
    <definedName name="A1_集計2026" localSheetId="0">[1]A.貼付_2027提出!$B$226</definedName>
    <definedName name="A1_集計2026">A.貼付_2027提出!$B$226</definedName>
    <definedName name="A1_集計2027" localSheetId="0">[1]A.貼付_2028提出!$B$226</definedName>
    <definedName name="A1_集計2027">A.貼付_2028提出!$B$226</definedName>
    <definedName name="A1_名称2024" localSheetId="0">[1]A.貼付_2025提出!$HL$7</definedName>
    <definedName name="A1_名称2024">A.貼付_2025提出!$HL$7</definedName>
    <definedName name="A1_名称2025" localSheetId="0">[1]A.貼付_2026提出!$HL$7</definedName>
    <definedName name="A1_名称2025">A.貼付_2026提出!$HL$7</definedName>
    <definedName name="A1_名称2026" localSheetId="0">[1]A.貼付_2027提出!$HL$7</definedName>
    <definedName name="A1_名称2026">A.貼付_2027提出!$HL$7</definedName>
    <definedName name="A1_名称2027" localSheetId="0">[1]A.貼付_2028提出!$HL$7</definedName>
    <definedName name="A1_名称2027">A.貼付_2028提出!$HL$7</definedName>
    <definedName name="A1_名称集計" localSheetId="0">#REF!</definedName>
    <definedName name="A1_名称集計">#REF!</definedName>
    <definedName name="_xlnm.Print_Area" localSheetId="5">報告1面!$A$1:$Y$40</definedName>
    <definedName name="_xlnm.Print_Area" localSheetId="6">報告2面!$A$1:$S$27</definedName>
    <definedName name="_xlnm.Print_Area" localSheetId="7">報告3面!$A$1:$S$22</definedName>
    <definedName name="_xlnm.Print_Area" localSheetId="8">報告4面個別票!$A$1:$V$23</definedName>
    <definedName name="エネ_12">参考2_エネ使用量経年!$B$8</definedName>
    <definedName name="エネ_3">参考2_エネ使用量経年!$B$117</definedName>
    <definedName name="サービス業">'非表示_リスト(計画・実績報告)'!$Z$70:$Z$78</definedName>
    <definedName name="シート一覧">#REF!</definedName>
    <definedName name="その他">#REF!</definedName>
    <definedName name="その他２">#REF!</definedName>
    <definedName name="医療・福祉">'非表示_リスト(計画・実績報告)'!$X$70:$X$72</definedName>
    <definedName name="運輸業・郵便業">'非表示_リスト(計画・実績報告)'!$P$70:$P$77</definedName>
    <definedName name="延床面積">#REF!</definedName>
    <definedName name="卸売業・小売業">'非表示_リスト(計画・実績報告)'!$Q$70:$Q$81</definedName>
    <definedName name="稼動時間">#REF!</definedName>
    <definedName name="外部供給エネ">参考2_エネ使用量経年!$A$169</definedName>
    <definedName name="外部供給排出量">参考3_排出量経年!$B$319</definedName>
    <definedName name="学術研究・専門・技術サービス業">'非表示_リスト(計画・実績報告)'!$T$70:$T$73</definedName>
    <definedName name="基礎_12">参考3_排出量経年!$B$7</definedName>
    <definedName name="基礎_3">参考3_排出量経年!$B$229</definedName>
    <definedName name="漁業">'非表示_リスト(計画・実績報告)'!$J$70:$J$71</definedName>
    <definedName name="教育・学習支援業">'非表示_リスト(計画・実績報告)'!$W$70:$W$71</definedName>
    <definedName name="金融業・保険業">'非表示_リスト(計画・実績報告)'!$R$70:$R$75</definedName>
    <definedName name="建設業">'非表示_リスト(計画・実績報告)'!$L$70:$L$72</definedName>
    <definedName name="公務">'非表示_リスト(計画・実績報告)'!$AA$70:$AA$71</definedName>
    <definedName name="鉱業・採石業・砂利採取業">'非表示_リスト(計画・実績報告)'!$K$70</definedName>
    <definedName name="作業時間">#REF!</definedName>
    <definedName name="事業者ＩＤ一覧">#REF!</definedName>
    <definedName name="事業者基礎情報">#REF!</definedName>
    <definedName name="従業員時間">#REF!</definedName>
    <definedName name="従業員数">#REF!</definedName>
    <definedName name="宿泊業・飲食サービス業">'非表示_リスト(計画・実績報告)'!$U$70:$U$72</definedName>
    <definedName name="情報通信業">'非表示_リスト(計画・実績報告)'!$O$70:$O$74</definedName>
    <definedName name="生活関連サービス業・娯楽業">'非表示_リスト(計画・実績報告)'!$V$70:$V$72</definedName>
    <definedName name="生産数量">#REF!</definedName>
    <definedName name="製造業">'非表示_リスト(計画・実績報告)'!$M$70:$M$93</definedName>
    <definedName name="走行距離">#REF!</definedName>
    <definedName name="調整後_12">参考3_排出量経年!$B$117</definedName>
    <definedName name="調整後_3">参考3_排出量経年!$B$274</definedName>
    <definedName name="店舗数">#REF!</definedName>
    <definedName name="貼付け_2024実績" localSheetId="0">[1]A.貼付_2025提出!$B$9</definedName>
    <definedName name="貼付け_2024実績">A.貼付_2025提出!$B$9</definedName>
    <definedName name="貼付け_2025実績" localSheetId="0">[1]A.貼付_2026提出!$B$9</definedName>
    <definedName name="貼付け_2025実績">A.貼付_2026提出!$B$9</definedName>
    <definedName name="貼付け_2026実績" localSheetId="0">[1]A.貼付_2027提出!$B$9</definedName>
    <definedName name="貼付け_2026実績">A.貼付_2027提出!$B$9</definedName>
    <definedName name="貼付け_2027実績" localSheetId="0">[1]A.貼付_2028提出!$B$9</definedName>
    <definedName name="貼付け_2027実績">A.貼付_2028提出!$B$9</definedName>
    <definedName name="貼付け_報告対象年度実績">A.貼付_2025提出!$B$9</definedName>
    <definedName name="電気・ガス・熱供給・水道">'非表示_リスト(計画・実績報告)'!$N$70:$N$73</definedName>
    <definedName name="農業・林業">'非表示_リスト(計画・実績報告)'!$I$70:$I$71</definedName>
    <definedName name="売上高">#REF!</definedName>
    <definedName name="販売エネ">参考2_エネ使用量経年!$A$256</definedName>
    <definedName name="不動産業・物品賃貸業">'非表示_リスト(計画・実績報告)'!$S$70:$S$72</definedName>
    <definedName name="複合サービス事業">'非表示_リスト(計画・実績報告)'!$Y$70:$Y$71</definedName>
    <definedName name="分類不能の産業">'非表示_リスト(計画・実績報告)'!$AB$70</definedName>
    <definedName name="未利用熱">参考2_エネ使用量経年!$A$345</definedName>
    <definedName name="輸送トンキロ">#REF!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51" l="1"/>
  <c r="O7" i="51"/>
  <c r="F7" i="51"/>
  <c r="F6" i="51"/>
  <c r="F10" i="48" l="1"/>
  <c r="F11" i="48"/>
  <c r="AA405" i="75"/>
  <c r="Z405" i="75"/>
  <c r="Y405" i="75"/>
  <c r="X405" i="75"/>
  <c r="S405" i="75"/>
  <c r="R405" i="75"/>
  <c r="Q405" i="75"/>
  <c r="P405" i="75"/>
  <c r="AA404" i="75"/>
  <c r="Z404" i="75"/>
  <c r="Y404" i="75"/>
  <c r="X404" i="75"/>
  <c r="S404" i="75"/>
  <c r="R404" i="75"/>
  <c r="Q404" i="75"/>
  <c r="P404" i="75"/>
  <c r="AA403" i="75"/>
  <c r="Z403" i="75"/>
  <c r="Y403" i="75"/>
  <c r="X403" i="75"/>
  <c r="S403" i="75"/>
  <c r="R403" i="75"/>
  <c r="Q403" i="75"/>
  <c r="P403" i="75"/>
  <c r="AA402" i="75"/>
  <c r="Z402" i="75"/>
  <c r="Y402" i="75"/>
  <c r="X402" i="75"/>
  <c r="S402" i="75"/>
  <c r="R402" i="75"/>
  <c r="Q402" i="75"/>
  <c r="P402" i="75"/>
  <c r="AA401" i="75"/>
  <c r="Z401" i="75"/>
  <c r="Y401" i="75"/>
  <c r="X401" i="75"/>
  <c r="S401" i="75"/>
  <c r="R401" i="75"/>
  <c r="Q401" i="75"/>
  <c r="P401" i="75"/>
  <c r="AA400" i="75"/>
  <c r="Z400" i="75"/>
  <c r="Y400" i="75"/>
  <c r="X400" i="75"/>
  <c r="S400" i="75"/>
  <c r="R400" i="75"/>
  <c r="Q400" i="75"/>
  <c r="P400" i="75"/>
  <c r="AA399" i="75"/>
  <c r="Z399" i="75"/>
  <c r="Y399" i="75"/>
  <c r="X399" i="75"/>
  <c r="S399" i="75"/>
  <c r="R399" i="75"/>
  <c r="Q399" i="75"/>
  <c r="P399" i="75"/>
  <c r="AA398" i="75"/>
  <c r="Z398" i="75"/>
  <c r="Y398" i="75"/>
  <c r="X398" i="75"/>
  <c r="S398" i="75"/>
  <c r="R398" i="75"/>
  <c r="Q398" i="75"/>
  <c r="P398" i="75"/>
  <c r="AA397" i="75"/>
  <c r="Z397" i="75"/>
  <c r="Y397" i="75"/>
  <c r="X397" i="75"/>
  <c r="S397" i="75"/>
  <c r="R397" i="75"/>
  <c r="Q397" i="75"/>
  <c r="P397" i="75"/>
  <c r="AA396" i="75"/>
  <c r="Z396" i="75"/>
  <c r="Y396" i="75"/>
  <c r="X396" i="75"/>
  <c r="S396" i="75"/>
  <c r="R396" i="75"/>
  <c r="Q396" i="75"/>
  <c r="P396" i="75"/>
  <c r="AA395" i="75"/>
  <c r="Z395" i="75"/>
  <c r="Y395" i="75"/>
  <c r="X395" i="75"/>
  <c r="S395" i="75"/>
  <c r="R395" i="75"/>
  <c r="Q395" i="75"/>
  <c r="P395" i="75"/>
  <c r="AA337" i="75"/>
  <c r="Z337" i="75"/>
  <c r="Y337" i="75"/>
  <c r="X337" i="75"/>
  <c r="S337" i="75"/>
  <c r="R337" i="75"/>
  <c r="Q337" i="75"/>
  <c r="P337" i="75"/>
  <c r="AA336" i="75"/>
  <c r="Z336" i="75"/>
  <c r="Y336" i="75"/>
  <c r="X336" i="75"/>
  <c r="S336" i="75"/>
  <c r="R336" i="75"/>
  <c r="Q336" i="75"/>
  <c r="P336" i="75"/>
  <c r="AA335" i="75"/>
  <c r="Z335" i="75"/>
  <c r="Y335" i="75"/>
  <c r="X335" i="75"/>
  <c r="S335" i="75"/>
  <c r="R335" i="75"/>
  <c r="Q335" i="75"/>
  <c r="P335" i="75"/>
  <c r="AA334" i="75"/>
  <c r="Z334" i="75"/>
  <c r="Y334" i="75"/>
  <c r="X334" i="75"/>
  <c r="S334" i="75"/>
  <c r="R334" i="75"/>
  <c r="Q334" i="75"/>
  <c r="P334" i="75"/>
  <c r="AA332" i="75"/>
  <c r="Z332" i="75"/>
  <c r="Y332" i="75"/>
  <c r="X332" i="75"/>
  <c r="S332" i="75"/>
  <c r="R332" i="75"/>
  <c r="Q332" i="75"/>
  <c r="P332" i="75"/>
  <c r="AA330" i="75"/>
  <c r="Z330" i="75"/>
  <c r="Y330" i="75"/>
  <c r="X330" i="75"/>
  <c r="S330" i="75"/>
  <c r="R330" i="75"/>
  <c r="Q330" i="75"/>
  <c r="P330" i="75"/>
  <c r="AA328" i="75"/>
  <c r="Z328" i="75"/>
  <c r="Y328" i="75"/>
  <c r="X328" i="75"/>
  <c r="S328" i="75"/>
  <c r="R328" i="75"/>
  <c r="Q328" i="75"/>
  <c r="P328" i="75"/>
  <c r="AA326" i="75"/>
  <c r="Z326" i="75"/>
  <c r="Y326" i="75"/>
  <c r="X326" i="75"/>
  <c r="S326" i="75"/>
  <c r="R326" i="75"/>
  <c r="Q326" i="75"/>
  <c r="P326" i="75"/>
  <c r="AA324" i="75"/>
  <c r="Z324" i="75"/>
  <c r="Y324" i="75"/>
  <c r="X324" i="75"/>
  <c r="S324" i="75"/>
  <c r="R324" i="75"/>
  <c r="Q324" i="75"/>
  <c r="P324" i="75"/>
  <c r="AA322" i="75"/>
  <c r="Z322" i="75"/>
  <c r="Y322" i="75"/>
  <c r="X322" i="75"/>
  <c r="S322" i="75"/>
  <c r="R322" i="75"/>
  <c r="Q322" i="75"/>
  <c r="P322" i="75"/>
  <c r="AA316" i="75"/>
  <c r="Z316" i="75"/>
  <c r="Y316" i="75"/>
  <c r="X316" i="75"/>
  <c r="S316" i="75"/>
  <c r="R316" i="75"/>
  <c r="Q316" i="75"/>
  <c r="P316" i="75"/>
  <c r="AA315" i="75"/>
  <c r="Z315" i="75"/>
  <c r="Y315" i="75"/>
  <c r="X315" i="75"/>
  <c r="S315" i="75"/>
  <c r="R315" i="75"/>
  <c r="Q315" i="75"/>
  <c r="P315" i="75"/>
  <c r="AA314" i="75"/>
  <c r="Z314" i="75"/>
  <c r="Y314" i="75"/>
  <c r="X314" i="75"/>
  <c r="S314" i="75"/>
  <c r="R314" i="75"/>
  <c r="Q314" i="75"/>
  <c r="P314" i="75"/>
  <c r="AA313" i="75"/>
  <c r="Z313" i="75"/>
  <c r="Y313" i="75"/>
  <c r="X313" i="75"/>
  <c r="S313" i="75"/>
  <c r="R313" i="75"/>
  <c r="Q313" i="75"/>
  <c r="P313" i="75"/>
  <c r="AA312" i="75"/>
  <c r="Z312" i="75"/>
  <c r="Y312" i="75"/>
  <c r="X312" i="75"/>
  <c r="S312" i="75"/>
  <c r="R312" i="75"/>
  <c r="Q312" i="75"/>
  <c r="P312" i="75"/>
  <c r="AA311" i="75"/>
  <c r="Z311" i="75"/>
  <c r="Y311" i="75"/>
  <c r="X311" i="75"/>
  <c r="S311" i="75"/>
  <c r="R311" i="75"/>
  <c r="Q311" i="75"/>
  <c r="P311" i="75"/>
  <c r="AA310" i="75"/>
  <c r="Z310" i="75"/>
  <c r="Y310" i="75"/>
  <c r="X310" i="75"/>
  <c r="S310" i="75"/>
  <c r="R310" i="75"/>
  <c r="Q310" i="75"/>
  <c r="P310" i="75"/>
  <c r="AA309" i="75"/>
  <c r="Z309" i="75"/>
  <c r="Y309" i="75"/>
  <c r="X309" i="75"/>
  <c r="S309" i="75"/>
  <c r="R309" i="75"/>
  <c r="Q309" i="75"/>
  <c r="P309" i="75"/>
  <c r="AA308" i="75"/>
  <c r="Z308" i="75"/>
  <c r="Y308" i="75"/>
  <c r="X308" i="75"/>
  <c r="S308" i="75"/>
  <c r="R308" i="75"/>
  <c r="Q308" i="75"/>
  <c r="P308" i="75"/>
  <c r="AA307" i="75"/>
  <c r="Z307" i="75"/>
  <c r="Y307" i="75"/>
  <c r="X307" i="75"/>
  <c r="S307" i="75"/>
  <c r="R307" i="75"/>
  <c r="Q307" i="75"/>
  <c r="P307" i="75"/>
  <c r="AA306" i="75"/>
  <c r="Z306" i="75"/>
  <c r="Y306" i="75"/>
  <c r="X306" i="75"/>
  <c r="S306" i="75"/>
  <c r="R306" i="75"/>
  <c r="Q306" i="75"/>
  <c r="P306" i="75"/>
  <c r="AA305" i="75"/>
  <c r="Z305" i="75"/>
  <c r="Y305" i="75"/>
  <c r="X305" i="75"/>
  <c r="S305" i="75"/>
  <c r="R305" i="75"/>
  <c r="Q305" i="75"/>
  <c r="P305" i="75"/>
  <c r="AA304" i="75"/>
  <c r="Z304" i="75"/>
  <c r="Y304" i="75"/>
  <c r="X304" i="75"/>
  <c r="S304" i="75"/>
  <c r="R304" i="75"/>
  <c r="Q304" i="75"/>
  <c r="P304" i="75"/>
  <c r="AA303" i="75"/>
  <c r="Z303" i="75"/>
  <c r="Y303" i="75"/>
  <c r="X303" i="75"/>
  <c r="S303" i="75"/>
  <c r="R303" i="75"/>
  <c r="Q303" i="75"/>
  <c r="P303" i="75"/>
  <c r="AA302" i="75"/>
  <c r="Z302" i="75"/>
  <c r="Y302" i="75"/>
  <c r="X302" i="75"/>
  <c r="S302" i="75"/>
  <c r="R302" i="75"/>
  <c r="Q302" i="75"/>
  <c r="P302" i="75"/>
  <c r="AA301" i="75"/>
  <c r="Z301" i="75"/>
  <c r="Y301" i="75"/>
  <c r="X301" i="75"/>
  <c r="S301" i="75"/>
  <c r="R301" i="75"/>
  <c r="Q301" i="75"/>
  <c r="P301" i="75"/>
  <c r="AA300" i="75"/>
  <c r="Z300" i="75"/>
  <c r="Y300" i="75"/>
  <c r="X300" i="75"/>
  <c r="S300" i="75"/>
  <c r="R300" i="75"/>
  <c r="Q300" i="75"/>
  <c r="P300" i="75"/>
  <c r="AA299" i="75"/>
  <c r="Z299" i="75"/>
  <c r="Y299" i="75"/>
  <c r="X299" i="75"/>
  <c r="S299" i="75"/>
  <c r="R299" i="75"/>
  <c r="Q299" i="75"/>
  <c r="P299" i="75"/>
  <c r="AA298" i="75"/>
  <c r="Z298" i="75"/>
  <c r="Y298" i="75"/>
  <c r="X298" i="75"/>
  <c r="S298" i="75"/>
  <c r="R298" i="75"/>
  <c r="Q298" i="75"/>
  <c r="P298" i="75"/>
  <c r="AA297" i="75"/>
  <c r="Z297" i="75"/>
  <c r="Y297" i="75"/>
  <c r="X297" i="75"/>
  <c r="S297" i="75"/>
  <c r="R297" i="75"/>
  <c r="Q297" i="75"/>
  <c r="P297" i="75"/>
  <c r="AA296" i="75"/>
  <c r="Z296" i="75"/>
  <c r="Y296" i="75"/>
  <c r="X296" i="75"/>
  <c r="S296" i="75"/>
  <c r="R296" i="75"/>
  <c r="Q296" i="75"/>
  <c r="P296" i="75"/>
  <c r="AA295" i="75"/>
  <c r="Z295" i="75"/>
  <c r="Y295" i="75"/>
  <c r="X295" i="75"/>
  <c r="S295" i="75"/>
  <c r="R295" i="75"/>
  <c r="Q295" i="75"/>
  <c r="P295" i="75"/>
  <c r="AA294" i="75"/>
  <c r="Z294" i="75"/>
  <c r="Y294" i="75"/>
  <c r="X294" i="75"/>
  <c r="S294" i="75"/>
  <c r="R294" i="75"/>
  <c r="Q294" i="75"/>
  <c r="P294" i="75"/>
  <c r="AA293" i="75"/>
  <c r="Z293" i="75"/>
  <c r="Y293" i="75"/>
  <c r="X293" i="75"/>
  <c r="S293" i="75"/>
  <c r="R293" i="75"/>
  <c r="Q293" i="75"/>
  <c r="P293" i="75"/>
  <c r="AA292" i="75"/>
  <c r="Z292" i="75"/>
  <c r="Y292" i="75"/>
  <c r="X292" i="75"/>
  <c r="S292" i="75"/>
  <c r="R292" i="75"/>
  <c r="Q292" i="75"/>
  <c r="P292" i="75"/>
  <c r="AA291" i="75"/>
  <c r="Z291" i="75"/>
  <c r="Y291" i="75"/>
  <c r="X291" i="75"/>
  <c r="S291" i="75"/>
  <c r="R291" i="75"/>
  <c r="Q291" i="75"/>
  <c r="P291" i="75"/>
  <c r="AA290" i="75"/>
  <c r="Z290" i="75"/>
  <c r="Y290" i="75"/>
  <c r="X290" i="75"/>
  <c r="S290" i="75"/>
  <c r="R290" i="75"/>
  <c r="Q290" i="75"/>
  <c r="P290" i="75"/>
  <c r="AA289" i="75"/>
  <c r="Z289" i="75"/>
  <c r="Y289" i="75"/>
  <c r="X289" i="75"/>
  <c r="S289" i="75"/>
  <c r="R289" i="75"/>
  <c r="Q289" i="75"/>
  <c r="P289" i="75"/>
  <c r="AA288" i="75"/>
  <c r="Z288" i="75"/>
  <c r="Y288" i="75"/>
  <c r="X288" i="75"/>
  <c r="S288" i="75"/>
  <c r="R288" i="75"/>
  <c r="Q288" i="75"/>
  <c r="P288" i="75"/>
  <c r="AA287" i="75"/>
  <c r="Z287" i="75"/>
  <c r="Y287" i="75"/>
  <c r="X287" i="75"/>
  <c r="S287" i="75"/>
  <c r="R287" i="75"/>
  <c r="Q287" i="75"/>
  <c r="P287" i="75"/>
  <c r="AA286" i="75"/>
  <c r="Z286" i="75"/>
  <c r="Y286" i="75"/>
  <c r="X286" i="75"/>
  <c r="S286" i="75"/>
  <c r="R286" i="75"/>
  <c r="Q286" i="75"/>
  <c r="P286" i="75"/>
  <c r="AA285" i="75"/>
  <c r="Z285" i="75"/>
  <c r="Y285" i="75"/>
  <c r="X285" i="75"/>
  <c r="S285" i="75"/>
  <c r="R285" i="75"/>
  <c r="Q285" i="75"/>
  <c r="P285" i="75"/>
  <c r="K285" i="75"/>
  <c r="J285" i="75"/>
  <c r="I285" i="75"/>
  <c r="H285" i="75"/>
  <c r="AA284" i="75"/>
  <c r="Z284" i="75"/>
  <c r="Y284" i="75"/>
  <c r="X284" i="75"/>
  <c r="S284" i="75"/>
  <c r="R284" i="75"/>
  <c r="Q284" i="75"/>
  <c r="P284" i="75"/>
  <c r="AA283" i="75"/>
  <c r="Z283" i="75"/>
  <c r="Y283" i="75"/>
  <c r="X283" i="75"/>
  <c r="S283" i="75"/>
  <c r="R283" i="75"/>
  <c r="Q283" i="75"/>
  <c r="P283" i="75"/>
  <c r="AA282" i="75"/>
  <c r="Z282" i="75"/>
  <c r="Y282" i="75"/>
  <c r="X282" i="75"/>
  <c r="S282" i="75"/>
  <c r="R282" i="75"/>
  <c r="Q282" i="75"/>
  <c r="P282" i="75"/>
  <c r="AA281" i="75"/>
  <c r="Z281" i="75"/>
  <c r="Y281" i="75"/>
  <c r="X281" i="75"/>
  <c r="S281" i="75"/>
  <c r="R281" i="75"/>
  <c r="Q281" i="75"/>
  <c r="P281" i="75"/>
  <c r="AA280" i="75"/>
  <c r="Z280" i="75"/>
  <c r="Y280" i="75"/>
  <c r="X280" i="75"/>
  <c r="S280" i="75"/>
  <c r="R280" i="75"/>
  <c r="Q280" i="75"/>
  <c r="P280" i="75"/>
  <c r="AA279" i="75"/>
  <c r="Z279" i="75"/>
  <c r="Y279" i="75"/>
  <c r="X279" i="75"/>
  <c r="S279" i="75"/>
  <c r="R279" i="75"/>
  <c r="Q279" i="75"/>
  <c r="P279" i="75"/>
  <c r="AA278" i="75"/>
  <c r="Z278" i="75"/>
  <c r="Y278" i="75"/>
  <c r="X278" i="75"/>
  <c r="S278" i="75"/>
  <c r="R278" i="75"/>
  <c r="Q278" i="75"/>
  <c r="P278" i="75"/>
  <c r="AA277" i="75"/>
  <c r="Z277" i="75"/>
  <c r="Y277" i="75"/>
  <c r="X277" i="75"/>
  <c r="S277" i="75"/>
  <c r="R277" i="75"/>
  <c r="Q277" i="75"/>
  <c r="P277" i="75"/>
  <c r="AA276" i="75"/>
  <c r="Z276" i="75"/>
  <c r="Y276" i="75"/>
  <c r="X276" i="75"/>
  <c r="S276" i="75"/>
  <c r="R276" i="75"/>
  <c r="Q276" i="75"/>
  <c r="P276" i="75"/>
  <c r="AA275" i="75"/>
  <c r="Z275" i="75"/>
  <c r="Y275" i="75"/>
  <c r="X275" i="75"/>
  <c r="S275" i="75"/>
  <c r="R275" i="75"/>
  <c r="Q275" i="75"/>
  <c r="P275" i="75"/>
  <c r="AA274" i="75"/>
  <c r="Z274" i="75"/>
  <c r="Y274" i="75"/>
  <c r="X274" i="75"/>
  <c r="S274" i="75"/>
  <c r="R274" i="75"/>
  <c r="Q274" i="75"/>
  <c r="P274" i="75"/>
  <c r="AA273" i="75"/>
  <c r="Z273" i="75"/>
  <c r="Y273" i="75"/>
  <c r="X273" i="75"/>
  <c r="S273" i="75"/>
  <c r="R273" i="75"/>
  <c r="Q273" i="75"/>
  <c r="P273" i="75"/>
  <c r="AA272" i="75"/>
  <c r="Z272" i="75"/>
  <c r="Y272" i="75"/>
  <c r="X272" i="75"/>
  <c r="S272" i="75"/>
  <c r="R272" i="75"/>
  <c r="Q272" i="75"/>
  <c r="P272" i="75"/>
  <c r="AA271" i="75"/>
  <c r="Z271" i="75"/>
  <c r="Y271" i="75"/>
  <c r="X271" i="75"/>
  <c r="S271" i="75"/>
  <c r="R271" i="75"/>
  <c r="Q271" i="75"/>
  <c r="P271" i="75"/>
  <c r="AA270" i="75"/>
  <c r="Z270" i="75"/>
  <c r="Y270" i="75"/>
  <c r="X270" i="75"/>
  <c r="S270" i="75"/>
  <c r="R270" i="75"/>
  <c r="Q270" i="75"/>
  <c r="P270" i="75"/>
  <c r="AA269" i="75"/>
  <c r="Z269" i="75"/>
  <c r="Y269" i="75"/>
  <c r="X269" i="75"/>
  <c r="S269" i="75"/>
  <c r="R269" i="75"/>
  <c r="Q269" i="75"/>
  <c r="P269" i="75"/>
  <c r="AA268" i="75"/>
  <c r="Z268" i="75"/>
  <c r="Y268" i="75"/>
  <c r="X268" i="75"/>
  <c r="S268" i="75"/>
  <c r="R268" i="75"/>
  <c r="Q268" i="75"/>
  <c r="P268" i="75"/>
  <c r="AA267" i="75"/>
  <c r="Z267" i="75"/>
  <c r="Y267" i="75"/>
  <c r="X267" i="75"/>
  <c r="S267" i="75"/>
  <c r="R267" i="75"/>
  <c r="Q267" i="75"/>
  <c r="P267" i="75"/>
  <c r="AA266" i="75"/>
  <c r="Z266" i="75"/>
  <c r="Y266" i="75"/>
  <c r="X266" i="75"/>
  <c r="S266" i="75"/>
  <c r="R266" i="75"/>
  <c r="Q266" i="75"/>
  <c r="P266" i="75"/>
  <c r="AA265" i="75"/>
  <c r="Z265" i="75"/>
  <c r="Y265" i="75"/>
  <c r="X265" i="75"/>
  <c r="S265" i="75"/>
  <c r="R265" i="75"/>
  <c r="Q265" i="75"/>
  <c r="P265" i="75"/>
  <c r="AA264" i="75"/>
  <c r="Z264" i="75"/>
  <c r="Y264" i="75"/>
  <c r="X264" i="75"/>
  <c r="S264" i="75"/>
  <c r="R264" i="75"/>
  <c r="Q264" i="75"/>
  <c r="P264" i="75"/>
  <c r="AA263" i="75"/>
  <c r="Z263" i="75"/>
  <c r="Y263" i="75"/>
  <c r="X263" i="75"/>
  <c r="S263" i="75"/>
  <c r="R263" i="75"/>
  <c r="Q263" i="75"/>
  <c r="P263" i="75"/>
  <c r="AA262" i="75"/>
  <c r="Z262" i="75"/>
  <c r="Y262" i="75"/>
  <c r="X262" i="75"/>
  <c r="S262" i="75"/>
  <c r="R262" i="75"/>
  <c r="Q262" i="75"/>
  <c r="P262" i="75"/>
  <c r="AA261" i="75"/>
  <c r="Z261" i="75"/>
  <c r="Y261" i="75"/>
  <c r="X261" i="75"/>
  <c r="S261" i="75"/>
  <c r="R261" i="75"/>
  <c r="Q261" i="75"/>
  <c r="P261" i="75"/>
  <c r="AA260" i="75"/>
  <c r="Z260" i="75"/>
  <c r="Y260" i="75"/>
  <c r="X260" i="75"/>
  <c r="S260" i="75"/>
  <c r="R260" i="75"/>
  <c r="Q260" i="75"/>
  <c r="P260" i="75"/>
  <c r="AA259" i="75"/>
  <c r="Z259" i="75"/>
  <c r="Y259" i="75"/>
  <c r="X259" i="75"/>
  <c r="S259" i="75"/>
  <c r="R259" i="75"/>
  <c r="Q259" i="75"/>
  <c r="P259" i="75"/>
  <c r="AA258" i="75"/>
  <c r="Z258" i="75"/>
  <c r="Y258" i="75"/>
  <c r="X258" i="75"/>
  <c r="S258" i="75"/>
  <c r="R258" i="75"/>
  <c r="Q258" i="75"/>
  <c r="P258" i="75"/>
  <c r="AA218" i="75"/>
  <c r="Z218" i="75"/>
  <c r="Y218" i="75"/>
  <c r="X218" i="75"/>
  <c r="S218" i="75"/>
  <c r="R218" i="75"/>
  <c r="Q218" i="75"/>
  <c r="P218" i="75"/>
  <c r="AA217" i="75"/>
  <c r="Z217" i="75"/>
  <c r="Y217" i="75"/>
  <c r="X217" i="75"/>
  <c r="S217" i="75"/>
  <c r="R217" i="75"/>
  <c r="Q217" i="75"/>
  <c r="P217" i="75"/>
  <c r="AA216" i="75"/>
  <c r="Z216" i="75"/>
  <c r="Y216" i="75"/>
  <c r="X216" i="75"/>
  <c r="S216" i="75"/>
  <c r="R216" i="75"/>
  <c r="Q216" i="75"/>
  <c r="P216" i="75"/>
  <c r="AA215" i="75"/>
  <c r="Z215" i="75"/>
  <c r="Y215" i="75"/>
  <c r="X215" i="75"/>
  <c r="S215" i="75"/>
  <c r="R215" i="75"/>
  <c r="Q215" i="75"/>
  <c r="P215" i="75"/>
  <c r="AA214" i="75"/>
  <c r="Z214" i="75"/>
  <c r="Y214" i="75"/>
  <c r="X214" i="75"/>
  <c r="S214" i="75"/>
  <c r="R214" i="75"/>
  <c r="Q214" i="75"/>
  <c r="P214" i="75"/>
  <c r="AA213" i="75"/>
  <c r="Z213" i="75"/>
  <c r="Y213" i="75"/>
  <c r="X213" i="75"/>
  <c r="S213" i="75"/>
  <c r="R213" i="75"/>
  <c r="Q213" i="75"/>
  <c r="P213" i="75"/>
  <c r="AA212" i="75"/>
  <c r="Z212" i="75"/>
  <c r="Y212" i="75"/>
  <c r="X212" i="75"/>
  <c r="S212" i="75"/>
  <c r="R212" i="75"/>
  <c r="Q212" i="75"/>
  <c r="P212" i="75"/>
  <c r="AA211" i="75"/>
  <c r="Z211" i="75"/>
  <c r="Y211" i="75"/>
  <c r="X211" i="75"/>
  <c r="S211" i="75"/>
  <c r="R211" i="75"/>
  <c r="Q211" i="75"/>
  <c r="P211" i="75"/>
  <c r="AA210" i="75"/>
  <c r="Z210" i="75"/>
  <c r="Y210" i="75"/>
  <c r="X210" i="75"/>
  <c r="S210" i="75"/>
  <c r="R210" i="75"/>
  <c r="Q210" i="75"/>
  <c r="P210" i="75"/>
  <c r="AA209" i="75"/>
  <c r="Z209" i="75"/>
  <c r="Y209" i="75"/>
  <c r="X209" i="75"/>
  <c r="S209" i="75"/>
  <c r="R209" i="75"/>
  <c r="Q209" i="75"/>
  <c r="P209" i="75"/>
  <c r="AA208" i="75"/>
  <c r="Z208" i="75"/>
  <c r="Y208" i="75"/>
  <c r="X208" i="75"/>
  <c r="S208" i="75"/>
  <c r="R208" i="75"/>
  <c r="Q208" i="75"/>
  <c r="P208" i="75"/>
  <c r="AA207" i="75"/>
  <c r="Z207" i="75"/>
  <c r="Y207" i="75"/>
  <c r="X207" i="75"/>
  <c r="S207" i="75"/>
  <c r="R207" i="75"/>
  <c r="Q207" i="75"/>
  <c r="P207" i="75"/>
  <c r="AA206" i="75"/>
  <c r="Z206" i="75"/>
  <c r="Y206" i="75"/>
  <c r="X206" i="75"/>
  <c r="S206" i="75"/>
  <c r="R206" i="75"/>
  <c r="Q206" i="75"/>
  <c r="P206" i="75"/>
  <c r="AA205" i="75"/>
  <c r="Z205" i="75"/>
  <c r="Y205" i="75"/>
  <c r="X205" i="75"/>
  <c r="S205" i="75"/>
  <c r="R205" i="75"/>
  <c r="Q205" i="75"/>
  <c r="P205" i="75"/>
  <c r="AA204" i="75"/>
  <c r="Z204" i="75"/>
  <c r="Y204" i="75"/>
  <c r="X204" i="75"/>
  <c r="S204" i="75"/>
  <c r="R204" i="75"/>
  <c r="Q204" i="75"/>
  <c r="P204" i="75"/>
  <c r="AA203" i="75"/>
  <c r="Z203" i="75"/>
  <c r="Y203" i="75"/>
  <c r="X203" i="75"/>
  <c r="S203" i="75"/>
  <c r="R203" i="75"/>
  <c r="Q203" i="75"/>
  <c r="P203" i="75"/>
  <c r="AA202" i="75"/>
  <c r="Z202" i="75"/>
  <c r="Y202" i="75"/>
  <c r="X202" i="75"/>
  <c r="S202" i="75"/>
  <c r="R202" i="75"/>
  <c r="Q202" i="75"/>
  <c r="P202" i="75"/>
  <c r="AA201" i="75"/>
  <c r="Z201" i="75"/>
  <c r="Y201" i="75"/>
  <c r="X201" i="75"/>
  <c r="S201" i="75"/>
  <c r="R201" i="75"/>
  <c r="Q201" i="75"/>
  <c r="P201" i="75"/>
  <c r="AA200" i="75"/>
  <c r="Z200" i="75"/>
  <c r="Y200" i="75"/>
  <c r="X200" i="75"/>
  <c r="S200" i="75"/>
  <c r="R200" i="75"/>
  <c r="Q200" i="75"/>
  <c r="P200" i="75"/>
  <c r="AA199" i="75"/>
  <c r="Z199" i="75"/>
  <c r="Y199" i="75"/>
  <c r="X199" i="75"/>
  <c r="S199" i="75"/>
  <c r="R199" i="75"/>
  <c r="Q199" i="75"/>
  <c r="P199" i="75"/>
  <c r="AA198" i="75"/>
  <c r="Z198" i="75"/>
  <c r="Y198" i="75"/>
  <c r="X198" i="75"/>
  <c r="S198" i="75"/>
  <c r="R198" i="75"/>
  <c r="Q198" i="75"/>
  <c r="P198" i="75"/>
  <c r="K198" i="75"/>
  <c r="J198" i="75"/>
  <c r="I198" i="75"/>
  <c r="H198" i="75"/>
  <c r="AA197" i="75"/>
  <c r="Z197" i="75"/>
  <c r="Y197" i="75"/>
  <c r="X197" i="75"/>
  <c r="S197" i="75"/>
  <c r="R197" i="75"/>
  <c r="Q197" i="75"/>
  <c r="P197" i="75"/>
  <c r="AA196" i="75"/>
  <c r="Z196" i="75"/>
  <c r="Y196" i="75"/>
  <c r="X196" i="75"/>
  <c r="S196" i="75"/>
  <c r="R196" i="75"/>
  <c r="Q196" i="75"/>
  <c r="P196" i="75"/>
  <c r="AA195" i="75"/>
  <c r="Z195" i="75"/>
  <c r="Y195" i="75"/>
  <c r="X195" i="75"/>
  <c r="S195" i="75"/>
  <c r="R195" i="75"/>
  <c r="Q195" i="75"/>
  <c r="P195" i="75"/>
  <c r="AA194" i="75"/>
  <c r="Z194" i="75"/>
  <c r="Y194" i="75"/>
  <c r="X194" i="75"/>
  <c r="S194" i="75"/>
  <c r="R194" i="75"/>
  <c r="Q194" i="75"/>
  <c r="P194" i="75"/>
  <c r="AA193" i="75"/>
  <c r="Z193" i="75"/>
  <c r="Y193" i="75"/>
  <c r="X193" i="75"/>
  <c r="S193" i="75"/>
  <c r="R193" i="75"/>
  <c r="Q193" i="75"/>
  <c r="P193" i="75"/>
  <c r="AA192" i="75"/>
  <c r="Z192" i="75"/>
  <c r="Y192" i="75"/>
  <c r="X192" i="75"/>
  <c r="S192" i="75"/>
  <c r="R192" i="75"/>
  <c r="Q192" i="75"/>
  <c r="P192" i="75"/>
  <c r="AA191" i="75"/>
  <c r="Z191" i="75"/>
  <c r="Y191" i="75"/>
  <c r="X191" i="75"/>
  <c r="S191" i="75"/>
  <c r="R191" i="75"/>
  <c r="Q191" i="75"/>
  <c r="P191" i="75"/>
  <c r="AA190" i="75"/>
  <c r="Z190" i="75"/>
  <c r="Y190" i="75"/>
  <c r="X190" i="75"/>
  <c r="S190" i="75"/>
  <c r="R190" i="75"/>
  <c r="Q190" i="75"/>
  <c r="P190" i="75"/>
  <c r="AA189" i="75"/>
  <c r="Z189" i="75"/>
  <c r="Y189" i="75"/>
  <c r="X189" i="75"/>
  <c r="S189" i="75"/>
  <c r="R189" i="75"/>
  <c r="Q189" i="75"/>
  <c r="P189" i="75"/>
  <c r="AA188" i="75"/>
  <c r="Z188" i="75"/>
  <c r="Y188" i="75"/>
  <c r="X188" i="75"/>
  <c r="S188" i="75"/>
  <c r="R188" i="75"/>
  <c r="Q188" i="75"/>
  <c r="P188" i="75"/>
  <c r="AA187" i="75"/>
  <c r="Z187" i="75"/>
  <c r="Y187" i="75"/>
  <c r="X187" i="75"/>
  <c r="S187" i="75"/>
  <c r="R187" i="75"/>
  <c r="Q187" i="75"/>
  <c r="P187" i="75"/>
  <c r="AA186" i="75"/>
  <c r="Z186" i="75"/>
  <c r="Y186" i="75"/>
  <c r="X186" i="75"/>
  <c r="S186" i="75"/>
  <c r="R186" i="75"/>
  <c r="Q186" i="75"/>
  <c r="P186" i="75"/>
  <c r="AA185" i="75"/>
  <c r="Z185" i="75"/>
  <c r="Y185" i="75"/>
  <c r="X185" i="75"/>
  <c r="S185" i="75"/>
  <c r="R185" i="75"/>
  <c r="Q185" i="75"/>
  <c r="P185" i="75"/>
  <c r="AA184" i="75"/>
  <c r="Z184" i="75"/>
  <c r="Y184" i="75"/>
  <c r="X184" i="75"/>
  <c r="S184" i="75"/>
  <c r="R184" i="75"/>
  <c r="Q184" i="75"/>
  <c r="P184" i="75"/>
  <c r="AA183" i="75"/>
  <c r="Z183" i="75"/>
  <c r="Y183" i="75"/>
  <c r="X183" i="75"/>
  <c r="S183" i="75"/>
  <c r="R183" i="75"/>
  <c r="Q183" i="75"/>
  <c r="P183" i="75"/>
  <c r="AA182" i="75"/>
  <c r="Z182" i="75"/>
  <c r="Y182" i="75"/>
  <c r="X182" i="75"/>
  <c r="S182" i="75"/>
  <c r="R182" i="75"/>
  <c r="Q182" i="75"/>
  <c r="P182" i="75"/>
  <c r="AA181" i="75"/>
  <c r="Z181" i="75"/>
  <c r="Y181" i="75"/>
  <c r="X181" i="75"/>
  <c r="S181" i="75"/>
  <c r="R181" i="75"/>
  <c r="Q181" i="75"/>
  <c r="P181" i="75"/>
  <c r="AA180" i="75"/>
  <c r="Z180" i="75"/>
  <c r="Y180" i="75"/>
  <c r="X180" i="75"/>
  <c r="S180" i="75"/>
  <c r="R180" i="75"/>
  <c r="Q180" i="75"/>
  <c r="P180" i="75"/>
  <c r="AA179" i="75"/>
  <c r="Z179" i="75"/>
  <c r="Y179" i="75"/>
  <c r="X179" i="75"/>
  <c r="S179" i="75"/>
  <c r="R179" i="75"/>
  <c r="Q179" i="75"/>
  <c r="P179" i="75"/>
  <c r="AA178" i="75"/>
  <c r="Z178" i="75"/>
  <c r="Y178" i="75"/>
  <c r="X178" i="75"/>
  <c r="S178" i="75"/>
  <c r="R178" i="75"/>
  <c r="Q178" i="75"/>
  <c r="P178" i="75"/>
  <c r="AA177" i="75"/>
  <c r="Z177" i="75"/>
  <c r="Y177" i="75"/>
  <c r="X177" i="75"/>
  <c r="S177" i="75"/>
  <c r="R177" i="75"/>
  <c r="Q177" i="75"/>
  <c r="P177" i="75"/>
  <c r="AA176" i="75"/>
  <c r="Z176" i="75"/>
  <c r="Y176" i="75"/>
  <c r="X176" i="75"/>
  <c r="S176" i="75"/>
  <c r="R176" i="75"/>
  <c r="Q176" i="75"/>
  <c r="P176" i="75"/>
  <c r="AA175" i="75"/>
  <c r="Z175" i="75"/>
  <c r="Y175" i="75"/>
  <c r="X175" i="75"/>
  <c r="S175" i="75"/>
  <c r="R175" i="75"/>
  <c r="Q175" i="75"/>
  <c r="P175" i="75"/>
  <c r="AA174" i="75"/>
  <c r="Z174" i="75"/>
  <c r="Y174" i="75"/>
  <c r="X174" i="75"/>
  <c r="S174" i="75"/>
  <c r="R174" i="75"/>
  <c r="Q174" i="75"/>
  <c r="P174" i="75"/>
  <c r="AA173" i="75"/>
  <c r="Z173" i="75"/>
  <c r="Y173" i="75"/>
  <c r="X173" i="75"/>
  <c r="S173" i="75"/>
  <c r="R173" i="75"/>
  <c r="Q173" i="75"/>
  <c r="P173" i="75"/>
  <c r="AA172" i="75"/>
  <c r="Z172" i="75"/>
  <c r="Y172" i="75"/>
  <c r="X172" i="75"/>
  <c r="S172" i="75"/>
  <c r="R172" i="75"/>
  <c r="Q172" i="75"/>
  <c r="P172" i="75"/>
  <c r="AA171" i="75"/>
  <c r="Z171" i="75"/>
  <c r="Y171" i="75"/>
  <c r="X171" i="75"/>
  <c r="S171" i="75"/>
  <c r="R171" i="75"/>
  <c r="Q171" i="75"/>
  <c r="P171" i="75"/>
  <c r="W165" i="75"/>
  <c r="V165" i="75"/>
  <c r="U165" i="75"/>
  <c r="T165" i="75"/>
  <c r="S165" i="75"/>
  <c r="R165" i="75"/>
  <c r="Q165" i="75"/>
  <c r="P165" i="75"/>
  <c r="W164" i="75"/>
  <c r="O164" i="75" s="1"/>
  <c r="V164" i="75"/>
  <c r="N164" i="75" s="1"/>
  <c r="U164" i="75"/>
  <c r="M164" i="75" s="1"/>
  <c r="T164" i="75"/>
  <c r="L164" i="75" s="1"/>
  <c r="S164" i="75"/>
  <c r="R164" i="75"/>
  <c r="Q164" i="75"/>
  <c r="P164" i="75"/>
  <c r="W163" i="75"/>
  <c r="O163" i="75" s="1"/>
  <c r="V163" i="75"/>
  <c r="N163" i="75" s="1"/>
  <c r="U163" i="75"/>
  <c r="M163" i="75" s="1"/>
  <c r="T163" i="75"/>
  <c r="L163" i="75" s="1"/>
  <c r="S163" i="75"/>
  <c r="R163" i="75"/>
  <c r="Q163" i="75"/>
  <c r="P163" i="75"/>
  <c r="W157" i="75"/>
  <c r="V157" i="75"/>
  <c r="U157" i="75"/>
  <c r="T157" i="75"/>
  <c r="S157" i="75"/>
  <c r="R157" i="75"/>
  <c r="Q157" i="75"/>
  <c r="P157" i="75"/>
  <c r="K157" i="75"/>
  <c r="J157" i="75"/>
  <c r="I157" i="75"/>
  <c r="H157" i="75"/>
  <c r="W156" i="75"/>
  <c r="V156" i="75"/>
  <c r="U156" i="75"/>
  <c r="T156" i="75"/>
  <c r="S156" i="75"/>
  <c r="R156" i="75"/>
  <c r="Q156" i="75"/>
  <c r="P156" i="75"/>
  <c r="K156" i="75"/>
  <c r="J156" i="75"/>
  <c r="I156" i="75"/>
  <c r="H156" i="75"/>
  <c r="W155" i="75"/>
  <c r="V155" i="75"/>
  <c r="U155" i="75"/>
  <c r="T155" i="75"/>
  <c r="S155" i="75"/>
  <c r="R155" i="75"/>
  <c r="Q155" i="75"/>
  <c r="P155" i="75"/>
  <c r="K155" i="75"/>
  <c r="J155" i="75"/>
  <c r="I155" i="75"/>
  <c r="H155" i="75"/>
  <c r="W154" i="75"/>
  <c r="V154" i="75"/>
  <c r="U154" i="75"/>
  <c r="T154" i="75"/>
  <c r="S154" i="75"/>
  <c r="R154" i="75"/>
  <c r="Q154" i="75"/>
  <c r="P154" i="75"/>
  <c r="K154" i="75"/>
  <c r="J154" i="75"/>
  <c r="I154" i="75"/>
  <c r="H154" i="75"/>
  <c r="W153" i="75"/>
  <c r="V153" i="75"/>
  <c r="U153" i="75"/>
  <c r="T153" i="75"/>
  <c r="S153" i="75"/>
  <c r="R153" i="75"/>
  <c r="Q153" i="75"/>
  <c r="P153" i="75"/>
  <c r="W152" i="75"/>
  <c r="V152" i="75"/>
  <c r="U152" i="75"/>
  <c r="T152" i="75"/>
  <c r="S152" i="75"/>
  <c r="R152" i="75"/>
  <c r="Q152" i="75"/>
  <c r="P152" i="75"/>
  <c r="K152" i="75"/>
  <c r="J152" i="75"/>
  <c r="I152" i="75"/>
  <c r="H152" i="75"/>
  <c r="W151" i="75"/>
  <c r="V151" i="75"/>
  <c r="U151" i="75"/>
  <c r="T151" i="75"/>
  <c r="S151" i="75"/>
  <c r="R151" i="75"/>
  <c r="Q151" i="75"/>
  <c r="P151" i="75"/>
  <c r="W150" i="75"/>
  <c r="V150" i="75"/>
  <c r="U150" i="75"/>
  <c r="T150" i="75"/>
  <c r="S150" i="75"/>
  <c r="R150" i="75"/>
  <c r="Q150" i="75"/>
  <c r="P150" i="75"/>
  <c r="K150" i="75"/>
  <c r="J150" i="75"/>
  <c r="I150" i="75"/>
  <c r="H150" i="75"/>
  <c r="W149" i="75"/>
  <c r="V149" i="75"/>
  <c r="U149" i="75"/>
  <c r="T149" i="75"/>
  <c r="S149" i="75"/>
  <c r="R149" i="75"/>
  <c r="Q149" i="75"/>
  <c r="P149" i="75"/>
  <c r="W148" i="75"/>
  <c r="V148" i="75"/>
  <c r="U148" i="75"/>
  <c r="T148" i="75"/>
  <c r="S148" i="75"/>
  <c r="R148" i="75"/>
  <c r="Q148" i="75"/>
  <c r="P148" i="75"/>
  <c r="K148" i="75"/>
  <c r="J148" i="75"/>
  <c r="I148" i="75"/>
  <c r="H148" i="75"/>
  <c r="W147" i="75"/>
  <c r="V147" i="75"/>
  <c r="U147" i="75"/>
  <c r="T147" i="75"/>
  <c r="S147" i="75"/>
  <c r="R147" i="75"/>
  <c r="Q147" i="75"/>
  <c r="P147" i="75"/>
  <c r="W146" i="75"/>
  <c r="V146" i="75"/>
  <c r="U146" i="75"/>
  <c r="T146" i="75"/>
  <c r="S146" i="75"/>
  <c r="R146" i="75"/>
  <c r="Q146" i="75"/>
  <c r="P146" i="75"/>
  <c r="K146" i="75"/>
  <c r="J146" i="75"/>
  <c r="I146" i="75"/>
  <c r="H146" i="75"/>
  <c r="W145" i="75"/>
  <c r="V145" i="75"/>
  <c r="U145" i="75"/>
  <c r="T145" i="75"/>
  <c r="S145" i="75"/>
  <c r="R145" i="75"/>
  <c r="Q145" i="75"/>
  <c r="P145" i="75"/>
  <c r="W144" i="75"/>
  <c r="V144" i="75"/>
  <c r="U144" i="75"/>
  <c r="T144" i="75"/>
  <c r="S144" i="75"/>
  <c r="R144" i="75"/>
  <c r="Q144" i="75"/>
  <c r="P144" i="75"/>
  <c r="K144" i="75"/>
  <c r="J144" i="75"/>
  <c r="I144" i="75"/>
  <c r="H144" i="75"/>
  <c r="W143" i="75"/>
  <c r="V143" i="75"/>
  <c r="U143" i="75"/>
  <c r="T143" i="75"/>
  <c r="S143" i="75"/>
  <c r="R143" i="75"/>
  <c r="Q143" i="75"/>
  <c r="P143" i="75"/>
  <c r="W142" i="75"/>
  <c r="V142" i="75"/>
  <c r="U142" i="75"/>
  <c r="T142" i="75"/>
  <c r="S142" i="75"/>
  <c r="R142" i="75"/>
  <c r="Q142" i="75"/>
  <c r="P142" i="75"/>
  <c r="K142" i="75"/>
  <c r="J142" i="75"/>
  <c r="I142" i="75"/>
  <c r="H142" i="75"/>
  <c r="W141" i="75"/>
  <c r="V141" i="75"/>
  <c r="U141" i="75"/>
  <c r="T141" i="75"/>
  <c r="S141" i="75"/>
  <c r="R141" i="75"/>
  <c r="Q141" i="75"/>
  <c r="P141" i="75"/>
  <c r="K141" i="75"/>
  <c r="J141" i="75"/>
  <c r="I141" i="75"/>
  <c r="H141" i="75"/>
  <c r="W140" i="75"/>
  <c r="V140" i="75"/>
  <c r="U140" i="75"/>
  <c r="T140" i="75"/>
  <c r="S140" i="75"/>
  <c r="R140" i="75"/>
  <c r="Q140" i="75"/>
  <c r="P140" i="75"/>
  <c r="K140" i="75"/>
  <c r="J140" i="75"/>
  <c r="I140" i="75"/>
  <c r="H140" i="75"/>
  <c r="W139" i="75"/>
  <c r="V139" i="75"/>
  <c r="U139" i="75"/>
  <c r="T139" i="75"/>
  <c r="S139" i="75"/>
  <c r="R139" i="75"/>
  <c r="Q139" i="75"/>
  <c r="P139" i="75"/>
  <c r="K139" i="75"/>
  <c r="J139" i="75"/>
  <c r="I139" i="75"/>
  <c r="H139" i="75"/>
  <c r="W138" i="75"/>
  <c r="V138" i="75"/>
  <c r="U138" i="75"/>
  <c r="T138" i="75"/>
  <c r="S138" i="75"/>
  <c r="R138" i="75"/>
  <c r="Q138" i="75"/>
  <c r="P138" i="75"/>
  <c r="K138" i="75"/>
  <c r="J138" i="75"/>
  <c r="I138" i="75"/>
  <c r="H138" i="75"/>
  <c r="W137" i="75"/>
  <c r="V137" i="75"/>
  <c r="U137" i="75"/>
  <c r="T137" i="75"/>
  <c r="S137" i="75"/>
  <c r="R137" i="75"/>
  <c r="Q137" i="75"/>
  <c r="P137" i="75"/>
  <c r="K137" i="75"/>
  <c r="J137" i="75"/>
  <c r="I137" i="75"/>
  <c r="H137" i="75"/>
  <c r="W136" i="75"/>
  <c r="V136" i="75"/>
  <c r="U136" i="75"/>
  <c r="T136" i="75"/>
  <c r="S136" i="75"/>
  <c r="R136" i="75"/>
  <c r="Q136" i="75"/>
  <c r="P136" i="75"/>
  <c r="K136" i="75"/>
  <c r="J136" i="75"/>
  <c r="I136" i="75"/>
  <c r="H136" i="75"/>
  <c r="W135" i="75"/>
  <c r="V135" i="75"/>
  <c r="U135" i="75"/>
  <c r="T135" i="75"/>
  <c r="S135" i="75"/>
  <c r="R135" i="75"/>
  <c r="Q135" i="75"/>
  <c r="P135" i="75"/>
  <c r="K135" i="75"/>
  <c r="J135" i="75"/>
  <c r="I135" i="75"/>
  <c r="H135" i="75"/>
  <c r="W134" i="75"/>
  <c r="V134" i="75"/>
  <c r="U134" i="75"/>
  <c r="T134" i="75"/>
  <c r="S134" i="75"/>
  <c r="R134" i="75"/>
  <c r="Q134" i="75"/>
  <c r="P134" i="75"/>
  <c r="K134" i="75"/>
  <c r="J134" i="75"/>
  <c r="I134" i="75"/>
  <c r="H134" i="75"/>
  <c r="W133" i="75"/>
  <c r="V133" i="75"/>
  <c r="U133" i="75"/>
  <c r="T133" i="75"/>
  <c r="S133" i="75"/>
  <c r="R133" i="75"/>
  <c r="Q133" i="75"/>
  <c r="P133" i="75"/>
  <c r="K133" i="75"/>
  <c r="J133" i="75"/>
  <c r="I133" i="75"/>
  <c r="H133" i="75"/>
  <c r="W132" i="75"/>
  <c r="V132" i="75"/>
  <c r="U132" i="75"/>
  <c r="T132" i="75"/>
  <c r="S132" i="75"/>
  <c r="R132" i="75"/>
  <c r="Q132" i="75"/>
  <c r="P132" i="75"/>
  <c r="K132" i="75"/>
  <c r="J132" i="75"/>
  <c r="I132" i="75"/>
  <c r="H132" i="75"/>
  <c r="W131" i="75"/>
  <c r="V131" i="75"/>
  <c r="U131" i="75"/>
  <c r="T131" i="75"/>
  <c r="S131" i="75"/>
  <c r="R131" i="75"/>
  <c r="Q131" i="75"/>
  <c r="P131" i="75"/>
  <c r="K131" i="75"/>
  <c r="J131" i="75"/>
  <c r="I131" i="75"/>
  <c r="H131" i="75"/>
  <c r="W130" i="75"/>
  <c r="V130" i="75"/>
  <c r="U130" i="75"/>
  <c r="T130" i="75"/>
  <c r="S130" i="75"/>
  <c r="R130" i="75"/>
  <c r="Q130" i="75"/>
  <c r="P130" i="75"/>
  <c r="W129" i="75"/>
  <c r="V129" i="75"/>
  <c r="U129" i="75"/>
  <c r="T129" i="75"/>
  <c r="S129" i="75"/>
  <c r="R129" i="75"/>
  <c r="Q129" i="75"/>
  <c r="P129" i="75"/>
  <c r="K129" i="75"/>
  <c r="J129" i="75"/>
  <c r="I129" i="75"/>
  <c r="H129" i="75"/>
  <c r="W128" i="75"/>
  <c r="V128" i="75"/>
  <c r="U128" i="75"/>
  <c r="T128" i="75"/>
  <c r="S128" i="75"/>
  <c r="R128" i="75"/>
  <c r="Q128" i="75"/>
  <c r="P128" i="75"/>
  <c r="K128" i="75"/>
  <c r="J128" i="75"/>
  <c r="I128" i="75"/>
  <c r="H128" i="75"/>
  <c r="W127" i="75"/>
  <c r="V127" i="75"/>
  <c r="U127" i="75"/>
  <c r="T127" i="75"/>
  <c r="S127" i="75"/>
  <c r="R127" i="75"/>
  <c r="Q127" i="75"/>
  <c r="P127" i="75"/>
  <c r="K127" i="75"/>
  <c r="J127" i="75"/>
  <c r="I127" i="75"/>
  <c r="H127" i="75"/>
  <c r="W126" i="75"/>
  <c r="V126" i="75"/>
  <c r="U126" i="75"/>
  <c r="T126" i="75"/>
  <c r="S126" i="75"/>
  <c r="R126" i="75"/>
  <c r="Q126" i="75"/>
  <c r="P126" i="75"/>
  <c r="K126" i="75"/>
  <c r="J126" i="75"/>
  <c r="I126" i="75"/>
  <c r="H126" i="75"/>
  <c r="W125" i="75"/>
  <c r="V125" i="75"/>
  <c r="U125" i="75"/>
  <c r="T125" i="75"/>
  <c r="S125" i="75"/>
  <c r="R125" i="75"/>
  <c r="Q125" i="75"/>
  <c r="P125" i="75"/>
  <c r="K125" i="75"/>
  <c r="J125" i="75"/>
  <c r="I125" i="75"/>
  <c r="H125" i="75"/>
  <c r="W124" i="75"/>
  <c r="V124" i="75"/>
  <c r="U124" i="75"/>
  <c r="T124" i="75"/>
  <c r="S124" i="75"/>
  <c r="R124" i="75"/>
  <c r="Q124" i="75"/>
  <c r="P124" i="75"/>
  <c r="K124" i="75"/>
  <c r="J124" i="75"/>
  <c r="I124" i="75"/>
  <c r="H124" i="75"/>
  <c r="W123" i="75"/>
  <c r="V123" i="75"/>
  <c r="U123" i="75"/>
  <c r="T123" i="75"/>
  <c r="S123" i="75"/>
  <c r="R123" i="75"/>
  <c r="Q123" i="75"/>
  <c r="P123" i="75"/>
  <c r="K123" i="75"/>
  <c r="J123" i="75"/>
  <c r="I123" i="75"/>
  <c r="H123" i="75"/>
  <c r="W122" i="75"/>
  <c r="V122" i="75"/>
  <c r="U122" i="75"/>
  <c r="T122" i="75"/>
  <c r="S122" i="75"/>
  <c r="R122" i="75"/>
  <c r="Q122" i="75"/>
  <c r="P122" i="75"/>
  <c r="W121" i="75"/>
  <c r="V121" i="75"/>
  <c r="U121" i="75"/>
  <c r="T121" i="75"/>
  <c r="S121" i="75"/>
  <c r="R121" i="75"/>
  <c r="Q121" i="75"/>
  <c r="P121" i="75"/>
  <c r="W120" i="75"/>
  <c r="V120" i="75"/>
  <c r="U120" i="75"/>
  <c r="T120" i="75"/>
  <c r="S120" i="75"/>
  <c r="R120" i="75"/>
  <c r="Q120" i="75"/>
  <c r="P120" i="75"/>
  <c r="W119" i="75"/>
  <c r="V119" i="75"/>
  <c r="U119" i="75"/>
  <c r="T119" i="75"/>
  <c r="S119" i="75"/>
  <c r="R119" i="75"/>
  <c r="Q119" i="75"/>
  <c r="P119" i="75"/>
  <c r="W118" i="75"/>
  <c r="V118" i="75"/>
  <c r="U118" i="75"/>
  <c r="T118" i="75"/>
  <c r="S118" i="75"/>
  <c r="R118" i="75"/>
  <c r="Q118" i="75"/>
  <c r="P118" i="75"/>
  <c r="AA90" i="75"/>
  <c r="Z90" i="75"/>
  <c r="Y90" i="75"/>
  <c r="X90" i="75"/>
  <c r="S90" i="75"/>
  <c r="R90" i="75"/>
  <c r="Q90" i="75"/>
  <c r="P90" i="75"/>
  <c r="K90" i="75"/>
  <c r="K337" i="75" s="1"/>
  <c r="J90" i="75"/>
  <c r="J337" i="75" s="1"/>
  <c r="I90" i="75"/>
  <c r="I337" i="75" s="1"/>
  <c r="H90" i="75"/>
  <c r="H337" i="75" s="1"/>
  <c r="AA89" i="75"/>
  <c r="Z89" i="75"/>
  <c r="Y89" i="75"/>
  <c r="X89" i="75"/>
  <c r="S89" i="75"/>
  <c r="R89" i="75"/>
  <c r="Q89" i="75"/>
  <c r="P89" i="75"/>
  <c r="K89" i="75"/>
  <c r="K336" i="75" s="1"/>
  <c r="J89" i="75"/>
  <c r="J336" i="75" s="1"/>
  <c r="I89" i="75"/>
  <c r="I336" i="75" s="1"/>
  <c r="H89" i="75"/>
  <c r="H336" i="75" s="1"/>
  <c r="AA88" i="75"/>
  <c r="Z88" i="75"/>
  <c r="Y88" i="75"/>
  <c r="X88" i="75"/>
  <c r="S88" i="75"/>
  <c r="R88" i="75"/>
  <c r="Q88" i="75"/>
  <c r="P88" i="75"/>
  <c r="K88" i="75"/>
  <c r="K335" i="75" s="1"/>
  <c r="J88" i="75"/>
  <c r="J335" i="75" s="1"/>
  <c r="I88" i="75"/>
  <c r="I335" i="75" s="1"/>
  <c r="H88" i="75"/>
  <c r="H335" i="75" s="1"/>
  <c r="AA87" i="75"/>
  <c r="Z87" i="75"/>
  <c r="Y87" i="75"/>
  <c r="X87" i="75"/>
  <c r="S87" i="75"/>
  <c r="R87" i="75"/>
  <c r="Q87" i="75"/>
  <c r="P87" i="75"/>
  <c r="K87" i="75"/>
  <c r="K334" i="75" s="1"/>
  <c r="J87" i="75"/>
  <c r="J334" i="75" s="1"/>
  <c r="I87" i="75"/>
  <c r="I334" i="75" s="1"/>
  <c r="H87" i="75"/>
  <c r="H334" i="75" s="1"/>
  <c r="AA86" i="75"/>
  <c r="Z86" i="75"/>
  <c r="Y86" i="75"/>
  <c r="X86" i="75"/>
  <c r="S86" i="75"/>
  <c r="R86" i="75"/>
  <c r="Q86" i="75"/>
  <c r="P86" i="75"/>
  <c r="AA85" i="75"/>
  <c r="Z85" i="75"/>
  <c r="Y85" i="75"/>
  <c r="X85" i="75"/>
  <c r="S85" i="75"/>
  <c r="R85" i="75"/>
  <c r="Q85" i="75"/>
  <c r="P85" i="75"/>
  <c r="K85" i="75"/>
  <c r="K332" i="75" s="1"/>
  <c r="J85" i="75"/>
  <c r="J332" i="75" s="1"/>
  <c r="I85" i="75"/>
  <c r="I332" i="75" s="1"/>
  <c r="H85" i="75"/>
  <c r="H332" i="75" s="1"/>
  <c r="AA84" i="75"/>
  <c r="Z84" i="75"/>
  <c r="Y84" i="75"/>
  <c r="X84" i="75"/>
  <c r="S84" i="75"/>
  <c r="R84" i="75"/>
  <c r="Q84" i="75"/>
  <c r="P84" i="75"/>
  <c r="AA83" i="75"/>
  <c r="Z83" i="75"/>
  <c r="Y83" i="75"/>
  <c r="X83" i="75"/>
  <c r="S83" i="75"/>
  <c r="R83" i="75"/>
  <c r="Q83" i="75"/>
  <c r="P83" i="75"/>
  <c r="K83" i="75"/>
  <c r="K330" i="75" s="1"/>
  <c r="J83" i="75"/>
  <c r="J330" i="75" s="1"/>
  <c r="I83" i="75"/>
  <c r="I330" i="75" s="1"/>
  <c r="H83" i="75"/>
  <c r="H330" i="75" s="1"/>
  <c r="AA82" i="75"/>
  <c r="Z82" i="75"/>
  <c r="Y82" i="75"/>
  <c r="X82" i="75"/>
  <c r="S82" i="75"/>
  <c r="R82" i="75"/>
  <c r="Q82" i="75"/>
  <c r="P82" i="75"/>
  <c r="AA81" i="75"/>
  <c r="Z81" i="75"/>
  <c r="Y81" i="75"/>
  <c r="X81" i="75"/>
  <c r="S81" i="75"/>
  <c r="R81" i="75"/>
  <c r="Q81" i="75"/>
  <c r="P81" i="75"/>
  <c r="K81" i="75"/>
  <c r="K328" i="75" s="1"/>
  <c r="J81" i="75"/>
  <c r="J328" i="75" s="1"/>
  <c r="I81" i="75"/>
  <c r="I328" i="75" s="1"/>
  <c r="H81" i="75"/>
  <c r="H328" i="75" s="1"/>
  <c r="AA80" i="75"/>
  <c r="Z80" i="75"/>
  <c r="Y80" i="75"/>
  <c r="X80" i="75"/>
  <c r="S80" i="75"/>
  <c r="R80" i="75"/>
  <c r="Q80" i="75"/>
  <c r="P80" i="75"/>
  <c r="AA79" i="75"/>
  <c r="Z79" i="75"/>
  <c r="Y79" i="75"/>
  <c r="X79" i="75"/>
  <c r="S79" i="75"/>
  <c r="R79" i="75"/>
  <c r="Q79" i="75"/>
  <c r="P79" i="75"/>
  <c r="K79" i="75"/>
  <c r="K326" i="75" s="1"/>
  <c r="J79" i="75"/>
  <c r="J326" i="75" s="1"/>
  <c r="I79" i="75"/>
  <c r="I326" i="75" s="1"/>
  <c r="H79" i="75"/>
  <c r="H326" i="75" s="1"/>
  <c r="AA78" i="75"/>
  <c r="Z78" i="75"/>
  <c r="Y78" i="75"/>
  <c r="X78" i="75"/>
  <c r="S78" i="75"/>
  <c r="R78" i="75"/>
  <c r="Q78" i="75"/>
  <c r="P78" i="75"/>
  <c r="AA77" i="75"/>
  <c r="Z77" i="75"/>
  <c r="Y77" i="75"/>
  <c r="X77" i="75"/>
  <c r="S77" i="75"/>
  <c r="R77" i="75"/>
  <c r="Q77" i="75"/>
  <c r="P77" i="75"/>
  <c r="K77" i="75"/>
  <c r="K324" i="75" s="1"/>
  <c r="J77" i="75"/>
  <c r="J324" i="75" s="1"/>
  <c r="I77" i="75"/>
  <c r="I324" i="75" s="1"/>
  <c r="H77" i="75"/>
  <c r="H324" i="75" s="1"/>
  <c r="AA76" i="75"/>
  <c r="Z76" i="75"/>
  <c r="Y76" i="75"/>
  <c r="X76" i="75"/>
  <c r="S76" i="75"/>
  <c r="R76" i="75"/>
  <c r="Q76" i="75"/>
  <c r="P76" i="75"/>
  <c r="AA75" i="75"/>
  <c r="Z75" i="75"/>
  <c r="Y75" i="75"/>
  <c r="X75" i="75"/>
  <c r="S75" i="75"/>
  <c r="R75" i="75"/>
  <c r="Q75" i="75"/>
  <c r="P75" i="75"/>
  <c r="K75" i="75"/>
  <c r="K322" i="75" s="1"/>
  <c r="J75" i="75"/>
  <c r="J322" i="75" s="1"/>
  <c r="I75" i="75"/>
  <c r="I322" i="75" s="1"/>
  <c r="H75" i="75"/>
  <c r="H322" i="75" s="1"/>
  <c r="AA74" i="75"/>
  <c r="Z74" i="75"/>
  <c r="Y74" i="75"/>
  <c r="X74" i="75"/>
  <c r="S74" i="75"/>
  <c r="R74" i="75"/>
  <c r="Q74" i="75"/>
  <c r="P74" i="75"/>
  <c r="K74" i="75"/>
  <c r="J74" i="75"/>
  <c r="I74" i="75"/>
  <c r="H74" i="75"/>
  <c r="AA73" i="75"/>
  <c r="Z73" i="75"/>
  <c r="Y73" i="75"/>
  <c r="X73" i="75"/>
  <c r="S73" i="75"/>
  <c r="R73" i="75"/>
  <c r="Q73" i="75"/>
  <c r="P73" i="75"/>
  <c r="K73" i="75"/>
  <c r="J73" i="75"/>
  <c r="I73" i="75"/>
  <c r="H73" i="75"/>
  <c r="AA72" i="75"/>
  <c r="Z72" i="75"/>
  <c r="Y72" i="75"/>
  <c r="X72" i="75"/>
  <c r="S72" i="75"/>
  <c r="R72" i="75"/>
  <c r="Q72" i="75"/>
  <c r="P72" i="75"/>
  <c r="K72" i="75"/>
  <c r="J72" i="75"/>
  <c r="I72" i="75"/>
  <c r="H72" i="75"/>
  <c r="AA71" i="75"/>
  <c r="Z71" i="75"/>
  <c r="Y71" i="75"/>
  <c r="X71" i="75"/>
  <c r="S71" i="75"/>
  <c r="R71" i="75"/>
  <c r="Q71" i="75"/>
  <c r="P71" i="75"/>
  <c r="K71" i="75"/>
  <c r="J71" i="75"/>
  <c r="I71" i="75"/>
  <c r="H71" i="75"/>
  <c r="AA70" i="75"/>
  <c r="Z70" i="75"/>
  <c r="Y70" i="75"/>
  <c r="X70" i="75"/>
  <c r="S70" i="75"/>
  <c r="R70" i="75"/>
  <c r="Q70" i="75"/>
  <c r="P70" i="75"/>
  <c r="K70" i="75"/>
  <c r="J70" i="75"/>
  <c r="I70" i="75"/>
  <c r="H70" i="75"/>
  <c r="AA69" i="75"/>
  <c r="Z69" i="75"/>
  <c r="Y69" i="75"/>
  <c r="X69" i="75"/>
  <c r="S69" i="75"/>
  <c r="R69" i="75"/>
  <c r="Q69" i="75"/>
  <c r="P69" i="75"/>
  <c r="K69" i="75"/>
  <c r="J69" i="75"/>
  <c r="I69" i="75"/>
  <c r="H69" i="75"/>
  <c r="AA68" i="75"/>
  <c r="Z68" i="75"/>
  <c r="Y68" i="75"/>
  <c r="X68" i="75"/>
  <c r="S68" i="75"/>
  <c r="R68" i="75"/>
  <c r="Q68" i="75"/>
  <c r="P68" i="75"/>
  <c r="K68" i="75"/>
  <c r="J68" i="75"/>
  <c r="I68" i="75"/>
  <c r="H68" i="75"/>
  <c r="AA67" i="75"/>
  <c r="Z67" i="75"/>
  <c r="Y67" i="75"/>
  <c r="X67" i="75"/>
  <c r="S67" i="75"/>
  <c r="R67" i="75"/>
  <c r="Q67" i="75"/>
  <c r="P67" i="75"/>
  <c r="K67" i="75"/>
  <c r="J67" i="75"/>
  <c r="I67" i="75"/>
  <c r="H67" i="75"/>
  <c r="AA66" i="75"/>
  <c r="Z66" i="75"/>
  <c r="Y66" i="75"/>
  <c r="X66" i="75"/>
  <c r="S66" i="75"/>
  <c r="R66" i="75"/>
  <c r="Q66" i="75"/>
  <c r="P66" i="75"/>
  <c r="K66" i="75"/>
  <c r="J66" i="75"/>
  <c r="I66" i="75"/>
  <c r="H66" i="75"/>
  <c r="AA65" i="75"/>
  <c r="Z65" i="75"/>
  <c r="Y65" i="75"/>
  <c r="X65" i="75"/>
  <c r="S65" i="75"/>
  <c r="R65" i="75"/>
  <c r="Q65" i="75"/>
  <c r="P65" i="75"/>
  <c r="K65" i="75"/>
  <c r="J65" i="75"/>
  <c r="I65" i="75"/>
  <c r="H65" i="75"/>
  <c r="AA64" i="75"/>
  <c r="Z64" i="75"/>
  <c r="Y64" i="75"/>
  <c r="X64" i="75"/>
  <c r="S64" i="75"/>
  <c r="R64" i="75"/>
  <c r="Q64" i="75"/>
  <c r="P64" i="75"/>
  <c r="K64" i="75"/>
  <c r="J64" i="75"/>
  <c r="I64" i="75"/>
  <c r="H64" i="75"/>
  <c r="AA63" i="75"/>
  <c r="Z63" i="75"/>
  <c r="Y63" i="75"/>
  <c r="X63" i="75"/>
  <c r="S63" i="75"/>
  <c r="R63" i="75"/>
  <c r="Q63" i="75"/>
  <c r="P63" i="75"/>
  <c r="K63" i="75"/>
  <c r="J63" i="75"/>
  <c r="I63" i="75"/>
  <c r="H63" i="75"/>
  <c r="AA62" i="75"/>
  <c r="Z62" i="75"/>
  <c r="Y62" i="75"/>
  <c r="X62" i="75"/>
  <c r="S62" i="75"/>
  <c r="R62" i="75"/>
  <c r="Q62" i="75"/>
  <c r="P62" i="75"/>
  <c r="K62" i="75"/>
  <c r="J62" i="75"/>
  <c r="I62" i="75"/>
  <c r="H62" i="75"/>
  <c r="AA61" i="75"/>
  <c r="Z61" i="75"/>
  <c r="Y61" i="75"/>
  <c r="X61" i="75"/>
  <c r="S61" i="75"/>
  <c r="R61" i="75"/>
  <c r="Q61" i="75"/>
  <c r="P61" i="75"/>
  <c r="K61" i="75"/>
  <c r="J61" i="75"/>
  <c r="I61" i="75"/>
  <c r="H61" i="75"/>
  <c r="AA60" i="75"/>
  <c r="Z60" i="75"/>
  <c r="Y60" i="75"/>
  <c r="X60" i="75"/>
  <c r="S60" i="75"/>
  <c r="R60" i="75"/>
  <c r="Q60" i="75"/>
  <c r="P60" i="75"/>
  <c r="K60" i="75"/>
  <c r="J60" i="75"/>
  <c r="I60" i="75"/>
  <c r="H60" i="75"/>
  <c r="AA59" i="75"/>
  <c r="Z59" i="75"/>
  <c r="Y59" i="75"/>
  <c r="X59" i="75"/>
  <c r="S59" i="75"/>
  <c r="R59" i="75"/>
  <c r="Q59" i="75"/>
  <c r="P59" i="75"/>
  <c r="K59" i="75"/>
  <c r="J59" i="75"/>
  <c r="I59" i="75"/>
  <c r="H59" i="75"/>
  <c r="AA58" i="75"/>
  <c r="Z58" i="75"/>
  <c r="Y58" i="75"/>
  <c r="X58" i="75"/>
  <c r="S58" i="75"/>
  <c r="R58" i="75"/>
  <c r="Q58" i="75"/>
  <c r="P58" i="75"/>
  <c r="K58" i="75"/>
  <c r="J58" i="75"/>
  <c r="I58" i="75"/>
  <c r="H58" i="75"/>
  <c r="AA57" i="75"/>
  <c r="Z57" i="75"/>
  <c r="Y57" i="75"/>
  <c r="X57" i="75"/>
  <c r="S57" i="75"/>
  <c r="R57" i="75"/>
  <c r="Q57" i="75"/>
  <c r="P57" i="75"/>
  <c r="K57" i="75"/>
  <c r="J57" i="75"/>
  <c r="I57" i="75"/>
  <c r="H57" i="75"/>
  <c r="AA56" i="75"/>
  <c r="Z56" i="75"/>
  <c r="Y56" i="75"/>
  <c r="X56" i="75"/>
  <c r="S56" i="75"/>
  <c r="R56" i="75"/>
  <c r="Q56" i="75"/>
  <c r="P56" i="75"/>
  <c r="K56" i="75"/>
  <c r="J56" i="75"/>
  <c r="I56" i="75"/>
  <c r="H56" i="75"/>
  <c r="AA55" i="75"/>
  <c r="Z55" i="75"/>
  <c r="Y55" i="75"/>
  <c r="X55" i="75"/>
  <c r="S55" i="75"/>
  <c r="R55" i="75"/>
  <c r="Q55" i="75"/>
  <c r="P55" i="75"/>
  <c r="K55" i="75"/>
  <c r="J55" i="75"/>
  <c r="I55" i="75"/>
  <c r="H55" i="75"/>
  <c r="AA54" i="75"/>
  <c r="Z54" i="75"/>
  <c r="Y54" i="75"/>
  <c r="X54" i="75"/>
  <c r="S54" i="75"/>
  <c r="R54" i="75"/>
  <c r="Q54" i="75"/>
  <c r="P54" i="75"/>
  <c r="K54" i="75"/>
  <c r="J54" i="75"/>
  <c r="I54" i="75"/>
  <c r="H54" i="75"/>
  <c r="AA53" i="75"/>
  <c r="Z53" i="75"/>
  <c r="Y53" i="75"/>
  <c r="X53" i="75"/>
  <c r="S53" i="75"/>
  <c r="R53" i="75"/>
  <c r="Q53" i="75"/>
  <c r="P53" i="75"/>
  <c r="K53" i="75"/>
  <c r="J53" i="75"/>
  <c r="I53" i="75"/>
  <c r="H53" i="75"/>
  <c r="AA52" i="75"/>
  <c r="Z52" i="75"/>
  <c r="Y52" i="75"/>
  <c r="X52" i="75"/>
  <c r="S52" i="75"/>
  <c r="R52" i="75"/>
  <c r="Q52" i="75"/>
  <c r="P52" i="75"/>
  <c r="K52" i="75"/>
  <c r="J52" i="75"/>
  <c r="I52" i="75"/>
  <c r="H52" i="75"/>
  <c r="AA51" i="75"/>
  <c r="Z51" i="75"/>
  <c r="Y51" i="75"/>
  <c r="X51" i="75"/>
  <c r="S51" i="75"/>
  <c r="R51" i="75"/>
  <c r="Q51" i="75"/>
  <c r="P51" i="75"/>
  <c r="K51" i="75"/>
  <c r="J51" i="75"/>
  <c r="I51" i="75"/>
  <c r="H51" i="75"/>
  <c r="AA50" i="75"/>
  <c r="Z50" i="75"/>
  <c r="Y50" i="75"/>
  <c r="X50" i="75"/>
  <c r="S50" i="75"/>
  <c r="R50" i="75"/>
  <c r="Q50" i="75"/>
  <c r="P50" i="75"/>
  <c r="K50" i="75"/>
  <c r="J50" i="75"/>
  <c r="I50" i="75"/>
  <c r="H50" i="75"/>
  <c r="AA49" i="75"/>
  <c r="Z49" i="75"/>
  <c r="Y49" i="75"/>
  <c r="X49" i="75"/>
  <c r="S49" i="75"/>
  <c r="R49" i="75"/>
  <c r="Q49" i="75"/>
  <c r="P49" i="75"/>
  <c r="K49" i="75"/>
  <c r="J49" i="75"/>
  <c r="I49" i="75"/>
  <c r="H49" i="75"/>
  <c r="AA48" i="75"/>
  <c r="Z48" i="75"/>
  <c r="Y48" i="75"/>
  <c r="X48" i="75"/>
  <c r="S48" i="75"/>
  <c r="R48" i="75"/>
  <c r="Q48" i="75"/>
  <c r="P48" i="75"/>
  <c r="K48" i="75"/>
  <c r="J48" i="75"/>
  <c r="I48" i="75"/>
  <c r="H48" i="75"/>
  <c r="AA47" i="75"/>
  <c r="Z47" i="75"/>
  <c r="Y47" i="75"/>
  <c r="X47" i="75"/>
  <c r="S47" i="75"/>
  <c r="R47" i="75"/>
  <c r="Q47" i="75"/>
  <c r="P47" i="75"/>
  <c r="K47" i="75"/>
  <c r="J47" i="75"/>
  <c r="I47" i="75"/>
  <c r="H47" i="75"/>
  <c r="AA46" i="75"/>
  <c r="Z46" i="75"/>
  <c r="Y46" i="75"/>
  <c r="X46" i="75"/>
  <c r="S46" i="75"/>
  <c r="R46" i="75"/>
  <c r="Q46" i="75"/>
  <c r="P46" i="75"/>
  <c r="K46" i="75"/>
  <c r="J46" i="75"/>
  <c r="I46" i="75"/>
  <c r="H46" i="75"/>
  <c r="AA45" i="75"/>
  <c r="Z45" i="75"/>
  <c r="Y45" i="75"/>
  <c r="X45" i="75"/>
  <c r="S45" i="75"/>
  <c r="R45" i="75"/>
  <c r="Q45" i="75"/>
  <c r="P45" i="75"/>
  <c r="K45" i="75"/>
  <c r="J45" i="75"/>
  <c r="I45" i="75"/>
  <c r="H45" i="75"/>
  <c r="AA44" i="75"/>
  <c r="Z44" i="75"/>
  <c r="Y44" i="75"/>
  <c r="X44" i="75"/>
  <c r="S44" i="75"/>
  <c r="R44" i="75"/>
  <c r="Q44" i="75"/>
  <c r="P44" i="75"/>
  <c r="K44" i="75"/>
  <c r="J44" i="75"/>
  <c r="I44" i="75"/>
  <c r="H44" i="75"/>
  <c r="AA43" i="75"/>
  <c r="Z43" i="75"/>
  <c r="Y43" i="75"/>
  <c r="X43" i="75"/>
  <c r="S43" i="75"/>
  <c r="R43" i="75"/>
  <c r="Q43" i="75"/>
  <c r="P43" i="75"/>
  <c r="K43" i="75"/>
  <c r="J43" i="75"/>
  <c r="I43" i="75"/>
  <c r="H43" i="75"/>
  <c r="AA42" i="75"/>
  <c r="Z42" i="75"/>
  <c r="Y42" i="75"/>
  <c r="X42" i="75"/>
  <c r="S42" i="75"/>
  <c r="R42" i="75"/>
  <c r="Q42" i="75"/>
  <c r="P42" i="75"/>
  <c r="K42" i="75"/>
  <c r="J42" i="75"/>
  <c r="I42" i="75"/>
  <c r="H42" i="75"/>
  <c r="AA41" i="75"/>
  <c r="Z41" i="75"/>
  <c r="Y41" i="75"/>
  <c r="X41" i="75"/>
  <c r="S41" i="75"/>
  <c r="R41" i="75"/>
  <c r="Q41" i="75"/>
  <c r="P41" i="75"/>
  <c r="K41" i="75"/>
  <c r="J41" i="75"/>
  <c r="I41" i="75"/>
  <c r="H41" i="75"/>
  <c r="AA40" i="75"/>
  <c r="Z40" i="75"/>
  <c r="Y40" i="75"/>
  <c r="X40" i="75"/>
  <c r="S40" i="75"/>
  <c r="R40" i="75"/>
  <c r="Q40" i="75"/>
  <c r="P40" i="75"/>
  <c r="K40" i="75"/>
  <c r="J40" i="75"/>
  <c r="I40" i="75"/>
  <c r="H40" i="75"/>
  <c r="AA39" i="75"/>
  <c r="Z39" i="75"/>
  <c r="Y39" i="75"/>
  <c r="X39" i="75"/>
  <c r="S39" i="75"/>
  <c r="R39" i="75"/>
  <c r="Q39" i="75"/>
  <c r="P39" i="75"/>
  <c r="K39" i="75"/>
  <c r="J39" i="75"/>
  <c r="I39" i="75"/>
  <c r="H39" i="75"/>
  <c r="AA38" i="75"/>
  <c r="Z38" i="75"/>
  <c r="Y38" i="75"/>
  <c r="X38" i="75"/>
  <c r="S38" i="75"/>
  <c r="R38" i="75"/>
  <c r="Q38" i="75"/>
  <c r="P38" i="75"/>
  <c r="K38" i="75"/>
  <c r="J38" i="75"/>
  <c r="I38" i="75"/>
  <c r="H38" i="75"/>
  <c r="AA37" i="75"/>
  <c r="Z37" i="75"/>
  <c r="Y37" i="75"/>
  <c r="X37" i="75"/>
  <c r="S37" i="75"/>
  <c r="R37" i="75"/>
  <c r="Q37" i="75"/>
  <c r="P37" i="75"/>
  <c r="K37" i="75"/>
  <c r="J37" i="75"/>
  <c r="I37" i="75"/>
  <c r="H37" i="75"/>
  <c r="AA36" i="75"/>
  <c r="Z36" i="75"/>
  <c r="Y36" i="75"/>
  <c r="X36" i="75"/>
  <c r="S36" i="75"/>
  <c r="R36" i="75"/>
  <c r="Q36" i="75"/>
  <c r="P36" i="75"/>
  <c r="AA35" i="75"/>
  <c r="Z35" i="75"/>
  <c r="Y35" i="75"/>
  <c r="X35" i="75"/>
  <c r="S35" i="75"/>
  <c r="R35" i="75"/>
  <c r="Q35" i="75"/>
  <c r="P35" i="75"/>
  <c r="K35" i="75"/>
  <c r="J35" i="75"/>
  <c r="I35" i="75"/>
  <c r="H35" i="75"/>
  <c r="AA34" i="75"/>
  <c r="Z34" i="75"/>
  <c r="Y34" i="75"/>
  <c r="X34" i="75"/>
  <c r="S34" i="75"/>
  <c r="R34" i="75"/>
  <c r="Q34" i="75"/>
  <c r="P34" i="75"/>
  <c r="K34" i="75"/>
  <c r="J34" i="75"/>
  <c r="I34" i="75"/>
  <c r="H34" i="75"/>
  <c r="AA33" i="75"/>
  <c r="Z33" i="75"/>
  <c r="Y33" i="75"/>
  <c r="X33" i="75"/>
  <c r="S33" i="75"/>
  <c r="R33" i="75"/>
  <c r="Q33" i="75"/>
  <c r="P33" i="75"/>
  <c r="K33" i="75"/>
  <c r="J33" i="75"/>
  <c r="I33" i="75"/>
  <c r="H33" i="75"/>
  <c r="AA32" i="75"/>
  <c r="Z32" i="75"/>
  <c r="Y32" i="75"/>
  <c r="X32" i="75"/>
  <c r="S32" i="75"/>
  <c r="R32" i="75"/>
  <c r="Q32" i="75"/>
  <c r="P32" i="75"/>
  <c r="K32" i="75"/>
  <c r="J32" i="75"/>
  <c r="I32" i="75"/>
  <c r="H32" i="75"/>
  <c r="AA31" i="75"/>
  <c r="Z31" i="75"/>
  <c r="Y31" i="75"/>
  <c r="X31" i="75"/>
  <c r="S31" i="75"/>
  <c r="R31" i="75"/>
  <c r="Q31" i="75"/>
  <c r="P31" i="75"/>
  <c r="K31" i="75"/>
  <c r="J31" i="75"/>
  <c r="I31" i="75"/>
  <c r="H31" i="75"/>
  <c r="AA30" i="75"/>
  <c r="Z30" i="75"/>
  <c r="Y30" i="75"/>
  <c r="X30" i="75"/>
  <c r="S30" i="75"/>
  <c r="R30" i="75"/>
  <c r="Q30" i="75"/>
  <c r="P30" i="75"/>
  <c r="K30" i="75"/>
  <c r="J30" i="75"/>
  <c r="I30" i="75"/>
  <c r="H30" i="75"/>
  <c r="AA29" i="75"/>
  <c r="Z29" i="75"/>
  <c r="Y29" i="75"/>
  <c r="X29" i="75"/>
  <c r="S29" i="75"/>
  <c r="R29" i="75"/>
  <c r="Q29" i="75"/>
  <c r="P29" i="75"/>
  <c r="K29" i="75"/>
  <c r="J29" i="75"/>
  <c r="I29" i="75"/>
  <c r="H29" i="75"/>
  <c r="AA28" i="75"/>
  <c r="Z28" i="75"/>
  <c r="Y28" i="75"/>
  <c r="X28" i="75"/>
  <c r="S28" i="75"/>
  <c r="R28" i="75"/>
  <c r="Q28" i="75"/>
  <c r="P28" i="75"/>
  <c r="K28" i="75"/>
  <c r="J28" i="75"/>
  <c r="I28" i="75"/>
  <c r="H28" i="75"/>
  <c r="AA27" i="75"/>
  <c r="Z27" i="75"/>
  <c r="Y27" i="75"/>
  <c r="X27" i="75"/>
  <c r="S27" i="75"/>
  <c r="R27" i="75"/>
  <c r="Q27" i="75"/>
  <c r="P27" i="75"/>
  <c r="K27" i="75"/>
  <c r="J27" i="75"/>
  <c r="I27" i="75"/>
  <c r="H27" i="75"/>
  <c r="AA26" i="75"/>
  <c r="Z26" i="75"/>
  <c r="Y26" i="75"/>
  <c r="X26" i="75"/>
  <c r="S26" i="75"/>
  <c r="R26" i="75"/>
  <c r="Q26" i="75"/>
  <c r="P26" i="75"/>
  <c r="K26" i="75"/>
  <c r="J26" i="75"/>
  <c r="I26" i="75"/>
  <c r="H26" i="75"/>
  <c r="AA25" i="75"/>
  <c r="Z25" i="75"/>
  <c r="Y25" i="75"/>
  <c r="X25" i="75"/>
  <c r="S25" i="75"/>
  <c r="R25" i="75"/>
  <c r="Q25" i="75"/>
  <c r="P25" i="75"/>
  <c r="K25" i="75"/>
  <c r="J25" i="75"/>
  <c r="I25" i="75"/>
  <c r="H25" i="75"/>
  <c r="AA24" i="75"/>
  <c r="Z24" i="75"/>
  <c r="Y24" i="75"/>
  <c r="X24" i="75"/>
  <c r="S24" i="75"/>
  <c r="R24" i="75"/>
  <c r="Q24" i="75"/>
  <c r="P24" i="75"/>
  <c r="K24" i="75"/>
  <c r="J24" i="75"/>
  <c r="I24" i="75"/>
  <c r="H24" i="75"/>
  <c r="AA23" i="75"/>
  <c r="Z23" i="75"/>
  <c r="Y23" i="75"/>
  <c r="X23" i="75"/>
  <c r="S23" i="75"/>
  <c r="R23" i="75"/>
  <c r="Q23" i="75"/>
  <c r="P23" i="75"/>
  <c r="K23" i="75"/>
  <c r="J23" i="75"/>
  <c r="I23" i="75"/>
  <c r="H23" i="75"/>
  <c r="AA22" i="75"/>
  <c r="Z22" i="75"/>
  <c r="Y22" i="75"/>
  <c r="X22" i="75"/>
  <c r="S22" i="75"/>
  <c r="R22" i="75"/>
  <c r="Q22" i="75"/>
  <c r="P22" i="75"/>
  <c r="K22" i="75"/>
  <c r="J22" i="75"/>
  <c r="I22" i="75"/>
  <c r="H22" i="75"/>
  <c r="AA21" i="75"/>
  <c r="Z21" i="75"/>
  <c r="Y21" i="75"/>
  <c r="X21" i="75"/>
  <c r="S21" i="75"/>
  <c r="R21" i="75"/>
  <c r="Q21" i="75"/>
  <c r="P21" i="75"/>
  <c r="K21" i="75"/>
  <c r="J21" i="75"/>
  <c r="I21" i="75"/>
  <c r="H21" i="75"/>
  <c r="AA20" i="75"/>
  <c r="Z20" i="75"/>
  <c r="Y20" i="75"/>
  <c r="X20" i="75"/>
  <c r="S20" i="75"/>
  <c r="R20" i="75"/>
  <c r="Q20" i="75"/>
  <c r="P20" i="75"/>
  <c r="K20" i="75"/>
  <c r="J20" i="75"/>
  <c r="I20" i="75"/>
  <c r="H20" i="75"/>
  <c r="AA19" i="75"/>
  <c r="Z19" i="75"/>
  <c r="Y19" i="75"/>
  <c r="X19" i="75"/>
  <c r="S19" i="75"/>
  <c r="R19" i="75"/>
  <c r="Q19" i="75"/>
  <c r="P19" i="75"/>
  <c r="K19" i="75"/>
  <c r="J19" i="75"/>
  <c r="I19" i="75"/>
  <c r="H19" i="75"/>
  <c r="AA18" i="75"/>
  <c r="Z18" i="75"/>
  <c r="Y18" i="75"/>
  <c r="X18" i="75"/>
  <c r="S18" i="75"/>
  <c r="R18" i="75"/>
  <c r="Q18" i="75"/>
  <c r="P18" i="75"/>
  <c r="K18" i="75"/>
  <c r="J18" i="75"/>
  <c r="I18" i="75"/>
  <c r="H18" i="75"/>
  <c r="AA17" i="75"/>
  <c r="Z17" i="75"/>
  <c r="Y17" i="75"/>
  <c r="X17" i="75"/>
  <c r="S17" i="75"/>
  <c r="R17" i="75"/>
  <c r="Q17" i="75"/>
  <c r="P17" i="75"/>
  <c r="K17" i="75"/>
  <c r="J17" i="75"/>
  <c r="I17" i="75"/>
  <c r="H17" i="75"/>
  <c r="AA16" i="75"/>
  <c r="Z16" i="75"/>
  <c r="Y16" i="75"/>
  <c r="X16" i="75"/>
  <c r="S16" i="75"/>
  <c r="R16" i="75"/>
  <c r="Q16" i="75"/>
  <c r="P16" i="75"/>
  <c r="K16" i="75"/>
  <c r="J16" i="75"/>
  <c r="I16" i="75"/>
  <c r="H16" i="75"/>
  <c r="AA15" i="75"/>
  <c r="Z15" i="75"/>
  <c r="Y15" i="75"/>
  <c r="X15" i="75"/>
  <c r="S15" i="75"/>
  <c r="R15" i="75"/>
  <c r="Q15" i="75"/>
  <c r="P15" i="75"/>
  <c r="K15" i="75"/>
  <c r="J15" i="75"/>
  <c r="I15" i="75"/>
  <c r="H15" i="75"/>
  <c r="AA14" i="75"/>
  <c r="Z14" i="75"/>
  <c r="Y14" i="75"/>
  <c r="X14" i="75"/>
  <c r="S14" i="75"/>
  <c r="R14" i="75"/>
  <c r="Q14" i="75"/>
  <c r="P14" i="75"/>
  <c r="K14" i="75"/>
  <c r="J14" i="75"/>
  <c r="I14" i="75"/>
  <c r="H14" i="75"/>
  <c r="AA13" i="75"/>
  <c r="Z13" i="75"/>
  <c r="Y13" i="75"/>
  <c r="X13" i="75"/>
  <c r="S13" i="75"/>
  <c r="R13" i="75"/>
  <c r="Q13" i="75"/>
  <c r="P13" i="75"/>
  <c r="K13" i="75"/>
  <c r="J13" i="75"/>
  <c r="I13" i="75"/>
  <c r="H13" i="75"/>
  <c r="AA12" i="75"/>
  <c r="Z12" i="75"/>
  <c r="Y12" i="75"/>
  <c r="X12" i="75"/>
  <c r="S12" i="75"/>
  <c r="R12" i="75"/>
  <c r="Q12" i="75"/>
  <c r="P12" i="75"/>
  <c r="K12" i="75"/>
  <c r="J12" i="75"/>
  <c r="I12" i="75"/>
  <c r="H12" i="75"/>
  <c r="AA11" i="75"/>
  <c r="Z11" i="75"/>
  <c r="Y11" i="75"/>
  <c r="X11" i="75"/>
  <c r="S11" i="75"/>
  <c r="R11" i="75"/>
  <c r="Q11" i="75"/>
  <c r="P11" i="75"/>
  <c r="K11" i="75"/>
  <c r="J11" i="75"/>
  <c r="I11" i="75"/>
  <c r="H11" i="75"/>
  <c r="AA10" i="75"/>
  <c r="Z10" i="75"/>
  <c r="Y10" i="75"/>
  <c r="X10" i="75"/>
  <c r="S10" i="75"/>
  <c r="R10" i="75"/>
  <c r="Q10" i="75"/>
  <c r="P10" i="75"/>
  <c r="K10" i="75"/>
  <c r="J10" i="75"/>
  <c r="I10" i="75"/>
  <c r="H10" i="75"/>
  <c r="AA9" i="75"/>
  <c r="Z9" i="75"/>
  <c r="Y9" i="75"/>
  <c r="X9" i="75"/>
  <c r="S9" i="75"/>
  <c r="R9" i="75"/>
  <c r="Q9" i="75"/>
  <c r="P9" i="75"/>
  <c r="K9" i="75"/>
  <c r="J9" i="75"/>
  <c r="I9" i="75"/>
  <c r="H9" i="75"/>
  <c r="O155" i="75" l="1"/>
  <c r="O156" i="75"/>
  <c r="N165" i="75"/>
  <c r="M137" i="75"/>
  <c r="M153" i="75"/>
  <c r="L157" i="75"/>
  <c r="N123" i="75"/>
  <c r="O127" i="75"/>
  <c r="O147" i="75"/>
  <c r="N156" i="75"/>
  <c r="N128" i="75"/>
  <c r="N133" i="75"/>
  <c r="N152" i="75"/>
  <c r="N153" i="75"/>
  <c r="O120" i="75"/>
  <c r="O122" i="75"/>
  <c r="O123" i="75"/>
  <c r="O124" i="75"/>
  <c r="O128" i="75"/>
  <c r="O137" i="75"/>
  <c r="O139" i="75"/>
  <c r="O141" i="75"/>
  <c r="O145" i="75"/>
  <c r="M118" i="75"/>
  <c r="L154" i="75"/>
  <c r="L165" i="75"/>
  <c r="O132" i="75"/>
  <c r="N138" i="75"/>
  <c r="M140" i="75"/>
  <c r="L153" i="75"/>
  <c r="L131" i="75"/>
  <c r="L133" i="75"/>
  <c r="L135" i="75"/>
  <c r="N140" i="75"/>
  <c r="N143" i="75"/>
  <c r="O140" i="75"/>
  <c r="N132" i="75"/>
  <c r="L143" i="75"/>
  <c r="L146" i="75"/>
  <c r="O148" i="75"/>
  <c r="O149" i="75"/>
  <c r="O165" i="75"/>
  <c r="L118" i="75"/>
  <c r="O125" i="75"/>
  <c r="O126" i="75"/>
  <c r="N127" i="75"/>
  <c r="M130" i="75"/>
  <c r="O133" i="75"/>
  <c r="O135" i="75"/>
  <c r="N137" i="75"/>
  <c r="N147" i="75"/>
  <c r="N148" i="75"/>
  <c r="N151" i="75"/>
  <c r="L155" i="75"/>
  <c r="O157" i="75"/>
  <c r="M122" i="75"/>
  <c r="O130" i="75"/>
  <c r="M132" i="75"/>
  <c r="M136" i="75"/>
  <c r="L137" i="75"/>
  <c r="M142" i="75"/>
  <c r="M144" i="75"/>
  <c r="M145" i="75"/>
  <c r="M146" i="75"/>
  <c r="L147" i="75"/>
  <c r="L149" i="75"/>
  <c r="N154" i="75"/>
  <c r="O118" i="75"/>
  <c r="N120" i="75"/>
  <c r="N121" i="75"/>
  <c r="N126" i="75"/>
  <c r="O131" i="75"/>
  <c r="N141" i="75"/>
  <c r="M148" i="75"/>
  <c r="M151" i="75"/>
  <c r="O121" i="75"/>
  <c r="N122" i="75"/>
  <c r="M124" i="75"/>
  <c r="N129" i="75"/>
  <c r="O138" i="75"/>
  <c r="L140" i="75"/>
  <c r="O150" i="75"/>
  <c r="O151" i="75"/>
  <c r="M165" i="75"/>
  <c r="M128" i="75"/>
  <c r="M129" i="75"/>
  <c r="M139" i="75"/>
  <c r="L145" i="75"/>
  <c r="O146" i="75"/>
  <c r="N149" i="75"/>
  <c r="M152" i="75"/>
  <c r="M156" i="75"/>
  <c r="M119" i="75"/>
  <c r="L121" i="75"/>
  <c r="L127" i="75"/>
  <c r="O129" i="75"/>
  <c r="N131" i="75"/>
  <c r="N134" i="75"/>
  <c r="O142" i="75"/>
  <c r="O143" i="75"/>
  <c r="L150" i="75"/>
  <c r="L151" i="75"/>
  <c r="O152" i="75"/>
  <c r="N118" i="75"/>
  <c r="N125" i="75"/>
  <c r="O134" i="75"/>
  <c r="O136" i="75"/>
  <c r="M138" i="75"/>
  <c r="M141" i="75"/>
  <c r="N146" i="75"/>
  <c r="M147" i="75"/>
  <c r="M149" i="75"/>
  <c r="M155" i="75"/>
  <c r="Q159" i="75"/>
  <c r="L124" i="75"/>
  <c r="M127" i="75"/>
  <c r="M133" i="75"/>
  <c r="N136" i="75"/>
  <c r="L139" i="75"/>
  <c r="L144" i="75"/>
  <c r="O153" i="75"/>
  <c r="M157" i="75"/>
  <c r="R112" i="75"/>
  <c r="L120" i="75"/>
  <c r="L123" i="75"/>
  <c r="N124" i="75"/>
  <c r="M125" i="75"/>
  <c r="L126" i="75"/>
  <c r="L129" i="75"/>
  <c r="M135" i="75"/>
  <c r="L136" i="75"/>
  <c r="U159" i="75"/>
  <c r="N139" i="75"/>
  <c r="N144" i="75"/>
  <c r="M150" i="75"/>
  <c r="N155" i="75"/>
  <c r="O119" i="75"/>
  <c r="M120" i="75"/>
  <c r="M126" i="75"/>
  <c r="M131" i="75"/>
  <c r="N135" i="75"/>
  <c r="V159" i="75"/>
  <c r="L138" i="75"/>
  <c r="L142" i="75"/>
  <c r="O144" i="75"/>
  <c r="N150" i="75"/>
  <c r="L152" i="75"/>
  <c r="M121" i="75"/>
  <c r="L122" i="75"/>
  <c r="L125" i="75"/>
  <c r="L128" i="75"/>
  <c r="N130" i="75"/>
  <c r="M134" i="75"/>
  <c r="T159" i="75"/>
  <c r="L141" i="75"/>
  <c r="N142" i="75"/>
  <c r="M143" i="75"/>
  <c r="N145" i="75"/>
  <c r="O154" i="75"/>
  <c r="L156" i="75"/>
  <c r="N157" i="75"/>
  <c r="J260" i="75"/>
  <c r="J173" i="75"/>
  <c r="H263" i="75"/>
  <c r="H176" i="75"/>
  <c r="H273" i="75"/>
  <c r="H186" i="75"/>
  <c r="H275" i="75"/>
  <c r="H188" i="75"/>
  <c r="H277" i="75"/>
  <c r="H190" i="75"/>
  <c r="H281" i="75"/>
  <c r="H194" i="75"/>
  <c r="H283" i="75"/>
  <c r="H196" i="75"/>
  <c r="K286" i="75"/>
  <c r="K199" i="75"/>
  <c r="H287" i="75"/>
  <c r="H200" i="75"/>
  <c r="K290" i="75"/>
  <c r="K203" i="75"/>
  <c r="H261" i="75"/>
  <c r="H174" i="75"/>
  <c r="H269" i="75"/>
  <c r="H182" i="75"/>
  <c r="H271" i="75"/>
  <c r="H184" i="75"/>
  <c r="H279" i="75"/>
  <c r="H192" i="75"/>
  <c r="I259" i="75"/>
  <c r="I172" i="75"/>
  <c r="I261" i="75"/>
  <c r="I174" i="75"/>
  <c r="I263" i="75"/>
  <c r="I176" i="75"/>
  <c r="I265" i="75"/>
  <c r="I178" i="75"/>
  <c r="I267" i="75"/>
  <c r="I180" i="75"/>
  <c r="I269" i="75"/>
  <c r="I182" i="75"/>
  <c r="I271" i="75"/>
  <c r="I184" i="75"/>
  <c r="I273" i="75"/>
  <c r="I186" i="75"/>
  <c r="I275" i="75"/>
  <c r="I188" i="75"/>
  <c r="I277" i="75"/>
  <c r="I190" i="75"/>
  <c r="I279" i="75"/>
  <c r="I192" i="75"/>
  <c r="I281" i="75"/>
  <c r="I194" i="75"/>
  <c r="I283" i="75"/>
  <c r="I196" i="75"/>
  <c r="H288" i="75"/>
  <c r="H201" i="75"/>
  <c r="J262" i="75"/>
  <c r="J175" i="75"/>
  <c r="J266" i="75"/>
  <c r="J179" i="75"/>
  <c r="K258" i="75"/>
  <c r="K171" i="75"/>
  <c r="H259" i="75"/>
  <c r="H172" i="75"/>
  <c r="H267" i="75"/>
  <c r="H180" i="75"/>
  <c r="J259" i="75"/>
  <c r="J172" i="75"/>
  <c r="J261" i="75"/>
  <c r="J174" i="75"/>
  <c r="J263" i="75"/>
  <c r="J176" i="75"/>
  <c r="J265" i="75"/>
  <c r="J178" i="75"/>
  <c r="J267" i="75"/>
  <c r="J180" i="75"/>
  <c r="J269" i="75"/>
  <c r="J182" i="75"/>
  <c r="J271" i="75"/>
  <c r="J184" i="75"/>
  <c r="J273" i="75"/>
  <c r="J186" i="75"/>
  <c r="J275" i="75"/>
  <c r="J188" i="75"/>
  <c r="J277" i="75"/>
  <c r="J190" i="75"/>
  <c r="J279" i="75"/>
  <c r="J192" i="75"/>
  <c r="J281" i="75"/>
  <c r="J194" i="75"/>
  <c r="J283" i="75"/>
  <c r="J196" i="75"/>
  <c r="J287" i="75"/>
  <c r="J200" i="75"/>
  <c r="H265" i="75"/>
  <c r="H178" i="75"/>
  <c r="K259" i="75"/>
  <c r="K172" i="75"/>
  <c r="K261" i="75"/>
  <c r="K174" i="75"/>
  <c r="K263" i="75"/>
  <c r="K176" i="75"/>
  <c r="K265" i="75"/>
  <c r="K178" i="75"/>
  <c r="K267" i="75"/>
  <c r="K180" i="75"/>
  <c r="K269" i="75"/>
  <c r="K182" i="75"/>
  <c r="K271" i="75"/>
  <c r="K184" i="75"/>
  <c r="K273" i="75"/>
  <c r="K186" i="75"/>
  <c r="K275" i="75"/>
  <c r="K188" i="75"/>
  <c r="K277" i="75"/>
  <c r="K190" i="75"/>
  <c r="K279" i="75"/>
  <c r="K192" i="75"/>
  <c r="K281" i="75"/>
  <c r="K194" i="75"/>
  <c r="K283" i="75"/>
  <c r="K196" i="75"/>
  <c r="K287" i="75"/>
  <c r="K200" i="75"/>
  <c r="H291" i="75"/>
  <c r="H204" i="75"/>
  <c r="K292" i="75"/>
  <c r="K205" i="75"/>
  <c r="I293" i="75"/>
  <c r="I206" i="75"/>
  <c r="J258" i="75"/>
  <c r="J171" i="75"/>
  <c r="H262" i="75"/>
  <c r="H175" i="75"/>
  <c r="H264" i="75"/>
  <c r="H177" i="75"/>
  <c r="H266" i="75"/>
  <c r="H179" i="75"/>
  <c r="H268" i="75"/>
  <c r="H181" i="75"/>
  <c r="H270" i="75"/>
  <c r="H183" i="75"/>
  <c r="H272" i="75"/>
  <c r="H185" i="75"/>
  <c r="H274" i="75"/>
  <c r="H187" i="75"/>
  <c r="H276" i="75"/>
  <c r="H189" i="75"/>
  <c r="H278" i="75"/>
  <c r="H191" i="75"/>
  <c r="H280" i="75"/>
  <c r="H193" i="75"/>
  <c r="H282" i="75"/>
  <c r="H195" i="75"/>
  <c r="H284" i="75"/>
  <c r="H197" i="75"/>
  <c r="K288" i="75"/>
  <c r="K201" i="75"/>
  <c r="H289" i="75"/>
  <c r="H202" i="75"/>
  <c r="J293" i="75"/>
  <c r="J206" i="75"/>
  <c r="J264" i="75"/>
  <c r="J177" i="75"/>
  <c r="H258" i="75"/>
  <c r="H171" i="75"/>
  <c r="H260" i="75"/>
  <c r="H173" i="75"/>
  <c r="I258" i="75"/>
  <c r="I171" i="75"/>
  <c r="I260" i="75"/>
  <c r="I173" i="75"/>
  <c r="I262" i="75"/>
  <c r="I175" i="75"/>
  <c r="I264" i="75"/>
  <c r="I177" i="75"/>
  <c r="I266" i="75"/>
  <c r="I179" i="75"/>
  <c r="I268" i="75"/>
  <c r="I181" i="75"/>
  <c r="I270" i="75"/>
  <c r="I183" i="75"/>
  <c r="I272" i="75"/>
  <c r="I185" i="75"/>
  <c r="I274" i="75"/>
  <c r="I187" i="75"/>
  <c r="I276" i="75"/>
  <c r="I189" i="75"/>
  <c r="I278" i="75"/>
  <c r="I191" i="75"/>
  <c r="I280" i="75"/>
  <c r="I193" i="75"/>
  <c r="I282" i="75"/>
  <c r="I195" i="75"/>
  <c r="I284" i="75"/>
  <c r="I197" i="75"/>
  <c r="H286" i="75"/>
  <c r="H199" i="75"/>
  <c r="H290" i="75"/>
  <c r="H203" i="75"/>
  <c r="J291" i="75"/>
  <c r="J204" i="75"/>
  <c r="J268" i="75"/>
  <c r="J181" i="75"/>
  <c r="J270" i="75"/>
  <c r="J183" i="75"/>
  <c r="J272" i="75"/>
  <c r="J185" i="75"/>
  <c r="J274" i="75"/>
  <c r="J187" i="75"/>
  <c r="J276" i="75"/>
  <c r="J189" i="75"/>
  <c r="J278" i="75"/>
  <c r="J191" i="75"/>
  <c r="J280" i="75"/>
  <c r="J193" i="75"/>
  <c r="J282" i="75"/>
  <c r="J195" i="75"/>
  <c r="J284" i="75"/>
  <c r="J197" i="75"/>
  <c r="I286" i="75"/>
  <c r="I199" i="75"/>
  <c r="J289" i="75"/>
  <c r="J202" i="75"/>
  <c r="K291" i="75"/>
  <c r="K204" i="75"/>
  <c r="K260" i="75"/>
  <c r="K173" i="75"/>
  <c r="K262" i="75"/>
  <c r="K175" i="75"/>
  <c r="K264" i="75"/>
  <c r="K177" i="75"/>
  <c r="K266" i="75"/>
  <c r="K179" i="75"/>
  <c r="K268" i="75"/>
  <c r="K181" i="75"/>
  <c r="K270" i="75"/>
  <c r="K183" i="75"/>
  <c r="K272" i="75"/>
  <c r="K185" i="75"/>
  <c r="K274" i="75"/>
  <c r="K187" i="75"/>
  <c r="K276" i="75"/>
  <c r="K189" i="75"/>
  <c r="K278" i="75"/>
  <c r="K191" i="75"/>
  <c r="K280" i="75"/>
  <c r="K193" i="75"/>
  <c r="K282" i="75"/>
  <c r="K195" i="75"/>
  <c r="K284" i="75"/>
  <c r="K197" i="75"/>
  <c r="J286" i="75"/>
  <c r="J199" i="75"/>
  <c r="K289" i="75"/>
  <c r="K202" i="75"/>
  <c r="H292" i="75"/>
  <c r="H205" i="75"/>
  <c r="K293" i="75"/>
  <c r="K206" i="75"/>
  <c r="K295" i="75"/>
  <c r="K208" i="75"/>
  <c r="K297" i="75"/>
  <c r="K210" i="75"/>
  <c r="K299" i="75"/>
  <c r="K212" i="75"/>
  <c r="K301" i="75"/>
  <c r="K214" i="75"/>
  <c r="K303" i="75"/>
  <c r="K216" i="75"/>
  <c r="K395" i="75"/>
  <c r="K306" i="75"/>
  <c r="S92" i="75"/>
  <c r="AA92" i="75"/>
  <c r="I397" i="75"/>
  <c r="I308" i="75"/>
  <c r="J399" i="75"/>
  <c r="J310" i="75"/>
  <c r="J401" i="75"/>
  <c r="J312" i="75"/>
  <c r="H404" i="75"/>
  <c r="H315" i="75"/>
  <c r="I288" i="75"/>
  <c r="I201" i="75"/>
  <c r="I290" i="75"/>
  <c r="I203" i="75"/>
  <c r="I292" i="75"/>
  <c r="I205" i="75"/>
  <c r="H294" i="75"/>
  <c r="H207" i="75"/>
  <c r="H296" i="75"/>
  <c r="H209" i="75"/>
  <c r="H298" i="75"/>
  <c r="H211" i="75"/>
  <c r="H300" i="75"/>
  <c r="H213" i="75"/>
  <c r="H302" i="75"/>
  <c r="H215" i="75"/>
  <c r="H305" i="75"/>
  <c r="H218" i="75"/>
  <c r="J288" i="75"/>
  <c r="J201" i="75"/>
  <c r="J290" i="75"/>
  <c r="J203" i="75"/>
  <c r="J292" i="75"/>
  <c r="J205" i="75"/>
  <c r="I294" i="75"/>
  <c r="I207" i="75"/>
  <c r="I296" i="75"/>
  <c r="I209" i="75"/>
  <c r="I298" i="75"/>
  <c r="I211" i="75"/>
  <c r="I300" i="75"/>
  <c r="I213" i="75"/>
  <c r="I302" i="75"/>
  <c r="I215" i="75"/>
  <c r="I305" i="75"/>
  <c r="I218" i="75"/>
  <c r="K397" i="75"/>
  <c r="K308" i="75"/>
  <c r="H400" i="75"/>
  <c r="H311" i="75"/>
  <c r="J294" i="75"/>
  <c r="J207" i="75"/>
  <c r="J296" i="75"/>
  <c r="J209" i="75"/>
  <c r="J298" i="75"/>
  <c r="J211" i="75"/>
  <c r="J300" i="75"/>
  <c r="J213" i="75"/>
  <c r="J302" i="75"/>
  <c r="J215" i="75"/>
  <c r="H304" i="75"/>
  <c r="H217" i="75"/>
  <c r="J305" i="75"/>
  <c r="J218" i="75"/>
  <c r="I398" i="75"/>
  <c r="I309" i="75"/>
  <c r="I400" i="75"/>
  <c r="I311" i="75"/>
  <c r="K294" i="75"/>
  <c r="K207" i="75"/>
  <c r="K296" i="75"/>
  <c r="K209" i="75"/>
  <c r="K298" i="75"/>
  <c r="K211" i="75"/>
  <c r="K300" i="75"/>
  <c r="K213" i="75"/>
  <c r="K302" i="75"/>
  <c r="K215" i="75"/>
  <c r="I304" i="75"/>
  <c r="I217" i="75"/>
  <c r="K305" i="75"/>
  <c r="K218" i="75"/>
  <c r="H396" i="75"/>
  <c r="H307" i="75"/>
  <c r="J398" i="75"/>
  <c r="J309" i="75"/>
  <c r="K405" i="75"/>
  <c r="K316" i="75"/>
  <c r="S112" i="75"/>
  <c r="I287" i="75"/>
  <c r="I200" i="75"/>
  <c r="I289" i="75"/>
  <c r="I202" i="75"/>
  <c r="I291" i="75"/>
  <c r="I204" i="75"/>
  <c r="H293" i="75"/>
  <c r="H206" i="75"/>
  <c r="H295" i="75"/>
  <c r="H208" i="75"/>
  <c r="H297" i="75"/>
  <c r="H210" i="75"/>
  <c r="H299" i="75"/>
  <c r="H212" i="75"/>
  <c r="H301" i="75"/>
  <c r="H214" i="75"/>
  <c r="H303" i="75"/>
  <c r="H216" i="75"/>
  <c r="J304" i="75"/>
  <c r="J217" i="75"/>
  <c r="H395" i="75"/>
  <c r="H306" i="75"/>
  <c r="P92" i="75"/>
  <c r="X92" i="75"/>
  <c r="I396" i="75"/>
  <c r="I307" i="75"/>
  <c r="K398" i="75"/>
  <c r="K309" i="75"/>
  <c r="H402" i="75"/>
  <c r="H313" i="75"/>
  <c r="H403" i="75"/>
  <c r="H314" i="75"/>
  <c r="I295" i="75"/>
  <c r="I208" i="75"/>
  <c r="I297" i="75"/>
  <c r="I210" i="75"/>
  <c r="I299" i="75"/>
  <c r="I212" i="75"/>
  <c r="I301" i="75"/>
  <c r="I214" i="75"/>
  <c r="I303" i="75"/>
  <c r="I216" i="75"/>
  <c r="K304" i="75"/>
  <c r="K217" i="75"/>
  <c r="I395" i="75"/>
  <c r="I306" i="75"/>
  <c r="Q92" i="75"/>
  <c r="Y92" i="75"/>
  <c r="J396" i="75"/>
  <c r="J307" i="75"/>
  <c r="H399" i="75"/>
  <c r="H310" i="75"/>
  <c r="H401" i="75"/>
  <c r="H312" i="75"/>
  <c r="I402" i="75"/>
  <c r="I313" i="75"/>
  <c r="J295" i="75"/>
  <c r="J208" i="75"/>
  <c r="J297" i="75"/>
  <c r="J210" i="75"/>
  <c r="J299" i="75"/>
  <c r="J212" i="75"/>
  <c r="J301" i="75"/>
  <c r="J214" i="75"/>
  <c r="J303" i="75"/>
  <c r="J216" i="75"/>
  <c r="J395" i="75"/>
  <c r="J306" i="75"/>
  <c r="R92" i="75"/>
  <c r="Z92" i="75"/>
  <c r="K396" i="75"/>
  <c r="K307" i="75"/>
  <c r="J405" i="75"/>
  <c r="J316" i="75"/>
  <c r="J400" i="75"/>
  <c r="J311" i="75"/>
  <c r="J402" i="75"/>
  <c r="J313" i="75"/>
  <c r="I404" i="75"/>
  <c r="I315" i="75"/>
  <c r="P114" i="75"/>
  <c r="P93" i="75"/>
  <c r="X93" i="75"/>
  <c r="H397" i="75"/>
  <c r="H308" i="75"/>
  <c r="K400" i="75"/>
  <c r="K311" i="75"/>
  <c r="K402" i="75"/>
  <c r="K313" i="75"/>
  <c r="J404" i="75"/>
  <c r="J315" i="75"/>
  <c r="Q93" i="75"/>
  <c r="Q114" i="75"/>
  <c r="Y93" i="75"/>
  <c r="K404" i="75"/>
  <c r="K315" i="75"/>
  <c r="R114" i="75"/>
  <c r="R93" i="75"/>
  <c r="Z93" i="75"/>
  <c r="J397" i="75"/>
  <c r="J308" i="75"/>
  <c r="I399" i="75"/>
  <c r="I310" i="75"/>
  <c r="I401" i="75"/>
  <c r="I312" i="75"/>
  <c r="I403" i="75"/>
  <c r="I314" i="75"/>
  <c r="S114" i="75"/>
  <c r="S93" i="75"/>
  <c r="AA93" i="75"/>
  <c r="J403" i="75"/>
  <c r="J314" i="75"/>
  <c r="H405" i="75"/>
  <c r="H316" i="75"/>
  <c r="P112" i="75"/>
  <c r="H398" i="75"/>
  <c r="H309" i="75"/>
  <c r="K399" i="75"/>
  <c r="K310" i="75"/>
  <c r="K401" i="75"/>
  <c r="K312" i="75"/>
  <c r="K403" i="75"/>
  <c r="K314" i="75"/>
  <c r="I405" i="75"/>
  <c r="I316" i="75"/>
  <c r="Q112" i="75"/>
  <c r="L134" i="75"/>
  <c r="L119" i="75"/>
  <c r="L132" i="75"/>
  <c r="P159" i="75"/>
  <c r="N119" i="75"/>
  <c r="L130" i="75"/>
  <c r="M154" i="75"/>
  <c r="M123" i="75"/>
  <c r="R159" i="75"/>
  <c r="L148" i="75"/>
  <c r="W159" i="75"/>
  <c r="S159" i="75"/>
  <c r="AA342" i="75"/>
  <c r="R342" i="75"/>
  <c r="S342" i="75"/>
  <c r="S338" i="75"/>
  <c r="S339" i="75"/>
  <c r="R338" i="75"/>
  <c r="P339" i="75"/>
  <c r="P342" i="75"/>
  <c r="P338" i="75"/>
  <c r="X342" i="75"/>
  <c r="R339" i="75"/>
  <c r="Q339" i="75"/>
  <c r="Q342" i="75"/>
  <c r="Q338" i="75"/>
  <c r="Y342" i="75"/>
  <c r="Z342" i="75"/>
  <c r="O159" i="75" l="1"/>
  <c r="M159" i="75"/>
  <c r="N159" i="75"/>
  <c r="L159" i="75"/>
  <c r="S428" i="75"/>
  <c r="S430" i="75" s="1"/>
  <c r="S431" i="75" s="1"/>
  <c r="S98" i="75" s="1"/>
  <c r="X341" i="75"/>
  <c r="Y428" i="75"/>
  <c r="Y430" i="75" s="1"/>
  <c r="Y431" i="75" s="1"/>
  <c r="Y98" i="75" s="1"/>
  <c r="P428" i="75"/>
  <c r="P430" i="75" s="1"/>
  <c r="P431" i="75" s="1"/>
  <c r="P98" i="75" s="1"/>
  <c r="Q428" i="75"/>
  <c r="Q430" i="75" s="1"/>
  <c r="Q431" i="75" s="1"/>
  <c r="Q98" i="75" s="1"/>
  <c r="S341" i="75"/>
  <c r="Y341" i="75"/>
  <c r="R113" i="75"/>
  <c r="R428" i="75"/>
  <c r="R430" i="75" s="1"/>
  <c r="R431" i="75" s="1"/>
  <c r="R98" i="75" s="1"/>
  <c r="R341" i="75"/>
  <c r="X428" i="75"/>
  <c r="X430" i="75" s="1"/>
  <c r="X431" i="75" s="1"/>
  <c r="X98" i="75" s="1"/>
  <c r="P341" i="75"/>
  <c r="Q341" i="75"/>
  <c r="AA341" i="75"/>
  <c r="Q115" i="75"/>
  <c r="S113" i="75"/>
  <c r="Z428" i="75"/>
  <c r="Z430" i="75" s="1"/>
  <c r="Z431" i="75" s="1"/>
  <c r="Z98" i="75" s="1"/>
  <c r="Q113" i="75"/>
  <c r="S115" i="75"/>
  <c r="R115" i="75"/>
  <c r="P113" i="75"/>
  <c r="AA428" i="75"/>
  <c r="AA430" i="75" s="1"/>
  <c r="AA431" i="75" s="1"/>
  <c r="AA98" i="75" s="1"/>
  <c r="Z341" i="75"/>
  <c r="P115" i="75"/>
  <c r="F355" i="71" l="1"/>
  <c r="E355" i="71"/>
  <c r="D355" i="71"/>
  <c r="C355" i="71"/>
  <c r="F354" i="71"/>
  <c r="E354" i="71"/>
  <c r="D354" i="71"/>
  <c r="C354" i="71"/>
  <c r="F353" i="71"/>
  <c r="E353" i="71"/>
  <c r="D353" i="71"/>
  <c r="C353" i="71"/>
  <c r="F352" i="71"/>
  <c r="E352" i="71"/>
  <c r="D352" i="71"/>
  <c r="C352" i="71"/>
  <c r="F351" i="71"/>
  <c r="E351" i="71"/>
  <c r="D351" i="71"/>
  <c r="C351" i="71"/>
  <c r="F350" i="71"/>
  <c r="E350" i="71"/>
  <c r="D350" i="71"/>
  <c r="C350" i="71"/>
  <c r="F349" i="71"/>
  <c r="E349" i="71"/>
  <c r="D349" i="71"/>
  <c r="C349" i="71"/>
  <c r="F348" i="71"/>
  <c r="E348" i="71"/>
  <c r="D348" i="71"/>
  <c r="C348" i="71"/>
  <c r="F347" i="71"/>
  <c r="E347" i="71"/>
  <c r="D347" i="71"/>
  <c r="C347" i="71"/>
  <c r="F346" i="71"/>
  <c r="E346" i="71"/>
  <c r="D346" i="71"/>
  <c r="C346" i="71"/>
  <c r="F345" i="71"/>
  <c r="E345" i="71"/>
  <c r="D345" i="71"/>
  <c r="C345" i="71"/>
  <c r="F344" i="71"/>
  <c r="E344" i="71"/>
  <c r="D344" i="71"/>
  <c r="C344" i="71"/>
  <c r="F343" i="71"/>
  <c r="E343" i="71"/>
  <c r="D343" i="71"/>
  <c r="C343" i="71"/>
  <c r="F342" i="71"/>
  <c r="E342" i="71"/>
  <c r="D342" i="71"/>
  <c r="C342" i="71"/>
  <c r="H338" i="71"/>
  <c r="G338" i="71"/>
  <c r="F338" i="71"/>
  <c r="E338" i="71"/>
  <c r="N337" i="71"/>
  <c r="M337" i="71"/>
  <c r="L337" i="71"/>
  <c r="K337" i="71"/>
  <c r="H337" i="71"/>
  <c r="G337" i="71"/>
  <c r="F337" i="71"/>
  <c r="E337" i="71"/>
  <c r="N336" i="71"/>
  <c r="M336" i="71"/>
  <c r="L336" i="71"/>
  <c r="K336" i="71"/>
  <c r="H336" i="71"/>
  <c r="G336" i="71"/>
  <c r="F336" i="71"/>
  <c r="E336" i="71"/>
  <c r="N335" i="71"/>
  <c r="M335" i="71"/>
  <c r="L335" i="71"/>
  <c r="K335" i="71"/>
  <c r="H335" i="71"/>
  <c r="G335" i="71"/>
  <c r="F335" i="71"/>
  <c r="E335" i="71"/>
  <c r="N334" i="71"/>
  <c r="M334" i="71"/>
  <c r="L334" i="71"/>
  <c r="K334" i="71"/>
  <c r="H334" i="71"/>
  <c r="G334" i="71"/>
  <c r="F334" i="71"/>
  <c r="E334" i="71"/>
  <c r="N333" i="71"/>
  <c r="M333" i="71"/>
  <c r="L333" i="71"/>
  <c r="K333" i="71"/>
  <c r="H333" i="71"/>
  <c r="G333" i="71"/>
  <c r="F333" i="71"/>
  <c r="E333" i="71"/>
  <c r="N332" i="71"/>
  <c r="M332" i="71"/>
  <c r="L332" i="71"/>
  <c r="K332" i="71"/>
  <c r="H332" i="71"/>
  <c r="G332" i="71"/>
  <c r="F332" i="71"/>
  <c r="E332" i="71"/>
  <c r="N331" i="71"/>
  <c r="M331" i="71"/>
  <c r="L331" i="71"/>
  <c r="K331" i="71"/>
  <c r="H331" i="71"/>
  <c r="G331" i="71"/>
  <c r="F331" i="71"/>
  <c r="E331" i="71"/>
  <c r="N330" i="71"/>
  <c r="M330" i="71"/>
  <c r="L330" i="71"/>
  <c r="K330" i="71"/>
  <c r="H330" i="71"/>
  <c r="G330" i="71"/>
  <c r="F330" i="71"/>
  <c r="E330" i="71"/>
  <c r="O329" i="71"/>
  <c r="H329" i="71"/>
  <c r="G329" i="71"/>
  <c r="F329" i="71"/>
  <c r="E329" i="71"/>
  <c r="O328" i="71"/>
  <c r="H328" i="71"/>
  <c r="G328" i="71"/>
  <c r="F328" i="71"/>
  <c r="E328" i="71"/>
  <c r="O327" i="71"/>
  <c r="H327" i="71"/>
  <c r="G327" i="71"/>
  <c r="F327" i="71"/>
  <c r="E327" i="71"/>
  <c r="O326" i="71"/>
  <c r="H326" i="71"/>
  <c r="G326" i="71"/>
  <c r="F326" i="71"/>
  <c r="E326" i="71"/>
  <c r="O325" i="71"/>
  <c r="H325" i="71"/>
  <c r="G325" i="71"/>
  <c r="F325" i="71"/>
  <c r="E325" i="71"/>
  <c r="N324" i="71"/>
  <c r="M324" i="71"/>
  <c r="L324" i="71"/>
  <c r="K324" i="71"/>
  <c r="H324" i="71"/>
  <c r="G324" i="71"/>
  <c r="F324" i="71"/>
  <c r="E324" i="71"/>
  <c r="N323" i="71"/>
  <c r="M323" i="71"/>
  <c r="L323" i="71"/>
  <c r="K323" i="71"/>
  <c r="H323" i="71"/>
  <c r="G323" i="71"/>
  <c r="F323" i="71"/>
  <c r="E323" i="71"/>
  <c r="O322" i="71"/>
  <c r="H322" i="71"/>
  <c r="G322" i="71"/>
  <c r="F322" i="71"/>
  <c r="E322" i="71"/>
  <c r="N321" i="71"/>
  <c r="M321" i="71"/>
  <c r="L321" i="71"/>
  <c r="K321" i="71"/>
  <c r="H321" i="71"/>
  <c r="G321" i="71"/>
  <c r="F321" i="71"/>
  <c r="E321" i="71"/>
  <c r="N320" i="71"/>
  <c r="M320" i="71"/>
  <c r="L320" i="71"/>
  <c r="K320" i="71"/>
  <c r="H320" i="71"/>
  <c r="G320" i="71"/>
  <c r="F320" i="71"/>
  <c r="E320" i="71"/>
  <c r="BD287" i="71"/>
  <c r="D287" i="71"/>
  <c r="BD286" i="71"/>
  <c r="D286" i="71"/>
  <c r="C286" i="71"/>
  <c r="BC285" i="71"/>
  <c r="D285" i="71"/>
  <c r="C285" i="71"/>
  <c r="BC284" i="71"/>
  <c r="BD275" i="71"/>
  <c r="D275" i="71"/>
  <c r="BD274" i="71"/>
  <c r="D274" i="71"/>
  <c r="C274" i="71"/>
  <c r="BC273" i="71"/>
  <c r="D273" i="71"/>
  <c r="C273" i="71"/>
  <c r="BC272" i="71"/>
  <c r="BD263" i="71"/>
  <c r="D263" i="71"/>
  <c r="BD262" i="71"/>
  <c r="D262" i="71"/>
  <c r="C262" i="71"/>
  <c r="BC261" i="71"/>
  <c r="D261" i="71"/>
  <c r="C261" i="71"/>
  <c r="BC260" i="71"/>
  <c r="BD251" i="71"/>
  <c r="D251" i="71"/>
  <c r="BD250" i="71"/>
  <c r="D250" i="71"/>
  <c r="C250" i="71"/>
  <c r="BC249" i="71"/>
  <c r="D249" i="71"/>
  <c r="C249" i="71"/>
  <c r="BC248" i="71"/>
  <c r="GY243" i="71"/>
  <c r="GU243" i="71"/>
  <c r="GQ243" i="71"/>
  <c r="GM243" i="71"/>
  <c r="GI243" i="71"/>
  <c r="GE243" i="71"/>
  <c r="GA243" i="71"/>
  <c r="FW243" i="71"/>
  <c r="FS243" i="71"/>
  <c r="FO243" i="71"/>
  <c r="FK243" i="71"/>
  <c r="FG243" i="71"/>
  <c r="FC243" i="71"/>
  <c r="EY243" i="71"/>
  <c r="EU243" i="71"/>
  <c r="EQ243" i="71"/>
  <c r="EM243" i="71"/>
  <c r="EI243" i="71"/>
  <c r="EE243" i="71"/>
  <c r="EA243" i="71"/>
  <c r="DW243" i="71"/>
  <c r="DS243" i="71"/>
  <c r="DO243" i="71"/>
  <c r="DK243" i="71"/>
  <c r="DG243" i="71"/>
  <c r="DC243" i="71"/>
  <c r="CY243" i="71"/>
  <c r="CU243" i="71"/>
  <c r="CQ243" i="71"/>
  <c r="CM243" i="71"/>
  <c r="CI243" i="71"/>
  <c r="CE243" i="71"/>
  <c r="CA243" i="71"/>
  <c r="BW243" i="71"/>
  <c r="BS243" i="71"/>
  <c r="BO243" i="71"/>
  <c r="BK243" i="71"/>
  <c r="BG243" i="71"/>
  <c r="BC243" i="71"/>
  <c r="AY243" i="71"/>
  <c r="AU243" i="71"/>
  <c r="AQ243" i="71"/>
  <c r="AM243" i="71"/>
  <c r="AI243" i="71"/>
  <c r="AE243" i="71"/>
  <c r="AA243" i="71"/>
  <c r="W243" i="71"/>
  <c r="S243" i="71"/>
  <c r="O243" i="71"/>
  <c r="K243" i="71"/>
  <c r="GY242" i="71"/>
  <c r="GU242" i="71"/>
  <c r="GQ242" i="71"/>
  <c r="GM242" i="71"/>
  <c r="GI242" i="71"/>
  <c r="GE242" i="71"/>
  <c r="GA242" i="71"/>
  <c r="FW242" i="71"/>
  <c r="FS242" i="71"/>
  <c r="FO242" i="71"/>
  <c r="FK242" i="71"/>
  <c r="FG242" i="71"/>
  <c r="FC242" i="71"/>
  <c r="EY242" i="71"/>
  <c r="EU242" i="71"/>
  <c r="EQ242" i="71"/>
  <c r="EM242" i="71"/>
  <c r="EI242" i="71"/>
  <c r="EE242" i="71"/>
  <c r="EA242" i="71"/>
  <c r="DW242" i="71"/>
  <c r="DS242" i="71"/>
  <c r="DO242" i="71"/>
  <c r="DK242" i="71"/>
  <c r="DG242" i="71"/>
  <c r="DC242" i="71"/>
  <c r="CY242" i="71"/>
  <c r="CU242" i="71"/>
  <c r="CQ242" i="71"/>
  <c r="CM242" i="71"/>
  <c r="CI242" i="71"/>
  <c r="CE242" i="71"/>
  <c r="CA242" i="71"/>
  <c r="BW242" i="71"/>
  <c r="BS242" i="71"/>
  <c r="BO242" i="71"/>
  <c r="BK242" i="71"/>
  <c r="BG242" i="71"/>
  <c r="BC242" i="71"/>
  <c r="AY242" i="71"/>
  <c r="AU242" i="71"/>
  <c r="AQ242" i="71"/>
  <c r="AM242" i="71"/>
  <c r="AI242" i="71"/>
  <c r="AE242" i="71"/>
  <c r="AA242" i="71"/>
  <c r="W242" i="71"/>
  <c r="S242" i="71"/>
  <c r="O242" i="71"/>
  <c r="K242" i="71"/>
  <c r="J242" i="71"/>
  <c r="I242" i="71"/>
  <c r="GY241" i="71"/>
  <c r="GU241" i="71"/>
  <c r="GQ241" i="71"/>
  <c r="GM241" i="71"/>
  <c r="GI241" i="71"/>
  <c r="GE241" i="71"/>
  <c r="GA241" i="71"/>
  <c r="FW241" i="71"/>
  <c r="FS241" i="71"/>
  <c r="FO241" i="71"/>
  <c r="FK241" i="71"/>
  <c r="FG241" i="71"/>
  <c r="FC241" i="71"/>
  <c r="EY241" i="71"/>
  <c r="EU241" i="71"/>
  <c r="EQ241" i="71"/>
  <c r="EM241" i="71"/>
  <c r="EI241" i="71"/>
  <c r="EE241" i="71"/>
  <c r="EA241" i="71"/>
  <c r="DW241" i="71"/>
  <c r="DS241" i="71"/>
  <c r="DO241" i="71"/>
  <c r="DK241" i="71"/>
  <c r="DG241" i="71"/>
  <c r="DC241" i="71"/>
  <c r="CY241" i="71"/>
  <c r="CU241" i="71"/>
  <c r="CQ241" i="71"/>
  <c r="CM241" i="71"/>
  <c r="CI241" i="71"/>
  <c r="CE241" i="71"/>
  <c r="CA241" i="71"/>
  <c r="BW241" i="71"/>
  <c r="BS241" i="71"/>
  <c r="BO241" i="71"/>
  <c r="BK241" i="71"/>
  <c r="BG241" i="71"/>
  <c r="BC241" i="71"/>
  <c r="AY241" i="71"/>
  <c r="AU241" i="71"/>
  <c r="AQ241" i="71"/>
  <c r="AM241" i="71"/>
  <c r="AI241" i="71"/>
  <c r="AE241" i="71"/>
  <c r="AA241" i="71"/>
  <c r="W241" i="71"/>
  <c r="S241" i="71"/>
  <c r="O241" i="71"/>
  <c r="K241" i="71"/>
  <c r="J241" i="71"/>
  <c r="I241" i="71"/>
  <c r="HA240" i="71"/>
  <c r="GY240" i="71"/>
  <c r="GW240" i="71"/>
  <c r="GU240" i="71"/>
  <c r="GS240" i="71"/>
  <c r="GQ240" i="71"/>
  <c r="GO240" i="71"/>
  <c r="GM240" i="71"/>
  <c r="GK240" i="71"/>
  <c r="GI240" i="71"/>
  <c r="GG240" i="71"/>
  <c r="GE240" i="71"/>
  <c r="GC240" i="71"/>
  <c r="GA240" i="71"/>
  <c r="FY240" i="71"/>
  <c r="FW240" i="71"/>
  <c r="FU240" i="71"/>
  <c r="FS240" i="71"/>
  <c r="FQ240" i="71"/>
  <c r="FO240" i="71"/>
  <c r="FM240" i="71"/>
  <c r="FK240" i="71"/>
  <c r="FI240" i="71"/>
  <c r="FG240" i="71"/>
  <c r="FE240" i="71"/>
  <c r="FC240" i="71"/>
  <c r="FA240" i="71"/>
  <c r="EY240" i="71"/>
  <c r="EW240" i="71"/>
  <c r="EU240" i="71"/>
  <c r="ES240" i="71"/>
  <c r="EQ240" i="71"/>
  <c r="EO240" i="71"/>
  <c r="EM240" i="71"/>
  <c r="EK240" i="71"/>
  <c r="EI240" i="71"/>
  <c r="EG240" i="71"/>
  <c r="EE240" i="71"/>
  <c r="EC240" i="71"/>
  <c r="EA240" i="71"/>
  <c r="DY240" i="71"/>
  <c r="DW240" i="71"/>
  <c r="DU240" i="71"/>
  <c r="DS240" i="71"/>
  <c r="DQ240" i="71"/>
  <c r="DO240" i="71"/>
  <c r="DM240" i="71"/>
  <c r="DK240" i="71"/>
  <c r="DI240" i="71"/>
  <c r="DG240" i="71"/>
  <c r="DE240" i="71"/>
  <c r="DC240" i="71"/>
  <c r="DA240" i="71"/>
  <c r="CY240" i="71"/>
  <c r="CW240" i="71"/>
  <c r="CU240" i="71"/>
  <c r="CS240" i="71"/>
  <c r="CQ240" i="71"/>
  <c r="CO240" i="71"/>
  <c r="CM240" i="71"/>
  <c r="CK240" i="71"/>
  <c r="CI240" i="71"/>
  <c r="CG240" i="71"/>
  <c r="CE240" i="71"/>
  <c r="CC240" i="71"/>
  <c r="CA240" i="71"/>
  <c r="BY240" i="71"/>
  <c r="BW240" i="71"/>
  <c r="BU240" i="71"/>
  <c r="BS240" i="71"/>
  <c r="BQ240" i="71"/>
  <c r="BO240" i="71"/>
  <c r="BM240" i="71"/>
  <c r="BK240" i="71"/>
  <c r="BI240" i="71"/>
  <c r="BG240" i="71"/>
  <c r="BE240" i="71"/>
  <c r="BC240" i="71"/>
  <c r="BA240" i="71"/>
  <c r="AY240" i="71"/>
  <c r="AW240" i="71"/>
  <c r="AU240" i="71"/>
  <c r="AS240" i="71"/>
  <c r="AQ240" i="71"/>
  <c r="AO240" i="71"/>
  <c r="AM240" i="71"/>
  <c r="AK240" i="71"/>
  <c r="AI240" i="71"/>
  <c r="AG240" i="71"/>
  <c r="AE240" i="71"/>
  <c r="AC240" i="71"/>
  <c r="AA240" i="71"/>
  <c r="Y240" i="71"/>
  <c r="W240" i="71"/>
  <c r="U240" i="71"/>
  <c r="S240" i="71"/>
  <c r="Q240" i="71"/>
  <c r="O240" i="71"/>
  <c r="M240" i="71"/>
  <c r="K240" i="71"/>
  <c r="HA239" i="71"/>
  <c r="GY239" i="71"/>
  <c r="GW239" i="71"/>
  <c r="GU239" i="71"/>
  <c r="GS239" i="71"/>
  <c r="GQ239" i="71"/>
  <c r="GO239" i="71"/>
  <c r="GM239" i="71"/>
  <c r="GK239" i="71"/>
  <c r="GI239" i="71"/>
  <c r="GG239" i="71"/>
  <c r="GE239" i="71"/>
  <c r="GC239" i="71"/>
  <c r="GA239" i="71"/>
  <c r="FY239" i="71"/>
  <c r="FW239" i="71"/>
  <c r="FU239" i="71"/>
  <c r="FS239" i="71"/>
  <c r="FQ239" i="71"/>
  <c r="FO239" i="71"/>
  <c r="FM239" i="71"/>
  <c r="FK239" i="71"/>
  <c r="FI239" i="71"/>
  <c r="FG239" i="71"/>
  <c r="FE239" i="71"/>
  <c r="FC239" i="71"/>
  <c r="FA239" i="71"/>
  <c r="EY239" i="71"/>
  <c r="EW239" i="71"/>
  <c r="EU239" i="71"/>
  <c r="ES239" i="71"/>
  <c r="EQ239" i="71"/>
  <c r="EO239" i="71"/>
  <c r="EM239" i="71"/>
  <c r="EK239" i="71"/>
  <c r="EI239" i="71"/>
  <c r="EG239" i="71"/>
  <c r="EE239" i="71"/>
  <c r="EC239" i="71"/>
  <c r="EA239" i="71"/>
  <c r="DY239" i="71"/>
  <c r="DW239" i="71"/>
  <c r="DU239" i="71"/>
  <c r="DS239" i="71"/>
  <c r="DQ239" i="71"/>
  <c r="DO239" i="71"/>
  <c r="DM239" i="71"/>
  <c r="DK239" i="71"/>
  <c r="DI239" i="71"/>
  <c r="DG239" i="71"/>
  <c r="DE239" i="71"/>
  <c r="DC239" i="71"/>
  <c r="DA239" i="71"/>
  <c r="CY239" i="71"/>
  <c r="CW239" i="71"/>
  <c r="CU239" i="71"/>
  <c r="CS239" i="71"/>
  <c r="CQ239" i="71"/>
  <c r="CO239" i="71"/>
  <c r="CM239" i="71"/>
  <c r="CK239" i="71"/>
  <c r="CI239" i="71"/>
  <c r="CG239" i="71"/>
  <c r="CE239" i="71"/>
  <c r="CC239" i="71"/>
  <c r="CA239" i="71"/>
  <c r="BY239" i="71"/>
  <c r="BW239" i="71"/>
  <c r="BU239" i="71"/>
  <c r="BS239" i="71"/>
  <c r="BQ239" i="71"/>
  <c r="BO239" i="71"/>
  <c r="BM239" i="71"/>
  <c r="BK239" i="71"/>
  <c r="BI239" i="71"/>
  <c r="BG239" i="71"/>
  <c r="BE239" i="71"/>
  <c r="BC239" i="71"/>
  <c r="BA239" i="71"/>
  <c r="AY239" i="71"/>
  <c r="AW239" i="71"/>
  <c r="AU239" i="71"/>
  <c r="AS239" i="71"/>
  <c r="AQ239" i="71"/>
  <c r="AO239" i="71"/>
  <c r="AM239" i="71"/>
  <c r="AK239" i="71"/>
  <c r="AI239" i="71"/>
  <c r="AG239" i="71"/>
  <c r="AE239" i="71"/>
  <c r="AC239" i="71"/>
  <c r="AA239" i="71"/>
  <c r="Y239" i="71"/>
  <c r="W239" i="71"/>
  <c r="U239" i="71"/>
  <c r="S239" i="71"/>
  <c r="Q239" i="71"/>
  <c r="O239" i="71"/>
  <c r="M239" i="71"/>
  <c r="K239" i="71"/>
  <c r="HA238" i="71"/>
  <c r="GY238" i="71"/>
  <c r="GW238" i="71"/>
  <c r="GU238" i="71"/>
  <c r="GS238" i="71"/>
  <c r="GQ238" i="71"/>
  <c r="GO238" i="71"/>
  <c r="GM238" i="71"/>
  <c r="GK238" i="71"/>
  <c r="GI238" i="71"/>
  <c r="GG238" i="71"/>
  <c r="GE238" i="71"/>
  <c r="GC238" i="71"/>
  <c r="GA238" i="71"/>
  <c r="FY238" i="71"/>
  <c r="FW238" i="71"/>
  <c r="FU238" i="71"/>
  <c r="FS238" i="71"/>
  <c r="FQ238" i="71"/>
  <c r="FO238" i="71"/>
  <c r="FM238" i="71"/>
  <c r="FK238" i="71"/>
  <c r="FI238" i="71"/>
  <c r="FG238" i="71"/>
  <c r="FE238" i="71"/>
  <c r="FC238" i="71"/>
  <c r="FA238" i="71"/>
  <c r="EY238" i="71"/>
  <c r="EW238" i="71"/>
  <c r="EU238" i="71"/>
  <c r="ES238" i="71"/>
  <c r="EQ238" i="71"/>
  <c r="EO238" i="71"/>
  <c r="EM238" i="71"/>
  <c r="EK238" i="71"/>
  <c r="EI238" i="71"/>
  <c r="EG238" i="71"/>
  <c r="EE238" i="71"/>
  <c r="EC238" i="71"/>
  <c r="EA238" i="71"/>
  <c r="DY238" i="71"/>
  <c r="DW238" i="71"/>
  <c r="DU238" i="71"/>
  <c r="DS238" i="71"/>
  <c r="DQ238" i="71"/>
  <c r="DO238" i="71"/>
  <c r="DM238" i="71"/>
  <c r="DK238" i="71"/>
  <c r="DI238" i="71"/>
  <c r="DG238" i="71"/>
  <c r="DE238" i="71"/>
  <c r="DC238" i="71"/>
  <c r="DA238" i="71"/>
  <c r="CY238" i="71"/>
  <c r="CW238" i="71"/>
  <c r="CU238" i="71"/>
  <c r="CS238" i="71"/>
  <c r="CQ238" i="71"/>
  <c r="CO238" i="71"/>
  <c r="CM238" i="71"/>
  <c r="CK238" i="71"/>
  <c r="CI238" i="71"/>
  <c r="CG238" i="71"/>
  <c r="CE238" i="71"/>
  <c r="CC238" i="71"/>
  <c r="CA238" i="71"/>
  <c r="BY238" i="71"/>
  <c r="BW238" i="71"/>
  <c r="BU238" i="71"/>
  <c r="BS238" i="71"/>
  <c r="BQ238" i="71"/>
  <c r="BO238" i="71"/>
  <c r="BM238" i="71"/>
  <c r="BK238" i="71"/>
  <c r="BI238" i="71"/>
  <c r="BG238" i="71"/>
  <c r="BE238" i="71"/>
  <c r="BC238" i="71"/>
  <c r="BA238" i="71"/>
  <c r="AY238" i="71"/>
  <c r="AW238" i="71"/>
  <c r="AU238" i="71"/>
  <c r="AS238" i="71"/>
  <c r="AQ238" i="71"/>
  <c r="AO238" i="71"/>
  <c r="AM238" i="71"/>
  <c r="AK238" i="71"/>
  <c r="AI238" i="71"/>
  <c r="AG238" i="71"/>
  <c r="AE238" i="71"/>
  <c r="AC238" i="71"/>
  <c r="AA238" i="71"/>
  <c r="Y238" i="71"/>
  <c r="W238" i="71"/>
  <c r="U238" i="71"/>
  <c r="S238" i="71"/>
  <c r="Q238" i="71"/>
  <c r="O238" i="71"/>
  <c r="M238" i="71"/>
  <c r="K238" i="71"/>
  <c r="HA237" i="71"/>
  <c r="GY237" i="71"/>
  <c r="GW237" i="71"/>
  <c r="GU237" i="71"/>
  <c r="GS237" i="71"/>
  <c r="GQ237" i="71"/>
  <c r="GO237" i="71"/>
  <c r="GM237" i="71"/>
  <c r="GK237" i="71"/>
  <c r="GI237" i="71"/>
  <c r="GG237" i="71"/>
  <c r="GE237" i="71"/>
  <c r="GC237" i="71"/>
  <c r="GA237" i="71"/>
  <c r="FY237" i="71"/>
  <c r="FW237" i="71"/>
  <c r="FU237" i="71"/>
  <c r="FS237" i="71"/>
  <c r="FQ237" i="71"/>
  <c r="FO237" i="71"/>
  <c r="FM237" i="71"/>
  <c r="FK237" i="71"/>
  <c r="FI237" i="71"/>
  <c r="FG237" i="71"/>
  <c r="FE237" i="71"/>
  <c r="FC237" i="71"/>
  <c r="FA237" i="71"/>
  <c r="EY237" i="71"/>
  <c r="EW237" i="71"/>
  <c r="EU237" i="71"/>
  <c r="ES237" i="71"/>
  <c r="EQ237" i="71"/>
  <c r="EO237" i="71"/>
  <c r="EM237" i="71"/>
  <c r="EK237" i="71"/>
  <c r="EI237" i="71"/>
  <c r="EG237" i="71"/>
  <c r="EE237" i="71"/>
  <c r="EC237" i="71"/>
  <c r="EA237" i="71"/>
  <c r="DY237" i="71"/>
  <c r="DW237" i="71"/>
  <c r="DU237" i="71"/>
  <c r="DS237" i="71"/>
  <c r="DQ237" i="71"/>
  <c r="DO237" i="71"/>
  <c r="DM237" i="71"/>
  <c r="DK237" i="71"/>
  <c r="DI237" i="71"/>
  <c r="DG237" i="71"/>
  <c r="DE237" i="71"/>
  <c r="DC237" i="71"/>
  <c r="DA237" i="71"/>
  <c r="CY237" i="71"/>
  <c r="CW237" i="71"/>
  <c r="CU237" i="71"/>
  <c r="CS237" i="71"/>
  <c r="CQ237" i="71"/>
  <c r="CO237" i="71"/>
  <c r="CM237" i="71"/>
  <c r="CK237" i="71"/>
  <c r="CI237" i="71"/>
  <c r="CG237" i="71"/>
  <c r="CE237" i="71"/>
  <c r="CC237" i="71"/>
  <c r="CA237" i="71"/>
  <c r="BY237" i="71"/>
  <c r="BW237" i="71"/>
  <c r="BU237" i="71"/>
  <c r="BS237" i="71"/>
  <c r="BQ237" i="71"/>
  <c r="BO237" i="71"/>
  <c r="BM237" i="71"/>
  <c r="BK237" i="71"/>
  <c r="BI237" i="71"/>
  <c r="BG237" i="71"/>
  <c r="BE237" i="71"/>
  <c r="BC237" i="71"/>
  <c r="BA237" i="71"/>
  <c r="AY237" i="71"/>
  <c r="AW237" i="71"/>
  <c r="AU237" i="71"/>
  <c r="AS237" i="71"/>
  <c r="AQ237" i="71"/>
  <c r="AO237" i="71"/>
  <c r="AM237" i="71"/>
  <c r="AK237" i="71"/>
  <c r="AI237" i="71"/>
  <c r="AG237" i="71"/>
  <c r="AE237" i="71"/>
  <c r="AC237" i="71"/>
  <c r="AA237" i="71"/>
  <c r="Y237" i="71"/>
  <c r="W237" i="71"/>
  <c r="U237" i="71"/>
  <c r="S237" i="71"/>
  <c r="Q237" i="71"/>
  <c r="O237" i="71"/>
  <c r="M237" i="71"/>
  <c r="K237" i="71"/>
  <c r="HA236" i="71"/>
  <c r="GY236" i="71"/>
  <c r="GW236" i="71"/>
  <c r="GU236" i="71"/>
  <c r="GS236" i="71"/>
  <c r="GQ236" i="71"/>
  <c r="GO236" i="71"/>
  <c r="GM236" i="71"/>
  <c r="GK236" i="71"/>
  <c r="GI236" i="71"/>
  <c r="GG236" i="71"/>
  <c r="GE236" i="71"/>
  <c r="GC236" i="71"/>
  <c r="GA236" i="71"/>
  <c r="FY236" i="71"/>
  <c r="FW236" i="71"/>
  <c r="FU236" i="71"/>
  <c r="FS236" i="71"/>
  <c r="FQ236" i="71"/>
  <c r="FO236" i="71"/>
  <c r="FM236" i="71"/>
  <c r="FK236" i="71"/>
  <c r="FI236" i="71"/>
  <c r="FG236" i="71"/>
  <c r="FE236" i="71"/>
  <c r="FC236" i="71"/>
  <c r="FA236" i="71"/>
  <c r="EY236" i="71"/>
  <c r="EW236" i="71"/>
  <c r="EU236" i="71"/>
  <c r="ES236" i="71"/>
  <c r="EQ236" i="71"/>
  <c r="EO236" i="71"/>
  <c r="EM236" i="71"/>
  <c r="EK236" i="71"/>
  <c r="EI236" i="71"/>
  <c r="EG236" i="71"/>
  <c r="EE236" i="71"/>
  <c r="EC236" i="71"/>
  <c r="EA236" i="71"/>
  <c r="DY236" i="71"/>
  <c r="DW236" i="71"/>
  <c r="DU236" i="71"/>
  <c r="DS236" i="71"/>
  <c r="DQ236" i="71"/>
  <c r="DO236" i="71"/>
  <c r="DM236" i="71"/>
  <c r="DK236" i="71"/>
  <c r="DI236" i="71"/>
  <c r="DG236" i="71"/>
  <c r="DE236" i="71"/>
  <c r="DC236" i="71"/>
  <c r="DA236" i="71"/>
  <c r="CY236" i="71"/>
  <c r="CW236" i="71"/>
  <c r="CU236" i="71"/>
  <c r="CS236" i="71"/>
  <c r="CQ236" i="71"/>
  <c r="CO236" i="71"/>
  <c r="CM236" i="71"/>
  <c r="CK236" i="71"/>
  <c r="CI236" i="71"/>
  <c r="CG236" i="71"/>
  <c r="CE236" i="71"/>
  <c r="CC236" i="71"/>
  <c r="CA236" i="71"/>
  <c r="BY236" i="71"/>
  <c r="BW236" i="71"/>
  <c r="BU236" i="71"/>
  <c r="BS236" i="71"/>
  <c r="BQ236" i="71"/>
  <c r="BO236" i="71"/>
  <c r="BM236" i="71"/>
  <c r="BK236" i="71"/>
  <c r="BI236" i="71"/>
  <c r="BG236" i="71"/>
  <c r="BE236" i="71"/>
  <c r="BC236" i="71"/>
  <c r="BA236" i="71"/>
  <c r="AY236" i="71"/>
  <c r="AW236" i="71"/>
  <c r="AU236" i="71"/>
  <c r="AS236" i="71"/>
  <c r="AQ236" i="71"/>
  <c r="AO236" i="71"/>
  <c r="AM236" i="71"/>
  <c r="AK236" i="71"/>
  <c r="AI236" i="71"/>
  <c r="AG236" i="71"/>
  <c r="AE236" i="71"/>
  <c r="AC236" i="71"/>
  <c r="AA236" i="71"/>
  <c r="Y236" i="71"/>
  <c r="W236" i="71"/>
  <c r="U236" i="71"/>
  <c r="S236" i="71"/>
  <c r="Q236" i="71"/>
  <c r="O236" i="71"/>
  <c r="M236" i="71"/>
  <c r="K236" i="71"/>
  <c r="HA235" i="71"/>
  <c r="GY235" i="71"/>
  <c r="GW235" i="71"/>
  <c r="GU235" i="71"/>
  <c r="GS235" i="71"/>
  <c r="GQ235" i="71"/>
  <c r="GO235" i="71"/>
  <c r="GM235" i="71"/>
  <c r="GK235" i="71"/>
  <c r="GI235" i="71"/>
  <c r="GG235" i="71"/>
  <c r="GE235" i="71"/>
  <c r="GC235" i="71"/>
  <c r="GA235" i="71"/>
  <c r="FY235" i="71"/>
  <c r="FW235" i="71"/>
  <c r="FU235" i="71"/>
  <c r="FS235" i="71"/>
  <c r="FQ235" i="71"/>
  <c r="FO235" i="71"/>
  <c r="FM235" i="71"/>
  <c r="FK235" i="71"/>
  <c r="FI235" i="71"/>
  <c r="FG235" i="71"/>
  <c r="FE235" i="71"/>
  <c r="FC235" i="71"/>
  <c r="FA235" i="71"/>
  <c r="EY235" i="71"/>
  <c r="EW235" i="71"/>
  <c r="EU235" i="71"/>
  <c r="ES235" i="71"/>
  <c r="EQ235" i="71"/>
  <c r="EO235" i="71"/>
  <c r="EM235" i="71"/>
  <c r="EK235" i="71"/>
  <c r="EI235" i="71"/>
  <c r="EG235" i="71"/>
  <c r="EE235" i="71"/>
  <c r="EC235" i="71"/>
  <c r="EA235" i="71"/>
  <c r="DY235" i="71"/>
  <c r="DW235" i="71"/>
  <c r="DU235" i="71"/>
  <c r="DS235" i="71"/>
  <c r="DQ235" i="71"/>
  <c r="DO235" i="71"/>
  <c r="DM235" i="71"/>
  <c r="DK235" i="71"/>
  <c r="DI235" i="71"/>
  <c r="DG235" i="71"/>
  <c r="DE235" i="71"/>
  <c r="DC235" i="71"/>
  <c r="DA235" i="71"/>
  <c r="CY235" i="71"/>
  <c r="CW235" i="71"/>
  <c r="CU235" i="71"/>
  <c r="CS235" i="71"/>
  <c r="CQ235" i="71"/>
  <c r="CO235" i="71"/>
  <c r="CM235" i="71"/>
  <c r="CK235" i="71"/>
  <c r="CI235" i="71"/>
  <c r="CG235" i="71"/>
  <c r="CE235" i="71"/>
  <c r="CC235" i="71"/>
  <c r="CA235" i="71"/>
  <c r="BY235" i="71"/>
  <c r="BW235" i="71"/>
  <c r="BU235" i="71"/>
  <c r="BS235" i="71"/>
  <c r="BQ235" i="71"/>
  <c r="BO235" i="71"/>
  <c r="BM235" i="71"/>
  <c r="BK235" i="71"/>
  <c r="BI235" i="71"/>
  <c r="BG235" i="71"/>
  <c r="BE235" i="71"/>
  <c r="BC235" i="71"/>
  <c r="BA235" i="71"/>
  <c r="AY235" i="71"/>
  <c r="AW235" i="71"/>
  <c r="AU235" i="71"/>
  <c r="AS235" i="71"/>
  <c r="AQ235" i="71"/>
  <c r="AO235" i="71"/>
  <c r="AM235" i="71"/>
  <c r="AK235" i="71"/>
  <c r="AI235" i="71"/>
  <c r="AG235" i="71"/>
  <c r="AE235" i="71"/>
  <c r="AC235" i="71"/>
  <c r="AA235" i="71"/>
  <c r="Y235" i="71"/>
  <c r="W235" i="71"/>
  <c r="U235" i="71"/>
  <c r="S235" i="71"/>
  <c r="Q235" i="71"/>
  <c r="O235" i="71"/>
  <c r="M235" i="71"/>
  <c r="K235" i="71"/>
  <c r="HA234" i="71"/>
  <c r="GZ234" i="71"/>
  <c r="GY234" i="71"/>
  <c r="GW234" i="71"/>
  <c r="GV234" i="71"/>
  <c r="GU234" i="71"/>
  <c r="GS234" i="71"/>
  <c r="GR234" i="71"/>
  <c r="GQ234" i="71"/>
  <c r="GO234" i="71"/>
  <c r="GN234" i="71"/>
  <c r="GM234" i="71"/>
  <c r="GK234" i="71"/>
  <c r="GJ234" i="71"/>
  <c r="GI234" i="71"/>
  <c r="GG234" i="71"/>
  <c r="GF234" i="71"/>
  <c r="GE234" i="71"/>
  <c r="GC234" i="71"/>
  <c r="GB234" i="71"/>
  <c r="GA234" i="71"/>
  <c r="FY234" i="71"/>
  <c r="FX234" i="71"/>
  <c r="FW234" i="71"/>
  <c r="FU234" i="71"/>
  <c r="FT234" i="71"/>
  <c r="FS234" i="71"/>
  <c r="FQ234" i="71"/>
  <c r="FP234" i="71"/>
  <c r="FO234" i="71"/>
  <c r="FM234" i="71"/>
  <c r="FL234" i="71"/>
  <c r="FK234" i="71"/>
  <c r="FI234" i="71"/>
  <c r="FH234" i="71"/>
  <c r="FG234" i="71"/>
  <c r="FE234" i="71"/>
  <c r="FD234" i="71"/>
  <c r="FC234" i="71"/>
  <c r="FA234" i="71"/>
  <c r="EZ234" i="71"/>
  <c r="EY234" i="71"/>
  <c r="EW234" i="71"/>
  <c r="EV234" i="71"/>
  <c r="EU234" i="71"/>
  <c r="ES234" i="71"/>
  <c r="ER234" i="71"/>
  <c r="EQ234" i="71"/>
  <c r="EO234" i="71"/>
  <c r="EN234" i="71"/>
  <c r="EM234" i="71"/>
  <c r="EK234" i="71"/>
  <c r="EJ234" i="71"/>
  <c r="EI234" i="71"/>
  <c r="EG234" i="71"/>
  <c r="EF234" i="71"/>
  <c r="EE234" i="71"/>
  <c r="EC234" i="71"/>
  <c r="EB234" i="71"/>
  <c r="EA234" i="71"/>
  <c r="DY234" i="71"/>
  <c r="DX234" i="71"/>
  <c r="DW234" i="71"/>
  <c r="DU234" i="71"/>
  <c r="DT234" i="71"/>
  <c r="DS234" i="71"/>
  <c r="DQ234" i="71"/>
  <c r="DP234" i="71"/>
  <c r="DO234" i="71"/>
  <c r="DM234" i="71"/>
  <c r="DL234" i="71"/>
  <c r="DK234" i="71"/>
  <c r="DI234" i="71"/>
  <c r="DH234" i="71"/>
  <c r="DG234" i="71"/>
  <c r="DE234" i="71"/>
  <c r="DD234" i="71"/>
  <c r="DC234" i="71"/>
  <c r="DA234" i="71"/>
  <c r="CZ234" i="71"/>
  <c r="CY234" i="71"/>
  <c r="CW234" i="71"/>
  <c r="CV234" i="71"/>
  <c r="CU234" i="71"/>
  <c r="CS234" i="71"/>
  <c r="CR234" i="71"/>
  <c r="CQ234" i="71"/>
  <c r="CO234" i="71"/>
  <c r="CN234" i="71"/>
  <c r="CM234" i="71"/>
  <c r="CK234" i="71"/>
  <c r="CJ234" i="71"/>
  <c r="CI234" i="71"/>
  <c r="CG234" i="71"/>
  <c r="CF234" i="71"/>
  <c r="CE234" i="71"/>
  <c r="CC234" i="71"/>
  <c r="CB234" i="71"/>
  <c r="CA234" i="71"/>
  <c r="BY234" i="71"/>
  <c r="BX234" i="71"/>
  <c r="BW234" i="71"/>
  <c r="BU234" i="71"/>
  <c r="BT234" i="71"/>
  <c r="BS234" i="71"/>
  <c r="BQ234" i="71"/>
  <c r="BP234" i="71"/>
  <c r="BO234" i="71"/>
  <c r="BM234" i="71"/>
  <c r="BL234" i="71"/>
  <c r="BK234" i="71"/>
  <c r="BI234" i="71"/>
  <c r="BH234" i="71"/>
  <c r="BG234" i="71"/>
  <c r="BE234" i="71"/>
  <c r="BD234" i="71"/>
  <c r="BC234" i="71"/>
  <c r="BA234" i="71"/>
  <c r="AZ234" i="71"/>
  <c r="AY234" i="71"/>
  <c r="AW234" i="71"/>
  <c r="AV234" i="71"/>
  <c r="AU234" i="71"/>
  <c r="AS234" i="71"/>
  <c r="AR234" i="71"/>
  <c r="AQ234" i="71"/>
  <c r="AO234" i="71"/>
  <c r="AN234" i="71"/>
  <c r="AM234" i="71"/>
  <c r="AK234" i="71"/>
  <c r="AJ234" i="71"/>
  <c r="AI234" i="71"/>
  <c r="AG234" i="71"/>
  <c r="AF234" i="71"/>
  <c r="AE234" i="71"/>
  <c r="AC234" i="71"/>
  <c r="AB234" i="71"/>
  <c r="AA234" i="71"/>
  <c r="Y234" i="71"/>
  <c r="X234" i="71"/>
  <c r="W234" i="71"/>
  <c r="U234" i="71"/>
  <c r="T234" i="71"/>
  <c r="S234" i="71"/>
  <c r="Q234" i="71"/>
  <c r="P234" i="71"/>
  <c r="O234" i="71"/>
  <c r="M234" i="71"/>
  <c r="L234" i="71"/>
  <c r="K234" i="71"/>
  <c r="J234" i="71"/>
  <c r="I234" i="71"/>
  <c r="HA233" i="71"/>
  <c r="GZ233" i="71"/>
  <c r="GY233" i="71"/>
  <c r="GW233" i="71"/>
  <c r="GV233" i="71"/>
  <c r="GU233" i="71"/>
  <c r="GS233" i="71"/>
  <c r="GR233" i="71"/>
  <c r="GQ233" i="71"/>
  <c r="GO233" i="71"/>
  <c r="GN233" i="71"/>
  <c r="GM233" i="71"/>
  <c r="GK233" i="71"/>
  <c r="GJ233" i="71"/>
  <c r="GI233" i="71"/>
  <c r="GG233" i="71"/>
  <c r="GF233" i="71"/>
  <c r="GE233" i="71"/>
  <c r="GC233" i="71"/>
  <c r="GB233" i="71"/>
  <c r="GA233" i="71"/>
  <c r="FY233" i="71"/>
  <c r="FX233" i="71"/>
  <c r="FW233" i="71"/>
  <c r="FU233" i="71"/>
  <c r="FT233" i="71"/>
  <c r="FS233" i="71"/>
  <c r="FQ233" i="71"/>
  <c r="FP233" i="71"/>
  <c r="FO233" i="71"/>
  <c r="FM233" i="71"/>
  <c r="FL233" i="71"/>
  <c r="FK233" i="71"/>
  <c r="FI233" i="71"/>
  <c r="FH233" i="71"/>
  <c r="FG233" i="71"/>
  <c r="FE233" i="71"/>
  <c r="FD233" i="71"/>
  <c r="FC233" i="71"/>
  <c r="FA233" i="71"/>
  <c r="EZ233" i="71"/>
  <c r="EY233" i="71"/>
  <c r="EW233" i="71"/>
  <c r="EV233" i="71"/>
  <c r="EU233" i="71"/>
  <c r="ES233" i="71"/>
  <c r="ER233" i="71"/>
  <c r="EQ233" i="71"/>
  <c r="EO233" i="71"/>
  <c r="EN233" i="71"/>
  <c r="EM233" i="71"/>
  <c r="EK233" i="71"/>
  <c r="EJ233" i="71"/>
  <c r="EI233" i="71"/>
  <c r="EG233" i="71"/>
  <c r="EF233" i="71"/>
  <c r="EE233" i="71"/>
  <c r="EC233" i="71"/>
  <c r="EB233" i="71"/>
  <c r="EA233" i="71"/>
  <c r="DY233" i="71"/>
  <c r="DX233" i="71"/>
  <c r="DW233" i="71"/>
  <c r="DU233" i="71"/>
  <c r="DT233" i="71"/>
  <c r="DS233" i="71"/>
  <c r="DQ233" i="71"/>
  <c r="DP233" i="71"/>
  <c r="DO233" i="71"/>
  <c r="DM233" i="71"/>
  <c r="DL233" i="71"/>
  <c r="DK233" i="71"/>
  <c r="DI233" i="71"/>
  <c r="DH233" i="71"/>
  <c r="DG233" i="71"/>
  <c r="DE233" i="71"/>
  <c r="DD233" i="71"/>
  <c r="DC233" i="71"/>
  <c r="DA233" i="71"/>
  <c r="CZ233" i="71"/>
  <c r="CY233" i="71"/>
  <c r="CW233" i="71"/>
  <c r="CV233" i="71"/>
  <c r="CU233" i="71"/>
  <c r="CS233" i="71"/>
  <c r="CR233" i="71"/>
  <c r="CQ233" i="71"/>
  <c r="CO233" i="71"/>
  <c r="CN233" i="71"/>
  <c r="CM233" i="71"/>
  <c r="CK233" i="71"/>
  <c r="CJ233" i="71"/>
  <c r="CI233" i="71"/>
  <c r="CG233" i="71"/>
  <c r="CF233" i="71"/>
  <c r="CE233" i="71"/>
  <c r="CC233" i="71"/>
  <c r="CB233" i="71"/>
  <c r="CA233" i="71"/>
  <c r="BY233" i="71"/>
  <c r="BX233" i="71"/>
  <c r="BW233" i="71"/>
  <c r="BU233" i="71"/>
  <c r="BT233" i="71"/>
  <c r="BS233" i="71"/>
  <c r="BQ233" i="71"/>
  <c r="BP233" i="71"/>
  <c r="BO233" i="71"/>
  <c r="BM233" i="71"/>
  <c r="BL233" i="71"/>
  <c r="BK233" i="71"/>
  <c r="BI233" i="71"/>
  <c r="BH233" i="71"/>
  <c r="BG233" i="71"/>
  <c r="BE233" i="71"/>
  <c r="BD233" i="71"/>
  <c r="BC233" i="71"/>
  <c r="BA233" i="71"/>
  <c r="AZ233" i="71"/>
  <c r="AY233" i="71"/>
  <c r="AW233" i="71"/>
  <c r="AV233" i="71"/>
  <c r="AU233" i="71"/>
  <c r="AS233" i="71"/>
  <c r="AR233" i="71"/>
  <c r="AQ233" i="71"/>
  <c r="AO233" i="71"/>
  <c r="AN233" i="71"/>
  <c r="AM233" i="71"/>
  <c r="AK233" i="71"/>
  <c r="AJ233" i="71"/>
  <c r="AI233" i="71"/>
  <c r="AG233" i="71"/>
  <c r="AF233" i="71"/>
  <c r="AE233" i="71"/>
  <c r="AC233" i="71"/>
  <c r="AB233" i="71"/>
  <c r="AA233" i="71"/>
  <c r="Y233" i="71"/>
  <c r="X233" i="71"/>
  <c r="W233" i="71"/>
  <c r="U233" i="71"/>
  <c r="T233" i="71"/>
  <c r="S233" i="71"/>
  <c r="Q233" i="71"/>
  <c r="P233" i="71"/>
  <c r="O233" i="71"/>
  <c r="M233" i="71"/>
  <c r="L233" i="71"/>
  <c r="K233" i="71"/>
  <c r="J233" i="71"/>
  <c r="I233" i="71"/>
  <c r="GZ232" i="71"/>
  <c r="GV232" i="71"/>
  <c r="GR232" i="71"/>
  <c r="GN232" i="71"/>
  <c r="GJ232" i="71"/>
  <c r="GF232" i="71"/>
  <c r="GB232" i="71"/>
  <c r="FX232" i="71"/>
  <c r="FT232" i="71"/>
  <c r="FP232" i="71"/>
  <c r="FL232" i="71"/>
  <c r="FH232" i="71"/>
  <c r="FD232" i="71"/>
  <c r="EZ232" i="71"/>
  <c r="EV232" i="71"/>
  <c r="ER232" i="71"/>
  <c r="EN232" i="71"/>
  <c r="EJ232" i="71"/>
  <c r="EF232" i="71"/>
  <c r="EB232" i="71"/>
  <c r="DX232" i="71"/>
  <c r="DT232" i="71"/>
  <c r="DP232" i="71"/>
  <c r="DL232" i="71"/>
  <c r="DH232" i="71"/>
  <c r="DD232" i="71"/>
  <c r="CZ232" i="71"/>
  <c r="CV232" i="71"/>
  <c r="CR232" i="71"/>
  <c r="CN232" i="71"/>
  <c r="CJ232" i="71"/>
  <c r="CF232" i="71"/>
  <c r="CB232" i="71"/>
  <c r="BX232" i="71"/>
  <c r="BT232" i="71"/>
  <c r="BP232" i="71"/>
  <c r="BL232" i="71"/>
  <c r="BH232" i="71"/>
  <c r="BD232" i="71"/>
  <c r="AZ232" i="71"/>
  <c r="AV232" i="71"/>
  <c r="AR232" i="71"/>
  <c r="AN232" i="71"/>
  <c r="AJ232" i="71"/>
  <c r="AF232" i="71"/>
  <c r="AB232" i="71"/>
  <c r="X232" i="71"/>
  <c r="T232" i="71"/>
  <c r="P232" i="71"/>
  <c r="L232" i="71"/>
  <c r="GY230" i="71"/>
  <c r="GU230" i="71"/>
  <c r="GQ230" i="71"/>
  <c r="GM230" i="71"/>
  <c r="GI230" i="71"/>
  <c r="GE230" i="71"/>
  <c r="GA230" i="71"/>
  <c r="FW230" i="71"/>
  <c r="FS230" i="71"/>
  <c r="FO230" i="71"/>
  <c r="FK230" i="71"/>
  <c r="FG230" i="71"/>
  <c r="FC230" i="71"/>
  <c r="EY230" i="71"/>
  <c r="EU230" i="71"/>
  <c r="EQ230" i="71"/>
  <c r="EM230" i="71"/>
  <c r="EI230" i="71"/>
  <c r="EE230" i="71"/>
  <c r="EA230" i="71"/>
  <c r="DW230" i="71"/>
  <c r="DS230" i="71"/>
  <c r="DO230" i="71"/>
  <c r="DK230" i="71"/>
  <c r="DG230" i="71"/>
  <c r="DC230" i="71"/>
  <c r="CY230" i="71"/>
  <c r="CU230" i="71"/>
  <c r="CQ230" i="71"/>
  <c r="CM230" i="71"/>
  <c r="CI230" i="71"/>
  <c r="CE230" i="71"/>
  <c r="CA230" i="71"/>
  <c r="BW230" i="71"/>
  <c r="BS230" i="71"/>
  <c r="BO230" i="71"/>
  <c r="BK230" i="71"/>
  <c r="BG230" i="71"/>
  <c r="BC230" i="71"/>
  <c r="AY230" i="71"/>
  <c r="AU230" i="71"/>
  <c r="AQ230" i="71"/>
  <c r="AM230" i="71"/>
  <c r="AI230" i="71"/>
  <c r="AE230" i="71"/>
  <c r="AA230" i="71"/>
  <c r="W230" i="71"/>
  <c r="S230" i="71"/>
  <c r="O230" i="71"/>
  <c r="K230" i="71"/>
  <c r="HB228" i="71"/>
  <c r="HB229" i="71" s="1"/>
  <c r="HA228" i="71"/>
  <c r="HA229" i="71" s="1"/>
  <c r="GZ228" i="71"/>
  <c r="GZ229" i="71" s="1"/>
  <c r="GY228" i="71"/>
  <c r="GY229" i="71" s="1"/>
  <c r="GX228" i="71"/>
  <c r="GX229" i="71" s="1"/>
  <c r="GW228" i="71"/>
  <c r="GW229" i="71" s="1"/>
  <c r="GV228" i="71"/>
  <c r="GV229" i="71" s="1"/>
  <c r="GU228" i="71"/>
  <c r="GU229" i="71" s="1"/>
  <c r="GU231" i="71" s="1"/>
  <c r="GT228" i="71"/>
  <c r="GT229" i="71" s="1"/>
  <c r="GS228" i="71"/>
  <c r="GS229" i="71" s="1"/>
  <c r="GR228" i="71"/>
  <c r="GR229" i="71" s="1"/>
  <c r="GQ228" i="71"/>
  <c r="GQ229" i="71" s="1"/>
  <c r="GP228" i="71"/>
  <c r="GP229" i="71" s="1"/>
  <c r="GO228" i="71"/>
  <c r="GO229" i="71" s="1"/>
  <c r="GN228" i="71"/>
  <c r="GN229" i="71" s="1"/>
  <c r="GM228" i="71"/>
  <c r="GM229" i="71" s="1"/>
  <c r="GL228" i="71"/>
  <c r="GL229" i="71" s="1"/>
  <c r="GK228" i="71"/>
  <c r="GK229" i="71" s="1"/>
  <c r="GJ228" i="71"/>
  <c r="GJ229" i="71" s="1"/>
  <c r="GI228" i="71"/>
  <c r="GI229" i="71" s="1"/>
  <c r="GH228" i="71"/>
  <c r="GH229" i="71" s="1"/>
  <c r="GG228" i="71"/>
  <c r="GG229" i="71" s="1"/>
  <c r="GF228" i="71"/>
  <c r="GF229" i="71" s="1"/>
  <c r="GE228" i="71"/>
  <c r="GE229" i="71" s="1"/>
  <c r="GD228" i="71"/>
  <c r="GD229" i="71" s="1"/>
  <c r="GC228" i="71"/>
  <c r="GC229" i="71" s="1"/>
  <c r="GB228" i="71"/>
  <c r="GB229" i="71" s="1"/>
  <c r="GA228" i="71"/>
  <c r="GA229" i="71" s="1"/>
  <c r="FZ228" i="71"/>
  <c r="FZ229" i="71" s="1"/>
  <c r="FY228" i="71"/>
  <c r="FY229" i="71" s="1"/>
  <c r="FX228" i="71"/>
  <c r="FX229" i="71" s="1"/>
  <c r="FW228" i="71"/>
  <c r="FW229" i="71" s="1"/>
  <c r="FV228" i="71"/>
  <c r="FV229" i="71" s="1"/>
  <c r="FU228" i="71"/>
  <c r="FU229" i="71" s="1"/>
  <c r="FT228" i="71"/>
  <c r="FT229" i="71" s="1"/>
  <c r="FS228" i="71"/>
  <c r="FS229" i="71" s="1"/>
  <c r="FR228" i="71"/>
  <c r="FR229" i="71" s="1"/>
  <c r="FQ228" i="71"/>
  <c r="FQ229" i="71" s="1"/>
  <c r="FP228" i="71"/>
  <c r="FP229" i="71" s="1"/>
  <c r="FO228" i="71"/>
  <c r="FO229" i="71" s="1"/>
  <c r="FO231" i="71" s="1"/>
  <c r="FN228" i="71"/>
  <c r="FN229" i="71" s="1"/>
  <c r="FM228" i="71"/>
  <c r="FM229" i="71" s="1"/>
  <c r="FL228" i="71"/>
  <c r="FL229" i="71" s="1"/>
  <c r="FK228" i="71"/>
  <c r="FK229" i="71" s="1"/>
  <c r="FJ228" i="71"/>
  <c r="FJ229" i="71" s="1"/>
  <c r="FI228" i="71"/>
  <c r="FI229" i="71" s="1"/>
  <c r="FH228" i="71"/>
  <c r="FH229" i="71" s="1"/>
  <c r="FG228" i="71"/>
  <c r="FG229" i="71" s="1"/>
  <c r="FF228" i="71"/>
  <c r="FF229" i="71" s="1"/>
  <c r="FE228" i="71"/>
  <c r="FE229" i="71" s="1"/>
  <c r="FD228" i="71"/>
  <c r="FD229" i="71" s="1"/>
  <c r="FC228" i="71"/>
  <c r="FC229" i="71" s="1"/>
  <c r="FB228" i="71"/>
  <c r="FB229" i="71" s="1"/>
  <c r="FA228" i="71"/>
  <c r="FA229" i="71" s="1"/>
  <c r="EZ228" i="71"/>
  <c r="EZ229" i="71" s="1"/>
  <c r="EY228" i="71"/>
  <c r="EY229" i="71" s="1"/>
  <c r="EX228" i="71"/>
  <c r="EX229" i="71" s="1"/>
  <c r="EW228" i="71"/>
  <c r="EW229" i="71" s="1"/>
  <c r="EV228" i="71"/>
  <c r="EV229" i="71" s="1"/>
  <c r="EU228" i="71"/>
  <c r="EU229" i="71" s="1"/>
  <c r="ET228" i="71"/>
  <c r="ET229" i="71" s="1"/>
  <c r="ES228" i="71"/>
  <c r="ES229" i="71" s="1"/>
  <c r="ER228" i="71"/>
  <c r="ER229" i="71" s="1"/>
  <c r="EQ228" i="71"/>
  <c r="EQ229" i="71" s="1"/>
  <c r="EP228" i="71"/>
  <c r="EP229" i="71" s="1"/>
  <c r="EO228" i="71"/>
  <c r="EO229" i="71" s="1"/>
  <c r="EN228" i="71"/>
  <c r="EN229" i="71" s="1"/>
  <c r="EM228" i="71"/>
  <c r="EM229" i="71" s="1"/>
  <c r="EL228" i="71"/>
  <c r="EL229" i="71" s="1"/>
  <c r="EK228" i="71"/>
  <c r="EK229" i="71" s="1"/>
  <c r="EJ228" i="71"/>
  <c r="EJ229" i="71" s="1"/>
  <c r="EI228" i="71"/>
  <c r="EI229" i="71" s="1"/>
  <c r="EI231" i="71" s="1"/>
  <c r="EH228" i="71"/>
  <c r="EH229" i="71" s="1"/>
  <c r="EG228" i="71"/>
  <c r="EG229" i="71" s="1"/>
  <c r="EF228" i="71"/>
  <c r="EF229" i="71" s="1"/>
  <c r="EE228" i="71"/>
  <c r="EE229" i="71" s="1"/>
  <c r="ED228" i="71"/>
  <c r="ED229" i="71" s="1"/>
  <c r="EC228" i="71"/>
  <c r="EC229" i="71" s="1"/>
  <c r="EB228" i="71"/>
  <c r="EB229" i="71" s="1"/>
  <c r="EA228" i="71"/>
  <c r="EA229" i="71" s="1"/>
  <c r="DZ228" i="71"/>
  <c r="DZ229" i="71" s="1"/>
  <c r="DY228" i="71"/>
  <c r="DY229" i="71" s="1"/>
  <c r="DX228" i="71"/>
  <c r="DX229" i="71" s="1"/>
  <c r="DW228" i="71"/>
  <c r="DW229" i="71" s="1"/>
  <c r="DV228" i="71"/>
  <c r="DV229" i="71" s="1"/>
  <c r="DU228" i="71"/>
  <c r="DU229" i="71" s="1"/>
  <c r="DT228" i="71"/>
  <c r="DT229" i="71" s="1"/>
  <c r="DS228" i="71"/>
  <c r="DS229" i="71" s="1"/>
  <c r="DR228" i="71"/>
  <c r="DR229" i="71" s="1"/>
  <c r="DQ228" i="71"/>
  <c r="DQ229" i="71" s="1"/>
  <c r="DP228" i="71"/>
  <c r="DP229" i="71" s="1"/>
  <c r="DO228" i="71"/>
  <c r="DO229" i="71" s="1"/>
  <c r="DN228" i="71"/>
  <c r="DN229" i="71" s="1"/>
  <c r="DM228" i="71"/>
  <c r="DM229" i="71" s="1"/>
  <c r="DL228" i="71"/>
  <c r="DL229" i="71" s="1"/>
  <c r="DK228" i="71"/>
  <c r="DK229" i="71" s="1"/>
  <c r="DJ228" i="71"/>
  <c r="DJ229" i="71" s="1"/>
  <c r="DI228" i="71"/>
  <c r="DI229" i="71" s="1"/>
  <c r="DH228" i="71"/>
  <c r="DH229" i="71" s="1"/>
  <c r="DG228" i="71"/>
  <c r="DG229" i="71" s="1"/>
  <c r="DF228" i="71"/>
  <c r="DF229" i="71" s="1"/>
  <c r="DE228" i="71"/>
  <c r="DE229" i="71" s="1"/>
  <c r="DD228" i="71"/>
  <c r="DD229" i="71" s="1"/>
  <c r="DC228" i="71"/>
  <c r="DC229" i="71" s="1"/>
  <c r="DC231" i="71" s="1"/>
  <c r="DB228" i="71"/>
  <c r="DB229" i="71" s="1"/>
  <c r="DA228" i="71"/>
  <c r="DA229" i="71" s="1"/>
  <c r="CZ228" i="71"/>
  <c r="CZ229" i="71" s="1"/>
  <c r="CY228" i="71"/>
  <c r="CY229" i="71" s="1"/>
  <c r="CX228" i="71"/>
  <c r="CX229" i="71" s="1"/>
  <c r="CW228" i="71"/>
  <c r="CW229" i="71" s="1"/>
  <c r="CV228" i="71"/>
  <c r="CV229" i="71" s="1"/>
  <c r="CU228" i="71"/>
  <c r="CU229" i="71" s="1"/>
  <c r="CT228" i="71"/>
  <c r="CT229" i="71" s="1"/>
  <c r="CS228" i="71"/>
  <c r="CS229" i="71" s="1"/>
  <c r="CR228" i="71"/>
  <c r="CR229" i="71" s="1"/>
  <c r="CQ228" i="71"/>
  <c r="CQ229" i="71" s="1"/>
  <c r="CP228" i="71"/>
  <c r="CP229" i="71" s="1"/>
  <c r="CO228" i="71"/>
  <c r="CO229" i="71" s="1"/>
  <c r="CN228" i="71"/>
  <c r="CN229" i="71" s="1"/>
  <c r="CM228" i="71"/>
  <c r="CM229" i="71" s="1"/>
  <c r="CL228" i="71"/>
  <c r="CL229" i="71" s="1"/>
  <c r="CK228" i="71"/>
  <c r="CK229" i="71" s="1"/>
  <c r="CJ228" i="71"/>
  <c r="CJ229" i="71" s="1"/>
  <c r="CI228" i="71"/>
  <c r="CI229" i="71" s="1"/>
  <c r="CH228" i="71"/>
  <c r="CH229" i="71" s="1"/>
  <c r="CG228" i="71"/>
  <c r="CG229" i="71" s="1"/>
  <c r="CF228" i="71"/>
  <c r="CF229" i="71" s="1"/>
  <c r="CE228" i="71"/>
  <c r="CE229" i="71" s="1"/>
  <c r="CD228" i="71"/>
  <c r="CD229" i="71" s="1"/>
  <c r="CC228" i="71"/>
  <c r="CC229" i="71" s="1"/>
  <c r="CB228" i="71"/>
  <c r="CB229" i="71" s="1"/>
  <c r="CA228" i="71"/>
  <c r="CA229" i="71" s="1"/>
  <c r="BZ228" i="71"/>
  <c r="BZ229" i="71" s="1"/>
  <c r="BY228" i="71"/>
  <c r="BY229" i="71" s="1"/>
  <c r="BX228" i="71"/>
  <c r="BX229" i="71" s="1"/>
  <c r="BW228" i="71"/>
  <c r="BW229" i="71" s="1"/>
  <c r="BW231" i="71" s="1"/>
  <c r="BV228" i="71"/>
  <c r="BV229" i="71" s="1"/>
  <c r="BU228" i="71"/>
  <c r="BU229" i="71" s="1"/>
  <c r="BT228" i="71"/>
  <c r="BT229" i="71" s="1"/>
  <c r="BS228" i="71"/>
  <c r="BS229" i="71" s="1"/>
  <c r="BR228" i="71"/>
  <c r="BR229" i="71" s="1"/>
  <c r="BQ228" i="71"/>
  <c r="BQ229" i="71" s="1"/>
  <c r="BP228" i="71"/>
  <c r="BP229" i="71" s="1"/>
  <c r="BO228" i="71"/>
  <c r="BO229" i="71" s="1"/>
  <c r="BN228" i="71"/>
  <c r="BN229" i="71" s="1"/>
  <c r="BM228" i="71"/>
  <c r="BM229" i="71" s="1"/>
  <c r="BL228" i="71"/>
  <c r="BL229" i="71" s="1"/>
  <c r="BK228" i="71"/>
  <c r="BK229" i="71" s="1"/>
  <c r="BJ228" i="71"/>
  <c r="BJ229" i="71" s="1"/>
  <c r="BI228" i="71"/>
  <c r="BI229" i="71" s="1"/>
  <c r="BH228" i="71"/>
  <c r="BH229" i="71" s="1"/>
  <c r="BG228" i="71"/>
  <c r="BG229" i="71" s="1"/>
  <c r="BF228" i="71"/>
  <c r="BF229" i="71" s="1"/>
  <c r="BE228" i="71"/>
  <c r="BE229" i="71" s="1"/>
  <c r="BD228" i="71"/>
  <c r="BD229" i="71" s="1"/>
  <c r="BC228" i="71"/>
  <c r="BC229" i="71" s="1"/>
  <c r="BB228" i="71"/>
  <c r="BB229" i="71" s="1"/>
  <c r="BA228" i="71"/>
  <c r="BA229" i="71" s="1"/>
  <c r="AZ228" i="71"/>
  <c r="AZ229" i="71" s="1"/>
  <c r="AY228" i="71"/>
  <c r="AY229" i="71" s="1"/>
  <c r="AX228" i="71"/>
  <c r="AX229" i="71" s="1"/>
  <c r="AW228" i="71"/>
  <c r="AW229" i="71" s="1"/>
  <c r="AV228" i="71"/>
  <c r="AV229" i="71" s="1"/>
  <c r="AU228" i="71"/>
  <c r="AU229" i="71" s="1"/>
  <c r="AT228" i="71"/>
  <c r="AT229" i="71" s="1"/>
  <c r="AS228" i="71"/>
  <c r="AS229" i="71" s="1"/>
  <c r="AR228" i="71"/>
  <c r="AR229" i="71" s="1"/>
  <c r="AQ228" i="71"/>
  <c r="AQ229" i="71" s="1"/>
  <c r="AQ231" i="71" s="1"/>
  <c r="AP228" i="71"/>
  <c r="AP229" i="71" s="1"/>
  <c r="AO228" i="71"/>
  <c r="AO229" i="71" s="1"/>
  <c r="AN228" i="71"/>
  <c r="AN229" i="71" s="1"/>
  <c r="AM228" i="71"/>
  <c r="AM229" i="71" s="1"/>
  <c r="AL228" i="71"/>
  <c r="AL229" i="71" s="1"/>
  <c r="AK228" i="71"/>
  <c r="AK229" i="71" s="1"/>
  <c r="AJ228" i="71"/>
  <c r="AJ229" i="71" s="1"/>
  <c r="AI228" i="71"/>
  <c r="AI229" i="71" s="1"/>
  <c r="AH228" i="71"/>
  <c r="AH229" i="71" s="1"/>
  <c r="AG228" i="71"/>
  <c r="AG229" i="71" s="1"/>
  <c r="AF228" i="71"/>
  <c r="AF229" i="71" s="1"/>
  <c r="AE228" i="71"/>
  <c r="AE229" i="71" s="1"/>
  <c r="AD228" i="71"/>
  <c r="AD229" i="71" s="1"/>
  <c r="AC228" i="71"/>
  <c r="AC229" i="71" s="1"/>
  <c r="AB228" i="71"/>
  <c r="AB229" i="71" s="1"/>
  <c r="AA228" i="71"/>
  <c r="AA229" i="71" s="1"/>
  <c r="Z228" i="71"/>
  <c r="Z229" i="71" s="1"/>
  <c r="Y228" i="71"/>
  <c r="X228" i="71"/>
  <c r="W228" i="71"/>
  <c r="V228" i="71"/>
  <c r="V229" i="71" s="1"/>
  <c r="U228" i="71"/>
  <c r="U229" i="71" s="1"/>
  <c r="T228" i="71"/>
  <c r="T229" i="71" s="1"/>
  <c r="S228" i="71"/>
  <c r="S229" i="71" s="1"/>
  <c r="R228" i="71"/>
  <c r="R229" i="71" s="1"/>
  <c r="Q228" i="71"/>
  <c r="Q229" i="71" s="1"/>
  <c r="P228" i="71"/>
  <c r="P229" i="71" s="1"/>
  <c r="O228" i="71"/>
  <c r="O229" i="71" s="1"/>
  <c r="N228" i="71"/>
  <c r="N229" i="71" s="1"/>
  <c r="M228" i="71"/>
  <c r="L228" i="71"/>
  <c r="K228" i="71"/>
  <c r="J228" i="71"/>
  <c r="W158" i="75" s="1"/>
  <c r="W160" i="75" s="1"/>
  <c r="I228" i="71"/>
  <c r="GY226" i="71"/>
  <c r="GU226" i="71"/>
  <c r="GQ226" i="71"/>
  <c r="GM226" i="71"/>
  <c r="GI226" i="71"/>
  <c r="GE226" i="71"/>
  <c r="GA226" i="71"/>
  <c r="FW226" i="71"/>
  <c r="FS226" i="71"/>
  <c r="FO226" i="71"/>
  <c r="FK226" i="71"/>
  <c r="FG226" i="71"/>
  <c r="FC226" i="71"/>
  <c r="EY226" i="71"/>
  <c r="EU226" i="71"/>
  <c r="EQ226" i="71"/>
  <c r="EM226" i="71"/>
  <c r="EI226" i="71"/>
  <c r="EE226" i="71"/>
  <c r="EA226" i="71"/>
  <c r="DW226" i="71"/>
  <c r="DS226" i="71"/>
  <c r="DO226" i="71"/>
  <c r="DK226" i="71"/>
  <c r="DG226" i="71"/>
  <c r="DC226" i="71"/>
  <c r="CY226" i="71"/>
  <c r="CU226" i="71"/>
  <c r="CQ226" i="71"/>
  <c r="CM226" i="71"/>
  <c r="CI226" i="71"/>
  <c r="CE226" i="71"/>
  <c r="CA226" i="71"/>
  <c r="BW226" i="71"/>
  <c r="BS226" i="71"/>
  <c r="BO226" i="71"/>
  <c r="BK226" i="71"/>
  <c r="BG226" i="71"/>
  <c r="BC226" i="71"/>
  <c r="AY226" i="71"/>
  <c r="AU226" i="71"/>
  <c r="AQ226" i="71"/>
  <c r="AM226" i="71"/>
  <c r="AI226" i="71"/>
  <c r="AE226" i="71"/>
  <c r="AA226" i="71"/>
  <c r="W226" i="71"/>
  <c r="S226" i="71"/>
  <c r="O226" i="71"/>
  <c r="K226" i="71"/>
  <c r="HG160" i="71"/>
  <c r="HC160" i="71"/>
  <c r="HG159" i="71"/>
  <c r="HC159" i="71"/>
  <c r="HG158" i="71"/>
  <c r="HC158" i="71"/>
  <c r="HG157" i="71"/>
  <c r="HC157" i="71"/>
  <c r="HG156" i="71"/>
  <c r="HC156" i="71"/>
  <c r="HG155" i="71"/>
  <c r="HC155" i="71"/>
  <c r="HG154" i="71"/>
  <c r="HC154" i="71"/>
  <c r="HG153" i="71"/>
  <c r="HC153" i="71"/>
  <c r="HG152" i="71"/>
  <c r="HC152" i="71"/>
  <c r="HG151" i="71"/>
  <c r="HC151" i="71"/>
  <c r="HG150" i="71"/>
  <c r="HC150" i="71"/>
  <c r="HG149" i="71"/>
  <c r="HC149" i="71"/>
  <c r="HG148" i="71"/>
  <c r="HC148" i="71"/>
  <c r="HG147" i="71"/>
  <c r="HC147" i="71"/>
  <c r="HG146" i="71"/>
  <c r="HC146" i="71"/>
  <c r="HG145" i="71"/>
  <c r="HC145" i="71"/>
  <c r="HG144" i="71"/>
  <c r="HC144" i="71"/>
  <c r="HG143" i="71"/>
  <c r="HC143" i="71"/>
  <c r="HG142" i="71"/>
  <c r="HC142" i="71"/>
  <c r="HG141" i="71"/>
  <c r="HC141" i="71"/>
  <c r="HG140" i="71"/>
  <c r="HC140" i="71"/>
  <c r="HG139" i="71"/>
  <c r="HC139" i="71"/>
  <c r="HG138" i="71"/>
  <c r="HC138" i="71"/>
  <c r="HG137" i="71"/>
  <c r="HC137" i="71"/>
  <c r="HG136" i="71"/>
  <c r="HC136" i="71"/>
  <c r="HG135" i="71"/>
  <c r="HC135" i="71"/>
  <c r="HG134" i="71"/>
  <c r="HC134" i="71"/>
  <c r="HG133" i="71"/>
  <c r="HC133" i="71"/>
  <c r="HG132" i="71"/>
  <c r="HC132" i="71"/>
  <c r="HG131" i="71"/>
  <c r="HC131" i="71"/>
  <c r="HJ130" i="71"/>
  <c r="HI130" i="71"/>
  <c r="HG130" i="71"/>
  <c r="HF130" i="71"/>
  <c r="HE130" i="71"/>
  <c r="HC130" i="71"/>
  <c r="HJ129" i="71"/>
  <c r="HI129" i="71"/>
  <c r="HG129" i="71"/>
  <c r="HF129" i="71"/>
  <c r="HE129" i="71"/>
  <c r="HC129" i="71"/>
  <c r="HJ128" i="71"/>
  <c r="HI128" i="71"/>
  <c r="HG128" i="71"/>
  <c r="HF128" i="71"/>
  <c r="HE128" i="71"/>
  <c r="HC128" i="71"/>
  <c r="HJ127" i="71"/>
  <c r="HI127" i="71"/>
  <c r="HG127" i="71"/>
  <c r="HF127" i="71"/>
  <c r="HE127" i="71"/>
  <c r="HC127" i="71"/>
  <c r="HJ126" i="71"/>
  <c r="HI126" i="71"/>
  <c r="HG126" i="71"/>
  <c r="HF126" i="71"/>
  <c r="HE126" i="71"/>
  <c r="HC126" i="71"/>
  <c r="HJ125" i="71"/>
  <c r="HI125" i="71"/>
  <c r="HG125" i="71"/>
  <c r="HF125" i="71"/>
  <c r="HE125" i="71"/>
  <c r="HC125" i="71"/>
  <c r="HJ124" i="71"/>
  <c r="HI124" i="71"/>
  <c r="HG124" i="71"/>
  <c r="HF124" i="71"/>
  <c r="HE124" i="71"/>
  <c r="HC124" i="71"/>
  <c r="HJ123" i="71"/>
  <c r="HI123" i="71"/>
  <c r="HG123" i="71"/>
  <c r="HF123" i="71"/>
  <c r="HE123" i="71"/>
  <c r="HC123" i="71"/>
  <c r="HJ122" i="71"/>
  <c r="HI122" i="71"/>
  <c r="HG122" i="71"/>
  <c r="HF122" i="71"/>
  <c r="HE122" i="71"/>
  <c r="HC122" i="71"/>
  <c r="HI121" i="71"/>
  <c r="HH121" i="71"/>
  <c r="HG121" i="71"/>
  <c r="HE121" i="71"/>
  <c r="HD121" i="71"/>
  <c r="HC121" i="71"/>
  <c r="HI120" i="71"/>
  <c r="HH120" i="71"/>
  <c r="HG120" i="71"/>
  <c r="HE120" i="71"/>
  <c r="HD120" i="71"/>
  <c r="HC120" i="71"/>
  <c r="HI119" i="71"/>
  <c r="HH119" i="71"/>
  <c r="HG119" i="71"/>
  <c r="HE119" i="71"/>
  <c r="HD119" i="71"/>
  <c r="HC119" i="71"/>
  <c r="HI118" i="71"/>
  <c r="HH118" i="71"/>
  <c r="HG118" i="71"/>
  <c r="HE118" i="71"/>
  <c r="HD118" i="71"/>
  <c r="HC118" i="71"/>
  <c r="HI117" i="71"/>
  <c r="HH117" i="71"/>
  <c r="HG117" i="71"/>
  <c r="HE117" i="71"/>
  <c r="HD117" i="71"/>
  <c r="HC117" i="71"/>
  <c r="HI116" i="71"/>
  <c r="HH116" i="71"/>
  <c r="HG116" i="71"/>
  <c r="HE116" i="71"/>
  <c r="HD116" i="71"/>
  <c r="HC116" i="71"/>
  <c r="HI115" i="71"/>
  <c r="HH115" i="71"/>
  <c r="HG115" i="71"/>
  <c r="HE115" i="71"/>
  <c r="HD115" i="71"/>
  <c r="HC115" i="71"/>
  <c r="HI114" i="71"/>
  <c r="HH114" i="71"/>
  <c r="HG114" i="71"/>
  <c r="HE114" i="71"/>
  <c r="HD114" i="71"/>
  <c r="HC114" i="71"/>
  <c r="HI113" i="71"/>
  <c r="HH113" i="71"/>
  <c r="HG113" i="71"/>
  <c r="HE113" i="71"/>
  <c r="HD113" i="71"/>
  <c r="HC113" i="71"/>
  <c r="HI112" i="71"/>
  <c r="HH112" i="71"/>
  <c r="HG112" i="71"/>
  <c r="HE112" i="71"/>
  <c r="HD112" i="71"/>
  <c r="HC112" i="71"/>
  <c r="HI107" i="71"/>
  <c r="HG107" i="71"/>
  <c r="HE107" i="71"/>
  <c r="HC107" i="71"/>
  <c r="HI106" i="71"/>
  <c r="HG106" i="71"/>
  <c r="HE106" i="71"/>
  <c r="HC106" i="71"/>
  <c r="HI105" i="71"/>
  <c r="HG105" i="71"/>
  <c r="HE105" i="71"/>
  <c r="HC105" i="71"/>
  <c r="HI104" i="71"/>
  <c r="HG104" i="71"/>
  <c r="HE104" i="71"/>
  <c r="HC104" i="71"/>
  <c r="HG103" i="71"/>
  <c r="HC103" i="71"/>
  <c r="HI102" i="71"/>
  <c r="HG102" i="71"/>
  <c r="HE102" i="71"/>
  <c r="HC102" i="71"/>
  <c r="HG101" i="71"/>
  <c r="HC101" i="71"/>
  <c r="HI100" i="71"/>
  <c r="HG100" i="71"/>
  <c r="HE100" i="71"/>
  <c r="HC100" i="71"/>
  <c r="HG99" i="71"/>
  <c r="HC99" i="71"/>
  <c r="HI98" i="71"/>
  <c r="HG98" i="71"/>
  <c r="HE98" i="71"/>
  <c r="HC98" i="71"/>
  <c r="HG97" i="71"/>
  <c r="HC97" i="71"/>
  <c r="HI96" i="71"/>
  <c r="HG96" i="71"/>
  <c r="HE96" i="71"/>
  <c r="HC96" i="71"/>
  <c r="HG95" i="71"/>
  <c r="HC95" i="71"/>
  <c r="HI94" i="71"/>
  <c r="HG94" i="71"/>
  <c r="HE94" i="71"/>
  <c r="HC94" i="71"/>
  <c r="HG93" i="71"/>
  <c r="HC93" i="71"/>
  <c r="HI92" i="71"/>
  <c r="HG92" i="71"/>
  <c r="HE92" i="71"/>
  <c r="HC92" i="71"/>
  <c r="HG91" i="71"/>
  <c r="HC91" i="71"/>
  <c r="HG90" i="71"/>
  <c r="HC90" i="71"/>
  <c r="HG89" i="71"/>
  <c r="HC89" i="71"/>
  <c r="HG88" i="71"/>
  <c r="HC88" i="71"/>
  <c r="HG87" i="71"/>
  <c r="HC87" i="71"/>
  <c r="HG86" i="71"/>
  <c r="HC86" i="71"/>
  <c r="HG85" i="71"/>
  <c r="HC85" i="71"/>
  <c r="HG84" i="71"/>
  <c r="HC84" i="71"/>
  <c r="HG83" i="71"/>
  <c r="HC83" i="71"/>
  <c r="HG82" i="71"/>
  <c r="HC82" i="71"/>
  <c r="HG81" i="71"/>
  <c r="HC81" i="71"/>
  <c r="HJ80" i="71"/>
  <c r="HI80" i="71"/>
  <c r="HG80" i="71"/>
  <c r="HF80" i="71"/>
  <c r="HE80" i="71"/>
  <c r="HC80" i="71"/>
  <c r="HJ79" i="71"/>
  <c r="HI79" i="71"/>
  <c r="HG79" i="71"/>
  <c r="HF79" i="71"/>
  <c r="HE79" i="71"/>
  <c r="HC79" i="71"/>
  <c r="HJ78" i="71"/>
  <c r="HI78" i="71"/>
  <c r="HG78" i="71"/>
  <c r="HF78" i="71"/>
  <c r="HE78" i="71"/>
  <c r="HC78" i="71"/>
  <c r="HJ77" i="71"/>
  <c r="HI77" i="71"/>
  <c r="HG77" i="71"/>
  <c r="HF77" i="71"/>
  <c r="HE77" i="71"/>
  <c r="HC77" i="71"/>
  <c r="HJ76" i="71"/>
  <c r="HI76" i="71"/>
  <c r="HG76" i="71"/>
  <c r="HF76" i="71"/>
  <c r="HE76" i="71"/>
  <c r="HC76" i="71"/>
  <c r="HJ75" i="71"/>
  <c r="HI75" i="71"/>
  <c r="HG75" i="71"/>
  <c r="HF75" i="71"/>
  <c r="HE75" i="71"/>
  <c r="HC75" i="71"/>
  <c r="HJ74" i="71"/>
  <c r="HI74" i="71"/>
  <c r="HG74" i="71"/>
  <c r="HF74" i="71"/>
  <c r="HE74" i="71"/>
  <c r="HC74" i="71"/>
  <c r="HJ73" i="71"/>
  <c r="HI73" i="71"/>
  <c r="HG73" i="71"/>
  <c r="HF73" i="71"/>
  <c r="HE73" i="71"/>
  <c r="HC73" i="71"/>
  <c r="HJ72" i="71"/>
  <c r="HI72" i="71"/>
  <c r="HG72" i="71"/>
  <c r="HF72" i="71"/>
  <c r="HE72" i="71"/>
  <c r="HC72" i="71"/>
  <c r="HJ71" i="71"/>
  <c r="HI71" i="71"/>
  <c r="HG71" i="71"/>
  <c r="HF71" i="71"/>
  <c r="HE71" i="71"/>
  <c r="HC71" i="71"/>
  <c r="HJ70" i="71"/>
  <c r="HI70" i="71"/>
  <c r="HG70" i="71"/>
  <c r="HF70" i="71"/>
  <c r="HE70" i="71"/>
  <c r="HC70" i="71"/>
  <c r="HJ69" i="71"/>
  <c r="HI69" i="71"/>
  <c r="HG69" i="71"/>
  <c r="HF69" i="71"/>
  <c r="HE69" i="71"/>
  <c r="HC69" i="71"/>
  <c r="HJ68" i="71"/>
  <c r="HI68" i="71"/>
  <c r="HG68" i="71"/>
  <c r="HF68" i="71"/>
  <c r="HE68" i="71"/>
  <c r="HC68" i="71"/>
  <c r="HJ67" i="71"/>
  <c r="HI67" i="71"/>
  <c r="HG67" i="71"/>
  <c r="HF67" i="71"/>
  <c r="HE67" i="71"/>
  <c r="HC67" i="71"/>
  <c r="HJ66" i="71"/>
  <c r="HI66" i="71"/>
  <c r="HG66" i="71"/>
  <c r="HF66" i="71"/>
  <c r="HE66" i="71"/>
  <c r="HC66" i="71"/>
  <c r="HJ65" i="71"/>
  <c r="HI65" i="71"/>
  <c r="HG65" i="71"/>
  <c r="HF65" i="71"/>
  <c r="HE65" i="71"/>
  <c r="HC65" i="71"/>
  <c r="HI64" i="71"/>
  <c r="HH64" i="71"/>
  <c r="HG64" i="71"/>
  <c r="HE64" i="71"/>
  <c r="HD64" i="71"/>
  <c r="HC64" i="71"/>
  <c r="HI63" i="71"/>
  <c r="HH63" i="71"/>
  <c r="HG63" i="71"/>
  <c r="HE63" i="71"/>
  <c r="HD63" i="71"/>
  <c r="HC63" i="71"/>
  <c r="HI62" i="71"/>
  <c r="HH62" i="71"/>
  <c r="HG62" i="71"/>
  <c r="HE62" i="71"/>
  <c r="HD62" i="71"/>
  <c r="HC62" i="71"/>
  <c r="HI61" i="71"/>
  <c r="HH61" i="71"/>
  <c r="HG61" i="71"/>
  <c r="HE61" i="71"/>
  <c r="HD61" i="71"/>
  <c r="HC61" i="71"/>
  <c r="HI60" i="71"/>
  <c r="HH60" i="71"/>
  <c r="HG60" i="71"/>
  <c r="HE60" i="71"/>
  <c r="HD60" i="71"/>
  <c r="HC60" i="71"/>
  <c r="HI59" i="71"/>
  <c r="HH59" i="71"/>
  <c r="HG59" i="71"/>
  <c r="HE59" i="71"/>
  <c r="HD59" i="71"/>
  <c r="HC59" i="71"/>
  <c r="HI58" i="71"/>
  <c r="HH58" i="71"/>
  <c r="HG58" i="71"/>
  <c r="HE58" i="71"/>
  <c r="HD58" i="71"/>
  <c r="HC58" i="71"/>
  <c r="HI57" i="71"/>
  <c r="HH57" i="71"/>
  <c r="HG57" i="71"/>
  <c r="HE57" i="71"/>
  <c r="HD57" i="71"/>
  <c r="HC57" i="71"/>
  <c r="HI56" i="71"/>
  <c r="HH56" i="71"/>
  <c r="HG56" i="71"/>
  <c r="HE56" i="71"/>
  <c r="HD56" i="71"/>
  <c r="HC56" i="71"/>
  <c r="HI55" i="71"/>
  <c r="HH55" i="71"/>
  <c r="HG55" i="71"/>
  <c r="HE55" i="71"/>
  <c r="HD55" i="71"/>
  <c r="HC55" i="71"/>
  <c r="HI54" i="71"/>
  <c r="HH54" i="71"/>
  <c r="HG54" i="71"/>
  <c r="HE54" i="71"/>
  <c r="HD54" i="71"/>
  <c r="HC54" i="71"/>
  <c r="HI53" i="71"/>
  <c r="HH53" i="71"/>
  <c r="HG53" i="71"/>
  <c r="HE53" i="71"/>
  <c r="HD53" i="71"/>
  <c r="HC53" i="71"/>
  <c r="HI52" i="71"/>
  <c r="HH52" i="71"/>
  <c r="HG52" i="71"/>
  <c r="HE52" i="71"/>
  <c r="HD52" i="71"/>
  <c r="HC52" i="71"/>
  <c r="HI51" i="71"/>
  <c r="HH51" i="71"/>
  <c r="HG51" i="71"/>
  <c r="HE51" i="71"/>
  <c r="HD51" i="71"/>
  <c r="HC51" i="71"/>
  <c r="HI50" i="71"/>
  <c r="HH50" i="71"/>
  <c r="HG50" i="71"/>
  <c r="HE50" i="71"/>
  <c r="HD50" i="71"/>
  <c r="HC50" i="71"/>
  <c r="HI49" i="71"/>
  <c r="HH49" i="71"/>
  <c r="HG49" i="71"/>
  <c r="HE49" i="71"/>
  <c r="HD49" i="71"/>
  <c r="HC49" i="71"/>
  <c r="HI48" i="71"/>
  <c r="HH48" i="71"/>
  <c r="HG48" i="71"/>
  <c r="HE48" i="71"/>
  <c r="HD48" i="71"/>
  <c r="HC48" i="71"/>
  <c r="HI47" i="71"/>
  <c r="HH47" i="71"/>
  <c r="HG47" i="71"/>
  <c r="HE47" i="71"/>
  <c r="HD47" i="71"/>
  <c r="HC47" i="71"/>
  <c r="HI46" i="71"/>
  <c r="HH46" i="71"/>
  <c r="HG46" i="71"/>
  <c r="HE46" i="71"/>
  <c r="HD46" i="71"/>
  <c r="HC46" i="71"/>
  <c r="HI45" i="71"/>
  <c r="HH45" i="71"/>
  <c r="HG45" i="71"/>
  <c r="HE45" i="71"/>
  <c r="HD45" i="71"/>
  <c r="HC45" i="71"/>
  <c r="HI44" i="71"/>
  <c r="HH44" i="71"/>
  <c r="HG44" i="71"/>
  <c r="HE44" i="71"/>
  <c r="HD44" i="71"/>
  <c r="HC44" i="71"/>
  <c r="HI43" i="71"/>
  <c r="HH43" i="71"/>
  <c r="HG43" i="71"/>
  <c r="HE43" i="71"/>
  <c r="HD43" i="71"/>
  <c r="HC43" i="71"/>
  <c r="HI42" i="71"/>
  <c r="HH42" i="71"/>
  <c r="HG42" i="71"/>
  <c r="HE42" i="71"/>
  <c r="HD42" i="71"/>
  <c r="HC42" i="71"/>
  <c r="HI41" i="71"/>
  <c r="HH41" i="71"/>
  <c r="HG41" i="71"/>
  <c r="HE41" i="71"/>
  <c r="HD41" i="71"/>
  <c r="HC41" i="71"/>
  <c r="HI40" i="71"/>
  <c r="HH40" i="71"/>
  <c r="HG40" i="71"/>
  <c r="HE40" i="71"/>
  <c r="HD40" i="71"/>
  <c r="HC40" i="71"/>
  <c r="HI39" i="71"/>
  <c r="HH39" i="71"/>
  <c r="HG39" i="71"/>
  <c r="HE39" i="71"/>
  <c r="HD39" i="71"/>
  <c r="HC39" i="71"/>
  <c r="HI38" i="71"/>
  <c r="HH38" i="71"/>
  <c r="HG38" i="71"/>
  <c r="HE38" i="71"/>
  <c r="HD38" i="71"/>
  <c r="HC38" i="71"/>
  <c r="HI37" i="71"/>
  <c r="HH37" i="71"/>
  <c r="HG37" i="71"/>
  <c r="HE37" i="71"/>
  <c r="HD37" i="71"/>
  <c r="HC37" i="71"/>
  <c r="HI36" i="71"/>
  <c r="HH36" i="71"/>
  <c r="HG36" i="71"/>
  <c r="HE36" i="71"/>
  <c r="HD36" i="71"/>
  <c r="HC36" i="71"/>
  <c r="HI35" i="71"/>
  <c r="HH35" i="71"/>
  <c r="HG35" i="71"/>
  <c r="HE35" i="71"/>
  <c r="HD35" i="71"/>
  <c r="HC35" i="71"/>
  <c r="HI34" i="71"/>
  <c r="HH34" i="71"/>
  <c r="HG34" i="71"/>
  <c r="HE34" i="71"/>
  <c r="HD34" i="71"/>
  <c r="HC34" i="71"/>
  <c r="HI33" i="71"/>
  <c r="HH33" i="71"/>
  <c r="HG33" i="71"/>
  <c r="HE33" i="71"/>
  <c r="HD33" i="71"/>
  <c r="HC33" i="71"/>
  <c r="HI32" i="71"/>
  <c r="HH32" i="71"/>
  <c r="HG32" i="71"/>
  <c r="HE32" i="71"/>
  <c r="HD32" i="71"/>
  <c r="HC32" i="71"/>
  <c r="HI31" i="71"/>
  <c r="HH31" i="71"/>
  <c r="HG31" i="71"/>
  <c r="HE31" i="71"/>
  <c r="HD31" i="71"/>
  <c r="HC31" i="71"/>
  <c r="HI30" i="71"/>
  <c r="HH30" i="71"/>
  <c r="HG30" i="71"/>
  <c r="HE30" i="71"/>
  <c r="HD30" i="71"/>
  <c r="HC30" i="71"/>
  <c r="HI29" i="71"/>
  <c r="HH29" i="71"/>
  <c r="HG29" i="71"/>
  <c r="HE29" i="71"/>
  <c r="HD29" i="71"/>
  <c r="HC29" i="71"/>
  <c r="HI28" i="71"/>
  <c r="HH28" i="71"/>
  <c r="HG28" i="71"/>
  <c r="HE28" i="71"/>
  <c r="HD28" i="71"/>
  <c r="HC28" i="71"/>
  <c r="HI27" i="71"/>
  <c r="HH27" i="71"/>
  <c r="HG27" i="71"/>
  <c r="HE27" i="71"/>
  <c r="HD27" i="71"/>
  <c r="HC27" i="71"/>
  <c r="HI26" i="71"/>
  <c r="HH26" i="71"/>
  <c r="HG26" i="71"/>
  <c r="HE26" i="71"/>
  <c r="HD26" i="71"/>
  <c r="HC26" i="71"/>
  <c r="HI25" i="71"/>
  <c r="HH25" i="71"/>
  <c r="HG25" i="71"/>
  <c r="HE25" i="71"/>
  <c r="HD25" i="71"/>
  <c r="HC25" i="71"/>
  <c r="HI24" i="71"/>
  <c r="HH24" i="71"/>
  <c r="HG24" i="71"/>
  <c r="HE24" i="71"/>
  <c r="HD24" i="71"/>
  <c r="HC24" i="71"/>
  <c r="HI23" i="71"/>
  <c r="HH23" i="71"/>
  <c r="HG23" i="71"/>
  <c r="HE23" i="71"/>
  <c r="HD23" i="71"/>
  <c r="HC23" i="71"/>
  <c r="HI22" i="71"/>
  <c r="HH22" i="71"/>
  <c r="HG22" i="71"/>
  <c r="HE22" i="71"/>
  <c r="HD22" i="71"/>
  <c r="HC22" i="71"/>
  <c r="HI21" i="71"/>
  <c r="HH21" i="71"/>
  <c r="HG21" i="71"/>
  <c r="HE21" i="71"/>
  <c r="HD21" i="71"/>
  <c r="HC21" i="71"/>
  <c r="HI20" i="71"/>
  <c r="HH20" i="71"/>
  <c r="HG20" i="71"/>
  <c r="HE20" i="71"/>
  <c r="HD20" i="71"/>
  <c r="HC20" i="71"/>
  <c r="HI19" i="71"/>
  <c r="HH19" i="71"/>
  <c r="HG19" i="71"/>
  <c r="HE19" i="71"/>
  <c r="HD19" i="71"/>
  <c r="HC19" i="71"/>
  <c r="HI18" i="71"/>
  <c r="HH18" i="71"/>
  <c r="HG18" i="71"/>
  <c r="HE18" i="71"/>
  <c r="HD18" i="71"/>
  <c r="HC18" i="71"/>
  <c r="HI17" i="71"/>
  <c r="HH17" i="71"/>
  <c r="HG17" i="71"/>
  <c r="HE17" i="71"/>
  <c r="HD17" i="71"/>
  <c r="HC17" i="71"/>
  <c r="HG12" i="71"/>
  <c r="W104" i="75" s="1"/>
  <c r="HE12" i="71"/>
  <c r="O104" i="75" s="1"/>
  <c r="HG11" i="71"/>
  <c r="HE11" i="71"/>
  <c r="HG10" i="71"/>
  <c r="HE10" i="71"/>
  <c r="GZ6" i="71"/>
  <c r="GV6" i="71"/>
  <c r="GR6" i="71"/>
  <c r="GN6" i="71"/>
  <c r="GJ6" i="71"/>
  <c r="GF6" i="71"/>
  <c r="GB6" i="71"/>
  <c r="FX6" i="71"/>
  <c r="FT6" i="71"/>
  <c r="FP6" i="71"/>
  <c r="FL6" i="71"/>
  <c r="FH6" i="71"/>
  <c r="FD6" i="71"/>
  <c r="EZ6" i="71"/>
  <c r="EV6" i="71"/>
  <c r="ER6" i="71"/>
  <c r="EN6" i="71"/>
  <c r="EJ6" i="71"/>
  <c r="EF6" i="71"/>
  <c r="EB6" i="71"/>
  <c r="DX6" i="71"/>
  <c r="DT6" i="71"/>
  <c r="DP6" i="71"/>
  <c r="DL6" i="71"/>
  <c r="DH6" i="71"/>
  <c r="DD6" i="71"/>
  <c r="CZ6" i="71"/>
  <c r="CV6" i="71"/>
  <c r="CR6" i="71"/>
  <c r="CN6" i="71"/>
  <c r="CJ6" i="71"/>
  <c r="CF6" i="71"/>
  <c r="CB6" i="71"/>
  <c r="BX6" i="71"/>
  <c r="BT6" i="71"/>
  <c r="BP6" i="71"/>
  <c r="BL6" i="71"/>
  <c r="BH6" i="71"/>
  <c r="BD6" i="71"/>
  <c r="AZ6" i="71"/>
  <c r="AV6" i="71"/>
  <c r="AR6" i="71"/>
  <c r="AN6" i="71"/>
  <c r="AJ6" i="71"/>
  <c r="AF6" i="71"/>
  <c r="AB6" i="71"/>
  <c r="X6" i="71"/>
  <c r="T6" i="71"/>
  <c r="P6" i="71"/>
  <c r="L6" i="71"/>
  <c r="B5" i="71"/>
  <c r="B4" i="71"/>
  <c r="B3" i="71"/>
  <c r="BD287" i="70"/>
  <c r="D287" i="70"/>
  <c r="BD286" i="70"/>
  <c r="D286" i="70"/>
  <c r="C286" i="70"/>
  <c r="BC285" i="70"/>
  <c r="D285" i="70"/>
  <c r="C285" i="70"/>
  <c r="BC284" i="70"/>
  <c r="BD275" i="70"/>
  <c r="D275" i="70"/>
  <c r="BD274" i="70"/>
  <c r="D274" i="70"/>
  <c r="C274" i="70"/>
  <c r="BC273" i="70"/>
  <c r="D273" i="70"/>
  <c r="C273" i="70"/>
  <c r="BC272" i="70"/>
  <c r="BD263" i="70"/>
  <c r="D263" i="70"/>
  <c r="BD262" i="70"/>
  <c r="D262" i="70"/>
  <c r="C262" i="70"/>
  <c r="BC261" i="70"/>
  <c r="D261" i="70"/>
  <c r="C261" i="70"/>
  <c r="BC260" i="70"/>
  <c r="BD251" i="70"/>
  <c r="D251" i="70"/>
  <c r="BD250" i="70"/>
  <c r="D250" i="70"/>
  <c r="C250" i="70"/>
  <c r="BC249" i="70"/>
  <c r="D249" i="70"/>
  <c r="C249" i="70"/>
  <c r="BC248" i="70"/>
  <c r="GY243" i="70"/>
  <c r="GU243" i="70"/>
  <c r="GQ243" i="70"/>
  <c r="GM243" i="70"/>
  <c r="GI243" i="70"/>
  <c r="GE243" i="70"/>
  <c r="GA243" i="70"/>
  <c r="FW243" i="70"/>
  <c r="FS243" i="70"/>
  <c r="FO243" i="70"/>
  <c r="FK243" i="70"/>
  <c r="FG243" i="70"/>
  <c r="FC243" i="70"/>
  <c r="EY243" i="70"/>
  <c r="EU243" i="70"/>
  <c r="EQ243" i="70"/>
  <c r="EM243" i="70"/>
  <c r="EI243" i="70"/>
  <c r="EE243" i="70"/>
  <c r="EA243" i="70"/>
  <c r="DW243" i="70"/>
  <c r="DS243" i="70"/>
  <c r="DO243" i="70"/>
  <c r="DK243" i="70"/>
  <c r="DG243" i="70"/>
  <c r="DC243" i="70"/>
  <c r="CY243" i="70"/>
  <c r="CU243" i="70"/>
  <c r="CQ243" i="70"/>
  <c r="CM243" i="70"/>
  <c r="CI243" i="70"/>
  <c r="CE243" i="70"/>
  <c r="CA243" i="70"/>
  <c r="BW243" i="70"/>
  <c r="BS243" i="70"/>
  <c r="BO243" i="70"/>
  <c r="BK243" i="70"/>
  <c r="BG243" i="70"/>
  <c r="BC243" i="70"/>
  <c r="AY243" i="70"/>
  <c r="AU243" i="70"/>
  <c r="AQ243" i="70"/>
  <c r="AM243" i="70"/>
  <c r="AI243" i="70"/>
  <c r="AE243" i="70"/>
  <c r="AA243" i="70"/>
  <c r="W243" i="70"/>
  <c r="S243" i="70"/>
  <c r="O243" i="70"/>
  <c r="K243" i="70"/>
  <c r="GY242" i="70"/>
  <c r="GU242" i="70"/>
  <c r="GQ242" i="70"/>
  <c r="GM242" i="70"/>
  <c r="GI242" i="70"/>
  <c r="GE242" i="70"/>
  <c r="GA242" i="70"/>
  <c r="FW242" i="70"/>
  <c r="FS242" i="70"/>
  <c r="FO242" i="70"/>
  <c r="FK242" i="70"/>
  <c r="FG242" i="70"/>
  <c r="FC242" i="70"/>
  <c r="EY242" i="70"/>
  <c r="EU242" i="70"/>
  <c r="EQ242" i="70"/>
  <c r="EM242" i="70"/>
  <c r="EI242" i="70"/>
  <c r="EE242" i="70"/>
  <c r="EA242" i="70"/>
  <c r="DW242" i="70"/>
  <c r="DS242" i="70"/>
  <c r="DO242" i="70"/>
  <c r="DK242" i="70"/>
  <c r="DG242" i="70"/>
  <c r="DC242" i="70"/>
  <c r="CY242" i="70"/>
  <c r="CU242" i="70"/>
  <c r="CQ242" i="70"/>
  <c r="CM242" i="70"/>
  <c r="CI242" i="70"/>
  <c r="CE242" i="70"/>
  <c r="CA242" i="70"/>
  <c r="BW242" i="70"/>
  <c r="BS242" i="70"/>
  <c r="BO242" i="70"/>
  <c r="BK242" i="70"/>
  <c r="BG242" i="70"/>
  <c r="BC242" i="70"/>
  <c r="AY242" i="70"/>
  <c r="AU242" i="70"/>
  <c r="AQ242" i="70"/>
  <c r="AM242" i="70"/>
  <c r="AI242" i="70"/>
  <c r="AE242" i="70"/>
  <c r="AA242" i="70"/>
  <c r="W242" i="70"/>
  <c r="S242" i="70"/>
  <c r="O242" i="70"/>
  <c r="K242" i="70"/>
  <c r="J242" i="70"/>
  <c r="I242" i="70"/>
  <c r="GY241" i="70"/>
  <c r="GU241" i="70"/>
  <c r="GQ241" i="70"/>
  <c r="GM241" i="70"/>
  <c r="GI241" i="70"/>
  <c r="GE241" i="70"/>
  <c r="GA241" i="70"/>
  <c r="FW241" i="70"/>
  <c r="FS241" i="70"/>
  <c r="FO241" i="70"/>
  <c r="FK241" i="70"/>
  <c r="FG241" i="70"/>
  <c r="FC241" i="70"/>
  <c r="EY241" i="70"/>
  <c r="EU241" i="70"/>
  <c r="EQ241" i="70"/>
  <c r="EM241" i="70"/>
  <c r="EI241" i="70"/>
  <c r="EE241" i="70"/>
  <c r="EA241" i="70"/>
  <c r="DW241" i="70"/>
  <c r="DS241" i="70"/>
  <c r="DO241" i="70"/>
  <c r="DK241" i="70"/>
  <c r="DG241" i="70"/>
  <c r="DC241" i="70"/>
  <c r="CY241" i="70"/>
  <c r="CU241" i="70"/>
  <c r="CQ241" i="70"/>
  <c r="CM241" i="70"/>
  <c r="CI241" i="70"/>
  <c r="CE241" i="70"/>
  <c r="CA241" i="70"/>
  <c r="BW241" i="70"/>
  <c r="BS241" i="70"/>
  <c r="BO241" i="70"/>
  <c r="BK241" i="70"/>
  <c r="BG241" i="70"/>
  <c r="BC241" i="70"/>
  <c r="AY241" i="70"/>
  <c r="AU241" i="70"/>
  <c r="AQ241" i="70"/>
  <c r="AM241" i="70"/>
  <c r="AI241" i="70"/>
  <c r="AE241" i="70"/>
  <c r="AA241" i="70"/>
  <c r="W241" i="70"/>
  <c r="S241" i="70"/>
  <c r="O241" i="70"/>
  <c r="K241" i="70"/>
  <c r="J241" i="70"/>
  <c r="I241" i="70"/>
  <c r="HA240" i="70"/>
  <c r="GY240" i="70"/>
  <c r="GW240" i="70"/>
  <c r="GU240" i="70"/>
  <c r="GS240" i="70"/>
  <c r="GQ240" i="70"/>
  <c r="GO240" i="70"/>
  <c r="GM240" i="70"/>
  <c r="GK240" i="70"/>
  <c r="GI240" i="70"/>
  <c r="GG240" i="70"/>
  <c r="GE240" i="70"/>
  <c r="GC240" i="70"/>
  <c r="GA240" i="70"/>
  <c r="FY240" i="70"/>
  <c r="FW240" i="70"/>
  <c r="FU240" i="70"/>
  <c r="FS240" i="70"/>
  <c r="FQ240" i="70"/>
  <c r="FO240" i="70"/>
  <c r="FM240" i="70"/>
  <c r="FK240" i="70"/>
  <c r="FI240" i="70"/>
  <c r="FG240" i="70"/>
  <c r="FE240" i="70"/>
  <c r="FC240" i="70"/>
  <c r="FA240" i="70"/>
  <c r="EY240" i="70"/>
  <c r="EW240" i="70"/>
  <c r="EU240" i="70"/>
  <c r="ES240" i="70"/>
  <c r="EQ240" i="70"/>
  <c r="EO240" i="70"/>
  <c r="EM240" i="70"/>
  <c r="EK240" i="70"/>
  <c r="EI240" i="70"/>
  <c r="EG240" i="70"/>
  <c r="EE240" i="70"/>
  <c r="EC240" i="70"/>
  <c r="EA240" i="70"/>
  <c r="DY240" i="70"/>
  <c r="DW240" i="70"/>
  <c r="DU240" i="70"/>
  <c r="DS240" i="70"/>
  <c r="DQ240" i="70"/>
  <c r="DO240" i="70"/>
  <c r="DM240" i="70"/>
  <c r="DK240" i="70"/>
  <c r="DI240" i="70"/>
  <c r="DG240" i="70"/>
  <c r="DE240" i="70"/>
  <c r="DC240" i="70"/>
  <c r="DA240" i="70"/>
  <c r="CY240" i="70"/>
  <c r="CW240" i="70"/>
  <c r="CU240" i="70"/>
  <c r="CS240" i="70"/>
  <c r="CQ240" i="70"/>
  <c r="CO240" i="70"/>
  <c r="CM240" i="70"/>
  <c r="CK240" i="70"/>
  <c r="CI240" i="70"/>
  <c r="CG240" i="70"/>
  <c r="CE240" i="70"/>
  <c r="CC240" i="70"/>
  <c r="CA240" i="70"/>
  <c r="BY240" i="70"/>
  <c r="BW240" i="70"/>
  <c r="BU240" i="70"/>
  <c r="BS240" i="70"/>
  <c r="BQ240" i="70"/>
  <c r="BO240" i="70"/>
  <c r="BM240" i="70"/>
  <c r="BK240" i="70"/>
  <c r="BI240" i="70"/>
  <c r="BG240" i="70"/>
  <c r="BE240" i="70"/>
  <c r="BC240" i="70"/>
  <c r="BA240" i="70"/>
  <c r="AY240" i="70"/>
  <c r="AW240" i="70"/>
  <c r="AU240" i="70"/>
  <c r="AS240" i="70"/>
  <c r="AQ240" i="70"/>
  <c r="AO240" i="70"/>
  <c r="AM240" i="70"/>
  <c r="AK240" i="70"/>
  <c r="AI240" i="70"/>
  <c r="AG240" i="70"/>
  <c r="AE240" i="70"/>
  <c r="AC240" i="70"/>
  <c r="AA240" i="70"/>
  <c r="Y240" i="70"/>
  <c r="W240" i="70"/>
  <c r="U240" i="70"/>
  <c r="S240" i="70"/>
  <c r="Q240" i="70"/>
  <c r="O240" i="70"/>
  <c r="M240" i="70"/>
  <c r="K240" i="70"/>
  <c r="HA239" i="70"/>
  <c r="GY239" i="70"/>
  <c r="GW239" i="70"/>
  <c r="GU239" i="70"/>
  <c r="GS239" i="70"/>
  <c r="GQ239" i="70"/>
  <c r="GO239" i="70"/>
  <c r="GM239" i="70"/>
  <c r="GK239" i="70"/>
  <c r="GI239" i="70"/>
  <c r="GG239" i="70"/>
  <c r="GE239" i="70"/>
  <c r="GC239" i="70"/>
  <c r="GA239" i="70"/>
  <c r="FY239" i="70"/>
  <c r="FW239" i="70"/>
  <c r="FU239" i="70"/>
  <c r="FS239" i="70"/>
  <c r="FQ239" i="70"/>
  <c r="FO239" i="70"/>
  <c r="FM239" i="70"/>
  <c r="FK239" i="70"/>
  <c r="FI239" i="70"/>
  <c r="FG239" i="70"/>
  <c r="FE239" i="70"/>
  <c r="FC239" i="70"/>
  <c r="FA239" i="70"/>
  <c r="EY239" i="70"/>
  <c r="EW239" i="70"/>
  <c r="EU239" i="70"/>
  <c r="ES239" i="70"/>
  <c r="EQ239" i="70"/>
  <c r="EO239" i="70"/>
  <c r="EM239" i="70"/>
  <c r="EK239" i="70"/>
  <c r="EI239" i="70"/>
  <c r="EG239" i="70"/>
  <c r="EE239" i="70"/>
  <c r="EC239" i="70"/>
  <c r="EA239" i="70"/>
  <c r="DY239" i="70"/>
  <c r="DW239" i="70"/>
  <c r="DU239" i="70"/>
  <c r="DS239" i="70"/>
  <c r="DQ239" i="70"/>
  <c r="DO239" i="70"/>
  <c r="DM239" i="70"/>
  <c r="DK239" i="70"/>
  <c r="DI239" i="70"/>
  <c r="DG239" i="70"/>
  <c r="DE239" i="70"/>
  <c r="DC239" i="70"/>
  <c r="DA239" i="70"/>
  <c r="CY239" i="70"/>
  <c r="CW239" i="70"/>
  <c r="CU239" i="70"/>
  <c r="CS239" i="70"/>
  <c r="CQ239" i="70"/>
  <c r="CO239" i="70"/>
  <c r="CM239" i="70"/>
  <c r="CK239" i="70"/>
  <c r="CI239" i="70"/>
  <c r="CG239" i="70"/>
  <c r="CE239" i="70"/>
  <c r="CC239" i="70"/>
  <c r="CA239" i="70"/>
  <c r="BY239" i="70"/>
  <c r="BW239" i="70"/>
  <c r="BU239" i="70"/>
  <c r="BS239" i="70"/>
  <c r="BQ239" i="70"/>
  <c r="BO239" i="70"/>
  <c r="BM239" i="70"/>
  <c r="BK239" i="70"/>
  <c r="BI239" i="70"/>
  <c r="BG239" i="70"/>
  <c r="BE239" i="70"/>
  <c r="BC239" i="70"/>
  <c r="BA239" i="70"/>
  <c r="AY239" i="70"/>
  <c r="AW239" i="70"/>
  <c r="AU239" i="70"/>
  <c r="AS239" i="70"/>
  <c r="AQ239" i="70"/>
  <c r="AO239" i="70"/>
  <c r="AM239" i="70"/>
  <c r="AK239" i="70"/>
  <c r="AI239" i="70"/>
  <c r="AG239" i="70"/>
  <c r="AE239" i="70"/>
  <c r="AC239" i="70"/>
  <c r="AA239" i="70"/>
  <c r="Y239" i="70"/>
  <c r="W239" i="70"/>
  <c r="U239" i="70"/>
  <c r="S239" i="70"/>
  <c r="Q239" i="70"/>
  <c r="O239" i="70"/>
  <c r="M239" i="70"/>
  <c r="K239" i="70"/>
  <c r="HA238" i="70"/>
  <c r="GY238" i="70"/>
  <c r="GW238" i="70"/>
  <c r="GU238" i="70"/>
  <c r="GS238" i="70"/>
  <c r="GQ238" i="70"/>
  <c r="GO238" i="70"/>
  <c r="GM238" i="70"/>
  <c r="GK238" i="70"/>
  <c r="GI238" i="70"/>
  <c r="GG238" i="70"/>
  <c r="GE238" i="70"/>
  <c r="GC238" i="70"/>
  <c r="GA238" i="70"/>
  <c r="FY238" i="70"/>
  <c r="FW238" i="70"/>
  <c r="FU238" i="70"/>
  <c r="FS238" i="70"/>
  <c r="FQ238" i="70"/>
  <c r="FO238" i="70"/>
  <c r="FM238" i="70"/>
  <c r="FK238" i="70"/>
  <c r="FI238" i="70"/>
  <c r="FG238" i="70"/>
  <c r="FE238" i="70"/>
  <c r="FC238" i="70"/>
  <c r="FA238" i="70"/>
  <c r="EY238" i="70"/>
  <c r="EW238" i="70"/>
  <c r="EU238" i="70"/>
  <c r="ES238" i="70"/>
  <c r="EQ238" i="70"/>
  <c r="EO238" i="70"/>
  <c r="EM238" i="70"/>
  <c r="EK238" i="70"/>
  <c r="EI238" i="70"/>
  <c r="EG238" i="70"/>
  <c r="EE238" i="70"/>
  <c r="EC238" i="70"/>
  <c r="EA238" i="70"/>
  <c r="DY238" i="70"/>
  <c r="DW238" i="70"/>
  <c r="DU238" i="70"/>
  <c r="DS238" i="70"/>
  <c r="DQ238" i="70"/>
  <c r="DO238" i="70"/>
  <c r="DM238" i="70"/>
  <c r="DK238" i="70"/>
  <c r="DI238" i="70"/>
  <c r="DG238" i="70"/>
  <c r="DE238" i="70"/>
  <c r="DC238" i="70"/>
  <c r="DA238" i="70"/>
  <c r="CY238" i="70"/>
  <c r="CW238" i="70"/>
  <c r="CU238" i="70"/>
  <c r="CS238" i="70"/>
  <c r="CQ238" i="70"/>
  <c r="CO238" i="70"/>
  <c r="CM238" i="70"/>
  <c r="CK238" i="70"/>
  <c r="CI238" i="70"/>
  <c r="CG238" i="70"/>
  <c r="CE238" i="70"/>
  <c r="CC238" i="70"/>
  <c r="CA238" i="70"/>
  <c r="BY238" i="70"/>
  <c r="BW238" i="70"/>
  <c r="BU238" i="70"/>
  <c r="BS238" i="70"/>
  <c r="BQ238" i="70"/>
  <c r="BO238" i="70"/>
  <c r="BM238" i="70"/>
  <c r="BK238" i="70"/>
  <c r="BI238" i="70"/>
  <c r="BG238" i="70"/>
  <c r="BE238" i="70"/>
  <c r="BC238" i="70"/>
  <c r="BA238" i="70"/>
  <c r="AY238" i="70"/>
  <c r="AW238" i="70"/>
  <c r="AU238" i="70"/>
  <c r="AS238" i="70"/>
  <c r="AQ238" i="70"/>
  <c r="AO238" i="70"/>
  <c r="AM238" i="70"/>
  <c r="AK238" i="70"/>
  <c r="AI238" i="70"/>
  <c r="AG238" i="70"/>
  <c r="AE238" i="70"/>
  <c r="AC238" i="70"/>
  <c r="AA238" i="70"/>
  <c r="Y238" i="70"/>
  <c r="W238" i="70"/>
  <c r="U238" i="70"/>
  <c r="S238" i="70"/>
  <c r="Q238" i="70"/>
  <c r="O238" i="70"/>
  <c r="M238" i="70"/>
  <c r="K238" i="70"/>
  <c r="HA237" i="70"/>
  <c r="GY237" i="70"/>
  <c r="GW237" i="70"/>
  <c r="GU237" i="70"/>
  <c r="GS237" i="70"/>
  <c r="GQ237" i="70"/>
  <c r="GO237" i="70"/>
  <c r="GM237" i="70"/>
  <c r="GK237" i="70"/>
  <c r="GI237" i="70"/>
  <c r="GG237" i="70"/>
  <c r="GE237" i="70"/>
  <c r="GC237" i="70"/>
  <c r="GA237" i="70"/>
  <c r="FY237" i="70"/>
  <c r="FW237" i="70"/>
  <c r="FU237" i="70"/>
  <c r="FS237" i="70"/>
  <c r="FQ237" i="70"/>
  <c r="FO237" i="70"/>
  <c r="FM237" i="70"/>
  <c r="FK237" i="70"/>
  <c r="FI237" i="70"/>
  <c r="FG237" i="70"/>
  <c r="FE237" i="70"/>
  <c r="FC237" i="70"/>
  <c r="FA237" i="70"/>
  <c r="EY237" i="70"/>
  <c r="EW237" i="70"/>
  <c r="EU237" i="70"/>
  <c r="ES237" i="70"/>
  <c r="EQ237" i="70"/>
  <c r="EO237" i="70"/>
  <c r="EM237" i="70"/>
  <c r="EK237" i="70"/>
  <c r="EI237" i="70"/>
  <c r="EG237" i="70"/>
  <c r="EE237" i="70"/>
  <c r="EC237" i="70"/>
  <c r="EA237" i="70"/>
  <c r="DY237" i="70"/>
  <c r="DW237" i="70"/>
  <c r="DU237" i="70"/>
  <c r="DS237" i="70"/>
  <c r="DQ237" i="70"/>
  <c r="DO237" i="70"/>
  <c r="DM237" i="70"/>
  <c r="DK237" i="70"/>
  <c r="DI237" i="70"/>
  <c r="DG237" i="70"/>
  <c r="DE237" i="70"/>
  <c r="DC237" i="70"/>
  <c r="DA237" i="70"/>
  <c r="CY237" i="70"/>
  <c r="CW237" i="70"/>
  <c r="CU237" i="70"/>
  <c r="CS237" i="70"/>
  <c r="CQ237" i="70"/>
  <c r="CO237" i="70"/>
  <c r="CM237" i="70"/>
  <c r="CK237" i="70"/>
  <c r="CI237" i="70"/>
  <c r="CG237" i="70"/>
  <c r="CE237" i="70"/>
  <c r="CC237" i="70"/>
  <c r="CA237" i="70"/>
  <c r="BY237" i="70"/>
  <c r="BW237" i="70"/>
  <c r="BU237" i="70"/>
  <c r="BS237" i="70"/>
  <c r="BQ237" i="70"/>
  <c r="BO237" i="70"/>
  <c r="BM237" i="70"/>
  <c r="BK237" i="70"/>
  <c r="BI237" i="70"/>
  <c r="BG237" i="70"/>
  <c r="BE237" i="70"/>
  <c r="BC237" i="70"/>
  <c r="BA237" i="70"/>
  <c r="AY237" i="70"/>
  <c r="AW237" i="70"/>
  <c r="AU237" i="70"/>
  <c r="AS237" i="70"/>
  <c r="AQ237" i="70"/>
  <c r="AO237" i="70"/>
  <c r="AM237" i="70"/>
  <c r="AK237" i="70"/>
  <c r="AI237" i="70"/>
  <c r="AG237" i="70"/>
  <c r="AE237" i="70"/>
  <c r="AC237" i="70"/>
  <c r="AA237" i="70"/>
  <c r="Y237" i="70"/>
  <c r="W237" i="70"/>
  <c r="U237" i="70"/>
  <c r="S237" i="70"/>
  <c r="Q237" i="70"/>
  <c r="O237" i="70"/>
  <c r="M237" i="70"/>
  <c r="K237" i="70"/>
  <c r="HA236" i="70"/>
  <c r="GY236" i="70"/>
  <c r="GW236" i="70"/>
  <c r="GU236" i="70"/>
  <c r="GS236" i="70"/>
  <c r="GQ236" i="70"/>
  <c r="GO236" i="70"/>
  <c r="GM236" i="70"/>
  <c r="GK236" i="70"/>
  <c r="GI236" i="70"/>
  <c r="GG236" i="70"/>
  <c r="GE236" i="70"/>
  <c r="GC236" i="70"/>
  <c r="GA236" i="70"/>
  <c r="FY236" i="70"/>
  <c r="FW236" i="70"/>
  <c r="FU236" i="70"/>
  <c r="FS236" i="70"/>
  <c r="FQ236" i="70"/>
  <c r="FO236" i="70"/>
  <c r="FM236" i="70"/>
  <c r="FK236" i="70"/>
  <c r="FI236" i="70"/>
  <c r="FG236" i="70"/>
  <c r="FE236" i="70"/>
  <c r="FC236" i="70"/>
  <c r="FA236" i="70"/>
  <c r="EY236" i="70"/>
  <c r="EW236" i="70"/>
  <c r="EU236" i="70"/>
  <c r="ES236" i="70"/>
  <c r="EQ236" i="70"/>
  <c r="EO236" i="70"/>
  <c r="EM236" i="70"/>
  <c r="EK236" i="70"/>
  <c r="EI236" i="70"/>
  <c r="EG236" i="70"/>
  <c r="EE236" i="70"/>
  <c r="EC236" i="70"/>
  <c r="EA236" i="70"/>
  <c r="DY236" i="70"/>
  <c r="DW236" i="70"/>
  <c r="DU236" i="70"/>
  <c r="DS236" i="70"/>
  <c r="DQ236" i="70"/>
  <c r="DO236" i="70"/>
  <c r="DM236" i="70"/>
  <c r="DK236" i="70"/>
  <c r="DI236" i="70"/>
  <c r="DG236" i="70"/>
  <c r="DE236" i="70"/>
  <c r="DC236" i="70"/>
  <c r="DA236" i="70"/>
  <c r="CY236" i="70"/>
  <c r="CW236" i="70"/>
  <c r="CU236" i="70"/>
  <c r="CS236" i="70"/>
  <c r="CQ236" i="70"/>
  <c r="CO236" i="70"/>
  <c r="CM236" i="70"/>
  <c r="CK236" i="70"/>
  <c r="CI236" i="70"/>
  <c r="CG236" i="70"/>
  <c r="CE236" i="70"/>
  <c r="CC236" i="70"/>
  <c r="CA236" i="70"/>
  <c r="BY236" i="70"/>
  <c r="BW236" i="70"/>
  <c r="BU236" i="70"/>
  <c r="BS236" i="70"/>
  <c r="BQ236" i="70"/>
  <c r="BO236" i="70"/>
  <c r="BM236" i="70"/>
  <c r="BK236" i="70"/>
  <c r="BI236" i="70"/>
  <c r="BG236" i="70"/>
  <c r="BE236" i="70"/>
  <c r="BC236" i="70"/>
  <c r="BA236" i="70"/>
  <c r="AY236" i="70"/>
  <c r="AW236" i="70"/>
  <c r="AU236" i="70"/>
  <c r="AS236" i="70"/>
  <c r="AQ236" i="70"/>
  <c r="AO236" i="70"/>
  <c r="AM236" i="70"/>
  <c r="AK236" i="70"/>
  <c r="AI236" i="70"/>
  <c r="AG236" i="70"/>
  <c r="AE236" i="70"/>
  <c r="AC236" i="70"/>
  <c r="AA236" i="70"/>
  <c r="Y236" i="70"/>
  <c r="W236" i="70"/>
  <c r="U236" i="70"/>
  <c r="S236" i="70"/>
  <c r="Q236" i="70"/>
  <c r="O236" i="70"/>
  <c r="M236" i="70"/>
  <c r="K236" i="70"/>
  <c r="HA235" i="70"/>
  <c r="GY235" i="70"/>
  <c r="GW235" i="70"/>
  <c r="GU235" i="70"/>
  <c r="GS235" i="70"/>
  <c r="GQ235" i="70"/>
  <c r="GO235" i="70"/>
  <c r="GM235" i="70"/>
  <c r="GK235" i="70"/>
  <c r="GI235" i="70"/>
  <c r="GG235" i="70"/>
  <c r="GE235" i="70"/>
  <c r="GC235" i="70"/>
  <c r="GA235" i="70"/>
  <c r="FY235" i="70"/>
  <c r="FW235" i="70"/>
  <c r="FU235" i="70"/>
  <c r="FS235" i="70"/>
  <c r="FQ235" i="70"/>
  <c r="FO235" i="70"/>
  <c r="FM235" i="70"/>
  <c r="FK235" i="70"/>
  <c r="FI235" i="70"/>
  <c r="FG235" i="70"/>
  <c r="FE235" i="70"/>
  <c r="FC235" i="70"/>
  <c r="FA235" i="70"/>
  <c r="EY235" i="70"/>
  <c r="EW235" i="70"/>
  <c r="EU235" i="70"/>
  <c r="ES235" i="70"/>
  <c r="EQ235" i="70"/>
  <c r="EO235" i="70"/>
  <c r="EM235" i="70"/>
  <c r="EK235" i="70"/>
  <c r="EI235" i="70"/>
  <c r="EG235" i="70"/>
  <c r="EE235" i="70"/>
  <c r="EC235" i="70"/>
  <c r="EA235" i="70"/>
  <c r="DY235" i="70"/>
  <c r="DW235" i="70"/>
  <c r="DU235" i="70"/>
  <c r="DS235" i="70"/>
  <c r="DQ235" i="70"/>
  <c r="DO235" i="70"/>
  <c r="DM235" i="70"/>
  <c r="DK235" i="70"/>
  <c r="DI235" i="70"/>
  <c r="DG235" i="70"/>
  <c r="DE235" i="70"/>
  <c r="DC235" i="70"/>
  <c r="DA235" i="70"/>
  <c r="CY235" i="70"/>
  <c r="CW235" i="70"/>
  <c r="CU235" i="70"/>
  <c r="CS235" i="70"/>
  <c r="CQ235" i="70"/>
  <c r="CO235" i="70"/>
  <c r="CM235" i="70"/>
  <c r="CK235" i="70"/>
  <c r="CI235" i="70"/>
  <c r="CG235" i="70"/>
  <c r="CE235" i="70"/>
  <c r="CC235" i="70"/>
  <c r="CA235" i="70"/>
  <c r="BY235" i="70"/>
  <c r="BW235" i="70"/>
  <c r="BU235" i="70"/>
  <c r="BS235" i="70"/>
  <c r="BQ235" i="70"/>
  <c r="BO235" i="70"/>
  <c r="BM235" i="70"/>
  <c r="BK235" i="70"/>
  <c r="BI235" i="70"/>
  <c r="BG235" i="70"/>
  <c r="BE235" i="70"/>
  <c r="BC235" i="70"/>
  <c r="BA235" i="70"/>
  <c r="AY235" i="70"/>
  <c r="AW235" i="70"/>
  <c r="AU235" i="70"/>
  <c r="AS235" i="70"/>
  <c r="AQ235" i="70"/>
  <c r="AO235" i="70"/>
  <c r="AM235" i="70"/>
  <c r="AK235" i="70"/>
  <c r="AI235" i="70"/>
  <c r="AG235" i="70"/>
  <c r="AE235" i="70"/>
  <c r="AC235" i="70"/>
  <c r="AA235" i="70"/>
  <c r="Y235" i="70"/>
  <c r="W235" i="70"/>
  <c r="U235" i="70"/>
  <c r="S235" i="70"/>
  <c r="Q235" i="70"/>
  <c r="O235" i="70"/>
  <c r="M235" i="70"/>
  <c r="K235" i="70"/>
  <c r="HA234" i="70"/>
  <c r="GZ234" i="70"/>
  <c r="GY234" i="70"/>
  <c r="GW234" i="70"/>
  <c r="GV234" i="70"/>
  <c r="GU234" i="70"/>
  <c r="GS234" i="70"/>
  <c r="GR234" i="70"/>
  <c r="GQ234" i="70"/>
  <c r="GO234" i="70"/>
  <c r="GN234" i="70"/>
  <c r="GM234" i="70"/>
  <c r="GK234" i="70"/>
  <c r="GJ234" i="70"/>
  <c r="GI234" i="70"/>
  <c r="GG234" i="70"/>
  <c r="GF234" i="70"/>
  <c r="GE234" i="70"/>
  <c r="GC234" i="70"/>
  <c r="GB234" i="70"/>
  <c r="GA234" i="70"/>
  <c r="FY234" i="70"/>
  <c r="FX234" i="70"/>
  <c r="FW234" i="70"/>
  <c r="FU234" i="70"/>
  <c r="FT234" i="70"/>
  <c r="FS234" i="70"/>
  <c r="FQ234" i="70"/>
  <c r="FP234" i="70"/>
  <c r="FO234" i="70"/>
  <c r="FM234" i="70"/>
  <c r="FL234" i="70"/>
  <c r="FK234" i="70"/>
  <c r="FI234" i="70"/>
  <c r="FH234" i="70"/>
  <c r="FG234" i="70"/>
  <c r="FE234" i="70"/>
  <c r="FD234" i="70"/>
  <c r="FC234" i="70"/>
  <c r="FA234" i="70"/>
  <c r="EZ234" i="70"/>
  <c r="EY234" i="70"/>
  <c r="EW234" i="70"/>
  <c r="EV234" i="70"/>
  <c r="EU234" i="70"/>
  <c r="ES234" i="70"/>
  <c r="ER234" i="70"/>
  <c r="EQ234" i="70"/>
  <c r="EO234" i="70"/>
  <c r="EN234" i="70"/>
  <c r="EM234" i="70"/>
  <c r="EK234" i="70"/>
  <c r="EJ234" i="70"/>
  <c r="EI234" i="70"/>
  <c r="EG234" i="70"/>
  <c r="EF234" i="70"/>
  <c r="EE234" i="70"/>
  <c r="EC234" i="70"/>
  <c r="EB234" i="70"/>
  <c r="EA234" i="70"/>
  <c r="DY234" i="70"/>
  <c r="DX234" i="70"/>
  <c r="DW234" i="70"/>
  <c r="DU234" i="70"/>
  <c r="DT234" i="70"/>
  <c r="DS234" i="70"/>
  <c r="DQ234" i="70"/>
  <c r="DP234" i="70"/>
  <c r="DO234" i="70"/>
  <c r="DM234" i="70"/>
  <c r="DL234" i="70"/>
  <c r="DK234" i="70"/>
  <c r="DI234" i="70"/>
  <c r="DH234" i="70"/>
  <c r="DG234" i="70"/>
  <c r="DE234" i="70"/>
  <c r="DD234" i="70"/>
  <c r="DC234" i="70"/>
  <c r="DA234" i="70"/>
  <c r="CZ234" i="70"/>
  <c r="CY234" i="70"/>
  <c r="CW234" i="70"/>
  <c r="CV234" i="70"/>
  <c r="CU234" i="70"/>
  <c r="CS234" i="70"/>
  <c r="CR234" i="70"/>
  <c r="CQ234" i="70"/>
  <c r="CO234" i="70"/>
  <c r="CN234" i="70"/>
  <c r="CM234" i="70"/>
  <c r="CK234" i="70"/>
  <c r="CJ234" i="70"/>
  <c r="CI234" i="70"/>
  <c r="CG234" i="70"/>
  <c r="CF234" i="70"/>
  <c r="CE234" i="70"/>
  <c r="CC234" i="70"/>
  <c r="CB234" i="70"/>
  <c r="CA234" i="70"/>
  <c r="BY234" i="70"/>
  <c r="BX234" i="70"/>
  <c r="BW234" i="70"/>
  <c r="BU234" i="70"/>
  <c r="BT234" i="70"/>
  <c r="BS234" i="70"/>
  <c r="BQ234" i="70"/>
  <c r="BP234" i="70"/>
  <c r="BO234" i="70"/>
  <c r="BM234" i="70"/>
  <c r="BL234" i="70"/>
  <c r="BK234" i="70"/>
  <c r="BI234" i="70"/>
  <c r="BH234" i="70"/>
  <c r="BG234" i="70"/>
  <c r="BE234" i="70"/>
  <c r="BD234" i="70"/>
  <c r="BC234" i="70"/>
  <c r="BA234" i="70"/>
  <c r="AZ234" i="70"/>
  <c r="AY234" i="70"/>
  <c r="AW234" i="70"/>
  <c r="AV234" i="70"/>
  <c r="AU234" i="70"/>
  <c r="AS234" i="70"/>
  <c r="AR234" i="70"/>
  <c r="AQ234" i="70"/>
  <c r="AO234" i="70"/>
  <c r="AN234" i="70"/>
  <c r="AM234" i="70"/>
  <c r="AK234" i="70"/>
  <c r="AJ234" i="70"/>
  <c r="AI234" i="70"/>
  <c r="AG234" i="70"/>
  <c r="AF234" i="70"/>
  <c r="AE234" i="70"/>
  <c r="AC234" i="70"/>
  <c r="AB234" i="70"/>
  <c r="AA234" i="70"/>
  <c r="Y234" i="70"/>
  <c r="X234" i="70"/>
  <c r="W234" i="70"/>
  <c r="U234" i="70"/>
  <c r="T234" i="70"/>
  <c r="S234" i="70"/>
  <c r="Q234" i="70"/>
  <c r="P234" i="70"/>
  <c r="O234" i="70"/>
  <c r="M234" i="70"/>
  <c r="L234" i="70"/>
  <c r="K234" i="70"/>
  <c r="J234" i="70"/>
  <c r="I234" i="70"/>
  <c r="HA233" i="70"/>
  <c r="GZ233" i="70"/>
  <c r="GY233" i="70"/>
  <c r="GW233" i="70"/>
  <c r="GV233" i="70"/>
  <c r="GU233" i="70"/>
  <c r="GS233" i="70"/>
  <c r="GR233" i="70"/>
  <c r="GQ233" i="70"/>
  <c r="GO233" i="70"/>
  <c r="GN233" i="70"/>
  <c r="GM233" i="70"/>
  <c r="GK233" i="70"/>
  <c r="GJ233" i="70"/>
  <c r="GI233" i="70"/>
  <c r="GG233" i="70"/>
  <c r="GF233" i="70"/>
  <c r="GE233" i="70"/>
  <c r="GC233" i="70"/>
  <c r="GB233" i="70"/>
  <c r="GA233" i="70"/>
  <c r="FY233" i="70"/>
  <c r="FX233" i="70"/>
  <c r="FW233" i="70"/>
  <c r="FU233" i="70"/>
  <c r="FT233" i="70"/>
  <c r="FS233" i="70"/>
  <c r="FQ233" i="70"/>
  <c r="FP233" i="70"/>
  <c r="FO233" i="70"/>
  <c r="FM233" i="70"/>
  <c r="FL233" i="70"/>
  <c r="FK233" i="70"/>
  <c r="FI233" i="70"/>
  <c r="FH233" i="70"/>
  <c r="FG233" i="70"/>
  <c r="FE233" i="70"/>
  <c r="FD233" i="70"/>
  <c r="FC233" i="70"/>
  <c r="FA233" i="70"/>
  <c r="EZ233" i="70"/>
  <c r="EY233" i="70"/>
  <c r="EW233" i="70"/>
  <c r="EV233" i="70"/>
  <c r="EU233" i="70"/>
  <c r="ES233" i="70"/>
  <c r="ER233" i="70"/>
  <c r="EQ233" i="70"/>
  <c r="EO233" i="70"/>
  <c r="EN233" i="70"/>
  <c r="EM233" i="70"/>
  <c r="EK233" i="70"/>
  <c r="EJ233" i="70"/>
  <c r="EI233" i="70"/>
  <c r="EG233" i="70"/>
  <c r="EF233" i="70"/>
  <c r="EE233" i="70"/>
  <c r="EC233" i="70"/>
  <c r="EB233" i="70"/>
  <c r="EA233" i="70"/>
  <c r="DY233" i="70"/>
  <c r="DX233" i="70"/>
  <c r="DW233" i="70"/>
  <c r="DU233" i="70"/>
  <c r="DT233" i="70"/>
  <c r="DS233" i="70"/>
  <c r="DQ233" i="70"/>
  <c r="DP233" i="70"/>
  <c r="DO233" i="70"/>
  <c r="DM233" i="70"/>
  <c r="DL233" i="70"/>
  <c r="DK233" i="70"/>
  <c r="DI233" i="70"/>
  <c r="DH233" i="70"/>
  <c r="DG233" i="70"/>
  <c r="DE233" i="70"/>
  <c r="DD233" i="70"/>
  <c r="DC233" i="70"/>
  <c r="DA233" i="70"/>
  <c r="CZ233" i="70"/>
  <c r="CY233" i="70"/>
  <c r="CW233" i="70"/>
  <c r="CV233" i="70"/>
  <c r="CU233" i="70"/>
  <c r="CS233" i="70"/>
  <c r="CR233" i="70"/>
  <c r="CQ233" i="70"/>
  <c r="CO233" i="70"/>
  <c r="CN233" i="70"/>
  <c r="CM233" i="70"/>
  <c r="CK233" i="70"/>
  <c r="CJ233" i="70"/>
  <c r="CI233" i="70"/>
  <c r="CG233" i="70"/>
  <c r="CF233" i="70"/>
  <c r="CE233" i="70"/>
  <c r="CC233" i="70"/>
  <c r="CB233" i="70"/>
  <c r="CA233" i="70"/>
  <c r="BY233" i="70"/>
  <c r="BX233" i="70"/>
  <c r="BW233" i="70"/>
  <c r="BU233" i="70"/>
  <c r="BT233" i="70"/>
  <c r="BS233" i="70"/>
  <c r="BQ233" i="70"/>
  <c r="BP233" i="70"/>
  <c r="BO233" i="70"/>
  <c r="BM233" i="70"/>
  <c r="BL233" i="70"/>
  <c r="BK233" i="70"/>
  <c r="BI233" i="70"/>
  <c r="BH233" i="70"/>
  <c r="BG233" i="70"/>
  <c r="BE233" i="70"/>
  <c r="BD233" i="70"/>
  <c r="BC233" i="70"/>
  <c r="BA233" i="70"/>
  <c r="AZ233" i="70"/>
  <c r="AY233" i="70"/>
  <c r="AW233" i="70"/>
  <c r="AV233" i="70"/>
  <c r="AU233" i="70"/>
  <c r="AS233" i="70"/>
  <c r="AR233" i="70"/>
  <c r="AQ233" i="70"/>
  <c r="AO233" i="70"/>
  <c r="AN233" i="70"/>
  <c r="AM233" i="70"/>
  <c r="AK233" i="70"/>
  <c r="AJ233" i="70"/>
  <c r="AI233" i="70"/>
  <c r="AG233" i="70"/>
  <c r="AF233" i="70"/>
  <c r="AE233" i="70"/>
  <c r="AC233" i="70"/>
  <c r="AB233" i="70"/>
  <c r="AA233" i="70"/>
  <c r="Y233" i="70"/>
  <c r="X233" i="70"/>
  <c r="W233" i="70"/>
  <c r="U233" i="70"/>
  <c r="T233" i="70"/>
  <c r="S233" i="70"/>
  <c r="Q233" i="70"/>
  <c r="P233" i="70"/>
  <c r="O233" i="70"/>
  <c r="M233" i="70"/>
  <c r="L233" i="70"/>
  <c r="K233" i="70"/>
  <c r="J233" i="70"/>
  <c r="I233" i="70"/>
  <c r="GZ232" i="70"/>
  <c r="GV232" i="70"/>
  <c r="GR232" i="70"/>
  <c r="GN232" i="70"/>
  <c r="GJ232" i="70"/>
  <c r="GF232" i="70"/>
  <c r="GB232" i="70"/>
  <c r="FX232" i="70"/>
  <c r="FT232" i="70"/>
  <c r="FP232" i="70"/>
  <c r="FL232" i="70"/>
  <c r="FH232" i="70"/>
  <c r="FD232" i="70"/>
  <c r="EZ232" i="70"/>
  <c r="EV232" i="70"/>
  <c r="ER232" i="70"/>
  <c r="EN232" i="70"/>
  <c r="EJ232" i="70"/>
  <c r="EF232" i="70"/>
  <c r="EB232" i="70"/>
  <c r="DX232" i="70"/>
  <c r="DT232" i="70"/>
  <c r="DP232" i="70"/>
  <c r="DL232" i="70"/>
  <c r="DH232" i="70"/>
  <c r="DD232" i="70"/>
  <c r="CZ232" i="70"/>
  <c r="CV232" i="70"/>
  <c r="CR232" i="70"/>
  <c r="CN232" i="70"/>
  <c r="CJ232" i="70"/>
  <c r="CF232" i="70"/>
  <c r="CB232" i="70"/>
  <c r="BX232" i="70"/>
  <c r="BT232" i="70"/>
  <c r="BP232" i="70"/>
  <c r="BL232" i="70"/>
  <c r="BH232" i="70"/>
  <c r="BD232" i="70"/>
  <c r="AZ232" i="70"/>
  <c r="AV232" i="70"/>
  <c r="AR232" i="70"/>
  <c r="AN232" i="70"/>
  <c r="AJ232" i="70"/>
  <c r="AF232" i="70"/>
  <c r="AB232" i="70"/>
  <c r="X232" i="70"/>
  <c r="T232" i="70"/>
  <c r="P232" i="70"/>
  <c r="L232" i="70"/>
  <c r="GY230" i="70"/>
  <c r="GU230" i="70"/>
  <c r="GQ230" i="70"/>
  <c r="GM230" i="70"/>
  <c r="GI230" i="70"/>
  <c r="GE230" i="70"/>
  <c r="GA230" i="70"/>
  <c r="FW230" i="70"/>
  <c r="FS230" i="70"/>
  <c r="FO230" i="70"/>
  <c r="FK230" i="70"/>
  <c r="FG230" i="70"/>
  <c r="FC230" i="70"/>
  <c r="EY230" i="70"/>
  <c r="EU230" i="70"/>
  <c r="EQ230" i="70"/>
  <c r="EM230" i="70"/>
  <c r="EI230" i="70"/>
  <c r="EE230" i="70"/>
  <c r="EA230" i="70"/>
  <c r="DW230" i="70"/>
  <c r="DS230" i="70"/>
  <c r="DO230" i="70"/>
  <c r="DK230" i="70"/>
  <c r="DG230" i="70"/>
  <c r="DC230" i="70"/>
  <c r="CY230" i="70"/>
  <c r="CU230" i="70"/>
  <c r="CQ230" i="70"/>
  <c r="CM230" i="70"/>
  <c r="CI230" i="70"/>
  <c r="CE230" i="70"/>
  <c r="CA230" i="70"/>
  <c r="BW230" i="70"/>
  <c r="BS230" i="70"/>
  <c r="BO230" i="70"/>
  <c r="BK230" i="70"/>
  <c r="BG230" i="70"/>
  <c r="BC230" i="70"/>
  <c r="AY230" i="70"/>
  <c r="AU230" i="70"/>
  <c r="AQ230" i="70"/>
  <c r="AM230" i="70"/>
  <c r="AI230" i="70"/>
  <c r="AE230" i="70"/>
  <c r="AA230" i="70"/>
  <c r="W230" i="70"/>
  <c r="S230" i="70"/>
  <c r="O230" i="70"/>
  <c r="K230" i="70"/>
  <c r="HB228" i="70"/>
  <c r="HB229" i="70" s="1"/>
  <c r="HA228" i="70"/>
  <c r="HA229" i="70" s="1"/>
  <c r="GZ228" i="70"/>
  <c r="GZ229" i="70" s="1"/>
  <c r="GY228" i="70"/>
  <c r="GY229" i="70" s="1"/>
  <c r="GX228" i="70"/>
  <c r="GX229" i="70" s="1"/>
  <c r="GW228" i="70"/>
  <c r="GW229" i="70" s="1"/>
  <c r="GV228" i="70"/>
  <c r="GV229" i="70" s="1"/>
  <c r="GU228" i="70"/>
  <c r="GU229" i="70" s="1"/>
  <c r="GU231" i="70" s="1"/>
  <c r="GT228" i="70"/>
  <c r="GT229" i="70" s="1"/>
  <c r="GS228" i="70"/>
  <c r="GS229" i="70" s="1"/>
  <c r="GR228" i="70"/>
  <c r="GR229" i="70" s="1"/>
  <c r="GQ228" i="70"/>
  <c r="GQ229" i="70" s="1"/>
  <c r="GP228" i="70"/>
  <c r="GP229" i="70" s="1"/>
  <c r="GO228" i="70"/>
  <c r="GO229" i="70" s="1"/>
  <c r="GN228" i="70"/>
  <c r="GN229" i="70" s="1"/>
  <c r="GM228" i="70"/>
  <c r="GM229" i="70" s="1"/>
  <c r="GL228" i="70"/>
  <c r="GL229" i="70" s="1"/>
  <c r="GK228" i="70"/>
  <c r="GK229" i="70" s="1"/>
  <c r="GJ228" i="70"/>
  <c r="GJ229" i="70" s="1"/>
  <c r="GI228" i="70"/>
  <c r="GI229" i="70" s="1"/>
  <c r="GH228" i="70"/>
  <c r="GH229" i="70" s="1"/>
  <c r="GG228" i="70"/>
  <c r="GG229" i="70" s="1"/>
  <c r="GF228" i="70"/>
  <c r="GF229" i="70" s="1"/>
  <c r="GE228" i="70"/>
  <c r="GE229" i="70" s="1"/>
  <c r="GD228" i="70"/>
  <c r="GD229" i="70" s="1"/>
  <c r="GC228" i="70"/>
  <c r="GC229" i="70" s="1"/>
  <c r="GB228" i="70"/>
  <c r="GB229" i="70" s="1"/>
  <c r="GA228" i="70"/>
  <c r="GA229" i="70" s="1"/>
  <c r="FZ228" i="70"/>
  <c r="FZ229" i="70" s="1"/>
  <c r="FY228" i="70"/>
  <c r="FY229" i="70" s="1"/>
  <c r="FX228" i="70"/>
  <c r="FX229" i="70" s="1"/>
  <c r="FW228" i="70"/>
  <c r="FW229" i="70" s="1"/>
  <c r="FV228" i="70"/>
  <c r="FV229" i="70" s="1"/>
  <c r="FU228" i="70"/>
  <c r="FU229" i="70" s="1"/>
  <c r="FT228" i="70"/>
  <c r="FT229" i="70" s="1"/>
  <c r="FS228" i="70"/>
  <c r="FS229" i="70" s="1"/>
  <c r="FR228" i="70"/>
  <c r="FR229" i="70" s="1"/>
  <c r="FQ228" i="70"/>
  <c r="FQ229" i="70" s="1"/>
  <c r="FP228" i="70"/>
  <c r="FP229" i="70" s="1"/>
  <c r="FO228" i="70"/>
  <c r="FO229" i="70" s="1"/>
  <c r="FO231" i="70" s="1"/>
  <c r="FN228" i="70"/>
  <c r="FN229" i="70" s="1"/>
  <c r="FM228" i="70"/>
  <c r="FM229" i="70" s="1"/>
  <c r="FL228" i="70"/>
  <c r="FL229" i="70" s="1"/>
  <c r="FK228" i="70"/>
  <c r="FK229" i="70" s="1"/>
  <c r="FJ228" i="70"/>
  <c r="FJ229" i="70" s="1"/>
  <c r="FI228" i="70"/>
  <c r="FI229" i="70" s="1"/>
  <c r="FH228" i="70"/>
  <c r="FH229" i="70" s="1"/>
  <c r="FG228" i="70"/>
  <c r="FG229" i="70" s="1"/>
  <c r="FF228" i="70"/>
  <c r="FF229" i="70" s="1"/>
  <c r="FE228" i="70"/>
  <c r="FE229" i="70" s="1"/>
  <c r="FD228" i="70"/>
  <c r="FD229" i="70" s="1"/>
  <c r="FC228" i="70"/>
  <c r="FC229" i="70" s="1"/>
  <c r="FB228" i="70"/>
  <c r="FB229" i="70" s="1"/>
  <c r="FA228" i="70"/>
  <c r="FA229" i="70" s="1"/>
  <c r="EZ228" i="70"/>
  <c r="EZ229" i="70" s="1"/>
  <c r="EY228" i="70"/>
  <c r="EY229" i="70" s="1"/>
  <c r="EX228" i="70"/>
  <c r="EX229" i="70" s="1"/>
  <c r="EW228" i="70"/>
  <c r="EW229" i="70" s="1"/>
  <c r="EV228" i="70"/>
  <c r="EV229" i="70" s="1"/>
  <c r="EU228" i="70"/>
  <c r="EU229" i="70" s="1"/>
  <c r="ET228" i="70"/>
  <c r="ET229" i="70" s="1"/>
  <c r="ES228" i="70"/>
  <c r="ES229" i="70" s="1"/>
  <c r="ER228" i="70"/>
  <c r="ER229" i="70" s="1"/>
  <c r="EQ228" i="70"/>
  <c r="EQ229" i="70" s="1"/>
  <c r="EP228" i="70"/>
  <c r="EP229" i="70" s="1"/>
  <c r="EO228" i="70"/>
  <c r="EO229" i="70" s="1"/>
  <c r="EN228" i="70"/>
  <c r="EN229" i="70" s="1"/>
  <c r="EM228" i="70"/>
  <c r="EM229" i="70" s="1"/>
  <c r="EL228" i="70"/>
  <c r="EL229" i="70" s="1"/>
  <c r="EK228" i="70"/>
  <c r="EK229" i="70" s="1"/>
  <c r="EJ228" i="70"/>
  <c r="EJ229" i="70" s="1"/>
  <c r="EI228" i="70"/>
  <c r="EI229" i="70" s="1"/>
  <c r="EI231" i="70" s="1"/>
  <c r="EH228" i="70"/>
  <c r="EH229" i="70" s="1"/>
  <c r="EG228" i="70"/>
  <c r="EG229" i="70" s="1"/>
  <c r="EF228" i="70"/>
  <c r="EF229" i="70" s="1"/>
  <c r="EE228" i="70"/>
  <c r="EE229" i="70" s="1"/>
  <c r="ED228" i="70"/>
  <c r="ED229" i="70" s="1"/>
  <c r="EC228" i="70"/>
  <c r="EC229" i="70" s="1"/>
  <c r="EB228" i="70"/>
  <c r="EB229" i="70" s="1"/>
  <c r="EA228" i="70"/>
  <c r="EA229" i="70" s="1"/>
  <c r="DZ228" i="70"/>
  <c r="DZ229" i="70" s="1"/>
  <c r="DY228" i="70"/>
  <c r="DY229" i="70" s="1"/>
  <c r="DX228" i="70"/>
  <c r="DX229" i="70" s="1"/>
  <c r="DW228" i="70"/>
  <c r="DW229" i="70" s="1"/>
  <c r="DV228" i="70"/>
  <c r="DV229" i="70" s="1"/>
  <c r="DU228" i="70"/>
  <c r="DU229" i="70" s="1"/>
  <c r="DT228" i="70"/>
  <c r="DT229" i="70" s="1"/>
  <c r="DS228" i="70"/>
  <c r="DS229" i="70" s="1"/>
  <c r="DR228" i="70"/>
  <c r="DR229" i="70" s="1"/>
  <c r="DQ228" i="70"/>
  <c r="DQ229" i="70" s="1"/>
  <c r="DP228" i="70"/>
  <c r="DP229" i="70" s="1"/>
  <c r="DO228" i="70"/>
  <c r="DO229" i="70" s="1"/>
  <c r="DN228" i="70"/>
  <c r="DN229" i="70" s="1"/>
  <c r="DM228" i="70"/>
  <c r="DM229" i="70" s="1"/>
  <c r="DL228" i="70"/>
  <c r="DL229" i="70" s="1"/>
  <c r="DK228" i="70"/>
  <c r="DK229" i="70" s="1"/>
  <c r="DJ228" i="70"/>
  <c r="DJ229" i="70" s="1"/>
  <c r="DI228" i="70"/>
  <c r="DI229" i="70" s="1"/>
  <c r="DH228" i="70"/>
  <c r="DH229" i="70" s="1"/>
  <c r="DG228" i="70"/>
  <c r="DG229" i="70" s="1"/>
  <c r="DF228" i="70"/>
  <c r="DF229" i="70" s="1"/>
  <c r="DE228" i="70"/>
  <c r="DE229" i="70" s="1"/>
  <c r="DD228" i="70"/>
  <c r="DD229" i="70" s="1"/>
  <c r="DC228" i="70"/>
  <c r="DC229" i="70" s="1"/>
  <c r="DC231" i="70" s="1"/>
  <c r="DB228" i="70"/>
  <c r="DB229" i="70" s="1"/>
  <c r="DA228" i="70"/>
  <c r="DA229" i="70" s="1"/>
  <c r="CZ228" i="70"/>
  <c r="CZ229" i="70" s="1"/>
  <c r="CY228" i="70"/>
  <c r="CY229" i="70" s="1"/>
  <c r="CX228" i="70"/>
  <c r="CX229" i="70" s="1"/>
  <c r="CW228" i="70"/>
  <c r="CW229" i="70" s="1"/>
  <c r="CV228" i="70"/>
  <c r="CV229" i="70" s="1"/>
  <c r="CU228" i="70"/>
  <c r="CU229" i="70" s="1"/>
  <c r="CT228" i="70"/>
  <c r="CT229" i="70" s="1"/>
  <c r="CS228" i="70"/>
  <c r="CS229" i="70" s="1"/>
  <c r="CR228" i="70"/>
  <c r="CR229" i="70" s="1"/>
  <c r="CQ228" i="70"/>
  <c r="CQ229" i="70" s="1"/>
  <c r="CP228" i="70"/>
  <c r="CP229" i="70" s="1"/>
  <c r="CO228" i="70"/>
  <c r="CO229" i="70" s="1"/>
  <c r="CN228" i="70"/>
  <c r="CN229" i="70" s="1"/>
  <c r="CM228" i="70"/>
  <c r="CM229" i="70" s="1"/>
  <c r="CL228" i="70"/>
  <c r="CL229" i="70" s="1"/>
  <c r="CK228" i="70"/>
  <c r="CK229" i="70" s="1"/>
  <c r="CJ228" i="70"/>
  <c r="CJ229" i="70" s="1"/>
  <c r="CI228" i="70"/>
  <c r="CI229" i="70" s="1"/>
  <c r="CH228" i="70"/>
  <c r="CH229" i="70" s="1"/>
  <c r="CG228" i="70"/>
  <c r="CG229" i="70" s="1"/>
  <c r="CF228" i="70"/>
  <c r="CF229" i="70" s="1"/>
  <c r="CE228" i="70"/>
  <c r="CE229" i="70" s="1"/>
  <c r="CD228" i="70"/>
  <c r="CD229" i="70" s="1"/>
  <c r="CC228" i="70"/>
  <c r="CC229" i="70" s="1"/>
  <c r="CB228" i="70"/>
  <c r="CB229" i="70" s="1"/>
  <c r="CA228" i="70"/>
  <c r="CA229" i="70" s="1"/>
  <c r="BZ228" i="70"/>
  <c r="BZ229" i="70" s="1"/>
  <c r="BY228" i="70"/>
  <c r="BY229" i="70" s="1"/>
  <c r="BX228" i="70"/>
  <c r="BX229" i="70" s="1"/>
  <c r="BW228" i="70"/>
  <c r="BW229" i="70" s="1"/>
  <c r="BW231" i="70" s="1"/>
  <c r="BV228" i="70"/>
  <c r="BV229" i="70" s="1"/>
  <c r="BU228" i="70"/>
  <c r="BU229" i="70" s="1"/>
  <c r="BT228" i="70"/>
  <c r="BT229" i="70" s="1"/>
  <c r="BS228" i="70"/>
  <c r="BS229" i="70" s="1"/>
  <c r="BR228" i="70"/>
  <c r="BR229" i="70" s="1"/>
  <c r="BQ228" i="70"/>
  <c r="BQ229" i="70" s="1"/>
  <c r="BP228" i="70"/>
  <c r="BP229" i="70" s="1"/>
  <c r="BO228" i="70"/>
  <c r="BO229" i="70" s="1"/>
  <c r="BN228" i="70"/>
  <c r="BN229" i="70" s="1"/>
  <c r="BM228" i="70"/>
  <c r="BM229" i="70" s="1"/>
  <c r="BL228" i="70"/>
  <c r="BL229" i="70" s="1"/>
  <c r="BK228" i="70"/>
  <c r="BK229" i="70" s="1"/>
  <c r="BJ228" i="70"/>
  <c r="BJ229" i="70" s="1"/>
  <c r="BI228" i="70"/>
  <c r="BI229" i="70" s="1"/>
  <c r="BH228" i="70"/>
  <c r="BH229" i="70" s="1"/>
  <c r="BG228" i="70"/>
  <c r="BG229" i="70" s="1"/>
  <c r="BF228" i="70"/>
  <c r="BF229" i="70" s="1"/>
  <c r="BE228" i="70"/>
  <c r="BE229" i="70" s="1"/>
  <c r="BD228" i="70"/>
  <c r="BD229" i="70" s="1"/>
  <c r="BC228" i="70"/>
  <c r="BC229" i="70" s="1"/>
  <c r="BB228" i="70"/>
  <c r="BB229" i="70" s="1"/>
  <c r="BA228" i="70"/>
  <c r="BA229" i="70" s="1"/>
  <c r="AZ228" i="70"/>
  <c r="AZ229" i="70" s="1"/>
  <c r="AY228" i="70"/>
  <c r="AY229" i="70" s="1"/>
  <c r="AX228" i="70"/>
  <c r="AX229" i="70" s="1"/>
  <c r="AW228" i="70"/>
  <c r="AW229" i="70" s="1"/>
  <c r="AV228" i="70"/>
  <c r="AV229" i="70" s="1"/>
  <c r="AU228" i="70"/>
  <c r="AU229" i="70" s="1"/>
  <c r="AT228" i="70"/>
  <c r="AT229" i="70" s="1"/>
  <c r="AS228" i="70"/>
  <c r="AS229" i="70" s="1"/>
  <c r="AR228" i="70"/>
  <c r="AR229" i="70" s="1"/>
  <c r="AQ228" i="70"/>
  <c r="AQ229" i="70" s="1"/>
  <c r="AQ231" i="70" s="1"/>
  <c r="AP228" i="70"/>
  <c r="AP229" i="70" s="1"/>
  <c r="AO228" i="70"/>
  <c r="AO229" i="70" s="1"/>
  <c r="AN228" i="70"/>
  <c r="AN229" i="70" s="1"/>
  <c r="AM228" i="70"/>
  <c r="AM229" i="70" s="1"/>
  <c r="AL228" i="70"/>
  <c r="AL229" i="70" s="1"/>
  <c r="AK228" i="70"/>
  <c r="AK229" i="70" s="1"/>
  <c r="AJ228" i="70"/>
  <c r="AJ229" i="70" s="1"/>
  <c r="AI228" i="70"/>
  <c r="AI229" i="70" s="1"/>
  <c r="AH228" i="70"/>
  <c r="AH229" i="70" s="1"/>
  <c r="AG228" i="70"/>
  <c r="AG229" i="70" s="1"/>
  <c r="AF228" i="70"/>
  <c r="AF229" i="70" s="1"/>
  <c r="AE228" i="70"/>
  <c r="AE229" i="70" s="1"/>
  <c r="AD228" i="70"/>
  <c r="AD229" i="70" s="1"/>
  <c r="AC228" i="70"/>
  <c r="AC229" i="70" s="1"/>
  <c r="AB228" i="70"/>
  <c r="AB229" i="70" s="1"/>
  <c r="AA228" i="70"/>
  <c r="AA229" i="70" s="1"/>
  <c r="Z228" i="70"/>
  <c r="Z229" i="70" s="1"/>
  <c r="Y228" i="70"/>
  <c r="X228" i="70"/>
  <c r="W228" i="70"/>
  <c r="V228" i="70"/>
  <c r="V229" i="70" s="1"/>
  <c r="U228" i="70"/>
  <c r="U229" i="70" s="1"/>
  <c r="T228" i="70"/>
  <c r="T229" i="70" s="1"/>
  <c r="S228" i="70"/>
  <c r="S229" i="70" s="1"/>
  <c r="R228" i="70"/>
  <c r="R229" i="70" s="1"/>
  <c r="Q228" i="70"/>
  <c r="Q229" i="70" s="1"/>
  <c r="P228" i="70"/>
  <c r="P229" i="70" s="1"/>
  <c r="O228" i="70"/>
  <c r="O229" i="70" s="1"/>
  <c r="N228" i="70"/>
  <c r="N229" i="70" s="1"/>
  <c r="M228" i="70"/>
  <c r="L228" i="70"/>
  <c r="K228" i="70"/>
  <c r="J228" i="70"/>
  <c r="V158" i="75" s="1"/>
  <c r="V160" i="75" s="1"/>
  <c r="I228" i="70"/>
  <c r="GY226" i="70"/>
  <c r="GU226" i="70"/>
  <c r="GQ226" i="70"/>
  <c r="GM226" i="70"/>
  <c r="GI226" i="70"/>
  <c r="GE226" i="70"/>
  <c r="GA226" i="70"/>
  <c r="FW226" i="70"/>
  <c r="FS226" i="70"/>
  <c r="FO226" i="70"/>
  <c r="FK226" i="70"/>
  <c r="FG226" i="70"/>
  <c r="FC226" i="70"/>
  <c r="EY226" i="70"/>
  <c r="EU226" i="70"/>
  <c r="EQ226" i="70"/>
  <c r="EM226" i="70"/>
  <c r="EI226" i="70"/>
  <c r="EE226" i="70"/>
  <c r="EA226" i="70"/>
  <c r="DW226" i="70"/>
  <c r="DS226" i="70"/>
  <c r="DO226" i="70"/>
  <c r="DK226" i="70"/>
  <c r="DG226" i="70"/>
  <c r="DC226" i="70"/>
  <c r="CY226" i="70"/>
  <c r="CU226" i="70"/>
  <c r="CQ226" i="70"/>
  <c r="CM226" i="70"/>
  <c r="CI226" i="70"/>
  <c r="CE226" i="70"/>
  <c r="CA226" i="70"/>
  <c r="BW226" i="70"/>
  <c r="BS226" i="70"/>
  <c r="BO226" i="70"/>
  <c r="BK226" i="70"/>
  <c r="BG226" i="70"/>
  <c r="BC226" i="70"/>
  <c r="AY226" i="70"/>
  <c r="AU226" i="70"/>
  <c r="AQ226" i="70"/>
  <c r="AM226" i="70"/>
  <c r="AI226" i="70"/>
  <c r="AE226" i="70"/>
  <c r="AA226" i="70"/>
  <c r="W226" i="70"/>
  <c r="S226" i="70"/>
  <c r="O226" i="70"/>
  <c r="K226" i="70"/>
  <c r="HG160" i="70"/>
  <c r="HC160" i="70"/>
  <c r="HG159" i="70"/>
  <c r="HC159" i="70"/>
  <c r="HG158" i="70"/>
  <c r="HC158" i="70"/>
  <c r="HG157" i="70"/>
  <c r="HC157" i="70"/>
  <c r="HG156" i="70"/>
  <c r="HC156" i="70"/>
  <c r="HG155" i="70"/>
  <c r="HC155" i="70"/>
  <c r="HG154" i="70"/>
  <c r="HC154" i="70"/>
  <c r="HG153" i="70"/>
  <c r="HC153" i="70"/>
  <c r="HG152" i="70"/>
  <c r="HC152" i="70"/>
  <c r="HG151" i="70"/>
  <c r="HC151" i="70"/>
  <c r="HG150" i="70"/>
  <c r="HC150" i="70"/>
  <c r="HG149" i="70"/>
  <c r="HC149" i="70"/>
  <c r="HG148" i="70"/>
  <c r="HC148" i="70"/>
  <c r="HG147" i="70"/>
  <c r="HC147" i="70"/>
  <c r="HG146" i="70"/>
  <c r="HC146" i="70"/>
  <c r="HG145" i="70"/>
  <c r="HC145" i="70"/>
  <c r="HG144" i="70"/>
  <c r="HC144" i="70"/>
  <c r="HG143" i="70"/>
  <c r="HC143" i="70"/>
  <c r="HG142" i="70"/>
  <c r="HC142" i="70"/>
  <c r="HG141" i="70"/>
  <c r="HC141" i="70"/>
  <c r="HG140" i="70"/>
  <c r="HC140" i="70"/>
  <c r="HG139" i="70"/>
  <c r="HC139" i="70"/>
  <c r="HG138" i="70"/>
  <c r="HC138" i="70"/>
  <c r="HG137" i="70"/>
  <c r="HC137" i="70"/>
  <c r="HG136" i="70"/>
  <c r="HC136" i="70"/>
  <c r="HG135" i="70"/>
  <c r="HC135" i="70"/>
  <c r="HG134" i="70"/>
  <c r="HC134" i="70"/>
  <c r="HG133" i="70"/>
  <c r="HC133" i="70"/>
  <c r="HG132" i="70"/>
  <c r="HC132" i="70"/>
  <c r="HG131" i="70"/>
  <c r="HC131" i="70"/>
  <c r="HJ130" i="70"/>
  <c r="HI130" i="70"/>
  <c r="HG130" i="70"/>
  <c r="HF130" i="70"/>
  <c r="HE130" i="70"/>
  <c r="HC130" i="70"/>
  <c r="HJ129" i="70"/>
  <c r="HI129" i="70"/>
  <c r="HG129" i="70"/>
  <c r="HF129" i="70"/>
  <c r="HE129" i="70"/>
  <c r="HC129" i="70"/>
  <c r="HJ128" i="70"/>
  <c r="HI128" i="70"/>
  <c r="HG128" i="70"/>
  <c r="HF128" i="70"/>
  <c r="HE128" i="70"/>
  <c r="HC128" i="70"/>
  <c r="HJ127" i="70"/>
  <c r="HI127" i="70"/>
  <c r="HG127" i="70"/>
  <c r="HF127" i="70"/>
  <c r="HE127" i="70"/>
  <c r="HC127" i="70"/>
  <c r="HJ126" i="70"/>
  <c r="HI126" i="70"/>
  <c r="HG126" i="70"/>
  <c r="HF126" i="70"/>
  <c r="HE126" i="70"/>
  <c r="HC126" i="70"/>
  <c r="HJ125" i="70"/>
  <c r="HI125" i="70"/>
  <c r="HG125" i="70"/>
  <c r="HF125" i="70"/>
  <c r="HE125" i="70"/>
  <c r="HC125" i="70"/>
  <c r="HJ124" i="70"/>
  <c r="HI124" i="70"/>
  <c r="HG124" i="70"/>
  <c r="HF124" i="70"/>
  <c r="HE124" i="70"/>
  <c r="HC124" i="70"/>
  <c r="HJ123" i="70"/>
  <c r="HI123" i="70"/>
  <c r="HG123" i="70"/>
  <c r="HF123" i="70"/>
  <c r="HE123" i="70"/>
  <c r="HC123" i="70"/>
  <c r="HJ122" i="70"/>
  <c r="HI122" i="70"/>
  <c r="HG122" i="70"/>
  <c r="HF122" i="70"/>
  <c r="HE122" i="70"/>
  <c r="HC122" i="70"/>
  <c r="HI121" i="70"/>
  <c r="HH121" i="70"/>
  <c r="HG121" i="70"/>
  <c r="HE121" i="70"/>
  <c r="HD121" i="70"/>
  <c r="HC121" i="70"/>
  <c r="HI120" i="70"/>
  <c r="HH120" i="70"/>
  <c r="HG120" i="70"/>
  <c r="HE120" i="70"/>
  <c r="HD120" i="70"/>
  <c r="HC120" i="70"/>
  <c r="HI119" i="70"/>
  <c r="HH119" i="70"/>
  <c r="HG119" i="70"/>
  <c r="HE119" i="70"/>
  <c r="HD119" i="70"/>
  <c r="HC119" i="70"/>
  <c r="HI118" i="70"/>
  <c r="HH118" i="70"/>
  <c r="HG118" i="70"/>
  <c r="HE118" i="70"/>
  <c r="HD118" i="70"/>
  <c r="HC118" i="70"/>
  <c r="HI117" i="70"/>
  <c r="HH117" i="70"/>
  <c r="HG117" i="70"/>
  <c r="HE117" i="70"/>
  <c r="HD117" i="70"/>
  <c r="HC117" i="70"/>
  <c r="HI116" i="70"/>
  <c r="HH116" i="70"/>
  <c r="HG116" i="70"/>
  <c r="HE116" i="70"/>
  <c r="HD116" i="70"/>
  <c r="HC116" i="70"/>
  <c r="HI115" i="70"/>
  <c r="HH115" i="70"/>
  <c r="HG115" i="70"/>
  <c r="HE115" i="70"/>
  <c r="HD115" i="70"/>
  <c r="HC115" i="70"/>
  <c r="HI114" i="70"/>
  <c r="HH114" i="70"/>
  <c r="HG114" i="70"/>
  <c r="HE114" i="70"/>
  <c r="HD114" i="70"/>
  <c r="HC114" i="70"/>
  <c r="HI113" i="70"/>
  <c r="HH113" i="70"/>
  <c r="HG113" i="70"/>
  <c r="HE113" i="70"/>
  <c r="HD113" i="70"/>
  <c r="HC113" i="70"/>
  <c r="HI112" i="70"/>
  <c r="HH112" i="70"/>
  <c r="HG112" i="70"/>
  <c r="HE112" i="70"/>
  <c r="HD112" i="70"/>
  <c r="HC112" i="70"/>
  <c r="HI107" i="70"/>
  <c r="HG107" i="70"/>
  <c r="HE107" i="70"/>
  <c r="HC107" i="70"/>
  <c r="HI106" i="70"/>
  <c r="HG106" i="70"/>
  <c r="HE106" i="70"/>
  <c r="HC106" i="70"/>
  <c r="HI105" i="70"/>
  <c r="HG105" i="70"/>
  <c r="HE105" i="70"/>
  <c r="HC105" i="70"/>
  <c r="HI104" i="70"/>
  <c r="HG104" i="70"/>
  <c r="HE104" i="70"/>
  <c r="HC104" i="70"/>
  <c r="HG103" i="70"/>
  <c r="HC103" i="70"/>
  <c r="HI102" i="70"/>
  <c r="HG102" i="70"/>
  <c r="HE102" i="70"/>
  <c r="HC102" i="70"/>
  <c r="HG101" i="70"/>
  <c r="HC101" i="70"/>
  <c r="HI100" i="70"/>
  <c r="HG100" i="70"/>
  <c r="HE100" i="70"/>
  <c r="HC100" i="70"/>
  <c r="HG99" i="70"/>
  <c r="HC99" i="70"/>
  <c r="HI98" i="70"/>
  <c r="HG98" i="70"/>
  <c r="HE98" i="70"/>
  <c r="HC98" i="70"/>
  <c r="HG97" i="70"/>
  <c r="HC97" i="70"/>
  <c r="HI96" i="70"/>
  <c r="HG96" i="70"/>
  <c r="HE96" i="70"/>
  <c r="HC96" i="70"/>
  <c r="HG95" i="70"/>
  <c r="HC95" i="70"/>
  <c r="HI94" i="70"/>
  <c r="HG94" i="70"/>
  <c r="HE94" i="70"/>
  <c r="HC94" i="70"/>
  <c r="HG93" i="70"/>
  <c r="HC93" i="70"/>
  <c r="HI92" i="70"/>
  <c r="HG92" i="70"/>
  <c r="HE92" i="70"/>
  <c r="HC92" i="70"/>
  <c r="HG91" i="70"/>
  <c r="HC91" i="70"/>
  <c r="HG90" i="70"/>
  <c r="HC90" i="70"/>
  <c r="HG89" i="70"/>
  <c r="HC89" i="70"/>
  <c r="HG88" i="70"/>
  <c r="HC88" i="70"/>
  <c r="HG87" i="70"/>
  <c r="HC87" i="70"/>
  <c r="HG86" i="70"/>
  <c r="HC86" i="70"/>
  <c r="HG85" i="70"/>
  <c r="HC85" i="70"/>
  <c r="HG84" i="70"/>
  <c r="HC84" i="70"/>
  <c r="HG83" i="70"/>
  <c r="HC83" i="70"/>
  <c r="HG82" i="70"/>
  <c r="HC82" i="70"/>
  <c r="HG81" i="70"/>
  <c r="HC81" i="70"/>
  <c r="HJ80" i="70"/>
  <c r="HI80" i="70"/>
  <c r="HG80" i="70"/>
  <c r="HF80" i="70"/>
  <c r="HE80" i="70"/>
  <c r="HC80" i="70"/>
  <c r="HJ79" i="70"/>
  <c r="HI79" i="70"/>
  <c r="HG79" i="70"/>
  <c r="HF79" i="70"/>
  <c r="HE79" i="70"/>
  <c r="HC79" i="70"/>
  <c r="HJ78" i="70"/>
  <c r="HI78" i="70"/>
  <c r="HG78" i="70"/>
  <c r="HF78" i="70"/>
  <c r="HE78" i="70"/>
  <c r="HC78" i="70"/>
  <c r="HJ77" i="70"/>
  <c r="HI77" i="70"/>
  <c r="HG77" i="70"/>
  <c r="HF77" i="70"/>
  <c r="HE77" i="70"/>
  <c r="HC77" i="70"/>
  <c r="HJ76" i="70"/>
  <c r="HI76" i="70"/>
  <c r="HG76" i="70"/>
  <c r="HF76" i="70"/>
  <c r="HE76" i="70"/>
  <c r="HC76" i="70"/>
  <c r="HJ75" i="70"/>
  <c r="HI75" i="70"/>
  <c r="HG75" i="70"/>
  <c r="HF75" i="70"/>
  <c r="HE75" i="70"/>
  <c r="HC75" i="70"/>
  <c r="HJ74" i="70"/>
  <c r="HI74" i="70"/>
  <c r="HG74" i="70"/>
  <c r="HF74" i="70"/>
  <c r="HE74" i="70"/>
  <c r="HC74" i="70"/>
  <c r="HJ73" i="70"/>
  <c r="HI73" i="70"/>
  <c r="HG73" i="70"/>
  <c r="HF73" i="70"/>
  <c r="HE73" i="70"/>
  <c r="HC73" i="70"/>
  <c r="HJ72" i="70"/>
  <c r="HI72" i="70"/>
  <c r="HG72" i="70"/>
  <c r="HF72" i="70"/>
  <c r="HE72" i="70"/>
  <c r="HC72" i="70"/>
  <c r="HJ71" i="70"/>
  <c r="HI71" i="70"/>
  <c r="HG71" i="70"/>
  <c r="HF71" i="70"/>
  <c r="HE71" i="70"/>
  <c r="HC71" i="70"/>
  <c r="HJ70" i="70"/>
  <c r="HI70" i="70"/>
  <c r="HG70" i="70"/>
  <c r="HF70" i="70"/>
  <c r="HE70" i="70"/>
  <c r="HC70" i="70"/>
  <c r="HJ69" i="70"/>
  <c r="HI69" i="70"/>
  <c r="HG69" i="70"/>
  <c r="HF69" i="70"/>
  <c r="HE69" i="70"/>
  <c r="HC69" i="70"/>
  <c r="HJ68" i="70"/>
  <c r="HI68" i="70"/>
  <c r="HG68" i="70"/>
  <c r="HF68" i="70"/>
  <c r="HE68" i="70"/>
  <c r="HC68" i="70"/>
  <c r="HJ67" i="70"/>
  <c r="HI67" i="70"/>
  <c r="HG67" i="70"/>
  <c r="HF67" i="70"/>
  <c r="HE67" i="70"/>
  <c r="HC67" i="70"/>
  <c r="HJ66" i="70"/>
  <c r="HI66" i="70"/>
  <c r="HG66" i="70"/>
  <c r="HF66" i="70"/>
  <c r="HE66" i="70"/>
  <c r="HC66" i="70"/>
  <c r="HJ65" i="70"/>
  <c r="HI65" i="70"/>
  <c r="HG65" i="70"/>
  <c r="HF65" i="70"/>
  <c r="HE65" i="70"/>
  <c r="HC65" i="70"/>
  <c r="HI64" i="70"/>
  <c r="HH64" i="70"/>
  <c r="HG64" i="70"/>
  <c r="HE64" i="70"/>
  <c r="HD64" i="70"/>
  <c r="HC64" i="70"/>
  <c r="HI63" i="70"/>
  <c r="HH63" i="70"/>
  <c r="HG63" i="70"/>
  <c r="HE63" i="70"/>
  <c r="HD63" i="70"/>
  <c r="HC63" i="70"/>
  <c r="HI62" i="70"/>
  <c r="HH62" i="70"/>
  <c r="HG62" i="70"/>
  <c r="HE62" i="70"/>
  <c r="HD62" i="70"/>
  <c r="HC62" i="70"/>
  <c r="HI61" i="70"/>
  <c r="HH61" i="70"/>
  <c r="HG61" i="70"/>
  <c r="HE61" i="70"/>
  <c r="HD61" i="70"/>
  <c r="HC61" i="70"/>
  <c r="HI60" i="70"/>
  <c r="HH60" i="70"/>
  <c r="HG60" i="70"/>
  <c r="HE60" i="70"/>
  <c r="HD60" i="70"/>
  <c r="HC60" i="70"/>
  <c r="HI59" i="70"/>
  <c r="HH59" i="70"/>
  <c r="HG59" i="70"/>
  <c r="HE59" i="70"/>
  <c r="HD59" i="70"/>
  <c r="HC59" i="70"/>
  <c r="HI58" i="70"/>
  <c r="HH58" i="70"/>
  <c r="HG58" i="70"/>
  <c r="HE58" i="70"/>
  <c r="HD58" i="70"/>
  <c r="HC58" i="70"/>
  <c r="HI57" i="70"/>
  <c r="HH57" i="70"/>
  <c r="HG57" i="70"/>
  <c r="HE57" i="70"/>
  <c r="HD57" i="70"/>
  <c r="HC57" i="70"/>
  <c r="HI56" i="70"/>
  <c r="HH56" i="70"/>
  <c r="HG56" i="70"/>
  <c r="HE56" i="70"/>
  <c r="HD56" i="70"/>
  <c r="HC56" i="70"/>
  <c r="HI55" i="70"/>
  <c r="HH55" i="70"/>
  <c r="HG55" i="70"/>
  <c r="HE55" i="70"/>
  <c r="HD55" i="70"/>
  <c r="HC55" i="70"/>
  <c r="HI54" i="70"/>
  <c r="HH54" i="70"/>
  <c r="HG54" i="70"/>
  <c r="HE54" i="70"/>
  <c r="HD54" i="70"/>
  <c r="HC54" i="70"/>
  <c r="HI53" i="70"/>
  <c r="HH53" i="70"/>
  <c r="HG53" i="70"/>
  <c r="HE53" i="70"/>
  <c r="HD53" i="70"/>
  <c r="HC53" i="70"/>
  <c r="HI52" i="70"/>
  <c r="HH52" i="70"/>
  <c r="HG52" i="70"/>
  <c r="HE52" i="70"/>
  <c r="HD52" i="70"/>
  <c r="HC52" i="70"/>
  <c r="HI51" i="70"/>
  <c r="HH51" i="70"/>
  <c r="HG51" i="70"/>
  <c r="HE51" i="70"/>
  <c r="HD51" i="70"/>
  <c r="HC51" i="70"/>
  <c r="HI50" i="70"/>
  <c r="HH50" i="70"/>
  <c r="HG50" i="70"/>
  <c r="HE50" i="70"/>
  <c r="HD50" i="70"/>
  <c r="HC50" i="70"/>
  <c r="HI49" i="70"/>
  <c r="HH49" i="70"/>
  <c r="HG49" i="70"/>
  <c r="HE49" i="70"/>
  <c r="HD49" i="70"/>
  <c r="HC49" i="70"/>
  <c r="HI48" i="70"/>
  <c r="HH48" i="70"/>
  <c r="HG48" i="70"/>
  <c r="HE48" i="70"/>
  <c r="HD48" i="70"/>
  <c r="HC48" i="70"/>
  <c r="HI47" i="70"/>
  <c r="HH47" i="70"/>
  <c r="HG47" i="70"/>
  <c r="HE47" i="70"/>
  <c r="HD47" i="70"/>
  <c r="HC47" i="70"/>
  <c r="HI46" i="70"/>
  <c r="HH46" i="70"/>
  <c r="HG46" i="70"/>
  <c r="HE46" i="70"/>
  <c r="HD46" i="70"/>
  <c r="HC46" i="70"/>
  <c r="HI45" i="70"/>
  <c r="HH45" i="70"/>
  <c r="HG45" i="70"/>
  <c r="HE45" i="70"/>
  <c r="HD45" i="70"/>
  <c r="HC45" i="70"/>
  <c r="HI44" i="70"/>
  <c r="HH44" i="70"/>
  <c r="HG44" i="70"/>
  <c r="HE44" i="70"/>
  <c r="HD44" i="70"/>
  <c r="HC44" i="70"/>
  <c r="HI43" i="70"/>
  <c r="HH43" i="70"/>
  <c r="HG43" i="70"/>
  <c r="HE43" i="70"/>
  <c r="HD43" i="70"/>
  <c r="HC43" i="70"/>
  <c r="HI42" i="70"/>
  <c r="HH42" i="70"/>
  <c r="HG42" i="70"/>
  <c r="HE42" i="70"/>
  <c r="HD42" i="70"/>
  <c r="HC42" i="70"/>
  <c r="HI41" i="70"/>
  <c r="HH41" i="70"/>
  <c r="HG41" i="70"/>
  <c r="HE41" i="70"/>
  <c r="HD41" i="70"/>
  <c r="HC41" i="70"/>
  <c r="HI40" i="70"/>
  <c r="HH40" i="70"/>
  <c r="HG40" i="70"/>
  <c r="HE40" i="70"/>
  <c r="HD40" i="70"/>
  <c r="HC40" i="70"/>
  <c r="HI39" i="70"/>
  <c r="HH39" i="70"/>
  <c r="HG39" i="70"/>
  <c r="HE39" i="70"/>
  <c r="HD39" i="70"/>
  <c r="HC39" i="70"/>
  <c r="HI38" i="70"/>
  <c r="HH38" i="70"/>
  <c r="HG38" i="70"/>
  <c r="HE38" i="70"/>
  <c r="HD38" i="70"/>
  <c r="HC38" i="70"/>
  <c r="HI37" i="70"/>
  <c r="HH37" i="70"/>
  <c r="HG37" i="70"/>
  <c r="HE37" i="70"/>
  <c r="HD37" i="70"/>
  <c r="HC37" i="70"/>
  <c r="HI36" i="70"/>
  <c r="HH36" i="70"/>
  <c r="HG36" i="70"/>
  <c r="HE36" i="70"/>
  <c r="HD36" i="70"/>
  <c r="HC36" i="70"/>
  <c r="HI35" i="70"/>
  <c r="HH35" i="70"/>
  <c r="HG35" i="70"/>
  <c r="HE35" i="70"/>
  <c r="HD35" i="70"/>
  <c r="HC35" i="70"/>
  <c r="HI34" i="70"/>
  <c r="HH34" i="70"/>
  <c r="HG34" i="70"/>
  <c r="HE34" i="70"/>
  <c r="HD34" i="70"/>
  <c r="HC34" i="70"/>
  <c r="HI33" i="70"/>
  <c r="HH33" i="70"/>
  <c r="HG33" i="70"/>
  <c r="HE33" i="70"/>
  <c r="HD33" i="70"/>
  <c r="HC33" i="70"/>
  <c r="HI32" i="70"/>
  <c r="HH32" i="70"/>
  <c r="HG32" i="70"/>
  <c r="HE32" i="70"/>
  <c r="HD32" i="70"/>
  <c r="HC32" i="70"/>
  <c r="HI31" i="70"/>
  <c r="HH31" i="70"/>
  <c r="HG31" i="70"/>
  <c r="HE31" i="70"/>
  <c r="HD31" i="70"/>
  <c r="HC31" i="70"/>
  <c r="HI30" i="70"/>
  <c r="HH30" i="70"/>
  <c r="HG30" i="70"/>
  <c r="HE30" i="70"/>
  <c r="HD30" i="70"/>
  <c r="HC30" i="70"/>
  <c r="HI29" i="70"/>
  <c r="HH29" i="70"/>
  <c r="HG29" i="70"/>
  <c r="HE29" i="70"/>
  <c r="HD29" i="70"/>
  <c r="HC29" i="70"/>
  <c r="HI28" i="70"/>
  <c r="HH28" i="70"/>
  <c r="HG28" i="70"/>
  <c r="HE28" i="70"/>
  <c r="HD28" i="70"/>
  <c r="HC28" i="70"/>
  <c r="HI27" i="70"/>
  <c r="HH27" i="70"/>
  <c r="HG27" i="70"/>
  <c r="HE27" i="70"/>
  <c r="HD27" i="70"/>
  <c r="HC27" i="70"/>
  <c r="HI26" i="70"/>
  <c r="HH26" i="70"/>
  <c r="HG26" i="70"/>
  <c r="HE26" i="70"/>
  <c r="HD26" i="70"/>
  <c r="HC26" i="70"/>
  <c r="HI25" i="70"/>
  <c r="HH25" i="70"/>
  <c r="HG25" i="70"/>
  <c r="HE25" i="70"/>
  <c r="HD25" i="70"/>
  <c r="HC25" i="70"/>
  <c r="HI24" i="70"/>
  <c r="HH24" i="70"/>
  <c r="HG24" i="70"/>
  <c r="HE24" i="70"/>
  <c r="HD24" i="70"/>
  <c r="HC24" i="70"/>
  <c r="HI23" i="70"/>
  <c r="HH23" i="70"/>
  <c r="HG23" i="70"/>
  <c r="HE23" i="70"/>
  <c r="HD23" i="70"/>
  <c r="HC23" i="70"/>
  <c r="HI22" i="70"/>
  <c r="HH22" i="70"/>
  <c r="HG22" i="70"/>
  <c r="HE22" i="70"/>
  <c r="HD22" i="70"/>
  <c r="HC22" i="70"/>
  <c r="HI21" i="70"/>
  <c r="HH21" i="70"/>
  <c r="HG21" i="70"/>
  <c r="HE21" i="70"/>
  <c r="HD21" i="70"/>
  <c r="HC21" i="70"/>
  <c r="HI20" i="70"/>
  <c r="HH20" i="70"/>
  <c r="HG20" i="70"/>
  <c r="HE20" i="70"/>
  <c r="HD20" i="70"/>
  <c r="HC20" i="70"/>
  <c r="HI19" i="70"/>
  <c r="HH19" i="70"/>
  <c r="HG19" i="70"/>
  <c r="HE19" i="70"/>
  <c r="HD19" i="70"/>
  <c r="HC19" i="70"/>
  <c r="HI18" i="70"/>
  <c r="HH18" i="70"/>
  <c r="HG18" i="70"/>
  <c r="HE18" i="70"/>
  <c r="HD18" i="70"/>
  <c r="HC18" i="70"/>
  <c r="HI17" i="70"/>
  <c r="HH17" i="70"/>
  <c r="HG17" i="70"/>
  <c r="HE17" i="70"/>
  <c r="HD17" i="70"/>
  <c r="HC17" i="70"/>
  <c r="HG12" i="70"/>
  <c r="V104" i="75" s="1"/>
  <c r="HE12" i="70"/>
  <c r="N104" i="75" s="1"/>
  <c r="HG11" i="70"/>
  <c r="HE11" i="70"/>
  <c r="HG10" i="70"/>
  <c r="HE10" i="70"/>
  <c r="GZ6" i="70"/>
  <c r="GV6" i="70"/>
  <c r="GR6" i="70"/>
  <c r="GN6" i="70"/>
  <c r="GJ6" i="70"/>
  <c r="GF6" i="70"/>
  <c r="GB6" i="70"/>
  <c r="FX6" i="70"/>
  <c r="FT6" i="70"/>
  <c r="FP6" i="70"/>
  <c r="FL6" i="70"/>
  <c r="FH6" i="70"/>
  <c r="FD6" i="70"/>
  <c r="EZ6" i="70"/>
  <c r="EV6" i="70"/>
  <c r="ER6" i="70"/>
  <c r="EN6" i="70"/>
  <c r="EJ6" i="70"/>
  <c r="EF6" i="70"/>
  <c r="EB6" i="70"/>
  <c r="DX6" i="70"/>
  <c r="DT6" i="70"/>
  <c r="DP6" i="70"/>
  <c r="DL6" i="70"/>
  <c r="DH6" i="70"/>
  <c r="DD6" i="70"/>
  <c r="CZ6" i="70"/>
  <c r="CV6" i="70"/>
  <c r="CR6" i="70"/>
  <c r="CN6" i="70"/>
  <c r="CJ6" i="70"/>
  <c r="CF6" i="70"/>
  <c r="CB6" i="70"/>
  <c r="BX6" i="70"/>
  <c r="BT6" i="70"/>
  <c r="BP6" i="70"/>
  <c r="BL6" i="70"/>
  <c r="BH6" i="70"/>
  <c r="BD6" i="70"/>
  <c r="AZ6" i="70"/>
  <c r="AV6" i="70"/>
  <c r="AR6" i="70"/>
  <c r="AN6" i="70"/>
  <c r="AJ6" i="70"/>
  <c r="AF6" i="70"/>
  <c r="AB6" i="70"/>
  <c r="X6" i="70"/>
  <c r="T6" i="70"/>
  <c r="P6" i="70"/>
  <c r="L6" i="70"/>
  <c r="B5" i="70"/>
  <c r="B4" i="70"/>
  <c r="B3" i="70"/>
  <c r="D294" i="69"/>
  <c r="BD287" i="69"/>
  <c r="D287" i="69"/>
  <c r="BD286" i="69"/>
  <c r="D286" i="69"/>
  <c r="C286" i="69"/>
  <c r="BC285" i="69"/>
  <c r="D285" i="69"/>
  <c r="C285" i="69"/>
  <c r="BC284" i="69"/>
  <c r="BD275" i="69"/>
  <c r="D275" i="69"/>
  <c r="BD274" i="69"/>
  <c r="D274" i="69"/>
  <c r="C274" i="69"/>
  <c r="BC273" i="69"/>
  <c r="D273" i="69"/>
  <c r="C273" i="69"/>
  <c r="BC272" i="69"/>
  <c r="BD263" i="69"/>
  <c r="D263" i="69"/>
  <c r="BD262" i="69"/>
  <c r="D262" i="69"/>
  <c r="C262" i="69"/>
  <c r="BC261" i="69"/>
  <c r="D261" i="69"/>
  <c r="C261" i="69"/>
  <c r="BC260" i="69"/>
  <c r="BD251" i="69"/>
  <c r="D251" i="69"/>
  <c r="BD250" i="69"/>
  <c r="D250" i="69"/>
  <c r="C250" i="69"/>
  <c r="BC249" i="69"/>
  <c r="D249" i="69"/>
  <c r="C249" i="69"/>
  <c r="BC248" i="69"/>
  <c r="GY243" i="69"/>
  <c r="GU243" i="69"/>
  <c r="GQ243" i="69"/>
  <c r="GM243" i="69"/>
  <c r="GI243" i="69"/>
  <c r="GE243" i="69"/>
  <c r="GA243" i="69"/>
  <c r="FW243" i="69"/>
  <c r="FS243" i="69"/>
  <c r="FO243" i="69"/>
  <c r="FK243" i="69"/>
  <c r="FG243" i="69"/>
  <c r="FC243" i="69"/>
  <c r="EY243" i="69"/>
  <c r="EU243" i="69"/>
  <c r="EQ243" i="69"/>
  <c r="EM243" i="69"/>
  <c r="EI243" i="69"/>
  <c r="EE243" i="69"/>
  <c r="EA243" i="69"/>
  <c r="DW243" i="69"/>
  <c r="DS243" i="69"/>
  <c r="DO243" i="69"/>
  <c r="DK243" i="69"/>
  <c r="DG243" i="69"/>
  <c r="DC243" i="69"/>
  <c r="CY243" i="69"/>
  <c r="CU243" i="69"/>
  <c r="CQ243" i="69"/>
  <c r="CM243" i="69"/>
  <c r="CI243" i="69"/>
  <c r="CE243" i="69"/>
  <c r="CA243" i="69"/>
  <c r="BW243" i="69"/>
  <c r="BS243" i="69"/>
  <c r="BO243" i="69"/>
  <c r="BK243" i="69"/>
  <c r="BG243" i="69"/>
  <c r="BC243" i="69"/>
  <c r="AY243" i="69"/>
  <c r="AU243" i="69"/>
  <c r="AQ243" i="69"/>
  <c r="AM243" i="69"/>
  <c r="AI243" i="69"/>
  <c r="AE243" i="69"/>
  <c r="AA243" i="69"/>
  <c r="W243" i="69"/>
  <c r="S243" i="69"/>
  <c r="O243" i="69"/>
  <c r="K243" i="69"/>
  <c r="GY242" i="69"/>
  <c r="GU242" i="69"/>
  <c r="GQ242" i="69"/>
  <c r="GM242" i="69"/>
  <c r="GI242" i="69"/>
  <c r="GE242" i="69"/>
  <c r="GA242" i="69"/>
  <c r="FW242" i="69"/>
  <c r="FS242" i="69"/>
  <c r="FO242" i="69"/>
  <c r="FK242" i="69"/>
  <c r="FG242" i="69"/>
  <c r="FC242" i="69"/>
  <c r="EY242" i="69"/>
  <c r="EU242" i="69"/>
  <c r="EQ242" i="69"/>
  <c r="EM242" i="69"/>
  <c r="EI242" i="69"/>
  <c r="EE242" i="69"/>
  <c r="EA242" i="69"/>
  <c r="DW242" i="69"/>
  <c r="DS242" i="69"/>
  <c r="DO242" i="69"/>
  <c r="DK242" i="69"/>
  <c r="DG242" i="69"/>
  <c r="DC242" i="69"/>
  <c r="CY242" i="69"/>
  <c r="CU242" i="69"/>
  <c r="CQ242" i="69"/>
  <c r="CM242" i="69"/>
  <c r="CI242" i="69"/>
  <c r="CE242" i="69"/>
  <c r="CA242" i="69"/>
  <c r="BW242" i="69"/>
  <c r="BS242" i="69"/>
  <c r="BO242" i="69"/>
  <c r="BK242" i="69"/>
  <c r="BG242" i="69"/>
  <c r="BC242" i="69"/>
  <c r="AY242" i="69"/>
  <c r="AU242" i="69"/>
  <c r="AQ242" i="69"/>
  <c r="AM242" i="69"/>
  <c r="AI242" i="69"/>
  <c r="AE242" i="69"/>
  <c r="AA242" i="69"/>
  <c r="W242" i="69"/>
  <c r="S242" i="69"/>
  <c r="O242" i="69"/>
  <c r="K242" i="69"/>
  <c r="J242" i="69"/>
  <c r="I242" i="69"/>
  <c r="GY241" i="69"/>
  <c r="GU241" i="69"/>
  <c r="GQ241" i="69"/>
  <c r="GM241" i="69"/>
  <c r="GI241" i="69"/>
  <c r="GE241" i="69"/>
  <c r="GA241" i="69"/>
  <c r="FW241" i="69"/>
  <c r="FS241" i="69"/>
  <c r="FO241" i="69"/>
  <c r="FK241" i="69"/>
  <c r="FG241" i="69"/>
  <c r="FC241" i="69"/>
  <c r="EY241" i="69"/>
  <c r="EU241" i="69"/>
  <c r="EQ241" i="69"/>
  <c r="EM241" i="69"/>
  <c r="EI241" i="69"/>
  <c r="EE241" i="69"/>
  <c r="EA241" i="69"/>
  <c r="DW241" i="69"/>
  <c r="DS241" i="69"/>
  <c r="DO241" i="69"/>
  <c r="DK241" i="69"/>
  <c r="DG241" i="69"/>
  <c r="DC241" i="69"/>
  <c r="CY241" i="69"/>
  <c r="CU241" i="69"/>
  <c r="CQ241" i="69"/>
  <c r="CM241" i="69"/>
  <c r="CI241" i="69"/>
  <c r="CE241" i="69"/>
  <c r="CA241" i="69"/>
  <c r="BW241" i="69"/>
  <c r="BS241" i="69"/>
  <c r="BO241" i="69"/>
  <c r="BK241" i="69"/>
  <c r="BG241" i="69"/>
  <c r="BC241" i="69"/>
  <c r="AY241" i="69"/>
  <c r="AU241" i="69"/>
  <c r="AQ241" i="69"/>
  <c r="AM241" i="69"/>
  <c r="AI241" i="69"/>
  <c r="AE241" i="69"/>
  <c r="AA241" i="69"/>
  <c r="W241" i="69"/>
  <c r="S241" i="69"/>
  <c r="O241" i="69"/>
  <c r="K241" i="69"/>
  <c r="J241" i="69"/>
  <c r="I241" i="69"/>
  <c r="HA240" i="69"/>
  <c r="GY240" i="69"/>
  <c r="GW240" i="69"/>
  <c r="GU240" i="69"/>
  <c r="GS240" i="69"/>
  <c r="GQ240" i="69"/>
  <c r="GO240" i="69"/>
  <c r="GM240" i="69"/>
  <c r="GK240" i="69"/>
  <c r="GI240" i="69"/>
  <c r="GG240" i="69"/>
  <c r="GE240" i="69"/>
  <c r="GC240" i="69"/>
  <c r="GA240" i="69"/>
  <c r="FY240" i="69"/>
  <c r="FW240" i="69"/>
  <c r="FU240" i="69"/>
  <c r="FS240" i="69"/>
  <c r="FQ240" i="69"/>
  <c r="FO240" i="69"/>
  <c r="FM240" i="69"/>
  <c r="FK240" i="69"/>
  <c r="FI240" i="69"/>
  <c r="FG240" i="69"/>
  <c r="FE240" i="69"/>
  <c r="FC240" i="69"/>
  <c r="FA240" i="69"/>
  <c r="EY240" i="69"/>
  <c r="EW240" i="69"/>
  <c r="EU240" i="69"/>
  <c r="ES240" i="69"/>
  <c r="EQ240" i="69"/>
  <c r="EO240" i="69"/>
  <c r="EM240" i="69"/>
  <c r="EK240" i="69"/>
  <c r="EI240" i="69"/>
  <c r="EG240" i="69"/>
  <c r="EE240" i="69"/>
  <c r="EC240" i="69"/>
  <c r="EA240" i="69"/>
  <c r="DY240" i="69"/>
  <c r="DW240" i="69"/>
  <c r="DU240" i="69"/>
  <c r="DS240" i="69"/>
  <c r="DQ240" i="69"/>
  <c r="DO240" i="69"/>
  <c r="DM240" i="69"/>
  <c r="DK240" i="69"/>
  <c r="DI240" i="69"/>
  <c r="DG240" i="69"/>
  <c r="DE240" i="69"/>
  <c r="DC240" i="69"/>
  <c r="DA240" i="69"/>
  <c r="CY240" i="69"/>
  <c r="CW240" i="69"/>
  <c r="CU240" i="69"/>
  <c r="CS240" i="69"/>
  <c r="CQ240" i="69"/>
  <c r="CO240" i="69"/>
  <c r="CM240" i="69"/>
  <c r="CK240" i="69"/>
  <c r="CI240" i="69"/>
  <c r="CG240" i="69"/>
  <c r="CE240" i="69"/>
  <c r="CC240" i="69"/>
  <c r="CA240" i="69"/>
  <c r="BY240" i="69"/>
  <c r="BW240" i="69"/>
  <c r="BU240" i="69"/>
  <c r="BS240" i="69"/>
  <c r="BQ240" i="69"/>
  <c r="BO240" i="69"/>
  <c r="BM240" i="69"/>
  <c r="BK240" i="69"/>
  <c r="BI240" i="69"/>
  <c r="BG240" i="69"/>
  <c r="BE240" i="69"/>
  <c r="BC240" i="69"/>
  <c r="BA240" i="69"/>
  <c r="AY240" i="69"/>
  <c r="AW240" i="69"/>
  <c r="AU240" i="69"/>
  <c r="AS240" i="69"/>
  <c r="AQ240" i="69"/>
  <c r="AO240" i="69"/>
  <c r="AM240" i="69"/>
  <c r="AK240" i="69"/>
  <c r="AI240" i="69"/>
  <c r="AG240" i="69"/>
  <c r="AE240" i="69"/>
  <c r="AC240" i="69"/>
  <c r="AA240" i="69"/>
  <c r="Y240" i="69"/>
  <c r="W240" i="69"/>
  <c r="U240" i="69"/>
  <c r="S240" i="69"/>
  <c r="Q240" i="69"/>
  <c r="O240" i="69"/>
  <c r="M240" i="69"/>
  <c r="K240" i="69"/>
  <c r="HA239" i="69"/>
  <c r="GY239" i="69"/>
  <c r="GW239" i="69"/>
  <c r="GU239" i="69"/>
  <c r="GS239" i="69"/>
  <c r="GQ239" i="69"/>
  <c r="GO239" i="69"/>
  <c r="GM239" i="69"/>
  <c r="GK239" i="69"/>
  <c r="GI239" i="69"/>
  <c r="GG239" i="69"/>
  <c r="GE239" i="69"/>
  <c r="GC239" i="69"/>
  <c r="GA239" i="69"/>
  <c r="FY239" i="69"/>
  <c r="FW239" i="69"/>
  <c r="FU239" i="69"/>
  <c r="FS239" i="69"/>
  <c r="FQ239" i="69"/>
  <c r="FO239" i="69"/>
  <c r="FM239" i="69"/>
  <c r="FK239" i="69"/>
  <c r="FI239" i="69"/>
  <c r="FG239" i="69"/>
  <c r="FE239" i="69"/>
  <c r="FC239" i="69"/>
  <c r="FA239" i="69"/>
  <c r="EY239" i="69"/>
  <c r="EW239" i="69"/>
  <c r="EU239" i="69"/>
  <c r="ES239" i="69"/>
  <c r="EQ239" i="69"/>
  <c r="EO239" i="69"/>
  <c r="EM239" i="69"/>
  <c r="EK239" i="69"/>
  <c r="EI239" i="69"/>
  <c r="EG239" i="69"/>
  <c r="EE239" i="69"/>
  <c r="EC239" i="69"/>
  <c r="EA239" i="69"/>
  <c r="DY239" i="69"/>
  <c r="DW239" i="69"/>
  <c r="DU239" i="69"/>
  <c r="DS239" i="69"/>
  <c r="DQ239" i="69"/>
  <c r="DO239" i="69"/>
  <c r="DM239" i="69"/>
  <c r="DK239" i="69"/>
  <c r="DI239" i="69"/>
  <c r="DG239" i="69"/>
  <c r="DE239" i="69"/>
  <c r="DC239" i="69"/>
  <c r="DA239" i="69"/>
  <c r="CY239" i="69"/>
  <c r="CW239" i="69"/>
  <c r="CU239" i="69"/>
  <c r="CS239" i="69"/>
  <c r="CQ239" i="69"/>
  <c r="CO239" i="69"/>
  <c r="CM239" i="69"/>
  <c r="CK239" i="69"/>
  <c r="CI239" i="69"/>
  <c r="CG239" i="69"/>
  <c r="CE239" i="69"/>
  <c r="CC239" i="69"/>
  <c r="CA239" i="69"/>
  <c r="BY239" i="69"/>
  <c r="BW239" i="69"/>
  <c r="BU239" i="69"/>
  <c r="BS239" i="69"/>
  <c r="BQ239" i="69"/>
  <c r="BO239" i="69"/>
  <c r="BM239" i="69"/>
  <c r="BK239" i="69"/>
  <c r="BI239" i="69"/>
  <c r="BG239" i="69"/>
  <c r="BE239" i="69"/>
  <c r="BC239" i="69"/>
  <c r="BA239" i="69"/>
  <c r="AY239" i="69"/>
  <c r="AW239" i="69"/>
  <c r="AU239" i="69"/>
  <c r="AS239" i="69"/>
  <c r="AQ239" i="69"/>
  <c r="AO239" i="69"/>
  <c r="AM239" i="69"/>
  <c r="AK239" i="69"/>
  <c r="AI239" i="69"/>
  <c r="AG239" i="69"/>
  <c r="AE239" i="69"/>
  <c r="AC239" i="69"/>
  <c r="AA239" i="69"/>
  <c r="Y239" i="69"/>
  <c r="W239" i="69"/>
  <c r="U239" i="69"/>
  <c r="S239" i="69"/>
  <c r="Q239" i="69"/>
  <c r="O239" i="69"/>
  <c r="M239" i="69"/>
  <c r="K239" i="69"/>
  <c r="HA238" i="69"/>
  <c r="GY238" i="69"/>
  <c r="GW238" i="69"/>
  <c r="GU238" i="69"/>
  <c r="GS238" i="69"/>
  <c r="GQ238" i="69"/>
  <c r="GO238" i="69"/>
  <c r="GM238" i="69"/>
  <c r="GK238" i="69"/>
  <c r="GI238" i="69"/>
  <c r="GG238" i="69"/>
  <c r="GE238" i="69"/>
  <c r="GC238" i="69"/>
  <c r="GA238" i="69"/>
  <c r="FY238" i="69"/>
  <c r="FW238" i="69"/>
  <c r="FU238" i="69"/>
  <c r="FS238" i="69"/>
  <c r="FQ238" i="69"/>
  <c r="FO238" i="69"/>
  <c r="FM238" i="69"/>
  <c r="FK238" i="69"/>
  <c r="FI238" i="69"/>
  <c r="FG238" i="69"/>
  <c r="FE238" i="69"/>
  <c r="FC238" i="69"/>
  <c r="FA238" i="69"/>
  <c r="EY238" i="69"/>
  <c r="EW238" i="69"/>
  <c r="EU238" i="69"/>
  <c r="ES238" i="69"/>
  <c r="EQ238" i="69"/>
  <c r="EO238" i="69"/>
  <c r="EM238" i="69"/>
  <c r="EK238" i="69"/>
  <c r="EI238" i="69"/>
  <c r="EG238" i="69"/>
  <c r="EE238" i="69"/>
  <c r="EC238" i="69"/>
  <c r="EA238" i="69"/>
  <c r="DY238" i="69"/>
  <c r="DW238" i="69"/>
  <c r="DU238" i="69"/>
  <c r="DS238" i="69"/>
  <c r="DQ238" i="69"/>
  <c r="DO238" i="69"/>
  <c r="DM238" i="69"/>
  <c r="DK238" i="69"/>
  <c r="DI238" i="69"/>
  <c r="DG238" i="69"/>
  <c r="DE238" i="69"/>
  <c r="DC238" i="69"/>
  <c r="DA238" i="69"/>
  <c r="CY238" i="69"/>
  <c r="CW238" i="69"/>
  <c r="CU238" i="69"/>
  <c r="CS238" i="69"/>
  <c r="CQ238" i="69"/>
  <c r="CO238" i="69"/>
  <c r="CM238" i="69"/>
  <c r="CK238" i="69"/>
  <c r="CI238" i="69"/>
  <c r="CG238" i="69"/>
  <c r="CE238" i="69"/>
  <c r="CC238" i="69"/>
  <c r="CA238" i="69"/>
  <c r="BY238" i="69"/>
  <c r="BW238" i="69"/>
  <c r="BU238" i="69"/>
  <c r="BS238" i="69"/>
  <c r="BQ238" i="69"/>
  <c r="BO238" i="69"/>
  <c r="BM238" i="69"/>
  <c r="BK238" i="69"/>
  <c r="BI238" i="69"/>
  <c r="BG238" i="69"/>
  <c r="BE238" i="69"/>
  <c r="BC238" i="69"/>
  <c r="BA238" i="69"/>
  <c r="AY238" i="69"/>
  <c r="AW238" i="69"/>
  <c r="AU238" i="69"/>
  <c r="AS238" i="69"/>
  <c r="AQ238" i="69"/>
  <c r="AO238" i="69"/>
  <c r="AM238" i="69"/>
  <c r="AK238" i="69"/>
  <c r="AI238" i="69"/>
  <c r="AG238" i="69"/>
  <c r="AE238" i="69"/>
  <c r="AC238" i="69"/>
  <c r="AA238" i="69"/>
  <c r="Y238" i="69"/>
  <c r="W238" i="69"/>
  <c r="U238" i="69"/>
  <c r="S238" i="69"/>
  <c r="Q238" i="69"/>
  <c r="O238" i="69"/>
  <c r="M238" i="69"/>
  <c r="K238" i="69"/>
  <c r="HA237" i="69"/>
  <c r="GY237" i="69"/>
  <c r="GW237" i="69"/>
  <c r="GU237" i="69"/>
  <c r="GS237" i="69"/>
  <c r="GQ237" i="69"/>
  <c r="GO237" i="69"/>
  <c r="GM237" i="69"/>
  <c r="GK237" i="69"/>
  <c r="GI237" i="69"/>
  <c r="GG237" i="69"/>
  <c r="GE237" i="69"/>
  <c r="GC237" i="69"/>
  <c r="GA237" i="69"/>
  <c r="FY237" i="69"/>
  <c r="FW237" i="69"/>
  <c r="FU237" i="69"/>
  <c r="FS237" i="69"/>
  <c r="FQ237" i="69"/>
  <c r="FO237" i="69"/>
  <c r="FM237" i="69"/>
  <c r="FK237" i="69"/>
  <c r="FI237" i="69"/>
  <c r="FG237" i="69"/>
  <c r="FE237" i="69"/>
  <c r="FC237" i="69"/>
  <c r="FA237" i="69"/>
  <c r="EY237" i="69"/>
  <c r="EW237" i="69"/>
  <c r="EU237" i="69"/>
  <c r="ES237" i="69"/>
  <c r="EQ237" i="69"/>
  <c r="EO237" i="69"/>
  <c r="EM237" i="69"/>
  <c r="EK237" i="69"/>
  <c r="EI237" i="69"/>
  <c r="EG237" i="69"/>
  <c r="EE237" i="69"/>
  <c r="EC237" i="69"/>
  <c r="EA237" i="69"/>
  <c r="DY237" i="69"/>
  <c r="DW237" i="69"/>
  <c r="DU237" i="69"/>
  <c r="DS237" i="69"/>
  <c r="DQ237" i="69"/>
  <c r="DO237" i="69"/>
  <c r="DM237" i="69"/>
  <c r="DK237" i="69"/>
  <c r="DI237" i="69"/>
  <c r="DG237" i="69"/>
  <c r="DE237" i="69"/>
  <c r="DC237" i="69"/>
  <c r="DA237" i="69"/>
  <c r="CY237" i="69"/>
  <c r="CW237" i="69"/>
  <c r="CU237" i="69"/>
  <c r="CS237" i="69"/>
  <c r="CQ237" i="69"/>
  <c r="CO237" i="69"/>
  <c r="CM237" i="69"/>
  <c r="CK237" i="69"/>
  <c r="CI237" i="69"/>
  <c r="CG237" i="69"/>
  <c r="CE237" i="69"/>
  <c r="CC237" i="69"/>
  <c r="CA237" i="69"/>
  <c r="BY237" i="69"/>
  <c r="BW237" i="69"/>
  <c r="BU237" i="69"/>
  <c r="BS237" i="69"/>
  <c r="BQ237" i="69"/>
  <c r="BO237" i="69"/>
  <c r="BM237" i="69"/>
  <c r="BK237" i="69"/>
  <c r="BI237" i="69"/>
  <c r="BG237" i="69"/>
  <c r="BE237" i="69"/>
  <c r="BC237" i="69"/>
  <c r="BA237" i="69"/>
  <c r="AY237" i="69"/>
  <c r="AW237" i="69"/>
  <c r="AU237" i="69"/>
  <c r="AS237" i="69"/>
  <c r="AQ237" i="69"/>
  <c r="AO237" i="69"/>
  <c r="AM237" i="69"/>
  <c r="AK237" i="69"/>
  <c r="AI237" i="69"/>
  <c r="AG237" i="69"/>
  <c r="AE237" i="69"/>
  <c r="AC237" i="69"/>
  <c r="AA237" i="69"/>
  <c r="Y237" i="69"/>
  <c r="W237" i="69"/>
  <c r="U237" i="69"/>
  <c r="S237" i="69"/>
  <c r="Q237" i="69"/>
  <c r="O237" i="69"/>
  <c r="M237" i="69"/>
  <c r="K237" i="69"/>
  <c r="HA236" i="69"/>
  <c r="GY236" i="69"/>
  <c r="GW236" i="69"/>
  <c r="GU236" i="69"/>
  <c r="GS236" i="69"/>
  <c r="GQ236" i="69"/>
  <c r="GO236" i="69"/>
  <c r="GM236" i="69"/>
  <c r="GK236" i="69"/>
  <c r="GI236" i="69"/>
  <c r="GG236" i="69"/>
  <c r="GE236" i="69"/>
  <c r="GC236" i="69"/>
  <c r="GA236" i="69"/>
  <c r="FY236" i="69"/>
  <c r="FW236" i="69"/>
  <c r="FU236" i="69"/>
  <c r="FS236" i="69"/>
  <c r="FQ236" i="69"/>
  <c r="FO236" i="69"/>
  <c r="FM236" i="69"/>
  <c r="FK236" i="69"/>
  <c r="FI236" i="69"/>
  <c r="FG236" i="69"/>
  <c r="FE236" i="69"/>
  <c r="FC236" i="69"/>
  <c r="FA236" i="69"/>
  <c r="EY236" i="69"/>
  <c r="EW236" i="69"/>
  <c r="EU236" i="69"/>
  <c r="ES236" i="69"/>
  <c r="EQ236" i="69"/>
  <c r="EO236" i="69"/>
  <c r="EM236" i="69"/>
  <c r="EK236" i="69"/>
  <c r="EI236" i="69"/>
  <c r="EG236" i="69"/>
  <c r="EE236" i="69"/>
  <c r="EC236" i="69"/>
  <c r="EA236" i="69"/>
  <c r="DY236" i="69"/>
  <c r="DW236" i="69"/>
  <c r="DU236" i="69"/>
  <c r="DS236" i="69"/>
  <c r="DQ236" i="69"/>
  <c r="DO236" i="69"/>
  <c r="DM236" i="69"/>
  <c r="DK236" i="69"/>
  <c r="DI236" i="69"/>
  <c r="DG236" i="69"/>
  <c r="DE236" i="69"/>
  <c r="DC236" i="69"/>
  <c r="DA236" i="69"/>
  <c r="CY236" i="69"/>
  <c r="CW236" i="69"/>
  <c r="CU236" i="69"/>
  <c r="CS236" i="69"/>
  <c r="CQ236" i="69"/>
  <c r="CO236" i="69"/>
  <c r="CM236" i="69"/>
  <c r="CK236" i="69"/>
  <c r="CI236" i="69"/>
  <c r="CG236" i="69"/>
  <c r="CE236" i="69"/>
  <c r="CC236" i="69"/>
  <c r="CA236" i="69"/>
  <c r="BY236" i="69"/>
  <c r="BW236" i="69"/>
  <c r="BU236" i="69"/>
  <c r="BS236" i="69"/>
  <c r="BQ236" i="69"/>
  <c r="BO236" i="69"/>
  <c r="BM236" i="69"/>
  <c r="BK236" i="69"/>
  <c r="BI236" i="69"/>
  <c r="BG236" i="69"/>
  <c r="BE236" i="69"/>
  <c r="BC236" i="69"/>
  <c r="BA236" i="69"/>
  <c r="AY236" i="69"/>
  <c r="AW236" i="69"/>
  <c r="AU236" i="69"/>
  <c r="AS236" i="69"/>
  <c r="AQ236" i="69"/>
  <c r="AO236" i="69"/>
  <c r="AM236" i="69"/>
  <c r="AK236" i="69"/>
  <c r="AI236" i="69"/>
  <c r="AG236" i="69"/>
  <c r="AE236" i="69"/>
  <c r="AC236" i="69"/>
  <c r="AA236" i="69"/>
  <c r="Y236" i="69"/>
  <c r="W236" i="69"/>
  <c r="U236" i="69"/>
  <c r="S236" i="69"/>
  <c r="Q236" i="69"/>
  <c r="O236" i="69"/>
  <c r="M236" i="69"/>
  <c r="K236" i="69"/>
  <c r="HA235" i="69"/>
  <c r="GY235" i="69"/>
  <c r="GW235" i="69"/>
  <c r="GU235" i="69"/>
  <c r="GS235" i="69"/>
  <c r="GQ235" i="69"/>
  <c r="GO235" i="69"/>
  <c r="GM235" i="69"/>
  <c r="GK235" i="69"/>
  <c r="GI235" i="69"/>
  <c r="GG235" i="69"/>
  <c r="GE235" i="69"/>
  <c r="GC235" i="69"/>
  <c r="GA235" i="69"/>
  <c r="FY235" i="69"/>
  <c r="FW235" i="69"/>
  <c r="FU235" i="69"/>
  <c r="FS235" i="69"/>
  <c r="FQ235" i="69"/>
  <c r="FO235" i="69"/>
  <c r="FM235" i="69"/>
  <c r="FK235" i="69"/>
  <c r="FI235" i="69"/>
  <c r="FG235" i="69"/>
  <c r="FE235" i="69"/>
  <c r="FC235" i="69"/>
  <c r="FA235" i="69"/>
  <c r="EY235" i="69"/>
  <c r="EW235" i="69"/>
  <c r="EU235" i="69"/>
  <c r="ES235" i="69"/>
  <c r="EQ235" i="69"/>
  <c r="EO235" i="69"/>
  <c r="EM235" i="69"/>
  <c r="EK235" i="69"/>
  <c r="EI235" i="69"/>
  <c r="EG235" i="69"/>
  <c r="EE235" i="69"/>
  <c r="EC235" i="69"/>
  <c r="EA235" i="69"/>
  <c r="DY235" i="69"/>
  <c r="DW235" i="69"/>
  <c r="DU235" i="69"/>
  <c r="DS235" i="69"/>
  <c r="DQ235" i="69"/>
  <c r="DO235" i="69"/>
  <c r="DM235" i="69"/>
  <c r="DK235" i="69"/>
  <c r="DI235" i="69"/>
  <c r="DG235" i="69"/>
  <c r="DE235" i="69"/>
  <c r="DC235" i="69"/>
  <c r="DA235" i="69"/>
  <c r="CY235" i="69"/>
  <c r="CW235" i="69"/>
  <c r="CU235" i="69"/>
  <c r="CS235" i="69"/>
  <c r="CQ235" i="69"/>
  <c r="CO235" i="69"/>
  <c r="CM235" i="69"/>
  <c r="CK235" i="69"/>
  <c r="CI235" i="69"/>
  <c r="CG235" i="69"/>
  <c r="CE235" i="69"/>
  <c r="CC235" i="69"/>
  <c r="CA235" i="69"/>
  <c r="BY235" i="69"/>
  <c r="BW235" i="69"/>
  <c r="BU235" i="69"/>
  <c r="BS235" i="69"/>
  <c r="BQ235" i="69"/>
  <c r="BO235" i="69"/>
  <c r="BM235" i="69"/>
  <c r="BK235" i="69"/>
  <c r="BI235" i="69"/>
  <c r="BG235" i="69"/>
  <c r="BE235" i="69"/>
  <c r="BC235" i="69"/>
  <c r="BA235" i="69"/>
  <c r="AY235" i="69"/>
  <c r="AW235" i="69"/>
  <c r="AU235" i="69"/>
  <c r="AS235" i="69"/>
  <c r="AQ235" i="69"/>
  <c r="AO235" i="69"/>
  <c r="AM235" i="69"/>
  <c r="AK235" i="69"/>
  <c r="AI235" i="69"/>
  <c r="AG235" i="69"/>
  <c r="AE235" i="69"/>
  <c r="AC235" i="69"/>
  <c r="AA235" i="69"/>
  <c r="Y235" i="69"/>
  <c r="W235" i="69"/>
  <c r="U235" i="69"/>
  <c r="S235" i="69"/>
  <c r="Q235" i="69"/>
  <c r="O235" i="69"/>
  <c r="M235" i="69"/>
  <c r="K235" i="69"/>
  <c r="HA234" i="69"/>
  <c r="GZ234" i="69"/>
  <c r="GY234" i="69"/>
  <c r="GW234" i="69"/>
  <c r="GV234" i="69"/>
  <c r="GU234" i="69"/>
  <c r="GS234" i="69"/>
  <c r="GR234" i="69"/>
  <c r="GQ234" i="69"/>
  <c r="GO234" i="69"/>
  <c r="GN234" i="69"/>
  <c r="GM234" i="69"/>
  <c r="GK234" i="69"/>
  <c r="GJ234" i="69"/>
  <c r="GI234" i="69"/>
  <c r="GG234" i="69"/>
  <c r="GF234" i="69"/>
  <c r="GE234" i="69"/>
  <c r="GC234" i="69"/>
  <c r="GB234" i="69"/>
  <c r="GA234" i="69"/>
  <c r="FY234" i="69"/>
  <c r="FX234" i="69"/>
  <c r="FW234" i="69"/>
  <c r="FU234" i="69"/>
  <c r="FT234" i="69"/>
  <c r="FS234" i="69"/>
  <c r="FQ234" i="69"/>
  <c r="FP234" i="69"/>
  <c r="FO234" i="69"/>
  <c r="FM234" i="69"/>
  <c r="FL234" i="69"/>
  <c r="FK234" i="69"/>
  <c r="FI234" i="69"/>
  <c r="FH234" i="69"/>
  <c r="FG234" i="69"/>
  <c r="FE234" i="69"/>
  <c r="FD234" i="69"/>
  <c r="FC234" i="69"/>
  <c r="FA234" i="69"/>
  <c r="EZ234" i="69"/>
  <c r="EY234" i="69"/>
  <c r="EW234" i="69"/>
  <c r="EV234" i="69"/>
  <c r="EU234" i="69"/>
  <c r="ES234" i="69"/>
  <c r="ER234" i="69"/>
  <c r="EQ234" i="69"/>
  <c r="EO234" i="69"/>
  <c r="EN234" i="69"/>
  <c r="EM234" i="69"/>
  <c r="EK234" i="69"/>
  <c r="EJ234" i="69"/>
  <c r="EI234" i="69"/>
  <c r="EG234" i="69"/>
  <c r="EF234" i="69"/>
  <c r="EE234" i="69"/>
  <c r="EC234" i="69"/>
  <c r="EB234" i="69"/>
  <c r="EA234" i="69"/>
  <c r="DY234" i="69"/>
  <c r="DX234" i="69"/>
  <c r="DW234" i="69"/>
  <c r="DU234" i="69"/>
  <c r="DT234" i="69"/>
  <c r="DS234" i="69"/>
  <c r="DQ234" i="69"/>
  <c r="DP234" i="69"/>
  <c r="DO234" i="69"/>
  <c r="DM234" i="69"/>
  <c r="DL234" i="69"/>
  <c r="DK234" i="69"/>
  <c r="DI234" i="69"/>
  <c r="DH234" i="69"/>
  <c r="DG234" i="69"/>
  <c r="DE234" i="69"/>
  <c r="DD234" i="69"/>
  <c r="DC234" i="69"/>
  <c r="DA234" i="69"/>
  <c r="CZ234" i="69"/>
  <c r="CY234" i="69"/>
  <c r="CW234" i="69"/>
  <c r="CV234" i="69"/>
  <c r="CU234" i="69"/>
  <c r="CS234" i="69"/>
  <c r="CR234" i="69"/>
  <c r="CQ234" i="69"/>
  <c r="CO234" i="69"/>
  <c r="CN234" i="69"/>
  <c r="CM234" i="69"/>
  <c r="CK234" i="69"/>
  <c r="CJ234" i="69"/>
  <c r="CI234" i="69"/>
  <c r="CG234" i="69"/>
  <c r="CF234" i="69"/>
  <c r="CE234" i="69"/>
  <c r="CC234" i="69"/>
  <c r="CB234" i="69"/>
  <c r="CA234" i="69"/>
  <c r="BY234" i="69"/>
  <c r="BX234" i="69"/>
  <c r="BW234" i="69"/>
  <c r="BU234" i="69"/>
  <c r="BT234" i="69"/>
  <c r="BS234" i="69"/>
  <c r="BQ234" i="69"/>
  <c r="BP234" i="69"/>
  <c r="BO234" i="69"/>
  <c r="BM234" i="69"/>
  <c r="BL234" i="69"/>
  <c r="BK234" i="69"/>
  <c r="BI234" i="69"/>
  <c r="BH234" i="69"/>
  <c r="BG234" i="69"/>
  <c r="BE234" i="69"/>
  <c r="BD234" i="69"/>
  <c r="BC234" i="69"/>
  <c r="BA234" i="69"/>
  <c r="AZ234" i="69"/>
  <c r="AY234" i="69"/>
  <c r="AW234" i="69"/>
  <c r="AV234" i="69"/>
  <c r="AU234" i="69"/>
  <c r="AS234" i="69"/>
  <c r="AR234" i="69"/>
  <c r="AQ234" i="69"/>
  <c r="AO234" i="69"/>
  <c r="AN234" i="69"/>
  <c r="AM234" i="69"/>
  <c r="AK234" i="69"/>
  <c r="AJ234" i="69"/>
  <c r="AI234" i="69"/>
  <c r="AG234" i="69"/>
  <c r="AF234" i="69"/>
  <c r="AE234" i="69"/>
  <c r="AC234" i="69"/>
  <c r="AB234" i="69"/>
  <c r="AA234" i="69"/>
  <c r="Y234" i="69"/>
  <c r="X234" i="69"/>
  <c r="W234" i="69"/>
  <c r="U234" i="69"/>
  <c r="T234" i="69"/>
  <c r="S234" i="69"/>
  <c r="Q234" i="69"/>
  <c r="P234" i="69"/>
  <c r="O234" i="69"/>
  <c r="M234" i="69"/>
  <c r="L234" i="69"/>
  <c r="K234" i="69"/>
  <c r="J234" i="69"/>
  <c r="I234" i="69"/>
  <c r="HA233" i="69"/>
  <c r="GZ233" i="69"/>
  <c r="GY233" i="69"/>
  <c r="GW233" i="69"/>
  <c r="GV233" i="69"/>
  <c r="GU233" i="69"/>
  <c r="GS233" i="69"/>
  <c r="GR233" i="69"/>
  <c r="GQ233" i="69"/>
  <c r="GO233" i="69"/>
  <c r="GN233" i="69"/>
  <c r="GM233" i="69"/>
  <c r="GK233" i="69"/>
  <c r="GJ233" i="69"/>
  <c r="GI233" i="69"/>
  <c r="GG233" i="69"/>
  <c r="GF233" i="69"/>
  <c r="GE233" i="69"/>
  <c r="GC233" i="69"/>
  <c r="GB233" i="69"/>
  <c r="GA233" i="69"/>
  <c r="FY233" i="69"/>
  <c r="FX233" i="69"/>
  <c r="FW233" i="69"/>
  <c r="FU233" i="69"/>
  <c r="FT233" i="69"/>
  <c r="FS233" i="69"/>
  <c r="FQ233" i="69"/>
  <c r="FP233" i="69"/>
  <c r="FO233" i="69"/>
  <c r="FM233" i="69"/>
  <c r="FL233" i="69"/>
  <c r="FK233" i="69"/>
  <c r="FI233" i="69"/>
  <c r="FH233" i="69"/>
  <c r="FG233" i="69"/>
  <c r="FE233" i="69"/>
  <c r="FD233" i="69"/>
  <c r="FC233" i="69"/>
  <c r="FA233" i="69"/>
  <c r="EZ233" i="69"/>
  <c r="EY233" i="69"/>
  <c r="EW233" i="69"/>
  <c r="EV233" i="69"/>
  <c r="EU233" i="69"/>
  <c r="ES233" i="69"/>
  <c r="ER233" i="69"/>
  <c r="EQ233" i="69"/>
  <c r="EO233" i="69"/>
  <c r="EN233" i="69"/>
  <c r="EM233" i="69"/>
  <c r="EK233" i="69"/>
  <c r="EJ233" i="69"/>
  <c r="EI233" i="69"/>
  <c r="EG233" i="69"/>
  <c r="EF233" i="69"/>
  <c r="EE233" i="69"/>
  <c r="EC233" i="69"/>
  <c r="EB233" i="69"/>
  <c r="EA233" i="69"/>
  <c r="DY233" i="69"/>
  <c r="DX233" i="69"/>
  <c r="DW233" i="69"/>
  <c r="DU233" i="69"/>
  <c r="DT233" i="69"/>
  <c r="DS233" i="69"/>
  <c r="DQ233" i="69"/>
  <c r="DP233" i="69"/>
  <c r="DO233" i="69"/>
  <c r="DM233" i="69"/>
  <c r="DL233" i="69"/>
  <c r="DK233" i="69"/>
  <c r="DI233" i="69"/>
  <c r="DH233" i="69"/>
  <c r="DG233" i="69"/>
  <c r="DE233" i="69"/>
  <c r="DD233" i="69"/>
  <c r="DC233" i="69"/>
  <c r="DA233" i="69"/>
  <c r="CZ233" i="69"/>
  <c r="CY233" i="69"/>
  <c r="CW233" i="69"/>
  <c r="CV233" i="69"/>
  <c r="CU233" i="69"/>
  <c r="CS233" i="69"/>
  <c r="CR233" i="69"/>
  <c r="CQ233" i="69"/>
  <c r="CO233" i="69"/>
  <c r="CN233" i="69"/>
  <c r="CM233" i="69"/>
  <c r="CK233" i="69"/>
  <c r="CJ233" i="69"/>
  <c r="CI233" i="69"/>
  <c r="CG233" i="69"/>
  <c r="CF233" i="69"/>
  <c r="CE233" i="69"/>
  <c r="CC233" i="69"/>
  <c r="CB233" i="69"/>
  <c r="CA233" i="69"/>
  <c r="BY233" i="69"/>
  <c r="BX233" i="69"/>
  <c r="BW233" i="69"/>
  <c r="BU233" i="69"/>
  <c r="BT233" i="69"/>
  <c r="BS233" i="69"/>
  <c r="BQ233" i="69"/>
  <c r="BP233" i="69"/>
  <c r="BO233" i="69"/>
  <c r="BM233" i="69"/>
  <c r="BL233" i="69"/>
  <c r="BK233" i="69"/>
  <c r="BI233" i="69"/>
  <c r="BH233" i="69"/>
  <c r="BG233" i="69"/>
  <c r="BE233" i="69"/>
  <c r="BD233" i="69"/>
  <c r="BC233" i="69"/>
  <c r="BA233" i="69"/>
  <c r="AZ233" i="69"/>
  <c r="AY233" i="69"/>
  <c r="AW233" i="69"/>
  <c r="AV233" i="69"/>
  <c r="AU233" i="69"/>
  <c r="AS233" i="69"/>
  <c r="AR233" i="69"/>
  <c r="AQ233" i="69"/>
  <c r="AO233" i="69"/>
  <c r="AN233" i="69"/>
  <c r="AM233" i="69"/>
  <c r="AK233" i="69"/>
  <c r="AJ233" i="69"/>
  <c r="AI233" i="69"/>
  <c r="AG233" i="69"/>
  <c r="AF233" i="69"/>
  <c r="AE233" i="69"/>
  <c r="AC233" i="69"/>
  <c r="AB233" i="69"/>
  <c r="AA233" i="69"/>
  <c r="Y233" i="69"/>
  <c r="X233" i="69"/>
  <c r="W233" i="69"/>
  <c r="U233" i="69"/>
  <c r="T233" i="69"/>
  <c r="S233" i="69"/>
  <c r="Q233" i="69"/>
  <c r="P233" i="69"/>
  <c r="O233" i="69"/>
  <c r="M233" i="69"/>
  <c r="L233" i="69"/>
  <c r="K233" i="69"/>
  <c r="J233" i="69"/>
  <c r="I233" i="69"/>
  <c r="GZ232" i="69"/>
  <c r="GV232" i="69"/>
  <c r="GR232" i="69"/>
  <c r="GN232" i="69"/>
  <c r="GJ232" i="69"/>
  <c r="GF232" i="69"/>
  <c r="GB232" i="69"/>
  <c r="FX232" i="69"/>
  <c r="FT232" i="69"/>
  <c r="FP232" i="69"/>
  <c r="FL232" i="69"/>
  <c r="FH232" i="69"/>
  <c r="FD232" i="69"/>
  <c r="EZ232" i="69"/>
  <c r="EV232" i="69"/>
  <c r="ER232" i="69"/>
  <c r="EN232" i="69"/>
  <c r="EJ232" i="69"/>
  <c r="EF232" i="69"/>
  <c r="EB232" i="69"/>
  <c r="DX232" i="69"/>
  <c r="DT232" i="69"/>
  <c r="DP232" i="69"/>
  <c r="DL232" i="69"/>
  <c r="DH232" i="69"/>
  <c r="DD232" i="69"/>
  <c r="CZ232" i="69"/>
  <c r="CV232" i="69"/>
  <c r="CR232" i="69"/>
  <c r="CN232" i="69"/>
  <c r="CJ232" i="69"/>
  <c r="CF232" i="69"/>
  <c r="CB232" i="69"/>
  <c r="BX232" i="69"/>
  <c r="BT232" i="69"/>
  <c r="BP232" i="69"/>
  <c r="BL232" i="69"/>
  <c r="BH232" i="69"/>
  <c r="BD232" i="69"/>
  <c r="AZ232" i="69"/>
  <c r="AV232" i="69"/>
  <c r="AR232" i="69"/>
  <c r="AN232" i="69"/>
  <c r="AJ232" i="69"/>
  <c r="AF232" i="69"/>
  <c r="AB232" i="69"/>
  <c r="X232" i="69"/>
  <c r="T232" i="69"/>
  <c r="P232" i="69"/>
  <c r="L232" i="69"/>
  <c r="GY230" i="69"/>
  <c r="GU230" i="69"/>
  <c r="GQ230" i="69"/>
  <c r="GM230" i="69"/>
  <c r="GI230" i="69"/>
  <c r="GE230" i="69"/>
  <c r="GA230" i="69"/>
  <c r="FW230" i="69"/>
  <c r="FS230" i="69"/>
  <c r="FO230" i="69"/>
  <c r="FK230" i="69"/>
  <c r="FG230" i="69"/>
  <c r="FC230" i="69"/>
  <c r="EY230" i="69"/>
  <c r="EU230" i="69"/>
  <c r="EQ230" i="69"/>
  <c r="EM230" i="69"/>
  <c r="EI230" i="69"/>
  <c r="EE230" i="69"/>
  <c r="EA230" i="69"/>
  <c r="DW230" i="69"/>
  <c r="DS230" i="69"/>
  <c r="DO230" i="69"/>
  <c r="DK230" i="69"/>
  <c r="DG230" i="69"/>
  <c r="DC230" i="69"/>
  <c r="CY230" i="69"/>
  <c r="CU230" i="69"/>
  <c r="CQ230" i="69"/>
  <c r="CM230" i="69"/>
  <c r="CI230" i="69"/>
  <c r="CE230" i="69"/>
  <c r="CA230" i="69"/>
  <c r="BW230" i="69"/>
  <c r="BS230" i="69"/>
  <c r="BO230" i="69"/>
  <c r="BK230" i="69"/>
  <c r="BG230" i="69"/>
  <c r="BC230" i="69"/>
  <c r="AY230" i="69"/>
  <c r="AU230" i="69"/>
  <c r="AQ230" i="69"/>
  <c r="AM230" i="69"/>
  <c r="AI230" i="69"/>
  <c r="AE230" i="69"/>
  <c r="AA230" i="69"/>
  <c r="W230" i="69"/>
  <c r="S230" i="69"/>
  <c r="O230" i="69"/>
  <c r="K230" i="69"/>
  <c r="HB228" i="69"/>
  <c r="HB229" i="69" s="1"/>
  <c r="HA228" i="69"/>
  <c r="HA229" i="69" s="1"/>
  <c r="GZ228" i="69"/>
  <c r="GZ229" i="69" s="1"/>
  <c r="GY228" i="69"/>
  <c r="GY229" i="69" s="1"/>
  <c r="GX228" i="69"/>
  <c r="GX229" i="69" s="1"/>
  <c r="GW228" i="69"/>
  <c r="GW229" i="69" s="1"/>
  <c r="GV228" i="69"/>
  <c r="GV229" i="69" s="1"/>
  <c r="GU228" i="69"/>
  <c r="GU229" i="69" s="1"/>
  <c r="GU231" i="69" s="1"/>
  <c r="GT228" i="69"/>
  <c r="GT229" i="69" s="1"/>
  <c r="GS228" i="69"/>
  <c r="GS229" i="69" s="1"/>
  <c r="GR228" i="69"/>
  <c r="GR229" i="69" s="1"/>
  <c r="GQ228" i="69"/>
  <c r="GQ229" i="69" s="1"/>
  <c r="GP228" i="69"/>
  <c r="GP229" i="69" s="1"/>
  <c r="GO228" i="69"/>
  <c r="GO229" i="69" s="1"/>
  <c r="GN228" i="69"/>
  <c r="GN229" i="69" s="1"/>
  <c r="GM228" i="69"/>
  <c r="GM229" i="69" s="1"/>
  <c r="GL228" i="69"/>
  <c r="GL229" i="69" s="1"/>
  <c r="GK228" i="69"/>
  <c r="GK229" i="69" s="1"/>
  <c r="GJ228" i="69"/>
  <c r="GJ229" i="69" s="1"/>
  <c r="GI228" i="69"/>
  <c r="GI229" i="69" s="1"/>
  <c r="GH228" i="69"/>
  <c r="GH229" i="69" s="1"/>
  <c r="GG228" i="69"/>
  <c r="GG229" i="69" s="1"/>
  <c r="GF228" i="69"/>
  <c r="GF229" i="69" s="1"/>
  <c r="GE228" i="69"/>
  <c r="GE229" i="69" s="1"/>
  <c r="GD228" i="69"/>
  <c r="GD229" i="69" s="1"/>
  <c r="GC228" i="69"/>
  <c r="GC229" i="69" s="1"/>
  <c r="GB228" i="69"/>
  <c r="GB229" i="69" s="1"/>
  <c r="GA228" i="69"/>
  <c r="GA229" i="69" s="1"/>
  <c r="FZ228" i="69"/>
  <c r="FZ229" i="69" s="1"/>
  <c r="FY228" i="69"/>
  <c r="FY229" i="69" s="1"/>
  <c r="FX228" i="69"/>
  <c r="FX229" i="69" s="1"/>
  <c r="FW228" i="69"/>
  <c r="FW229" i="69" s="1"/>
  <c r="FV228" i="69"/>
  <c r="FV229" i="69" s="1"/>
  <c r="FU228" i="69"/>
  <c r="FU229" i="69" s="1"/>
  <c r="FT228" i="69"/>
  <c r="FT229" i="69" s="1"/>
  <c r="FS228" i="69"/>
  <c r="FS229" i="69" s="1"/>
  <c r="FR228" i="69"/>
  <c r="FR229" i="69" s="1"/>
  <c r="FQ228" i="69"/>
  <c r="FQ229" i="69" s="1"/>
  <c r="FP228" i="69"/>
  <c r="FP229" i="69" s="1"/>
  <c r="FO228" i="69"/>
  <c r="FO229" i="69" s="1"/>
  <c r="FO231" i="69" s="1"/>
  <c r="FN228" i="69"/>
  <c r="FN229" i="69" s="1"/>
  <c r="FM228" i="69"/>
  <c r="FM229" i="69" s="1"/>
  <c r="FL228" i="69"/>
  <c r="FL229" i="69" s="1"/>
  <c r="FK228" i="69"/>
  <c r="FK229" i="69" s="1"/>
  <c r="FJ228" i="69"/>
  <c r="FJ229" i="69" s="1"/>
  <c r="FI228" i="69"/>
  <c r="FI229" i="69" s="1"/>
  <c r="FH228" i="69"/>
  <c r="FH229" i="69" s="1"/>
  <c r="FG228" i="69"/>
  <c r="FG229" i="69" s="1"/>
  <c r="FF228" i="69"/>
  <c r="FF229" i="69" s="1"/>
  <c r="FE228" i="69"/>
  <c r="FE229" i="69" s="1"/>
  <c r="FD228" i="69"/>
  <c r="FD229" i="69" s="1"/>
  <c r="FC228" i="69"/>
  <c r="FC229" i="69" s="1"/>
  <c r="FB228" i="69"/>
  <c r="FB229" i="69" s="1"/>
  <c r="FA228" i="69"/>
  <c r="FA229" i="69" s="1"/>
  <c r="EZ228" i="69"/>
  <c r="EZ229" i="69" s="1"/>
  <c r="EY228" i="69"/>
  <c r="EY229" i="69" s="1"/>
  <c r="EX228" i="69"/>
  <c r="EX229" i="69" s="1"/>
  <c r="EW228" i="69"/>
  <c r="EW229" i="69" s="1"/>
  <c r="EV228" i="69"/>
  <c r="EV229" i="69" s="1"/>
  <c r="EU228" i="69"/>
  <c r="EU229" i="69" s="1"/>
  <c r="ET228" i="69"/>
  <c r="ET229" i="69" s="1"/>
  <c r="ES228" i="69"/>
  <c r="ES229" i="69" s="1"/>
  <c r="ER228" i="69"/>
  <c r="ER229" i="69" s="1"/>
  <c r="EQ228" i="69"/>
  <c r="EQ229" i="69" s="1"/>
  <c r="EP228" i="69"/>
  <c r="EP229" i="69" s="1"/>
  <c r="EO228" i="69"/>
  <c r="EO229" i="69" s="1"/>
  <c r="EN228" i="69"/>
  <c r="EN229" i="69" s="1"/>
  <c r="EM228" i="69"/>
  <c r="EM229" i="69" s="1"/>
  <c r="EL228" i="69"/>
  <c r="EL229" i="69" s="1"/>
  <c r="EK228" i="69"/>
  <c r="EK229" i="69" s="1"/>
  <c r="EJ228" i="69"/>
  <c r="EJ229" i="69" s="1"/>
  <c r="EI228" i="69"/>
  <c r="EI229" i="69" s="1"/>
  <c r="EI231" i="69" s="1"/>
  <c r="EH228" i="69"/>
  <c r="EH229" i="69" s="1"/>
  <c r="EG228" i="69"/>
  <c r="EG229" i="69" s="1"/>
  <c r="EF228" i="69"/>
  <c r="EF229" i="69" s="1"/>
  <c r="EE228" i="69"/>
  <c r="EE229" i="69" s="1"/>
  <c r="ED228" i="69"/>
  <c r="ED229" i="69" s="1"/>
  <c r="EC228" i="69"/>
  <c r="EC229" i="69" s="1"/>
  <c r="EB228" i="69"/>
  <c r="EB229" i="69" s="1"/>
  <c r="EA228" i="69"/>
  <c r="EA229" i="69" s="1"/>
  <c r="DZ228" i="69"/>
  <c r="DZ229" i="69" s="1"/>
  <c r="DY228" i="69"/>
  <c r="DY229" i="69" s="1"/>
  <c r="DX228" i="69"/>
  <c r="DX229" i="69" s="1"/>
  <c r="DW228" i="69"/>
  <c r="DW229" i="69" s="1"/>
  <c r="DV228" i="69"/>
  <c r="DV229" i="69" s="1"/>
  <c r="DU228" i="69"/>
  <c r="DU229" i="69" s="1"/>
  <c r="DT228" i="69"/>
  <c r="DT229" i="69" s="1"/>
  <c r="DS228" i="69"/>
  <c r="DS229" i="69" s="1"/>
  <c r="DR228" i="69"/>
  <c r="DR229" i="69" s="1"/>
  <c r="DQ228" i="69"/>
  <c r="DQ229" i="69" s="1"/>
  <c r="DP228" i="69"/>
  <c r="DP229" i="69" s="1"/>
  <c r="DO228" i="69"/>
  <c r="DO229" i="69" s="1"/>
  <c r="DN228" i="69"/>
  <c r="DN229" i="69" s="1"/>
  <c r="DM228" i="69"/>
  <c r="DM229" i="69" s="1"/>
  <c r="DL228" i="69"/>
  <c r="DL229" i="69" s="1"/>
  <c r="DK228" i="69"/>
  <c r="DK229" i="69" s="1"/>
  <c r="DJ228" i="69"/>
  <c r="DJ229" i="69" s="1"/>
  <c r="DI228" i="69"/>
  <c r="DI229" i="69" s="1"/>
  <c r="DH228" i="69"/>
  <c r="DH229" i="69" s="1"/>
  <c r="DG228" i="69"/>
  <c r="DG229" i="69" s="1"/>
  <c r="DF228" i="69"/>
  <c r="DF229" i="69" s="1"/>
  <c r="DE228" i="69"/>
  <c r="DE229" i="69" s="1"/>
  <c r="DD228" i="69"/>
  <c r="DD229" i="69" s="1"/>
  <c r="DC228" i="69"/>
  <c r="DC229" i="69" s="1"/>
  <c r="DC231" i="69" s="1"/>
  <c r="DB228" i="69"/>
  <c r="DB229" i="69" s="1"/>
  <c r="DA228" i="69"/>
  <c r="DA229" i="69" s="1"/>
  <c r="CZ228" i="69"/>
  <c r="CZ229" i="69" s="1"/>
  <c r="CY228" i="69"/>
  <c r="CY229" i="69" s="1"/>
  <c r="CX228" i="69"/>
  <c r="CX229" i="69" s="1"/>
  <c r="CW228" i="69"/>
  <c r="CW229" i="69" s="1"/>
  <c r="CV228" i="69"/>
  <c r="CV229" i="69" s="1"/>
  <c r="CU228" i="69"/>
  <c r="CU229" i="69" s="1"/>
  <c r="CT228" i="69"/>
  <c r="CT229" i="69" s="1"/>
  <c r="CS228" i="69"/>
  <c r="CS229" i="69" s="1"/>
  <c r="CR228" i="69"/>
  <c r="CR229" i="69" s="1"/>
  <c r="CQ228" i="69"/>
  <c r="CQ229" i="69" s="1"/>
  <c r="CP228" i="69"/>
  <c r="CP229" i="69" s="1"/>
  <c r="CO228" i="69"/>
  <c r="CO229" i="69" s="1"/>
  <c r="CN228" i="69"/>
  <c r="CN229" i="69" s="1"/>
  <c r="CM228" i="69"/>
  <c r="CM229" i="69" s="1"/>
  <c r="CL228" i="69"/>
  <c r="CL229" i="69" s="1"/>
  <c r="CK228" i="69"/>
  <c r="CK229" i="69" s="1"/>
  <c r="CJ228" i="69"/>
  <c r="CJ229" i="69" s="1"/>
  <c r="CI228" i="69"/>
  <c r="CI229" i="69" s="1"/>
  <c r="CH228" i="69"/>
  <c r="CH229" i="69" s="1"/>
  <c r="CG228" i="69"/>
  <c r="CG229" i="69" s="1"/>
  <c r="CF228" i="69"/>
  <c r="CF229" i="69" s="1"/>
  <c r="CE228" i="69"/>
  <c r="CE229" i="69" s="1"/>
  <c r="CD228" i="69"/>
  <c r="CD229" i="69" s="1"/>
  <c r="CC228" i="69"/>
  <c r="CC229" i="69" s="1"/>
  <c r="CB228" i="69"/>
  <c r="CB229" i="69" s="1"/>
  <c r="CA228" i="69"/>
  <c r="CA229" i="69" s="1"/>
  <c r="BZ228" i="69"/>
  <c r="BZ229" i="69" s="1"/>
  <c r="BY228" i="69"/>
  <c r="BY229" i="69" s="1"/>
  <c r="BX228" i="69"/>
  <c r="BX229" i="69" s="1"/>
  <c r="BW228" i="69"/>
  <c r="BW229" i="69" s="1"/>
  <c r="BW231" i="69" s="1"/>
  <c r="BV228" i="69"/>
  <c r="BV229" i="69" s="1"/>
  <c r="BU228" i="69"/>
  <c r="BU229" i="69" s="1"/>
  <c r="BT228" i="69"/>
  <c r="BT229" i="69" s="1"/>
  <c r="BS228" i="69"/>
  <c r="BS229" i="69" s="1"/>
  <c r="BR228" i="69"/>
  <c r="BR229" i="69" s="1"/>
  <c r="BQ228" i="69"/>
  <c r="BQ229" i="69" s="1"/>
  <c r="BP228" i="69"/>
  <c r="BP229" i="69" s="1"/>
  <c r="BO228" i="69"/>
  <c r="BO229" i="69" s="1"/>
  <c r="BN228" i="69"/>
  <c r="BN229" i="69" s="1"/>
  <c r="BM228" i="69"/>
  <c r="BM229" i="69" s="1"/>
  <c r="BL228" i="69"/>
  <c r="BL229" i="69" s="1"/>
  <c r="BK228" i="69"/>
  <c r="BK229" i="69" s="1"/>
  <c r="BJ228" i="69"/>
  <c r="BJ229" i="69" s="1"/>
  <c r="BI228" i="69"/>
  <c r="BI229" i="69" s="1"/>
  <c r="BH228" i="69"/>
  <c r="BH229" i="69" s="1"/>
  <c r="BG228" i="69"/>
  <c r="BG229" i="69" s="1"/>
  <c r="BF228" i="69"/>
  <c r="BF229" i="69" s="1"/>
  <c r="BE228" i="69"/>
  <c r="BE229" i="69" s="1"/>
  <c r="BD228" i="69"/>
  <c r="BD229" i="69" s="1"/>
  <c r="BC228" i="69"/>
  <c r="BC229" i="69" s="1"/>
  <c r="BB228" i="69"/>
  <c r="BB229" i="69" s="1"/>
  <c r="BA228" i="69"/>
  <c r="BA229" i="69" s="1"/>
  <c r="AZ228" i="69"/>
  <c r="AZ229" i="69" s="1"/>
  <c r="AY228" i="69"/>
  <c r="AY229" i="69" s="1"/>
  <c r="AX228" i="69"/>
  <c r="AX229" i="69" s="1"/>
  <c r="AW228" i="69"/>
  <c r="AW229" i="69" s="1"/>
  <c r="AV228" i="69"/>
  <c r="AV229" i="69" s="1"/>
  <c r="AU228" i="69"/>
  <c r="AU229" i="69" s="1"/>
  <c r="AT228" i="69"/>
  <c r="AT229" i="69" s="1"/>
  <c r="AS228" i="69"/>
  <c r="AS229" i="69" s="1"/>
  <c r="AR228" i="69"/>
  <c r="AR229" i="69" s="1"/>
  <c r="AQ228" i="69"/>
  <c r="AQ229" i="69" s="1"/>
  <c r="AQ231" i="69" s="1"/>
  <c r="AP228" i="69"/>
  <c r="AP229" i="69" s="1"/>
  <c r="AO228" i="69"/>
  <c r="AO229" i="69" s="1"/>
  <c r="AN228" i="69"/>
  <c r="AN229" i="69" s="1"/>
  <c r="AM228" i="69"/>
  <c r="AM229" i="69" s="1"/>
  <c r="AL228" i="69"/>
  <c r="AL229" i="69" s="1"/>
  <c r="AK228" i="69"/>
  <c r="AK229" i="69" s="1"/>
  <c r="AJ228" i="69"/>
  <c r="AJ229" i="69" s="1"/>
  <c r="AI228" i="69"/>
  <c r="AI229" i="69" s="1"/>
  <c r="AH228" i="69"/>
  <c r="AH229" i="69" s="1"/>
  <c r="AG228" i="69"/>
  <c r="AG229" i="69" s="1"/>
  <c r="AF228" i="69"/>
  <c r="AF229" i="69" s="1"/>
  <c r="AE228" i="69"/>
  <c r="AE229" i="69" s="1"/>
  <c r="AD228" i="69"/>
  <c r="AD229" i="69" s="1"/>
  <c r="AC228" i="69"/>
  <c r="AC229" i="69" s="1"/>
  <c r="AB228" i="69"/>
  <c r="AB229" i="69" s="1"/>
  <c r="AA228" i="69"/>
  <c r="AA229" i="69" s="1"/>
  <c r="Z228" i="69"/>
  <c r="Z229" i="69" s="1"/>
  <c r="Y228" i="69"/>
  <c r="X228" i="69"/>
  <c r="W228" i="69"/>
  <c r="V228" i="69"/>
  <c r="V229" i="69" s="1"/>
  <c r="U228" i="69"/>
  <c r="U229" i="69" s="1"/>
  <c r="T228" i="69"/>
  <c r="T229" i="69" s="1"/>
  <c r="S228" i="69"/>
  <c r="S229" i="69" s="1"/>
  <c r="R228" i="69"/>
  <c r="R229" i="69" s="1"/>
  <c r="Q228" i="69"/>
  <c r="Q229" i="69" s="1"/>
  <c r="P228" i="69"/>
  <c r="P229" i="69" s="1"/>
  <c r="O228" i="69"/>
  <c r="O229" i="69" s="1"/>
  <c r="N228" i="69"/>
  <c r="N229" i="69" s="1"/>
  <c r="M228" i="69"/>
  <c r="L228" i="69"/>
  <c r="K228" i="69"/>
  <c r="J228" i="69"/>
  <c r="U158" i="75" s="1"/>
  <c r="U160" i="75" s="1"/>
  <c r="I228" i="69"/>
  <c r="GY226" i="69"/>
  <c r="GU226" i="69"/>
  <c r="GQ226" i="69"/>
  <c r="GM226" i="69"/>
  <c r="GI226" i="69"/>
  <c r="GE226" i="69"/>
  <c r="GA226" i="69"/>
  <c r="FW226" i="69"/>
  <c r="FS226" i="69"/>
  <c r="FO226" i="69"/>
  <c r="FK226" i="69"/>
  <c r="FG226" i="69"/>
  <c r="FC226" i="69"/>
  <c r="EY226" i="69"/>
  <c r="EU226" i="69"/>
  <c r="EQ226" i="69"/>
  <c r="EM226" i="69"/>
  <c r="EI226" i="69"/>
  <c r="EE226" i="69"/>
  <c r="EA226" i="69"/>
  <c r="DW226" i="69"/>
  <c r="DS226" i="69"/>
  <c r="DO226" i="69"/>
  <c r="DK226" i="69"/>
  <c r="DG226" i="69"/>
  <c r="DC226" i="69"/>
  <c r="CY226" i="69"/>
  <c r="CU226" i="69"/>
  <c r="CQ226" i="69"/>
  <c r="CM226" i="69"/>
  <c r="CI226" i="69"/>
  <c r="CE226" i="69"/>
  <c r="CA226" i="69"/>
  <c r="BW226" i="69"/>
  <c r="BS226" i="69"/>
  <c r="BO226" i="69"/>
  <c r="BK226" i="69"/>
  <c r="BG226" i="69"/>
  <c r="BC226" i="69"/>
  <c r="AY226" i="69"/>
  <c r="AU226" i="69"/>
  <c r="AQ226" i="69"/>
  <c r="AM226" i="69"/>
  <c r="AI226" i="69"/>
  <c r="AE226" i="69"/>
  <c r="AA226" i="69"/>
  <c r="W226" i="69"/>
  <c r="S226" i="69"/>
  <c r="O226" i="69"/>
  <c r="K226" i="69"/>
  <c r="HG160" i="69"/>
  <c r="HC160" i="69"/>
  <c r="HG159" i="69"/>
  <c r="HC159" i="69"/>
  <c r="HG158" i="69"/>
  <c r="HC158" i="69"/>
  <c r="HG157" i="69"/>
  <c r="HC157" i="69"/>
  <c r="HG156" i="69"/>
  <c r="HC156" i="69"/>
  <c r="HG155" i="69"/>
  <c r="HC155" i="69"/>
  <c r="HG154" i="69"/>
  <c r="HC154" i="69"/>
  <c r="HG153" i="69"/>
  <c r="HC153" i="69"/>
  <c r="HG152" i="69"/>
  <c r="HC152" i="69"/>
  <c r="HG151" i="69"/>
  <c r="HC151" i="69"/>
  <c r="HG150" i="69"/>
  <c r="HC150" i="69"/>
  <c r="HG149" i="69"/>
  <c r="HC149" i="69"/>
  <c r="HG148" i="69"/>
  <c r="HC148" i="69"/>
  <c r="HG147" i="69"/>
  <c r="HC147" i="69"/>
  <c r="HG146" i="69"/>
  <c r="HC146" i="69"/>
  <c r="HG145" i="69"/>
  <c r="HC145" i="69"/>
  <c r="HG144" i="69"/>
  <c r="HC144" i="69"/>
  <c r="HG143" i="69"/>
  <c r="HC143" i="69"/>
  <c r="HG142" i="69"/>
  <c r="HC142" i="69"/>
  <c r="HG141" i="69"/>
  <c r="HC141" i="69"/>
  <c r="HG140" i="69"/>
  <c r="HC140" i="69"/>
  <c r="HG139" i="69"/>
  <c r="HC139" i="69"/>
  <c r="HG138" i="69"/>
  <c r="HC138" i="69"/>
  <c r="HG137" i="69"/>
  <c r="HC137" i="69"/>
  <c r="HG136" i="69"/>
  <c r="HC136" i="69"/>
  <c r="HG135" i="69"/>
  <c r="HC135" i="69"/>
  <c r="HG134" i="69"/>
  <c r="HC134" i="69"/>
  <c r="HG133" i="69"/>
  <c r="HC133" i="69"/>
  <c r="HG132" i="69"/>
  <c r="HC132" i="69"/>
  <c r="HG131" i="69"/>
  <c r="HC131" i="69"/>
  <c r="HJ130" i="69"/>
  <c r="HI130" i="69"/>
  <c r="HG130" i="69"/>
  <c r="HF130" i="69"/>
  <c r="HE130" i="69"/>
  <c r="HC130" i="69"/>
  <c r="HJ129" i="69"/>
  <c r="HI129" i="69"/>
  <c r="HG129" i="69"/>
  <c r="HF129" i="69"/>
  <c r="HE129" i="69"/>
  <c r="HC129" i="69"/>
  <c r="HJ128" i="69"/>
  <c r="HI128" i="69"/>
  <c r="HG128" i="69"/>
  <c r="HF128" i="69"/>
  <c r="HE128" i="69"/>
  <c r="HC128" i="69"/>
  <c r="HJ127" i="69"/>
  <c r="HI127" i="69"/>
  <c r="HG127" i="69"/>
  <c r="HF127" i="69"/>
  <c r="HE127" i="69"/>
  <c r="HC127" i="69"/>
  <c r="HJ126" i="69"/>
  <c r="HI126" i="69"/>
  <c r="HG126" i="69"/>
  <c r="HF126" i="69"/>
  <c r="HE126" i="69"/>
  <c r="HC126" i="69"/>
  <c r="HJ125" i="69"/>
  <c r="HI125" i="69"/>
  <c r="HG125" i="69"/>
  <c r="HF125" i="69"/>
  <c r="HE125" i="69"/>
  <c r="HC125" i="69"/>
  <c r="HJ124" i="69"/>
  <c r="HI124" i="69"/>
  <c r="HG124" i="69"/>
  <c r="HF124" i="69"/>
  <c r="HE124" i="69"/>
  <c r="HC124" i="69"/>
  <c r="HJ123" i="69"/>
  <c r="HI123" i="69"/>
  <c r="HG123" i="69"/>
  <c r="HF123" i="69"/>
  <c r="HE123" i="69"/>
  <c r="HC123" i="69"/>
  <c r="HJ122" i="69"/>
  <c r="HI122" i="69"/>
  <c r="HG122" i="69"/>
  <c r="HF122" i="69"/>
  <c r="HE122" i="69"/>
  <c r="HC122" i="69"/>
  <c r="HI121" i="69"/>
  <c r="HH121" i="69"/>
  <c r="HG121" i="69"/>
  <c r="HE121" i="69"/>
  <c r="HD121" i="69"/>
  <c r="HC121" i="69"/>
  <c r="HI120" i="69"/>
  <c r="HH120" i="69"/>
  <c r="HG120" i="69"/>
  <c r="HE120" i="69"/>
  <c r="HD120" i="69"/>
  <c r="HC120" i="69"/>
  <c r="HI119" i="69"/>
  <c r="HH119" i="69"/>
  <c r="HG119" i="69"/>
  <c r="HE119" i="69"/>
  <c r="HD119" i="69"/>
  <c r="HC119" i="69"/>
  <c r="HI118" i="69"/>
  <c r="HH118" i="69"/>
  <c r="HG118" i="69"/>
  <c r="HE118" i="69"/>
  <c r="HD118" i="69"/>
  <c r="HC118" i="69"/>
  <c r="HI117" i="69"/>
  <c r="HH117" i="69"/>
  <c r="HG117" i="69"/>
  <c r="HE117" i="69"/>
  <c r="HD117" i="69"/>
  <c r="HC117" i="69"/>
  <c r="HI116" i="69"/>
  <c r="HH116" i="69"/>
  <c r="HG116" i="69"/>
  <c r="HE116" i="69"/>
  <c r="HD116" i="69"/>
  <c r="HC116" i="69"/>
  <c r="HI115" i="69"/>
  <c r="HH115" i="69"/>
  <c r="HG115" i="69"/>
  <c r="HE115" i="69"/>
  <c r="HD115" i="69"/>
  <c r="HC115" i="69"/>
  <c r="HI114" i="69"/>
  <c r="HH114" i="69"/>
  <c r="HG114" i="69"/>
  <c r="HE114" i="69"/>
  <c r="HD114" i="69"/>
  <c r="HC114" i="69"/>
  <c r="HI113" i="69"/>
  <c r="HH113" i="69"/>
  <c r="HG113" i="69"/>
  <c r="HE113" i="69"/>
  <c r="HD113" i="69"/>
  <c r="HC113" i="69"/>
  <c r="HI112" i="69"/>
  <c r="HH112" i="69"/>
  <c r="HG112" i="69"/>
  <c r="HE112" i="69"/>
  <c r="HD112" i="69"/>
  <c r="HC112" i="69"/>
  <c r="HI107" i="69"/>
  <c r="HG107" i="69"/>
  <c r="HE107" i="69"/>
  <c r="HC107" i="69"/>
  <c r="HI106" i="69"/>
  <c r="HG106" i="69"/>
  <c r="HE106" i="69"/>
  <c r="HC106" i="69"/>
  <c r="HI105" i="69"/>
  <c r="HG105" i="69"/>
  <c r="HE105" i="69"/>
  <c r="HC105" i="69"/>
  <c r="HI104" i="69"/>
  <c r="HG104" i="69"/>
  <c r="HE104" i="69"/>
  <c r="HC104" i="69"/>
  <c r="HG103" i="69"/>
  <c r="HC103" i="69"/>
  <c r="HI102" i="69"/>
  <c r="HG102" i="69"/>
  <c r="HE102" i="69"/>
  <c r="HC102" i="69"/>
  <c r="HG101" i="69"/>
  <c r="HC101" i="69"/>
  <c r="HI100" i="69"/>
  <c r="HG100" i="69"/>
  <c r="HE100" i="69"/>
  <c r="HC100" i="69"/>
  <c r="HG99" i="69"/>
  <c r="HC99" i="69"/>
  <c r="HI98" i="69"/>
  <c r="HG98" i="69"/>
  <c r="HE98" i="69"/>
  <c r="HC98" i="69"/>
  <c r="HG97" i="69"/>
  <c r="HC97" i="69"/>
  <c r="HI96" i="69"/>
  <c r="HG96" i="69"/>
  <c r="HE96" i="69"/>
  <c r="HC96" i="69"/>
  <c r="HG95" i="69"/>
  <c r="HC95" i="69"/>
  <c r="HI94" i="69"/>
  <c r="HG94" i="69"/>
  <c r="HE94" i="69"/>
  <c r="HC94" i="69"/>
  <c r="HG93" i="69"/>
  <c r="HC93" i="69"/>
  <c r="HI92" i="69"/>
  <c r="HG92" i="69"/>
  <c r="HE92" i="69"/>
  <c r="HC92" i="69"/>
  <c r="HG91" i="69"/>
  <c r="HC91" i="69"/>
  <c r="HG90" i="69"/>
  <c r="HC90" i="69"/>
  <c r="HG89" i="69"/>
  <c r="HC89" i="69"/>
  <c r="HG88" i="69"/>
  <c r="HC88" i="69"/>
  <c r="HG87" i="69"/>
  <c r="HC87" i="69"/>
  <c r="HG86" i="69"/>
  <c r="HC86" i="69"/>
  <c r="HG85" i="69"/>
  <c r="HC85" i="69"/>
  <c r="HG84" i="69"/>
  <c r="HC84" i="69"/>
  <c r="HG83" i="69"/>
  <c r="HC83" i="69"/>
  <c r="HG82" i="69"/>
  <c r="HC82" i="69"/>
  <c r="HG81" i="69"/>
  <c r="HC81" i="69"/>
  <c r="HJ80" i="69"/>
  <c r="HI80" i="69"/>
  <c r="HG80" i="69"/>
  <c r="HF80" i="69"/>
  <c r="HE80" i="69"/>
  <c r="HC80" i="69"/>
  <c r="HJ79" i="69"/>
  <c r="HI79" i="69"/>
  <c r="HG79" i="69"/>
  <c r="HF79" i="69"/>
  <c r="HE79" i="69"/>
  <c r="HC79" i="69"/>
  <c r="HJ78" i="69"/>
  <c r="HI78" i="69"/>
  <c r="HG78" i="69"/>
  <c r="HF78" i="69"/>
  <c r="HE78" i="69"/>
  <c r="HC78" i="69"/>
  <c r="HJ77" i="69"/>
  <c r="HI77" i="69"/>
  <c r="HG77" i="69"/>
  <c r="HF77" i="69"/>
  <c r="HE77" i="69"/>
  <c r="HC77" i="69"/>
  <c r="HJ76" i="69"/>
  <c r="HI76" i="69"/>
  <c r="HG76" i="69"/>
  <c r="HF76" i="69"/>
  <c r="HE76" i="69"/>
  <c r="HC76" i="69"/>
  <c r="HJ75" i="69"/>
  <c r="HI75" i="69"/>
  <c r="HG75" i="69"/>
  <c r="HF75" i="69"/>
  <c r="HE75" i="69"/>
  <c r="HC75" i="69"/>
  <c r="HJ74" i="69"/>
  <c r="HI74" i="69"/>
  <c r="HG74" i="69"/>
  <c r="HF74" i="69"/>
  <c r="HE74" i="69"/>
  <c r="HC74" i="69"/>
  <c r="HJ73" i="69"/>
  <c r="HI73" i="69"/>
  <c r="HG73" i="69"/>
  <c r="HF73" i="69"/>
  <c r="HE73" i="69"/>
  <c r="HC73" i="69"/>
  <c r="HJ72" i="69"/>
  <c r="HI72" i="69"/>
  <c r="HG72" i="69"/>
  <c r="HF72" i="69"/>
  <c r="HE72" i="69"/>
  <c r="HC72" i="69"/>
  <c r="HJ71" i="69"/>
  <c r="HI71" i="69"/>
  <c r="HG71" i="69"/>
  <c r="HF71" i="69"/>
  <c r="HE71" i="69"/>
  <c r="HC71" i="69"/>
  <c r="HJ70" i="69"/>
  <c r="HI70" i="69"/>
  <c r="HG70" i="69"/>
  <c r="HF70" i="69"/>
  <c r="HE70" i="69"/>
  <c r="HC70" i="69"/>
  <c r="HJ69" i="69"/>
  <c r="HI69" i="69"/>
  <c r="HG69" i="69"/>
  <c r="HF69" i="69"/>
  <c r="HE69" i="69"/>
  <c r="HC69" i="69"/>
  <c r="HJ68" i="69"/>
  <c r="HI68" i="69"/>
  <c r="HG68" i="69"/>
  <c r="HF68" i="69"/>
  <c r="HE68" i="69"/>
  <c r="HC68" i="69"/>
  <c r="HJ67" i="69"/>
  <c r="HI67" i="69"/>
  <c r="HG67" i="69"/>
  <c r="HF67" i="69"/>
  <c r="HE67" i="69"/>
  <c r="HC67" i="69"/>
  <c r="HJ66" i="69"/>
  <c r="HI66" i="69"/>
  <c r="HG66" i="69"/>
  <c r="HF66" i="69"/>
  <c r="HE66" i="69"/>
  <c r="HC66" i="69"/>
  <c r="HJ65" i="69"/>
  <c r="HI65" i="69"/>
  <c r="HG65" i="69"/>
  <c r="HF65" i="69"/>
  <c r="HE65" i="69"/>
  <c r="HC65" i="69"/>
  <c r="HI64" i="69"/>
  <c r="HH64" i="69"/>
  <c r="HG64" i="69"/>
  <c r="HE64" i="69"/>
  <c r="HD64" i="69"/>
  <c r="HC64" i="69"/>
  <c r="HI63" i="69"/>
  <c r="HH63" i="69"/>
  <c r="HG63" i="69"/>
  <c r="HE63" i="69"/>
  <c r="HD63" i="69"/>
  <c r="HC63" i="69"/>
  <c r="HI62" i="69"/>
  <c r="HH62" i="69"/>
  <c r="HG62" i="69"/>
  <c r="HE62" i="69"/>
  <c r="HD62" i="69"/>
  <c r="HC62" i="69"/>
  <c r="HI61" i="69"/>
  <c r="HH61" i="69"/>
  <c r="HG61" i="69"/>
  <c r="HE61" i="69"/>
  <c r="HD61" i="69"/>
  <c r="HC61" i="69"/>
  <c r="HI60" i="69"/>
  <c r="HH60" i="69"/>
  <c r="HG60" i="69"/>
  <c r="HE60" i="69"/>
  <c r="HD60" i="69"/>
  <c r="HC60" i="69"/>
  <c r="HI59" i="69"/>
  <c r="HH59" i="69"/>
  <c r="HG59" i="69"/>
  <c r="HE59" i="69"/>
  <c r="HD59" i="69"/>
  <c r="HC59" i="69"/>
  <c r="HI58" i="69"/>
  <c r="HH58" i="69"/>
  <c r="HG58" i="69"/>
  <c r="HE58" i="69"/>
  <c r="HD58" i="69"/>
  <c r="HC58" i="69"/>
  <c r="HI57" i="69"/>
  <c r="HH57" i="69"/>
  <c r="HG57" i="69"/>
  <c r="HE57" i="69"/>
  <c r="HD57" i="69"/>
  <c r="HC57" i="69"/>
  <c r="HI56" i="69"/>
  <c r="HH56" i="69"/>
  <c r="HG56" i="69"/>
  <c r="HE56" i="69"/>
  <c r="HD56" i="69"/>
  <c r="HC56" i="69"/>
  <c r="HI55" i="69"/>
  <c r="HH55" i="69"/>
  <c r="HG55" i="69"/>
  <c r="HE55" i="69"/>
  <c r="HD55" i="69"/>
  <c r="HC55" i="69"/>
  <c r="HI54" i="69"/>
  <c r="HH54" i="69"/>
  <c r="HG54" i="69"/>
  <c r="HE54" i="69"/>
  <c r="HD54" i="69"/>
  <c r="HC54" i="69"/>
  <c r="HI53" i="69"/>
  <c r="HH53" i="69"/>
  <c r="HG53" i="69"/>
  <c r="HE53" i="69"/>
  <c r="HD53" i="69"/>
  <c r="HC53" i="69"/>
  <c r="HI52" i="69"/>
  <c r="HH52" i="69"/>
  <c r="HG52" i="69"/>
  <c r="HE52" i="69"/>
  <c r="HD52" i="69"/>
  <c r="HC52" i="69"/>
  <c r="HI51" i="69"/>
  <c r="HH51" i="69"/>
  <c r="HG51" i="69"/>
  <c r="HE51" i="69"/>
  <c r="HD51" i="69"/>
  <c r="HC51" i="69"/>
  <c r="HI50" i="69"/>
  <c r="HH50" i="69"/>
  <c r="HG50" i="69"/>
  <c r="HE50" i="69"/>
  <c r="HD50" i="69"/>
  <c r="HC50" i="69"/>
  <c r="HI49" i="69"/>
  <c r="HH49" i="69"/>
  <c r="HG49" i="69"/>
  <c r="HE49" i="69"/>
  <c r="HD49" i="69"/>
  <c r="HC49" i="69"/>
  <c r="HI48" i="69"/>
  <c r="HH48" i="69"/>
  <c r="HG48" i="69"/>
  <c r="HE48" i="69"/>
  <c r="HD48" i="69"/>
  <c r="HC48" i="69"/>
  <c r="HI47" i="69"/>
  <c r="HH47" i="69"/>
  <c r="HG47" i="69"/>
  <c r="HE47" i="69"/>
  <c r="HD47" i="69"/>
  <c r="HC47" i="69"/>
  <c r="HI46" i="69"/>
  <c r="HH46" i="69"/>
  <c r="HG46" i="69"/>
  <c r="HE46" i="69"/>
  <c r="HD46" i="69"/>
  <c r="HC46" i="69"/>
  <c r="HI45" i="69"/>
  <c r="HH45" i="69"/>
  <c r="HG45" i="69"/>
  <c r="HE45" i="69"/>
  <c r="HD45" i="69"/>
  <c r="HC45" i="69"/>
  <c r="HI44" i="69"/>
  <c r="HH44" i="69"/>
  <c r="HG44" i="69"/>
  <c r="HE44" i="69"/>
  <c r="HD44" i="69"/>
  <c r="HC44" i="69"/>
  <c r="HI43" i="69"/>
  <c r="HH43" i="69"/>
  <c r="HG43" i="69"/>
  <c r="HE43" i="69"/>
  <c r="HD43" i="69"/>
  <c r="HC43" i="69"/>
  <c r="HI42" i="69"/>
  <c r="HH42" i="69"/>
  <c r="HG42" i="69"/>
  <c r="HE42" i="69"/>
  <c r="HD42" i="69"/>
  <c r="HC42" i="69"/>
  <c r="HI41" i="69"/>
  <c r="HH41" i="69"/>
  <c r="HG41" i="69"/>
  <c r="HE41" i="69"/>
  <c r="HD41" i="69"/>
  <c r="HC41" i="69"/>
  <c r="HI40" i="69"/>
  <c r="HH40" i="69"/>
  <c r="HG40" i="69"/>
  <c r="HE40" i="69"/>
  <c r="HD40" i="69"/>
  <c r="HC40" i="69"/>
  <c r="HI39" i="69"/>
  <c r="HH39" i="69"/>
  <c r="HG39" i="69"/>
  <c r="HE39" i="69"/>
  <c r="HD39" i="69"/>
  <c r="HC39" i="69"/>
  <c r="HI38" i="69"/>
  <c r="HH38" i="69"/>
  <c r="HG38" i="69"/>
  <c r="HE38" i="69"/>
  <c r="HD38" i="69"/>
  <c r="HC38" i="69"/>
  <c r="HI37" i="69"/>
  <c r="HH37" i="69"/>
  <c r="HG37" i="69"/>
  <c r="HE37" i="69"/>
  <c r="HD37" i="69"/>
  <c r="HC37" i="69"/>
  <c r="HI36" i="69"/>
  <c r="HH36" i="69"/>
  <c r="HG36" i="69"/>
  <c r="HE36" i="69"/>
  <c r="HD36" i="69"/>
  <c r="HC36" i="69"/>
  <c r="HI35" i="69"/>
  <c r="HH35" i="69"/>
  <c r="HG35" i="69"/>
  <c r="HE35" i="69"/>
  <c r="HD35" i="69"/>
  <c r="HC35" i="69"/>
  <c r="HI34" i="69"/>
  <c r="HH34" i="69"/>
  <c r="HG34" i="69"/>
  <c r="HE34" i="69"/>
  <c r="HD34" i="69"/>
  <c r="HC34" i="69"/>
  <c r="HI33" i="69"/>
  <c r="HH33" i="69"/>
  <c r="HG33" i="69"/>
  <c r="HE33" i="69"/>
  <c r="HD33" i="69"/>
  <c r="HC33" i="69"/>
  <c r="HI32" i="69"/>
  <c r="HH32" i="69"/>
  <c r="HG32" i="69"/>
  <c r="HE32" i="69"/>
  <c r="HD32" i="69"/>
  <c r="HC32" i="69"/>
  <c r="HI31" i="69"/>
  <c r="HH31" i="69"/>
  <c r="HG31" i="69"/>
  <c r="HE31" i="69"/>
  <c r="HD31" i="69"/>
  <c r="HC31" i="69"/>
  <c r="HI30" i="69"/>
  <c r="HH30" i="69"/>
  <c r="HG30" i="69"/>
  <c r="HE30" i="69"/>
  <c r="HD30" i="69"/>
  <c r="HC30" i="69"/>
  <c r="HI29" i="69"/>
  <c r="HH29" i="69"/>
  <c r="HG29" i="69"/>
  <c r="HE29" i="69"/>
  <c r="HD29" i="69"/>
  <c r="HC29" i="69"/>
  <c r="HI28" i="69"/>
  <c r="HH28" i="69"/>
  <c r="HG28" i="69"/>
  <c r="HE28" i="69"/>
  <c r="HD28" i="69"/>
  <c r="HC28" i="69"/>
  <c r="HI27" i="69"/>
  <c r="HH27" i="69"/>
  <c r="HG27" i="69"/>
  <c r="HE27" i="69"/>
  <c r="HD27" i="69"/>
  <c r="HC27" i="69"/>
  <c r="HI26" i="69"/>
  <c r="HH26" i="69"/>
  <c r="HG26" i="69"/>
  <c r="HE26" i="69"/>
  <c r="HD26" i="69"/>
  <c r="HC26" i="69"/>
  <c r="HI25" i="69"/>
  <c r="HH25" i="69"/>
  <c r="HG25" i="69"/>
  <c r="HE25" i="69"/>
  <c r="HD25" i="69"/>
  <c r="HC25" i="69"/>
  <c r="HI24" i="69"/>
  <c r="HH24" i="69"/>
  <c r="HG24" i="69"/>
  <c r="HE24" i="69"/>
  <c r="HD24" i="69"/>
  <c r="HC24" i="69"/>
  <c r="HI23" i="69"/>
  <c r="HH23" i="69"/>
  <c r="HG23" i="69"/>
  <c r="HE23" i="69"/>
  <c r="HD23" i="69"/>
  <c r="HC23" i="69"/>
  <c r="HI22" i="69"/>
  <c r="HH22" i="69"/>
  <c r="HG22" i="69"/>
  <c r="HE22" i="69"/>
  <c r="HD22" i="69"/>
  <c r="HC22" i="69"/>
  <c r="HI21" i="69"/>
  <c r="HH21" i="69"/>
  <c r="HG21" i="69"/>
  <c r="HE21" i="69"/>
  <c r="HD21" i="69"/>
  <c r="HC21" i="69"/>
  <c r="HI20" i="69"/>
  <c r="HH20" i="69"/>
  <c r="HG20" i="69"/>
  <c r="HE20" i="69"/>
  <c r="HD20" i="69"/>
  <c r="HC20" i="69"/>
  <c r="HI19" i="69"/>
  <c r="HH19" i="69"/>
  <c r="HG19" i="69"/>
  <c r="HE19" i="69"/>
  <c r="HD19" i="69"/>
  <c r="HC19" i="69"/>
  <c r="HI18" i="69"/>
  <c r="HH18" i="69"/>
  <c r="HG18" i="69"/>
  <c r="HE18" i="69"/>
  <c r="HD18" i="69"/>
  <c r="HC18" i="69"/>
  <c r="HI17" i="69"/>
  <c r="HH17" i="69"/>
  <c r="HG17" i="69"/>
  <c r="HE17" i="69"/>
  <c r="HD17" i="69"/>
  <c r="HC17" i="69"/>
  <c r="HG12" i="69"/>
  <c r="U104" i="75" s="1"/>
  <c r="HE12" i="69"/>
  <c r="M104" i="75" s="1"/>
  <c r="HG11" i="69"/>
  <c r="HE11" i="69"/>
  <c r="HG10" i="69"/>
  <c r="HE10" i="69"/>
  <c r="GZ6" i="69"/>
  <c r="GV6" i="69"/>
  <c r="GR6" i="69"/>
  <c r="GN6" i="69"/>
  <c r="GJ6" i="69"/>
  <c r="GF6" i="69"/>
  <c r="GB6" i="69"/>
  <c r="FX6" i="69"/>
  <c r="FT6" i="69"/>
  <c r="FP6" i="69"/>
  <c r="FL6" i="69"/>
  <c r="FH6" i="69"/>
  <c r="FD6" i="69"/>
  <c r="EZ6" i="69"/>
  <c r="EV6" i="69"/>
  <c r="ER6" i="69"/>
  <c r="EN6" i="69"/>
  <c r="EJ6" i="69"/>
  <c r="EF6" i="69"/>
  <c r="EB6" i="69"/>
  <c r="DX6" i="69"/>
  <c r="DT6" i="69"/>
  <c r="DP6" i="69"/>
  <c r="DL6" i="69"/>
  <c r="DH6" i="69"/>
  <c r="DD6" i="69"/>
  <c r="CZ6" i="69"/>
  <c r="CV6" i="69"/>
  <c r="CR6" i="69"/>
  <c r="CN6" i="69"/>
  <c r="CJ6" i="69"/>
  <c r="CF6" i="69"/>
  <c r="CB6" i="69"/>
  <c r="BX6" i="69"/>
  <c r="BT6" i="69"/>
  <c r="BP6" i="69"/>
  <c r="BL6" i="69"/>
  <c r="BH6" i="69"/>
  <c r="BD6" i="69"/>
  <c r="AZ6" i="69"/>
  <c r="AV6" i="69"/>
  <c r="AR6" i="69"/>
  <c r="AN6" i="69"/>
  <c r="AJ6" i="69"/>
  <c r="AF6" i="69"/>
  <c r="AB6" i="69"/>
  <c r="X6" i="69"/>
  <c r="T6" i="69"/>
  <c r="P6" i="69"/>
  <c r="L6" i="69"/>
  <c r="B5" i="69"/>
  <c r="B4" i="69"/>
  <c r="B3" i="69"/>
  <c r="BD287" i="68"/>
  <c r="D287" i="68"/>
  <c r="BD286" i="68"/>
  <c r="D286" i="68"/>
  <c r="C286" i="68"/>
  <c r="BC285" i="68"/>
  <c r="BB285" i="68"/>
  <c r="BA285" i="68"/>
  <c r="AZ285" i="68"/>
  <c r="AY285" i="68"/>
  <c r="AX285" i="68"/>
  <c r="AW285" i="68"/>
  <c r="AV285" i="68"/>
  <c r="AU285" i="68"/>
  <c r="AT285" i="68"/>
  <c r="AS285" i="68"/>
  <c r="AR285" i="68"/>
  <c r="AQ285" i="68"/>
  <c r="AP285" i="68"/>
  <c r="AO285" i="68"/>
  <c r="AN285" i="68"/>
  <c r="AM285" i="68"/>
  <c r="AL285" i="68"/>
  <c r="AK285" i="68"/>
  <c r="AJ285" i="68"/>
  <c r="AI285" i="68"/>
  <c r="AH285" i="68"/>
  <c r="AG285" i="68"/>
  <c r="AF285" i="68"/>
  <c r="AE285" i="68"/>
  <c r="AD285" i="68"/>
  <c r="AC285" i="68"/>
  <c r="AB285" i="68"/>
  <c r="AA285" i="68"/>
  <c r="Z285" i="68"/>
  <c r="Y285" i="68"/>
  <c r="X285" i="68"/>
  <c r="W285" i="68"/>
  <c r="V285" i="68"/>
  <c r="U285" i="68"/>
  <c r="T285" i="68"/>
  <c r="S285" i="68"/>
  <c r="R285" i="68"/>
  <c r="Q285" i="68"/>
  <c r="P285" i="68"/>
  <c r="O285" i="68"/>
  <c r="N285" i="68"/>
  <c r="M285" i="68"/>
  <c r="L285" i="68"/>
  <c r="K285" i="68"/>
  <c r="J285" i="68"/>
  <c r="I285" i="68"/>
  <c r="H285" i="68"/>
  <c r="G285" i="68"/>
  <c r="F285" i="68"/>
  <c r="E285" i="68"/>
  <c r="D285" i="68"/>
  <c r="C285" i="68"/>
  <c r="BC284" i="68"/>
  <c r="BD275" i="68"/>
  <c r="D275" i="68"/>
  <c r="BD274" i="68"/>
  <c r="D274" i="68"/>
  <c r="C274" i="68"/>
  <c r="BC273" i="68"/>
  <c r="BB273" i="68"/>
  <c r="BA273" i="68"/>
  <c r="AZ273" i="68"/>
  <c r="AY273" i="68"/>
  <c r="AX273" i="68"/>
  <c r="AW273" i="68"/>
  <c r="AV273" i="68"/>
  <c r="AU273" i="68"/>
  <c r="AT273" i="68"/>
  <c r="AS273" i="68"/>
  <c r="AR273" i="68"/>
  <c r="AQ273" i="68"/>
  <c r="AP273" i="68"/>
  <c r="AO273" i="68"/>
  <c r="AN273" i="68"/>
  <c r="AM273" i="68"/>
  <c r="AL273" i="68"/>
  <c r="AK273" i="68"/>
  <c r="AJ273" i="68"/>
  <c r="AI273" i="68"/>
  <c r="AH273" i="68"/>
  <c r="AG273" i="68"/>
  <c r="AF273" i="68"/>
  <c r="AE273" i="68"/>
  <c r="AD273" i="68"/>
  <c r="AC273" i="68"/>
  <c r="AB273" i="68"/>
  <c r="AA273" i="68"/>
  <c r="Z273" i="68"/>
  <c r="Y273" i="68"/>
  <c r="X273" i="68"/>
  <c r="W273" i="68"/>
  <c r="V273" i="68"/>
  <c r="U273" i="68"/>
  <c r="T273" i="68"/>
  <c r="S273" i="68"/>
  <c r="R273" i="68"/>
  <c r="Q273" i="68"/>
  <c r="P273" i="68"/>
  <c r="O273" i="68"/>
  <c r="N273" i="68"/>
  <c r="M273" i="68"/>
  <c r="L273" i="68"/>
  <c r="K273" i="68"/>
  <c r="J273" i="68"/>
  <c r="I273" i="68"/>
  <c r="H273" i="68"/>
  <c r="G273" i="68"/>
  <c r="F273" i="68"/>
  <c r="E273" i="68"/>
  <c r="D273" i="68"/>
  <c r="C273" i="68"/>
  <c r="BC272" i="68"/>
  <c r="BD263" i="68"/>
  <c r="D263" i="68"/>
  <c r="BD262" i="68"/>
  <c r="D262" i="68"/>
  <c r="C262" i="68"/>
  <c r="BC261" i="68"/>
  <c r="BB261" i="68"/>
  <c r="BA261" i="68"/>
  <c r="AZ261" i="68"/>
  <c r="AY261" i="68"/>
  <c r="AX261" i="68"/>
  <c r="AW261" i="68"/>
  <c r="AV261" i="68"/>
  <c r="AU261" i="68"/>
  <c r="AT261" i="68"/>
  <c r="AS261" i="68"/>
  <c r="AR261" i="68"/>
  <c r="AQ261" i="68"/>
  <c r="AP261" i="68"/>
  <c r="AO261" i="68"/>
  <c r="AN261" i="68"/>
  <c r="AM261" i="68"/>
  <c r="AL261" i="68"/>
  <c r="AK261" i="68"/>
  <c r="AJ261" i="68"/>
  <c r="AI261" i="68"/>
  <c r="AH261" i="68"/>
  <c r="AG261" i="68"/>
  <c r="AF261" i="68"/>
  <c r="AE261" i="68"/>
  <c r="AD261" i="68"/>
  <c r="AC261" i="68"/>
  <c r="AB261" i="68"/>
  <c r="AA261" i="68"/>
  <c r="Z261" i="68"/>
  <c r="Y261" i="68"/>
  <c r="X261" i="68"/>
  <c r="W261" i="68"/>
  <c r="V261" i="68"/>
  <c r="U261" i="68"/>
  <c r="T261" i="68"/>
  <c r="S261" i="68"/>
  <c r="R261" i="68"/>
  <c r="Q261" i="68"/>
  <c r="P261" i="68"/>
  <c r="O261" i="68"/>
  <c r="N261" i="68"/>
  <c r="M261" i="68"/>
  <c r="L261" i="68"/>
  <c r="K261" i="68"/>
  <c r="J261" i="68"/>
  <c r="I261" i="68"/>
  <c r="H261" i="68"/>
  <c r="G261" i="68"/>
  <c r="F261" i="68"/>
  <c r="E261" i="68"/>
  <c r="D261" i="68"/>
  <c r="C261" i="68"/>
  <c r="BC260" i="68"/>
  <c r="BD251" i="68"/>
  <c r="D251" i="68"/>
  <c r="BD250" i="68"/>
  <c r="D250" i="68"/>
  <c r="C250" i="68"/>
  <c r="BC249" i="68"/>
  <c r="BB249" i="68"/>
  <c r="BA249" i="68"/>
  <c r="AZ249" i="68"/>
  <c r="AY249" i="68"/>
  <c r="AX249" i="68"/>
  <c r="AW249" i="68"/>
  <c r="AV249" i="68"/>
  <c r="AU249" i="68"/>
  <c r="AT249" i="68"/>
  <c r="AS249" i="68"/>
  <c r="AR249" i="68"/>
  <c r="AQ249" i="68"/>
  <c r="AP249" i="68"/>
  <c r="AO249" i="68"/>
  <c r="AN249" i="68"/>
  <c r="AM249" i="68"/>
  <c r="AL249" i="68"/>
  <c r="AK249" i="68"/>
  <c r="AJ249" i="68"/>
  <c r="AI249" i="68"/>
  <c r="AH249" i="68"/>
  <c r="AG249" i="68"/>
  <c r="AF249" i="68"/>
  <c r="AE249" i="68"/>
  <c r="AD249" i="68"/>
  <c r="AC249" i="68"/>
  <c r="AB249" i="68"/>
  <c r="AA249" i="68"/>
  <c r="Z249" i="68"/>
  <c r="Y249" i="68"/>
  <c r="X249" i="68"/>
  <c r="W249" i="68"/>
  <c r="V249" i="68"/>
  <c r="U249" i="68"/>
  <c r="T249" i="68"/>
  <c r="S249" i="68"/>
  <c r="R249" i="68"/>
  <c r="Q249" i="68"/>
  <c r="P249" i="68"/>
  <c r="O249" i="68"/>
  <c r="N249" i="68"/>
  <c r="M249" i="68"/>
  <c r="L249" i="68"/>
  <c r="K249" i="68"/>
  <c r="J249" i="68"/>
  <c r="I249" i="68"/>
  <c r="H249" i="68"/>
  <c r="G249" i="68"/>
  <c r="F249" i="68"/>
  <c r="E249" i="68"/>
  <c r="D249" i="68"/>
  <c r="C249" i="68"/>
  <c r="BC248" i="68"/>
  <c r="GY243" i="68"/>
  <c r="GU243" i="68"/>
  <c r="GQ243" i="68"/>
  <c r="GM243" i="68"/>
  <c r="GI243" i="68"/>
  <c r="GE243" i="68"/>
  <c r="GA243" i="68"/>
  <c r="FW243" i="68"/>
  <c r="FS243" i="68"/>
  <c r="FO243" i="68"/>
  <c r="FK243" i="68"/>
  <c r="FG243" i="68"/>
  <c r="FC243" i="68"/>
  <c r="EY243" i="68"/>
  <c r="EU243" i="68"/>
  <c r="EQ243" i="68"/>
  <c r="EM243" i="68"/>
  <c r="EI243" i="68"/>
  <c r="EE243" i="68"/>
  <c r="EA243" i="68"/>
  <c r="DW243" i="68"/>
  <c r="DS243" i="68"/>
  <c r="DO243" i="68"/>
  <c r="DK243" i="68"/>
  <c r="DG243" i="68"/>
  <c r="DC243" i="68"/>
  <c r="CY243" i="68"/>
  <c r="CU243" i="68"/>
  <c r="CQ243" i="68"/>
  <c r="CM243" i="68"/>
  <c r="CI243" i="68"/>
  <c r="CE243" i="68"/>
  <c r="CA243" i="68"/>
  <c r="BW243" i="68"/>
  <c r="BS243" i="68"/>
  <c r="BO243" i="68"/>
  <c r="BK243" i="68"/>
  <c r="BG243" i="68"/>
  <c r="BC243" i="68"/>
  <c r="AY243" i="68"/>
  <c r="AU243" i="68"/>
  <c r="AQ243" i="68"/>
  <c r="AM243" i="68"/>
  <c r="AI243" i="68"/>
  <c r="AE243" i="68"/>
  <c r="AA243" i="68"/>
  <c r="W243" i="68"/>
  <c r="S243" i="68"/>
  <c r="O243" i="68"/>
  <c r="K243" i="68"/>
  <c r="GY242" i="68"/>
  <c r="GU242" i="68"/>
  <c r="GQ242" i="68"/>
  <c r="GM242" i="68"/>
  <c r="GI242" i="68"/>
  <c r="GE242" i="68"/>
  <c r="GA242" i="68"/>
  <c r="FW242" i="68"/>
  <c r="FS242" i="68"/>
  <c r="FO242" i="68"/>
  <c r="FK242" i="68"/>
  <c r="FG242" i="68"/>
  <c r="FC242" i="68"/>
  <c r="EY242" i="68"/>
  <c r="EU242" i="68"/>
  <c r="EQ242" i="68"/>
  <c r="EM242" i="68"/>
  <c r="EI242" i="68"/>
  <c r="EE242" i="68"/>
  <c r="EA242" i="68"/>
  <c r="DW242" i="68"/>
  <c r="DS242" i="68"/>
  <c r="DO242" i="68"/>
  <c r="DK242" i="68"/>
  <c r="DG242" i="68"/>
  <c r="DC242" i="68"/>
  <c r="CY242" i="68"/>
  <c r="CU242" i="68"/>
  <c r="CQ242" i="68"/>
  <c r="CM242" i="68"/>
  <c r="CI242" i="68"/>
  <c r="CE242" i="68"/>
  <c r="CA242" i="68"/>
  <c r="BW242" i="68"/>
  <c r="BS242" i="68"/>
  <c r="BO242" i="68"/>
  <c r="BK242" i="68"/>
  <c r="BG242" i="68"/>
  <c r="BC242" i="68"/>
  <c r="AY242" i="68"/>
  <c r="AU242" i="68"/>
  <c r="AQ242" i="68"/>
  <c r="AM242" i="68"/>
  <c r="AI242" i="68"/>
  <c r="AE242" i="68"/>
  <c r="AA242" i="68"/>
  <c r="W242" i="68"/>
  <c r="S242" i="68"/>
  <c r="O242" i="68"/>
  <c r="K242" i="68"/>
  <c r="J242" i="68"/>
  <c r="I242" i="68"/>
  <c r="GY241" i="68"/>
  <c r="GU241" i="68"/>
  <c r="GQ241" i="68"/>
  <c r="GM241" i="68"/>
  <c r="GI241" i="68"/>
  <c r="GE241" i="68"/>
  <c r="GA241" i="68"/>
  <c r="FW241" i="68"/>
  <c r="FS241" i="68"/>
  <c r="FO241" i="68"/>
  <c r="FK241" i="68"/>
  <c r="FG241" i="68"/>
  <c r="FC241" i="68"/>
  <c r="EY241" i="68"/>
  <c r="EU241" i="68"/>
  <c r="EQ241" i="68"/>
  <c r="EM241" i="68"/>
  <c r="EI241" i="68"/>
  <c r="EE241" i="68"/>
  <c r="EA241" i="68"/>
  <c r="DW241" i="68"/>
  <c r="DS241" i="68"/>
  <c r="DO241" i="68"/>
  <c r="DK241" i="68"/>
  <c r="DG241" i="68"/>
  <c r="DC241" i="68"/>
  <c r="CY241" i="68"/>
  <c r="CU241" i="68"/>
  <c r="CQ241" i="68"/>
  <c r="CM241" i="68"/>
  <c r="CI241" i="68"/>
  <c r="CE241" i="68"/>
  <c r="CA241" i="68"/>
  <c r="BW241" i="68"/>
  <c r="BS241" i="68"/>
  <c r="BO241" i="68"/>
  <c r="BK241" i="68"/>
  <c r="BG241" i="68"/>
  <c r="BC241" i="68"/>
  <c r="AY241" i="68"/>
  <c r="AU241" i="68"/>
  <c r="AQ241" i="68"/>
  <c r="AM241" i="68"/>
  <c r="AI241" i="68"/>
  <c r="AE241" i="68"/>
  <c r="AA241" i="68"/>
  <c r="W241" i="68"/>
  <c r="S241" i="68"/>
  <c r="O241" i="68"/>
  <c r="K241" i="68"/>
  <c r="J241" i="68"/>
  <c r="I241" i="68"/>
  <c r="HA240" i="68"/>
  <c r="GY240" i="68"/>
  <c r="GW240" i="68"/>
  <c r="GU240" i="68"/>
  <c r="GS240" i="68"/>
  <c r="GQ240" i="68"/>
  <c r="GO240" i="68"/>
  <c r="GM240" i="68"/>
  <c r="GK240" i="68"/>
  <c r="GI240" i="68"/>
  <c r="GG240" i="68"/>
  <c r="GE240" i="68"/>
  <c r="GC240" i="68"/>
  <c r="GA240" i="68"/>
  <c r="FY240" i="68"/>
  <c r="FW240" i="68"/>
  <c r="FU240" i="68"/>
  <c r="FS240" i="68"/>
  <c r="FQ240" i="68"/>
  <c r="FO240" i="68"/>
  <c r="FM240" i="68"/>
  <c r="FK240" i="68"/>
  <c r="FI240" i="68"/>
  <c r="FG240" i="68"/>
  <c r="FE240" i="68"/>
  <c r="FC240" i="68"/>
  <c r="FA240" i="68"/>
  <c r="EY240" i="68"/>
  <c r="EW240" i="68"/>
  <c r="EU240" i="68"/>
  <c r="ES240" i="68"/>
  <c r="EQ240" i="68"/>
  <c r="EO240" i="68"/>
  <c r="EM240" i="68"/>
  <c r="EK240" i="68"/>
  <c r="EI240" i="68"/>
  <c r="EG240" i="68"/>
  <c r="EE240" i="68"/>
  <c r="EC240" i="68"/>
  <c r="EA240" i="68"/>
  <c r="DY240" i="68"/>
  <c r="DW240" i="68"/>
  <c r="DU240" i="68"/>
  <c r="DS240" i="68"/>
  <c r="DQ240" i="68"/>
  <c r="DO240" i="68"/>
  <c r="DM240" i="68"/>
  <c r="DK240" i="68"/>
  <c r="DI240" i="68"/>
  <c r="DG240" i="68"/>
  <c r="DE240" i="68"/>
  <c r="DC240" i="68"/>
  <c r="DA240" i="68"/>
  <c r="CY240" i="68"/>
  <c r="CW240" i="68"/>
  <c r="CU240" i="68"/>
  <c r="CS240" i="68"/>
  <c r="CQ240" i="68"/>
  <c r="CO240" i="68"/>
  <c r="CM240" i="68"/>
  <c r="CK240" i="68"/>
  <c r="CI240" i="68"/>
  <c r="CG240" i="68"/>
  <c r="CE240" i="68"/>
  <c r="CC240" i="68"/>
  <c r="CA240" i="68"/>
  <c r="BY240" i="68"/>
  <c r="BW240" i="68"/>
  <c r="BU240" i="68"/>
  <c r="BS240" i="68"/>
  <c r="BQ240" i="68"/>
  <c r="BO240" i="68"/>
  <c r="BM240" i="68"/>
  <c r="BK240" i="68"/>
  <c r="BI240" i="68"/>
  <c r="BG240" i="68"/>
  <c r="BE240" i="68"/>
  <c r="BC240" i="68"/>
  <c r="BA240" i="68"/>
  <c r="AY240" i="68"/>
  <c r="AW240" i="68"/>
  <c r="AU240" i="68"/>
  <c r="AS240" i="68"/>
  <c r="AQ240" i="68"/>
  <c r="AO240" i="68"/>
  <c r="AM240" i="68"/>
  <c r="AK240" i="68"/>
  <c r="AI240" i="68"/>
  <c r="AG240" i="68"/>
  <c r="AE240" i="68"/>
  <c r="AC240" i="68"/>
  <c r="AA240" i="68"/>
  <c r="Y240" i="68"/>
  <c r="W240" i="68"/>
  <c r="U240" i="68"/>
  <c r="S240" i="68"/>
  <c r="Q240" i="68"/>
  <c r="O240" i="68"/>
  <c r="M240" i="68"/>
  <c r="K240" i="68"/>
  <c r="HA239" i="68"/>
  <c r="GY239" i="68"/>
  <c r="GW239" i="68"/>
  <c r="GU239" i="68"/>
  <c r="GS239" i="68"/>
  <c r="GQ239" i="68"/>
  <c r="GO239" i="68"/>
  <c r="GM239" i="68"/>
  <c r="GK239" i="68"/>
  <c r="GI239" i="68"/>
  <c r="GG239" i="68"/>
  <c r="GE239" i="68"/>
  <c r="GC239" i="68"/>
  <c r="GA239" i="68"/>
  <c r="FY239" i="68"/>
  <c r="FW239" i="68"/>
  <c r="FU239" i="68"/>
  <c r="FS239" i="68"/>
  <c r="FQ239" i="68"/>
  <c r="FO239" i="68"/>
  <c r="FM239" i="68"/>
  <c r="FK239" i="68"/>
  <c r="FI239" i="68"/>
  <c r="FG239" i="68"/>
  <c r="FE239" i="68"/>
  <c r="FC239" i="68"/>
  <c r="FA239" i="68"/>
  <c r="EY239" i="68"/>
  <c r="EW239" i="68"/>
  <c r="EU239" i="68"/>
  <c r="ES239" i="68"/>
  <c r="EQ239" i="68"/>
  <c r="EO239" i="68"/>
  <c r="EM239" i="68"/>
  <c r="EK239" i="68"/>
  <c r="EI239" i="68"/>
  <c r="EG239" i="68"/>
  <c r="EE239" i="68"/>
  <c r="EC239" i="68"/>
  <c r="EA239" i="68"/>
  <c r="DY239" i="68"/>
  <c r="DW239" i="68"/>
  <c r="DU239" i="68"/>
  <c r="DS239" i="68"/>
  <c r="DQ239" i="68"/>
  <c r="DO239" i="68"/>
  <c r="DM239" i="68"/>
  <c r="DK239" i="68"/>
  <c r="DI239" i="68"/>
  <c r="DG239" i="68"/>
  <c r="DE239" i="68"/>
  <c r="DC239" i="68"/>
  <c r="DA239" i="68"/>
  <c r="CY239" i="68"/>
  <c r="CW239" i="68"/>
  <c r="CU239" i="68"/>
  <c r="CS239" i="68"/>
  <c r="CQ239" i="68"/>
  <c r="CO239" i="68"/>
  <c r="CM239" i="68"/>
  <c r="CK239" i="68"/>
  <c r="CI239" i="68"/>
  <c r="CG239" i="68"/>
  <c r="CE239" i="68"/>
  <c r="CC239" i="68"/>
  <c r="CA239" i="68"/>
  <c r="BY239" i="68"/>
  <c r="BW239" i="68"/>
  <c r="BU239" i="68"/>
  <c r="BS239" i="68"/>
  <c r="BQ239" i="68"/>
  <c r="BO239" i="68"/>
  <c r="BM239" i="68"/>
  <c r="BK239" i="68"/>
  <c r="BI239" i="68"/>
  <c r="BG239" i="68"/>
  <c r="BE239" i="68"/>
  <c r="BC239" i="68"/>
  <c r="BA239" i="68"/>
  <c r="AY239" i="68"/>
  <c r="AW239" i="68"/>
  <c r="AU239" i="68"/>
  <c r="AS239" i="68"/>
  <c r="AQ239" i="68"/>
  <c r="AO239" i="68"/>
  <c r="AM239" i="68"/>
  <c r="AK239" i="68"/>
  <c r="AI239" i="68"/>
  <c r="AG239" i="68"/>
  <c r="AE239" i="68"/>
  <c r="AC239" i="68"/>
  <c r="AA239" i="68"/>
  <c r="Y239" i="68"/>
  <c r="W239" i="68"/>
  <c r="U239" i="68"/>
  <c r="S239" i="68"/>
  <c r="Q239" i="68"/>
  <c r="O239" i="68"/>
  <c r="M239" i="68"/>
  <c r="K239" i="68"/>
  <c r="HA238" i="68"/>
  <c r="GY238" i="68"/>
  <c r="GW238" i="68"/>
  <c r="GU238" i="68"/>
  <c r="GS238" i="68"/>
  <c r="GQ238" i="68"/>
  <c r="GO238" i="68"/>
  <c r="GM238" i="68"/>
  <c r="GK238" i="68"/>
  <c r="GI238" i="68"/>
  <c r="GG238" i="68"/>
  <c r="GE238" i="68"/>
  <c r="GC238" i="68"/>
  <c r="GA238" i="68"/>
  <c r="FY238" i="68"/>
  <c r="FW238" i="68"/>
  <c r="FU238" i="68"/>
  <c r="FS238" i="68"/>
  <c r="FQ238" i="68"/>
  <c r="FO238" i="68"/>
  <c r="FM238" i="68"/>
  <c r="FK238" i="68"/>
  <c r="FI238" i="68"/>
  <c r="FG238" i="68"/>
  <c r="FE238" i="68"/>
  <c r="FC238" i="68"/>
  <c r="FA238" i="68"/>
  <c r="EY238" i="68"/>
  <c r="EW238" i="68"/>
  <c r="EU238" i="68"/>
  <c r="ES238" i="68"/>
  <c r="EQ238" i="68"/>
  <c r="EO238" i="68"/>
  <c r="EM238" i="68"/>
  <c r="EK238" i="68"/>
  <c r="EI238" i="68"/>
  <c r="EG238" i="68"/>
  <c r="EE238" i="68"/>
  <c r="EC238" i="68"/>
  <c r="EA238" i="68"/>
  <c r="DY238" i="68"/>
  <c r="DW238" i="68"/>
  <c r="DU238" i="68"/>
  <c r="DS238" i="68"/>
  <c r="DQ238" i="68"/>
  <c r="DO238" i="68"/>
  <c r="DM238" i="68"/>
  <c r="DK238" i="68"/>
  <c r="DI238" i="68"/>
  <c r="DG238" i="68"/>
  <c r="DE238" i="68"/>
  <c r="DC238" i="68"/>
  <c r="DA238" i="68"/>
  <c r="CY238" i="68"/>
  <c r="CW238" i="68"/>
  <c r="CU238" i="68"/>
  <c r="CS238" i="68"/>
  <c r="CQ238" i="68"/>
  <c r="CO238" i="68"/>
  <c r="CM238" i="68"/>
  <c r="CK238" i="68"/>
  <c r="CI238" i="68"/>
  <c r="CG238" i="68"/>
  <c r="CE238" i="68"/>
  <c r="CC238" i="68"/>
  <c r="CA238" i="68"/>
  <c r="BY238" i="68"/>
  <c r="BW238" i="68"/>
  <c r="BU238" i="68"/>
  <c r="BS238" i="68"/>
  <c r="BQ238" i="68"/>
  <c r="BO238" i="68"/>
  <c r="BM238" i="68"/>
  <c r="BK238" i="68"/>
  <c r="BI238" i="68"/>
  <c r="BG238" i="68"/>
  <c r="BE238" i="68"/>
  <c r="BC238" i="68"/>
  <c r="BA238" i="68"/>
  <c r="AY238" i="68"/>
  <c r="AW238" i="68"/>
  <c r="AU238" i="68"/>
  <c r="AS238" i="68"/>
  <c r="AQ238" i="68"/>
  <c r="AO238" i="68"/>
  <c r="AM238" i="68"/>
  <c r="AK238" i="68"/>
  <c r="AI238" i="68"/>
  <c r="AG238" i="68"/>
  <c r="AE238" i="68"/>
  <c r="AC238" i="68"/>
  <c r="AA238" i="68"/>
  <c r="Y238" i="68"/>
  <c r="W238" i="68"/>
  <c r="U238" i="68"/>
  <c r="S238" i="68"/>
  <c r="Q238" i="68"/>
  <c r="O238" i="68"/>
  <c r="M238" i="68"/>
  <c r="K238" i="68"/>
  <c r="HA237" i="68"/>
  <c r="GY237" i="68"/>
  <c r="GW237" i="68"/>
  <c r="GU237" i="68"/>
  <c r="GS237" i="68"/>
  <c r="GQ237" i="68"/>
  <c r="GO237" i="68"/>
  <c r="GM237" i="68"/>
  <c r="GK237" i="68"/>
  <c r="GI237" i="68"/>
  <c r="GG237" i="68"/>
  <c r="GE237" i="68"/>
  <c r="GC237" i="68"/>
  <c r="GA237" i="68"/>
  <c r="FY237" i="68"/>
  <c r="FW237" i="68"/>
  <c r="FU237" i="68"/>
  <c r="FS237" i="68"/>
  <c r="FQ237" i="68"/>
  <c r="FO237" i="68"/>
  <c r="FM237" i="68"/>
  <c r="FK237" i="68"/>
  <c r="FI237" i="68"/>
  <c r="FG237" i="68"/>
  <c r="FE237" i="68"/>
  <c r="FC237" i="68"/>
  <c r="FA237" i="68"/>
  <c r="EY237" i="68"/>
  <c r="EW237" i="68"/>
  <c r="EU237" i="68"/>
  <c r="ES237" i="68"/>
  <c r="EQ237" i="68"/>
  <c r="EO237" i="68"/>
  <c r="EM237" i="68"/>
  <c r="EK237" i="68"/>
  <c r="EI237" i="68"/>
  <c r="EG237" i="68"/>
  <c r="EE237" i="68"/>
  <c r="EC237" i="68"/>
  <c r="EA237" i="68"/>
  <c r="DY237" i="68"/>
  <c r="DW237" i="68"/>
  <c r="DU237" i="68"/>
  <c r="DS237" i="68"/>
  <c r="DQ237" i="68"/>
  <c r="DO237" i="68"/>
  <c r="DM237" i="68"/>
  <c r="DK237" i="68"/>
  <c r="DI237" i="68"/>
  <c r="DG237" i="68"/>
  <c r="DE237" i="68"/>
  <c r="DC237" i="68"/>
  <c r="DA237" i="68"/>
  <c r="CY237" i="68"/>
  <c r="CW237" i="68"/>
  <c r="CU237" i="68"/>
  <c r="CS237" i="68"/>
  <c r="CQ237" i="68"/>
  <c r="CO237" i="68"/>
  <c r="CM237" i="68"/>
  <c r="CK237" i="68"/>
  <c r="CI237" i="68"/>
  <c r="CG237" i="68"/>
  <c r="CE237" i="68"/>
  <c r="CC237" i="68"/>
  <c r="CA237" i="68"/>
  <c r="BY237" i="68"/>
  <c r="BW237" i="68"/>
  <c r="BU237" i="68"/>
  <c r="BS237" i="68"/>
  <c r="BQ237" i="68"/>
  <c r="BO237" i="68"/>
  <c r="BM237" i="68"/>
  <c r="BK237" i="68"/>
  <c r="BI237" i="68"/>
  <c r="BG237" i="68"/>
  <c r="BE237" i="68"/>
  <c r="BC237" i="68"/>
  <c r="BA237" i="68"/>
  <c r="AY237" i="68"/>
  <c r="AW237" i="68"/>
  <c r="AU237" i="68"/>
  <c r="AS237" i="68"/>
  <c r="AQ237" i="68"/>
  <c r="AO237" i="68"/>
  <c r="AM237" i="68"/>
  <c r="AK237" i="68"/>
  <c r="AI237" i="68"/>
  <c r="AG237" i="68"/>
  <c r="AE237" i="68"/>
  <c r="AC237" i="68"/>
  <c r="AA237" i="68"/>
  <c r="Y237" i="68"/>
  <c r="W237" i="68"/>
  <c r="U237" i="68"/>
  <c r="S237" i="68"/>
  <c r="Q237" i="68"/>
  <c r="O237" i="68"/>
  <c r="M237" i="68"/>
  <c r="K237" i="68"/>
  <c r="HA236" i="68"/>
  <c r="GY236" i="68"/>
  <c r="GW236" i="68"/>
  <c r="GU236" i="68"/>
  <c r="GS236" i="68"/>
  <c r="GQ236" i="68"/>
  <c r="GO236" i="68"/>
  <c r="GM236" i="68"/>
  <c r="GK236" i="68"/>
  <c r="GI236" i="68"/>
  <c r="GG236" i="68"/>
  <c r="GE236" i="68"/>
  <c r="GC236" i="68"/>
  <c r="GA236" i="68"/>
  <c r="FY236" i="68"/>
  <c r="FW236" i="68"/>
  <c r="FU236" i="68"/>
  <c r="FS236" i="68"/>
  <c r="FQ236" i="68"/>
  <c r="FO236" i="68"/>
  <c r="FM236" i="68"/>
  <c r="FK236" i="68"/>
  <c r="FI236" i="68"/>
  <c r="FG236" i="68"/>
  <c r="FE236" i="68"/>
  <c r="FC236" i="68"/>
  <c r="FA236" i="68"/>
  <c r="EY236" i="68"/>
  <c r="EW236" i="68"/>
  <c r="EU236" i="68"/>
  <c r="ES236" i="68"/>
  <c r="EQ236" i="68"/>
  <c r="EO236" i="68"/>
  <c r="EM236" i="68"/>
  <c r="EK236" i="68"/>
  <c r="EI236" i="68"/>
  <c r="EG236" i="68"/>
  <c r="EE236" i="68"/>
  <c r="EC236" i="68"/>
  <c r="EA236" i="68"/>
  <c r="DY236" i="68"/>
  <c r="DW236" i="68"/>
  <c r="DU236" i="68"/>
  <c r="DS236" i="68"/>
  <c r="DQ236" i="68"/>
  <c r="DO236" i="68"/>
  <c r="DM236" i="68"/>
  <c r="DK236" i="68"/>
  <c r="DI236" i="68"/>
  <c r="DG236" i="68"/>
  <c r="DE236" i="68"/>
  <c r="DC236" i="68"/>
  <c r="DA236" i="68"/>
  <c r="CY236" i="68"/>
  <c r="CW236" i="68"/>
  <c r="CU236" i="68"/>
  <c r="CS236" i="68"/>
  <c r="CQ236" i="68"/>
  <c r="CO236" i="68"/>
  <c r="CM236" i="68"/>
  <c r="CK236" i="68"/>
  <c r="CI236" i="68"/>
  <c r="CG236" i="68"/>
  <c r="CE236" i="68"/>
  <c r="CC236" i="68"/>
  <c r="CA236" i="68"/>
  <c r="BY236" i="68"/>
  <c r="BW236" i="68"/>
  <c r="BU236" i="68"/>
  <c r="BS236" i="68"/>
  <c r="BQ236" i="68"/>
  <c r="BO236" i="68"/>
  <c r="BM236" i="68"/>
  <c r="BK236" i="68"/>
  <c r="BI236" i="68"/>
  <c r="BG236" i="68"/>
  <c r="BE236" i="68"/>
  <c r="BC236" i="68"/>
  <c r="BA236" i="68"/>
  <c r="AY236" i="68"/>
  <c r="AW236" i="68"/>
  <c r="AU236" i="68"/>
  <c r="AS236" i="68"/>
  <c r="AQ236" i="68"/>
  <c r="AO236" i="68"/>
  <c r="AM236" i="68"/>
  <c r="AK236" i="68"/>
  <c r="AI236" i="68"/>
  <c r="AG236" i="68"/>
  <c r="AE236" i="68"/>
  <c r="AC236" i="68"/>
  <c r="AA236" i="68"/>
  <c r="Y236" i="68"/>
  <c r="W236" i="68"/>
  <c r="U236" i="68"/>
  <c r="S236" i="68"/>
  <c r="Q236" i="68"/>
  <c r="O236" i="68"/>
  <c r="M236" i="68"/>
  <c r="K236" i="68"/>
  <c r="HA235" i="68"/>
  <c r="GY235" i="68"/>
  <c r="GW235" i="68"/>
  <c r="GU235" i="68"/>
  <c r="GS235" i="68"/>
  <c r="GQ235" i="68"/>
  <c r="GO235" i="68"/>
  <c r="GM235" i="68"/>
  <c r="GK235" i="68"/>
  <c r="GI235" i="68"/>
  <c r="GG235" i="68"/>
  <c r="GE235" i="68"/>
  <c r="GC235" i="68"/>
  <c r="GA235" i="68"/>
  <c r="FY235" i="68"/>
  <c r="FW235" i="68"/>
  <c r="FU235" i="68"/>
  <c r="FS235" i="68"/>
  <c r="FQ235" i="68"/>
  <c r="FO235" i="68"/>
  <c r="FM235" i="68"/>
  <c r="FK235" i="68"/>
  <c r="FI235" i="68"/>
  <c r="FG235" i="68"/>
  <c r="FE235" i="68"/>
  <c r="FC235" i="68"/>
  <c r="FA235" i="68"/>
  <c r="EY235" i="68"/>
  <c r="EW235" i="68"/>
  <c r="EU235" i="68"/>
  <c r="ES235" i="68"/>
  <c r="EQ235" i="68"/>
  <c r="EO235" i="68"/>
  <c r="EM235" i="68"/>
  <c r="EK235" i="68"/>
  <c r="EI235" i="68"/>
  <c r="EG235" i="68"/>
  <c r="EE235" i="68"/>
  <c r="EC235" i="68"/>
  <c r="EA235" i="68"/>
  <c r="DY235" i="68"/>
  <c r="DW235" i="68"/>
  <c r="DU235" i="68"/>
  <c r="DS235" i="68"/>
  <c r="DQ235" i="68"/>
  <c r="DO235" i="68"/>
  <c r="DM235" i="68"/>
  <c r="DK235" i="68"/>
  <c r="DI235" i="68"/>
  <c r="DG235" i="68"/>
  <c r="DE235" i="68"/>
  <c r="DC235" i="68"/>
  <c r="DA235" i="68"/>
  <c r="CY235" i="68"/>
  <c r="CW235" i="68"/>
  <c r="CU235" i="68"/>
  <c r="CS235" i="68"/>
  <c r="CQ235" i="68"/>
  <c r="CO235" i="68"/>
  <c r="CM235" i="68"/>
  <c r="CK235" i="68"/>
  <c r="CI235" i="68"/>
  <c r="CG235" i="68"/>
  <c r="CE235" i="68"/>
  <c r="CC235" i="68"/>
  <c r="CA235" i="68"/>
  <c r="BY235" i="68"/>
  <c r="BW235" i="68"/>
  <c r="BU235" i="68"/>
  <c r="BS235" i="68"/>
  <c r="BQ235" i="68"/>
  <c r="BO235" i="68"/>
  <c r="BM235" i="68"/>
  <c r="BK235" i="68"/>
  <c r="BI235" i="68"/>
  <c r="BG235" i="68"/>
  <c r="BE235" i="68"/>
  <c r="BC235" i="68"/>
  <c r="BA235" i="68"/>
  <c r="AY235" i="68"/>
  <c r="AW235" i="68"/>
  <c r="AU235" i="68"/>
  <c r="AS235" i="68"/>
  <c r="AQ235" i="68"/>
  <c r="AO235" i="68"/>
  <c r="AM235" i="68"/>
  <c r="AK235" i="68"/>
  <c r="AI235" i="68"/>
  <c r="AG235" i="68"/>
  <c r="AE235" i="68"/>
  <c r="AC235" i="68"/>
  <c r="AA235" i="68"/>
  <c r="Y235" i="68"/>
  <c r="W235" i="68"/>
  <c r="U235" i="68"/>
  <c r="S235" i="68"/>
  <c r="Q235" i="68"/>
  <c r="O235" i="68"/>
  <c r="M235" i="68"/>
  <c r="K235" i="68"/>
  <c r="HA234" i="68"/>
  <c r="GZ234" i="68"/>
  <c r="GY234" i="68"/>
  <c r="GW234" i="68"/>
  <c r="GV234" i="68"/>
  <c r="GU234" i="68"/>
  <c r="GS234" i="68"/>
  <c r="GR234" i="68"/>
  <c r="GQ234" i="68"/>
  <c r="GO234" i="68"/>
  <c r="GN234" i="68"/>
  <c r="GM234" i="68"/>
  <c r="GK234" i="68"/>
  <c r="GJ234" i="68"/>
  <c r="GI234" i="68"/>
  <c r="GG234" i="68"/>
  <c r="GF234" i="68"/>
  <c r="GE234" i="68"/>
  <c r="GC234" i="68"/>
  <c r="GB234" i="68"/>
  <c r="GA234" i="68"/>
  <c r="FY234" i="68"/>
  <c r="FX234" i="68"/>
  <c r="FW234" i="68"/>
  <c r="FU234" i="68"/>
  <c r="FT234" i="68"/>
  <c r="FS234" i="68"/>
  <c r="FQ234" i="68"/>
  <c r="FP234" i="68"/>
  <c r="FO234" i="68"/>
  <c r="FM234" i="68"/>
  <c r="FL234" i="68"/>
  <c r="FK234" i="68"/>
  <c r="FI234" i="68"/>
  <c r="FH234" i="68"/>
  <c r="FG234" i="68"/>
  <c r="FE234" i="68"/>
  <c r="FD234" i="68"/>
  <c r="FC234" i="68"/>
  <c r="FA234" i="68"/>
  <c r="EZ234" i="68"/>
  <c r="EY234" i="68"/>
  <c r="EW234" i="68"/>
  <c r="EV234" i="68"/>
  <c r="EU234" i="68"/>
  <c r="ES234" i="68"/>
  <c r="ER234" i="68"/>
  <c r="EQ234" i="68"/>
  <c r="EO234" i="68"/>
  <c r="EN234" i="68"/>
  <c r="EM234" i="68"/>
  <c r="EK234" i="68"/>
  <c r="EJ234" i="68"/>
  <c r="EI234" i="68"/>
  <c r="EG234" i="68"/>
  <c r="EF234" i="68"/>
  <c r="EE234" i="68"/>
  <c r="EC234" i="68"/>
  <c r="EB234" i="68"/>
  <c r="EA234" i="68"/>
  <c r="DY234" i="68"/>
  <c r="DX234" i="68"/>
  <c r="DW234" i="68"/>
  <c r="DU234" i="68"/>
  <c r="DT234" i="68"/>
  <c r="DS234" i="68"/>
  <c r="DQ234" i="68"/>
  <c r="DP234" i="68"/>
  <c r="DO234" i="68"/>
  <c r="DM234" i="68"/>
  <c r="DL234" i="68"/>
  <c r="DK234" i="68"/>
  <c r="DI234" i="68"/>
  <c r="DH234" i="68"/>
  <c r="DG234" i="68"/>
  <c r="DE234" i="68"/>
  <c r="DD234" i="68"/>
  <c r="DC234" i="68"/>
  <c r="DA234" i="68"/>
  <c r="CZ234" i="68"/>
  <c r="CY234" i="68"/>
  <c r="CW234" i="68"/>
  <c r="CV234" i="68"/>
  <c r="CU234" i="68"/>
  <c r="CS234" i="68"/>
  <c r="CR234" i="68"/>
  <c r="CQ234" i="68"/>
  <c r="CO234" i="68"/>
  <c r="CN234" i="68"/>
  <c r="CM234" i="68"/>
  <c r="CK234" i="68"/>
  <c r="CJ234" i="68"/>
  <c r="CI234" i="68"/>
  <c r="CG234" i="68"/>
  <c r="CF234" i="68"/>
  <c r="CE234" i="68"/>
  <c r="CC234" i="68"/>
  <c r="CB234" i="68"/>
  <c r="CA234" i="68"/>
  <c r="BY234" i="68"/>
  <c r="BX234" i="68"/>
  <c r="BW234" i="68"/>
  <c r="BU234" i="68"/>
  <c r="BT234" i="68"/>
  <c r="BS234" i="68"/>
  <c r="BQ234" i="68"/>
  <c r="BP234" i="68"/>
  <c r="BO234" i="68"/>
  <c r="BM234" i="68"/>
  <c r="BL234" i="68"/>
  <c r="BK234" i="68"/>
  <c r="BI234" i="68"/>
  <c r="BH234" i="68"/>
  <c r="BG234" i="68"/>
  <c r="BE234" i="68"/>
  <c r="BD234" i="68"/>
  <c r="BC234" i="68"/>
  <c r="BA234" i="68"/>
  <c r="AZ234" i="68"/>
  <c r="AY234" i="68"/>
  <c r="AW234" i="68"/>
  <c r="AV234" i="68"/>
  <c r="AU234" i="68"/>
  <c r="AS234" i="68"/>
  <c r="AR234" i="68"/>
  <c r="AQ234" i="68"/>
  <c r="AO234" i="68"/>
  <c r="AN234" i="68"/>
  <c r="AM234" i="68"/>
  <c r="AK234" i="68"/>
  <c r="AJ234" i="68"/>
  <c r="AI234" i="68"/>
  <c r="AG234" i="68"/>
  <c r="AF234" i="68"/>
  <c r="AE234" i="68"/>
  <c r="AC234" i="68"/>
  <c r="AB234" i="68"/>
  <c r="AA234" i="68"/>
  <c r="Y234" i="68"/>
  <c r="X234" i="68"/>
  <c r="W234" i="68"/>
  <c r="U234" i="68"/>
  <c r="T234" i="68"/>
  <c r="S234" i="68"/>
  <c r="Q234" i="68"/>
  <c r="P234" i="68"/>
  <c r="O234" i="68"/>
  <c r="M234" i="68"/>
  <c r="L234" i="68"/>
  <c r="K234" i="68"/>
  <c r="J234" i="68"/>
  <c r="I234" i="68"/>
  <c r="HA233" i="68"/>
  <c r="GZ233" i="68"/>
  <c r="GY233" i="68"/>
  <c r="GW233" i="68"/>
  <c r="GV233" i="68"/>
  <c r="GU233" i="68"/>
  <c r="GS233" i="68"/>
  <c r="GR233" i="68"/>
  <c r="GQ233" i="68"/>
  <c r="GO233" i="68"/>
  <c r="GN233" i="68"/>
  <c r="GM233" i="68"/>
  <c r="GK233" i="68"/>
  <c r="GJ233" i="68"/>
  <c r="GI233" i="68"/>
  <c r="GG233" i="68"/>
  <c r="GF233" i="68"/>
  <c r="GE233" i="68"/>
  <c r="GC233" i="68"/>
  <c r="GB233" i="68"/>
  <c r="GA233" i="68"/>
  <c r="FY233" i="68"/>
  <c r="FX233" i="68"/>
  <c r="FW233" i="68"/>
  <c r="FU233" i="68"/>
  <c r="FT233" i="68"/>
  <c r="FS233" i="68"/>
  <c r="FQ233" i="68"/>
  <c r="FP233" i="68"/>
  <c r="FO233" i="68"/>
  <c r="FM233" i="68"/>
  <c r="FL233" i="68"/>
  <c r="FK233" i="68"/>
  <c r="FI233" i="68"/>
  <c r="FH233" i="68"/>
  <c r="FG233" i="68"/>
  <c r="FE233" i="68"/>
  <c r="FD233" i="68"/>
  <c r="FC233" i="68"/>
  <c r="FA233" i="68"/>
  <c r="EZ233" i="68"/>
  <c r="EY233" i="68"/>
  <c r="EW233" i="68"/>
  <c r="EV233" i="68"/>
  <c r="EU233" i="68"/>
  <c r="ES233" i="68"/>
  <c r="ER233" i="68"/>
  <c r="EQ233" i="68"/>
  <c r="EO233" i="68"/>
  <c r="EN233" i="68"/>
  <c r="EM233" i="68"/>
  <c r="EK233" i="68"/>
  <c r="EJ233" i="68"/>
  <c r="EI233" i="68"/>
  <c r="EG233" i="68"/>
  <c r="EF233" i="68"/>
  <c r="EE233" i="68"/>
  <c r="EC233" i="68"/>
  <c r="EB233" i="68"/>
  <c r="EA233" i="68"/>
  <c r="DY233" i="68"/>
  <c r="DX233" i="68"/>
  <c r="DW233" i="68"/>
  <c r="DU233" i="68"/>
  <c r="DT233" i="68"/>
  <c r="DS233" i="68"/>
  <c r="DQ233" i="68"/>
  <c r="DP233" i="68"/>
  <c r="DO233" i="68"/>
  <c r="DM233" i="68"/>
  <c r="DL233" i="68"/>
  <c r="DK233" i="68"/>
  <c r="DI233" i="68"/>
  <c r="DH233" i="68"/>
  <c r="DG233" i="68"/>
  <c r="DE233" i="68"/>
  <c r="DD233" i="68"/>
  <c r="DC233" i="68"/>
  <c r="DA233" i="68"/>
  <c r="CZ233" i="68"/>
  <c r="CY233" i="68"/>
  <c r="CW233" i="68"/>
  <c r="CV233" i="68"/>
  <c r="CU233" i="68"/>
  <c r="CS233" i="68"/>
  <c r="CR233" i="68"/>
  <c r="CQ233" i="68"/>
  <c r="CO233" i="68"/>
  <c r="CN233" i="68"/>
  <c r="CM233" i="68"/>
  <c r="CK233" i="68"/>
  <c r="CJ233" i="68"/>
  <c r="CI233" i="68"/>
  <c r="CG233" i="68"/>
  <c r="CF233" i="68"/>
  <c r="CE233" i="68"/>
  <c r="CC233" i="68"/>
  <c r="CB233" i="68"/>
  <c r="CA233" i="68"/>
  <c r="BY233" i="68"/>
  <c r="BX233" i="68"/>
  <c r="BW233" i="68"/>
  <c r="BU233" i="68"/>
  <c r="BT233" i="68"/>
  <c r="BS233" i="68"/>
  <c r="BQ233" i="68"/>
  <c r="BP233" i="68"/>
  <c r="BO233" i="68"/>
  <c r="BM233" i="68"/>
  <c r="BL233" i="68"/>
  <c r="BK233" i="68"/>
  <c r="BI233" i="68"/>
  <c r="BH233" i="68"/>
  <c r="BG233" i="68"/>
  <c r="BE233" i="68"/>
  <c r="BD233" i="68"/>
  <c r="BC233" i="68"/>
  <c r="BA233" i="68"/>
  <c r="AZ233" i="68"/>
  <c r="AY233" i="68"/>
  <c r="AW233" i="68"/>
  <c r="AV233" i="68"/>
  <c r="AU233" i="68"/>
  <c r="AS233" i="68"/>
  <c r="AR233" i="68"/>
  <c r="AQ233" i="68"/>
  <c r="AO233" i="68"/>
  <c r="AN233" i="68"/>
  <c r="AM233" i="68"/>
  <c r="AK233" i="68"/>
  <c r="AJ233" i="68"/>
  <c r="AI233" i="68"/>
  <c r="AG233" i="68"/>
  <c r="AF233" i="68"/>
  <c r="AE233" i="68"/>
  <c r="AC233" i="68"/>
  <c r="AB233" i="68"/>
  <c r="AA233" i="68"/>
  <c r="Y233" i="68"/>
  <c r="X233" i="68"/>
  <c r="W233" i="68"/>
  <c r="U233" i="68"/>
  <c r="T233" i="68"/>
  <c r="S233" i="68"/>
  <c r="Q233" i="68"/>
  <c r="P233" i="68"/>
  <c r="O233" i="68"/>
  <c r="M233" i="68"/>
  <c r="L233" i="68"/>
  <c r="K233" i="68"/>
  <c r="J233" i="68"/>
  <c r="I233" i="68"/>
  <c r="GZ232" i="68"/>
  <c r="GV232" i="68"/>
  <c r="GR232" i="68"/>
  <c r="GN232" i="68"/>
  <c r="GJ232" i="68"/>
  <c r="GF232" i="68"/>
  <c r="GB232" i="68"/>
  <c r="FX232" i="68"/>
  <c r="FT232" i="68"/>
  <c r="FP232" i="68"/>
  <c r="FL232" i="68"/>
  <c r="FH232" i="68"/>
  <c r="FD232" i="68"/>
  <c r="EZ232" i="68"/>
  <c r="EV232" i="68"/>
  <c r="ER232" i="68"/>
  <c r="EN232" i="68"/>
  <c r="EJ232" i="68"/>
  <c r="EF232" i="68"/>
  <c r="EB232" i="68"/>
  <c r="DX232" i="68"/>
  <c r="DT232" i="68"/>
  <c r="DP232" i="68"/>
  <c r="DL232" i="68"/>
  <c r="DH232" i="68"/>
  <c r="DD232" i="68"/>
  <c r="CZ232" i="68"/>
  <c r="CV232" i="68"/>
  <c r="CR232" i="68"/>
  <c r="CN232" i="68"/>
  <c r="CJ232" i="68"/>
  <c r="CF232" i="68"/>
  <c r="CB232" i="68"/>
  <c r="BX232" i="68"/>
  <c r="BT232" i="68"/>
  <c r="BP232" i="68"/>
  <c r="BL232" i="68"/>
  <c r="BH232" i="68"/>
  <c r="BD232" i="68"/>
  <c r="AZ232" i="68"/>
  <c r="AV232" i="68"/>
  <c r="AR232" i="68"/>
  <c r="AN232" i="68"/>
  <c r="AJ232" i="68"/>
  <c r="AF232" i="68"/>
  <c r="AB232" i="68"/>
  <c r="X232" i="68"/>
  <c r="T232" i="68"/>
  <c r="P232" i="68"/>
  <c r="L232" i="68"/>
  <c r="GY230" i="68"/>
  <c r="GU230" i="68"/>
  <c r="GQ230" i="68"/>
  <c r="GM230" i="68"/>
  <c r="GI230" i="68"/>
  <c r="GE230" i="68"/>
  <c r="GA230" i="68"/>
  <c r="FW230" i="68"/>
  <c r="FS230" i="68"/>
  <c r="FO230" i="68"/>
  <c r="FK230" i="68"/>
  <c r="FG230" i="68"/>
  <c r="FC230" i="68"/>
  <c r="EY230" i="68"/>
  <c r="EU230" i="68"/>
  <c r="EQ230" i="68"/>
  <c r="EM230" i="68"/>
  <c r="EI230" i="68"/>
  <c r="EE230" i="68"/>
  <c r="EA230" i="68"/>
  <c r="DW230" i="68"/>
  <c r="DS230" i="68"/>
  <c r="DO230" i="68"/>
  <c r="DK230" i="68"/>
  <c r="DG230" i="68"/>
  <c r="DC230" i="68"/>
  <c r="CY230" i="68"/>
  <c r="CU230" i="68"/>
  <c r="CQ230" i="68"/>
  <c r="CM230" i="68"/>
  <c r="CI230" i="68"/>
  <c r="CE230" i="68"/>
  <c r="CA230" i="68"/>
  <c r="BW230" i="68"/>
  <c r="BS230" i="68"/>
  <c r="BO230" i="68"/>
  <c r="BK230" i="68"/>
  <c r="BG230" i="68"/>
  <c r="BC230" i="68"/>
  <c r="AY230" i="68"/>
  <c r="AU230" i="68"/>
  <c r="AQ230" i="68"/>
  <c r="AM230" i="68"/>
  <c r="AI230" i="68"/>
  <c r="AE230" i="68"/>
  <c r="AA230" i="68"/>
  <c r="W230" i="68"/>
  <c r="S230" i="68"/>
  <c r="O230" i="68"/>
  <c r="K230" i="68"/>
  <c r="HB228" i="68"/>
  <c r="HB229" i="68" s="1"/>
  <c r="HA228" i="68"/>
  <c r="HA229" i="68" s="1"/>
  <c r="GZ228" i="68"/>
  <c r="GZ229" i="68" s="1"/>
  <c r="GY228" i="68"/>
  <c r="GY229" i="68" s="1"/>
  <c r="GX228" i="68"/>
  <c r="GX229" i="68" s="1"/>
  <c r="GW228" i="68"/>
  <c r="GW229" i="68" s="1"/>
  <c r="GV228" i="68"/>
  <c r="GV229" i="68" s="1"/>
  <c r="GU228" i="68"/>
  <c r="GU229" i="68" s="1"/>
  <c r="GU231" i="68" s="1"/>
  <c r="GT228" i="68"/>
  <c r="GT229" i="68" s="1"/>
  <c r="GS228" i="68"/>
  <c r="GS229" i="68" s="1"/>
  <c r="GR228" i="68"/>
  <c r="GR229" i="68" s="1"/>
  <c r="GQ228" i="68"/>
  <c r="GQ229" i="68" s="1"/>
  <c r="GP228" i="68"/>
  <c r="GP229" i="68" s="1"/>
  <c r="GO228" i="68"/>
  <c r="GO229" i="68" s="1"/>
  <c r="GN228" i="68"/>
  <c r="GN229" i="68" s="1"/>
  <c r="GM228" i="68"/>
  <c r="GM229" i="68" s="1"/>
  <c r="GL228" i="68"/>
  <c r="GL229" i="68" s="1"/>
  <c r="GK228" i="68"/>
  <c r="GK229" i="68" s="1"/>
  <c r="GJ228" i="68"/>
  <c r="GJ229" i="68" s="1"/>
  <c r="GI228" i="68"/>
  <c r="GI229" i="68" s="1"/>
  <c r="GH228" i="68"/>
  <c r="GH229" i="68" s="1"/>
  <c r="GG228" i="68"/>
  <c r="GG229" i="68" s="1"/>
  <c r="GF228" i="68"/>
  <c r="GF229" i="68" s="1"/>
  <c r="GE228" i="68"/>
  <c r="GE229" i="68" s="1"/>
  <c r="GD228" i="68"/>
  <c r="GD229" i="68" s="1"/>
  <c r="GC228" i="68"/>
  <c r="GC229" i="68" s="1"/>
  <c r="GB228" i="68"/>
  <c r="GB229" i="68" s="1"/>
  <c r="GA228" i="68"/>
  <c r="GA229" i="68" s="1"/>
  <c r="FZ228" i="68"/>
  <c r="FZ229" i="68" s="1"/>
  <c r="FY228" i="68"/>
  <c r="FY229" i="68" s="1"/>
  <c r="FX228" i="68"/>
  <c r="FX229" i="68" s="1"/>
  <c r="FW228" i="68"/>
  <c r="FW229" i="68" s="1"/>
  <c r="FV228" i="68"/>
  <c r="FV229" i="68" s="1"/>
  <c r="FU228" i="68"/>
  <c r="FU229" i="68" s="1"/>
  <c r="FT228" i="68"/>
  <c r="FT229" i="68" s="1"/>
  <c r="FS228" i="68"/>
  <c r="FS229" i="68" s="1"/>
  <c r="FR228" i="68"/>
  <c r="FR229" i="68" s="1"/>
  <c r="FQ228" i="68"/>
  <c r="FQ229" i="68" s="1"/>
  <c r="FP228" i="68"/>
  <c r="FP229" i="68" s="1"/>
  <c r="FO228" i="68"/>
  <c r="FO229" i="68" s="1"/>
  <c r="FO231" i="68" s="1"/>
  <c r="FN228" i="68"/>
  <c r="FN229" i="68" s="1"/>
  <c r="FM228" i="68"/>
  <c r="FM229" i="68" s="1"/>
  <c r="FL228" i="68"/>
  <c r="FL229" i="68" s="1"/>
  <c r="FK228" i="68"/>
  <c r="FK229" i="68" s="1"/>
  <c r="FJ228" i="68"/>
  <c r="FJ229" i="68" s="1"/>
  <c r="FI228" i="68"/>
  <c r="FI229" i="68" s="1"/>
  <c r="FH228" i="68"/>
  <c r="FH229" i="68" s="1"/>
  <c r="FG228" i="68"/>
  <c r="FG229" i="68" s="1"/>
  <c r="FF228" i="68"/>
  <c r="FF229" i="68" s="1"/>
  <c r="FE228" i="68"/>
  <c r="FE229" i="68" s="1"/>
  <c r="FD228" i="68"/>
  <c r="FD229" i="68" s="1"/>
  <c r="FC228" i="68"/>
  <c r="FC229" i="68" s="1"/>
  <c r="FB228" i="68"/>
  <c r="FB229" i="68" s="1"/>
  <c r="FA228" i="68"/>
  <c r="FA229" i="68" s="1"/>
  <c r="EZ228" i="68"/>
  <c r="EZ229" i="68" s="1"/>
  <c r="EY228" i="68"/>
  <c r="EY229" i="68" s="1"/>
  <c r="EX228" i="68"/>
  <c r="EX229" i="68" s="1"/>
  <c r="EW228" i="68"/>
  <c r="EW229" i="68" s="1"/>
  <c r="EV228" i="68"/>
  <c r="EV229" i="68" s="1"/>
  <c r="EU228" i="68"/>
  <c r="EU229" i="68" s="1"/>
  <c r="ET228" i="68"/>
  <c r="ET229" i="68" s="1"/>
  <c r="ES228" i="68"/>
  <c r="ES229" i="68" s="1"/>
  <c r="ER228" i="68"/>
  <c r="ER229" i="68" s="1"/>
  <c r="EQ228" i="68"/>
  <c r="EQ229" i="68" s="1"/>
  <c r="EP228" i="68"/>
  <c r="EP229" i="68" s="1"/>
  <c r="EO228" i="68"/>
  <c r="EO229" i="68" s="1"/>
  <c r="EN228" i="68"/>
  <c r="EN229" i="68" s="1"/>
  <c r="EM228" i="68"/>
  <c r="EM229" i="68" s="1"/>
  <c r="EL228" i="68"/>
  <c r="EL229" i="68" s="1"/>
  <c r="EK228" i="68"/>
  <c r="EK229" i="68" s="1"/>
  <c r="EJ228" i="68"/>
  <c r="EJ229" i="68" s="1"/>
  <c r="EI228" i="68"/>
  <c r="EI229" i="68" s="1"/>
  <c r="EI231" i="68" s="1"/>
  <c r="EH228" i="68"/>
  <c r="EH229" i="68" s="1"/>
  <c r="EG228" i="68"/>
  <c r="EG229" i="68" s="1"/>
  <c r="EF228" i="68"/>
  <c r="EF229" i="68" s="1"/>
  <c r="EE228" i="68"/>
  <c r="EE229" i="68" s="1"/>
  <c r="ED228" i="68"/>
  <c r="ED229" i="68" s="1"/>
  <c r="EC228" i="68"/>
  <c r="EC229" i="68" s="1"/>
  <c r="EB228" i="68"/>
  <c r="EB229" i="68" s="1"/>
  <c r="EA228" i="68"/>
  <c r="EA229" i="68" s="1"/>
  <c r="DZ228" i="68"/>
  <c r="DZ229" i="68" s="1"/>
  <c r="DY228" i="68"/>
  <c r="DY229" i="68" s="1"/>
  <c r="DX228" i="68"/>
  <c r="DX229" i="68" s="1"/>
  <c r="DW228" i="68"/>
  <c r="DW229" i="68" s="1"/>
  <c r="DV228" i="68"/>
  <c r="DV229" i="68" s="1"/>
  <c r="DU228" i="68"/>
  <c r="DU229" i="68" s="1"/>
  <c r="DT228" i="68"/>
  <c r="DT229" i="68" s="1"/>
  <c r="DS228" i="68"/>
  <c r="DS229" i="68" s="1"/>
  <c r="DR228" i="68"/>
  <c r="DR229" i="68" s="1"/>
  <c r="DQ228" i="68"/>
  <c r="DQ229" i="68" s="1"/>
  <c r="DP228" i="68"/>
  <c r="DP229" i="68" s="1"/>
  <c r="DO228" i="68"/>
  <c r="DO229" i="68" s="1"/>
  <c r="DN228" i="68"/>
  <c r="DN229" i="68" s="1"/>
  <c r="DM228" i="68"/>
  <c r="DM229" i="68" s="1"/>
  <c r="DL228" i="68"/>
  <c r="DL229" i="68" s="1"/>
  <c r="DK228" i="68"/>
  <c r="DK229" i="68" s="1"/>
  <c r="DJ228" i="68"/>
  <c r="DJ229" i="68" s="1"/>
  <c r="DI228" i="68"/>
  <c r="DI229" i="68" s="1"/>
  <c r="DH228" i="68"/>
  <c r="DH229" i="68" s="1"/>
  <c r="DG228" i="68"/>
  <c r="DG229" i="68" s="1"/>
  <c r="DF228" i="68"/>
  <c r="DF229" i="68" s="1"/>
  <c r="DE228" i="68"/>
  <c r="DE229" i="68" s="1"/>
  <c r="DD228" i="68"/>
  <c r="DD229" i="68" s="1"/>
  <c r="DC228" i="68"/>
  <c r="DC229" i="68" s="1"/>
  <c r="DC231" i="68" s="1"/>
  <c r="DB228" i="68"/>
  <c r="DB229" i="68" s="1"/>
  <c r="DA228" i="68"/>
  <c r="DA229" i="68" s="1"/>
  <c r="CZ228" i="68"/>
  <c r="CZ229" i="68" s="1"/>
  <c r="CY228" i="68"/>
  <c r="CY229" i="68" s="1"/>
  <c r="CX228" i="68"/>
  <c r="CX229" i="68" s="1"/>
  <c r="CW228" i="68"/>
  <c r="CW229" i="68" s="1"/>
  <c r="CV228" i="68"/>
  <c r="CV229" i="68" s="1"/>
  <c r="CU228" i="68"/>
  <c r="CU229" i="68" s="1"/>
  <c r="CT228" i="68"/>
  <c r="CT229" i="68" s="1"/>
  <c r="CS228" i="68"/>
  <c r="CS229" i="68" s="1"/>
  <c r="CR228" i="68"/>
  <c r="CR229" i="68" s="1"/>
  <c r="CQ228" i="68"/>
  <c r="CQ229" i="68" s="1"/>
  <c r="CP228" i="68"/>
  <c r="CP229" i="68" s="1"/>
  <c r="CO228" i="68"/>
  <c r="CO229" i="68" s="1"/>
  <c r="CN228" i="68"/>
  <c r="CN229" i="68" s="1"/>
  <c r="CM228" i="68"/>
  <c r="CM229" i="68" s="1"/>
  <c r="CL228" i="68"/>
  <c r="CL229" i="68" s="1"/>
  <c r="CK228" i="68"/>
  <c r="CK229" i="68" s="1"/>
  <c r="CJ228" i="68"/>
  <c r="CJ229" i="68" s="1"/>
  <c r="CI228" i="68"/>
  <c r="CI229" i="68" s="1"/>
  <c r="CH228" i="68"/>
  <c r="CH229" i="68" s="1"/>
  <c r="CG228" i="68"/>
  <c r="CG229" i="68" s="1"/>
  <c r="CF228" i="68"/>
  <c r="CF229" i="68" s="1"/>
  <c r="CE228" i="68"/>
  <c r="CE229" i="68" s="1"/>
  <c r="CD228" i="68"/>
  <c r="CD229" i="68" s="1"/>
  <c r="CC228" i="68"/>
  <c r="CC229" i="68" s="1"/>
  <c r="CB228" i="68"/>
  <c r="CB229" i="68" s="1"/>
  <c r="CA228" i="68"/>
  <c r="CA229" i="68" s="1"/>
  <c r="BZ228" i="68"/>
  <c r="BZ229" i="68" s="1"/>
  <c r="BY228" i="68"/>
  <c r="BY229" i="68" s="1"/>
  <c r="BX228" i="68"/>
  <c r="BX229" i="68" s="1"/>
  <c r="BW228" i="68"/>
  <c r="BW229" i="68" s="1"/>
  <c r="BW231" i="68" s="1"/>
  <c r="BV228" i="68"/>
  <c r="BV229" i="68" s="1"/>
  <c r="BU228" i="68"/>
  <c r="BU229" i="68" s="1"/>
  <c r="BT228" i="68"/>
  <c r="BT229" i="68" s="1"/>
  <c r="BS228" i="68"/>
  <c r="BS229" i="68" s="1"/>
  <c r="BR228" i="68"/>
  <c r="BR229" i="68" s="1"/>
  <c r="BQ228" i="68"/>
  <c r="BQ229" i="68" s="1"/>
  <c r="BP228" i="68"/>
  <c r="BP229" i="68" s="1"/>
  <c r="BO228" i="68"/>
  <c r="BO229" i="68" s="1"/>
  <c r="BN228" i="68"/>
  <c r="BN229" i="68" s="1"/>
  <c r="BM228" i="68"/>
  <c r="BM229" i="68" s="1"/>
  <c r="BL228" i="68"/>
  <c r="BL229" i="68" s="1"/>
  <c r="BK228" i="68"/>
  <c r="BK229" i="68" s="1"/>
  <c r="BJ228" i="68"/>
  <c r="BJ229" i="68" s="1"/>
  <c r="BI228" i="68"/>
  <c r="BI229" i="68" s="1"/>
  <c r="BH228" i="68"/>
  <c r="BH229" i="68" s="1"/>
  <c r="BG228" i="68"/>
  <c r="BG229" i="68" s="1"/>
  <c r="BF228" i="68"/>
  <c r="BF229" i="68" s="1"/>
  <c r="BE228" i="68"/>
  <c r="BE229" i="68" s="1"/>
  <c r="BD228" i="68"/>
  <c r="BD229" i="68" s="1"/>
  <c r="BC228" i="68"/>
  <c r="BC229" i="68" s="1"/>
  <c r="BB228" i="68"/>
  <c r="BB229" i="68" s="1"/>
  <c r="BA228" i="68"/>
  <c r="BA229" i="68" s="1"/>
  <c r="AZ228" i="68"/>
  <c r="AZ229" i="68" s="1"/>
  <c r="AY228" i="68"/>
  <c r="AY229" i="68" s="1"/>
  <c r="AX228" i="68"/>
  <c r="AX229" i="68" s="1"/>
  <c r="AW228" i="68"/>
  <c r="AW229" i="68" s="1"/>
  <c r="AV228" i="68"/>
  <c r="AV229" i="68" s="1"/>
  <c r="AU228" i="68"/>
  <c r="AU229" i="68" s="1"/>
  <c r="AT228" i="68"/>
  <c r="AT229" i="68" s="1"/>
  <c r="AS228" i="68"/>
  <c r="AS229" i="68" s="1"/>
  <c r="AR228" i="68"/>
  <c r="AR229" i="68" s="1"/>
  <c r="AQ228" i="68"/>
  <c r="AQ229" i="68" s="1"/>
  <c r="AP228" i="68"/>
  <c r="AP229" i="68" s="1"/>
  <c r="AO228" i="68"/>
  <c r="AO229" i="68" s="1"/>
  <c r="AN228" i="68"/>
  <c r="AN229" i="68" s="1"/>
  <c r="AM228" i="68"/>
  <c r="AM229" i="68" s="1"/>
  <c r="AL228" i="68"/>
  <c r="AL229" i="68" s="1"/>
  <c r="AK228" i="68"/>
  <c r="AK229" i="68" s="1"/>
  <c r="AJ228" i="68"/>
  <c r="AJ229" i="68" s="1"/>
  <c r="AI228" i="68"/>
  <c r="AI229" i="68" s="1"/>
  <c r="AH228" i="68"/>
  <c r="AH229" i="68" s="1"/>
  <c r="AG228" i="68"/>
  <c r="AG229" i="68" s="1"/>
  <c r="AF228" i="68"/>
  <c r="AF229" i="68" s="1"/>
  <c r="AE228" i="68"/>
  <c r="AE229" i="68" s="1"/>
  <c r="AD228" i="68"/>
  <c r="AD229" i="68" s="1"/>
  <c r="AC228" i="68"/>
  <c r="AC229" i="68" s="1"/>
  <c r="AB228" i="68"/>
  <c r="AB229" i="68" s="1"/>
  <c r="AA228" i="68"/>
  <c r="AA229" i="68" s="1"/>
  <c r="Z228" i="68"/>
  <c r="Z229" i="68" s="1"/>
  <c r="Y228" i="68"/>
  <c r="X228" i="68"/>
  <c r="W228" i="68"/>
  <c r="V228" i="68"/>
  <c r="V229" i="68" s="1"/>
  <c r="U228" i="68"/>
  <c r="U229" i="68" s="1"/>
  <c r="T228" i="68"/>
  <c r="T229" i="68" s="1"/>
  <c r="S228" i="68"/>
  <c r="S229" i="68" s="1"/>
  <c r="R228" i="68"/>
  <c r="R229" i="68" s="1"/>
  <c r="Q228" i="68"/>
  <c r="Q229" i="68" s="1"/>
  <c r="P228" i="68"/>
  <c r="P229" i="68" s="1"/>
  <c r="O228" i="68"/>
  <c r="O229" i="68" s="1"/>
  <c r="N228" i="68"/>
  <c r="N229" i="68" s="1"/>
  <c r="M228" i="68"/>
  <c r="L228" i="68"/>
  <c r="K228" i="68"/>
  <c r="J228" i="68"/>
  <c r="T158" i="75" s="1"/>
  <c r="T160" i="75" s="1"/>
  <c r="I228" i="68"/>
  <c r="GY226" i="68"/>
  <c r="GU226" i="68"/>
  <c r="GQ226" i="68"/>
  <c r="GM226" i="68"/>
  <c r="GI226" i="68"/>
  <c r="GE226" i="68"/>
  <c r="GA226" i="68"/>
  <c r="FW226" i="68"/>
  <c r="FS226" i="68"/>
  <c r="FO226" i="68"/>
  <c r="FK226" i="68"/>
  <c r="FG226" i="68"/>
  <c r="FC226" i="68"/>
  <c r="EY226" i="68"/>
  <c r="EU226" i="68"/>
  <c r="EQ226" i="68"/>
  <c r="EM226" i="68"/>
  <c r="EI226" i="68"/>
  <c r="EE226" i="68"/>
  <c r="EA226" i="68"/>
  <c r="DW226" i="68"/>
  <c r="DS226" i="68"/>
  <c r="DO226" i="68"/>
  <c r="DK226" i="68"/>
  <c r="DG226" i="68"/>
  <c r="DC226" i="68"/>
  <c r="CY226" i="68"/>
  <c r="CU226" i="68"/>
  <c r="CQ226" i="68"/>
  <c r="CM226" i="68"/>
  <c r="CI226" i="68"/>
  <c r="CE226" i="68"/>
  <c r="CA226" i="68"/>
  <c r="BW226" i="68"/>
  <c r="BS226" i="68"/>
  <c r="BO226" i="68"/>
  <c r="BK226" i="68"/>
  <c r="BG226" i="68"/>
  <c r="BC226" i="68"/>
  <c r="AY226" i="68"/>
  <c r="AU226" i="68"/>
  <c r="AQ226" i="68"/>
  <c r="AM226" i="68"/>
  <c r="AI226" i="68"/>
  <c r="AE226" i="68"/>
  <c r="AA226" i="68"/>
  <c r="W226" i="68"/>
  <c r="S226" i="68"/>
  <c r="O226" i="68"/>
  <c r="K226" i="68"/>
  <c r="HG160" i="68"/>
  <c r="HC160" i="68"/>
  <c r="HG159" i="68"/>
  <c r="HC159" i="68"/>
  <c r="HG158" i="68"/>
  <c r="HC158" i="68"/>
  <c r="HG157" i="68"/>
  <c r="HC157" i="68"/>
  <c r="HG156" i="68"/>
  <c r="HC156" i="68"/>
  <c r="HG155" i="68"/>
  <c r="HC155" i="68"/>
  <c r="HG154" i="68"/>
  <c r="HC154" i="68"/>
  <c r="HG153" i="68"/>
  <c r="HC153" i="68"/>
  <c r="HG152" i="68"/>
  <c r="HC152" i="68"/>
  <c r="HG151" i="68"/>
  <c r="HC151" i="68"/>
  <c r="HG150" i="68"/>
  <c r="HC150" i="68"/>
  <c r="HG149" i="68"/>
  <c r="HC149" i="68"/>
  <c r="HG148" i="68"/>
  <c r="HC148" i="68"/>
  <c r="HG147" i="68"/>
  <c r="HC147" i="68"/>
  <c r="HG146" i="68"/>
  <c r="HC146" i="68"/>
  <c r="HG145" i="68"/>
  <c r="HC145" i="68"/>
  <c r="HG144" i="68"/>
  <c r="HC144" i="68"/>
  <c r="HG143" i="68"/>
  <c r="HC143" i="68"/>
  <c r="HG142" i="68"/>
  <c r="HC142" i="68"/>
  <c r="HG141" i="68"/>
  <c r="HC141" i="68"/>
  <c r="HG140" i="68"/>
  <c r="HC140" i="68"/>
  <c r="HG139" i="68"/>
  <c r="HC139" i="68"/>
  <c r="HG138" i="68"/>
  <c r="HC138" i="68"/>
  <c r="HG137" i="68"/>
  <c r="HC137" i="68"/>
  <c r="HG136" i="68"/>
  <c r="HC136" i="68"/>
  <c r="HG135" i="68"/>
  <c r="HC135" i="68"/>
  <c r="HG134" i="68"/>
  <c r="HC134" i="68"/>
  <c r="HG133" i="68"/>
  <c r="HC133" i="68"/>
  <c r="HG132" i="68"/>
  <c r="HC132" i="68"/>
  <c r="HG131" i="68"/>
  <c r="HC131" i="68"/>
  <c r="HJ130" i="68"/>
  <c r="HI130" i="68"/>
  <c r="HG130" i="68"/>
  <c r="HF130" i="68"/>
  <c r="HE130" i="68"/>
  <c r="HC130" i="68"/>
  <c r="HJ129" i="68"/>
  <c r="HI129" i="68"/>
  <c r="HG129" i="68"/>
  <c r="HF129" i="68"/>
  <c r="HE129" i="68"/>
  <c r="HC129" i="68"/>
  <c r="HJ128" i="68"/>
  <c r="HI128" i="68"/>
  <c r="HG128" i="68"/>
  <c r="HF128" i="68"/>
  <c r="HE128" i="68"/>
  <c r="HC128" i="68"/>
  <c r="HJ127" i="68"/>
  <c r="HI127" i="68"/>
  <c r="HG127" i="68"/>
  <c r="HF127" i="68"/>
  <c r="HE127" i="68"/>
  <c r="HC127" i="68"/>
  <c r="HJ126" i="68"/>
  <c r="HI126" i="68"/>
  <c r="HG126" i="68"/>
  <c r="HF126" i="68"/>
  <c r="HE126" i="68"/>
  <c r="HC126" i="68"/>
  <c r="HJ125" i="68"/>
  <c r="HI125" i="68"/>
  <c r="HG125" i="68"/>
  <c r="HF125" i="68"/>
  <c r="HE125" i="68"/>
  <c r="HC125" i="68"/>
  <c r="HJ124" i="68"/>
  <c r="HI124" i="68"/>
  <c r="HG124" i="68"/>
  <c r="HF124" i="68"/>
  <c r="HE124" i="68"/>
  <c r="HC124" i="68"/>
  <c r="HJ123" i="68"/>
  <c r="HI123" i="68"/>
  <c r="HG123" i="68"/>
  <c r="HF123" i="68"/>
  <c r="HE123" i="68"/>
  <c r="HC123" i="68"/>
  <c r="HJ122" i="68"/>
  <c r="HI122" i="68"/>
  <c r="HG122" i="68"/>
  <c r="HF122" i="68"/>
  <c r="HE122" i="68"/>
  <c r="HC122" i="68"/>
  <c r="HI121" i="68"/>
  <c r="HH121" i="68"/>
  <c r="HG121" i="68"/>
  <c r="HE121" i="68"/>
  <c r="HD121" i="68"/>
  <c r="HC121" i="68"/>
  <c r="HI120" i="68"/>
  <c r="HH120" i="68"/>
  <c r="HG120" i="68"/>
  <c r="HE120" i="68"/>
  <c r="HD120" i="68"/>
  <c r="HC120" i="68"/>
  <c r="HI119" i="68"/>
  <c r="HH119" i="68"/>
  <c r="HG119" i="68"/>
  <c r="HE119" i="68"/>
  <c r="HD119" i="68"/>
  <c r="HC119" i="68"/>
  <c r="HI118" i="68"/>
  <c r="HH118" i="68"/>
  <c r="HG118" i="68"/>
  <c r="HE118" i="68"/>
  <c r="HD118" i="68"/>
  <c r="HC118" i="68"/>
  <c r="HI117" i="68"/>
  <c r="HH117" i="68"/>
  <c r="HG117" i="68"/>
  <c r="HE117" i="68"/>
  <c r="HD117" i="68"/>
  <c r="HC117" i="68"/>
  <c r="HI116" i="68"/>
  <c r="HH116" i="68"/>
  <c r="HG116" i="68"/>
  <c r="HE116" i="68"/>
  <c r="HD116" i="68"/>
  <c r="HC116" i="68"/>
  <c r="HI115" i="68"/>
  <c r="HH115" i="68"/>
  <c r="HG115" i="68"/>
  <c r="HE115" i="68"/>
  <c r="HD115" i="68"/>
  <c r="HC115" i="68"/>
  <c r="HI114" i="68"/>
  <c r="HH114" i="68"/>
  <c r="HG114" i="68"/>
  <c r="HE114" i="68"/>
  <c r="HD114" i="68"/>
  <c r="HC114" i="68"/>
  <c r="HI113" i="68"/>
  <c r="HH113" i="68"/>
  <c r="HG113" i="68"/>
  <c r="HE113" i="68"/>
  <c r="HD113" i="68"/>
  <c r="HC113" i="68"/>
  <c r="HI112" i="68"/>
  <c r="HH112" i="68"/>
  <c r="HG112" i="68"/>
  <c r="HE112" i="68"/>
  <c r="HD112" i="68"/>
  <c r="HC112" i="68"/>
  <c r="HI107" i="68"/>
  <c r="HG107" i="68"/>
  <c r="HE107" i="68"/>
  <c r="HC107" i="68"/>
  <c r="HI106" i="68"/>
  <c r="HG106" i="68"/>
  <c r="HE106" i="68"/>
  <c r="HC106" i="68"/>
  <c r="HI105" i="68"/>
  <c r="HG105" i="68"/>
  <c r="HE105" i="68"/>
  <c r="HC105" i="68"/>
  <c r="HI104" i="68"/>
  <c r="HG104" i="68"/>
  <c r="HE104" i="68"/>
  <c r="HC104" i="68"/>
  <c r="HG103" i="68"/>
  <c r="HC103" i="68"/>
  <c r="HI102" i="68"/>
  <c r="HG102" i="68"/>
  <c r="HE102" i="68"/>
  <c r="HC102" i="68"/>
  <c r="HG101" i="68"/>
  <c r="HC101" i="68"/>
  <c r="HI100" i="68"/>
  <c r="HG100" i="68"/>
  <c r="HE100" i="68"/>
  <c r="HC100" i="68"/>
  <c r="HG99" i="68"/>
  <c r="HC99" i="68"/>
  <c r="HI98" i="68"/>
  <c r="HG98" i="68"/>
  <c r="HE98" i="68"/>
  <c r="HC98" i="68"/>
  <c r="HG97" i="68"/>
  <c r="HC97" i="68"/>
  <c r="HI96" i="68"/>
  <c r="HG96" i="68"/>
  <c r="HE96" i="68"/>
  <c r="HC96" i="68"/>
  <c r="HG95" i="68"/>
  <c r="HC95" i="68"/>
  <c r="HI94" i="68"/>
  <c r="HG94" i="68"/>
  <c r="HE94" i="68"/>
  <c r="HC94" i="68"/>
  <c r="HG93" i="68"/>
  <c r="HC93" i="68"/>
  <c r="HI92" i="68"/>
  <c r="HG92" i="68"/>
  <c r="HE92" i="68"/>
  <c r="HC92" i="68"/>
  <c r="HG91" i="68"/>
  <c r="HC91" i="68"/>
  <c r="HG90" i="68"/>
  <c r="HC90" i="68"/>
  <c r="HG89" i="68"/>
  <c r="HC89" i="68"/>
  <c r="HG88" i="68"/>
  <c r="HC88" i="68"/>
  <c r="HG87" i="68"/>
  <c r="HC87" i="68"/>
  <c r="HG86" i="68"/>
  <c r="HC86" i="68"/>
  <c r="HG85" i="68"/>
  <c r="HC85" i="68"/>
  <c r="HG84" i="68"/>
  <c r="HC84" i="68"/>
  <c r="HG83" i="68"/>
  <c r="HC83" i="68"/>
  <c r="HG82" i="68"/>
  <c r="HC82" i="68"/>
  <c r="HG81" i="68"/>
  <c r="HC81" i="68"/>
  <c r="HJ80" i="68"/>
  <c r="HI80" i="68"/>
  <c r="HG80" i="68"/>
  <c r="HF80" i="68"/>
  <c r="HE80" i="68"/>
  <c r="HC80" i="68"/>
  <c r="HJ79" i="68"/>
  <c r="HI79" i="68"/>
  <c r="HG79" i="68"/>
  <c r="HF79" i="68"/>
  <c r="HE79" i="68"/>
  <c r="HC79" i="68"/>
  <c r="HJ78" i="68"/>
  <c r="HI78" i="68"/>
  <c r="HG78" i="68"/>
  <c r="HF78" i="68"/>
  <c r="HE78" i="68"/>
  <c r="HC78" i="68"/>
  <c r="HJ77" i="68"/>
  <c r="HI77" i="68"/>
  <c r="HG77" i="68"/>
  <c r="HF77" i="68"/>
  <c r="HE77" i="68"/>
  <c r="HC77" i="68"/>
  <c r="HJ76" i="68"/>
  <c r="HI76" i="68"/>
  <c r="HG76" i="68"/>
  <c r="HF76" i="68"/>
  <c r="HE76" i="68"/>
  <c r="HC76" i="68"/>
  <c r="HJ75" i="68"/>
  <c r="HI75" i="68"/>
  <c r="HG75" i="68"/>
  <c r="HF75" i="68"/>
  <c r="HE75" i="68"/>
  <c r="HC75" i="68"/>
  <c r="HJ74" i="68"/>
  <c r="HI74" i="68"/>
  <c r="HG74" i="68"/>
  <c r="HF74" i="68"/>
  <c r="HE74" i="68"/>
  <c r="HC74" i="68"/>
  <c r="HJ73" i="68"/>
  <c r="HI73" i="68"/>
  <c r="HG73" i="68"/>
  <c r="HF73" i="68"/>
  <c r="HE73" i="68"/>
  <c r="HC73" i="68"/>
  <c r="HJ72" i="68"/>
  <c r="HI72" i="68"/>
  <c r="HG72" i="68"/>
  <c r="HF72" i="68"/>
  <c r="HE72" i="68"/>
  <c r="HC72" i="68"/>
  <c r="HJ71" i="68"/>
  <c r="HI71" i="68"/>
  <c r="HG71" i="68"/>
  <c r="HF71" i="68"/>
  <c r="HE71" i="68"/>
  <c r="HC71" i="68"/>
  <c r="HJ70" i="68"/>
  <c r="HI70" i="68"/>
  <c r="HG70" i="68"/>
  <c r="HF70" i="68"/>
  <c r="HE70" i="68"/>
  <c r="HC70" i="68"/>
  <c r="HJ69" i="68"/>
  <c r="HI69" i="68"/>
  <c r="HG69" i="68"/>
  <c r="HF69" i="68"/>
  <c r="HE69" i="68"/>
  <c r="HC69" i="68"/>
  <c r="HJ68" i="68"/>
  <c r="HI68" i="68"/>
  <c r="HG68" i="68"/>
  <c r="HF68" i="68"/>
  <c r="HE68" i="68"/>
  <c r="HC68" i="68"/>
  <c r="HJ67" i="68"/>
  <c r="HI67" i="68"/>
  <c r="HG67" i="68"/>
  <c r="HF67" i="68"/>
  <c r="HE67" i="68"/>
  <c r="HC67" i="68"/>
  <c r="HJ66" i="68"/>
  <c r="HI66" i="68"/>
  <c r="HG66" i="68"/>
  <c r="HF66" i="68"/>
  <c r="HE66" i="68"/>
  <c r="HC66" i="68"/>
  <c r="HJ65" i="68"/>
  <c r="HI65" i="68"/>
  <c r="HG65" i="68"/>
  <c r="HF65" i="68"/>
  <c r="HE65" i="68"/>
  <c r="HC65" i="68"/>
  <c r="HI64" i="68"/>
  <c r="HH64" i="68"/>
  <c r="HG64" i="68"/>
  <c r="HE64" i="68"/>
  <c r="HD64" i="68"/>
  <c r="HC64" i="68"/>
  <c r="HI63" i="68"/>
  <c r="HH63" i="68"/>
  <c r="HG63" i="68"/>
  <c r="HE63" i="68"/>
  <c r="HD63" i="68"/>
  <c r="HC63" i="68"/>
  <c r="HI62" i="68"/>
  <c r="HH62" i="68"/>
  <c r="HG62" i="68"/>
  <c r="HE62" i="68"/>
  <c r="HD62" i="68"/>
  <c r="HC62" i="68"/>
  <c r="HI61" i="68"/>
  <c r="HH61" i="68"/>
  <c r="HG61" i="68"/>
  <c r="HE61" i="68"/>
  <c r="HD61" i="68"/>
  <c r="HC61" i="68"/>
  <c r="HI60" i="68"/>
  <c r="HH60" i="68"/>
  <c r="HG60" i="68"/>
  <c r="HE60" i="68"/>
  <c r="HD60" i="68"/>
  <c r="HC60" i="68"/>
  <c r="HI59" i="68"/>
  <c r="HH59" i="68"/>
  <c r="HG59" i="68"/>
  <c r="HE59" i="68"/>
  <c r="HD59" i="68"/>
  <c r="HC59" i="68"/>
  <c r="HI58" i="68"/>
  <c r="HH58" i="68"/>
  <c r="HG58" i="68"/>
  <c r="HE58" i="68"/>
  <c r="HD58" i="68"/>
  <c r="HC58" i="68"/>
  <c r="HI57" i="68"/>
  <c r="HH57" i="68"/>
  <c r="HG57" i="68"/>
  <c r="HE57" i="68"/>
  <c r="HD57" i="68"/>
  <c r="HC57" i="68"/>
  <c r="HI56" i="68"/>
  <c r="HH56" i="68"/>
  <c r="HG56" i="68"/>
  <c r="HE56" i="68"/>
  <c r="HD56" i="68"/>
  <c r="HC56" i="68"/>
  <c r="HI55" i="68"/>
  <c r="HH55" i="68"/>
  <c r="HG55" i="68"/>
  <c r="HE55" i="68"/>
  <c r="HD55" i="68"/>
  <c r="HC55" i="68"/>
  <c r="HI54" i="68"/>
  <c r="HH54" i="68"/>
  <c r="HG54" i="68"/>
  <c r="HE54" i="68"/>
  <c r="HD54" i="68"/>
  <c r="HC54" i="68"/>
  <c r="HI53" i="68"/>
  <c r="HH53" i="68"/>
  <c r="HG53" i="68"/>
  <c r="HE53" i="68"/>
  <c r="HD53" i="68"/>
  <c r="HC53" i="68"/>
  <c r="HI52" i="68"/>
  <c r="HH52" i="68"/>
  <c r="HG52" i="68"/>
  <c r="HE52" i="68"/>
  <c r="HD52" i="68"/>
  <c r="HC52" i="68"/>
  <c r="HI51" i="68"/>
  <c r="HH51" i="68"/>
  <c r="HG51" i="68"/>
  <c r="HE51" i="68"/>
  <c r="HD51" i="68"/>
  <c r="HC51" i="68"/>
  <c r="HI50" i="68"/>
  <c r="HH50" i="68"/>
  <c r="HG50" i="68"/>
  <c r="HE50" i="68"/>
  <c r="HD50" i="68"/>
  <c r="HC50" i="68"/>
  <c r="HI49" i="68"/>
  <c r="HH49" i="68"/>
  <c r="HG49" i="68"/>
  <c r="HE49" i="68"/>
  <c r="HD49" i="68"/>
  <c r="HC49" i="68"/>
  <c r="HI48" i="68"/>
  <c r="HH48" i="68"/>
  <c r="HG48" i="68"/>
  <c r="HE48" i="68"/>
  <c r="HD48" i="68"/>
  <c r="HC48" i="68"/>
  <c r="HI47" i="68"/>
  <c r="HH47" i="68"/>
  <c r="HG47" i="68"/>
  <c r="HE47" i="68"/>
  <c r="HD47" i="68"/>
  <c r="HC47" i="68"/>
  <c r="HI46" i="68"/>
  <c r="HH46" i="68"/>
  <c r="HG46" i="68"/>
  <c r="HE46" i="68"/>
  <c r="HD46" i="68"/>
  <c r="HC46" i="68"/>
  <c r="HI45" i="68"/>
  <c r="HH45" i="68"/>
  <c r="HG45" i="68"/>
  <c r="HE45" i="68"/>
  <c r="HD45" i="68"/>
  <c r="HC45" i="68"/>
  <c r="HI44" i="68"/>
  <c r="HH44" i="68"/>
  <c r="HG44" i="68"/>
  <c r="HE44" i="68"/>
  <c r="HD44" i="68"/>
  <c r="HC44" i="68"/>
  <c r="HI43" i="68"/>
  <c r="HH43" i="68"/>
  <c r="HG43" i="68"/>
  <c r="HE43" i="68"/>
  <c r="HD43" i="68"/>
  <c r="HC43" i="68"/>
  <c r="HI42" i="68"/>
  <c r="HH42" i="68"/>
  <c r="HG42" i="68"/>
  <c r="HE42" i="68"/>
  <c r="HD42" i="68"/>
  <c r="HC42" i="68"/>
  <c r="HI41" i="68"/>
  <c r="HH41" i="68"/>
  <c r="HG41" i="68"/>
  <c r="HE41" i="68"/>
  <c r="HD41" i="68"/>
  <c r="HC41" i="68"/>
  <c r="HI40" i="68"/>
  <c r="HH40" i="68"/>
  <c r="HG40" i="68"/>
  <c r="HE40" i="68"/>
  <c r="HD40" i="68"/>
  <c r="HC40" i="68"/>
  <c r="HI39" i="68"/>
  <c r="HH39" i="68"/>
  <c r="HG39" i="68"/>
  <c r="HE39" i="68"/>
  <c r="HD39" i="68"/>
  <c r="HC39" i="68"/>
  <c r="HI38" i="68"/>
  <c r="HH38" i="68"/>
  <c r="HG38" i="68"/>
  <c r="HE38" i="68"/>
  <c r="HD38" i="68"/>
  <c r="HC38" i="68"/>
  <c r="HI37" i="68"/>
  <c r="HH37" i="68"/>
  <c r="HG37" i="68"/>
  <c r="HE37" i="68"/>
  <c r="HD37" i="68"/>
  <c r="HC37" i="68"/>
  <c r="HI36" i="68"/>
  <c r="HH36" i="68"/>
  <c r="HG36" i="68"/>
  <c r="HE36" i="68"/>
  <c r="HD36" i="68"/>
  <c r="HC36" i="68"/>
  <c r="HI35" i="68"/>
  <c r="HH35" i="68"/>
  <c r="HG35" i="68"/>
  <c r="HE35" i="68"/>
  <c r="HD35" i="68"/>
  <c r="HC35" i="68"/>
  <c r="HI34" i="68"/>
  <c r="HH34" i="68"/>
  <c r="HG34" i="68"/>
  <c r="HE34" i="68"/>
  <c r="HD34" i="68"/>
  <c r="HC34" i="68"/>
  <c r="HI33" i="68"/>
  <c r="HH33" i="68"/>
  <c r="HG33" i="68"/>
  <c r="HE33" i="68"/>
  <c r="HD33" i="68"/>
  <c r="HC33" i="68"/>
  <c r="HI32" i="68"/>
  <c r="HH32" i="68"/>
  <c r="HG32" i="68"/>
  <c r="HE32" i="68"/>
  <c r="HD32" i="68"/>
  <c r="HC32" i="68"/>
  <c r="HI31" i="68"/>
  <c r="HH31" i="68"/>
  <c r="HG31" i="68"/>
  <c r="HE31" i="68"/>
  <c r="HD31" i="68"/>
  <c r="HC31" i="68"/>
  <c r="HI30" i="68"/>
  <c r="HH30" i="68"/>
  <c r="HG30" i="68"/>
  <c r="HE30" i="68"/>
  <c r="HD30" i="68"/>
  <c r="HC30" i="68"/>
  <c r="HI29" i="68"/>
  <c r="HH29" i="68"/>
  <c r="HG29" i="68"/>
  <c r="HE29" i="68"/>
  <c r="HD29" i="68"/>
  <c r="HC29" i="68"/>
  <c r="HI28" i="68"/>
  <c r="HH28" i="68"/>
  <c r="HG28" i="68"/>
  <c r="HE28" i="68"/>
  <c r="HD28" i="68"/>
  <c r="HC28" i="68"/>
  <c r="HI27" i="68"/>
  <c r="HH27" i="68"/>
  <c r="HG27" i="68"/>
  <c r="HE27" i="68"/>
  <c r="HD27" i="68"/>
  <c r="HC27" i="68"/>
  <c r="HI26" i="68"/>
  <c r="HH26" i="68"/>
  <c r="HG26" i="68"/>
  <c r="HE26" i="68"/>
  <c r="HD26" i="68"/>
  <c r="HC26" i="68"/>
  <c r="HI25" i="68"/>
  <c r="HH25" i="68"/>
  <c r="HG25" i="68"/>
  <c r="HE25" i="68"/>
  <c r="HD25" i="68"/>
  <c r="HC25" i="68"/>
  <c r="HI24" i="68"/>
  <c r="HH24" i="68"/>
  <c r="HG24" i="68"/>
  <c r="HE24" i="68"/>
  <c r="HD24" i="68"/>
  <c r="HC24" i="68"/>
  <c r="HI23" i="68"/>
  <c r="HH23" i="68"/>
  <c r="HG23" i="68"/>
  <c r="HE23" i="68"/>
  <c r="HD23" i="68"/>
  <c r="HC23" i="68"/>
  <c r="HI22" i="68"/>
  <c r="HH22" i="68"/>
  <c r="HG22" i="68"/>
  <c r="HE22" i="68"/>
  <c r="HD22" i="68"/>
  <c r="HC22" i="68"/>
  <c r="HI21" i="68"/>
  <c r="HH21" i="68"/>
  <c r="HG21" i="68"/>
  <c r="HE21" i="68"/>
  <c r="HD21" i="68"/>
  <c r="HC21" i="68"/>
  <c r="HI20" i="68"/>
  <c r="HH20" i="68"/>
  <c r="HG20" i="68"/>
  <c r="HE20" i="68"/>
  <c r="HD20" i="68"/>
  <c r="HC20" i="68"/>
  <c r="HI19" i="68"/>
  <c r="HH19" i="68"/>
  <c r="HG19" i="68"/>
  <c r="HE19" i="68"/>
  <c r="HD19" i="68"/>
  <c r="HC19" i="68"/>
  <c r="HI18" i="68"/>
  <c r="HH18" i="68"/>
  <c r="HG18" i="68"/>
  <c r="HE18" i="68"/>
  <c r="HD18" i="68"/>
  <c r="HC18" i="68"/>
  <c r="HI17" i="68"/>
  <c r="HH17" i="68"/>
  <c r="HG17" i="68"/>
  <c r="HE17" i="68"/>
  <c r="HD17" i="68"/>
  <c r="HC17" i="68"/>
  <c r="HG12" i="68"/>
  <c r="T104" i="75" s="1"/>
  <c r="HE12" i="68"/>
  <c r="L104" i="75" s="1"/>
  <c r="HG11" i="68"/>
  <c r="HE11" i="68"/>
  <c r="HG10" i="68"/>
  <c r="HE10" i="68"/>
  <c r="GZ6" i="68"/>
  <c r="GV6" i="68"/>
  <c r="GR6" i="68"/>
  <c r="GN6" i="68"/>
  <c r="GJ6" i="68"/>
  <c r="GF6" i="68"/>
  <c r="GB6" i="68"/>
  <c r="FX6" i="68"/>
  <c r="FT6" i="68"/>
  <c r="FP6" i="68"/>
  <c r="FL6" i="68"/>
  <c r="FH6" i="68"/>
  <c r="FD6" i="68"/>
  <c r="EZ6" i="68"/>
  <c r="EV6" i="68"/>
  <c r="ER6" i="68"/>
  <c r="EN6" i="68"/>
  <c r="EJ6" i="68"/>
  <c r="EF6" i="68"/>
  <c r="EB6" i="68"/>
  <c r="DX6" i="68"/>
  <c r="DT6" i="68"/>
  <c r="DP6" i="68"/>
  <c r="DL6" i="68"/>
  <c r="DH6" i="68"/>
  <c r="DD6" i="68"/>
  <c r="CZ6" i="68"/>
  <c r="CV6" i="68"/>
  <c r="CR6" i="68"/>
  <c r="CN6" i="68"/>
  <c r="CJ6" i="68"/>
  <c r="CF6" i="68"/>
  <c r="CB6" i="68"/>
  <c r="BX6" i="68"/>
  <c r="BT6" i="68"/>
  <c r="BP6" i="68"/>
  <c r="BL6" i="68"/>
  <c r="BH6" i="68"/>
  <c r="BD6" i="68"/>
  <c r="AZ6" i="68"/>
  <c r="AV6" i="68"/>
  <c r="AR6" i="68"/>
  <c r="AN6" i="68"/>
  <c r="AJ6" i="68"/>
  <c r="AF6" i="68"/>
  <c r="AB6" i="68"/>
  <c r="X6" i="68"/>
  <c r="T6" i="68"/>
  <c r="P6" i="68"/>
  <c r="L6" i="68"/>
  <c r="B5" i="68"/>
  <c r="B4" i="68"/>
  <c r="B3" i="68"/>
  <c r="AQ231" i="68" l="1"/>
  <c r="AQ232" i="68" s="1"/>
  <c r="AS232" i="68" s="1"/>
  <c r="AM231" i="71"/>
  <c r="BS231" i="71"/>
  <c r="CY231" i="71"/>
  <c r="CY232" i="71" s="1"/>
  <c r="DA232" i="71" s="1"/>
  <c r="EE231" i="71"/>
  <c r="EE232" i="71" s="1"/>
  <c r="EG232" i="71" s="1"/>
  <c r="O231" i="71"/>
  <c r="O232" i="71" s="1"/>
  <c r="Q232" i="71" s="1"/>
  <c r="AU231" i="71"/>
  <c r="AU232" i="71" s="1"/>
  <c r="AW232" i="71" s="1"/>
  <c r="CA231" i="71"/>
  <c r="CA232" i="71" s="1"/>
  <c r="CC232" i="71" s="1"/>
  <c r="DG231" i="71"/>
  <c r="DG232" i="71" s="1"/>
  <c r="DI232" i="71" s="1"/>
  <c r="EM231" i="71"/>
  <c r="EM232" i="71" s="1"/>
  <c r="EO232" i="71" s="1"/>
  <c r="FS231" i="71"/>
  <c r="S111" i="75"/>
  <c r="BC231" i="71"/>
  <c r="BC232" i="71" s="1"/>
  <c r="BE232" i="71" s="1"/>
  <c r="U111" i="75"/>
  <c r="X229" i="70"/>
  <c r="Z251" i="75"/>
  <c r="Z254" i="75" s="1"/>
  <c r="Z255" i="75" s="1"/>
  <c r="K229" i="69"/>
  <c r="K231" i="69" s="1"/>
  <c r="Q91" i="75"/>
  <c r="Q94" i="75" s="1"/>
  <c r="R158" i="75"/>
  <c r="R160" i="75" s="1"/>
  <c r="N158" i="75"/>
  <c r="N160" i="75" s="1"/>
  <c r="Y229" i="70"/>
  <c r="Z340" i="75"/>
  <c r="Z343" i="75" s="1"/>
  <c r="Z344" i="75" s="1"/>
  <c r="Z97" i="75" s="1"/>
  <c r="X229" i="71"/>
  <c r="AA251" i="75"/>
  <c r="AA254" i="75" s="1"/>
  <c r="AA255" i="75" s="1"/>
  <c r="M229" i="68"/>
  <c r="P340" i="75"/>
  <c r="P343" i="75" s="1"/>
  <c r="P344" i="75" s="1"/>
  <c r="P97" i="75" s="1"/>
  <c r="L229" i="69"/>
  <c r="Q251" i="75"/>
  <c r="Q254" i="75" s="1"/>
  <c r="Q255" i="75" s="1"/>
  <c r="V162" i="75"/>
  <c r="V166" i="75" s="1"/>
  <c r="V161" i="75"/>
  <c r="V111" i="75"/>
  <c r="O158" i="75"/>
  <c r="O160" i="75" s="1"/>
  <c r="S158" i="75"/>
  <c r="S160" i="75" s="1"/>
  <c r="Y229" i="71"/>
  <c r="AA340" i="75"/>
  <c r="AA343" i="75" s="1"/>
  <c r="AA344" i="75" s="1"/>
  <c r="AA97" i="75" s="1"/>
  <c r="K229" i="68"/>
  <c r="K231" i="68" s="1"/>
  <c r="P91" i="75"/>
  <c r="P94" i="75" s="1"/>
  <c r="W229" i="71"/>
  <c r="W231" i="71" s="1"/>
  <c r="AA91" i="75"/>
  <c r="AA94" i="75" s="1"/>
  <c r="M229" i="69"/>
  <c r="Q340" i="75"/>
  <c r="Q343" i="75" s="1"/>
  <c r="Q344" i="75" s="1"/>
  <c r="Q97" i="75" s="1"/>
  <c r="K229" i="70"/>
  <c r="K231" i="70" s="1"/>
  <c r="R91" i="75"/>
  <c r="R94" i="75" s="1"/>
  <c r="W162" i="75"/>
  <c r="W166" i="75" s="1"/>
  <c r="W161" i="75"/>
  <c r="W111" i="75"/>
  <c r="U161" i="75"/>
  <c r="U162" i="75"/>
  <c r="U166" i="75" s="1"/>
  <c r="W229" i="68"/>
  <c r="W231" i="68" s="1"/>
  <c r="X91" i="75"/>
  <c r="X94" i="75" s="1"/>
  <c r="P111" i="75"/>
  <c r="L229" i="70"/>
  <c r="R251" i="75"/>
  <c r="R254" i="75" s="1"/>
  <c r="R255" i="75" s="1"/>
  <c r="K229" i="71"/>
  <c r="K231" i="71" s="1"/>
  <c r="S91" i="75"/>
  <c r="S94" i="75" s="1"/>
  <c r="X229" i="68"/>
  <c r="X251" i="75"/>
  <c r="X254" i="75" s="1"/>
  <c r="X255" i="75" s="1"/>
  <c r="W229" i="69"/>
  <c r="W231" i="69" s="1"/>
  <c r="Y91" i="75"/>
  <c r="Y94" i="75" s="1"/>
  <c r="Q111" i="75"/>
  <c r="M229" i="70"/>
  <c r="R340" i="75"/>
  <c r="R343" i="75" s="1"/>
  <c r="R344" i="75" s="1"/>
  <c r="R97" i="75" s="1"/>
  <c r="L229" i="71"/>
  <c r="S251" i="75"/>
  <c r="S254" i="75" s="1"/>
  <c r="S255" i="75" s="1"/>
  <c r="L229" i="68"/>
  <c r="P251" i="75"/>
  <c r="P254" i="75" s="1"/>
  <c r="P255" i="75" s="1"/>
  <c r="P158" i="75"/>
  <c r="P160" i="75" s="1"/>
  <c r="L158" i="75"/>
  <c r="L160" i="75" s="1"/>
  <c r="Y229" i="68"/>
  <c r="X340" i="75"/>
  <c r="X343" i="75" s="1"/>
  <c r="X344" i="75" s="1"/>
  <c r="X97" i="75" s="1"/>
  <c r="X229" i="69"/>
  <c r="Y251" i="75"/>
  <c r="Y254" i="75" s="1"/>
  <c r="Y255" i="75" s="1"/>
  <c r="M229" i="71"/>
  <c r="S340" i="75"/>
  <c r="S343" i="75" s="1"/>
  <c r="S344" i="75" s="1"/>
  <c r="S97" i="75" s="1"/>
  <c r="T162" i="75"/>
  <c r="T166" i="75" s="1"/>
  <c r="U167" i="75" s="1"/>
  <c r="T161" i="75"/>
  <c r="T111" i="75"/>
  <c r="Q158" i="75"/>
  <c r="Q160" i="75" s="1"/>
  <c r="M158" i="75"/>
  <c r="M160" i="75" s="1"/>
  <c r="Y229" i="69"/>
  <c r="Y340" i="75"/>
  <c r="Y343" i="75" s="1"/>
  <c r="Y344" i="75" s="1"/>
  <c r="Y97" i="75" s="1"/>
  <c r="W229" i="70"/>
  <c r="W231" i="70" s="1"/>
  <c r="Z91" i="75"/>
  <c r="Z94" i="75" s="1"/>
  <c r="R111" i="75"/>
  <c r="AI231" i="71"/>
  <c r="AI232" i="71" s="1"/>
  <c r="AK232" i="71" s="1"/>
  <c r="S231" i="71"/>
  <c r="S232" i="71" s="1"/>
  <c r="U232" i="71" s="1"/>
  <c r="AY231" i="71"/>
  <c r="AY232" i="71" s="1"/>
  <c r="BA232" i="71" s="1"/>
  <c r="CE231" i="71"/>
  <c r="CE232" i="71" s="1"/>
  <c r="CG232" i="71" s="1"/>
  <c r="GY231" i="71"/>
  <c r="GY232" i="71" s="1"/>
  <c r="HA232" i="71" s="1"/>
  <c r="DK231" i="71"/>
  <c r="DK232" i="71" s="1"/>
  <c r="DM232" i="71" s="1"/>
  <c r="EQ231" i="71"/>
  <c r="EQ232" i="71" s="1"/>
  <c r="ES232" i="71" s="1"/>
  <c r="FW231" i="71"/>
  <c r="FW232" i="71" s="1"/>
  <c r="FY232" i="71" s="1"/>
  <c r="BK231" i="71"/>
  <c r="BK232" i="71" s="1"/>
  <c r="BM232" i="71" s="1"/>
  <c r="CQ231" i="71"/>
  <c r="CQ232" i="71" s="1"/>
  <c r="CS232" i="71" s="1"/>
  <c r="DW231" i="71"/>
  <c r="DW232" i="71" s="1"/>
  <c r="DY232" i="71" s="1"/>
  <c r="FC231" i="71"/>
  <c r="FC232" i="71" s="1"/>
  <c r="FE232" i="71" s="1"/>
  <c r="GI231" i="71"/>
  <c r="GI232" i="71" s="1"/>
  <c r="GK232" i="71" s="1"/>
  <c r="O323" i="71"/>
  <c r="E136" i="75" s="1"/>
  <c r="O324" i="71"/>
  <c r="G136" i="75" s="1"/>
  <c r="O334" i="71"/>
  <c r="E154" i="75" s="1"/>
  <c r="O336" i="71"/>
  <c r="E156" i="75" s="1"/>
  <c r="I323" i="71"/>
  <c r="E55" i="75" s="1"/>
  <c r="I335" i="71"/>
  <c r="E88" i="75" s="1"/>
  <c r="G351" i="71"/>
  <c r="O320" i="71"/>
  <c r="E131" i="75" s="1"/>
  <c r="G342" i="71"/>
  <c r="AA231" i="71"/>
  <c r="AA232" i="71" s="1"/>
  <c r="AC232" i="71" s="1"/>
  <c r="BG231" i="71"/>
  <c r="BG232" i="71" s="1"/>
  <c r="BI232" i="71" s="1"/>
  <c r="CM231" i="71"/>
  <c r="CM232" i="71" s="1"/>
  <c r="CO232" i="71" s="1"/>
  <c r="DS231" i="71"/>
  <c r="DS232" i="71" s="1"/>
  <c r="DU232" i="71" s="1"/>
  <c r="GE231" i="71"/>
  <c r="GE232" i="71" s="1"/>
  <c r="GG232" i="71" s="1"/>
  <c r="I336" i="71"/>
  <c r="E89" i="75" s="1"/>
  <c r="I334" i="71"/>
  <c r="E87" i="75" s="1"/>
  <c r="I333" i="71"/>
  <c r="E85" i="75" s="1"/>
  <c r="I329" i="71"/>
  <c r="G349" i="71"/>
  <c r="CI231" i="71"/>
  <c r="CI232" i="71" s="1"/>
  <c r="CK232" i="71" s="1"/>
  <c r="DO231" i="71"/>
  <c r="DO232" i="71" s="1"/>
  <c r="DQ232" i="71" s="1"/>
  <c r="EU231" i="71"/>
  <c r="EU232" i="71" s="1"/>
  <c r="EW232" i="71" s="1"/>
  <c r="FK231" i="71"/>
  <c r="FK232" i="71" s="1"/>
  <c r="FM232" i="71" s="1"/>
  <c r="GA231" i="71"/>
  <c r="GA232" i="71" s="1"/>
  <c r="GC232" i="71" s="1"/>
  <c r="GQ231" i="71"/>
  <c r="GQ232" i="71" s="1"/>
  <c r="GS232" i="71" s="1"/>
  <c r="I332" i="71"/>
  <c r="E83" i="75" s="1"/>
  <c r="G344" i="71"/>
  <c r="G346" i="71"/>
  <c r="G348" i="71"/>
  <c r="G350" i="71"/>
  <c r="I326" i="71"/>
  <c r="O330" i="71"/>
  <c r="E140" i="75" s="1"/>
  <c r="O331" i="71"/>
  <c r="E141" i="75" s="1"/>
  <c r="O332" i="71"/>
  <c r="E150" i="75" s="1"/>
  <c r="I337" i="71"/>
  <c r="E90" i="75" s="1"/>
  <c r="I338" i="71"/>
  <c r="P338" i="71" s="1"/>
  <c r="G347" i="71"/>
  <c r="D5" i="75" s="1"/>
  <c r="G352" i="71"/>
  <c r="G354" i="71"/>
  <c r="AQ232" i="71"/>
  <c r="AS232" i="71" s="1"/>
  <c r="BW232" i="71"/>
  <c r="BY232" i="71" s="1"/>
  <c r="CU231" i="71"/>
  <c r="CU232" i="71" s="1"/>
  <c r="CW232" i="71" s="1"/>
  <c r="DC232" i="71"/>
  <c r="DE232" i="71" s="1"/>
  <c r="EA231" i="71"/>
  <c r="EA232" i="71" s="1"/>
  <c r="EC232" i="71" s="1"/>
  <c r="EI232" i="71"/>
  <c r="EK232" i="71" s="1"/>
  <c r="FG231" i="71"/>
  <c r="FG232" i="71" s="1"/>
  <c r="FI232" i="71" s="1"/>
  <c r="FO232" i="71"/>
  <c r="FQ232" i="71" s="1"/>
  <c r="GM231" i="71"/>
  <c r="GM232" i="71" s="1"/>
  <c r="GO232" i="71" s="1"/>
  <c r="GU232" i="71"/>
  <c r="GW232" i="71" s="1"/>
  <c r="I324" i="71"/>
  <c r="G55" i="75" s="1"/>
  <c r="I328" i="71"/>
  <c r="I320" i="71"/>
  <c r="E37" i="75" s="1"/>
  <c r="I325" i="71"/>
  <c r="O333" i="71"/>
  <c r="E152" i="75" s="1"/>
  <c r="G343" i="71"/>
  <c r="D2" i="75" s="1"/>
  <c r="BO231" i="71"/>
  <c r="BO232" i="71" s="1"/>
  <c r="BQ232" i="71" s="1"/>
  <c r="I321" i="71"/>
  <c r="G37" i="75" s="1"/>
  <c r="I322" i="71"/>
  <c r="EY231" i="71"/>
  <c r="EY232" i="71" s="1"/>
  <c r="FA232" i="71" s="1"/>
  <c r="I327" i="71"/>
  <c r="I330" i="71"/>
  <c r="E71" i="75" s="1"/>
  <c r="O335" i="71"/>
  <c r="E155" i="75" s="1"/>
  <c r="G355" i="71"/>
  <c r="D4" i="75" s="1"/>
  <c r="AM232" i="71"/>
  <c r="AO232" i="71" s="1"/>
  <c r="BS232" i="71"/>
  <c r="BU232" i="71" s="1"/>
  <c r="AA231" i="70"/>
  <c r="AA232" i="70" s="1"/>
  <c r="AC232" i="70" s="1"/>
  <c r="AI231" i="70"/>
  <c r="AI232" i="70" s="1"/>
  <c r="AK232" i="70" s="1"/>
  <c r="BG231" i="70"/>
  <c r="BG232" i="70" s="1"/>
  <c r="BI232" i="70" s="1"/>
  <c r="BO231" i="70"/>
  <c r="BO232" i="70" s="1"/>
  <c r="BQ232" i="70" s="1"/>
  <c r="AE231" i="71"/>
  <c r="AE232" i="71" s="1"/>
  <c r="AG232" i="71" s="1"/>
  <c r="CM231" i="70"/>
  <c r="CM232" i="70" s="1"/>
  <c r="CO232" i="70" s="1"/>
  <c r="CU231" i="70"/>
  <c r="CU232" i="70" s="1"/>
  <c r="CW232" i="70" s="1"/>
  <c r="DS231" i="70"/>
  <c r="DS232" i="70" s="1"/>
  <c r="DU232" i="70" s="1"/>
  <c r="EA231" i="70"/>
  <c r="EA232" i="70" s="1"/>
  <c r="EC232" i="70" s="1"/>
  <c r="EY231" i="70"/>
  <c r="EY232" i="70" s="1"/>
  <c r="FA232" i="70" s="1"/>
  <c r="FG231" i="70"/>
  <c r="FG232" i="70" s="1"/>
  <c r="FI232" i="70" s="1"/>
  <c r="GE231" i="70"/>
  <c r="GE232" i="70" s="1"/>
  <c r="GG232" i="70" s="1"/>
  <c r="FS232" i="71"/>
  <c r="FU232" i="71" s="1"/>
  <c r="O321" i="71"/>
  <c r="G131" i="75" s="1"/>
  <c r="I331" i="71"/>
  <c r="E73" i="75" s="1"/>
  <c r="O337" i="71"/>
  <c r="E157" i="75" s="1"/>
  <c r="G345" i="71"/>
  <c r="G353" i="71"/>
  <c r="D3" i="75" s="1"/>
  <c r="CQ231" i="70"/>
  <c r="CQ232" i="70" s="1"/>
  <c r="CS232" i="70" s="1"/>
  <c r="DW231" i="70"/>
  <c r="DW232" i="70" s="1"/>
  <c r="DY232" i="70" s="1"/>
  <c r="BC231" i="70"/>
  <c r="BC232" i="70" s="1"/>
  <c r="BE232" i="70" s="1"/>
  <c r="CI231" i="70"/>
  <c r="CI232" i="70" s="1"/>
  <c r="CK232" i="70" s="1"/>
  <c r="DO231" i="70"/>
  <c r="DO232" i="70" s="1"/>
  <c r="DQ232" i="70" s="1"/>
  <c r="EU231" i="70"/>
  <c r="EU232" i="70" s="1"/>
  <c r="EW232" i="70" s="1"/>
  <c r="GA231" i="70"/>
  <c r="GA232" i="70" s="1"/>
  <c r="GC232" i="70" s="1"/>
  <c r="S231" i="69"/>
  <c r="S232" i="69" s="1"/>
  <c r="U232" i="69" s="1"/>
  <c r="AY231" i="69"/>
  <c r="AY232" i="69" s="1"/>
  <c r="BA232" i="69" s="1"/>
  <c r="CE231" i="69"/>
  <c r="CE232" i="69" s="1"/>
  <c r="CG232" i="69" s="1"/>
  <c r="DK231" i="69"/>
  <c r="DK232" i="69" s="1"/>
  <c r="DM232" i="69" s="1"/>
  <c r="EQ231" i="69"/>
  <c r="EQ232" i="69" s="1"/>
  <c r="ES232" i="69" s="1"/>
  <c r="FW231" i="69"/>
  <c r="FW232" i="69" s="1"/>
  <c r="FY232" i="69" s="1"/>
  <c r="AI231" i="69"/>
  <c r="AI232" i="69" s="1"/>
  <c r="AK232" i="69" s="1"/>
  <c r="BO231" i="69"/>
  <c r="BO232" i="69" s="1"/>
  <c r="BQ232" i="69" s="1"/>
  <c r="CU231" i="69"/>
  <c r="CU232" i="69" s="1"/>
  <c r="CW232" i="69" s="1"/>
  <c r="AI231" i="68"/>
  <c r="AI232" i="68" s="1"/>
  <c r="AK232" i="68" s="1"/>
  <c r="BO231" i="68"/>
  <c r="BO232" i="68" s="1"/>
  <c r="BQ232" i="68" s="1"/>
  <c r="CU231" i="68"/>
  <c r="CU232" i="68" s="1"/>
  <c r="CW232" i="68" s="1"/>
  <c r="EA231" i="68"/>
  <c r="EA232" i="68" s="1"/>
  <c r="EC232" i="68" s="1"/>
  <c r="S231" i="70"/>
  <c r="S232" i="70" s="1"/>
  <c r="U232" i="70" s="1"/>
  <c r="AQ232" i="70"/>
  <c r="AS232" i="70" s="1"/>
  <c r="AY231" i="70"/>
  <c r="AY232" i="70" s="1"/>
  <c r="BA232" i="70" s="1"/>
  <c r="BW232" i="70"/>
  <c r="BY232" i="70" s="1"/>
  <c r="CE231" i="70"/>
  <c r="CE232" i="70" s="1"/>
  <c r="CG232" i="70" s="1"/>
  <c r="DC232" i="70"/>
  <c r="DE232" i="70" s="1"/>
  <c r="DK231" i="70"/>
  <c r="DK232" i="70" s="1"/>
  <c r="DM232" i="70" s="1"/>
  <c r="EI232" i="70"/>
  <c r="EK232" i="70" s="1"/>
  <c r="EQ231" i="70"/>
  <c r="EQ232" i="70" s="1"/>
  <c r="ES232" i="70" s="1"/>
  <c r="FO232" i="70"/>
  <c r="FQ232" i="70" s="1"/>
  <c r="FW231" i="70"/>
  <c r="FW232" i="70" s="1"/>
  <c r="FY232" i="70" s="1"/>
  <c r="GM231" i="70"/>
  <c r="GM232" i="70" s="1"/>
  <c r="GO232" i="70" s="1"/>
  <c r="GU232" i="70"/>
  <c r="GW232" i="70" s="1"/>
  <c r="AE231" i="69"/>
  <c r="AE232" i="69" s="1"/>
  <c r="AG232" i="69" s="1"/>
  <c r="BC231" i="69"/>
  <c r="BC232" i="69" s="1"/>
  <c r="BE232" i="69" s="1"/>
  <c r="CI231" i="69"/>
  <c r="CI232" i="69" s="1"/>
  <c r="CK232" i="69" s="1"/>
  <c r="DO231" i="69"/>
  <c r="DO232" i="69" s="1"/>
  <c r="DQ232" i="69" s="1"/>
  <c r="EU231" i="69"/>
  <c r="EU232" i="69" s="1"/>
  <c r="EW232" i="69" s="1"/>
  <c r="GA231" i="69"/>
  <c r="GA232" i="69" s="1"/>
  <c r="GC232" i="69" s="1"/>
  <c r="O231" i="70"/>
  <c r="O232" i="70" s="1"/>
  <c r="Q232" i="70" s="1"/>
  <c r="AE231" i="70"/>
  <c r="AE232" i="70" s="1"/>
  <c r="AG232" i="70" s="1"/>
  <c r="AU231" i="70"/>
  <c r="AU232" i="70" s="1"/>
  <c r="AW232" i="70" s="1"/>
  <c r="BK231" i="70"/>
  <c r="BK232" i="70" s="1"/>
  <c r="BM232" i="70" s="1"/>
  <c r="CA231" i="70"/>
  <c r="CA232" i="70" s="1"/>
  <c r="CC232" i="70" s="1"/>
  <c r="DG231" i="70"/>
  <c r="DG232" i="70" s="1"/>
  <c r="DI232" i="70" s="1"/>
  <c r="EM231" i="70"/>
  <c r="EM232" i="70" s="1"/>
  <c r="EO232" i="70" s="1"/>
  <c r="FC231" i="70"/>
  <c r="FC232" i="70" s="1"/>
  <c r="FE232" i="70" s="1"/>
  <c r="FS231" i="70"/>
  <c r="FS232" i="70" s="1"/>
  <c r="FU232" i="70" s="1"/>
  <c r="GI231" i="70"/>
  <c r="GI232" i="70" s="1"/>
  <c r="GK232" i="70" s="1"/>
  <c r="GY231" i="70"/>
  <c r="GY232" i="70" s="1"/>
  <c r="HA232" i="70" s="1"/>
  <c r="AM231" i="68"/>
  <c r="AM232" i="68" s="1"/>
  <c r="AO232" i="68" s="1"/>
  <c r="BS231" i="68"/>
  <c r="BS232" i="68" s="1"/>
  <c r="BU232" i="68" s="1"/>
  <c r="AM231" i="70"/>
  <c r="AM232" i="70" s="1"/>
  <c r="AO232" i="70" s="1"/>
  <c r="BS231" i="70"/>
  <c r="BS232" i="70" s="1"/>
  <c r="BU232" i="70" s="1"/>
  <c r="CY231" i="70"/>
  <c r="CY232" i="70" s="1"/>
  <c r="DA232" i="70" s="1"/>
  <c r="EE231" i="70"/>
  <c r="EE232" i="70" s="1"/>
  <c r="EG232" i="70" s="1"/>
  <c r="FK231" i="70"/>
  <c r="FK232" i="70" s="1"/>
  <c r="FM232" i="70" s="1"/>
  <c r="GQ231" i="70"/>
  <c r="GQ232" i="70" s="1"/>
  <c r="GS232" i="70" s="1"/>
  <c r="O231" i="69"/>
  <c r="O232" i="69" s="1"/>
  <c r="Q232" i="69" s="1"/>
  <c r="AM231" i="69"/>
  <c r="AM232" i="69" s="1"/>
  <c r="AO232" i="69" s="1"/>
  <c r="AU231" i="69"/>
  <c r="AU232" i="69" s="1"/>
  <c r="AW232" i="69" s="1"/>
  <c r="BS231" i="69"/>
  <c r="BS232" i="69" s="1"/>
  <c r="BU232" i="69" s="1"/>
  <c r="CA231" i="69"/>
  <c r="CA232" i="69" s="1"/>
  <c r="CC232" i="69" s="1"/>
  <c r="CY231" i="69"/>
  <c r="CY232" i="69" s="1"/>
  <c r="DA232" i="69" s="1"/>
  <c r="DG231" i="69"/>
  <c r="DG232" i="69" s="1"/>
  <c r="DI232" i="69" s="1"/>
  <c r="EE231" i="69"/>
  <c r="EE232" i="69" s="1"/>
  <c r="EG232" i="69" s="1"/>
  <c r="EM231" i="69"/>
  <c r="EM232" i="69" s="1"/>
  <c r="EO232" i="69" s="1"/>
  <c r="FK231" i="69"/>
  <c r="FK232" i="69" s="1"/>
  <c r="FM232" i="69" s="1"/>
  <c r="FS231" i="69"/>
  <c r="FS232" i="69" s="1"/>
  <c r="FU232" i="69" s="1"/>
  <c r="GQ231" i="69"/>
  <c r="GQ232" i="69" s="1"/>
  <c r="GS232" i="69" s="1"/>
  <c r="GY231" i="69"/>
  <c r="GY232" i="69" s="1"/>
  <c r="HA232" i="69" s="1"/>
  <c r="EA231" i="69"/>
  <c r="EA232" i="69" s="1"/>
  <c r="EC232" i="69" s="1"/>
  <c r="FG231" i="69"/>
  <c r="FG232" i="69" s="1"/>
  <c r="FI232" i="69" s="1"/>
  <c r="GM231" i="69"/>
  <c r="GM232" i="69" s="1"/>
  <c r="GO232" i="69" s="1"/>
  <c r="AE231" i="68"/>
  <c r="AE232" i="68" s="1"/>
  <c r="AG232" i="68" s="1"/>
  <c r="BK231" i="68"/>
  <c r="BK232" i="68" s="1"/>
  <c r="BM232" i="68" s="1"/>
  <c r="EE231" i="68"/>
  <c r="EE232" i="68" s="1"/>
  <c r="EG232" i="68" s="1"/>
  <c r="FK231" i="68"/>
  <c r="FK232" i="68" s="1"/>
  <c r="FM232" i="68" s="1"/>
  <c r="GQ231" i="68"/>
  <c r="GQ232" i="68" s="1"/>
  <c r="GS232" i="68" s="1"/>
  <c r="AA231" i="69"/>
  <c r="AA232" i="69" s="1"/>
  <c r="AC232" i="69" s="1"/>
  <c r="AQ232" i="69"/>
  <c r="AS232" i="69" s="1"/>
  <c r="BG231" i="69"/>
  <c r="BG232" i="69" s="1"/>
  <c r="BI232" i="69" s="1"/>
  <c r="BW232" i="69"/>
  <c r="BY232" i="69" s="1"/>
  <c r="CM231" i="69"/>
  <c r="CM232" i="69" s="1"/>
  <c r="CO232" i="69" s="1"/>
  <c r="DC232" i="69"/>
  <c r="DE232" i="69" s="1"/>
  <c r="DS231" i="69"/>
  <c r="DS232" i="69" s="1"/>
  <c r="DU232" i="69" s="1"/>
  <c r="EI232" i="69"/>
  <c r="EK232" i="69" s="1"/>
  <c r="EY231" i="69"/>
  <c r="EY232" i="69" s="1"/>
  <c r="FA232" i="69" s="1"/>
  <c r="FO232" i="69"/>
  <c r="FQ232" i="69" s="1"/>
  <c r="GE231" i="69"/>
  <c r="GE232" i="69" s="1"/>
  <c r="GG232" i="69" s="1"/>
  <c r="GU232" i="69"/>
  <c r="GW232" i="69" s="1"/>
  <c r="BK231" i="69"/>
  <c r="BK232" i="69" s="1"/>
  <c r="BM232" i="69" s="1"/>
  <c r="CQ231" i="69"/>
  <c r="CQ232" i="69" s="1"/>
  <c r="CS232" i="69" s="1"/>
  <c r="DW231" i="69"/>
  <c r="DW232" i="69" s="1"/>
  <c r="DY232" i="69" s="1"/>
  <c r="FC231" i="69"/>
  <c r="FC232" i="69" s="1"/>
  <c r="FE232" i="69" s="1"/>
  <c r="GI231" i="69"/>
  <c r="GI232" i="69" s="1"/>
  <c r="GK232" i="69" s="1"/>
  <c r="CQ231" i="68"/>
  <c r="CQ232" i="68" s="1"/>
  <c r="CS232" i="68" s="1"/>
  <c r="DW231" i="68"/>
  <c r="DW232" i="68" s="1"/>
  <c r="DY232" i="68" s="1"/>
  <c r="FC231" i="68"/>
  <c r="FC232" i="68" s="1"/>
  <c r="FE232" i="68" s="1"/>
  <c r="GI231" i="68"/>
  <c r="GI232" i="68" s="1"/>
  <c r="GK232" i="68" s="1"/>
  <c r="CI231" i="68"/>
  <c r="CI232" i="68" s="1"/>
  <c r="CK232" i="68" s="1"/>
  <c r="DO231" i="68"/>
  <c r="DO232" i="68" s="1"/>
  <c r="DQ232" i="68" s="1"/>
  <c r="EU231" i="68"/>
  <c r="EU232" i="68" s="1"/>
  <c r="EW232" i="68" s="1"/>
  <c r="GA231" i="68"/>
  <c r="GA232" i="68" s="1"/>
  <c r="GC232" i="68" s="1"/>
  <c r="BC231" i="68"/>
  <c r="BC232" i="68" s="1"/>
  <c r="BE232" i="68" s="1"/>
  <c r="FG231" i="68"/>
  <c r="FG232" i="68" s="1"/>
  <c r="FI232" i="68" s="1"/>
  <c r="GM231" i="68"/>
  <c r="GM232" i="68" s="1"/>
  <c r="GO232" i="68" s="1"/>
  <c r="S231" i="68"/>
  <c r="S232" i="68" s="1"/>
  <c r="U232" i="68" s="1"/>
  <c r="AY231" i="68"/>
  <c r="AY232" i="68" s="1"/>
  <c r="BA232" i="68" s="1"/>
  <c r="CE231" i="68"/>
  <c r="CE232" i="68" s="1"/>
  <c r="CG232" i="68" s="1"/>
  <c r="DK231" i="68"/>
  <c r="DK232" i="68" s="1"/>
  <c r="DM232" i="68" s="1"/>
  <c r="EQ231" i="68"/>
  <c r="EQ232" i="68" s="1"/>
  <c r="ES232" i="68" s="1"/>
  <c r="FW231" i="68"/>
  <c r="FW232" i="68" s="1"/>
  <c r="FY232" i="68" s="1"/>
  <c r="CY231" i="68"/>
  <c r="CY232" i="68" s="1"/>
  <c r="DA232" i="68" s="1"/>
  <c r="AA231" i="68"/>
  <c r="AA232" i="68" s="1"/>
  <c r="AC232" i="68" s="1"/>
  <c r="BG231" i="68"/>
  <c r="BG232" i="68" s="1"/>
  <c r="BI232" i="68" s="1"/>
  <c r="BW232" i="68"/>
  <c r="BY232" i="68" s="1"/>
  <c r="CM231" i="68"/>
  <c r="CM232" i="68" s="1"/>
  <c r="CO232" i="68" s="1"/>
  <c r="DC232" i="68"/>
  <c r="DE232" i="68" s="1"/>
  <c r="DS231" i="68"/>
  <c r="DS232" i="68" s="1"/>
  <c r="DU232" i="68" s="1"/>
  <c r="EY231" i="68"/>
  <c r="EY232" i="68" s="1"/>
  <c r="FA232" i="68" s="1"/>
  <c r="GE231" i="68"/>
  <c r="GE232" i="68" s="1"/>
  <c r="GG232" i="68" s="1"/>
  <c r="EI232" i="68"/>
  <c r="EK232" i="68" s="1"/>
  <c r="FO232" i="68"/>
  <c r="FQ232" i="68" s="1"/>
  <c r="GU232" i="68"/>
  <c r="GW232" i="68" s="1"/>
  <c r="O231" i="68"/>
  <c r="O232" i="68" s="1"/>
  <c r="Q232" i="68" s="1"/>
  <c r="AU231" i="68"/>
  <c r="AU232" i="68" s="1"/>
  <c r="AW232" i="68" s="1"/>
  <c r="CA231" i="68"/>
  <c r="CA232" i="68" s="1"/>
  <c r="CC232" i="68" s="1"/>
  <c r="DG231" i="68"/>
  <c r="DG232" i="68" s="1"/>
  <c r="DI232" i="68" s="1"/>
  <c r="EM231" i="68"/>
  <c r="EM232" i="68" s="1"/>
  <c r="EO232" i="68" s="1"/>
  <c r="FS231" i="68"/>
  <c r="FS232" i="68" s="1"/>
  <c r="FU232" i="68" s="1"/>
  <c r="GY231" i="68"/>
  <c r="GY232" i="68" s="1"/>
  <c r="HA232" i="68" s="1"/>
  <c r="M111" i="75" l="1"/>
  <c r="K232" i="68"/>
  <c r="M232" i="68" s="1"/>
  <c r="K232" i="69"/>
  <c r="M232" i="69" s="1"/>
  <c r="K232" i="71"/>
  <c r="M232" i="71" s="1"/>
  <c r="W232" i="71"/>
  <c r="Y232" i="71" s="1"/>
  <c r="N111" i="75"/>
  <c r="K232" i="70"/>
  <c r="M232" i="70" s="1"/>
  <c r="O111" i="75"/>
  <c r="W232" i="70"/>
  <c r="Y232" i="70" s="1"/>
  <c r="W232" i="68"/>
  <c r="Y232" i="68" s="1"/>
  <c r="W232" i="69"/>
  <c r="Y232" i="69" s="1"/>
  <c r="P328" i="71"/>
  <c r="E66" i="75"/>
  <c r="P96" i="75"/>
  <c r="P99" i="75" s="1"/>
  <c r="P95" i="75"/>
  <c r="W167" i="75"/>
  <c r="W168" i="75" s="1"/>
  <c r="P322" i="71"/>
  <c r="E44" i="75"/>
  <c r="G393" i="75"/>
  <c r="G304" i="75"/>
  <c r="G217" i="75"/>
  <c r="E426" i="75"/>
  <c r="E337" i="75"/>
  <c r="E250" i="75"/>
  <c r="L161" i="75"/>
  <c r="L162" i="75"/>
  <c r="L166" i="75" s="1"/>
  <c r="M167" i="75" s="1"/>
  <c r="N161" i="75"/>
  <c r="N162" i="75"/>
  <c r="N166" i="75" s="1"/>
  <c r="G375" i="75"/>
  <c r="G286" i="75"/>
  <c r="G199" i="75"/>
  <c r="E419" i="75"/>
  <c r="E330" i="75"/>
  <c r="E243" i="75"/>
  <c r="P329" i="71"/>
  <c r="E67" i="75"/>
  <c r="Z96" i="75"/>
  <c r="Z99" i="75" s="1"/>
  <c r="Z95" i="75"/>
  <c r="P162" i="75"/>
  <c r="P166" i="75" s="1"/>
  <c r="Q167" i="75" s="1"/>
  <c r="P161" i="75"/>
  <c r="Y96" i="75"/>
  <c r="Y99" i="75" s="1"/>
  <c r="Y95" i="75"/>
  <c r="L111" i="75"/>
  <c r="R96" i="75"/>
  <c r="R99" i="75" s="1"/>
  <c r="R95" i="75"/>
  <c r="R161" i="75"/>
  <c r="R162" i="75"/>
  <c r="R166" i="75" s="1"/>
  <c r="E421" i="75"/>
  <c r="E332" i="75"/>
  <c r="E245" i="75"/>
  <c r="X96" i="75"/>
  <c r="X99" i="75" s="1"/>
  <c r="X95" i="75"/>
  <c r="Q96" i="75"/>
  <c r="Q99" i="75" s="1"/>
  <c r="Q95" i="75"/>
  <c r="E423" i="75"/>
  <c r="E334" i="75"/>
  <c r="E247" i="75"/>
  <c r="S161" i="75"/>
  <c r="S162" i="75"/>
  <c r="S166" i="75" s="1"/>
  <c r="E410" i="75"/>
  <c r="E321" i="75"/>
  <c r="E234" i="75"/>
  <c r="P326" i="71"/>
  <c r="G56" i="75"/>
  <c r="E425" i="75"/>
  <c r="E336" i="75"/>
  <c r="E249" i="75"/>
  <c r="U168" i="75"/>
  <c r="V167" i="75"/>
  <c r="V168" i="75" s="1"/>
  <c r="O162" i="75"/>
  <c r="O166" i="75" s="1"/>
  <c r="O161" i="75"/>
  <c r="E409" i="75"/>
  <c r="E320" i="75"/>
  <c r="E233" i="75"/>
  <c r="P325" i="71"/>
  <c r="E56" i="75"/>
  <c r="E424" i="75"/>
  <c r="E335" i="75"/>
  <c r="E248" i="75"/>
  <c r="M161" i="75"/>
  <c r="M162" i="75"/>
  <c r="M166" i="75" s="1"/>
  <c r="S95" i="75"/>
  <c r="S96" i="75"/>
  <c r="S99" i="75" s="1"/>
  <c r="AA96" i="75"/>
  <c r="AA99" i="75" s="1"/>
  <c r="AA95" i="75"/>
  <c r="P327" i="71"/>
  <c r="E61" i="75"/>
  <c r="E375" i="75"/>
  <c r="E286" i="75"/>
  <c r="E199" i="75"/>
  <c r="T103" i="75"/>
  <c r="U103" i="75" s="1"/>
  <c r="V103" i="75" s="1"/>
  <c r="W103" i="75" s="1"/>
  <c r="L103" i="75"/>
  <c r="M103" i="75" s="1"/>
  <c r="N103" i="75" s="1"/>
  <c r="O103" i="75" s="1"/>
  <c r="T102" i="75"/>
  <c r="L102" i="75"/>
  <c r="M102" i="75" s="1"/>
  <c r="E393" i="75"/>
  <c r="E304" i="75"/>
  <c r="E217" i="75"/>
  <c r="Q162" i="75"/>
  <c r="Q166" i="75" s="1"/>
  <c r="Q161" i="75"/>
  <c r="P321" i="71"/>
  <c r="P330" i="71"/>
  <c r="P334" i="71"/>
  <c r="P331" i="71"/>
  <c r="P323" i="71"/>
  <c r="P332" i="71"/>
  <c r="P320" i="71"/>
  <c r="P336" i="71"/>
  <c r="P335" i="71"/>
  <c r="P333" i="71"/>
  <c r="P324" i="71"/>
  <c r="P337" i="71"/>
  <c r="S167" i="75" l="1"/>
  <c r="S168" i="75" s="1"/>
  <c r="E382" i="75"/>
  <c r="E293" i="75"/>
  <c r="E206" i="75"/>
  <c r="E394" i="75"/>
  <c r="E305" i="75"/>
  <c r="E218" i="75"/>
  <c r="U102" i="75"/>
  <c r="N102" i="75"/>
  <c r="M168" i="75"/>
  <c r="N167" i="75"/>
  <c r="N168" i="75" s="1"/>
  <c r="E405" i="75"/>
  <c r="E316" i="75"/>
  <c r="E229" i="75"/>
  <c r="O167" i="75"/>
  <c r="O168" i="75" s="1"/>
  <c r="E399" i="75"/>
  <c r="E310" i="75"/>
  <c r="E223" i="75"/>
  <c r="G394" i="75"/>
  <c r="G305" i="75"/>
  <c r="G218" i="75"/>
  <c r="E404" i="75"/>
  <c r="E315" i="75"/>
  <c r="E228" i="75"/>
  <c r="R167" i="75"/>
  <c r="R168" i="75" s="1"/>
  <c r="Q168" i="75"/>
  <c r="O102" i="75" l="1"/>
  <c r="V102" i="75"/>
  <c r="W102" i="75" l="1"/>
  <c r="K400" i="76" l="1"/>
  <c r="J400" i="76"/>
  <c r="I400" i="76"/>
  <c r="H400" i="76"/>
  <c r="K399" i="76"/>
  <c r="J399" i="76"/>
  <c r="I399" i="76"/>
  <c r="H399" i="76"/>
  <c r="K398" i="76"/>
  <c r="J398" i="76"/>
  <c r="I398" i="76"/>
  <c r="H398" i="76"/>
  <c r="K397" i="76"/>
  <c r="J397" i="76"/>
  <c r="I397" i="76"/>
  <c r="H397" i="76"/>
  <c r="K395" i="76"/>
  <c r="J395" i="76"/>
  <c r="I395" i="76"/>
  <c r="H395" i="76"/>
  <c r="K393" i="76"/>
  <c r="J393" i="76"/>
  <c r="I393" i="76"/>
  <c r="H393" i="76"/>
  <c r="K379" i="76"/>
  <c r="J379" i="76"/>
  <c r="I379" i="76"/>
  <c r="H379" i="76"/>
  <c r="K378" i="76"/>
  <c r="J378" i="76"/>
  <c r="I378" i="76"/>
  <c r="H378" i="76"/>
  <c r="K373" i="76"/>
  <c r="J373" i="76"/>
  <c r="I373" i="76"/>
  <c r="H373" i="76"/>
  <c r="K369" i="76"/>
  <c r="J369" i="76"/>
  <c r="I369" i="76"/>
  <c r="H369" i="76"/>
  <c r="K368" i="76"/>
  <c r="J368" i="76"/>
  <c r="I368" i="76"/>
  <c r="H368" i="76"/>
  <c r="K367" i="76"/>
  <c r="J367" i="76"/>
  <c r="I367" i="76"/>
  <c r="H367" i="76"/>
  <c r="K366" i="76"/>
  <c r="J366" i="76"/>
  <c r="I366" i="76"/>
  <c r="H366" i="76"/>
  <c r="K365" i="76"/>
  <c r="J365" i="76"/>
  <c r="I365" i="76"/>
  <c r="H365" i="76"/>
  <c r="K364" i="76"/>
  <c r="J364" i="76"/>
  <c r="I364" i="76"/>
  <c r="H364" i="76"/>
  <c r="K363" i="76"/>
  <c r="J363" i="76"/>
  <c r="I363" i="76"/>
  <c r="H363" i="76"/>
  <c r="K362" i="76"/>
  <c r="J362" i="76"/>
  <c r="I362" i="76"/>
  <c r="H362" i="76"/>
  <c r="K361" i="76"/>
  <c r="J361" i="76"/>
  <c r="I361" i="76"/>
  <c r="H361" i="76"/>
  <c r="K360" i="76"/>
  <c r="J360" i="76"/>
  <c r="I360" i="76"/>
  <c r="H360" i="76"/>
  <c r="K359" i="76"/>
  <c r="J359" i="76"/>
  <c r="I359" i="76"/>
  <c r="H359" i="76"/>
  <c r="K358" i="76"/>
  <c r="J358" i="76"/>
  <c r="I358" i="76"/>
  <c r="H358" i="76"/>
  <c r="K357" i="76"/>
  <c r="J357" i="76"/>
  <c r="I357" i="76"/>
  <c r="H357" i="76"/>
  <c r="K356" i="76"/>
  <c r="J356" i="76"/>
  <c r="I356" i="76"/>
  <c r="H356" i="76"/>
  <c r="K355" i="76"/>
  <c r="J355" i="76"/>
  <c r="I355" i="76"/>
  <c r="H355" i="76"/>
  <c r="K354" i="76"/>
  <c r="J354" i="76"/>
  <c r="I354" i="76"/>
  <c r="H354" i="76"/>
  <c r="K353" i="76"/>
  <c r="J353" i="76"/>
  <c r="I353" i="76"/>
  <c r="H353" i="76"/>
  <c r="K352" i="76"/>
  <c r="J352" i="76"/>
  <c r="I352" i="76"/>
  <c r="H352" i="76"/>
  <c r="K351" i="76"/>
  <c r="J351" i="76"/>
  <c r="I351" i="76"/>
  <c r="H351" i="76"/>
  <c r="K350" i="76"/>
  <c r="J350" i="76"/>
  <c r="I350" i="76"/>
  <c r="H350" i="76"/>
  <c r="K349" i="76"/>
  <c r="J349" i="76"/>
  <c r="I349" i="76"/>
  <c r="H349" i="76"/>
  <c r="K347" i="76"/>
  <c r="J347" i="76"/>
  <c r="I347" i="76"/>
  <c r="H347" i="76"/>
  <c r="K346" i="76"/>
  <c r="J346" i="76"/>
  <c r="I346" i="76"/>
  <c r="H346" i="76"/>
  <c r="K345" i="76"/>
  <c r="J345" i="76"/>
  <c r="I345" i="76"/>
  <c r="H345" i="76"/>
  <c r="K344" i="76"/>
  <c r="J344" i="76"/>
  <c r="I344" i="76"/>
  <c r="H344" i="76"/>
  <c r="K343" i="76"/>
  <c r="J343" i="76"/>
  <c r="I343" i="76"/>
  <c r="H343" i="76"/>
  <c r="K342" i="76"/>
  <c r="J342" i="76"/>
  <c r="I342" i="76"/>
  <c r="H342" i="76"/>
  <c r="K341" i="76"/>
  <c r="J341" i="76"/>
  <c r="I341" i="76"/>
  <c r="H341" i="76"/>
  <c r="K340" i="76"/>
  <c r="J340" i="76"/>
  <c r="I340" i="76"/>
  <c r="H340" i="76"/>
  <c r="K339" i="76"/>
  <c r="J339" i="76"/>
  <c r="I339" i="76"/>
  <c r="H339" i="76"/>
  <c r="K338" i="76"/>
  <c r="J338" i="76"/>
  <c r="I338" i="76"/>
  <c r="H338" i="76"/>
  <c r="K337" i="76"/>
  <c r="J337" i="76"/>
  <c r="I337" i="76"/>
  <c r="H337" i="76"/>
  <c r="K336" i="76"/>
  <c r="J336" i="76"/>
  <c r="I336" i="76"/>
  <c r="H336" i="76"/>
  <c r="K335" i="76"/>
  <c r="J335" i="76"/>
  <c r="I335" i="76"/>
  <c r="H335" i="76"/>
  <c r="K334" i="76"/>
  <c r="J334" i="76"/>
  <c r="I334" i="76"/>
  <c r="H334" i="76"/>
  <c r="K333" i="76"/>
  <c r="J333" i="76"/>
  <c r="I333" i="76"/>
  <c r="H333" i="76"/>
  <c r="K332" i="76"/>
  <c r="J332" i="76"/>
  <c r="I332" i="76"/>
  <c r="H332" i="76"/>
  <c r="K331" i="76"/>
  <c r="J331" i="76"/>
  <c r="I331" i="76"/>
  <c r="H331" i="76"/>
  <c r="K330" i="76"/>
  <c r="J330" i="76"/>
  <c r="I330" i="76"/>
  <c r="H330" i="76"/>
  <c r="K329" i="76"/>
  <c r="J329" i="76"/>
  <c r="I329" i="76"/>
  <c r="H329" i="76"/>
  <c r="K328" i="76"/>
  <c r="J328" i="76"/>
  <c r="I328" i="76"/>
  <c r="H328" i="76"/>
  <c r="K327" i="76"/>
  <c r="J327" i="76"/>
  <c r="I327" i="76"/>
  <c r="H327" i="76"/>
  <c r="K326" i="76"/>
  <c r="J326" i="76"/>
  <c r="I326" i="76"/>
  <c r="H326" i="76"/>
  <c r="K325" i="76"/>
  <c r="J325" i="76"/>
  <c r="I325" i="76"/>
  <c r="H325" i="76"/>
  <c r="K324" i="76"/>
  <c r="J324" i="76"/>
  <c r="I324" i="76"/>
  <c r="H324" i="76"/>
  <c r="K323" i="76"/>
  <c r="J323" i="76"/>
  <c r="I323" i="76"/>
  <c r="H323" i="76"/>
  <c r="K322" i="76"/>
  <c r="J322" i="76"/>
  <c r="I322" i="76"/>
  <c r="H322" i="76"/>
  <c r="K321" i="76"/>
  <c r="J321" i="76"/>
  <c r="I321" i="76"/>
  <c r="H321" i="76"/>
  <c r="K293" i="76"/>
  <c r="J293" i="76"/>
  <c r="I293" i="76"/>
  <c r="H293" i="76"/>
  <c r="K292" i="76"/>
  <c r="J292" i="76"/>
  <c r="I292" i="76"/>
  <c r="H292" i="76"/>
  <c r="K291" i="76"/>
  <c r="J291" i="76"/>
  <c r="I291" i="76"/>
  <c r="H291" i="76"/>
  <c r="K290" i="76"/>
  <c r="J290" i="76"/>
  <c r="I290" i="76"/>
  <c r="H290" i="76"/>
  <c r="K288" i="76"/>
  <c r="J288" i="76"/>
  <c r="I288" i="76"/>
  <c r="H288" i="76"/>
  <c r="K287" i="76"/>
  <c r="J287" i="76"/>
  <c r="I287" i="76"/>
  <c r="H287" i="76"/>
  <c r="K286" i="76"/>
  <c r="J286" i="76"/>
  <c r="I286" i="76"/>
  <c r="H286" i="76"/>
  <c r="K285" i="76"/>
  <c r="J285" i="76"/>
  <c r="I285" i="76"/>
  <c r="H285" i="76"/>
  <c r="K284" i="76"/>
  <c r="J284" i="76"/>
  <c r="I284" i="76"/>
  <c r="H284" i="76"/>
  <c r="K283" i="76"/>
  <c r="J283" i="76"/>
  <c r="I283" i="76"/>
  <c r="H283" i="76"/>
  <c r="K281" i="76"/>
  <c r="J281" i="76"/>
  <c r="I281" i="76"/>
  <c r="H281" i="76"/>
  <c r="K280" i="76"/>
  <c r="J280" i="76"/>
  <c r="I280" i="76"/>
  <c r="H280" i="76"/>
  <c r="K279" i="76"/>
  <c r="J279" i="76"/>
  <c r="I279" i="76"/>
  <c r="H279" i="76"/>
  <c r="K278" i="76"/>
  <c r="J278" i="76"/>
  <c r="I278" i="76"/>
  <c r="H278" i="76"/>
  <c r="K277" i="76"/>
  <c r="J277" i="76"/>
  <c r="I277" i="76"/>
  <c r="H277" i="76"/>
  <c r="K276" i="76"/>
  <c r="J276" i="76"/>
  <c r="I276" i="76"/>
  <c r="H276" i="76"/>
  <c r="K275" i="76"/>
  <c r="J275" i="76"/>
  <c r="I275" i="76"/>
  <c r="H275" i="76"/>
  <c r="W268" i="76"/>
  <c r="V268" i="76"/>
  <c r="U268" i="76"/>
  <c r="T268" i="76"/>
  <c r="T313" i="76" s="1"/>
  <c r="S268" i="76"/>
  <c r="S313" i="76" s="1"/>
  <c r="R268" i="76"/>
  <c r="R313" i="76" s="1"/>
  <c r="Q268" i="76"/>
  <c r="Q313" i="76" s="1"/>
  <c r="P268" i="76"/>
  <c r="W266" i="76"/>
  <c r="W311" i="76" s="1"/>
  <c r="V266" i="76"/>
  <c r="V311" i="76" s="1"/>
  <c r="U266" i="76"/>
  <c r="U311" i="76" s="1"/>
  <c r="T266" i="76"/>
  <c r="S266" i="76"/>
  <c r="R266" i="76"/>
  <c r="Q266" i="76"/>
  <c r="P266" i="76"/>
  <c r="P311" i="76" s="1"/>
  <c r="W264" i="76"/>
  <c r="V264" i="76"/>
  <c r="U264" i="76"/>
  <c r="T264" i="76"/>
  <c r="T309" i="76" s="1"/>
  <c r="S264" i="76"/>
  <c r="S309" i="76" s="1"/>
  <c r="R264" i="76"/>
  <c r="R309" i="76" s="1"/>
  <c r="Q264" i="76"/>
  <c r="Q309" i="76" s="1"/>
  <c r="P264" i="76"/>
  <c r="W263" i="76"/>
  <c r="W308" i="76" s="1"/>
  <c r="V263" i="76"/>
  <c r="V308" i="76" s="1"/>
  <c r="U263" i="76"/>
  <c r="U308" i="76" s="1"/>
  <c r="T263" i="76"/>
  <c r="T308" i="76" s="1"/>
  <c r="S263" i="76"/>
  <c r="S308" i="76" s="1"/>
  <c r="R263" i="76"/>
  <c r="R308" i="76" s="1"/>
  <c r="Q263" i="76"/>
  <c r="Q308" i="76" s="1"/>
  <c r="P263" i="76"/>
  <c r="W262" i="76"/>
  <c r="W307" i="76" s="1"/>
  <c r="V262" i="76"/>
  <c r="V307" i="76" s="1"/>
  <c r="U262" i="76"/>
  <c r="U307" i="76" s="1"/>
  <c r="T262" i="76"/>
  <c r="T307" i="76" s="1"/>
  <c r="S262" i="76"/>
  <c r="R262" i="76"/>
  <c r="Q262" i="76"/>
  <c r="P262" i="76"/>
  <c r="P307" i="76" s="1"/>
  <c r="W261" i="76"/>
  <c r="W306" i="76" s="1"/>
  <c r="V261" i="76"/>
  <c r="V306" i="76" s="1"/>
  <c r="U261" i="76"/>
  <c r="U306" i="76" s="1"/>
  <c r="T261" i="76"/>
  <c r="T306" i="76" s="1"/>
  <c r="S261" i="76"/>
  <c r="S306" i="76" s="1"/>
  <c r="R261" i="76"/>
  <c r="R306" i="76" s="1"/>
  <c r="Q261" i="76"/>
  <c r="P261" i="76"/>
  <c r="W260" i="76"/>
  <c r="W305" i="76" s="1"/>
  <c r="V260" i="76"/>
  <c r="V305" i="76" s="1"/>
  <c r="U260" i="76"/>
  <c r="U305" i="76" s="1"/>
  <c r="T260" i="76"/>
  <c r="T305" i="76" s="1"/>
  <c r="S260" i="76"/>
  <c r="R260" i="76"/>
  <c r="Q260" i="76"/>
  <c r="Q305" i="76" s="1"/>
  <c r="P260" i="76"/>
  <c r="P305" i="76" s="1"/>
  <c r="W259" i="76"/>
  <c r="W304" i="76" s="1"/>
  <c r="V259" i="76"/>
  <c r="V304" i="76" s="1"/>
  <c r="U259" i="76"/>
  <c r="U304" i="76" s="1"/>
  <c r="T259" i="76"/>
  <c r="T304" i="76" s="1"/>
  <c r="S259" i="76"/>
  <c r="S304" i="76" s="1"/>
  <c r="R259" i="76"/>
  <c r="R304" i="76" s="1"/>
  <c r="Q259" i="76"/>
  <c r="P259" i="76"/>
  <c r="W258" i="76"/>
  <c r="W303" i="76" s="1"/>
  <c r="V258" i="76"/>
  <c r="V303" i="76" s="1"/>
  <c r="U258" i="76"/>
  <c r="T258" i="76"/>
  <c r="T303" i="76" s="1"/>
  <c r="S258" i="76"/>
  <c r="R258" i="76"/>
  <c r="Q258" i="76"/>
  <c r="Q303" i="76" s="1"/>
  <c r="P258" i="76"/>
  <c r="P303" i="76" s="1"/>
  <c r="W257" i="76"/>
  <c r="W302" i="76" s="1"/>
  <c r="V257" i="76"/>
  <c r="V302" i="76" s="1"/>
  <c r="U257" i="76"/>
  <c r="U302" i="76" s="1"/>
  <c r="T257" i="76"/>
  <c r="T302" i="76" s="1"/>
  <c r="S257" i="76"/>
  <c r="S302" i="76" s="1"/>
  <c r="R257" i="76"/>
  <c r="R302" i="76" s="1"/>
  <c r="Q257" i="76"/>
  <c r="P257" i="76"/>
  <c r="W256" i="76"/>
  <c r="W301" i="76" s="1"/>
  <c r="V256" i="76"/>
  <c r="V301" i="76" s="1"/>
  <c r="U256" i="76"/>
  <c r="U301" i="76" s="1"/>
  <c r="T256" i="76"/>
  <c r="T301" i="76" s="1"/>
  <c r="S256" i="76"/>
  <c r="R256" i="76"/>
  <c r="Q256" i="76"/>
  <c r="Q301" i="76" s="1"/>
  <c r="P256" i="76"/>
  <c r="P301" i="76" s="1"/>
  <c r="W255" i="76"/>
  <c r="W300" i="76" s="1"/>
  <c r="V255" i="76"/>
  <c r="V300" i="76" s="1"/>
  <c r="U255" i="76"/>
  <c r="U300" i="76" s="1"/>
  <c r="T255" i="76"/>
  <c r="T300" i="76" s="1"/>
  <c r="S255" i="76"/>
  <c r="S300" i="76" s="1"/>
  <c r="R255" i="76"/>
  <c r="R300" i="76" s="1"/>
  <c r="Q255" i="76"/>
  <c r="P255" i="76"/>
  <c r="W254" i="76"/>
  <c r="W299" i="76" s="1"/>
  <c r="V254" i="76"/>
  <c r="V299" i="76" s="1"/>
  <c r="U254" i="76"/>
  <c r="U299" i="76" s="1"/>
  <c r="T254" i="76"/>
  <c r="T299" i="76" s="1"/>
  <c r="S254" i="76"/>
  <c r="R254" i="76"/>
  <c r="Q254" i="76"/>
  <c r="Q299" i="76" s="1"/>
  <c r="P254" i="76"/>
  <c r="P299" i="76" s="1"/>
  <c r="W253" i="76"/>
  <c r="W298" i="76" s="1"/>
  <c r="V253" i="76"/>
  <c r="V298" i="76" s="1"/>
  <c r="U253" i="76"/>
  <c r="U298" i="76" s="1"/>
  <c r="T253" i="76"/>
  <c r="S253" i="76"/>
  <c r="S298" i="76" s="1"/>
  <c r="R253" i="76"/>
  <c r="R298" i="76" s="1"/>
  <c r="Q253" i="76"/>
  <c r="P253" i="76"/>
  <c r="W252" i="76"/>
  <c r="W297" i="76" s="1"/>
  <c r="V252" i="76"/>
  <c r="V297" i="76" s="1"/>
  <c r="U252" i="76"/>
  <c r="U297" i="76" s="1"/>
  <c r="T252" i="76"/>
  <c r="T297" i="76" s="1"/>
  <c r="S252" i="76"/>
  <c r="R252" i="76"/>
  <c r="Q252" i="76"/>
  <c r="P252" i="76"/>
  <c r="P297" i="76" s="1"/>
  <c r="W251" i="76"/>
  <c r="W296" i="76" s="1"/>
  <c r="V251" i="76"/>
  <c r="V296" i="76" s="1"/>
  <c r="U251" i="76"/>
  <c r="U296" i="76" s="1"/>
  <c r="T251" i="76"/>
  <c r="T296" i="76" s="1"/>
  <c r="S251" i="76"/>
  <c r="S296" i="76" s="1"/>
  <c r="R251" i="76"/>
  <c r="R296" i="76" s="1"/>
  <c r="Q251" i="76"/>
  <c r="P251" i="76"/>
  <c r="K248" i="76"/>
  <c r="J248" i="76"/>
  <c r="I248" i="76"/>
  <c r="H248" i="76"/>
  <c r="K247" i="76"/>
  <c r="J247" i="76"/>
  <c r="I247" i="76"/>
  <c r="H247" i="76"/>
  <c r="K246" i="76"/>
  <c r="J246" i="76"/>
  <c r="I246" i="76"/>
  <c r="H246" i="76"/>
  <c r="K245" i="76"/>
  <c r="J245" i="76"/>
  <c r="I245" i="76"/>
  <c r="H245" i="76"/>
  <c r="K243" i="76"/>
  <c r="J243" i="76"/>
  <c r="I243" i="76"/>
  <c r="H243" i="76"/>
  <c r="K242" i="76"/>
  <c r="J242" i="76"/>
  <c r="I242" i="76"/>
  <c r="H242" i="76"/>
  <c r="K241" i="76"/>
  <c r="J241" i="76"/>
  <c r="I241" i="76"/>
  <c r="H241" i="76"/>
  <c r="K240" i="76"/>
  <c r="J240" i="76"/>
  <c r="I240" i="76"/>
  <c r="H240" i="76"/>
  <c r="K239" i="76"/>
  <c r="J239" i="76"/>
  <c r="I239" i="76"/>
  <c r="H239" i="76"/>
  <c r="K238" i="76"/>
  <c r="J238" i="76"/>
  <c r="I238" i="76"/>
  <c r="H238" i="76"/>
  <c r="K236" i="76"/>
  <c r="J236" i="76"/>
  <c r="I236" i="76"/>
  <c r="H236" i="76"/>
  <c r="K235" i="76"/>
  <c r="J235" i="76"/>
  <c r="I235" i="76"/>
  <c r="H235" i="76"/>
  <c r="K234" i="76"/>
  <c r="J234" i="76"/>
  <c r="I234" i="76"/>
  <c r="H234" i="76"/>
  <c r="K233" i="76"/>
  <c r="J233" i="76"/>
  <c r="I233" i="76"/>
  <c r="H233" i="76"/>
  <c r="K232" i="76"/>
  <c r="J232" i="76"/>
  <c r="I232" i="76"/>
  <c r="H232" i="76"/>
  <c r="K231" i="76"/>
  <c r="J231" i="76"/>
  <c r="I231" i="76"/>
  <c r="H231" i="76"/>
  <c r="K230" i="76"/>
  <c r="J230" i="76"/>
  <c r="I230" i="76"/>
  <c r="H230" i="76"/>
  <c r="K181" i="76"/>
  <c r="J181" i="76"/>
  <c r="I181" i="76"/>
  <c r="H181" i="76"/>
  <c r="K180" i="76"/>
  <c r="J180" i="76"/>
  <c r="I180" i="76"/>
  <c r="H180" i="76"/>
  <c r="K179" i="76"/>
  <c r="J179" i="76"/>
  <c r="I179" i="76"/>
  <c r="H179" i="76"/>
  <c r="K178" i="76"/>
  <c r="J178" i="76"/>
  <c r="I178" i="76"/>
  <c r="H178" i="76"/>
  <c r="K176" i="76"/>
  <c r="J176" i="76"/>
  <c r="I176" i="76"/>
  <c r="H176" i="76"/>
  <c r="K175" i="76"/>
  <c r="J175" i="76"/>
  <c r="I175" i="76"/>
  <c r="H175" i="76"/>
  <c r="K170" i="76"/>
  <c r="J170" i="76"/>
  <c r="I170" i="76"/>
  <c r="H170" i="76"/>
  <c r="K166" i="76"/>
  <c r="J166" i="76"/>
  <c r="I166" i="76"/>
  <c r="H166" i="76"/>
  <c r="W110" i="76"/>
  <c r="W220" i="76" s="1"/>
  <c r="V110" i="76"/>
  <c r="V220" i="76" s="1"/>
  <c r="U110" i="76"/>
  <c r="T110" i="76"/>
  <c r="S110" i="76"/>
  <c r="R110" i="76"/>
  <c r="Q110" i="76"/>
  <c r="P110" i="76"/>
  <c r="P220" i="76" s="1"/>
  <c r="K110" i="76"/>
  <c r="K268" i="76" s="1"/>
  <c r="J110" i="76"/>
  <c r="J268" i="76" s="1"/>
  <c r="I110" i="76"/>
  <c r="I268" i="76" s="1"/>
  <c r="H110" i="76"/>
  <c r="H268" i="76" s="1"/>
  <c r="W108" i="76"/>
  <c r="V108" i="76"/>
  <c r="V218" i="76" s="1"/>
  <c r="U108" i="76"/>
  <c r="U218" i="76" s="1"/>
  <c r="T108" i="76"/>
  <c r="T218" i="76" s="1"/>
  <c r="S108" i="76"/>
  <c r="S218" i="76" s="1"/>
  <c r="R108" i="76"/>
  <c r="R218" i="76" s="1"/>
  <c r="Q108" i="76"/>
  <c r="P108" i="76"/>
  <c r="K108" i="76"/>
  <c r="K266" i="76" s="1"/>
  <c r="J108" i="76"/>
  <c r="J266" i="76" s="1"/>
  <c r="I108" i="76"/>
  <c r="I266" i="76" s="1"/>
  <c r="H108" i="76"/>
  <c r="W106" i="76"/>
  <c r="W216" i="76" s="1"/>
  <c r="V106" i="76"/>
  <c r="V216" i="76" s="1"/>
  <c r="U106" i="76"/>
  <c r="U216" i="76" s="1"/>
  <c r="T106" i="76"/>
  <c r="S106" i="76"/>
  <c r="S216" i="76" s="1"/>
  <c r="R106" i="76"/>
  <c r="Q106" i="76"/>
  <c r="P106" i="76"/>
  <c r="P216" i="76" s="1"/>
  <c r="K106" i="76"/>
  <c r="K264" i="76" s="1"/>
  <c r="J106" i="76"/>
  <c r="I106" i="76"/>
  <c r="H106" i="76"/>
  <c r="H264" i="76" s="1"/>
  <c r="W105" i="76"/>
  <c r="W215" i="76" s="1"/>
  <c r="V105" i="76"/>
  <c r="V215" i="76" s="1"/>
  <c r="U105" i="76"/>
  <c r="U215" i="76" s="1"/>
  <c r="T105" i="76"/>
  <c r="T215" i="76" s="1"/>
  <c r="S105" i="76"/>
  <c r="S215" i="76" s="1"/>
  <c r="R105" i="76"/>
  <c r="Q105" i="76"/>
  <c r="P105" i="76"/>
  <c r="P215" i="76" s="1"/>
  <c r="W104" i="76"/>
  <c r="W214" i="76" s="1"/>
  <c r="V104" i="76"/>
  <c r="V214" i="76" s="1"/>
  <c r="U104" i="76"/>
  <c r="U214" i="76" s="1"/>
  <c r="T104" i="76"/>
  <c r="T214" i="76" s="1"/>
  <c r="S104" i="76"/>
  <c r="R104" i="76"/>
  <c r="R214" i="76" s="1"/>
  <c r="Q104" i="76"/>
  <c r="Q214" i="76" s="1"/>
  <c r="P104" i="76"/>
  <c r="W103" i="76"/>
  <c r="W213" i="76" s="1"/>
  <c r="V103" i="76"/>
  <c r="V213" i="76" s="1"/>
  <c r="U103" i="76"/>
  <c r="U213" i="76" s="1"/>
  <c r="T103" i="76"/>
  <c r="T213" i="76" s="1"/>
  <c r="S103" i="76"/>
  <c r="S213" i="76" s="1"/>
  <c r="R103" i="76"/>
  <c r="R213" i="76" s="1"/>
  <c r="Q103" i="76"/>
  <c r="Q213" i="76" s="1"/>
  <c r="P103" i="76"/>
  <c r="W102" i="76"/>
  <c r="W212" i="76" s="1"/>
  <c r="V102" i="76"/>
  <c r="V212" i="76" s="1"/>
  <c r="U102" i="76"/>
  <c r="U212" i="76" s="1"/>
  <c r="T102" i="76"/>
  <c r="T212" i="76" s="1"/>
  <c r="S102" i="76"/>
  <c r="R102" i="76"/>
  <c r="R212" i="76" s="1"/>
  <c r="Q102" i="76"/>
  <c r="P102" i="76"/>
  <c r="P212" i="76" s="1"/>
  <c r="W101" i="76"/>
  <c r="W211" i="76" s="1"/>
  <c r="V101" i="76"/>
  <c r="V211" i="76" s="1"/>
  <c r="U101" i="76"/>
  <c r="U211" i="76" s="1"/>
  <c r="T101" i="76"/>
  <c r="T211" i="76" s="1"/>
  <c r="S101" i="76"/>
  <c r="S211" i="76" s="1"/>
  <c r="R101" i="76"/>
  <c r="R211" i="76" s="1"/>
  <c r="Q101" i="76"/>
  <c r="Q211" i="76" s="1"/>
  <c r="P101" i="76"/>
  <c r="P211" i="76" s="1"/>
  <c r="W100" i="76"/>
  <c r="W210" i="76" s="1"/>
  <c r="V100" i="76"/>
  <c r="V210" i="76" s="1"/>
  <c r="U100" i="76"/>
  <c r="U210" i="76" s="1"/>
  <c r="T100" i="76"/>
  <c r="T210" i="76" s="1"/>
  <c r="S100" i="76"/>
  <c r="R100" i="76"/>
  <c r="Q100" i="76"/>
  <c r="P100" i="76"/>
  <c r="P210" i="76" s="1"/>
  <c r="W99" i="76"/>
  <c r="W209" i="76" s="1"/>
  <c r="V99" i="76"/>
  <c r="V209" i="76" s="1"/>
  <c r="U99" i="76"/>
  <c r="U209" i="76" s="1"/>
  <c r="T99" i="76"/>
  <c r="T209" i="76" s="1"/>
  <c r="S99" i="76"/>
  <c r="S209" i="76" s="1"/>
  <c r="R99" i="76"/>
  <c r="R209" i="76" s="1"/>
  <c r="Q99" i="76"/>
  <c r="Q209" i="76" s="1"/>
  <c r="P99" i="76"/>
  <c r="P209" i="76" s="1"/>
  <c r="W98" i="76"/>
  <c r="W208" i="76" s="1"/>
  <c r="V98" i="76"/>
  <c r="V208" i="76" s="1"/>
  <c r="U98" i="76"/>
  <c r="U208" i="76" s="1"/>
  <c r="T98" i="76"/>
  <c r="T208" i="76" s="1"/>
  <c r="S98" i="76"/>
  <c r="S208" i="76" s="1"/>
  <c r="R98" i="76"/>
  <c r="Q98" i="76"/>
  <c r="P98" i="76"/>
  <c r="P208" i="76" s="1"/>
  <c r="W97" i="76"/>
  <c r="W207" i="76" s="1"/>
  <c r="V97" i="76"/>
  <c r="V207" i="76" s="1"/>
  <c r="U97" i="76"/>
  <c r="T97" i="76"/>
  <c r="S97" i="76"/>
  <c r="S207" i="76" s="1"/>
  <c r="R97" i="76"/>
  <c r="Q97" i="76"/>
  <c r="Q207" i="76" s="1"/>
  <c r="P97" i="76"/>
  <c r="P207" i="76" s="1"/>
  <c r="W96" i="76"/>
  <c r="W206" i="76" s="1"/>
  <c r="V96" i="76"/>
  <c r="V206" i="76" s="1"/>
  <c r="U96" i="76"/>
  <c r="U206" i="76" s="1"/>
  <c r="T96" i="76"/>
  <c r="T206" i="76" s="1"/>
  <c r="S96" i="76"/>
  <c r="S206" i="76" s="1"/>
  <c r="R96" i="76"/>
  <c r="R206" i="76" s="1"/>
  <c r="Q96" i="76"/>
  <c r="P96" i="76"/>
  <c r="W95" i="76"/>
  <c r="W205" i="76" s="1"/>
  <c r="V95" i="76"/>
  <c r="V205" i="76" s="1"/>
  <c r="U95" i="76"/>
  <c r="T95" i="76"/>
  <c r="S95" i="76"/>
  <c r="R95" i="76"/>
  <c r="R205" i="76" s="1"/>
  <c r="Q95" i="76"/>
  <c r="Q205" i="76" s="1"/>
  <c r="P95" i="76"/>
  <c r="W94" i="76"/>
  <c r="W204" i="76" s="1"/>
  <c r="V94" i="76"/>
  <c r="V204" i="76" s="1"/>
  <c r="U94" i="76"/>
  <c r="U204" i="76" s="1"/>
  <c r="T94" i="76"/>
  <c r="T204" i="76" s="1"/>
  <c r="S94" i="76"/>
  <c r="S204" i="76" s="1"/>
  <c r="R94" i="76"/>
  <c r="R204" i="76" s="1"/>
  <c r="Q94" i="76"/>
  <c r="P94" i="76"/>
  <c r="W93" i="76"/>
  <c r="W203" i="76" s="1"/>
  <c r="V93" i="76"/>
  <c r="V203" i="76" s="1"/>
  <c r="U93" i="76"/>
  <c r="U203" i="76" s="1"/>
  <c r="T93" i="76"/>
  <c r="T203" i="76" s="1"/>
  <c r="S93" i="76"/>
  <c r="R93" i="76"/>
  <c r="Q93" i="76"/>
  <c r="Q203" i="76" s="1"/>
  <c r="P93" i="76"/>
  <c r="P203" i="76" s="1"/>
  <c r="K71" i="76"/>
  <c r="J71" i="76"/>
  <c r="I71" i="76"/>
  <c r="H71" i="76"/>
  <c r="K70" i="76"/>
  <c r="J70" i="76"/>
  <c r="I70" i="76"/>
  <c r="H70" i="76"/>
  <c r="K69" i="76"/>
  <c r="J69" i="76"/>
  <c r="I69" i="76"/>
  <c r="H69" i="76"/>
  <c r="K68" i="76"/>
  <c r="J68" i="76"/>
  <c r="I68" i="76"/>
  <c r="H68" i="76"/>
  <c r="K66" i="76"/>
  <c r="J66" i="76"/>
  <c r="I66" i="76"/>
  <c r="H66" i="76"/>
  <c r="K65" i="76"/>
  <c r="J65" i="76"/>
  <c r="I65" i="76"/>
  <c r="H65" i="76"/>
  <c r="K60" i="76"/>
  <c r="J60" i="76"/>
  <c r="I60" i="76"/>
  <c r="H60" i="76"/>
  <c r="K56" i="76"/>
  <c r="J56" i="76"/>
  <c r="I56" i="76"/>
  <c r="H56" i="76"/>
  <c r="K55" i="76"/>
  <c r="J55" i="76"/>
  <c r="I55" i="76"/>
  <c r="H55" i="76"/>
  <c r="K54" i="76"/>
  <c r="J54" i="76"/>
  <c r="I54" i="76"/>
  <c r="H54" i="76"/>
  <c r="K53" i="76"/>
  <c r="J53" i="76"/>
  <c r="I53" i="76"/>
  <c r="H53" i="76"/>
  <c r="K52" i="76"/>
  <c r="J52" i="76"/>
  <c r="I52" i="76"/>
  <c r="H52" i="76"/>
  <c r="K51" i="76"/>
  <c r="J51" i="76"/>
  <c r="I51" i="76"/>
  <c r="H51" i="76"/>
  <c r="K50" i="76"/>
  <c r="J50" i="76"/>
  <c r="I50" i="76"/>
  <c r="H50" i="76"/>
  <c r="K49" i="76"/>
  <c r="J49" i="76"/>
  <c r="I49" i="76"/>
  <c r="H49" i="76"/>
  <c r="K48" i="76"/>
  <c r="J48" i="76"/>
  <c r="I48" i="76"/>
  <c r="H48" i="76"/>
  <c r="K47" i="76"/>
  <c r="J47" i="76"/>
  <c r="I47" i="76"/>
  <c r="H47" i="76"/>
  <c r="K46" i="76"/>
  <c r="J46" i="76"/>
  <c r="I46" i="76"/>
  <c r="H46" i="76"/>
  <c r="K45" i="76"/>
  <c r="J45" i="76"/>
  <c r="I45" i="76"/>
  <c r="H45" i="76"/>
  <c r="K44" i="76"/>
  <c r="J44" i="76"/>
  <c r="I44" i="76"/>
  <c r="H44" i="76"/>
  <c r="K43" i="76"/>
  <c r="J43" i="76"/>
  <c r="I43" i="76"/>
  <c r="H43" i="76"/>
  <c r="K42" i="76"/>
  <c r="J42" i="76"/>
  <c r="I42" i="76"/>
  <c r="H42" i="76"/>
  <c r="K41" i="76"/>
  <c r="J41" i="76"/>
  <c r="I41" i="76"/>
  <c r="H41" i="76"/>
  <c r="K40" i="76"/>
  <c r="J40" i="76"/>
  <c r="I40" i="76"/>
  <c r="H40" i="76"/>
  <c r="K39" i="76"/>
  <c r="J39" i="76"/>
  <c r="I39" i="76"/>
  <c r="H39" i="76"/>
  <c r="K38" i="76"/>
  <c r="J38" i="76"/>
  <c r="I38" i="76"/>
  <c r="H38" i="76"/>
  <c r="K37" i="76"/>
  <c r="J37" i="76"/>
  <c r="I37" i="76"/>
  <c r="H37" i="76"/>
  <c r="K36" i="76"/>
  <c r="J36" i="76"/>
  <c r="I36" i="76"/>
  <c r="H36" i="76"/>
  <c r="K34" i="76"/>
  <c r="J34" i="76"/>
  <c r="I34" i="76"/>
  <c r="H34" i="76"/>
  <c r="K33" i="76"/>
  <c r="J33" i="76"/>
  <c r="I33" i="76"/>
  <c r="H33" i="76"/>
  <c r="K32" i="76"/>
  <c r="J32" i="76"/>
  <c r="I32" i="76"/>
  <c r="H32" i="76"/>
  <c r="K31" i="76"/>
  <c r="J31" i="76"/>
  <c r="I31" i="76"/>
  <c r="H31" i="76"/>
  <c r="K30" i="76"/>
  <c r="J30" i="76"/>
  <c r="I30" i="76"/>
  <c r="H30" i="76"/>
  <c r="K29" i="76"/>
  <c r="J29" i="76"/>
  <c r="I29" i="76"/>
  <c r="H29" i="76"/>
  <c r="K28" i="76"/>
  <c r="J28" i="76"/>
  <c r="I28" i="76"/>
  <c r="H28" i="76"/>
  <c r="K27" i="76"/>
  <c r="J27" i="76"/>
  <c r="I27" i="76"/>
  <c r="H27" i="76"/>
  <c r="K26" i="76"/>
  <c r="J26" i="76"/>
  <c r="I26" i="76"/>
  <c r="H26" i="76"/>
  <c r="K25" i="76"/>
  <c r="J25" i="76"/>
  <c r="I25" i="76"/>
  <c r="H25" i="76"/>
  <c r="K24" i="76"/>
  <c r="J24" i="76"/>
  <c r="I24" i="76"/>
  <c r="H24" i="76"/>
  <c r="K23" i="76"/>
  <c r="J23" i="76"/>
  <c r="I23" i="76"/>
  <c r="H23" i="76"/>
  <c r="K22" i="76"/>
  <c r="J22" i="76"/>
  <c r="I22" i="76"/>
  <c r="H22" i="76"/>
  <c r="K21" i="76"/>
  <c r="J21" i="76"/>
  <c r="I21" i="76"/>
  <c r="H21" i="76"/>
  <c r="K20" i="76"/>
  <c r="J20" i="76"/>
  <c r="I20" i="76"/>
  <c r="H20" i="76"/>
  <c r="K19" i="76"/>
  <c r="J19" i="76"/>
  <c r="I19" i="76"/>
  <c r="H19" i="76"/>
  <c r="K18" i="76"/>
  <c r="J18" i="76"/>
  <c r="I18" i="76"/>
  <c r="H18" i="76"/>
  <c r="K17" i="76"/>
  <c r="J17" i="76"/>
  <c r="I17" i="76"/>
  <c r="H17" i="76"/>
  <c r="K16" i="76"/>
  <c r="J16" i="76"/>
  <c r="I16" i="76"/>
  <c r="H16" i="76"/>
  <c r="K15" i="76"/>
  <c r="J15" i="76"/>
  <c r="I15" i="76"/>
  <c r="H15" i="76"/>
  <c r="K14" i="76"/>
  <c r="J14" i="76"/>
  <c r="I14" i="76"/>
  <c r="H14" i="76"/>
  <c r="K13" i="76"/>
  <c r="J13" i="76"/>
  <c r="I13" i="76"/>
  <c r="H13" i="76"/>
  <c r="K12" i="76"/>
  <c r="J12" i="76"/>
  <c r="I12" i="76"/>
  <c r="H12" i="76"/>
  <c r="K11" i="76"/>
  <c r="J11" i="76"/>
  <c r="I11" i="76"/>
  <c r="H11" i="76"/>
  <c r="K10" i="76"/>
  <c r="J10" i="76"/>
  <c r="I10" i="76"/>
  <c r="H10" i="76"/>
  <c r="K9" i="76"/>
  <c r="J9" i="76"/>
  <c r="I9" i="76"/>
  <c r="H9" i="76"/>
  <c r="K8" i="76"/>
  <c r="J8" i="76"/>
  <c r="I8" i="76"/>
  <c r="H8" i="76"/>
  <c r="AA391" i="76"/>
  <c r="Z391" i="76"/>
  <c r="Y391" i="76"/>
  <c r="X391" i="76"/>
  <c r="S391" i="76"/>
  <c r="R391" i="76"/>
  <c r="Q391" i="76"/>
  <c r="P391" i="76"/>
  <c r="AA389" i="76"/>
  <c r="Z389" i="76"/>
  <c r="Y389" i="76"/>
  <c r="X389" i="76"/>
  <c r="S389" i="76"/>
  <c r="R389" i="76"/>
  <c r="Q389" i="76"/>
  <c r="P389" i="76"/>
  <c r="AA387" i="76"/>
  <c r="Z387" i="76"/>
  <c r="Y387" i="76"/>
  <c r="X387" i="76"/>
  <c r="S387" i="76"/>
  <c r="R387" i="76"/>
  <c r="Q387" i="76"/>
  <c r="P387" i="76"/>
  <c r="AA385" i="76"/>
  <c r="Z385" i="76"/>
  <c r="Y385" i="76"/>
  <c r="X385" i="76"/>
  <c r="S385" i="76"/>
  <c r="R385" i="76"/>
  <c r="Q385" i="76"/>
  <c r="P385" i="76"/>
  <c r="AA377" i="76"/>
  <c r="Z377" i="76"/>
  <c r="Y377" i="76"/>
  <c r="X377" i="76"/>
  <c r="S377" i="76"/>
  <c r="R377" i="76"/>
  <c r="Q377" i="76"/>
  <c r="P377" i="76"/>
  <c r="AA376" i="76"/>
  <c r="Z376" i="76"/>
  <c r="Y376" i="76"/>
  <c r="X376" i="76"/>
  <c r="S376" i="76"/>
  <c r="R376" i="76"/>
  <c r="Q376" i="76"/>
  <c r="P376" i="76"/>
  <c r="AA375" i="76"/>
  <c r="Z375" i="76"/>
  <c r="Y375" i="76"/>
  <c r="X375" i="76"/>
  <c r="S375" i="76"/>
  <c r="R375" i="76"/>
  <c r="Q375" i="76"/>
  <c r="P375" i="76"/>
  <c r="AA374" i="76"/>
  <c r="Z374" i="76"/>
  <c r="Y374" i="76"/>
  <c r="X374" i="76"/>
  <c r="S374" i="76"/>
  <c r="R374" i="76"/>
  <c r="Q374" i="76"/>
  <c r="P374" i="76"/>
  <c r="W289" i="76"/>
  <c r="W244" i="76"/>
  <c r="W282" i="76"/>
  <c r="W237" i="76"/>
  <c r="V289" i="76"/>
  <c r="V244" i="76"/>
  <c r="V282" i="76"/>
  <c r="V237" i="76"/>
  <c r="U289" i="76"/>
  <c r="U244" i="76"/>
  <c r="U282" i="76"/>
  <c r="U237" i="76"/>
  <c r="T289" i="76"/>
  <c r="T244" i="76"/>
  <c r="T282" i="76"/>
  <c r="T237" i="76"/>
  <c r="AD260" i="68"/>
  <c r="Q248" i="71"/>
  <c r="P284" i="68"/>
  <c r="AB272" i="69"/>
  <c r="AL272" i="68"/>
  <c r="K272" i="71"/>
  <c r="AP284" i="68"/>
  <c r="BB272" i="68"/>
  <c r="AC260" i="69"/>
  <c r="O260" i="70"/>
  <c r="X272" i="70"/>
  <c r="X284" i="68"/>
  <c r="H272" i="70"/>
  <c r="AN260" i="70"/>
  <c r="Y248" i="69"/>
  <c r="AL260" i="71"/>
  <c r="AV272" i="70"/>
  <c r="AI248" i="68"/>
  <c r="H272" i="69"/>
  <c r="AN284" i="70"/>
  <c r="AH272" i="69"/>
  <c r="R248" i="68"/>
  <c r="O260" i="68"/>
  <c r="S272" i="68"/>
  <c r="W284" i="68"/>
  <c r="S260" i="71"/>
  <c r="AW284" i="68"/>
  <c r="AF284" i="69"/>
  <c r="F284" i="69"/>
  <c r="BB272" i="70"/>
  <c r="AU284" i="69"/>
  <c r="AW284" i="70"/>
  <c r="W248" i="69"/>
  <c r="BB272" i="71"/>
  <c r="Q260" i="69"/>
  <c r="AX284" i="69"/>
  <c r="BA260" i="69"/>
  <c r="E272" i="68"/>
  <c r="J260" i="69"/>
  <c r="AT260" i="69"/>
  <c r="AN260" i="69"/>
  <c r="AN284" i="71"/>
  <c r="AA272" i="70"/>
  <c r="AP248" i="68"/>
  <c r="Y272" i="69"/>
  <c r="Z272" i="68"/>
  <c r="K248" i="68"/>
  <c r="S260" i="70"/>
  <c r="F260" i="71"/>
  <c r="AI272" i="69"/>
  <c r="W260" i="69"/>
  <c r="AK248" i="69"/>
  <c r="F284" i="71"/>
  <c r="AJ248" i="71"/>
  <c r="AA272" i="69"/>
  <c r="Q284" i="71"/>
  <c r="P260" i="69"/>
  <c r="AI260" i="70"/>
  <c r="AQ248" i="70"/>
  <c r="P284" i="71"/>
  <c r="J248" i="71"/>
  <c r="Q284" i="70"/>
  <c r="F248" i="68"/>
  <c r="O248" i="71"/>
  <c r="AR272" i="69"/>
  <c r="AO284" i="69"/>
  <c r="AE248" i="71"/>
  <c r="T284" i="71"/>
  <c r="AP272" i="68"/>
  <c r="AE260" i="71"/>
  <c r="R284" i="71"/>
  <c r="AC284" i="71"/>
  <c r="I248" i="71"/>
  <c r="E272" i="71"/>
  <c r="AB284" i="70"/>
  <c r="Z260" i="68"/>
  <c r="AU284" i="70"/>
  <c r="AJ272" i="68"/>
  <c r="G284" i="69"/>
  <c r="AG284" i="68"/>
  <c r="G272" i="70"/>
  <c r="AT284" i="71"/>
  <c r="AI260" i="69"/>
  <c r="O248" i="70"/>
  <c r="AC284" i="68"/>
  <c r="AV272" i="68"/>
  <c r="N284" i="71"/>
  <c r="AU284" i="68"/>
  <c r="R284" i="69"/>
  <c r="Z284" i="69"/>
  <c r="AO248" i="68"/>
  <c r="AM284" i="70"/>
  <c r="AC260" i="70"/>
  <c r="M248" i="68"/>
  <c r="AF248" i="70"/>
  <c r="AX272" i="70"/>
  <c r="J284" i="68"/>
  <c r="L248" i="68"/>
  <c r="N260" i="70"/>
  <c r="Y260" i="71"/>
  <c r="R260" i="71"/>
  <c r="I272" i="68"/>
  <c r="AC260" i="71"/>
  <c r="I284" i="71"/>
  <c r="AK260" i="69"/>
  <c r="AX248" i="70"/>
  <c r="M260" i="71"/>
  <c r="AF284" i="70"/>
  <c r="AN248" i="71"/>
  <c r="AQ284" i="69"/>
  <c r="AL284" i="69"/>
  <c r="S284" i="68"/>
  <c r="AY284" i="69"/>
  <c r="AW272" i="69"/>
  <c r="T272" i="71"/>
  <c r="Z272" i="69"/>
  <c r="N272" i="68"/>
  <c r="U272" i="69"/>
  <c r="V248" i="69"/>
  <c r="V284" i="71"/>
  <c r="G260" i="69"/>
  <c r="AY284" i="68"/>
  <c r="T260" i="69"/>
  <c r="E284" i="70"/>
  <c r="R260" i="68"/>
  <c r="AW260" i="69"/>
  <c r="I284" i="70"/>
  <c r="R272" i="69"/>
  <c r="T284" i="68"/>
  <c r="F272" i="68"/>
  <c r="AX284" i="71"/>
  <c r="T260" i="71"/>
  <c r="AK272" i="69"/>
  <c r="K284" i="69"/>
  <c r="Y260" i="70"/>
  <c r="AQ260" i="68"/>
  <c r="N260" i="68"/>
  <c r="AK284" i="71"/>
  <c r="X272" i="69"/>
  <c r="AL284" i="71"/>
  <c r="Q260" i="70"/>
  <c r="AS260" i="71"/>
  <c r="AZ284" i="71"/>
  <c r="K260" i="71"/>
  <c r="I248" i="68"/>
  <c r="AM272" i="69"/>
  <c r="L272" i="70"/>
  <c r="AG248" i="68"/>
  <c r="AW248" i="70"/>
  <c r="O272" i="70"/>
  <c r="L260" i="68"/>
  <c r="AV272" i="69"/>
  <c r="AI248" i="69"/>
  <c r="R248" i="71"/>
  <c r="AS272" i="68"/>
  <c r="V248" i="70"/>
  <c r="AQ272" i="68"/>
  <c r="AV260" i="69"/>
  <c r="P284" i="69"/>
  <c r="AE272" i="71"/>
  <c r="O272" i="68"/>
  <c r="AA248" i="70"/>
  <c r="BA272" i="71"/>
  <c r="AO260" i="68"/>
  <c r="R272" i="70"/>
  <c r="O272" i="69"/>
  <c r="O260" i="71"/>
  <c r="O284" i="69"/>
  <c r="AK272" i="71"/>
  <c r="S284" i="70"/>
  <c r="AJ272" i="70"/>
  <c r="P248" i="71"/>
  <c r="AU272" i="68"/>
  <c r="AI272" i="70"/>
  <c r="AN284" i="69"/>
  <c r="AG248" i="71"/>
  <c r="AL248" i="69"/>
  <c r="AE272" i="68"/>
  <c r="AX272" i="71"/>
  <c r="AD272" i="70"/>
  <c r="AR248" i="71"/>
  <c r="AE284" i="71"/>
  <c r="AH260" i="68"/>
  <c r="AT284" i="68"/>
  <c r="AN284" i="68"/>
  <c r="AD248" i="69"/>
  <c r="AI272" i="68"/>
  <c r="E284" i="69"/>
  <c r="AY260" i="68"/>
  <c r="AG272" i="69"/>
  <c r="J260" i="70"/>
  <c r="AL260" i="70"/>
  <c r="AF260" i="68"/>
  <c r="U260" i="69"/>
  <c r="AS272" i="69"/>
  <c r="AW248" i="69"/>
  <c r="AG248" i="70"/>
  <c r="AM284" i="69"/>
  <c r="AO248" i="69"/>
  <c r="W284" i="70"/>
  <c r="L260" i="70"/>
  <c r="AM260" i="71"/>
  <c r="AE248" i="68"/>
  <c r="AC272" i="70"/>
  <c r="G260" i="71"/>
  <c r="W272" i="68"/>
  <c r="AH284" i="71"/>
  <c r="AF284" i="68"/>
  <c r="K284" i="70"/>
  <c r="AN260" i="68"/>
  <c r="BB248" i="68"/>
  <c r="K260" i="70"/>
  <c r="AA284" i="69"/>
  <c r="AD248" i="68"/>
  <c r="H260" i="68"/>
  <c r="I272" i="71"/>
  <c r="W272" i="69"/>
  <c r="AB284" i="71"/>
  <c r="AQ260" i="69"/>
  <c r="Y248" i="68"/>
  <c r="P272" i="70"/>
  <c r="AC260" i="68"/>
  <c r="G284" i="68"/>
  <c r="AJ260" i="69"/>
  <c r="P248" i="69"/>
  <c r="BA248" i="68"/>
  <c r="AG284" i="70"/>
  <c r="AX284" i="68"/>
  <c r="AV284" i="69"/>
  <c r="AO272" i="69"/>
  <c r="L284" i="71"/>
  <c r="BA260" i="68"/>
  <c r="AC248" i="70"/>
  <c r="W260" i="71"/>
  <c r="AH260" i="69"/>
  <c r="AB260" i="70"/>
  <c r="AU260" i="71"/>
  <c r="K272" i="69"/>
  <c r="AR260" i="70"/>
  <c r="AK248" i="71"/>
  <c r="AN272" i="69"/>
  <c r="AW272" i="71"/>
  <c r="AP272" i="69"/>
  <c r="G272" i="68"/>
  <c r="I260" i="71"/>
  <c r="J272" i="70"/>
  <c r="H284" i="70"/>
  <c r="BA284" i="71"/>
  <c r="N260" i="71"/>
  <c r="AW284" i="71"/>
  <c r="AM272" i="68"/>
  <c r="E284" i="68"/>
  <c r="AV260" i="71"/>
  <c r="J248" i="70"/>
  <c r="Y248" i="70"/>
  <c r="AG260" i="70"/>
  <c r="W260" i="68"/>
  <c r="AG272" i="71"/>
  <c r="AU248" i="70"/>
  <c r="AX272" i="68"/>
  <c r="AN248" i="69"/>
  <c r="BB284" i="70"/>
  <c r="V260" i="68"/>
  <c r="AX260" i="71"/>
  <c r="AH260" i="70"/>
  <c r="T260" i="68"/>
  <c r="Z260" i="69"/>
  <c r="AF272" i="69"/>
  <c r="AT272" i="68"/>
  <c r="U248" i="70"/>
  <c r="AD260" i="69"/>
  <c r="AW260" i="70"/>
  <c r="E260" i="68"/>
  <c r="AM260" i="70"/>
  <c r="AE272" i="70"/>
  <c r="U284" i="70"/>
  <c r="AK248" i="70"/>
  <c r="J272" i="69"/>
  <c r="M272" i="69"/>
  <c r="BA272" i="68"/>
  <c r="AN272" i="68"/>
  <c r="AY260" i="69"/>
  <c r="AJ260" i="70"/>
  <c r="AX260" i="69"/>
  <c r="AC284" i="69"/>
  <c r="T284" i="70"/>
  <c r="AX248" i="71"/>
  <c r="E248" i="68"/>
  <c r="U272" i="68"/>
  <c r="X284" i="70"/>
  <c r="L272" i="68"/>
  <c r="AM272" i="71"/>
  <c r="S248" i="68"/>
  <c r="AV248" i="70"/>
  <c r="AH248" i="68"/>
  <c r="AQ284" i="68"/>
  <c r="K260" i="68"/>
  <c r="AD284" i="68"/>
  <c r="AX260" i="70"/>
  <c r="AQ272" i="70"/>
  <c r="G260" i="70"/>
  <c r="AP260" i="71"/>
  <c r="X284" i="71"/>
  <c r="AI284" i="70"/>
  <c r="F260" i="69"/>
  <c r="AY260" i="71"/>
  <c r="M284" i="70"/>
  <c r="AH284" i="69"/>
  <c r="I260" i="70"/>
  <c r="AQ248" i="69"/>
  <c r="AT260" i="70"/>
  <c r="AZ272" i="70"/>
  <c r="AD248" i="71"/>
  <c r="Q272" i="71"/>
  <c r="H284" i="71"/>
  <c r="R248" i="70"/>
  <c r="P272" i="71"/>
  <c r="AW260" i="68"/>
  <c r="AT284" i="70"/>
  <c r="AO272" i="68"/>
  <c r="AY272" i="69"/>
  <c r="Z248" i="69"/>
  <c r="AA284" i="71"/>
  <c r="AZ284" i="70"/>
  <c r="AL272" i="69"/>
  <c r="AV248" i="68"/>
  <c r="AB272" i="71"/>
  <c r="H248" i="70"/>
  <c r="AM284" i="68"/>
  <c r="BB284" i="69"/>
  <c r="AU272" i="69"/>
  <c r="G248" i="68"/>
  <c r="I272" i="70"/>
  <c r="V284" i="70"/>
  <c r="AC248" i="68"/>
  <c r="AY272" i="71"/>
  <c r="AR248" i="68"/>
  <c r="AU260" i="68"/>
  <c r="AD260" i="71"/>
  <c r="I260" i="68"/>
  <c r="BB260" i="70"/>
  <c r="AS284" i="68"/>
  <c r="AB272" i="68"/>
  <c r="AH272" i="71"/>
  <c r="N272" i="69"/>
  <c r="AF260" i="69"/>
  <c r="AI248" i="70"/>
  <c r="AK284" i="70"/>
  <c r="BA248" i="70"/>
  <c r="U260" i="68"/>
  <c r="H284" i="69"/>
  <c r="P260" i="68"/>
  <c r="AN248" i="70"/>
  <c r="V248" i="68"/>
  <c r="U284" i="68"/>
  <c r="S248" i="71"/>
  <c r="AM284" i="71"/>
  <c r="AF272" i="68"/>
  <c r="AU248" i="68"/>
  <c r="Q260" i="71"/>
  <c r="J260" i="68"/>
  <c r="AL248" i="71"/>
  <c r="X272" i="68"/>
  <c r="AK260" i="71"/>
  <c r="AA248" i="69"/>
  <c r="W272" i="71"/>
  <c r="W284" i="69"/>
  <c r="M260" i="68"/>
  <c r="AB260" i="71"/>
  <c r="L284" i="70"/>
  <c r="AT248" i="71"/>
  <c r="AA272" i="68"/>
  <c r="Y284" i="70"/>
  <c r="AK248" i="68"/>
  <c r="T284" i="69"/>
  <c r="AO284" i="68"/>
  <c r="AA272" i="71"/>
  <c r="AJ260" i="71"/>
  <c r="N284" i="68"/>
  <c r="R284" i="68"/>
  <c r="W248" i="70"/>
  <c r="AM260" i="69"/>
  <c r="X260" i="69"/>
  <c r="L284" i="68"/>
  <c r="AT272" i="70"/>
  <c r="AC272" i="71"/>
  <c r="BA248" i="69"/>
  <c r="AV248" i="69"/>
  <c r="AD272" i="69"/>
  <c r="AE284" i="69"/>
  <c r="AI284" i="71"/>
  <c r="AQ284" i="70"/>
  <c r="AG284" i="71"/>
  <c r="BA260" i="71"/>
  <c r="O284" i="68"/>
  <c r="AQ248" i="68"/>
  <c r="AW248" i="68"/>
  <c r="H260" i="69"/>
  <c r="I284" i="69"/>
  <c r="E260" i="69"/>
  <c r="BA284" i="68"/>
  <c r="Y272" i="71"/>
  <c r="AZ272" i="71"/>
  <c r="N260" i="69"/>
  <c r="S284" i="69"/>
  <c r="AS272" i="70"/>
  <c r="H248" i="68"/>
  <c r="AC248" i="69"/>
  <c r="AJ284" i="68"/>
  <c r="K284" i="71"/>
  <c r="AL260" i="69"/>
  <c r="AS248" i="70"/>
  <c r="AQ260" i="71"/>
  <c r="J248" i="69"/>
  <c r="AR260" i="69"/>
  <c r="AZ248" i="70"/>
  <c r="AH248" i="70"/>
  <c r="F248" i="69"/>
  <c r="AJ272" i="69"/>
  <c r="AP248" i="69"/>
  <c r="AT260" i="68"/>
  <c r="BA284" i="70"/>
  <c r="AY284" i="70"/>
  <c r="AW272" i="70"/>
  <c r="AJ284" i="71"/>
  <c r="AP260" i="68"/>
  <c r="AR284" i="70"/>
  <c r="AY248" i="70"/>
  <c r="AN272" i="70"/>
  <c r="AV260" i="70"/>
  <c r="H248" i="71"/>
  <c r="Q272" i="69"/>
  <c r="X248" i="71"/>
  <c r="J284" i="71"/>
  <c r="AF260" i="71"/>
  <c r="P260" i="70"/>
  <c r="E260" i="71"/>
  <c r="AY272" i="68"/>
  <c r="F272" i="70"/>
  <c r="AP284" i="70"/>
  <c r="AI284" i="68"/>
  <c r="Z272" i="70"/>
  <c r="AY260" i="70"/>
  <c r="F260" i="68"/>
  <c r="G260" i="68"/>
  <c r="AU248" i="71"/>
  <c r="Y260" i="68"/>
  <c r="AY248" i="71"/>
  <c r="I272" i="69"/>
  <c r="AZ248" i="68"/>
  <c r="H272" i="68"/>
  <c r="AZ260" i="71"/>
  <c r="F272" i="69"/>
  <c r="AA284" i="68"/>
  <c r="J272" i="68"/>
  <c r="AG248" i="69"/>
  <c r="AV272" i="71"/>
  <c r="AZ284" i="68"/>
  <c r="AO284" i="71"/>
  <c r="M272" i="71"/>
  <c r="V272" i="70"/>
  <c r="BA272" i="69"/>
  <c r="V272" i="69"/>
  <c r="V284" i="68"/>
  <c r="AV284" i="70"/>
  <c r="AD272" i="68"/>
  <c r="Y284" i="71"/>
  <c r="Q248" i="69"/>
  <c r="AE248" i="69"/>
  <c r="O248" i="68"/>
  <c r="AE284" i="68"/>
  <c r="E284" i="71"/>
  <c r="AA260" i="69"/>
  <c r="Y284" i="69"/>
  <c r="R248" i="69"/>
  <c r="L260" i="71"/>
  <c r="AU272" i="71"/>
  <c r="AT284" i="69"/>
  <c r="AK284" i="69"/>
  <c r="V272" i="71"/>
  <c r="AA260" i="68"/>
  <c r="G248" i="70"/>
  <c r="Q248" i="70"/>
  <c r="E272" i="69"/>
  <c r="BA248" i="71"/>
  <c r="X260" i="71"/>
  <c r="N272" i="71"/>
  <c r="V272" i="68"/>
  <c r="L248" i="69"/>
  <c r="Z284" i="70"/>
  <c r="AH248" i="71"/>
  <c r="AD284" i="70"/>
  <c r="AO248" i="71"/>
  <c r="AM272" i="70"/>
  <c r="AL284" i="70"/>
  <c r="BB248" i="71"/>
  <c r="O284" i="70"/>
  <c r="AS260" i="69"/>
  <c r="AQ272" i="69"/>
  <c r="AP272" i="70"/>
  <c r="K248" i="69"/>
  <c r="V260" i="71"/>
  <c r="Z272" i="71"/>
  <c r="K248" i="71"/>
  <c r="AW248" i="71"/>
  <c r="X260" i="68"/>
  <c r="AO248" i="70"/>
  <c r="AL248" i="68"/>
  <c r="AT260" i="71"/>
  <c r="M284" i="69"/>
  <c r="AE260" i="68"/>
  <c r="AY248" i="68"/>
  <c r="H260" i="71"/>
  <c r="AI248" i="71"/>
  <c r="Z260" i="71"/>
  <c r="V260" i="69"/>
  <c r="AG260" i="68"/>
  <c r="L248" i="71"/>
  <c r="AO272" i="70"/>
  <c r="T248" i="71"/>
  <c r="AI272" i="71"/>
  <c r="AR260" i="71"/>
  <c r="AB272" i="70"/>
  <c r="AF248" i="68"/>
  <c r="AU248" i="69"/>
  <c r="I260" i="69"/>
  <c r="Z260" i="70"/>
  <c r="F272" i="71"/>
  <c r="BB284" i="68"/>
  <c r="AM248" i="71"/>
  <c r="AY272" i="70"/>
  <c r="AT248" i="69"/>
  <c r="AF272" i="70"/>
  <c r="AC248" i="71"/>
  <c r="AP284" i="71"/>
  <c r="J284" i="70"/>
  <c r="AV248" i="71"/>
  <c r="AE272" i="69"/>
  <c r="K248" i="70"/>
  <c r="AY248" i="69"/>
  <c r="S284" i="71"/>
  <c r="AC272" i="68"/>
  <c r="Z248" i="68"/>
  <c r="AJ284" i="70"/>
  <c r="AH284" i="68"/>
  <c r="AZ260" i="69"/>
  <c r="R272" i="68"/>
  <c r="L284" i="69"/>
  <c r="AO284" i="70"/>
  <c r="AY284" i="71"/>
  <c r="AD260" i="70"/>
  <c r="Z284" i="68"/>
  <c r="AQ248" i="71"/>
  <c r="X284" i="69"/>
  <c r="AW284" i="69"/>
  <c r="AP248" i="70"/>
  <c r="G248" i="69"/>
  <c r="AS284" i="70"/>
  <c r="AJ260" i="68"/>
  <c r="AL272" i="70"/>
  <c r="AU260" i="70"/>
  <c r="AT248" i="68"/>
  <c r="AN272" i="71"/>
  <c r="F260" i="70"/>
  <c r="X260" i="70"/>
  <c r="U284" i="71"/>
  <c r="AT248" i="70"/>
  <c r="Z248" i="70"/>
  <c r="AD272" i="71"/>
  <c r="AD248" i="70"/>
  <c r="N248" i="70"/>
  <c r="AR284" i="68"/>
  <c r="M272" i="70"/>
  <c r="AZ272" i="69"/>
  <c r="AB248" i="71"/>
  <c r="G248" i="71"/>
  <c r="H272" i="71"/>
  <c r="E248" i="69"/>
  <c r="J260" i="71"/>
  <c r="AO260" i="70"/>
  <c r="AZ272" i="68"/>
  <c r="N248" i="71"/>
  <c r="AR260" i="68"/>
  <c r="AQ284" i="71"/>
  <c r="P272" i="69"/>
  <c r="M284" i="71"/>
  <c r="AP248" i="71"/>
  <c r="S260" i="69"/>
  <c r="V248" i="71"/>
  <c r="AE260" i="70"/>
  <c r="Y260" i="69"/>
  <c r="AL260" i="68"/>
  <c r="W284" i="71"/>
  <c r="L248" i="70"/>
  <c r="AU284" i="71"/>
  <c r="M260" i="69"/>
  <c r="O284" i="71"/>
  <c r="AG260" i="69"/>
  <c r="AU272" i="70"/>
  <c r="AI260" i="68"/>
  <c r="AE284" i="70"/>
  <c r="AJ248" i="70"/>
  <c r="U272" i="70"/>
  <c r="P284" i="70"/>
  <c r="G284" i="70"/>
  <c r="S248" i="69"/>
  <c r="AB284" i="68"/>
  <c r="AR284" i="69"/>
  <c r="AZ260" i="70"/>
  <c r="Q284" i="69"/>
  <c r="T272" i="70"/>
  <c r="AI260" i="71"/>
  <c r="S272" i="69"/>
  <c r="G284" i="71"/>
  <c r="Z248" i="71"/>
  <c r="AF260" i="70"/>
  <c r="U284" i="69"/>
  <c r="AB248" i="69"/>
  <c r="X272" i="71"/>
  <c r="AM248" i="70"/>
  <c r="AS260" i="68"/>
  <c r="W248" i="71"/>
  <c r="AU260" i="69"/>
  <c r="BA260" i="70"/>
  <c r="AR272" i="68"/>
  <c r="AA248" i="71"/>
  <c r="AR272" i="70"/>
  <c r="W248" i="68"/>
  <c r="E272" i="70"/>
  <c r="AK260" i="70"/>
  <c r="BA272" i="70"/>
  <c r="O260" i="69"/>
  <c r="AX248" i="69"/>
  <c r="E248" i="70"/>
  <c r="AX272" i="69"/>
  <c r="AD284" i="71"/>
  <c r="M272" i="68"/>
  <c r="BB284" i="71"/>
  <c r="BA284" i="69"/>
  <c r="N248" i="68"/>
  <c r="M260" i="70"/>
  <c r="X248" i="68"/>
  <c r="Q284" i="68"/>
  <c r="I248" i="70"/>
  <c r="Y272" i="68"/>
  <c r="U248" i="69"/>
  <c r="R284" i="70"/>
  <c r="AH284" i="70"/>
  <c r="U248" i="68"/>
  <c r="P248" i="70"/>
  <c r="W260" i="70"/>
  <c r="N272" i="70"/>
  <c r="Y284" i="68"/>
  <c r="AD284" i="69"/>
  <c r="AO260" i="69"/>
  <c r="O248" i="69"/>
  <c r="F248" i="71"/>
  <c r="T248" i="69"/>
  <c r="V260" i="70"/>
  <c r="AG272" i="68"/>
  <c r="Z284" i="71"/>
  <c r="AN260" i="71"/>
  <c r="L272" i="71"/>
  <c r="AK272" i="70"/>
  <c r="AG284" i="69"/>
  <c r="AT272" i="69"/>
  <c r="AQ272" i="71"/>
  <c r="AE260" i="69"/>
  <c r="F284" i="68"/>
  <c r="S260" i="68"/>
  <c r="S272" i="70"/>
  <c r="S272" i="71"/>
  <c r="M248" i="71"/>
  <c r="R272" i="71"/>
  <c r="AV260" i="68"/>
  <c r="R260" i="69"/>
  <c r="T248" i="68"/>
  <c r="AF272" i="71"/>
  <c r="AK260" i="68"/>
  <c r="AK272" i="68"/>
  <c r="AL284" i="68"/>
  <c r="K284" i="68"/>
  <c r="N284" i="70"/>
  <c r="AL248" i="70"/>
  <c r="BB272" i="69"/>
  <c r="BB260" i="69"/>
  <c r="AZ284" i="69"/>
  <c r="X248" i="70"/>
  <c r="U248" i="71"/>
  <c r="AG272" i="70"/>
  <c r="AF248" i="69"/>
  <c r="E248" i="71"/>
  <c r="G272" i="69"/>
  <c r="AF248" i="71"/>
  <c r="AB248" i="68"/>
  <c r="AZ260" i="68"/>
  <c r="AS272" i="71"/>
  <c r="AW260" i="71"/>
  <c r="AR248" i="70"/>
  <c r="AS284" i="71"/>
  <c r="AZ248" i="69"/>
  <c r="AB260" i="68"/>
  <c r="T260" i="70"/>
  <c r="M248" i="70"/>
  <c r="Y272" i="70"/>
  <c r="AV284" i="71"/>
  <c r="AH248" i="69"/>
  <c r="BB260" i="68"/>
  <c r="P248" i="68"/>
  <c r="M284" i="68"/>
  <c r="I248" i="69"/>
  <c r="AQ260" i="70"/>
  <c r="AZ248" i="71"/>
  <c r="V284" i="69"/>
  <c r="P260" i="71"/>
  <c r="AR272" i="71"/>
  <c r="AE248" i="70"/>
  <c r="AP284" i="69"/>
  <c r="AL272" i="71"/>
  <c r="F284" i="70"/>
  <c r="Q272" i="70"/>
  <c r="AK284" i="68"/>
  <c r="AS248" i="69"/>
  <c r="AA248" i="68"/>
  <c r="E260" i="70"/>
  <c r="AJ248" i="69"/>
  <c r="Q260" i="68"/>
  <c r="H248" i="69"/>
  <c r="F248" i="70"/>
  <c r="AP272" i="71"/>
  <c r="AB248" i="70"/>
  <c r="M248" i="69"/>
  <c r="AC272" i="69"/>
  <c r="U272" i="71"/>
  <c r="AS284" i="69"/>
  <c r="AB260" i="69"/>
  <c r="H260" i="70"/>
  <c r="AO260" i="71"/>
  <c r="AV284" i="68"/>
  <c r="AX284" i="70"/>
  <c r="Q272" i="68"/>
  <c r="AP260" i="70"/>
  <c r="T272" i="69"/>
  <c r="L272" i="69"/>
  <c r="L260" i="69"/>
  <c r="K272" i="68"/>
  <c r="BB248" i="70"/>
  <c r="AR284" i="71"/>
  <c r="AM248" i="68"/>
  <c r="AA260" i="70"/>
  <c r="BB248" i="69"/>
  <c r="K272" i="70"/>
  <c r="I284" i="68"/>
  <c r="J284" i="69"/>
  <c r="AJ284" i="69"/>
  <c r="Y248" i="71"/>
  <c r="AM248" i="69"/>
  <c r="AS248" i="71"/>
  <c r="S248" i="70"/>
  <c r="G272" i="71"/>
  <c r="AX260" i="68"/>
  <c r="U260" i="71"/>
  <c r="R260" i="70"/>
  <c r="J272" i="71"/>
  <c r="AC284" i="70"/>
  <c r="X248" i="69"/>
  <c r="AX248" i="68"/>
  <c r="AW272" i="68"/>
  <c r="BB260" i="71"/>
  <c r="N248" i="69"/>
  <c r="AS248" i="68"/>
  <c r="O272" i="71"/>
  <c r="AA260" i="71"/>
  <c r="Q248" i="68"/>
  <c r="AH272" i="68"/>
  <c r="AB284" i="69"/>
  <c r="T248" i="70"/>
  <c r="AT272" i="71"/>
  <c r="W272" i="70"/>
  <c r="AJ248" i="68"/>
  <c r="T272" i="68"/>
  <c r="AI284" i="69"/>
  <c r="AM260" i="68"/>
  <c r="AJ272" i="71"/>
  <c r="P272" i="68"/>
  <c r="AR248" i="69"/>
  <c r="J248" i="68"/>
  <c r="AH272" i="70"/>
  <c r="AS260" i="70"/>
  <c r="N284" i="69"/>
  <c r="U260" i="70"/>
  <c r="AA284" i="70"/>
  <c r="AG260" i="71"/>
  <c r="AF284" i="71"/>
  <c r="AN248" i="68"/>
  <c r="AP260" i="69"/>
  <c r="K260" i="69"/>
  <c r="H284" i="68"/>
  <c r="AO272" i="71"/>
  <c r="AH260" i="71"/>
  <c r="CG261" i="71" l="1"/>
  <c r="CN273" i="71"/>
  <c r="BG285" i="68"/>
  <c r="BJ261" i="69"/>
  <c r="CO261" i="69"/>
  <c r="CM249" i="68"/>
  <c r="AN299" i="68"/>
  <c r="CE285" i="71"/>
  <c r="CF261" i="71"/>
  <c r="BZ285" i="70"/>
  <c r="BT261" i="70"/>
  <c r="BM285" i="69"/>
  <c r="CR261" i="70"/>
  <c r="CG273" i="70"/>
  <c r="BI249" i="68"/>
  <c r="J299" i="68"/>
  <c r="CQ249" i="69"/>
  <c r="BO273" i="68"/>
  <c r="CI273" i="71"/>
  <c r="CL261" i="68"/>
  <c r="CH285" i="69"/>
  <c r="BS273" i="68"/>
  <c r="AJ299" i="68"/>
  <c r="CI249" i="68"/>
  <c r="BV273" i="70"/>
  <c r="CS273" i="71"/>
  <c r="BS249" i="70"/>
  <c r="CA285" i="69"/>
  <c r="CG273" i="68"/>
  <c r="BP249" i="68"/>
  <c r="Q299" i="68"/>
  <c r="BZ261" i="71"/>
  <c r="BN273" i="71"/>
  <c r="CR249" i="68"/>
  <c r="AS299" i="68"/>
  <c r="BM249" i="69"/>
  <c r="DA261" i="71"/>
  <c r="CV273" i="68"/>
  <c r="CW249" i="68"/>
  <c r="AX299" i="68"/>
  <c r="BW249" i="69"/>
  <c r="CB285" i="70"/>
  <c r="BI273" i="71"/>
  <c r="BQ261" i="70"/>
  <c r="BT261" i="71"/>
  <c r="CW261" i="68"/>
  <c r="BF273" i="71"/>
  <c r="BR249" i="70"/>
  <c r="CR249" i="71"/>
  <c r="CL249" i="69"/>
  <c r="BX249" i="71"/>
  <c r="CI285" i="69"/>
  <c r="BI285" i="69"/>
  <c r="BH285" i="68"/>
  <c r="BJ273" i="70"/>
  <c r="DA249" i="69"/>
  <c r="BZ261" i="70"/>
  <c r="CL249" i="68"/>
  <c r="AM299" i="68"/>
  <c r="CQ285" i="71"/>
  <c r="DA249" i="70"/>
  <c r="BJ273" i="68"/>
  <c r="BK261" i="69"/>
  <c r="BK273" i="69"/>
  <c r="BS273" i="69"/>
  <c r="CO261" i="70"/>
  <c r="BP273" i="68"/>
  <c r="CW285" i="70"/>
  <c r="CU285" i="68"/>
  <c r="CN261" i="71"/>
  <c r="BG261" i="70"/>
  <c r="CA261" i="69"/>
  <c r="CR285" i="69"/>
  <c r="BT273" i="71"/>
  <c r="CB273" i="69"/>
  <c r="BL249" i="69"/>
  <c r="CA249" i="70"/>
  <c r="CO273" i="71"/>
  <c r="BE249" i="70"/>
  <c r="BG249" i="69"/>
  <c r="BP261" i="68"/>
  <c r="CI249" i="69"/>
  <c r="BD261" i="70"/>
  <c r="AA299" i="68"/>
  <c r="BZ249" i="68"/>
  <c r="CR249" i="69"/>
  <c r="CJ285" i="68"/>
  <c r="BP273" i="70"/>
  <c r="BE285" i="70"/>
  <c r="CK273" i="71"/>
  <c r="CO285" i="69"/>
  <c r="CD249" i="70"/>
  <c r="CQ273" i="71"/>
  <c r="BO261" i="71"/>
  <c r="BU285" i="69"/>
  <c r="CY249" i="71"/>
  <c r="CP261" i="70"/>
  <c r="BH249" i="69"/>
  <c r="BL285" i="68"/>
  <c r="BO249" i="68"/>
  <c r="P299" i="68"/>
  <c r="DA261" i="68"/>
  <c r="CG249" i="69"/>
  <c r="CU285" i="71"/>
  <c r="BX273" i="70"/>
  <c r="BL249" i="70"/>
  <c r="BS261" i="70"/>
  <c r="CA261" i="68"/>
  <c r="CY249" i="69"/>
  <c r="CR285" i="71"/>
  <c r="CQ249" i="70"/>
  <c r="CV261" i="71"/>
  <c r="CR273" i="71"/>
  <c r="CY261" i="68"/>
  <c r="CA249" i="68"/>
  <c r="AB299" i="68"/>
  <c r="CE249" i="71"/>
  <c r="BF273" i="69"/>
  <c r="BD249" i="71"/>
  <c r="CE249" i="69"/>
  <c r="CF273" i="70"/>
  <c r="BT249" i="71"/>
  <c r="BW249" i="70"/>
  <c r="CY285" i="69"/>
  <c r="DA261" i="69"/>
  <c r="DA273" i="69"/>
  <c r="CK249" i="70"/>
  <c r="BM285" i="70"/>
  <c r="BJ285" i="68"/>
  <c r="CK285" i="68"/>
  <c r="CJ273" i="68"/>
  <c r="CJ261" i="68"/>
  <c r="CE273" i="71"/>
  <c r="BS249" i="68"/>
  <c r="T299" i="68"/>
  <c r="BQ261" i="69"/>
  <c r="CU261" i="68"/>
  <c r="BQ273" i="71"/>
  <c r="BL249" i="71"/>
  <c r="BR273" i="71"/>
  <c r="BR273" i="70"/>
  <c r="BR261" i="68"/>
  <c r="BE285" i="68"/>
  <c r="CD261" i="69"/>
  <c r="CP273" i="71"/>
  <c r="CS273" i="69"/>
  <c r="CF285" i="69"/>
  <c r="CJ273" i="70"/>
  <c r="BK273" i="71"/>
  <c r="CM261" i="71"/>
  <c r="BY285" i="71"/>
  <c r="CF273" i="68"/>
  <c r="BU261" i="70"/>
  <c r="BS249" i="69"/>
  <c r="BE249" i="71"/>
  <c r="BN249" i="69"/>
  <c r="CN261" i="69"/>
  <c r="CC285" i="69"/>
  <c r="BX285" i="68"/>
  <c r="BM273" i="70"/>
  <c r="BV261" i="70"/>
  <c r="BO249" i="70"/>
  <c r="BT249" i="68"/>
  <c r="U299" i="68"/>
  <c r="CG285" i="70"/>
  <c r="BQ285" i="70"/>
  <c r="BT249" i="69"/>
  <c r="BX273" i="68"/>
  <c r="BH249" i="70"/>
  <c r="BP285" i="68"/>
  <c r="BW249" i="68"/>
  <c r="X299" i="68"/>
  <c r="BL261" i="70"/>
  <c r="N299" i="68"/>
  <c r="BM249" i="68"/>
  <c r="CZ285" i="69"/>
  <c r="DA285" i="71"/>
  <c r="BL273" i="68"/>
  <c r="CC285" i="71"/>
  <c r="CW273" i="69"/>
  <c r="BD249" i="70"/>
  <c r="CW249" i="69"/>
  <c r="BN261" i="69"/>
  <c r="CZ273" i="70"/>
  <c r="CJ261" i="70"/>
  <c r="BD273" i="70"/>
  <c r="W299" i="68"/>
  <c r="BV249" i="68"/>
  <c r="CQ273" i="70"/>
  <c r="BZ249" i="71"/>
  <c r="CQ273" i="68"/>
  <c r="CZ261" i="70"/>
  <c r="CT261" i="69"/>
  <c r="BV249" i="71"/>
  <c r="CR261" i="68"/>
  <c r="CL249" i="70"/>
  <c r="BW273" i="71"/>
  <c r="CA249" i="69"/>
  <c r="BT285" i="69"/>
  <c r="CE261" i="70"/>
  <c r="BY249" i="71"/>
  <c r="BF285" i="71"/>
  <c r="BR273" i="69"/>
  <c r="CH261" i="71"/>
  <c r="BS273" i="70"/>
  <c r="BP285" i="69"/>
  <c r="CY261" i="70"/>
  <c r="CQ285" i="69"/>
  <c r="CA285" i="68"/>
  <c r="BR249" i="69"/>
  <c r="BF285" i="70"/>
  <c r="BO285" i="70"/>
  <c r="BT273" i="70"/>
  <c r="CI249" i="70"/>
  <c r="CD285" i="70"/>
  <c r="CH261" i="68"/>
  <c r="CT273" i="70"/>
  <c r="CF261" i="69"/>
  <c r="BN285" i="71"/>
  <c r="BL261" i="69"/>
  <c r="CT285" i="71"/>
  <c r="BK249" i="70"/>
  <c r="BV285" i="71"/>
  <c r="CK261" i="68"/>
  <c r="BX261" i="69"/>
  <c r="CD261" i="70"/>
  <c r="BU249" i="71"/>
  <c r="BR261" i="69"/>
  <c r="CO249" i="71"/>
  <c r="BL285" i="71"/>
  <c r="BO273" i="69"/>
  <c r="CP285" i="71"/>
  <c r="CQ261" i="68"/>
  <c r="BM249" i="71"/>
  <c r="CY273" i="68"/>
  <c r="CN261" i="70"/>
  <c r="BI261" i="71"/>
  <c r="BD249" i="69"/>
  <c r="BG273" i="71"/>
  <c r="BF249" i="71"/>
  <c r="CA249" i="71"/>
  <c r="CY273" i="69"/>
  <c r="BL273" i="70"/>
  <c r="CQ285" i="68"/>
  <c r="BM249" i="70"/>
  <c r="CC249" i="70"/>
  <c r="CC273" i="71"/>
  <c r="BY249" i="70"/>
  <c r="CS249" i="70"/>
  <c r="BT285" i="71"/>
  <c r="BW261" i="70"/>
  <c r="BE261" i="70"/>
  <c r="CM273" i="71"/>
  <c r="CS249" i="68"/>
  <c r="AT299" i="68"/>
  <c r="CT261" i="70"/>
  <c r="CK273" i="70"/>
  <c r="CI261" i="68"/>
  <c r="CR285" i="70"/>
  <c r="BF249" i="69"/>
  <c r="CO249" i="70"/>
  <c r="CV285" i="69"/>
  <c r="BW285" i="69"/>
  <c r="CP249" i="71"/>
  <c r="BY285" i="68"/>
  <c r="CC261" i="70"/>
  <c r="CX285" i="71"/>
  <c r="CN285" i="70"/>
  <c r="BK285" i="69"/>
  <c r="BQ273" i="68"/>
  <c r="CY261" i="69"/>
  <c r="CG285" i="68"/>
  <c r="CI285" i="70"/>
  <c r="Z299" i="68"/>
  <c r="BY249" i="68"/>
  <c r="CB273" i="68"/>
  <c r="BR285" i="71"/>
  <c r="CX249" i="69"/>
  <c r="BJ249" i="70"/>
  <c r="CD273" i="69"/>
  <c r="CU249" i="71"/>
  <c r="BI285" i="70"/>
  <c r="CO285" i="71"/>
  <c r="CB249" i="71"/>
  <c r="CE273" i="70"/>
  <c r="CS249" i="69"/>
  <c r="CX273" i="70"/>
  <c r="CL249" i="71"/>
  <c r="DA285" i="68"/>
  <c r="BE273" i="71"/>
  <c r="BY261" i="70"/>
  <c r="BH261" i="69"/>
  <c r="CT249" i="69"/>
  <c r="AF299" i="68"/>
  <c r="CE249" i="68"/>
  <c r="CA273" i="70"/>
  <c r="CQ261" i="71"/>
  <c r="CH273" i="71"/>
  <c r="BS249" i="71"/>
  <c r="CN273" i="70"/>
  <c r="BK249" i="71"/>
  <c r="CF261" i="68"/>
  <c r="BU261" i="69"/>
  <c r="BY261" i="71"/>
  <c r="CH249" i="71"/>
  <c r="BG261" i="71"/>
  <c r="AY299" i="68"/>
  <c r="CX249" i="68"/>
  <c r="CD261" i="68"/>
  <c r="BL285" i="69"/>
  <c r="CS261" i="71"/>
  <c r="CK249" i="68"/>
  <c r="AL299" i="68"/>
  <c r="CN249" i="70"/>
  <c r="BW261" i="68"/>
  <c r="CV249" i="71"/>
  <c r="BJ249" i="71"/>
  <c r="BY273" i="71"/>
  <c r="BU261" i="71"/>
  <c r="BJ249" i="69"/>
  <c r="CO273" i="70"/>
  <c r="CP273" i="69"/>
  <c r="CR261" i="69"/>
  <c r="BN285" i="70"/>
  <c r="DA249" i="71"/>
  <c r="CK285" i="70"/>
  <c r="CL273" i="70"/>
  <c r="CN249" i="71"/>
  <c r="CC285" i="70"/>
  <c r="CG249" i="71"/>
  <c r="BY285" i="70"/>
  <c r="BK249" i="69"/>
  <c r="BU273" i="68"/>
  <c r="BM273" i="71"/>
  <c r="BW261" i="71"/>
  <c r="CZ249" i="71"/>
  <c r="BD273" i="69"/>
  <c r="BP249" i="70"/>
  <c r="BF249" i="70"/>
  <c r="BZ261" i="68"/>
  <c r="BU273" i="71"/>
  <c r="CJ285" i="69"/>
  <c r="CS285" i="69"/>
  <c r="CT273" i="71"/>
  <c r="BK261" i="71"/>
  <c r="BQ249" i="69"/>
  <c r="BX285" i="69"/>
  <c r="BZ261" i="69"/>
  <c r="BD285" i="71"/>
  <c r="CD285" i="68"/>
  <c r="O299" i="68"/>
  <c r="BN249" i="68"/>
  <c r="CD249" i="69"/>
  <c r="BP249" i="69"/>
  <c r="BX285" i="71"/>
  <c r="CC273" i="68"/>
  <c r="CU285" i="70"/>
  <c r="BU285" i="68"/>
  <c r="BU273" i="69"/>
  <c r="CZ273" i="69"/>
  <c r="BU273" i="70"/>
  <c r="BL273" i="71"/>
  <c r="CN285" i="71"/>
  <c r="CY285" i="68"/>
  <c r="CU273" i="71"/>
  <c r="CF249" i="69"/>
  <c r="BI273" i="68"/>
  <c r="BZ285" i="68"/>
  <c r="BE273" i="69"/>
  <c r="CY261" i="71"/>
  <c r="BG273" i="68"/>
  <c r="AZ299" i="68"/>
  <c r="CY249" i="68"/>
  <c r="BH273" i="69"/>
  <c r="CX249" i="71"/>
  <c r="BX261" i="68"/>
  <c r="CT249" i="71"/>
  <c r="BF261" i="68"/>
  <c r="BE261" i="68"/>
  <c r="CX261" i="70"/>
  <c r="BY273" i="70"/>
  <c r="CH285" i="68"/>
  <c r="CO285" i="70"/>
  <c r="BE273" i="70"/>
  <c r="CX273" i="68"/>
  <c r="BD261" i="71"/>
  <c r="BO261" i="70"/>
  <c r="CE261" i="71"/>
  <c r="BI285" i="71"/>
  <c r="BW249" i="71"/>
  <c r="BP273" i="69"/>
  <c r="BG249" i="71"/>
  <c r="CU261" i="70"/>
  <c r="CM273" i="70"/>
  <c r="CX249" i="70"/>
  <c r="CQ285" i="70"/>
  <c r="CO261" i="68"/>
  <c r="CI285" i="71"/>
  <c r="CV273" i="70"/>
  <c r="CX285" i="70"/>
  <c r="CZ285" i="70"/>
  <c r="CS261" i="68"/>
  <c r="CO249" i="69"/>
  <c r="CI273" i="69"/>
  <c r="BE249" i="69"/>
  <c r="CG249" i="70"/>
  <c r="CY249" i="70"/>
  <c r="CQ261" i="69"/>
  <c r="BI249" i="69"/>
  <c r="CP261" i="71"/>
  <c r="CR249" i="70"/>
  <c r="CK261" i="69"/>
  <c r="BJ285" i="71"/>
  <c r="CI285" i="68"/>
  <c r="CB249" i="69"/>
  <c r="BG249" i="68"/>
  <c r="H299" i="68"/>
  <c r="CR273" i="70"/>
  <c r="BR285" i="69"/>
  <c r="BM261" i="69"/>
  <c r="CY273" i="71"/>
  <c r="BX273" i="71"/>
  <c r="CZ285" i="68"/>
  <c r="BD261" i="69"/>
  <c r="BH285" i="69"/>
  <c r="BG261" i="69"/>
  <c r="AW299" i="68"/>
  <c r="CV249" i="68"/>
  <c r="CP249" i="68"/>
  <c r="AQ299" i="68"/>
  <c r="BN285" i="68"/>
  <c r="CZ261" i="71"/>
  <c r="CF285" i="71"/>
  <c r="CP285" i="70"/>
  <c r="CH285" i="71"/>
  <c r="CD285" i="69"/>
  <c r="CC273" i="69"/>
  <c r="CU249" i="69"/>
  <c r="CZ249" i="69"/>
  <c r="CB273" i="71"/>
  <c r="CS273" i="70"/>
  <c r="BK285" i="68"/>
  <c r="BW261" i="69"/>
  <c r="CL261" i="69"/>
  <c r="BV249" i="70"/>
  <c r="BQ285" i="68"/>
  <c r="BM285" i="68"/>
  <c r="CI261" i="71"/>
  <c r="BZ273" i="71"/>
  <c r="CN285" i="68"/>
  <c r="BS285" i="69"/>
  <c r="CJ249" i="68"/>
  <c r="AK299" i="68"/>
  <c r="BX285" i="70"/>
  <c r="BZ273" i="68"/>
  <c r="CS249" i="71"/>
  <c r="BK285" i="70"/>
  <c r="CA261" i="71"/>
  <c r="BL261" i="68"/>
  <c r="BV285" i="69"/>
  <c r="BV273" i="71"/>
  <c r="BZ249" i="69"/>
  <c r="CJ261" i="71"/>
  <c r="BW273" i="68"/>
  <c r="CK249" i="71"/>
  <c r="BI261" i="68"/>
  <c r="BP261" i="71"/>
  <c r="AU299" i="68"/>
  <c r="CT249" i="68"/>
  <c r="CE273" i="68"/>
  <c r="CL285" i="71"/>
  <c r="BR249" i="71"/>
  <c r="BT285" i="68"/>
  <c r="V299" i="68"/>
  <c r="BU249" i="68"/>
  <c r="CM249" i="70"/>
  <c r="BO261" i="68"/>
  <c r="BG285" i="69"/>
  <c r="BT261" i="68"/>
  <c r="CZ249" i="70"/>
  <c r="CJ285" i="70"/>
  <c r="CH249" i="70"/>
  <c r="CE261" i="69"/>
  <c r="BM273" i="69"/>
  <c r="CG273" i="71"/>
  <c r="CA273" i="68"/>
  <c r="CR285" i="68"/>
  <c r="DA261" i="70"/>
  <c r="BH261" i="68"/>
  <c r="CC261" i="71"/>
  <c r="CT261" i="68"/>
  <c r="AR299" i="68"/>
  <c r="CQ249" i="68"/>
  <c r="CX273" i="71"/>
  <c r="CB249" i="68"/>
  <c r="AC299" i="68"/>
  <c r="BU285" i="70"/>
  <c r="BH273" i="70"/>
  <c r="G299" i="68"/>
  <c r="BF249" i="68"/>
  <c r="CT273" i="69"/>
  <c r="DA285" i="69"/>
  <c r="CL285" i="68"/>
  <c r="BG249" i="70"/>
  <c r="CA273" i="71"/>
  <c r="AV299" i="68"/>
  <c r="CU249" i="68"/>
  <c r="CK273" i="69"/>
  <c r="CY285" i="70"/>
  <c r="BZ285" i="71"/>
  <c r="BY249" i="69"/>
  <c r="CX273" i="69"/>
  <c r="CN273" i="68"/>
  <c r="CS285" i="70"/>
  <c r="CV261" i="68"/>
  <c r="BO273" i="71"/>
  <c r="BQ249" i="70"/>
  <c r="BG285" i="71"/>
  <c r="BP273" i="71"/>
  <c r="CC249" i="71"/>
  <c r="CY273" i="70"/>
  <c r="CS261" i="70"/>
  <c r="CP249" i="69"/>
  <c r="BH261" i="70"/>
  <c r="CG285" i="69"/>
  <c r="BL285" i="70"/>
  <c r="CX261" i="71"/>
  <c r="BE261" i="69"/>
  <c r="CH285" i="70"/>
  <c r="BW285" i="71"/>
  <c r="CO261" i="71"/>
  <c r="BF261" i="70"/>
  <c r="CP273" i="70"/>
  <c r="CW261" i="70"/>
  <c r="CC285" i="68"/>
  <c r="BJ261" i="68"/>
  <c r="CP285" i="68"/>
  <c r="CG249" i="68"/>
  <c r="AH299" i="68"/>
  <c r="CU249" i="70"/>
  <c r="BR249" i="68"/>
  <c r="S299" i="68"/>
  <c r="CL273" i="71"/>
  <c r="BK273" i="68"/>
  <c r="BW285" i="70"/>
  <c r="BT273" i="68"/>
  <c r="E299" i="68"/>
  <c r="BD249" i="68"/>
  <c r="CW249" i="71"/>
  <c r="BS285" i="70"/>
  <c r="CB285" i="69"/>
  <c r="CW261" i="69"/>
  <c r="CI261" i="70"/>
  <c r="CX261" i="69"/>
  <c r="CM273" i="68"/>
  <c r="CZ273" i="68"/>
  <c r="BL273" i="69"/>
  <c r="BI273" i="69"/>
  <c r="CJ249" i="70"/>
  <c r="BT285" i="70"/>
  <c r="CD273" i="70"/>
  <c r="CL261" i="70"/>
  <c r="BD261" i="68"/>
  <c r="CV261" i="70"/>
  <c r="CC261" i="69"/>
  <c r="BT249" i="70"/>
  <c r="CS273" i="68"/>
  <c r="CE273" i="69"/>
  <c r="BY261" i="69"/>
  <c r="BS261" i="68"/>
  <c r="CG261" i="70"/>
  <c r="CW261" i="71"/>
  <c r="BU261" i="68"/>
  <c r="DA285" i="70"/>
  <c r="CM249" i="69"/>
  <c r="CW273" i="68"/>
  <c r="CT249" i="70"/>
  <c r="CF273" i="71"/>
  <c r="BV261" i="68"/>
  <c r="CF261" i="70"/>
  <c r="BX249" i="70"/>
  <c r="BI249" i="70"/>
  <c r="CU261" i="71"/>
  <c r="BD285" i="68"/>
  <c r="CL273" i="68"/>
  <c r="CV285" i="71"/>
  <c r="BM261" i="71"/>
  <c r="CZ285" i="71"/>
  <c r="BG285" i="70"/>
  <c r="BI273" i="70"/>
  <c r="BH261" i="71"/>
  <c r="BF273" i="68"/>
  <c r="CO273" i="69"/>
  <c r="CV273" i="71"/>
  <c r="CM273" i="69"/>
  <c r="CJ249" i="71"/>
  <c r="CQ261" i="70"/>
  <c r="BJ273" i="69"/>
  <c r="CT261" i="71"/>
  <c r="CA261" i="70"/>
  <c r="CG261" i="69"/>
  <c r="BV261" i="71"/>
  <c r="CB249" i="70"/>
  <c r="CZ261" i="68"/>
  <c r="BK285" i="71"/>
  <c r="CN273" i="69"/>
  <c r="CU285" i="69"/>
  <c r="CW285" i="68"/>
  <c r="CF285" i="70"/>
  <c r="CZ249" i="68"/>
  <c r="BA299" i="68"/>
  <c r="BO249" i="69"/>
  <c r="CI261" i="69"/>
  <c r="BF285" i="68"/>
  <c r="CB261" i="68"/>
  <c r="BO273" i="70"/>
  <c r="BX249" i="68"/>
  <c r="Y299" i="68"/>
  <c r="CP261" i="69"/>
  <c r="CA285" i="71"/>
  <c r="BV273" i="69"/>
  <c r="BH273" i="71"/>
  <c r="BG261" i="68"/>
  <c r="CC249" i="68"/>
  <c r="AD299" i="68"/>
  <c r="BZ285" i="69"/>
  <c r="BJ261" i="70"/>
  <c r="BB299" i="68"/>
  <c r="DA249" i="68"/>
  <c r="CM261" i="68"/>
  <c r="BJ285" i="70"/>
  <c r="CE285" i="68"/>
  <c r="CG285" i="71"/>
  <c r="BV273" i="68"/>
  <c r="BF261" i="71"/>
  <c r="CB273" i="70"/>
  <c r="AE299" i="68"/>
  <c r="CD249" i="68"/>
  <c r="CL261" i="71"/>
  <c r="BK261" i="70"/>
  <c r="BV285" i="70"/>
  <c r="CN249" i="69"/>
  <c r="CL285" i="69"/>
  <c r="CF249" i="70"/>
  <c r="CV249" i="69"/>
  <c r="CR273" i="69"/>
  <c r="BT261" i="69"/>
  <c r="CE261" i="68"/>
  <c r="CK261" i="70"/>
  <c r="BI261" i="70"/>
  <c r="CF273" i="69"/>
  <c r="CX261" i="68"/>
  <c r="BD285" i="69"/>
  <c r="CH273" i="68"/>
  <c r="CC249" i="69"/>
  <c r="CM285" i="68"/>
  <c r="CS285" i="68"/>
  <c r="CG261" i="68"/>
  <c r="CD285" i="71"/>
  <c r="CQ249" i="71"/>
  <c r="CC273" i="70"/>
  <c r="CW273" i="71"/>
  <c r="CD273" i="68"/>
  <c r="CK249" i="69"/>
  <c r="CF249" i="71"/>
  <c r="CM285" i="69"/>
  <c r="CH273" i="70"/>
  <c r="CT273" i="68"/>
  <c r="BO249" i="71"/>
  <c r="CI273" i="70"/>
  <c r="BR285" i="70"/>
  <c r="CJ273" i="71"/>
  <c r="BN285" i="69"/>
  <c r="BN261" i="71"/>
  <c r="BN273" i="69"/>
  <c r="BQ273" i="70"/>
  <c r="CN261" i="68"/>
  <c r="CZ273" i="71"/>
  <c r="BZ249" i="70"/>
  <c r="BN273" i="68"/>
  <c r="CD273" i="71"/>
  <c r="BO285" i="69"/>
  <c r="CU261" i="69"/>
  <c r="CP273" i="68"/>
  <c r="BU249" i="70"/>
  <c r="CR273" i="68"/>
  <c r="BQ249" i="71"/>
  <c r="CH249" i="69"/>
  <c r="CU273" i="69"/>
  <c r="BK261" i="68"/>
  <c r="BN273" i="70"/>
  <c r="CV249" i="70"/>
  <c r="AG299" i="68"/>
  <c r="CF249" i="68"/>
  <c r="BK273" i="70"/>
  <c r="CL273" i="69"/>
  <c r="BH249" i="68"/>
  <c r="I299" i="68"/>
  <c r="BJ261" i="71"/>
  <c r="CY285" i="71"/>
  <c r="CR261" i="71"/>
  <c r="BP261" i="70"/>
  <c r="CK285" i="71"/>
  <c r="BW273" i="69"/>
  <c r="CJ285" i="71"/>
  <c r="BM261" i="68"/>
  <c r="CP261" i="68"/>
  <c r="BX261" i="70"/>
  <c r="BJ285" i="69"/>
  <c r="CJ273" i="69"/>
  <c r="BS261" i="71"/>
  <c r="CW285" i="71"/>
  <c r="BE273" i="68"/>
  <c r="BS285" i="68"/>
  <c r="BQ273" i="69"/>
  <c r="BH285" i="70"/>
  <c r="CV261" i="69"/>
  <c r="BQ261" i="68"/>
  <c r="BD285" i="70"/>
  <c r="BS261" i="69"/>
  <c r="CX285" i="68"/>
  <c r="BF261" i="69"/>
  <c r="BU285" i="71"/>
  <c r="BU249" i="69"/>
  <c r="BT273" i="69"/>
  <c r="BM273" i="68"/>
  <c r="BY273" i="69"/>
  <c r="BS273" i="71"/>
  <c r="CV273" i="69"/>
  <c r="CX285" i="69"/>
  <c r="BR285" i="68"/>
  <c r="CK285" i="69"/>
  <c r="CP285" i="69"/>
  <c r="CM249" i="71"/>
  <c r="CE285" i="70"/>
  <c r="BL261" i="71"/>
  <c r="CW249" i="70"/>
  <c r="CJ261" i="69"/>
  <c r="BH285" i="71"/>
  <c r="CB261" i="71"/>
  <c r="BH273" i="68"/>
  <c r="BQ261" i="71"/>
  <c r="BX261" i="71"/>
  <c r="BM261" i="70"/>
  <c r="BK249" i="68"/>
  <c r="L299" i="68"/>
  <c r="BI285" i="68"/>
  <c r="CW273" i="70"/>
  <c r="CE249" i="70"/>
  <c r="M299" i="68"/>
  <c r="BL249" i="68"/>
  <c r="CB261" i="70"/>
  <c r="CL285" i="70"/>
  <c r="AO299" i="68"/>
  <c r="CN249" i="68"/>
  <c r="BY285" i="69"/>
  <c r="BQ285" i="69"/>
  <c r="CT285" i="68"/>
  <c r="BM285" i="71"/>
  <c r="CU273" i="68"/>
  <c r="CB285" i="68"/>
  <c r="BN249" i="70"/>
  <c r="CH261" i="69"/>
  <c r="CS285" i="71"/>
  <c r="BF273" i="70"/>
  <c r="CF285" i="68"/>
  <c r="BF285" i="69"/>
  <c r="CI273" i="68"/>
  <c r="CT285" i="70"/>
  <c r="BY261" i="68"/>
  <c r="CA285" i="70"/>
  <c r="BD273" i="71"/>
  <c r="BH249" i="71"/>
  <c r="CB285" i="71"/>
  <c r="BQ285" i="71"/>
  <c r="CD261" i="71"/>
  <c r="CO273" i="68"/>
  <c r="BS285" i="71"/>
  <c r="CD249" i="71"/>
  <c r="CN285" i="69"/>
  <c r="CQ273" i="69"/>
  <c r="BN249" i="71"/>
  <c r="BE249" i="68"/>
  <c r="F299" i="68"/>
  <c r="BP285" i="70"/>
  <c r="BI249" i="71"/>
  <c r="BO285" i="71"/>
  <c r="CP249" i="70"/>
  <c r="CH261" i="70"/>
  <c r="BO261" i="69"/>
  <c r="BP285" i="71"/>
  <c r="BZ273" i="69"/>
  <c r="CI249" i="71"/>
  <c r="BE285" i="71"/>
  <c r="CJ249" i="69"/>
  <c r="BV261" i="69"/>
  <c r="CH273" i="69"/>
  <c r="BE261" i="71"/>
  <c r="BR261" i="70"/>
  <c r="K299" i="68"/>
  <c r="BJ249" i="68"/>
  <c r="BY273" i="68"/>
  <c r="BX273" i="69"/>
  <c r="CO249" i="68"/>
  <c r="AP299" i="68"/>
  <c r="BZ273" i="70"/>
  <c r="CM285" i="71"/>
  <c r="CM261" i="69"/>
  <c r="CS261" i="69"/>
  <c r="BI261" i="69"/>
  <c r="BD273" i="68"/>
  <c r="CZ261" i="69"/>
  <c r="CW285" i="69"/>
  <c r="BP261" i="69"/>
  <c r="DA273" i="71"/>
  <c r="BV249" i="69"/>
  <c r="CV285" i="70"/>
  <c r="CT285" i="69"/>
  <c r="DA273" i="70"/>
  <c r="BE285" i="69"/>
  <c r="CE285" i="69"/>
  <c r="CV285" i="68"/>
  <c r="BR261" i="71"/>
  <c r="BV285" i="68"/>
  <c r="BR273" i="68"/>
  <c r="BN261" i="68"/>
  <c r="BQ249" i="68"/>
  <c r="R299" i="68"/>
  <c r="CG273" i="69"/>
  <c r="CM285" i="70"/>
  <c r="BG273" i="69"/>
  <c r="AI299" i="68"/>
  <c r="CH249" i="68"/>
  <c r="CU273" i="70"/>
  <c r="CK261" i="71"/>
  <c r="BX249" i="69"/>
  <c r="CM261" i="70"/>
  <c r="BG273" i="70"/>
  <c r="BW285" i="68"/>
  <c r="BW273" i="70"/>
  <c r="BN261" i="70"/>
  <c r="CB261" i="69"/>
  <c r="DA273" i="68"/>
  <c r="CO285" i="68"/>
  <c r="BJ273" i="71"/>
  <c r="CK273" i="68"/>
  <c r="CA273" i="69"/>
  <c r="BO285" i="68"/>
  <c r="BP249" i="71"/>
  <c r="CC261" i="68"/>
  <c r="O231" i="76"/>
  <c r="N238" i="76"/>
  <c r="O253" i="76"/>
  <c r="M252" i="76"/>
  <c r="O257" i="76"/>
  <c r="N108" i="76"/>
  <c r="O251" i="76"/>
  <c r="M258" i="76"/>
  <c r="O106" i="76"/>
  <c r="O216" i="76" s="1"/>
  <c r="O232" i="76"/>
  <c r="O234" i="76"/>
  <c r="O236" i="76"/>
  <c r="N245" i="76"/>
  <c r="O94" i="76"/>
  <c r="O204" i="76" s="1"/>
  <c r="N252" i="76"/>
  <c r="L303" i="76"/>
  <c r="O261" i="76"/>
  <c r="L236" i="76"/>
  <c r="O243" i="76"/>
  <c r="O247" i="76"/>
  <c r="L101" i="76"/>
  <c r="L211" i="76" s="1"/>
  <c r="N300" i="76"/>
  <c r="N263" i="76"/>
  <c r="N308" i="76" s="1"/>
  <c r="M235" i="76"/>
  <c r="L105" i="76"/>
  <c r="L215" i="76" s="1"/>
  <c r="O263" i="76"/>
  <c r="O308" i="76" s="1"/>
  <c r="N233" i="76"/>
  <c r="N235" i="76"/>
  <c r="M239" i="76"/>
  <c r="M241" i="76"/>
  <c r="O248" i="76"/>
  <c r="P22" i="76"/>
  <c r="P30" i="76"/>
  <c r="N97" i="76"/>
  <c r="N207" i="76" s="1"/>
  <c r="M101" i="76"/>
  <c r="M211" i="76" s="1"/>
  <c r="O108" i="76"/>
  <c r="M301" i="76"/>
  <c r="L258" i="76"/>
  <c r="M264" i="76"/>
  <c r="Y16" i="76"/>
  <c r="Y22" i="76"/>
  <c r="N101" i="76"/>
  <c r="N211" i="76" s="1"/>
  <c r="N259" i="76"/>
  <c r="N264" i="76"/>
  <c r="Z10" i="76"/>
  <c r="R24" i="76"/>
  <c r="Z39" i="76"/>
  <c r="M103" i="76"/>
  <c r="M213" i="76" s="1"/>
  <c r="O107" i="76"/>
  <c r="T109" i="76"/>
  <c r="T219" i="76" s="1"/>
  <c r="M260" i="76"/>
  <c r="M268" i="76"/>
  <c r="AA22" i="76"/>
  <c r="AA30" i="76"/>
  <c r="AA45" i="76"/>
  <c r="AA47" i="76"/>
  <c r="S53" i="76"/>
  <c r="O103" i="76"/>
  <c r="O213" i="76" s="1"/>
  <c r="N261" i="76"/>
  <c r="P23" i="76"/>
  <c r="X31" i="76"/>
  <c r="P56" i="76"/>
  <c r="O233" i="76"/>
  <c r="L248" i="76"/>
  <c r="M95" i="76"/>
  <c r="M205" i="76" s="1"/>
  <c r="N253" i="76"/>
  <c r="L307" i="76"/>
  <c r="M263" i="76"/>
  <c r="M308" i="76" s="1"/>
  <c r="O246" i="76"/>
  <c r="M248" i="76"/>
  <c r="O98" i="76"/>
  <c r="O208" i="76" s="1"/>
  <c r="L239" i="76"/>
  <c r="L246" i="76"/>
  <c r="N248" i="76"/>
  <c r="AA23" i="76"/>
  <c r="S31" i="76"/>
  <c r="U112" i="76"/>
  <c r="U222" i="76" s="1"/>
  <c r="O230" i="76"/>
  <c r="M232" i="76"/>
  <c r="L234" i="76"/>
  <c r="N242" i="76"/>
  <c r="L245" i="76"/>
  <c r="M247" i="76"/>
  <c r="Q23" i="76"/>
  <c r="Y23" i="76"/>
  <c r="Q25" i="76"/>
  <c r="Y25" i="76"/>
  <c r="Y27" i="76"/>
  <c r="Q31" i="76"/>
  <c r="Y31" i="76"/>
  <c r="Q33" i="76"/>
  <c r="Y33" i="76"/>
  <c r="Y36" i="76"/>
  <c r="Q36" i="76"/>
  <c r="Y38" i="76"/>
  <c r="Q38" i="76"/>
  <c r="Q40" i="76"/>
  <c r="Y40" i="76"/>
  <c r="Y42" i="76"/>
  <c r="Q42" i="76"/>
  <c r="Y44" i="76"/>
  <c r="Q44" i="76"/>
  <c r="Y46" i="76"/>
  <c r="Q46" i="76"/>
  <c r="Y48" i="76"/>
  <c r="Q48" i="76"/>
  <c r="Y50" i="76"/>
  <c r="Q50" i="76"/>
  <c r="Y52" i="76"/>
  <c r="Q52" i="76"/>
  <c r="Q54" i="76"/>
  <c r="Y54" i="76"/>
  <c r="Q56" i="76"/>
  <c r="Y56" i="76"/>
  <c r="Y65" i="76"/>
  <c r="Q65" i="76"/>
  <c r="Y68" i="76"/>
  <c r="Q68" i="76"/>
  <c r="Q70" i="76"/>
  <c r="Y70" i="76"/>
  <c r="L100" i="76"/>
  <c r="L210" i="76" s="1"/>
  <c r="AA170" i="76"/>
  <c r="S170" i="76"/>
  <c r="AA176" i="76"/>
  <c r="S176" i="76"/>
  <c r="AA179" i="76"/>
  <c r="S179" i="76"/>
  <c r="AA181" i="76"/>
  <c r="S181" i="76"/>
  <c r="W231" i="76"/>
  <c r="S231" i="76"/>
  <c r="W233" i="76"/>
  <c r="S233" i="76"/>
  <c r="W235" i="76"/>
  <c r="S235" i="76"/>
  <c r="W238" i="76"/>
  <c r="S238" i="76"/>
  <c r="W240" i="76"/>
  <c r="S240" i="76"/>
  <c r="W242" i="76"/>
  <c r="S242" i="76"/>
  <c r="S245" i="76"/>
  <c r="W245" i="76"/>
  <c r="S247" i="76"/>
  <c r="W247" i="76"/>
  <c r="O268" i="76"/>
  <c r="U303" i="76"/>
  <c r="Z373" i="76"/>
  <c r="R373" i="76"/>
  <c r="R379" i="76"/>
  <c r="Z379" i="76"/>
  <c r="Z395" i="76"/>
  <c r="R395" i="76"/>
  <c r="Z398" i="76"/>
  <c r="R398" i="76"/>
  <c r="Z400" i="76"/>
  <c r="R400" i="76"/>
  <c r="Q16" i="76"/>
  <c r="Y17" i="76"/>
  <c r="X23" i="76"/>
  <c r="Z26" i="76"/>
  <c r="Q28" i="76"/>
  <c r="X37" i="76"/>
  <c r="N232" i="76"/>
  <c r="L238" i="76"/>
  <c r="O240" i="76"/>
  <c r="O242" i="76"/>
  <c r="Z11" i="76"/>
  <c r="R11" i="76"/>
  <c r="Z13" i="76"/>
  <c r="R13" i="76"/>
  <c r="Z15" i="76"/>
  <c r="R15" i="76"/>
  <c r="Z17" i="76"/>
  <c r="R17" i="76"/>
  <c r="Z19" i="76"/>
  <c r="R19" i="76"/>
  <c r="Z21" i="76"/>
  <c r="R21" i="76"/>
  <c r="R23" i="76"/>
  <c r="Z23" i="76"/>
  <c r="R27" i="76"/>
  <c r="Z29" i="76"/>
  <c r="R29" i="76"/>
  <c r="R31" i="76"/>
  <c r="Z31" i="76"/>
  <c r="R36" i="76"/>
  <c r="Z36" i="76"/>
  <c r="Z38" i="76"/>
  <c r="Z40" i="76"/>
  <c r="R40" i="76"/>
  <c r="Z42" i="76"/>
  <c r="R42" i="76"/>
  <c r="Z44" i="76"/>
  <c r="R44" i="76"/>
  <c r="R46" i="76"/>
  <c r="Z46" i="76"/>
  <c r="R48" i="76"/>
  <c r="R50" i="76"/>
  <c r="Z50" i="76"/>
  <c r="Z52" i="76"/>
  <c r="R52" i="76"/>
  <c r="R54" i="76"/>
  <c r="Z54" i="76"/>
  <c r="Z56" i="76"/>
  <c r="R56" i="76"/>
  <c r="Z65" i="76"/>
  <c r="R65" i="76"/>
  <c r="Z68" i="76"/>
  <c r="R68" i="76"/>
  <c r="Z70" i="76"/>
  <c r="R70" i="76"/>
  <c r="P166" i="76"/>
  <c r="X166" i="76"/>
  <c r="X175" i="76"/>
  <c r="P175" i="76"/>
  <c r="X178" i="76"/>
  <c r="P178" i="76"/>
  <c r="X180" i="76"/>
  <c r="P180" i="76"/>
  <c r="T230" i="76"/>
  <c r="P230" i="76"/>
  <c r="T232" i="76"/>
  <c r="P232" i="76"/>
  <c r="T234" i="76"/>
  <c r="P234" i="76"/>
  <c r="T236" i="76"/>
  <c r="P236" i="76"/>
  <c r="P239" i="76"/>
  <c r="T239" i="76"/>
  <c r="P241" i="76"/>
  <c r="T241" i="76"/>
  <c r="P243" i="76"/>
  <c r="T243" i="76"/>
  <c r="P246" i="76"/>
  <c r="T246" i="76"/>
  <c r="P248" i="76"/>
  <c r="T248" i="76"/>
  <c r="M299" i="76"/>
  <c r="Q297" i="76"/>
  <c r="M297" i="76" s="1"/>
  <c r="AA373" i="76"/>
  <c r="S373" i="76"/>
  <c r="AA379" i="76"/>
  <c r="S379" i="76"/>
  <c r="S395" i="76"/>
  <c r="AA395" i="76"/>
  <c r="AA398" i="76"/>
  <c r="S398" i="76"/>
  <c r="AA400" i="76"/>
  <c r="S400" i="76"/>
  <c r="Q13" i="76"/>
  <c r="Y14" i="76"/>
  <c r="Y20" i="76"/>
  <c r="R25" i="76"/>
  <c r="Z34" i="76"/>
  <c r="N236" i="76"/>
  <c r="L240" i="76"/>
  <c r="L242" i="76"/>
  <c r="AA11" i="76"/>
  <c r="S11" i="76"/>
  <c r="AA13" i="76"/>
  <c r="S13" i="76"/>
  <c r="AA15" i="76"/>
  <c r="S15" i="76"/>
  <c r="AA17" i="76"/>
  <c r="S17" i="76"/>
  <c r="AA19" i="76"/>
  <c r="S19" i="76"/>
  <c r="AA21" i="76"/>
  <c r="S25" i="76"/>
  <c r="AA25" i="76"/>
  <c r="S27" i="76"/>
  <c r="AA27" i="76"/>
  <c r="AA29" i="76"/>
  <c r="S33" i="76"/>
  <c r="AA33" i="76"/>
  <c r="AA36" i="76"/>
  <c r="S36" i="76"/>
  <c r="AA38" i="76"/>
  <c r="S38" i="76"/>
  <c r="AA40" i="76"/>
  <c r="S40" i="76"/>
  <c r="S42" i="76"/>
  <c r="AA42" i="76"/>
  <c r="AA44" i="76"/>
  <c r="S44" i="76"/>
  <c r="S46" i="76"/>
  <c r="AA46" i="76"/>
  <c r="S48" i="76"/>
  <c r="AA48" i="76"/>
  <c r="S50" i="76"/>
  <c r="AA50" i="76"/>
  <c r="AA52" i="76"/>
  <c r="AA54" i="76"/>
  <c r="S54" i="76"/>
  <c r="S56" i="76"/>
  <c r="AA56" i="76"/>
  <c r="AA65" i="76"/>
  <c r="S65" i="76"/>
  <c r="AA68" i="76"/>
  <c r="S68" i="76"/>
  <c r="AA70" i="76"/>
  <c r="S70" i="76"/>
  <c r="N95" i="76"/>
  <c r="N205" i="76" s="1"/>
  <c r="O105" i="76"/>
  <c r="O215" i="76" s="1"/>
  <c r="Y166" i="76"/>
  <c r="Q166" i="76"/>
  <c r="Y175" i="76"/>
  <c r="Q175" i="76"/>
  <c r="Y178" i="76"/>
  <c r="Q178" i="76"/>
  <c r="Y180" i="76"/>
  <c r="Q180" i="76"/>
  <c r="Q230" i="76"/>
  <c r="U230" i="76"/>
  <c r="Q232" i="76"/>
  <c r="U232" i="76"/>
  <c r="Q234" i="76"/>
  <c r="U234" i="76"/>
  <c r="Q236" i="76"/>
  <c r="U236" i="76"/>
  <c r="Q239" i="76"/>
  <c r="U239" i="76"/>
  <c r="Q241" i="76"/>
  <c r="U241" i="76"/>
  <c r="Q243" i="76"/>
  <c r="U243" i="76"/>
  <c r="Q246" i="76"/>
  <c r="U246" i="76"/>
  <c r="U248" i="76"/>
  <c r="Q248" i="76"/>
  <c r="L254" i="76"/>
  <c r="L266" i="76"/>
  <c r="L267" i="76" s="1"/>
  <c r="L312" i="76" s="1"/>
  <c r="P369" i="76"/>
  <c r="X369" i="76"/>
  <c r="P378" i="76"/>
  <c r="X378" i="76"/>
  <c r="P393" i="76"/>
  <c r="X393" i="76"/>
  <c r="X397" i="76"/>
  <c r="P397" i="76"/>
  <c r="P399" i="76"/>
  <c r="X399" i="76"/>
  <c r="Y11" i="76"/>
  <c r="Q18" i="76"/>
  <c r="Y19" i="76"/>
  <c r="S22" i="76"/>
  <c r="X25" i="76"/>
  <c r="Y28" i="76"/>
  <c r="AA31" i="76"/>
  <c r="R33" i="76"/>
  <c r="P36" i="76"/>
  <c r="S52" i="76"/>
  <c r="X10" i="76"/>
  <c r="X12" i="76"/>
  <c r="P12" i="76"/>
  <c r="X14" i="76"/>
  <c r="P14" i="76"/>
  <c r="X16" i="76"/>
  <c r="P16" i="76"/>
  <c r="X18" i="76"/>
  <c r="P18" i="76"/>
  <c r="P20" i="76"/>
  <c r="X20" i="76"/>
  <c r="X22" i="76"/>
  <c r="P26" i="76"/>
  <c r="X26" i="76"/>
  <c r="P28" i="76"/>
  <c r="X28" i="76"/>
  <c r="X30" i="76"/>
  <c r="P34" i="76"/>
  <c r="X34" i="76"/>
  <c r="P37" i="76"/>
  <c r="X39" i="76"/>
  <c r="P39" i="76"/>
  <c r="X41" i="76"/>
  <c r="P41" i="76"/>
  <c r="X43" i="76"/>
  <c r="P43" i="76"/>
  <c r="X45" i="76"/>
  <c r="P45" i="76"/>
  <c r="X47" i="76"/>
  <c r="P47" i="76"/>
  <c r="X49" i="76"/>
  <c r="P49" i="76"/>
  <c r="X51" i="76"/>
  <c r="P51" i="76"/>
  <c r="X53" i="76"/>
  <c r="P53" i="76"/>
  <c r="X55" i="76"/>
  <c r="P55" i="76"/>
  <c r="X60" i="76"/>
  <c r="P60" i="76"/>
  <c r="X66" i="76"/>
  <c r="P66" i="76"/>
  <c r="P69" i="76"/>
  <c r="X69" i="76"/>
  <c r="X71" i="76"/>
  <c r="P71" i="76"/>
  <c r="N96" i="76"/>
  <c r="N206" i="76" s="1"/>
  <c r="R166" i="76"/>
  <c r="Z166" i="76"/>
  <c r="Z175" i="76"/>
  <c r="R175" i="76"/>
  <c r="Z178" i="76"/>
  <c r="R178" i="76"/>
  <c r="Z180" i="76"/>
  <c r="R180" i="76"/>
  <c r="R230" i="76"/>
  <c r="V230" i="76"/>
  <c r="R232" i="76"/>
  <c r="V232" i="76"/>
  <c r="R234" i="76"/>
  <c r="V234" i="76"/>
  <c r="R236" i="76"/>
  <c r="V236" i="76"/>
  <c r="R239" i="76"/>
  <c r="V239" i="76"/>
  <c r="R241" i="76"/>
  <c r="V241" i="76"/>
  <c r="R243" i="76"/>
  <c r="V243" i="76"/>
  <c r="R246" i="76"/>
  <c r="V246" i="76"/>
  <c r="V248" i="76"/>
  <c r="R248" i="76"/>
  <c r="M254" i="76"/>
  <c r="Q369" i="76"/>
  <c r="Y369" i="76"/>
  <c r="Q378" i="76"/>
  <c r="Y378" i="76"/>
  <c r="Q393" i="76"/>
  <c r="Y393" i="76"/>
  <c r="Y397" i="76"/>
  <c r="Q397" i="76"/>
  <c r="Q399" i="76"/>
  <c r="Y399" i="76"/>
  <c r="P8" i="76"/>
  <c r="X8" i="76"/>
  <c r="P9" i="76"/>
  <c r="X9" i="76"/>
  <c r="P10" i="76"/>
  <c r="Y10" i="76"/>
  <c r="Q15" i="76"/>
  <c r="P24" i="76"/>
  <c r="Z25" i="76"/>
  <c r="Q27" i="76"/>
  <c r="S30" i="76"/>
  <c r="X33" i="76"/>
  <c r="Q22" i="76"/>
  <c r="Y24" i="76"/>
  <c r="Q24" i="76"/>
  <c r="Q26" i="76"/>
  <c r="Y26" i="76"/>
  <c r="Q30" i="76"/>
  <c r="Y32" i="76"/>
  <c r="Q32" i="76"/>
  <c r="Q34" i="76"/>
  <c r="Y34" i="76"/>
  <c r="Q37" i="76"/>
  <c r="Y37" i="76"/>
  <c r="Q39" i="76"/>
  <c r="Y39" i="76"/>
  <c r="Q41" i="76"/>
  <c r="Y41" i="76"/>
  <c r="Y43" i="76"/>
  <c r="Q43" i="76"/>
  <c r="Y45" i="76"/>
  <c r="Q45" i="76"/>
  <c r="Y47" i="76"/>
  <c r="Q47" i="76"/>
  <c r="Y49" i="76"/>
  <c r="Q49" i="76"/>
  <c r="Y51" i="76"/>
  <c r="Q51" i="76"/>
  <c r="Y53" i="76"/>
  <c r="Q53" i="76"/>
  <c r="Q55" i="76"/>
  <c r="Y55" i="76"/>
  <c r="Y60" i="76"/>
  <c r="Q60" i="76"/>
  <c r="Y66" i="76"/>
  <c r="Q66" i="76"/>
  <c r="Y69" i="76"/>
  <c r="Q69" i="76"/>
  <c r="Y71" i="76"/>
  <c r="Q71" i="76"/>
  <c r="M97" i="76"/>
  <c r="M207" i="76" s="1"/>
  <c r="O101" i="76"/>
  <c r="O211" i="76" s="1"/>
  <c r="AA166" i="76"/>
  <c r="S166" i="76"/>
  <c r="AA175" i="76"/>
  <c r="S175" i="76"/>
  <c r="AA178" i="76"/>
  <c r="S178" i="76"/>
  <c r="AA180" i="76"/>
  <c r="S180" i="76"/>
  <c r="S230" i="76"/>
  <c r="W230" i="76"/>
  <c r="S232" i="76"/>
  <c r="W232" i="76"/>
  <c r="S234" i="76"/>
  <c r="W234" i="76"/>
  <c r="S236" i="76"/>
  <c r="W236" i="76"/>
  <c r="S239" i="76"/>
  <c r="W239" i="76"/>
  <c r="S241" i="76"/>
  <c r="W241" i="76"/>
  <c r="W243" i="76"/>
  <c r="S243" i="76"/>
  <c r="W246" i="76"/>
  <c r="S246" i="76"/>
  <c r="W248" i="76"/>
  <c r="S248" i="76"/>
  <c r="N255" i="76"/>
  <c r="O259" i="76"/>
  <c r="Z369" i="76"/>
  <c r="R369" i="76"/>
  <c r="Z378" i="76"/>
  <c r="R378" i="76"/>
  <c r="Z393" i="76"/>
  <c r="R393" i="76"/>
  <c r="R397" i="76"/>
  <c r="Z397" i="76"/>
  <c r="Z399" i="76"/>
  <c r="R399" i="76"/>
  <c r="Q8" i="76"/>
  <c r="Y8" i="76"/>
  <c r="Q9" i="76"/>
  <c r="Y9" i="76"/>
  <c r="Q10" i="76"/>
  <c r="Q12" i="76"/>
  <c r="Y13" i="76"/>
  <c r="Q21" i="76"/>
  <c r="Y30" i="76"/>
  <c r="P32" i="76"/>
  <c r="Z33" i="76"/>
  <c r="R38" i="76"/>
  <c r="Z12" i="76"/>
  <c r="R12" i="76"/>
  <c r="Z14" i="76"/>
  <c r="R14" i="76"/>
  <c r="Z16" i="76"/>
  <c r="R16" i="76"/>
  <c r="Z18" i="76"/>
  <c r="R18" i="76"/>
  <c r="R20" i="76"/>
  <c r="Z20" i="76"/>
  <c r="R22" i="76"/>
  <c r="Z22" i="76"/>
  <c r="Z24" i="76"/>
  <c r="R28" i="76"/>
  <c r="Z28" i="76"/>
  <c r="R30" i="76"/>
  <c r="Z30" i="76"/>
  <c r="Z32" i="76"/>
  <c r="R37" i="76"/>
  <c r="Z37" i="76"/>
  <c r="R39" i="76"/>
  <c r="Z41" i="76"/>
  <c r="R41" i="76"/>
  <c r="R43" i="76"/>
  <c r="Z43" i="76"/>
  <c r="R45" i="76"/>
  <c r="Z45" i="76"/>
  <c r="Z47" i="76"/>
  <c r="R47" i="76"/>
  <c r="Z49" i="76"/>
  <c r="R49" i="76"/>
  <c r="R51" i="76"/>
  <c r="Z51" i="76"/>
  <c r="R53" i="76"/>
  <c r="Z53" i="76"/>
  <c r="Z55" i="76"/>
  <c r="R55" i="76"/>
  <c r="Z60" i="76"/>
  <c r="R60" i="76"/>
  <c r="R66" i="76"/>
  <c r="Z69" i="76"/>
  <c r="R69" i="76"/>
  <c r="Z71" i="76"/>
  <c r="R71" i="76"/>
  <c r="O97" i="76"/>
  <c r="O207" i="76" s="1"/>
  <c r="N102" i="76"/>
  <c r="N212" i="76" s="1"/>
  <c r="X170" i="76"/>
  <c r="P170" i="76"/>
  <c r="P176" i="76"/>
  <c r="X176" i="76"/>
  <c r="P179" i="76"/>
  <c r="X179" i="76"/>
  <c r="P181" i="76"/>
  <c r="X181" i="76"/>
  <c r="P231" i="76"/>
  <c r="T231" i="76"/>
  <c r="P233" i="76"/>
  <c r="T233" i="76"/>
  <c r="P235" i="76"/>
  <c r="T235" i="76"/>
  <c r="T238" i="76"/>
  <c r="P238" i="76"/>
  <c r="T240" i="76"/>
  <c r="P240" i="76"/>
  <c r="T242" i="76"/>
  <c r="P242" i="76"/>
  <c r="T245" i="76"/>
  <c r="P245" i="76"/>
  <c r="T247" i="76"/>
  <c r="P247" i="76"/>
  <c r="N251" i="76"/>
  <c r="O255" i="76"/>
  <c r="O264" i="76"/>
  <c r="AA369" i="76"/>
  <c r="S369" i="76"/>
  <c r="AA378" i="76"/>
  <c r="S378" i="76"/>
  <c r="AA393" i="76"/>
  <c r="S393" i="76"/>
  <c r="S397" i="76"/>
  <c r="AA397" i="76"/>
  <c r="S399" i="76"/>
  <c r="AA399" i="76"/>
  <c r="R8" i="76"/>
  <c r="Z8" i="76"/>
  <c r="R9" i="76"/>
  <c r="Z9" i="76"/>
  <c r="R10" i="76"/>
  <c r="Q17" i="76"/>
  <c r="Y18" i="76"/>
  <c r="S21" i="76"/>
  <c r="X24" i="76"/>
  <c r="Z27" i="76"/>
  <c r="Q29" i="76"/>
  <c r="R32" i="76"/>
  <c r="AA10" i="76"/>
  <c r="AA12" i="76"/>
  <c r="S12" i="76"/>
  <c r="AA14" i="76"/>
  <c r="S14" i="76"/>
  <c r="AA16" i="76"/>
  <c r="S16" i="76"/>
  <c r="AA18" i="76"/>
  <c r="S18" i="76"/>
  <c r="S20" i="76"/>
  <c r="AA20" i="76"/>
  <c r="S24" i="76"/>
  <c r="AA26" i="76"/>
  <c r="S26" i="76"/>
  <c r="S28" i="76"/>
  <c r="AA28" i="76"/>
  <c r="S32" i="76"/>
  <c r="AA34" i="76"/>
  <c r="S34" i="76"/>
  <c r="AA37" i="76"/>
  <c r="S37" i="76"/>
  <c r="AA39" i="76"/>
  <c r="S39" i="76"/>
  <c r="AA41" i="76"/>
  <c r="S41" i="76"/>
  <c r="S43" i="76"/>
  <c r="AA43" i="76"/>
  <c r="S45" i="76"/>
  <c r="S47" i="76"/>
  <c r="AA49" i="76"/>
  <c r="S49" i="76"/>
  <c r="S51" i="76"/>
  <c r="AA51" i="76"/>
  <c r="AA53" i="76"/>
  <c r="S55" i="76"/>
  <c r="AA55" i="76"/>
  <c r="AA60" i="76"/>
  <c r="S60" i="76"/>
  <c r="AA66" i="76"/>
  <c r="S66" i="76"/>
  <c r="S69" i="76"/>
  <c r="AA69" i="76"/>
  <c r="AA71" i="76"/>
  <c r="S71" i="76"/>
  <c r="P111" i="76"/>
  <c r="P221" i="76" s="1"/>
  <c r="Y170" i="76"/>
  <c r="Q170" i="76"/>
  <c r="Y176" i="76"/>
  <c r="Q176" i="76"/>
  <c r="Y179" i="76"/>
  <c r="Q179" i="76"/>
  <c r="Y181" i="76"/>
  <c r="Q181" i="76"/>
  <c r="U231" i="76"/>
  <c r="Q231" i="76"/>
  <c r="U233" i="76"/>
  <c r="Q233" i="76"/>
  <c r="U235" i="76"/>
  <c r="Q235" i="76"/>
  <c r="U238" i="76"/>
  <c r="Q238" i="76"/>
  <c r="U240" i="76"/>
  <c r="Q240" i="76"/>
  <c r="U242" i="76"/>
  <c r="Q242" i="76"/>
  <c r="U245" i="76"/>
  <c r="Q245" i="76"/>
  <c r="U247" i="76"/>
  <c r="Q247" i="76"/>
  <c r="M256" i="76"/>
  <c r="X373" i="76"/>
  <c r="P373" i="76"/>
  <c r="X379" i="76"/>
  <c r="P379" i="76"/>
  <c r="X395" i="76"/>
  <c r="P395" i="76"/>
  <c r="X398" i="76"/>
  <c r="P398" i="76"/>
  <c r="X400" i="76"/>
  <c r="P400" i="76"/>
  <c r="S8" i="76"/>
  <c r="AA8" i="76"/>
  <c r="S9" i="76"/>
  <c r="AA9" i="76"/>
  <c r="S10" i="76"/>
  <c r="Q14" i="76"/>
  <c r="Y15" i="76"/>
  <c r="Y21" i="76"/>
  <c r="AA24" i="76"/>
  <c r="R26" i="76"/>
  <c r="S29" i="76"/>
  <c r="X32" i="76"/>
  <c r="Z48" i="76"/>
  <c r="L232" i="76"/>
  <c r="O235" i="76"/>
  <c r="M242" i="76"/>
  <c r="O245" i="76"/>
  <c r="L247" i="76"/>
  <c r="X11" i="76"/>
  <c r="P11" i="76"/>
  <c r="X13" i="76"/>
  <c r="P13" i="76"/>
  <c r="X15" i="76"/>
  <c r="P15" i="76"/>
  <c r="X17" i="76"/>
  <c r="P17" i="76"/>
  <c r="X19" i="76"/>
  <c r="P19" i="76"/>
  <c r="P21" i="76"/>
  <c r="X21" i="76"/>
  <c r="P25" i="76"/>
  <c r="X27" i="76"/>
  <c r="P27" i="76"/>
  <c r="P29" i="76"/>
  <c r="X29" i="76"/>
  <c r="P33" i="76"/>
  <c r="X36" i="76"/>
  <c r="P38" i="76"/>
  <c r="X38" i="76"/>
  <c r="X40" i="76"/>
  <c r="P40" i="76"/>
  <c r="X42" i="76"/>
  <c r="P42" i="76"/>
  <c r="X44" i="76"/>
  <c r="P44" i="76"/>
  <c r="X46" i="76"/>
  <c r="P46" i="76"/>
  <c r="X48" i="76"/>
  <c r="P48" i="76"/>
  <c r="X50" i="76"/>
  <c r="P50" i="76"/>
  <c r="X52" i="76"/>
  <c r="P52" i="76"/>
  <c r="X54" i="76"/>
  <c r="P54" i="76"/>
  <c r="X56" i="76"/>
  <c r="X65" i="76"/>
  <c r="P65" i="76"/>
  <c r="X68" i="76"/>
  <c r="P68" i="76"/>
  <c r="X70" i="76"/>
  <c r="P70" i="76"/>
  <c r="M93" i="76"/>
  <c r="M203" i="76" s="1"/>
  <c r="S224" i="76"/>
  <c r="S110" i="75" s="1"/>
  <c r="S116" i="75" s="1"/>
  <c r="N99" i="76"/>
  <c r="N209" i="76" s="1"/>
  <c r="N103" i="76"/>
  <c r="N213" i="76" s="1"/>
  <c r="L106" i="76"/>
  <c r="L216" i="76" s="1"/>
  <c r="S112" i="76"/>
  <c r="S222" i="76" s="1"/>
  <c r="Z170" i="76"/>
  <c r="R170" i="76"/>
  <c r="Z176" i="76"/>
  <c r="R176" i="76"/>
  <c r="Z179" i="76"/>
  <c r="R179" i="76"/>
  <c r="Z181" i="76"/>
  <c r="R181" i="76"/>
  <c r="V231" i="76"/>
  <c r="R231" i="76"/>
  <c r="V233" i="76"/>
  <c r="R233" i="76"/>
  <c r="V235" i="76"/>
  <c r="R235" i="76"/>
  <c r="V238" i="76"/>
  <c r="R238" i="76"/>
  <c r="V240" i="76"/>
  <c r="R240" i="76"/>
  <c r="V242" i="76"/>
  <c r="R242" i="76"/>
  <c r="V245" i="76"/>
  <c r="R245" i="76"/>
  <c r="R247" i="76"/>
  <c r="V247" i="76"/>
  <c r="N247" i="76"/>
  <c r="N257" i="76"/>
  <c r="N268" i="76"/>
  <c r="Y373" i="76"/>
  <c r="Q373" i="76"/>
  <c r="Q379" i="76"/>
  <c r="Y379" i="76"/>
  <c r="Y395" i="76"/>
  <c r="Q395" i="76"/>
  <c r="Y398" i="76"/>
  <c r="Q398" i="76"/>
  <c r="Y400" i="76"/>
  <c r="Q400" i="76"/>
  <c r="Q11" i="76"/>
  <c r="Y12" i="76"/>
  <c r="Q19" i="76"/>
  <c r="Q20" i="76"/>
  <c r="S23" i="76"/>
  <c r="Y29" i="76"/>
  <c r="P31" i="76"/>
  <c r="AA32" i="76"/>
  <c r="R34" i="76"/>
  <c r="Z66" i="76"/>
  <c r="P145" i="76"/>
  <c r="L145" i="76"/>
  <c r="X167" i="76"/>
  <c r="T167" i="76"/>
  <c r="T168" i="76"/>
  <c r="X168" i="76"/>
  <c r="T169" i="76"/>
  <c r="X169" i="76"/>
  <c r="P67" i="76"/>
  <c r="L67" i="76"/>
  <c r="M370" i="76"/>
  <c r="Q370" i="76"/>
  <c r="M371" i="76"/>
  <c r="Q371" i="76"/>
  <c r="M372" i="76"/>
  <c r="Q372" i="76"/>
  <c r="U177" i="76"/>
  <c r="Y177" i="76"/>
  <c r="Z370" i="76"/>
  <c r="V370" i="76"/>
  <c r="Z371" i="76"/>
  <c r="V371" i="76"/>
  <c r="Z372" i="76"/>
  <c r="V372" i="76"/>
  <c r="S403" i="76"/>
  <c r="O403" i="76"/>
  <c r="S404" i="76"/>
  <c r="O404" i="76"/>
  <c r="S405" i="76"/>
  <c r="O405" i="76"/>
  <c r="AA67" i="76"/>
  <c r="W67" i="76"/>
  <c r="X405" i="76"/>
  <c r="T405" i="76"/>
  <c r="Q35" i="76"/>
  <c r="M35" i="76"/>
  <c r="M145" i="76"/>
  <c r="Q145" i="76"/>
  <c r="Y167" i="76"/>
  <c r="U167" i="76"/>
  <c r="Y168" i="76"/>
  <c r="U168" i="76"/>
  <c r="Y169" i="76"/>
  <c r="U169" i="76"/>
  <c r="M67" i="76"/>
  <c r="Q67" i="76"/>
  <c r="N237" i="76"/>
  <c r="R237" i="76"/>
  <c r="N282" i="76"/>
  <c r="R282" i="76"/>
  <c r="R57" i="76"/>
  <c r="N57" i="76"/>
  <c r="R58" i="76"/>
  <c r="N58" i="76"/>
  <c r="R59" i="76"/>
  <c r="N59" i="76"/>
  <c r="R244" i="76"/>
  <c r="N244" i="76"/>
  <c r="AA57" i="76"/>
  <c r="W57" i="76"/>
  <c r="AA58" i="76"/>
  <c r="W58" i="76"/>
  <c r="AA59" i="76"/>
  <c r="W59" i="76"/>
  <c r="S177" i="76"/>
  <c r="O177" i="76"/>
  <c r="M231" i="76"/>
  <c r="M234" i="76"/>
  <c r="L235" i="76"/>
  <c r="O239" i="76"/>
  <c r="N240" i="76"/>
  <c r="N241" i="76"/>
  <c r="L243" i="76"/>
  <c r="T35" i="76"/>
  <c r="X35" i="76"/>
  <c r="X348" i="76"/>
  <c r="T348" i="76"/>
  <c r="X402" i="76"/>
  <c r="T402" i="76"/>
  <c r="P167" i="76"/>
  <c r="L167" i="76"/>
  <c r="P168" i="76"/>
  <c r="L168" i="76"/>
  <c r="L169" i="76"/>
  <c r="P169" i="76"/>
  <c r="P289" i="76"/>
  <c r="L289" i="76"/>
  <c r="Q348" i="76"/>
  <c r="M348" i="76"/>
  <c r="Y35" i="76"/>
  <c r="U35" i="76"/>
  <c r="M402" i="76"/>
  <c r="Q402" i="76"/>
  <c r="U145" i="76"/>
  <c r="Y145" i="76"/>
  <c r="Y403" i="76"/>
  <c r="U403" i="76"/>
  <c r="Y404" i="76"/>
  <c r="U404" i="76"/>
  <c r="Y405" i="76"/>
  <c r="U405" i="76"/>
  <c r="R370" i="76"/>
  <c r="N370" i="76"/>
  <c r="R371" i="76"/>
  <c r="N371" i="76"/>
  <c r="R372" i="76"/>
  <c r="N372" i="76"/>
  <c r="V177" i="76"/>
  <c r="Z177" i="76"/>
  <c r="AA370" i="76"/>
  <c r="W370" i="76"/>
  <c r="AA371" i="76"/>
  <c r="W371" i="76"/>
  <c r="AA372" i="76"/>
  <c r="W372" i="76"/>
  <c r="N231" i="76"/>
  <c r="N234" i="76"/>
  <c r="M238" i="76"/>
  <c r="O241" i="76"/>
  <c r="M243" i="76"/>
  <c r="M246" i="76"/>
  <c r="P35" i="76"/>
  <c r="L35" i="76"/>
  <c r="P348" i="76"/>
  <c r="L348" i="76"/>
  <c r="X403" i="76"/>
  <c r="T403" i="76"/>
  <c r="P403" i="76"/>
  <c r="L403" i="76"/>
  <c r="P404" i="76"/>
  <c r="L404" i="76"/>
  <c r="P405" i="76"/>
  <c r="L405" i="76"/>
  <c r="X67" i="76"/>
  <c r="T67" i="76"/>
  <c r="Y348" i="76"/>
  <c r="U348" i="76"/>
  <c r="U402" i="76"/>
  <c r="Y402" i="76"/>
  <c r="Q167" i="76"/>
  <c r="M167" i="76"/>
  <c r="Q168" i="76"/>
  <c r="M168" i="76"/>
  <c r="Q169" i="76"/>
  <c r="M169" i="76"/>
  <c r="M289" i="76"/>
  <c r="Q289" i="76"/>
  <c r="R35" i="76"/>
  <c r="N35" i="76"/>
  <c r="N145" i="76"/>
  <c r="R145" i="76"/>
  <c r="Z167" i="76"/>
  <c r="V167" i="76"/>
  <c r="Z168" i="76"/>
  <c r="V168" i="76"/>
  <c r="Z169" i="76"/>
  <c r="V169" i="76"/>
  <c r="R67" i="76"/>
  <c r="N67" i="76"/>
  <c r="O237" i="76"/>
  <c r="S237" i="76"/>
  <c r="S282" i="76"/>
  <c r="O282" i="76"/>
  <c r="O57" i="76"/>
  <c r="S57" i="76"/>
  <c r="S58" i="76"/>
  <c r="O58" i="76"/>
  <c r="S59" i="76"/>
  <c r="O59" i="76"/>
  <c r="S244" i="76"/>
  <c r="O244" i="76"/>
  <c r="L230" i="76"/>
  <c r="L233" i="76"/>
  <c r="L241" i="76"/>
  <c r="N243" i="76"/>
  <c r="N246" i="76"/>
  <c r="X404" i="76"/>
  <c r="T404" i="76"/>
  <c r="X57" i="76"/>
  <c r="T57" i="76"/>
  <c r="T58" i="76"/>
  <c r="X58" i="76"/>
  <c r="T59" i="76"/>
  <c r="X59" i="76"/>
  <c r="L177" i="76"/>
  <c r="P177" i="76"/>
  <c r="Q403" i="76"/>
  <c r="M403" i="76"/>
  <c r="Q404" i="76"/>
  <c r="M404" i="76"/>
  <c r="Q405" i="76"/>
  <c r="M405" i="76"/>
  <c r="U67" i="76"/>
  <c r="Y67" i="76"/>
  <c r="R348" i="76"/>
  <c r="N348" i="76"/>
  <c r="Z35" i="76"/>
  <c r="V35" i="76"/>
  <c r="R402" i="76"/>
  <c r="N402" i="76"/>
  <c r="Z145" i="76"/>
  <c r="V145" i="76"/>
  <c r="Z403" i="76"/>
  <c r="V403" i="76"/>
  <c r="Z404" i="76"/>
  <c r="V404" i="76"/>
  <c r="Z405" i="76"/>
  <c r="V405" i="76"/>
  <c r="S370" i="76"/>
  <c r="O370" i="76"/>
  <c r="S371" i="76"/>
  <c r="O371" i="76"/>
  <c r="S372" i="76"/>
  <c r="O372" i="76"/>
  <c r="AA177" i="76"/>
  <c r="W177" i="76"/>
  <c r="L231" i="76"/>
  <c r="M233" i="76"/>
  <c r="M236" i="76"/>
  <c r="O238" i="76"/>
  <c r="N239" i="76"/>
  <c r="M240" i="76"/>
  <c r="M245" i="76"/>
  <c r="T370" i="76"/>
  <c r="X370" i="76"/>
  <c r="T371" i="76"/>
  <c r="X371" i="76"/>
  <c r="X372" i="76"/>
  <c r="T372" i="76"/>
  <c r="Y57" i="76"/>
  <c r="U57" i="76"/>
  <c r="Y58" i="76"/>
  <c r="U58" i="76"/>
  <c r="Y59" i="76"/>
  <c r="U59" i="76"/>
  <c r="M177" i="76"/>
  <c r="Q177" i="76"/>
  <c r="Z348" i="76"/>
  <c r="V348" i="76"/>
  <c r="V402" i="76"/>
  <c r="Z402" i="76"/>
  <c r="R167" i="76"/>
  <c r="N167" i="76"/>
  <c r="R168" i="76"/>
  <c r="N168" i="76"/>
  <c r="R169" i="76"/>
  <c r="N169" i="76"/>
  <c r="R289" i="76"/>
  <c r="N289" i="76"/>
  <c r="S35" i="76"/>
  <c r="O35" i="76"/>
  <c r="S145" i="76"/>
  <c r="O145" i="76"/>
  <c r="AA167" i="76"/>
  <c r="W167" i="76"/>
  <c r="AA168" i="76"/>
  <c r="W168" i="76"/>
  <c r="AA169" i="76"/>
  <c r="W169" i="76"/>
  <c r="S67" i="76"/>
  <c r="O67" i="76"/>
  <c r="T145" i="76"/>
  <c r="X145" i="76"/>
  <c r="P237" i="76"/>
  <c r="L237" i="76"/>
  <c r="P282" i="76"/>
  <c r="L282" i="76"/>
  <c r="P57" i="76"/>
  <c r="L57" i="76"/>
  <c r="L58" i="76"/>
  <c r="P58" i="76"/>
  <c r="L59" i="76"/>
  <c r="P59" i="76"/>
  <c r="P244" i="76"/>
  <c r="L244" i="76"/>
  <c r="U370" i="76"/>
  <c r="Y370" i="76"/>
  <c r="U371" i="76"/>
  <c r="Y371" i="76"/>
  <c r="U372" i="76"/>
  <c r="Y372" i="76"/>
  <c r="R403" i="76"/>
  <c r="N403" i="76"/>
  <c r="R404" i="76"/>
  <c r="N404" i="76"/>
  <c r="R405" i="76"/>
  <c r="N405" i="76"/>
  <c r="V67" i="76"/>
  <c r="Z67" i="76"/>
  <c r="S348" i="76"/>
  <c r="O348" i="76"/>
  <c r="AA35" i="76"/>
  <c r="W35" i="76"/>
  <c r="S402" i="76"/>
  <c r="O402" i="76"/>
  <c r="W145" i="76"/>
  <c r="AA145" i="76"/>
  <c r="AA403" i="76"/>
  <c r="W403" i="76"/>
  <c r="AA404" i="76"/>
  <c r="W404" i="76"/>
  <c r="AA405" i="76"/>
  <c r="W405" i="76"/>
  <c r="P402" i="76"/>
  <c r="L402" i="76"/>
  <c r="L370" i="76"/>
  <c r="P370" i="76"/>
  <c r="L371" i="76"/>
  <c r="P371" i="76"/>
  <c r="P372" i="76"/>
  <c r="L372" i="76"/>
  <c r="T177" i="76"/>
  <c r="X177" i="76"/>
  <c r="Q237" i="76"/>
  <c r="M237" i="76"/>
  <c r="Q282" i="76"/>
  <c r="M282" i="76"/>
  <c r="Q57" i="76"/>
  <c r="M57" i="76"/>
  <c r="Q58" i="76"/>
  <c r="M58" i="76"/>
  <c r="Q59" i="76"/>
  <c r="M59" i="76"/>
  <c r="Q244" i="76"/>
  <c r="M244" i="76"/>
  <c r="Z57" i="76"/>
  <c r="V57" i="76"/>
  <c r="Z58" i="76"/>
  <c r="V58" i="76"/>
  <c r="Z59" i="76"/>
  <c r="V59" i="76"/>
  <c r="N177" i="76"/>
  <c r="R177" i="76"/>
  <c r="AA348" i="76"/>
  <c r="W348" i="76"/>
  <c r="AA402" i="76"/>
  <c r="W402" i="76"/>
  <c r="S167" i="76"/>
  <c r="O167" i="76"/>
  <c r="S168" i="76"/>
  <c r="O168" i="76"/>
  <c r="S169" i="76"/>
  <c r="O169" i="76"/>
  <c r="O289" i="76"/>
  <c r="S289" i="76"/>
  <c r="S203" i="76"/>
  <c r="O93" i="76"/>
  <c r="O203" i="76" s="1"/>
  <c r="R208" i="76"/>
  <c r="N98" i="76"/>
  <c r="N208" i="76" s="1"/>
  <c r="T207" i="76"/>
  <c r="P213" i="76"/>
  <c r="L103" i="76"/>
  <c r="L213" i="76" s="1"/>
  <c r="P206" i="76"/>
  <c r="L96" i="76"/>
  <c r="L206" i="76" s="1"/>
  <c r="L97" i="76"/>
  <c r="U207" i="76"/>
  <c r="M104" i="76"/>
  <c r="M214" i="76" s="1"/>
  <c r="Q206" i="76"/>
  <c r="M96" i="76"/>
  <c r="M206" i="76" s="1"/>
  <c r="R210" i="76"/>
  <c r="N100" i="76"/>
  <c r="Q220" i="76"/>
  <c r="M110" i="76"/>
  <c r="Q111" i="76"/>
  <c r="Q221" i="76" s="1"/>
  <c r="S205" i="76"/>
  <c r="O95" i="76"/>
  <c r="S210" i="76"/>
  <c r="O100" i="76"/>
  <c r="O210" i="76" s="1"/>
  <c r="Q216" i="76"/>
  <c r="Q112" i="76"/>
  <c r="Q222" i="76" s="1"/>
  <c r="M106" i="76"/>
  <c r="Q107" i="76"/>
  <c r="O217" i="76"/>
  <c r="Q218" i="76"/>
  <c r="M108" i="76"/>
  <c r="Q109" i="76"/>
  <c r="Q219" i="76" s="1"/>
  <c r="R220" i="76"/>
  <c r="N110" i="76"/>
  <c r="R111" i="76"/>
  <c r="R221" i="76" s="1"/>
  <c r="T205" i="76"/>
  <c r="R216" i="76"/>
  <c r="R224" i="76" s="1"/>
  <c r="R110" i="75" s="1"/>
  <c r="R116" i="75" s="1"/>
  <c r="R112" i="76"/>
  <c r="R222" i="76" s="1"/>
  <c r="N106" i="76"/>
  <c r="R107" i="76"/>
  <c r="H266" i="76"/>
  <c r="T265" i="76" s="1"/>
  <c r="P107" i="76"/>
  <c r="P204" i="76"/>
  <c r="L94" i="76"/>
  <c r="L204" i="76" s="1"/>
  <c r="L95" i="76"/>
  <c r="M99" i="76"/>
  <c r="M209" i="76" s="1"/>
  <c r="Q215" i="76"/>
  <c r="M105" i="76"/>
  <c r="M215" i="76" s="1"/>
  <c r="I264" i="76"/>
  <c r="Q267" i="76" s="1"/>
  <c r="Q312" i="76" s="1"/>
  <c r="U109" i="76"/>
  <c r="U219" i="76" s="1"/>
  <c r="U107" i="76"/>
  <c r="R203" i="76"/>
  <c r="N93" i="76"/>
  <c r="N203" i="76" s="1"/>
  <c r="Q208" i="76"/>
  <c r="M98" i="76"/>
  <c r="M208" i="76" s="1"/>
  <c r="R215" i="76"/>
  <c r="N105" i="76"/>
  <c r="N215" i="76" s="1"/>
  <c r="J264" i="76"/>
  <c r="R267" i="76" s="1"/>
  <c r="R312" i="76" s="1"/>
  <c r="V111" i="76"/>
  <c r="V221" i="76" s="1"/>
  <c r="R109" i="76"/>
  <c r="R219" i="76" s="1"/>
  <c r="N94" i="76"/>
  <c r="N204" i="76" s="1"/>
  <c r="O96" i="76"/>
  <c r="O206" i="76" s="1"/>
  <c r="L99" i="76"/>
  <c r="L209" i="76" s="1"/>
  <c r="Q210" i="76"/>
  <c r="M100" i="76"/>
  <c r="M210" i="76" s="1"/>
  <c r="S212" i="76"/>
  <c r="O102" i="76"/>
  <c r="W107" i="76"/>
  <c r="P218" i="76"/>
  <c r="P109" i="76"/>
  <c r="P219" i="76" s="1"/>
  <c r="L108" i="76"/>
  <c r="V109" i="76"/>
  <c r="V219" i="76" s="1"/>
  <c r="W112" i="76"/>
  <c r="W222" i="76" s="1"/>
  <c r="L93" i="76"/>
  <c r="L203" i="76" s="1"/>
  <c r="Q204" i="76"/>
  <c r="M94" i="76"/>
  <c r="M204" i="76" s="1"/>
  <c r="U205" i="76"/>
  <c r="O99" i="76"/>
  <c r="O209" i="76" s="1"/>
  <c r="L102" i="76"/>
  <c r="L212" i="76" s="1"/>
  <c r="N104" i="76"/>
  <c r="N214" i="76" s="1"/>
  <c r="S220" i="76"/>
  <c r="O110" i="76"/>
  <c r="O112" i="76" s="1"/>
  <c r="O222" i="76" s="1"/>
  <c r="S111" i="76"/>
  <c r="S221" i="76" s="1"/>
  <c r="P214" i="76"/>
  <c r="L104" i="76"/>
  <c r="L214" i="76" s="1"/>
  <c r="T216" i="76"/>
  <c r="T224" i="76" s="1"/>
  <c r="T110" i="75" s="1"/>
  <c r="T107" i="76"/>
  <c r="T220" i="76"/>
  <c r="T111" i="76"/>
  <c r="T221" i="76" s="1"/>
  <c r="L98" i="76"/>
  <c r="L208" i="76" s="1"/>
  <c r="S107" i="76"/>
  <c r="S109" i="76"/>
  <c r="S219" i="76" s="1"/>
  <c r="L110" i="76"/>
  <c r="U220" i="76"/>
  <c r="U111" i="76"/>
  <c r="U221" i="76" s="1"/>
  <c r="T112" i="76"/>
  <c r="T222" i="76" s="1"/>
  <c r="P205" i="76"/>
  <c r="Q212" i="76"/>
  <c r="M102" i="76"/>
  <c r="N218" i="76"/>
  <c r="N109" i="76"/>
  <c r="N219" i="76" s="1"/>
  <c r="V224" i="76"/>
  <c r="V110" i="75" s="1"/>
  <c r="R207" i="76"/>
  <c r="S214" i="76"/>
  <c r="O104" i="76"/>
  <c r="O214" i="76" s="1"/>
  <c r="V107" i="76"/>
  <c r="W218" i="76"/>
  <c r="W224" i="76" s="1"/>
  <c r="W110" i="75" s="1"/>
  <c r="W109" i="76"/>
  <c r="W219" i="76" s="1"/>
  <c r="W111" i="76"/>
  <c r="W221" i="76" s="1"/>
  <c r="V112" i="76"/>
  <c r="V222" i="76" s="1"/>
  <c r="S269" i="76"/>
  <c r="S314" i="76" s="1"/>
  <c r="W267" i="76"/>
  <c r="W312" i="76" s="1"/>
  <c r="S265" i="76"/>
  <c r="U224" i="76"/>
  <c r="U110" i="75" s="1"/>
  <c r="P267" i="76"/>
  <c r="P312" i="76" s="1"/>
  <c r="T269" i="76"/>
  <c r="T314" i="76" s="1"/>
  <c r="P112" i="76"/>
  <c r="P222" i="76" s="1"/>
  <c r="S297" i="76"/>
  <c r="O297" i="76" s="1"/>
  <c r="O252" i="76"/>
  <c r="M253" i="76"/>
  <c r="S301" i="76"/>
  <c r="O301" i="76" s="1"/>
  <c r="O256" i="76"/>
  <c r="M257" i="76"/>
  <c r="Q302" i="76"/>
  <c r="M302" i="76" s="1"/>
  <c r="S305" i="76"/>
  <c r="O305" i="76" s="1"/>
  <c r="O260" i="76"/>
  <c r="Q306" i="76"/>
  <c r="M306" i="76" s="1"/>
  <c r="M261" i="76"/>
  <c r="L262" i="76"/>
  <c r="P309" i="76"/>
  <c r="L264" i="76"/>
  <c r="N296" i="76"/>
  <c r="L299" i="76"/>
  <c r="N306" i="76"/>
  <c r="N302" i="76"/>
  <c r="M313" i="76"/>
  <c r="U313" i="76"/>
  <c r="M303" i="76"/>
  <c r="Q307" i="76"/>
  <c r="M307" i="76" s="1"/>
  <c r="M262" i="76"/>
  <c r="Q311" i="76"/>
  <c r="M266" i="76"/>
  <c r="N313" i="76"/>
  <c r="V313" i="76"/>
  <c r="P296" i="76"/>
  <c r="L296" i="76" s="1"/>
  <c r="L251" i="76"/>
  <c r="L252" i="76"/>
  <c r="R299" i="76"/>
  <c r="N299" i="76" s="1"/>
  <c r="N254" i="76"/>
  <c r="P300" i="76"/>
  <c r="L300" i="76" s="1"/>
  <c r="L255" i="76"/>
  <c r="L256" i="76"/>
  <c r="R303" i="76"/>
  <c r="N303" i="76" s="1"/>
  <c r="N258" i="76"/>
  <c r="P304" i="76"/>
  <c r="L304" i="76" s="1"/>
  <c r="L259" i="76"/>
  <c r="L260" i="76"/>
  <c r="R307" i="76"/>
  <c r="N307" i="76" s="1"/>
  <c r="N262" i="76"/>
  <c r="R311" i="76"/>
  <c r="N266" i="76"/>
  <c r="O313" i="76"/>
  <c r="O269" i="76"/>
  <c r="O314" i="76" s="1"/>
  <c r="W313" i="76"/>
  <c r="W269" i="76"/>
  <c r="W314" i="76" s="1"/>
  <c r="L297" i="76"/>
  <c r="N304" i="76"/>
  <c r="Q296" i="76"/>
  <c r="M296" i="76" s="1"/>
  <c r="M251" i="76"/>
  <c r="S299" i="76"/>
  <c r="O299" i="76" s="1"/>
  <c r="O254" i="76"/>
  <c r="M255" i="76"/>
  <c r="Q300" i="76"/>
  <c r="M300" i="76" s="1"/>
  <c r="S303" i="76"/>
  <c r="O303" i="76" s="1"/>
  <c r="O258" i="76"/>
  <c r="Q304" i="76"/>
  <c r="M304" i="76" s="1"/>
  <c r="M259" i="76"/>
  <c r="S307" i="76"/>
  <c r="O307" i="76" s="1"/>
  <c r="O262" i="76"/>
  <c r="L263" i="76"/>
  <c r="L308" i="76" s="1"/>
  <c r="P308" i="76"/>
  <c r="S267" i="76"/>
  <c r="S312" i="76" s="1"/>
  <c r="O266" i="76"/>
  <c r="S311" i="76"/>
  <c r="P313" i="76"/>
  <c r="P269" i="76"/>
  <c r="P314" i="76" s="1"/>
  <c r="L268" i="76"/>
  <c r="P270" i="76"/>
  <c r="N298" i="76"/>
  <c r="L301" i="76"/>
  <c r="L305" i="76"/>
  <c r="M309" i="76"/>
  <c r="U309" i="76"/>
  <c r="T311" i="76"/>
  <c r="T267" i="76"/>
  <c r="T312" i="76" s="1"/>
  <c r="U270" i="76"/>
  <c r="U315" i="76" s="1"/>
  <c r="R297" i="76"/>
  <c r="N297" i="76" s="1"/>
  <c r="N309" i="76"/>
  <c r="V309" i="76"/>
  <c r="V270" i="76"/>
  <c r="V315" i="76" s="1"/>
  <c r="Q298" i="76"/>
  <c r="M305" i="76"/>
  <c r="P298" i="76"/>
  <c r="L253" i="76"/>
  <c r="R301" i="76"/>
  <c r="N301" i="76" s="1"/>
  <c r="N256" i="76"/>
  <c r="L257" i="76"/>
  <c r="P302" i="76"/>
  <c r="L302" i="76" s="1"/>
  <c r="R305" i="76"/>
  <c r="N305" i="76" s="1"/>
  <c r="N260" i="76"/>
  <c r="P306" i="76"/>
  <c r="L306" i="76" s="1"/>
  <c r="L261" i="76"/>
  <c r="O265" i="76"/>
  <c r="O309" i="76"/>
  <c r="W309" i="76"/>
  <c r="W265" i="76"/>
  <c r="W270" i="76"/>
  <c r="W315" i="76" s="1"/>
  <c r="Q270" i="76"/>
  <c r="T298" i="76"/>
  <c r="O296" i="76"/>
  <c r="O298" i="76"/>
  <c r="O300" i="76"/>
  <c r="O302" i="76"/>
  <c r="O304" i="76"/>
  <c r="O306" i="76"/>
  <c r="R270" i="76"/>
  <c r="S270" i="76"/>
  <c r="T270" i="76"/>
  <c r="T315" i="76" s="1"/>
  <c r="X341" i="76"/>
  <c r="P347" i="76"/>
  <c r="Q325" i="76"/>
  <c r="Q333" i="76"/>
  <c r="Q341" i="76"/>
  <c r="Q350" i="76"/>
  <c r="X360" i="76"/>
  <c r="E54" i="76"/>
  <c r="E104" i="76"/>
  <c r="E214" i="76" s="1"/>
  <c r="E262" i="76" s="1"/>
  <c r="E307" i="76" s="1"/>
  <c r="E70" i="76"/>
  <c r="E243" i="76"/>
  <c r="E71" i="76"/>
  <c r="E247" i="76"/>
  <c r="E248" i="76"/>
  <c r="D2" i="76"/>
  <c r="E238" i="76"/>
  <c r="E36" i="76"/>
  <c r="D3" i="76"/>
  <c r="D4" i="76"/>
  <c r="L311" i="76" l="1"/>
  <c r="L107" i="76"/>
  <c r="E250" i="68" a="1"/>
  <c r="E250" i="68" s="1"/>
  <c r="E274" i="68" a="1"/>
  <c r="E274" i="68" s="1"/>
  <c r="E262" i="68" a="1"/>
  <c r="E262" i="68" s="1"/>
  <c r="E286" i="68" a="1"/>
  <c r="E286" i="68" s="1"/>
  <c r="M269" i="76"/>
  <c r="M314" i="76" s="1"/>
  <c r="Q224" i="76"/>
  <c r="Q110" i="75" s="1"/>
  <c r="Q116" i="75" s="1"/>
  <c r="M265" i="76"/>
  <c r="M310" i="76" s="1"/>
  <c r="V269" i="76"/>
  <c r="V314" i="76" s="1"/>
  <c r="U269" i="76"/>
  <c r="U314" i="76" s="1"/>
  <c r="O218" i="76"/>
  <c r="O224" i="76" s="1"/>
  <c r="O110" i="75" s="1"/>
  <c r="O109" i="76"/>
  <c r="O219" i="76" s="1"/>
  <c r="N269" i="76"/>
  <c r="N314" i="76" s="1"/>
  <c r="P265" i="76"/>
  <c r="P310" i="76" s="1"/>
  <c r="Z363" i="76"/>
  <c r="R363" i="76"/>
  <c r="Y361" i="76"/>
  <c r="Q361" i="76"/>
  <c r="X365" i="76"/>
  <c r="P365" i="76"/>
  <c r="AA368" i="76"/>
  <c r="S368" i="76"/>
  <c r="Y346" i="76"/>
  <c r="Q346" i="76"/>
  <c r="Y338" i="76"/>
  <c r="Q338" i="76"/>
  <c r="Y330" i="76"/>
  <c r="Q330" i="76"/>
  <c r="Y322" i="76"/>
  <c r="Q322" i="76"/>
  <c r="Z354" i="76"/>
  <c r="R354" i="76"/>
  <c r="X344" i="76"/>
  <c r="P344" i="76"/>
  <c r="X336" i="76"/>
  <c r="P336" i="76"/>
  <c r="X328" i="76"/>
  <c r="P328" i="76"/>
  <c r="AA362" i="76"/>
  <c r="S362" i="76"/>
  <c r="Y355" i="76"/>
  <c r="Q355" i="76"/>
  <c r="AA338" i="76"/>
  <c r="AA330" i="76"/>
  <c r="AA322" i="76"/>
  <c r="S322" i="76"/>
  <c r="X353" i="76"/>
  <c r="P353" i="76"/>
  <c r="Z344" i="76"/>
  <c r="R344" i="76"/>
  <c r="Z336" i="76"/>
  <c r="R336" i="76"/>
  <c r="Z328" i="76"/>
  <c r="R328" i="76"/>
  <c r="Q358" i="76"/>
  <c r="Y350" i="76"/>
  <c r="Y341" i="76"/>
  <c r="Y333" i="76"/>
  <c r="Y325" i="76"/>
  <c r="Q323" i="76"/>
  <c r="P368" i="76"/>
  <c r="P339" i="76"/>
  <c r="X333" i="76"/>
  <c r="X327" i="76"/>
  <c r="S367" i="76"/>
  <c r="S363" i="76"/>
  <c r="S344" i="76"/>
  <c r="N230" i="76"/>
  <c r="Z367" i="76"/>
  <c r="R367" i="76"/>
  <c r="S329" i="76"/>
  <c r="AA329" i="76"/>
  <c r="AA364" i="76"/>
  <c r="S364" i="76"/>
  <c r="AA341" i="76"/>
  <c r="S341" i="76"/>
  <c r="AA333" i="76"/>
  <c r="S333" i="76"/>
  <c r="AA365" i="76"/>
  <c r="Z343" i="76"/>
  <c r="R343" i="76"/>
  <c r="Z335" i="76"/>
  <c r="R335" i="76"/>
  <c r="Z327" i="76"/>
  <c r="R327" i="76"/>
  <c r="Z321" i="76"/>
  <c r="R321" i="76"/>
  <c r="AA360" i="76"/>
  <c r="S360" i="76"/>
  <c r="Z353" i="76"/>
  <c r="R353" i="76"/>
  <c r="P345" i="76"/>
  <c r="X337" i="76"/>
  <c r="X329" i="76"/>
  <c r="N265" i="76"/>
  <c r="N310" i="76" s="1"/>
  <c r="Q366" i="76"/>
  <c r="Q360" i="76"/>
  <c r="Q345" i="76"/>
  <c r="Q343" i="76"/>
  <c r="Q335" i="76"/>
  <c r="Q327" i="76"/>
  <c r="Y323" i="76"/>
  <c r="X339" i="76"/>
  <c r="AA367" i="76"/>
  <c r="AA363" i="76"/>
  <c r="S353" i="76"/>
  <c r="S346" i="76"/>
  <c r="S342" i="76"/>
  <c r="AA332" i="76"/>
  <c r="S330" i="76"/>
  <c r="Z360" i="76"/>
  <c r="R360" i="76"/>
  <c r="Y353" i="76"/>
  <c r="Q353" i="76"/>
  <c r="AA344" i="76"/>
  <c r="S328" i="76"/>
  <c r="AA328" i="76"/>
  <c r="Z362" i="76"/>
  <c r="R362" i="76"/>
  <c r="S357" i="76"/>
  <c r="AA357" i="76"/>
  <c r="P351" i="76"/>
  <c r="X351" i="76"/>
  <c r="Z342" i="76"/>
  <c r="R342" i="76"/>
  <c r="Z334" i="76"/>
  <c r="R334" i="76"/>
  <c r="Z326" i="76"/>
  <c r="R326" i="76"/>
  <c r="Q368" i="76"/>
  <c r="Y360" i="76"/>
  <c r="Q352" i="76"/>
  <c r="Y343" i="76"/>
  <c r="Y335" i="76"/>
  <c r="Y327" i="76"/>
  <c r="X362" i="76"/>
  <c r="X356" i="76"/>
  <c r="P352" i="76"/>
  <c r="P331" i="76"/>
  <c r="X325" i="76"/>
  <c r="S361" i="76"/>
  <c r="AA355" i="76"/>
  <c r="AA346" i="76"/>
  <c r="AA342" i="76"/>
  <c r="R368" i="76"/>
  <c r="Z368" i="76"/>
  <c r="R361" i="76"/>
  <c r="Z361" i="76"/>
  <c r="P363" i="76"/>
  <c r="X363" i="76"/>
  <c r="Q344" i="76"/>
  <c r="Y344" i="76"/>
  <c r="Q328" i="76"/>
  <c r="Y328" i="76"/>
  <c r="Z352" i="76"/>
  <c r="R352" i="76"/>
  <c r="P326" i="76"/>
  <c r="X326" i="76"/>
  <c r="AA327" i="76"/>
  <c r="S327" i="76"/>
  <c r="AA321" i="76"/>
  <c r="S321" i="76"/>
  <c r="X357" i="76"/>
  <c r="P357" i="76"/>
  <c r="AA347" i="76"/>
  <c r="S347" i="76"/>
  <c r="S339" i="76"/>
  <c r="AA339" i="76"/>
  <c r="AA331" i="76"/>
  <c r="S331" i="76"/>
  <c r="R364" i="76"/>
  <c r="Z364" i="76"/>
  <c r="P350" i="76"/>
  <c r="Z341" i="76"/>
  <c r="R341" i="76"/>
  <c r="Z333" i="76"/>
  <c r="R333" i="76"/>
  <c r="Z325" i="76"/>
  <c r="R325" i="76"/>
  <c r="S358" i="76"/>
  <c r="AA358" i="76"/>
  <c r="Z351" i="76"/>
  <c r="R351" i="76"/>
  <c r="P321" i="76"/>
  <c r="Q362" i="76"/>
  <c r="Y354" i="76"/>
  <c r="Y352" i="76"/>
  <c r="Q337" i="76"/>
  <c r="Q329" i="76"/>
  <c r="Q321" i="76"/>
  <c r="P354" i="76"/>
  <c r="X352" i="76"/>
  <c r="P343" i="76"/>
  <c r="P337" i="76"/>
  <c r="X331" i="76"/>
  <c r="P323" i="76"/>
  <c r="S365" i="76"/>
  <c r="AA361" i="76"/>
  <c r="S336" i="76"/>
  <c r="S334" i="76"/>
  <c r="X367" i="76"/>
  <c r="P367" i="76"/>
  <c r="Z359" i="76"/>
  <c r="R359" i="76"/>
  <c r="Q365" i="76"/>
  <c r="Y365" i="76"/>
  <c r="P361" i="76"/>
  <c r="X361" i="76"/>
  <c r="AA352" i="76"/>
  <c r="S352" i="76"/>
  <c r="Y342" i="76"/>
  <c r="Q342" i="76"/>
  <c r="Y334" i="76"/>
  <c r="Q334" i="76"/>
  <c r="Y326" i="76"/>
  <c r="Q326" i="76"/>
  <c r="Q359" i="76"/>
  <c r="Y359" i="76"/>
  <c r="Z350" i="76"/>
  <c r="R350" i="76"/>
  <c r="X340" i="76"/>
  <c r="P340" i="76"/>
  <c r="X332" i="76"/>
  <c r="P332" i="76"/>
  <c r="X324" i="76"/>
  <c r="P324" i="76"/>
  <c r="R358" i="76"/>
  <c r="Z358" i="76"/>
  <c r="Q351" i="76"/>
  <c r="Y351" i="76"/>
  <c r="AA326" i="76"/>
  <c r="S326" i="76"/>
  <c r="P356" i="76"/>
  <c r="X349" i="76"/>
  <c r="P349" i="76"/>
  <c r="Z340" i="76"/>
  <c r="R340" i="76"/>
  <c r="Z332" i="76"/>
  <c r="R332" i="76"/>
  <c r="R324" i="76"/>
  <c r="Z324" i="76"/>
  <c r="Y366" i="76"/>
  <c r="Y337" i="76"/>
  <c r="Y329" i="76"/>
  <c r="Y321" i="76"/>
  <c r="P358" i="76"/>
  <c r="X354" i="76"/>
  <c r="X350" i="76"/>
  <c r="X345" i="76"/>
  <c r="X343" i="76"/>
  <c r="X321" i="76"/>
  <c r="S355" i="76"/>
  <c r="S351" i="76"/>
  <c r="AA336" i="76"/>
  <c r="AA334" i="76"/>
  <c r="AA325" i="76"/>
  <c r="S325" i="76"/>
  <c r="S337" i="76"/>
  <c r="AA337" i="76"/>
  <c r="Z347" i="76"/>
  <c r="R347" i="76"/>
  <c r="Z339" i="76"/>
  <c r="R339" i="76"/>
  <c r="Z331" i="76"/>
  <c r="R331" i="76"/>
  <c r="AA356" i="76"/>
  <c r="S356" i="76"/>
  <c r="AA349" i="76"/>
  <c r="Q364" i="76"/>
  <c r="Y362" i="76"/>
  <c r="Y356" i="76"/>
  <c r="Q347" i="76"/>
  <c r="Y345" i="76"/>
  <c r="Q339" i="76"/>
  <c r="Q331" i="76"/>
  <c r="P366" i="76"/>
  <c r="P335" i="76"/>
  <c r="P329" i="76"/>
  <c r="S359" i="76"/>
  <c r="AA351" i="76"/>
  <c r="AA354" i="76"/>
  <c r="S354" i="76"/>
  <c r="Q336" i="76"/>
  <c r="Y336" i="76"/>
  <c r="P362" i="76"/>
  <c r="P342" i="76"/>
  <c r="X342" i="76"/>
  <c r="P334" i="76"/>
  <c r="X334" i="76"/>
  <c r="R365" i="76"/>
  <c r="Z365" i="76"/>
  <c r="R357" i="76"/>
  <c r="Z357" i="76"/>
  <c r="Q363" i="76"/>
  <c r="Y363" i="76"/>
  <c r="X368" i="76"/>
  <c r="P359" i="76"/>
  <c r="X359" i="76"/>
  <c r="P360" i="76"/>
  <c r="AA350" i="76"/>
  <c r="S350" i="76"/>
  <c r="Y340" i="76"/>
  <c r="Q340" i="76"/>
  <c r="Y332" i="76"/>
  <c r="Q332" i="76"/>
  <c r="Y324" i="76"/>
  <c r="Q324" i="76"/>
  <c r="Y357" i="76"/>
  <c r="Q357" i="76"/>
  <c r="X346" i="76"/>
  <c r="P346" i="76"/>
  <c r="X338" i="76"/>
  <c r="P338" i="76"/>
  <c r="X330" i="76"/>
  <c r="P330" i="76"/>
  <c r="P322" i="76"/>
  <c r="X322" i="76"/>
  <c r="AA366" i="76"/>
  <c r="S366" i="76"/>
  <c r="Y349" i="76"/>
  <c r="Q349" i="76"/>
  <c r="S340" i="76"/>
  <c r="S332" i="76"/>
  <c r="AA324" i="76"/>
  <c r="S324" i="76"/>
  <c r="Z366" i="76"/>
  <c r="R366" i="76"/>
  <c r="AA359" i="76"/>
  <c r="P355" i="76"/>
  <c r="X355" i="76"/>
  <c r="Z346" i="76"/>
  <c r="R346" i="76"/>
  <c r="Z338" i="76"/>
  <c r="R338" i="76"/>
  <c r="Z330" i="76"/>
  <c r="R330" i="76"/>
  <c r="Z322" i="76"/>
  <c r="R322" i="76"/>
  <c r="Y368" i="76"/>
  <c r="Y364" i="76"/>
  <c r="Y358" i="76"/>
  <c r="Q354" i="76"/>
  <c r="Y347" i="76"/>
  <c r="Y339" i="76"/>
  <c r="Y331" i="76"/>
  <c r="X366" i="76"/>
  <c r="X335" i="76"/>
  <c r="S338" i="76"/>
  <c r="M230" i="76"/>
  <c r="AA345" i="76"/>
  <c r="S345" i="76"/>
  <c r="Z323" i="76"/>
  <c r="R323" i="76"/>
  <c r="Z356" i="76"/>
  <c r="R356" i="76"/>
  <c r="Z349" i="76"/>
  <c r="R349" i="76"/>
  <c r="P341" i="76"/>
  <c r="P333" i="76"/>
  <c r="P325" i="76"/>
  <c r="AA323" i="76"/>
  <c r="S323" i="76"/>
  <c r="AA343" i="76"/>
  <c r="S343" i="76"/>
  <c r="AA335" i="76"/>
  <c r="S335" i="76"/>
  <c r="Y367" i="76"/>
  <c r="Q367" i="76"/>
  <c r="Z345" i="76"/>
  <c r="R345" i="76"/>
  <c r="Z337" i="76"/>
  <c r="R337" i="76"/>
  <c r="Z329" i="76"/>
  <c r="R329" i="76"/>
  <c r="P364" i="76"/>
  <c r="Z355" i="76"/>
  <c r="R355" i="76"/>
  <c r="X323" i="76"/>
  <c r="P224" i="76"/>
  <c r="P110" i="75" s="1"/>
  <c r="P116" i="75" s="1"/>
  <c r="Q356" i="76"/>
  <c r="X364" i="76"/>
  <c r="X358" i="76"/>
  <c r="X347" i="76"/>
  <c r="P327" i="76"/>
  <c r="AA353" i="76"/>
  <c r="S349" i="76"/>
  <c r="AA340" i="76"/>
  <c r="S315" i="76"/>
  <c r="O270" i="76"/>
  <c r="O315" i="76" s="1"/>
  <c r="R217" i="76"/>
  <c r="R113" i="76"/>
  <c r="L313" i="76"/>
  <c r="L269" i="76"/>
  <c r="L314" i="76" s="1"/>
  <c r="M216" i="76"/>
  <c r="M107" i="76"/>
  <c r="M112" i="76"/>
  <c r="M222" i="76" s="1"/>
  <c r="M220" i="76"/>
  <c r="M111" i="76"/>
  <c r="M221" i="76" s="1"/>
  <c r="L220" i="76"/>
  <c r="L111" i="76"/>
  <c r="N220" i="76"/>
  <c r="N111" i="76"/>
  <c r="N221" i="76" s="1"/>
  <c r="N311" i="76"/>
  <c r="N267" i="76"/>
  <c r="N312" i="76" s="1"/>
  <c r="M212" i="76"/>
  <c r="S217" i="76"/>
  <c r="S113" i="76"/>
  <c r="T310" i="76"/>
  <c r="T271" i="76"/>
  <c r="M298" i="76"/>
  <c r="L218" i="76"/>
  <c r="L224" i="76" s="1"/>
  <c r="L110" i="75" s="1"/>
  <c r="L109" i="76"/>
  <c r="L219" i="76" s="1"/>
  <c r="L112" i="76"/>
  <c r="L222" i="76" s="1"/>
  <c r="U217" i="76"/>
  <c r="U113" i="76"/>
  <c r="N216" i="76"/>
  <c r="N224" i="76" s="1"/>
  <c r="N110" i="75" s="1"/>
  <c r="N112" i="76"/>
  <c r="N222" i="76" s="1"/>
  <c r="N107" i="76"/>
  <c r="L207" i="76"/>
  <c r="O310" i="76"/>
  <c r="W217" i="76"/>
  <c r="W113" i="76"/>
  <c r="R315" i="76"/>
  <c r="N270" i="76"/>
  <c r="N315" i="76" s="1"/>
  <c r="O212" i="76"/>
  <c r="O205" i="76"/>
  <c r="S310" i="76"/>
  <c r="S271" i="76"/>
  <c r="P217" i="76"/>
  <c r="P113" i="76"/>
  <c r="O311" i="76"/>
  <c r="O267" i="76"/>
  <c r="O312" i="76" s="1"/>
  <c r="M311" i="76"/>
  <c r="M267" i="76"/>
  <c r="M312" i="76" s="1"/>
  <c r="O220" i="76"/>
  <c r="O111" i="76"/>
  <c r="L309" i="76"/>
  <c r="L265" i="76"/>
  <c r="V217" i="76"/>
  <c r="V113" i="76"/>
  <c r="Q269" i="76"/>
  <c r="Q314" i="76" s="1"/>
  <c r="U267" i="76"/>
  <c r="U312" i="76" s="1"/>
  <c r="Q265" i="76"/>
  <c r="U265" i="76"/>
  <c r="N210" i="76"/>
  <c r="Q315" i="76"/>
  <c r="M270" i="76"/>
  <c r="M315" i="76" s="1"/>
  <c r="L298" i="76"/>
  <c r="L217" i="76"/>
  <c r="R269" i="76"/>
  <c r="R314" i="76" s="1"/>
  <c r="V267" i="76"/>
  <c r="V312" i="76" s="1"/>
  <c r="R265" i="76"/>
  <c r="V265" i="76"/>
  <c r="L205" i="76"/>
  <c r="M218" i="76"/>
  <c r="M109" i="76"/>
  <c r="M219" i="76" s="1"/>
  <c r="W310" i="76"/>
  <c r="W271" i="76"/>
  <c r="L270" i="76"/>
  <c r="L315" i="76" s="1"/>
  <c r="P315" i="76"/>
  <c r="T217" i="76"/>
  <c r="T113" i="76"/>
  <c r="Q217" i="76"/>
  <c r="Q113" i="76"/>
  <c r="E395" i="76"/>
  <c r="E60" i="76"/>
  <c r="E43" i="76"/>
  <c r="E399" i="76"/>
  <c r="E400" i="76"/>
  <c r="E398" i="76"/>
  <c r="E66" i="76"/>
  <c r="E393" i="76"/>
  <c r="E55" i="76"/>
  <c r="E65" i="76"/>
  <c r="F286" i="68" l="1" a="1"/>
  <c r="F286" i="68" s="1"/>
  <c r="F287" i="68" s="1"/>
  <c r="HZ11" i="68" s="1"/>
  <c r="E287" i="68"/>
  <c r="HZ10" i="68" s="1"/>
  <c r="E263" i="68"/>
  <c r="HR10" i="68" s="1"/>
  <c r="F262" i="68" a="1"/>
  <c r="F262" i="68" s="1"/>
  <c r="F263" i="68" s="1"/>
  <c r="HR11" i="68" s="1"/>
  <c r="F274" i="68" a="1"/>
  <c r="F274" i="68" s="1"/>
  <c r="E275" i="68"/>
  <c r="HV10" i="68" s="1"/>
  <c r="F250" i="68" a="1"/>
  <c r="F250" i="68" s="1"/>
  <c r="F251" i="68" s="1"/>
  <c r="HN11" i="68" s="1"/>
  <c r="E251" i="68"/>
  <c r="HN10" i="68" s="1"/>
  <c r="P271" i="76"/>
  <c r="P316" i="76" s="1"/>
  <c r="N271" i="76"/>
  <c r="N316" i="76" s="1"/>
  <c r="M224" i="76"/>
  <c r="M110" i="75" s="1"/>
  <c r="L221" i="76"/>
  <c r="L113" i="76"/>
  <c r="L223" i="76" s="1"/>
  <c r="M271" i="76"/>
  <c r="M316" i="76" s="1"/>
  <c r="W316" i="76"/>
  <c r="V310" i="76"/>
  <c r="V271" i="76"/>
  <c r="L310" i="76"/>
  <c r="L271" i="76"/>
  <c r="Q223" i="76"/>
  <c r="U310" i="76"/>
  <c r="U271" i="76"/>
  <c r="O271" i="76"/>
  <c r="R310" i="76"/>
  <c r="R271" i="76"/>
  <c r="U223" i="76"/>
  <c r="Q310" i="76"/>
  <c r="Q271" i="76"/>
  <c r="R223" i="76"/>
  <c r="T223" i="76"/>
  <c r="P223" i="76"/>
  <c r="T316" i="76"/>
  <c r="M217" i="76"/>
  <c r="M113" i="76"/>
  <c r="O221" i="76"/>
  <c r="O113" i="76"/>
  <c r="W223" i="76"/>
  <c r="S223" i="76"/>
  <c r="V223" i="76"/>
  <c r="S316" i="76"/>
  <c r="N217" i="76"/>
  <c r="N113" i="76"/>
  <c r="E397" i="76"/>
  <c r="G250" i="68" l="1" a="1"/>
  <c r="G250" i="68" s="1"/>
  <c r="H250" i="68" s="1" a="1"/>
  <c r="H250" i="68" s="1"/>
  <c r="H251" i="68" s="1"/>
  <c r="HT10" i="68"/>
  <c r="E264" i="68"/>
  <c r="HS10" i="68"/>
  <c r="IF10" i="68"/>
  <c r="F252" i="68"/>
  <c r="HP11" i="68"/>
  <c r="HO11" i="68"/>
  <c r="IE11" i="68"/>
  <c r="IH10" i="68"/>
  <c r="IB10" i="68"/>
  <c r="IA10" i="68"/>
  <c r="E288" i="68"/>
  <c r="HW10" i="68"/>
  <c r="IG10" i="68"/>
  <c r="HX10" i="68"/>
  <c r="E276" i="68"/>
  <c r="G286" i="68" a="1"/>
  <c r="G286" i="68" s="1"/>
  <c r="G274" i="68" a="1"/>
  <c r="G274" i="68" s="1"/>
  <c r="F275" i="68"/>
  <c r="HV11" i="68" s="1"/>
  <c r="IB11" i="68"/>
  <c r="F288" i="68"/>
  <c r="IA11" i="68"/>
  <c r="IH11" i="68"/>
  <c r="G262" i="68" a="1"/>
  <c r="G262" i="68" s="1"/>
  <c r="IE10" i="68"/>
  <c r="HO10" i="68"/>
  <c r="HP10" i="68"/>
  <c r="E252" i="68"/>
  <c r="HT11" i="68"/>
  <c r="HS11" i="68"/>
  <c r="IF11" i="68"/>
  <c r="F264" i="68"/>
  <c r="O316" i="76"/>
  <c r="V316" i="76"/>
  <c r="Q316" i="76"/>
  <c r="L316" i="76"/>
  <c r="O223" i="76"/>
  <c r="U316" i="76"/>
  <c r="N223" i="76"/>
  <c r="M223" i="76"/>
  <c r="R316" i="76"/>
  <c r="H262" i="68" l="1" a="1"/>
  <c r="H262" i="68" s="1"/>
  <c r="H263" i="68" s="1"/>
  <c r="HR13" i="68" s="1"/>
  <c r="G263" i="68"/>
  <c r="HR12" i="68" s="1"/>
  <c r="G287" i="68"/>
  <c r="HZ12" i="68" s="1"/>
  <c r="H286" i="68" a="1"/>
  <c r="H286" i="68" s="1"/>
  <c r="HX11" i="68"/>
  <c r="HW11" i="68"/>
  <c r="F276" i="68"/>
  <c r="IG11" i="68"/>
  <c r="E285" i="69"/>
  <c r="HY10" i="69"/>
  <c r="E289" i="68"/>
  <c r="E253" i="68"/>
  <c r="E249" i="69"/>
  <c r="HM10" i="69"/>
  <c r="HU10" i="69"/>
  <c r="E273" i="69"/>
  <c r="E277" i="68"/>
  <c r="H274" i="68" a="1"/>
  <c r="H274" i="68" s="1"/>
  <c r="HQ10" i="69"/>
  <c r="E261" i="69"/>
  <c r="E265" i="68"/>
  <c r="F265" i="68"/>
  <c r="HQ11" i="69"/>
  <c r="F261" i="69"/>
  <c r="F253" i="68"/>
  <c r="HM11" i="69"/>
  <c r="F249" i="69"/>
  <c r="F289" i="68"/>
  <c r="F285" i="69"/>
  <c r="HY11" i="69"/>
  <c r="G251" i="68"/>
  <c r="HN12" i="68" s="1"/>
  <c r="HN13" i="68" s="1"/>
  <c r="I250" i="68" a="1"/>
  <c r="I250" i="68" s="1"/>
  <c r="G275" i="68"/>
  <c r="HV12" i="68" s="1"/>
  <c r="H275" i="68" l="1"/>
  <c r="HV13" i="68" s="1"/>
  <c r="E292" i="68"/>
  <c r="E290" i="68"/>
  <c r="E293" i="68"/>
  <c r="E291" i="68"/>
  <c r="E315" i="68"/>
  <c r="J250" i="68" a="1"/>
  <c r="J250" i="68" s="1"/>
  <c r="I251" i="68"/>
  <c r="HN14" i="68" s="1"/>
  <c r="E313" i="68"/>
  <c r="E268" i="68"/>
  <c r="E269" i="68"/>
  <c r="E267" i="68"/>
  <c r="E266" i="68"/>
  <c r="IG12" i="68"/>
  <c r="HW12" i="68"/>
  <c r="G276" i="68"/>
  <c r="HX12" i="68"/>
  <c r="HO12" i="68"/>
  <c r="IE12" i="68"/>
  <c r="HP12" i="68"/>
  <c r="G252" i="68"/>
  <c r="F293" i="68"/>
  <c r="F290" i="68"/>
  <c r="F315" i="68"/>
  <c r="F292" i="68"/>
  <c r="F291" i="68"/>
  <c r="E256" i="68"/>
  <c r="E312" i="68"/>
  <c r="E255" i="68"/>
  <c r="AB1" i="75"/>
  <c r="E257" i="68"/>
  <c r="E254" i="68"/>
  <c r="I286" i="68" a="1"/>
  <c r="I286" i="68" s="1"/>
  <c r="J286" i="68" s="1" a="1"/>
  <c r="J286" i="68" s="1"/>
  <c r="J287" i="68" s="1"/>
  <c r="H287" i="68"/>
  <c r="HZ13" i="68" s="1"/>
  <c r="I262" i="68" a="1"/>
  <c r="I262" i="68" s="1"/>
  <c r="E278" i="68"/>
  <c r="E280" i="68"/>
  <c r="E281" i="68"/>
  <c r="E279" i="68"/>
  <c r="E314" i="68"/>
  <c r="G288" i="68"/>
  <c r="IB12" i="68"/>
  <c r="IA12" i="68"/>
  <c r="IH12" i="68"/>
  <c r="HS12" i="68"/>
  <c r="IF12" i="68"/>
  <c r="HT12" i="68"/>
  <c r="G264" i="68"/>
  <c r="F256" i="68"/>
  <c r="F254" i="68"/>
  <c r="F257" i="68"/>
  <c r="F255" i="68"/>
  <c r="F312" i="68"/>
  <c r="AF1" i="75"/>
  <c r="F267" i="68"/>
  <c r="F266" i="68"/>
  <c r="F269" i="68"/>
  <c r="F313" i="68"/>
  <c r="F268" i="68"/>
  <c r="HT13" i="68"/>
  <c r="HS13" i="68"/>
  <c r="H264" i="68"/>
  <c r="IF13" i="68"/>
  <c r="I274" i="68" a="1"/>
  <c r="I274" i="68" s="1"/>
  <c r="HP13" i="68"/>
  <c r="H252" i="68"/>
  <c r="IE13" i="68"/>
  <c r="HO13" i="68"/>
  <c r="F277" i="68"/>
  <c r="HU11" i="69"/>
  <c r="F273" i="69"/>
  <c r="E294" i="68" l="1"/>
  <c r="F258" i="68"/>
  <c r="E270" i="68"/>
  <c r="E258" i="68"/>
  <c r="AF269" i="75"/>
  <c r="AF73" i="75"/>
  <c r="AF33" i="75"/>
  <c r="AF32" i="76" s="1"/>
  <c r="AF202" i="75"/>
  <c r="AF330" i="75"/>
  <c r="AF393" i="76" s="1"/>
  <c r="AF268" i="75"/>
  <c r="AF214" i="75"/>
  <c r="AF189" i="75"/>
  <c r="AF9" i="75"/>
  <c r="AF22" i="75"/>
  <c r="AF21" i="76" s="1"/>
  <c r="AF62" i="75"/>
  <c r="AF182" i="75"/>
  <c r="AF326" i="75"/>
  <c r="AF389" i="76" s="1"/>
  <c r="AF103" i="75"/>
  <c r="AF402" i="75"/>
  <c r="AF44" i="75"/>
  <c r="AF43" i="76" s="1"/>
  <c r="AF58" i="75"/>
  <c r="AF15" i="75"/>
  <c r="AF14" i="76" s="1"/>
  <c r="AF83" i="75"/>
  <c r="AF287" i="75"/>
  <c r="AF177" i="75"/>
  <c r="AF322" i="75"/>
  <c r="AF34" i="75"/>
  <c r="AF33" i="76" s="1"/>
  <c r="AF85" i="75"/>
  <c r="AF11" i="75"/>
  <c r="AF10" i="76" s="1"/>
  <c r="AF18" i="75"/>
  <c r="AF17" i="76" s="1"/>
  <c r="AF305" i="75"/>
  <c r="AF25" i="75"/>
  <c r="AF24" i="76" s="1"/>
  <c r="AF396" i="75"/>
  <c r="AF50" i="75"/>
  <c r="AF49" i="76" s="1"/>
  <c r="AF68" i="75"/>
  <c r="AF171" i="75"/>
  <c r="AF59" i="75"/>
  <c r="AF301" i="75"/>
  <c r="AF307" i="75"/>
  <c r="AF64" i="75"/>
  <c r="AF275" i="75"/>
  <c r="AF272" i="75"/>
  <c r="AF314" i="75"/>
  <c r="AF377" i="76" s="1"/>
  <c r="AF324" i="75"/>
  <c r="AF387" i="76" s="1"/>
  <c r="AF401" i="75"/>
  <c r="AF52" i="75"/>
  <c r="AF51" i="76" s="1"/>
  <c r="AF55" i="75"/>
  <c r="AF54" i="76" s="1"/>
  <c r="AF45" i="75"/>
  <c r="AF44" i="76" s="1"/>
  <c r="AF181" i="75"/>
  <c r="AF192" i="75"/>
  <c r="AF293" i="75"/>
  <c r="AF280" i="75"/>
  <c r="AF88" i="75"/>
  <c r="AF27" i="75"/>
  <c r="AF26" i="76" s="1"/>
  <c r="AF215" i="75"/>
  <c r="AF260" i="75"/>
  <c r="AF65" i="75"/>
  <c r="AF172" i="75"/>
  <c r="AF308" i="75"/>
  <c r="AF200" i="75"/>
  <c r="AF179" i="75"/>
  <c r="AF188" i="75"/>
  <c r="AF81" i="75"/>
  <c r="AF290" i="75"/>
  <c r="AF208" i="75"/>
  <c r="AF63" i="75"/>
  <c r="AF42" i="75"/>
  <c r="AF41" i="76" s="1"/>
  <c r="AF328" i="75"/>
  <c r="AF391" i="76" s="1"/>
  <c r="AF35" i="75"/>
  <c r="AF34" i="76" s="1"/>
  <c r="AF297" i="75"/>
  <c r="AF279" i="75"/>
  <c r="AF342" i="76" s="1"/>
  <c r="AF194" i="75"/>
  <c r="AF207" i="75"/>
  <c r="AF216" i="75"/>
  <c r="AF185" i="75"/>
  <c r="AF335" i="76" s="1"/>
  <c r="AF89" i="75"/>
  <c r="AF261" i="75"/>
  <c r="AF285" i="75"/>
  <c r="AF299" i="75"/>
  <c r="AF304" i="75"/>
  <c r="AF281" i="75"/>
  <c r="AF74" i="75"/>
  <c r="AF312" i="75"/>
  <c r="AF375" i="76" s="1"/>
  <c r="AF204" i="75"/>
  <c r="AF273" i="75"/>
  <c r="AF302" i="75"/>
  <c r="AF31" i="75"/>
  <c r="AF30" i="76" s="1"/>
  <c r="AF174" i="75"/>
  <c r="AF324" i="76" s="1"/>
  <c r="AF84" i="75"/>
  <c r="AF209" i="75"/>
  <c r="AF210" i="75"/>
  <c r="AF66" i="75"/>
  <c r="AF69" i="75"/>
  <c r="AF218" i="75"/>
  <c r="AF291" i="75"/>
  <c r="AF354" i="76" s="1"/>
  <c r="AF180" i="75"/>
  <c r="AF47" i="75"/>
  <c r="AF46" i="76" s="1"/>
  <c r="AF400" i="75"/>
  <c r="AF29" i="75"/>
  <c r="AF28" i="76" s="1"/>
  <c r="AF71" i="75"/>
  <c r="AF102" i="75"/>
  <c r="AF262" i="75"/>
  <c r="AF292" i="75"/>
  <c r="AF17" i="75"/>
  <c r="AF16" i="76" s="1"/>
  <c r="AF313" i="75"/>
  <c r="AF376" i="76" s="1"/>
  <c r="AF14" i="75"/>
  <c r="AF13" i="76" s="1"/>
  <c r="AF72" i="75"/>
  <c r="AF309" i="75"/>
  <c r="AF176" i="75"/>
  <c r="AF178" i="75"/>
  <c r="AF193" i="75"/>
  <c r="AF343" i="76" s="1"/>
  <c r="AF70" i="75"/>
  <c r="AF69" i="76" s="1"/>
  <c r="AF199" i="75"/>
  <c r="AF26" i="75"/>
  <c r="AF25" i="76" s="1"/>
  <c r="AF203" i="75"/>
  <c r="AF23" i="75"/>
  <c r="AF22" i="76" s="1"/>
  <c r="AF183" i="75"/>
  <c r="AF332" i="75"/>
  <c r="AF395" i="76" s="1"/>
  <c r="AF303" i="75"/>
  <c r="AF57" i="75"/>
  <c r="AF166" i="76" s="1"/>
  <c r="AF196" i="75"/>
  <c r="AF60" i="75"/>
  <c r="AF104" i="75"/>
  <c r="AF264" i="75"/>
  <c r="AF283" i="75"/>
  <c r="AF298" i="75"/>
  <c r="AF266" i="75"/>
  <c r="AF329" i="76" s="1"/>
  <c r="AF300" i="75"/>
  <c r="AF286" i="75"/>
  <c r="AF39" i="75"/>
  <c r="AF38" i="76" s="1"/>
  <c r="AF186" i="75"/>
  <c r="AF76" i="75"/>
  <c r="AF32" i="75"/>
  <c r="AF31" i="76" s="1"/>
  <c r="AF61" i="75"/>
  <c r="AF277" i="75"/>
  <c r="AF191" i="75"/>
  <c r="AF184" i="75"/>
  <c r="AF212" i="75"/>
  <c r="AF276" i="75"/>
  <c r="AF403" i="75"/>
  <c r="AF87" i="75"/>
  <c r="AF46" i="75"/>
  <c r="AF45" i="76" s="1"/>
  <c r="AF77" i="75"/>
  <c r="AF282" i="75"/>
  <c r="AF173" i="75"/>
  <c r="AF187" i="75"/>
  <c r="AF78" i="75"/>
  <c r="AF274" i="75"/>
  <c r="AF13" i="75"/>
  <c r="AF12" i="76" s="1"/>
  <c r="AF43" i="75"/>
  <c r="AF42" i="76" s="1"/>
  <c r="AF48" i="75"/>
  <c r="AF47" i="76" s="1"/>
  <c r="AF38" i="75"/>
  <c r="AF37" i="76" s="1"/>
  <c r="AF19" i="75"/>
  <c r="AF18" i="76" s="1"/>
  <c r="AF205" i="75"/>
  <c r="AF295" i="75"/>
  <c r="AF358" i="76" s="1"/>
  <c r="AF21" i="75"/>
  <c r="AF20" i="76" s="1"/>
  <c r="AF10" i="75"/>
  <c r="AF9" i="76" s="1"/>
  <c r="AF311" i="75"/>
  <c r="AF374" i="76" s="1"/>
  <c r="AF40" i="75"/>
  <c r="AF39" i="76" s="1"/>
  <c r="AF337" i="75"/>
  <c r="AF400" i="76" s="1"/>
  <c r="AF51" i="75"/>
  <c r="AF50" i="76" s="1"/>
  <c r="AF399" i="75"/>
  <c r="AF335" i="75"/>
  <c r="AF398" i="76" s="1"/>
  <c r="AF175" i="75"/>
  <c r="AF395" i="75"/>
  <c r="AF334" i="75"/>
  <c r="AF397" i="76" s="1"/>
  <c r="AF190" i="75"/>
  <c r="AF340" i="76" s="1"/>
  <c r="AF49" i="75"/>
  <c r="AF48" i="76" s="1"/>
  <c r="AF80" i="75"/>
  <c r="AF267" i="75"/>
  <c r="AF217" i="75"/>
  <c r="AF67" i="75"/>
  <c r="AF20" i="75"/>
  <c r="AF19" i="76" s="1"/>
  <c r="AF28" i="75"/>
  <c r="AF27" i="76" s="1"/>
  <c r="AF86" i="75"/>
  <c r="AF16" i="75"/>
  <c r="AF15" i="76" s="1"/>
  <c r="AF316" i="75"/>
  <c r="AF379" i="76" s="1"/>
  <c r="AF306" i="75"/>
  <c r="AF36" i="75"/>
  <c r="AF198" i="75"/>
  <c r="AF263" i="75"/>
  <c r="AF197" i="75"/>
  <c r="AF284" i="75"/>
  <c r="AF90" i="75"/>
  <c r="AF75" i="75"/>
  <c r="AF41" i="75"/>
  <c r="AF40" i="76" s="1"/>
  <c r="AF37" i="75"/>
  <c r="AF36" i="76" s="1"/>
  <c r="AF336" i="75"/>
  <c r="AF399" i="76" s="1"/>
  <c r="AF278" i="75"/>
  <c r="AF258" i="75"/>
  <c r="AF54" i="75"/>
  <c r="AF53" i="76" s="1"/>
  <c r="AF294" i="75"/>
  <c r="AF357" i="76" s="1"/>
  <c r="AF211" i="75"/>
  <c r="AF82" i="75"/>
  <c r="AF24" i="75"/>
  <c r="AF23" i="76" s="1"/>
  <c r="AF310" i="75"/>
  <c r="AF373" i="76" s="1"/>
  <c r="AF405" i="75"/>
  <c r="AF265" i="75"/>
  <c r="AF195" i="75"/>
  <c r="AF296" i="75"/>
  <c r="AF359" i="76" s="1"/>
  <c r="AF79" i="75"/>
  <c r="AF206" i="75"/>
  <c r="AF289" i="75"/>
  <c r="AF404" i="75"/>
  <c r="AF270" i="75"/>
  <c r="AF398" i="75"/>
  <c r="AF315" i="75"/>
  <c r="AF378" i="76" s="1"/>
  <c r="AF213" i="75"/>
  <c r="AF363" i="76" s="1"/>
  <c r="AF271" i="75"/>
  <c r="AF201" i="75"/>
  <c r="AF53" i="75"/>
  <c r="AF52" i="76" s="1"/>
  <c r="AF12" i="75"/>
  <c r="AF11" i="76" s="1"/>
  <c r="AF397" i="75"/>
  <c r="AF288" i="75"/>
  <c r="AF56" i="75"/>
  <c r="AF55" i="76" s="1"/>
  <c r="AF259" i="75"/>
  <c r="AF322" i="76" s="1"/>
  <c r="AF30" i="75"/>
  <c r="AF29" i="76" s="1"/>
  <c r="AF1" i="76"/>
  <c r="J274" i="68" a="1"/>
  <c r="J274" i="68" s="1"/>
  <c r="K274" i="68" s="1" a="1"/>
  <c r="K274" i="68" s="1"/>
  <c r="HM13" i="69"/>
  <c r="H249" i="69"/>
  <c r="H253" i="68"/>
  <c r="F305" i="69"/>
  <c r="F301" i="68"/>
  <c r="F309" i="68" s="1"/>
  <c r="K286" i="68" a="1"/>
  <c r="K286" i="68" s="1"/>
  <c r="I252" i="68"/>
  <c r="HO14" i="68"/>
  <c r="HP14" i="68"/>
  <c r="IE14" i="68"/>
  <c r="G261" i="69"/>
  <c r="HQ12" i="69"/>
  <c r="G265" i="68"/>
  <c r="F307" i="69"/>
  <c r="F303" i="68"/>
  <c r="F311" i="68" s="1"/>
  <c r="E305" i="69"/>
  <c r="E301" i="68"/>
  <c r="G289" i="68"/>
  <c r="G285" i="69"/>
  <c r="HY12" i="69"/>
  <c r="E282" i="68"/>
  <c r="F294" i="68"/>
  <c r="K250" i="68" a="1"/>
  <c r="K250" i="68" s="1"/>
  <c r="L250" i="68" s="1" a="1"/>
  <c r="L250" i="68" s="1"/>
  <c r="J251" i="68"/>
  <c r="HN15" i="68" s="1"/>
  <c r="F300" i="68"/>
  <c r="F308" i="68" s="1"/>
  <c r="F304" i="69"/>
  <c r="F281" i="68"/>
  <c r="F314" i="68"/>
  <c r="F279" i="68"/>
  <c r="F280" i="68"/>
  <c r="F278" i="68"/>
  <c r="F270" i="68"/>
  <c r="IH13" i="68"/>
  <c r="IA13" i="68"/>
  <c r="IB13" i="68"/>
  <c r="H288" i="68"/>
  <c r="I287" i="68"/>
  <c r="HZ14" i="68" s="1"/>
  <c r="HU12" i="69"/>
  <c r="G273" i="69"/>
  <c r="G277" i="68"/>
  <c r="AB18" i="75"/>
  <c r="AB17" i="76" s="1"/>
  <c r="AB186" i="75"/>
  <c r="AB316" i="75"/>
  <c r="AB379" i="76" s="1"/>
  <c r="AB282" i="75"/>
  <c r="AB31" i="75"/>
  <c r="AB30" i="76" s="1"/>
  <c r="AB34" i="75"/>
  <c r="AB33" i="76" s="1"/>
  <c r="AB68" i="75"/>
  <c r="AB265" i="75"/>
  <c r="AB328" i="76" s="1"/>
  <c r="AB11" i="75"/>
  <c r="AB10" i="76" s="1"/>
  <c r="AB36" i="75"/>
  <c r="AB90" i="75"/>
  <c r="AB197" i="75"/>
  <c r="AB217" i="75"/>
  <c r="AB60" i="75"/>
  <c r="AB183" i="75"/>
  <c r="AB333" i="76" s="1"/>
  <c r="AB272" i="75"/>
  <c r="AB286" i="75"/>
  <c r="AB202" i="75"/>
  <c r="AB401" i="75"/>
  <c r="AB102" i="75"/>
  <c r="AB291" i="75"/>
  <c r="AB26" i="75"/>
  <c r="AB25" i="76" s="1"/>
  <c r="AB302" i="75"/>
  <c r="AB365" i="76" s="1"/>
  <c r="AB404" i="75"/>
  <c r="AB54" i="75"/>
  <c r="AB53" i="76" s="1"/>
  <c r="AB62" i="75"/>
  <c r="AB307" i="75"/>
  <c r="AB69" i="75"/>
  <c r="AB178" i="76" s="1"/>
  <c r="AB41" i="75"/>
  <c r="AB40" i="76" s="1"/>
  <c r="AB290" i="75"/>
  <c r="AB276" i="75"/>
  <c r="AB315" i="75"/>
  <c r="AB378" i="76" s="1"/>
  <c r="AB205" i="75"/>
  <c r="AB195" i="75"/>
  <c r="AB74" i="75"/>
  <c r="AB184" i="75"/>
  <c r="AB334" i="75"/>
  <c r="AB397" i="76" s="1"/>
  <c r="AB296" i="75"/>
  <c r="AB285" i="75"/>
  <c r="AB180" i="75"/>
  <c r="AB398" i="75"/>
  <c r="AB70" i="75"/>
  <c r="AB215" i="75"/>
  <c r="AB81" i="75"/>
  <c r="AB289" i="75"/>
  <c r="AB326" i="75"/>
  <c r="AB389" i="76" s="1"/>
  <c r="AB19" i="75"/>
  <c r="AB18" i="76" s="1"/>
  <c r="AB305" i="75"/>
  <c r="AB368" i="76" s="1"/>
  <c r="AB193" i="75"/>
  <c r="AB312" i="75"/>
  <c r="AB375" i="76" s="1"/>
  <c r="AB172" i="75"/>
  <c r="AB198" i="75"/>
  <c r="AB46" i="75"/>
  <c r="AB45" i="76" s="1"/>
  <c r="AB12" i="75"/>
  <c r="AB11" i="76" s="1"/>
  <c r="AB278" i="75"/>
  <c r="AB299" i="75"/>
  <c r="AB337" i="75"/>
  <c r="AB400" i="76" s="1"/>
  <c r="AB35" i="75"/>
  <c r="AB34" i="76" s="1"/>
  <c r="AB30" i="75"/>
  <c r="AB29" i="76" s="1"/>
  <c r="AB44" i="75"/>
  <c r="AB43" i="76" s="1"/>
  <c r="AB173" i="75"/>
  <c r="AB332" i="75"/>
  <c r="AB395" i="76" s="1"/>
  <c r="AB29" i="75"/>
  <c r="AB28" i="76" s="1"/>
  <c r="AB16" i="75"/>
  <c r="AB15" i="76" s="1"/>
  <c r="AB189" i="75"/>
  <c r="AB324" i="75"/>
  <c r="AB387" i="76" s="1"/>
  <c r="AB335" i="75"/>
  <c r="AB398" i="76" s="1"/>
  <c r="AB293" i="75"/>
  <c r="AB208" i="75"/>
  <c r="AB82" i="75"/>
  <c r="AB21" i="75"/>
  <c r="AB20" i="76" s="1"/>
  <c r="AB280" i="75"/>
  <c r="AB343" i="76" s="1"/>
  <c r="AB274" i="75"/>
  <c r="AB178" i="75"/>
  <c r="AB203" i="75"/>
  <c r="AB209" i="75"/>
  <c r="AB52" i="75"/>
  <c r="AB51" i="76" s="1"/>
  <c r="AB67" i="75"/>
  <c r="AB66" i="76" s="1"/>
  <c r="AB37" i="75"/>
  <c r="AB36" i="76" s="1"/>
  <c r="AB43" i="75"/>
  <c r="AB42" i="76" s="1"/>
  <c r="AB216" i="75"/>
  <c r="AB399" i="75"/>
  <c r="AB171" i="75"/>
  <c r="AB295" i="75"/>
  <c r="AB400" i="75"/>
  <c r="AB10" i="75"/>
  <c r="AB9" i="76" s="1"/>
  <c r="AB80" i="75"/>
  <c r="AB194" i="75"/>
  <c r="AB211" i="75"/>
  <c r="AB263" i="75"/>
  <c r="AB273" i="75"/>
  <c r="AB56" i="75"/>
  <c r="AB55" i="76" s="1"/>
  <c r="AB9" i="75"/>
  <c r="AB284" i="75"/>
  <c r="AB298" i="75"/>
  <c r="AB45" i="75"/>
  <c r="AB44" i="76" s="1"/>
  <c r="AB261" i="75"/>
  <c r="AB73" i="75"/>
  <c r="AB277" i="75"/>
  <c r="AB66" i="75"/>
  <c r="AB175" i="76" s="1"/>
  <c r="AB188" i="75"/>
  <c r="AB78" i="75"/>
  <c r="AB396" i="75"/>
  <c r="AB212" i="75"/>
  <c r="AB362" i="76" s="1"/>
  <c r="AB192" i="75"/>
  <c r="AB175" i="75"/>
  <c r="AB190" i="75"/>
  <c r="AB83" i="75"/>
  <c r="AB288" i="75"/>
  <c r="AB300" i="75"/>
  <c r="AB336" i="75"/>
  <c r="AB399" i="76" s="1"/>
  <c r="AB40" i="75"/>
  <c r="AB39" i="76" s="1"/>
  <c r="AB84" i="75"/>
  <c r="AB199" i="75"/>
  <c r="AB310" i="75"/>
  <c r="AB373" i="76" s="1"/>
  <c r="AB57" i="75"/>
  <c r="AB166" i="76" s="1"/>
  <c r="AB48" i="75"/>
  <c r="AB47" i="76" s="1"/>
  <c r="AB201" i="75"/>
  <c r="AB303" i="75"/>
  <c r="AB366" i="76" s="1"/>
  <c r="AB196" i="75"/>
  <c r="AB77" i="75"/>
  <c r="AB210" i="75"/>
  <c r="AB275" i="75"/>
  <c r="AB76" i="75"/>
  <c r="AB269" i="75"/>
  <c r="AB63" i="75"/>
  <c r="AB314" i="75"/>
  <c r="AB377" i="76" s="1"/>
  <c r="AB39" i="75"/>
  <c r="AB38" i="76" s="1"/>
  <c r="AB55" i="75"/>
  <c r="AB54" i="76" s="1"/>
  <c r="AB23" i="75"/>
  <c r="AB22" i="76" s="1"/>
  <c r="AB182" i="75"/>
  <c r="AB214" i="75"/>
  <c r="AB322" i="75"/>
  <c r="AB32" i="75"/>
  <c r="AB31" i="76" s="1"/>
  <c r="AB267" i="75"/>
  <c r="AB309" i="75"/>
  <c r="AB218" i="75"/>
  <c r="AB42" i="75"/>
  <c r="AB41" i="76" s="1"/>
  <c r="AB71" i="75"/>
  <c r="AB185" i="75"/>
  <c r="AB313" i="75"/>
  <c r="AB376" i="76" s="1"/>
  <c r="AB181" i="75"/>
  <c r="AB281" i="75"/>
  <c r="AB204" i="75"/>
  <c r="AB354" i="76" s="1"/>
  <c r="AB20" i="75"/>
  <c r="AB19" i="76" s="1"/>
  <c r="AB297" i="75"/>
  <c r="AB306" i="75"/>
  <c r="AB200" i="75"/>
  <c r="AB15" i="75"/>
  <c r="AB14" i="76" s="1"/>
  <c r="AB206" i="75"/>
  <c r="AB283" i="75"/>
  <c r="AB301" i="75"/>
  <c r="AB38" i="75"/>
  <c r="AB37" i="76" s="1"/>
  <c r="AB179" i="75"/>
  <c r="AB304" i="75"/>
  <c r="AB64" i="75"/>
  <c r="AB328" i="75"/>
  <c r="AB391" i="76" s="1"/>
  <c r="AB266" i="75"/>
  <c r="AB329" i="76" s="1"/>
  <c r="AB75" i="75"/>
  <c r="AB25" i="75"/>
  <c r="AB24" i="76" s="1"/>
  <c r="AB14" i="75"/>
  <c r="AB13" i="76" s="1"/>
  <c r="AB259" i="75"/>
  <c r="AB322" i="76" s="1"/>
  <c r="AB403" i="75"/>
  <c r="AB177" i="75"/>
  <c r="AB47" i="75"/>
  <c r="AB46" i="76" s="1"/>
  <c r="AB260" i="75"/>
  <c r="AB174" i="75"/>
  <c r="AB324" i="76" s="1"/>
  <c r="AB287" i="75"/>
  <c r="AB24" i="75"/>
  <c r="AB23" i="76" s="1"/>
  <c r="AB33" i="75"/>
  <c r="AB32" i="76" s="1"/>
  <c r="AB397" i="75"/>
  <c r="AB17" i="75"/>
  <c r="AB16" i="76" s="1"/>
  <c r="AB264" i="75"/>
  <c r="AB330" i="75"/>
  <c r="AB393" i="76" s="1"/>
  <c r="AB27" i="75"/>
  <c r="AB26" i="76" s="1"/>
  <c r="AB279" i="75"/>
  <c r="AB342" i="76" s="1"/>
  <c r="AB308" i="75"/>
  <c r="AB85" i="75"/>
  <c r="AB294" i="75"/>
  <c r="AB72" i="75"/>
  <c r="AB402" i="75"/>
  <c r="AB53" i="75"/>
  <c r="AB52" i="76" s="1"/>
  <c r="AB87" i="75"/>
  <c r="AB268" i="75"/>
  <c r="AB191" i="75"/>
  <c r="AB58" i="75"/>
  <c r="AB86" i="75"/>
  <c r="AB65" i="75"/>
  <c r="AB51" i="75"/>
  <c r="AB50" i="76" s="1"/>
  <c r="AB103" i="75"/>
  <c r="AB104" i="75"/>
  <c r="AB89" i="75"/>
  <c r="AB13" i="75"/>
  <c r="AB12" i="76" s="1"/>
  <c r="AB292" i="75"/>
  <c r="AB50" i="75"/>
  <c r="AB49" i="76" s="1"/>
  <c r="AB88" i="75"/>
  <c r="AB311" i="75"/>
  <c r="AB374" i="76" s="1"/>
  <c r="AB262" i="75"/>
  <c r="AB325" i="76" s="1"/>
  <c r="AB59" i="75"/>
  <c r="AB61" i="75"/>
  <c r="AB60" i="76" s="1"/>
  <c r="AB28" i="75"/>
  <c r="AB27" i="76" s="1"/>
  <c r="AB176" i="75"/>
  <c r="AB187" i="75"/>
  <c r="AB79" i="75"/>
  <c r="AB395" i="75"/>
  <c r="AB49" i="75"/>
  <c r="AB48" i="76" s="1"/>
  <c r="AB405" i="75"/>
  <c r="AB22" i="75"/>
  <c r="AB21" i="76" s="1"/>
  <c r="AB270" i="75"/>
  <c r="AB213" i="75"/>
  <c r="AB271" i="75"/>
  <c r="AB207" i="75"/>
  <c r="AB357" i="76" s="1"/>
  <c r="AB258" i="75"/>
  <c r="AB321" i="76" s="1"/>
  <c r="AB1" i="76"/>
  <c r="H276" i="68"/>
  <c r="HW13" i="68"/>
  <c r="IG13" i="68"/>
  <c r="HX13" i="68"/>
  <c r="I275" i="68"/>
  <c r="HV14" i="68" s="1"/>
  <c r="HQ13" i="69"/>
  <c r="H265" i="68"/>
  <c r="H261" i="69"/>
  <c r="L286" i="68" a="1"/>
  <c r="L286" i="68" s="1"/>
  <c r="E304" i="69"/>
  <c r="E300" i="68"/>
  <c r="E308" i="68" s="1"/>
  <c r="E302" i="68"/>
  <c r="E306" i="69"/>
  <c r="E303" i="68"/>
  <c r="E311" i="68" s="1"/>
  <c r="E307" i="69"/>
  <c r="J262" i="68" a="1"/>
  <c r="J262" i="68" s="1"/>
  <c r="K262" i="68" s="1" a="1"/>
  <c r="K262" i="68" s="1"/>
  <c r="I263" i="68"/>
  <c r="HR14" i="68" s="1"/>
  <c r="G249" i="69"/>
  <c r="G253" i="68"/>
  <c r="HM12" i="69"/>
  <c r="AF333" i="76"/>
  <c r="AF325" i="76"/>
  <c r="AB360" i="76"/>
  <c r="AF328" i="76"/>
  <c r="AB340" i="76"/>
  <c r="AF361" i="76"/>
  <c r="AF356" i="76"/>
  <c r="AB336" i="76"/>
  <c r="AF337" i="76"/>
  <c r="AB353" i="76"/>
  <c r="AF341" i="76"/>
  <c r="AF351" i="76"/>
  <c r="AF60" i="76"/>
  <c r="AF170" i="76"/>
  <c r="AF178" i="76"/>
  <c r="AF68" i="76"/>
  <c r="AF339" i="76"/>
  <c r="AF346" i="76"/>
  <c r="AB180" i="76"/>
  <c r="AB70" i="76"/>
  <c r="AB326" i="76"/>
  <c r="AF175" i="76"/>
  <c r="AF65" i="76"/>
  <c r="AF326" i="76"/>
  <c r="AB355" i="76"/>
  <c r="AF66" i="76"/>
  <c r="AF176" i="76"/>
  <c r="AF180" i="76"/>
  <c r="AF70" i="76"/>
  <c r="AF71" i="76"/>
  <c r="AF181" i="76"/>
  <c r="AF321" i="76"/>
  <c r="AF338" i="76"/>
  <c r="AB359" i="76"/>
  <c r="AB349" i="76"/>
  <c r="AF331" i="76"/>
  <c r="AF349" i="76"/>
  <c r="AB69" i="76"/>
  <c r="AB179" i="76"/>
  <c r="AB71" i="76"/>
  <c r="AB181" i="76"/>
  <c r="AF179" i="76" l="1"/>
  <c r="AB345" i="76"/>
  <c r="AF332" i="76"/>
  <c r="AF344" i="76"/>
  <c r="AB332" i="76"/>
  <c r="AB338" i="76"/>
  <c r="AF336" i="76"/>
  <c r="AB363" i="76"/>
  <c r="AB367" i="76"/>
  <c r="AF360" i="76"/>
  <c r="AB358" i="76"/>
  <c r="AF323" i="76"/>
  <c r="AF350" i="76"/>
  <c r="AB68" i="76"/>
  <c r="AB335" i="76"/>
  <c r="AB351" i="76"/>
  <c r="AF352" i="76"/>
  <c r="AF367" i="76"/>
  <c r="AF353" i="76"/>
  <c r="AB352" i="76"/>
  <c r="AF347" i="76"/>
  <c r="AB176" i="76"/>
  <c r="AB331" i="76"/>
  <c r="AB344" i="76"/>
  <c r="AF330" i="76"/>
  <c r="AB327" i="76"/>
  <c r="AB350" i="76"/>
  <c r="AB364" i="76"/>
  <c r="AB356" i="76"/>
  <c r="AB334" i="76"/>
  <c r="AB347" i="76"/>
  <c r="AB170" i="76"/>
  <c r="AB346" i="76"/>
  <c r="AB330" i="76"/>
  <c r="AB323" i="76"/>
  <c r="AF364" i="76"/>
  <c r="F282" i="68"/>
  <c r="AB65" i="76"/>
  <c r="AF345" i="76"/>
  <c r="AF355" i="76"/>
  <c r="AF362" i="76"/>
  <c r="AF365" i="76"/>
  <c r="AF368" i="76"/>
  <c r="AF56" i="76"/>
  <c r="AB56" i="76"/>
  <c r="L251" i="68"/>
  <c r="IA14" i="68"/>
  <c r="IH14" i="68"/>
  <c r="IB14" i="68"/>
  <c r="I288" i="68"/>
  <c r="HZ15" i="68"/>
  <c r="J263" i="68"/>
  <c r="HR15" i="68" s="1"/>
  <c r="E310" i="68"/>
  <c r="M286" i="68" a="1"/>
  <c r="M286" i="68" s="1"/>
  <c r="L287" i="68"/>
  <c r="H273" i="69"/>
  <c r="HU13" i="69"/>
  <c r="H277" i="68"/>
  <c r="K287" i="68"/>
  <c r="HZ16" i="68" s="1"/>
  <c r="AF92" i="75"/>
  <c r="HY13" i="69"/>
  <c r="H285" i="69"/>
  <c r="H289" i="68"/>
  <c r="F306" i="69"/>
  <c r="F302" i="68"/>
  <c r="F310" i="68" s="1"/>
  <c r="HM14" i="69"/>
  <c r="I253" i="68"/>
  <c r="I249" i="69"/>
  <c r="H254" i="68"/>
  <c r="H255" i="68"/>
  <c r="H257" i="68"/>
  <c r="H256" i="68"/>
  <c r="H312" i="68"/>
  <c r="AN1" i="75"/>
  <c r="AF340" i="75"/>
  <c r="H269" i="68"/>
  <c r="H266" i="68"/>
  <c r="H267" i="68"/>
  <c r="H268" i="68"/>
  <c r="H313" i="68"/>
  <c r="AB340" i="75"/>
  <c r="AB428" i="75"/>
  <c r="AB430" i="75" s="1"/>
  <c r="AB431" i="75" s="1"/>
  <c r="AB98" i="75" s="1"/>
  <c r="AB342" i="75"/>
  <c r="AB385" i="76"/>
  <c r="AB91" i="75"/>
  <c r="AB8" i="76"/>
  <c r="IE15" i="68"/>
  <c r="HO15" i="68"/>
  <c r="HP15" i="68"/>
  <c r="J252" i="68"/>
  <c r="AF428" i="75"/>
  <c r="AF430" i="75" s="1"/>
  <c r="AF431" i="75" s="1"/>
  <c r="AF98" i="75" s="1"/>
  <c r="AF91" i="75"/>
  <c r="AF8" i="76"/>
  <c r="HW14" i="68"/>
  <c r="IG14" i="68"/>
  <c r="I276" i="68"/>
  <c r="HX14" i="68"/>
  <c r="AB92" i="75"/>
  <c r="K251" i="68"/>
  <c r="HN16" i="68" s="1"/>
  <c r="G268" i="68"/>
  <c r="G267" i="68"/>
  <c r="G313" i="68"/>
  <c r="G269" i="68"/>
  <c r="G266" i="68"/>
  <c r="AF251" i="75"/>
  <c r="AF254" i="75" s="1"/>
  <c r="AF255" i="75" s="1"/>
  <c r="L262" i="68" a="1"/>
  <c r="L262" i="68" s="1"/>
  <c r="K263" i="68"/>
  <c r="AB337" i="76"/>
  <c r="AB341" i="75"/>
  <c r="AB369" i="76"/>
  <c r="AB251" i="75"/>
  <c r="AB254" i="75" s="1"/>
  <c r="AB255" i="75" s="1"/>
  <c r="G278" i="68"/>
  <c r="G314" i="68"/>
  <c r="G280" i="68"/>
  <c r="G281" i="68"/>
  <c r="G279" i="68"/>
  <c r="L274" i="68" a="1"/>
  <c r="L274" i="68" s="1"/>
  <c r="K275" i="68"/>
  <c r="HV16" i="68" s="1"/>
  <c r="E309" i="68"/>
  <c r="J275" i="68"/>
  <c r="HV15" i="68" s="1"/>
  <c r="AF93" i="75"/>
  <c r="AB93" i="75"/>
  <c r="G256" i="68"/>
  <c r="G254" i="68"/>
  <c r="AJ1" i="75"/>
  <c r="G255" i="68"/>
  <c r="G312" i="68"/>
  <c r="G257" i="68"/>
  <c r="M250" i="68" a="1"/>
  <c r="M250" i="68" s="1"/>
  <c r="M251" i="68" s="1"/>
  <c r="AF341" i="75"/>
  <c r="AF369" i="76"/>
  <c r="AF366" i="76"/>
  <c r="AF342" i="75"/>
  <c r="AF385" i="76"/>
  <c r="G290" i="68"/>
  <c r="G292" i="68"/>
  <c r="G291" i="68"/>
  <c r="G315" i="68"/>
  <c r="G293" i="68"/>
  <c r="IF14" i="68"/>
  <c r="I264" i="68"/>
  <c r="HT14" i="68"/>
  <c r="HS14" i="68"/>
  <c r="AB341" i="76"/>
  <c r="AB361" i="76"/>
  <c r="AB339" i="76"/>
  <c r="AF334" i="76"/>
  <c r="AF327" i="76"/>
  <c r="G258" i="68" l="1"/>
  <c r="G282" i="68"/>
  <c r="AB343" i="75"/>
  <c r="AB344" i="75" s="1"/>
  <c r="AB97" i="75" s="1"/>
  <c r="HR16" i="68"/>
  <c r="HT16" i="68" s="1"/>
  <c r="H270" i="68"/>
  <c r="HZ17" i="68"/>
  <c r="L288" i="68" s="1"/>
  <c r="AB94" i="75"/>
  <c r="HQ14" i="69"/>
  <c r="I261" i="69"/>
  <c r="I265" i="68"/>
  <c r="G294" i="68"/>
  <c r="J276" i="68"/>
  <c r="HX15" i="68"/>
  <c r="IG15" i="68"/>
  <c r="HW15" i="68"/>
  <c r="K264" i="68"/>
  <c r="G270" i="68"/>
  <c r="AF94" i="75"/>
  <c r="H258" i="68"/>
  <c r="H290" i="68"/>
  <c r="H291" i="68"/>
  <c r="H293" i="68"/>
  <c r="H292" i="68"/>
  <c r="H315" i="68"/>
  <c r="K288" i="68"/>
  <c r="IB16" i="68"/>
  <c r="IH16" i="68"/>
  <c r="IA16" i="68"/>
  <c r="I289" i="68"/>
  <c r="HY14" i="69"/>
  <c r="I285" i="69"/>
  <c r="G306" i="69"/>
  <c r="G302" i="68"/>
  <c r="G310" i="68" s="1"/>
  <c r="AB95" i="75"/>
  <c r="AB96" i="75"/>
  <c r="AB99" i="75" s="1"/>
  <c r="AB105" i="75" s="1"/>
  <c r="AC106" i="75" s="1"/>
  <c r="H301" i="68"/>
  <c r="H309" i="68" s="1"/>
  <c r="H305" i="69"/>
  <c r="H304" i="69"/>
  <c r="H300" i="68"/>
  <c r="H308" i="68" s="1"/>
  <c r="N250" i="68" a="1"/>
  <c r="N250" i="68" s="1"/>
  <c r="H281" i="68"/>
  <c r="H314" i="68"/>
  <c r="H280" i="68"/>
  <c r="H279" i="68"/>
  <c r="H278" i="68"/>
  <c r="J264" i="68"/>
  <c r="HS15" i="68"/>
  <c r="HT15" i="68"/>
  <c r="IF15" i="68"/>
  <c r="G304" i="69"/>
  <c r="G300" i="68"/>
  <c r="G308" i="68" s="1"/>
  <c r="IG16" i="68"/>
  <c r="HW16" i="68"/>
  <c r="HX16" i="68"/>
  <c r="K276" i="68"/>
  <c r="I273" i="69"/>
  <c r="HU14" i="69"/>
  <c r="I277" i="68"/>
  <c r="L263" i="68"/>
  <c r="HR17" i="68" s="1"/>
  <c r="M262" i="68" a="1"/>
  <c r="M262" i="68" s="1"/>
  <c r="AJ26" i="75"/>
  <c r="AJ25" i="76" s="1"/>
  <c r="AJ397" i="75"/>
  <c r="AJ267" i="75"/>
  <c r="AJ48" i="75"/>
  <c r="AJ47" i="76" s="1"/>
  <c r="AJ16" i="75"/>
  <c r="AJ15" i="76" s="1"/>
  <c r="AJ176" i="75"/>
  <c r="AJ191" i="75"/>
  <c r="AJ328" i="75"/>
  <c r="AJ391" i="76" s="1"/>
  <c r="AJ181" i="75"/>
  <c r="AJ75" i="75"/>
  <c r="AJ11" i="75"/>
  <c r="AJ10" i="76" s="1"/>
  <c r="AJ33" i="75"/>
  <c r="AJ32" i="76" s="1"/>
  <c r="AJ265" i="75"/>
  <c r="AJ38" i="75"/>
  <c r="AJ37" i="76" s="1"/>
  <c r="AJ88" i="75"/>
  <c r="AJ270" i="75"/>
  <c r="AJ204" i="75"/>
  <c r="AJ60" i="75"/>
  <c r="AJ53" i="75"/>
  <c r="AJ52" i="76" s="1"/>
  <c r="AJ305" i="75"/>
  <c r="AJ188" i="75"/>
  <c r="AJ77" i="75"/>
  <c r="AJ324" i="75"/>
  <c r="AJ387" i="76" s="1"/>
  <c r="AJ402" i="75"/>
  <c r="AJ326" i="75"/>
  <c r="AJ389" i="76" s="1"/>
  <c r="AJ283" i="75"/>
  <c r="AJ183" i="75"/>
  <c r="AJ292" i="75"/>
  <c r="AJ264" i="75"/>
  <c r="AJ89" i="75"/>
  <c r="AJ182" i="75"/>
  <c r="AJ198" i="75"/>
  <c r="AJ300" i="75"/>
  <c r="AJ216" i="75"/>
  <c r="AJ25" i="75"/>
  <c r="AJ24" i="76" s="1"/>
  <c r="AJ34" i="75"/>
  <c r="AJ33" i="76" s="1"/>
  <c r="AJ27" i="75"/>
  <c r="AJ26" i="76" s="1"/>
  <c r="AJ65" i="75"/>
  <c r="AJ172" i="75"/>
  <c r="AJ13" i="75"/>
  <c r="AJ12" i="76" s="1"/>
  <c r="AJ330" i="75"/>
  <c r="AJ393" i="76" s="1"/>
  <c r="AJ205" i="75"/>
  <c r="AJ179" i="75"/>
  <c r="AJ67" i="75"/>
  <c r="AJ66" i="76" s="1"/>
  <c r="AJ302" i="75"/>
  <c r="AJ365" i="76" s="1"/>
  <c r="AJ399" i="75"/>
  <c r="AJ64" i="75"/>
  <c r="AJ206" i="75"/>
  <c r="AJ274" i="75"/>
  <c r="AJ396" i="75"/>
  <c r="AJ271" i="75"/>
  <c r="AJ211" i="75"/>
  <c r="AJ361" i="76" s="1"/>
  <c r="AJ76" i="75"/>
  <c r="AJ74" i="75"/>
  <c r="AJ174" i="75"/>
  <c r="AJ59" i="75"/>
  <c r="AJ15" i="75"/>
  <c r="AJ14" i="76" s="1"/>
  <c r="AJ215" i="75"/>
  <c r="AJ54" i="75"/>
  <c r="AJ53" i="76" s="1"/>
  <c r="AJ332" i="75"/>
  <c r="AJ395" i="76" s="1"/>
  <c r="AJ337" i="75"/>
  <c r="AJ400" i="76" s="1"/>
  <c r="AJ24" i="75"/>
  <c r="AJ23" i="76" s="1"/>
  <c r="AJ71" i="75"/>
  <c r="AJ303" i="75"/>
  <c r="AJ296" i="75"/>
  <c r="AJ297" i="75"/>
  <c r="AJ312" i="75"/>
  <c r="AJ375" i="76" s="1"/>
  <c r="AJ58" i="75"/>
  <c r="AJ73" i="75"/>
  <c r="AJ18" i="75"/>
  <c r="AJ17" i="76" s="1"/>
  <c r="AJ269" i="75"/>
  <c r="AJ37" i="75"/>
  <c r="AJ36" i="76" s="1"/>
  <c r="AJ217" i="75"/>
  <c r="AJ85" i="75"/>
  <c r="AJ336" i="75"/>
  <c r="AJ399" i="76" s="1"/>
  <c r="AJ22" i="75"/>
  <c r="AJ21" i="76" s="1"/>
  <c r="AJ263" i="75"/>
  <c r="AJ326" i="76" s="1"/>
  <c r="AJ86" i="75"/>
  <c r="AJ66" i="75"/>
  <c r="AJ30" i="75"/>
  <c r="AJ29" i="76" s="1"/>
  <c r="AJ262" i="75"/>
  <c r="AJ46" i="75"/>
  <c r="AJ45" i="76" s="1"/>
  <c r="AJ29" i="75"/>
  <c r="AJ28" i="76" s="1"/>
  <c r="AJ87" i="75"/>
  <c r="AJ314" i="75"/>
  <c r="AJ377" i="76" s="1"/>
  <c r="AJ104" i="75"/>
  <c r="AJ31" i="75"/>
  <c r="AJ30" i="76" s="1"/>
  <c r="AJ78" i="75"/>
  <c r="AJ306" i="75"/>
  <c r="AJ293" i="75"/>
  <c r="AJ199" i="75"/>
  <c r="AJ178" i="75"/>
  <c r="AJ328" i="76" s="1"/>
  <c r="AJ61" i="75"/>
  <c r="AJ60" i="76" s="1"/>
  <c r="AJ55" i="75"/>
  <c r="AJ54" i="76" s="1"/>
  <c r="AJ276" i="75"/>
  <c r="AJ102" i="75"/>
  <c r="AJ36" i="75"/>
  <c r="AJ291" i="75"/>
  <c r="AJ279" i="75"/>
  <c r="AJ90" i="75"/>
  <c r="AJ194" i="75"/>
  <c r="AJ301" i="75"/>
  <c r="AJ41" i="75"/>
  <c r="AJ40" i="76" s="1"/>
  <c r="AJ72" i="75"/>
  <c r="AJ12" i="75"/>
  <c r="AJ11" i="76" s="1"/>
  <c r="AJ39" i="75"/>
  <c r="AJ38" i="76" s="1"/>
  <c r="AJ190" i="75"/>
  <c r="AJ45" i="75"/>
  <c r="AJ44" i="76" s="1"/>
  <c r="AJ196" i="75"/>
  <c r="AJ307" i="75"/>
  <c r="AJ304" i="75"/>
  <c r="AJ207" i="75"/>
  <c r="AJ299" i="75"/>
  <c r="AJ171" i="75"/>
  <c r="AJ295" i="75"/>
  <c r="AJ316" i="75"/>
  <c r="AJ379" i="76" s="1"/>
  <c r="AJ187" i="75"/>
  <c r="AJ337" i="76" s="1"/>
  <c r="AJ56" i="75"/>
  <c r="AJ55" i="76" s="1"/>
  <c r="AJ50" i="75"/>
  <c r="AJ49" i="76" s="1"/>
  <c r="AJ280" i="75"/>
  <c r="AJ260" i="75"/>
  <c r="AJ322" i="75"/>
  <c r="AJ208" i="75"/>
  <c r="AJ290" i="75"/>
  <c r="AJ184" i="75"/>
  <c r="AJ185" i="75"/>
  <c r="AJ9" i="75"/>
  <c r="AJ42" i="75"/>
  <c r="AJ41" i="76" s="1"/>
  <c r="AJ284" i="75"/>
  <c r="AJ197" i="75"/>
  <c r="AJ40" i="75"/>
  <c r="AJ39" i="76" s="1"/>
  <c r="AJ287" i="75"/>
  <c r="AJ175" i="75"/>
  <c r="AJ83" i="75"/>
  <c r="AJ308" i="75"/>
  <c r="AJ202" i="75"/>
  <c r="AJ193" i="75"/>
  <c r="AJ79" i="75"/>
  <c r="AJ51" i="75"/>
  <c r="AJ50" i="76" s="1"/>
  <c r="AJ395" i="75"/>
  <c r="AJ313" i="75"/>
  <c r="AJ376" i="76" s="1"/>
  <c r="AJ80" i="75"/>
  <c r="AJ43" i="75"/>
  <c r="AJ42" i="76" s="1"/>
  <c r="AJ335" i="75"/>
  <c r="AJ398" i="76" s="1"/>
  <c r="AJ277" i="75"/>
  <c r="AJ28" i="75"/>
  <c r="AJ27" i="76" s="1"/>
  <c r="AJ282" i="75"/>
  <c r="AJ189" i="75"/>
  <c r="AJ339" i="76" s="1"/>
  <c r="AJ47" i="75"/>
  <c r="AJ46" i="76" s="1"/>
  <c r="AJ186" i="75"/>
  <c r="AJ63" i="75"/>
  <c r="AJ10" i="75"/>
  <c r="AJ9" i="76" s="1"/>
  <c r="AJ19" i="75"/>
  <c r="AJ18" i="76" s="1"/>
  <c r="AJ210" i="75"/>
  <c r="AJ201" i="75"/>
  <c r="AJ311" i="75"/>
  <c r="AJ374" i="76" s="1"/>
  <c r="AJ288" i="75"/>
  <c r="AJ180" i="75"/>
  <c r="AJ289" i="75"/>
  <c r="AJ200" i="75"/>
  <c r="AJ203" i="75"/>
  <c r="AJ84" i="75"/>
  <c r="AJ49" i="75"/>
  <c r="AJ48" i="76" s="1"/>
  <c r="AJ401" i="75"/>
  <c r="AJ405" i="75"/>
  <c r="AJ81" i="75"/>
  <c r="AJ69" i="75"/>
  <c r="AJ23" i="75"/>
  <c r="AJ22" i="76" s="1"/>
  <c r="AJ315" i="75"/>
  <c r="AJ378" i="76" s="1"/>
  <c r="AJ213" i="75"/>
  <c r="AJ20" i="75"/>
  <c r="AJ19" i="76" s="1"/>
  <c r="AJ195" i="75"/>
  <c r="AJ218" i="75"/>
  <c r="AJ214" i="75"/>
  <c r="AJ35" i="75"/>
  <c r="AJ34" i="76" s="1"/>
  <c r="AJ44" i="75"/>
  <c r="AJ43" i="76" s="1"/>
  <c r="AJ334" i="75"/>
  <c r="AJ397" i="76" s="1"/>
  <c r="AJ275" i="75"/>
  <c r="AJ173" i="75"/>
  <c r="AJ294" i="75"/>
  <c r="AJ357" i="76" s="1"/>
  <c r="AJ285" i="75"/>
  <c r="AJ259" i="75"/>
  <c r="AJ192" i="75"/>
  <c r="AJ52" i="75"/>
  <c r="AJ51" i="76" s="1"/>
  <c r="AJ103" i="75"/>
  <c r="AJ14" i="75"/>
  <c r="AJ13" i="76" s="1"/>
  <c r="AJ209" i="75"/>
  <c r="AJ62" i="75"/>
  <c r="AJ398" i="75"/>
  <c r="AJ298" i="75"/>
  <c r="AJ268" i="75"/>
  <c r="AJ177" i="75"/>
  <c r="AJ281" i="75"/>
  <c r="AJ273" i="75"/>
  <c r="AJ286" i="75"/>
  <c r="AJ349" i="76" s="1"/>
  <c r="AJ258" i="75"/>
  <c r="AJ321" i="76" s="1"/>
  <c r="AJ68" i="75"/>
  <c r="AJ70" i="75"/>
  <c r="AJ272" i="75"/>
  <c r="AJ21" i="75"/>
  <c r="AJ20" i="76" s="1"/>
  <c r="AJ404" i="75"/>
  <c r="AJ403" i="75"/>
  <c r="AJ309" i="75"/>
  <c r="AJ266" i="75"/>
  <c r="AJ400" i="75"/>
  <c r="AJ32" i="75"/>
  <c r="AJ31" i="76" s="1"/>
  <c r="AJ17" i="75"/>
  <c r="AJ16" i="76" s="1"/>
  <c r="AJ310" i="75"/>
  <c r="AJ373" i="76" s="1"/>
  <c r="AJ82" i="75"/>
  <c r="AJ57" i="75"/>
  <c r="AJ261" i="75"/>
  <c r="AJ212" i="75"/>
  <c r="AJ362" i="76" s="1"/>
  <c r="AJ278" i="75"/>
  <c r="AJ341" i="76" s="1"/>
  <c r="AJ1" i="76"/>
  <c r="L275" i="68"/>
  <c r="HV17" i="68" s="1"/>
  <c r="M274" i="68" a="1"/>
  <c r="M274" i="68" s="1"/>
  <c r="HO16" i="68"/>
  <c r="IE16" i="68"/>
  <c r="HP16" i="68"/>
  <c r="K252" i="68"/>
  <c r="J253" i="68"/>
  <c r="J249" i="69"/>
  <c r="HM15" i="69"/>
  <c r="AF343" i="75"/>
  <c r="AF344" i="75" s="1"/>
  <c r="AF97" i="75" s="1"/>
  <c r="I256" i="68"/>
  <c r="AR1" i="75"/>
  <c r="I257" i="68"/>
  <c r="I255" i="68"/>
  <c r="I312" i="68"/>
  <c r="I254" i="68"/>
  <c r="IB17" i="68"/>
  <c r="IA17" i="68"/>
  <c r="AN295" i="75"/>
  <c r="AN276" i="75"/>
  <c r="AN193" i="75"/>
  <c r="AN11" i="75"/>
  <c r="AN10" i="76" s="1"/>
  <c r="AN189" i="75"/>
  <c r="AN396" i="75"/>
  <c r="AN176" i="75"/>
  <c r="AN309" i="75"/>
  <c r="AN182" i="75"/>
  <c r="AN305" i="75"/>
  <c r="AN187" i="75"/>
  <c r="AN267" i="75"/>
  <c r="AN265" i="75"/>
  <c r="AN47" i="75"/>
  <c r="AN46" i="76" s="1"/>
  <c r="AN313" i="75"/>
  <c r="AN376" i="76" s="1"/>
  <c r="AN53" i="75"/>
  <c r="AN52" i="76" s="1"/>
  <c r="AN29" i="75"/>
  <c r="AN28" i="76" s="1"/>
  <c r="AN211" i="75"/>
  <c r="AN290" i="75"/>
  <c r="AN330" i="75"/>
  <c r="AN393" i="76" s="1"/>
  <c r="AN262" i="75"/>
  <c r="AN79" i="75"/>
  <c r="AN404" i="75"/>
  <c r="AN310" i="75"/>
  <c r="AN373" i="76" s="1"/>
  <c r="AN175" i="75"/>
  <c r="AN210" i="75"/>
  <c r="AN315" i="75"/>
  <c r="AN378" i="76" s="1"/>
  <c r="AN22" i="75"/>
  <c r="AN21" i="76" s="1"/>
  <c r="AN104" i="75"/>
  <c r="AN45" i="75"/>
  <c r="AN44" i="76" s="1"/>
  <c r="AN281" i="75"/>
  <c r="AN37" i="75"/>
  <c r="AN36" i="76" s="1"/>
  <c r="AN71" i="75"/>
  <c r="AN180" i="76" s="1"/>
  <c r="AN312" i="75"/>
  <c r="AN375" i="76" s="1"/>
  <c r="AN72" i="75"/>
  <c r="AN296" i="75"/>
  <c r="AN213" i="75"/>
  <c r="AN302" i="75"/>
  <c r="AN19" i="75"/>
  <c r="AN18" i="76" s="1"/>
  <c r="AN59" i="75"/>
  <c r="AN402" i="75"/>
  <c r="AN218" i="75"/>
  <c r="AN368" i="76" s="1"/>
  <c r="AN49" i="75"/>
  <c r="AN48" i="76" s="1"/>
  <c r="AN50" i="75"/>
  <c r="AN49" i="76" s="1"/>
  <c r="AN36" i="75"/>
  <c r="AN56" i="75"/>
  <c r="AN55" i="76" s="1"/>
  <c r="AN206" i="75"/>
  <c r="AN86" i="75"/>
  <c r="AN400" i="75"/>
  <c r="AN326" i="75"/>
  <c r="AN389" i="76" s="1"/>
  <c r="AN68" i="75"/>
  <c r="AN261" i="75"/>
  <c r="AN10" i="75"/>
  <c r="AN9" i="76" s="1"/>
  <c r="AN74" i="75"/>
  <c r="AN15" i="75"/>
  <c r="AN14" i="76" s="1"/>
  <c r="AN203" i="75"/>
  <c r="AN308" i="75"/>
  <c r="AN334" i="75"/>
  <c r="AN397" i="76" s="1"/>
  <c r="AN298" i="75"/>
  <c r="AN282" i="75"/>
  <c r="AN70" i="75"/>
  <c r="AN69" i="76" s="1"/>
  <c r="AN336" i="75"/>
  <c r="AN399" i="76" s="1"/>
  <c r="AN190" i="75"/>
  <c r="AN52" i="75"/>
  <c r="AN51" i="76" s="1"/>
  <c r="AN196" i="75"/>
  <c r="AN78" i="75"/>
  <c r="AN399" i="75"/>
  <c r="AN275" i="75"/>
  <c r="AN338" i="76" s="1"/>
  <c r="AN65" i="75"/>
  <c r="AN300" i="75"/>
  <c r="AN24" i="75"/>
  <c r="AN23" i="76" s="1"/>
  <c r="AN264" i="75"/>
  <c r="AN85" i="75"/>
  <c r="AN44" i="75"/>
  <c r="AN43" i="76" s="1"/>
  <c r="AN16" i="75"/>
  <c r="AN15" i="76" s="1"/>
  <c r="AN200" i="75"/>
  <c r="AN279" i="75"/>
  <c r="AN274" i="75"/>
  <c r="AN301" i="75"/>
  <c r="AN271" i="75"/>
  <c r="AN172" i="75"/>
  <c r="AN289" i="75"/>
  <c r="AN278" i="75"/>
  <c r="AN103" i="75"/>
  <c r="AN277" i="75"/>
  <c r="AN316" i="75"/>
  <c r="AN379" i="76" s="1"/>
  <c r="AN179" i="75"/>
  <c r="AN75" i="75"/>
  <c r="AN21" i="75"/>
  <c r="AN20" i="76" s="1"/>
  <c r="AN294" i="75"/>
  <c r="AN192" i="75"/>
  <c r="AN303" i="75"/>
  <c r="AN201" i="75"/>
  <c r="AN332" i="75"/>
  <c r="AN395" i="76" s="1"/>
  <c r="AN299" i="75"/>
  <c r="AN41" i="75"/>
  <c r="AN40" i="76" s="1"/>
  <c r="AN297" i="75"/>
  <c r="AN208" i="75"/>
  <c r="AN61" i="75"/>
  <c r="AN60" i="76" s="1"/>
  <c r="AN328" i="75"/>
  <c r="AN391" i="76" s="1"/>
  <c r="AN48" i="75"/>
  <c r="AN47" i="76" s="1"/>
  <c r="AN178" i="75"/>
  <c r="AN266" i="75"/>
  <c r="AN90" i="75"/>
  <c r="AN12" i="75"/>
  <c r="AN11" i="76" s="1"/>
  <c r="AN314" i="75"/>
  <c r="AN377" i="76" s="1"/>
  <c r="AN25" i="75"/>
  <c r="AN24" i="76" s="1"/>
  <c r="AN174" i="75"/>
  <c r="AN324" i="76" s="1"/>
  <c r="AN403" i="75"/>
  <c r="AN31" i="75"/>
  <c r="AN30" i="76" s="1"/>
  <c r="AN284" i="75"/>
  <c r="AN62" i="75"/>
  <c r="AN304" i="75"/>
  <c r="AN13" i="75"/>
  <c r="AN12" i="76" s="1"/>
  <c r="AN66" i="75"/>
  <c r="AN65" i="76" s="1"/>
  <c r="AN23" i="75"/>
  <c r="AN22" i="76" s="1"/>
  <c r="AN287" i="75"/>
  <c r="AN307" i="75"/>
  <c r="AN188" i="75"/>
  <c r="AN401" i="75"/>
  <c r="AN204" i="75"/>
  <c r="AN80" i="75"/>
  <c r="AN207" i="75"/>
  <c r="AN335" i="75"/>
  <c r="AN398" i="76" s="1"/>
  <c r="AN63" i="75"/>
  <c r="AN42" i="75"/>
  <c r="AN41" i="76" s="1"/>
  <c r="AN69" i="75"/>
  <c r="AN68" i="76" s="1"/>
  <c r="AN28" i="75"/>
  <c r="AN27" i="76" s="1"/>
  <c r="AN212" i="75"/>
  <c r="AN73" i="75"/>
  <c r="AN181" i="76" s="1"/>
  <c r="AN198" i="75"/>
  <c r="AN57" i="75"/>
  <c r="AN166" i="76" s="1"/>
  <c r="AN17" i="75"/>
  <c r="AN16" i="76" s="1"/>
  <c r="AN217" i="75"/>
  <c r="AN9" i="75"/>
  <c r="AN293" i="75"/>
  <c r="AN14" i="75"/>
  <c r="AN13" i="76" s="1"/>
  <c r="AN84" i="75"/>
  <c r="AN285" i="75"/>
  <c r="AN197" i="75"/>
  <c r="AN280" i="75"/>
  <c r="AN337" i="75"/>
  <c r="AN400" i="76" s="1"/>
  <c r="AN181" i="75"/>
  <c r="AN214" i="75"/>
  <c r="AN216" i="75"/>
  <c r="AN215" i="75"/>
  <c r="AN365" i="76" s="1"/>
  <c r="AN39" i="75"/>
  <c r="AN38" i="76" s="1"/>
  <c r="AN33" i="75"/>
  <c r="AN32" i="76" s="1"/>
  <c r="AN55" i="75"/>
  <c r="AN54" i="76" s="1"/>
  <c r="AN180" i="75"/>
  <c r="AN199" i="75"/>
  <c r="AN40" i="75"/>
  <c r="AN39" i="76" s="1"/>
  <c r="AN268" i="75"/>
  <c r="AN64" i="75"/>
  <c r="AN405" i="75"/>
  <c r="AN76" i="75"/>
  <c r="AN82" i="75"/>
  <c r="AN324" i="75"/>
  <c r="AN387" i="76" s="1"/>
  <c r="AN263" i="75"/>
  <c r="AN34" i="75"/>
  <c r="AN33" i="76" s="1"/>
  <c r="AN283" i="75"/>
  <c r="AN60" i="75"/>
  <c r="AN194" i="75"/>
  <c r="AN185" i="75"/>
  <c r="AN81" i="75"/>
  <c r="AN292" i="75"/>
  <c r="AN77" i="75"/>
  <c r="AN87" i="75"/>
  <c r="AN177" i="75"/>
  <c r="AN205" i="75"/>
  <c r="AN311" i="75"/>
  <c r="AN374" i="76" s="1"/>
  <c r="AN184" i="75"/>
  <c r="AN43" i="75"/>
  <c r="AN42" i="76" s="1"/>
  <c r="AN191" i="75"/>
  <c r="AN273" i="75"/>
  <c r="AN322" i="75"/>
  <c r="AN20" i="75"/>
  <c r="AN19" i="76" s="1"/>
  <c r="AN258" i="75"/>
  <c r="AN83" i="75"/>
  <c r="AN54" i="75"/>
  <c r="AN53" i="76" s="1"/>
  <c r="AN272" i="75"/>
  <c r="AN88" i="75"/>
  <c r="AN30" i="75"/>
  <c r="AN29" i="76" s="1"/>
  <c r="AN58" i="75"/>
  <c r="AN286" i="75"/>
  <c r="AN269" i="75"/>
  <c r="AN332" i="76" s="1"/>
  <c r="AN171" i="75"/>
  <c r="AN18" i="75"/>
  <c r="AN17" i="76" s="1"/>
  <c r="AN46" i="75"/>
  <c r="AN45" i="76" s="1"/>
  <c r="AN89" i="75"/>
  <c r="AN291" i="75"/>
  <c r="AN183" i="75"/>
  <c r="AN288" i="75"/>
  <c r="AN259" i="75"/>
  <c r="AN51" i="75"/>
  <c r="AN50" i="76" s="1"/>
  <c r="AN398" i="75"/>
  <c r="AN209" i="75"/>
  <c r="AN35" i="75"/>
  <c r="AN34" i="76" s="1"/>
  <c r="AN306" i="75"/>
  <c r="AN38" i="75"/>
  <c r="AN37" i="76" s="1"/>
  <c r="AN32" i="75"/>
  <c r="AN31" i="76" s="1"/>
  <c r="AN270" i="75"/>
  <c r="AN195" i="75"/>
  <c r="AN186" i="75"/>
  <c r="AN102" i="75"/>
  <c r="AN202" i="75"/>
  <c r="AN27" i="75"/>
  <c r="AN26" i="76" s="1"/>
  <c r="AN67" i="75"/>
  <c r="AN66" i="76" s="1"/>
  <c r="AN260" i="75"/>
  <c r="AN173" i="75"/>
  <c r="AN26" i="75"/>
  <c r="AN25" i="76" s="1"/>
  <c r="AN395" i="75"/>
  <c r="AN397" i="75"/>
  <c r="AN1" i="76"/>
  <c r="M287" i="68"/>
  <c r="HZ18" i="68" s="1"/>
  <c r="N286" i="68" a="1"/>
  <c r="N286" i="68" s="1"/>
  <c r="HN17" i="68"/>
  <c r="G303" i="68"/>
  <c r="G311" i="68" s="1"/>
  <c r="G307" i="69"/>
  <c r="G305" i="69"/>
  <c r="G301" i="68"/>
  <c r="IB15" i="68"/>
  <c r="IH15" i="68"/>
  <c r="IA15" i="68"/>
  <c r="J288" i="68"/>
  <c r="AJ336" i="76"/>
  <c r="AJ327" i="76"/>
  <c r="AJ360" i="76"/>
  <c r="AJ338" i="76"/>
  <c r="AJ364" i="76"/>
  <c r="AJ335" i="76"/>
  <c r="AJ331" i="76"/>
  <c r="AJ356" i="76"/>
  <c r="AJ343" i="76"/>
  <c r="AJ322" i="76"/>
  <c r="AJ354" i="76"/>
  <c r="AJ166" i="76"/>
  <c r="AJ56" i="76"/>
  <c r="AJ175" i="76"/>
  <c r="AJ65" i="76"/>
  <c r="AJ332" i="76"/>
  <c r="AJ180" i="76"/>
  <c r="AJ70" i="76"/>
  <c r="AJ178" i="76"/>
  <c r="AJ68" i="76"/>
  <c r="AJ69" i="76"/>
  <c r="AJ179" i="76"/>
  <c r="AJ358" i="76"/>
  <c r="AJ71" i="76"/>
  <c r="AJ181" i="76"/>
  <c r="AJ347" i="76"/>
  <c r="AN179" i="76" l="1"/>
  <c r="AJ324" i="76"/>
  <c r="AJ323" i="76"/>
  <c r="AJ351" i="76"/>
  <c r="AJ368" i="76"/>
  <c r="AN322" i="76"/>
  <c r="AN351" i="76"/>
  <c r="AJ344" i="76"/>
  <c r="AJ352" i="76"/>
  <c r="AJ170" i="76"/>
  <c r="AN328" i="76"/>
  <c r="AN363" i="76"/>
  <c r="IF16" i="68"/>
  <c r="AN343" i="76"/>
  <c r="AN334" i="76"/>
  <c r="AJ350" i="76"/>
  <c r="AN175" i="76"/>
  <c r="AN170" i="76"/>
  <c r="AJ325" i="76"/>
  <c r="AJ367" i="76"/>
  <c r="AN341" i="76"/>
  <c r="AN337" i="76"/>
  <c r="AN323" i="76"/>
  <c r="AN333" i="76"/>
  <c r="AN357" i="76"/>
  <c r="AN361" i="76"/>
  <c r="AN327" i="76"/>
  <c r="AJ359" i="76"/>
  <c r="AJ363" i="76"/>
  <c r="AN347" i="76"/>
  <c r="AN344" i="76"/>
  <c r="AN176" i="76"/>
  <c r="AN56" i="76"/>
  <c r="AN330" i="76"/>
  <c r="AN359" i="76"/>
  <c r="AN346" i="76"/>
  <c r="AJ342" i="76"/>
  <c r="AJ334" i="76"/>
  <c r="AJ333" i="76"/>
  <c r="AJ330" i="76"/>
  <c r="IH17" i="68"/>
  <c r="AN358" i="76"/>
  <c r="AN360" i="76"/>
  <c r="AJ329" i="76"/>
  <c r="AJ345" i="76"/>
  <c r="AN354" i="76"/>
  <c r="AN70" i="76"/>
  <c r="AN342" i="76"/>
  <c r="AN367" i="76"/>
  <c r="HS16" i="68"/>
  <c r="AN331" i="76"/>
  <c r="AN362" i="76"/>
  <c r="AN356" i="76"/>
  <c r="AN326" i="76"/>
  <c r="AN325" i="76"/>
  <c r="AN340" i="76"/>
  <c r="AN336" i="76"/>
  <c r="AJ353" i="76"/>
  <c r="AJ346" i="76"/>
  <c r="AN71" i="76"/>
  <c r="AJ176" i="76"/>
  <c r="AN352" i="76"/>
  <c r="AN355" i="76"/>
  <c r="AJ340" i="76"/>
  <c r="H294" i="68"/>
  <c r="AJ366" i="76"/>
  <c r="AN349" i="76"/>
  <c r="AN329" i="76"/>
  <c r="AN364" i="76"/>
  <c r="I258" i="68"/>
  <c r="AN339" i="76"/>
  <c r="AN335" i="76"/>
  <c r="AN350" i="76"/>
  <c r="AN345" i="76"/>
  <c r="AN353" i="76"/>
  <c r="O286" i="68" a="1"/>
  <c r="O286" i="68" s="1"/>
  <c r="N287" i="68"/>
  <c r="HZ19" i="68" s="1"/>
  <c r="AN93" i="75"/>
  <c r="AN178" i="76"/>
  <c r="G309" i="68"/>
  <c r="HO17" i="68"/>
  <c r="L252" i="68"/>
  <c r="IE17" i="68"/>
  <c r="HP17" i="68"/>
  <c r="AN340" i="75"/>
  <c r="I304" i="69"/>
  <c r="I300" i="68"/>
  <c r="I308" i="68" s="1"/>
  <c r="J257" i="68"/>
  <c r="J256" i="68"/>
  <c r="J255" i="68"/>
  <c r="J254" i="68"/>
  <c r="AV1" i="75"/>
  <c r="J312" i="68"/>
  <c r="AJ341" i="75"/>
  <c r="AJ369" i="76"/>
  <c r="N262" i="68" a="1"/>
  <c r="N262" i="68" s="1"/>
  <c r="M263" i="68"/>
  <c r="HR18" i="68" s="1"/>
  <c r="I314" i="68"/>
  <c r="I278" i="68"/>
  <c r="I281" i="68"/>
  <c r="I282" i="68" s="1"/>
  <c r="I280" i="68"/>
  <c r="I279" i="68"/>
  <c r="I292" i="68"/>
  <c r="I315" i="68"/>
  <c r="I291" i="68"/>
  <c r="I293" i="68"/>
  <c r="I290" i="68"/>
  <c r="K265" i="68"/>
  <c r="HQ16" i="69"/>
  <c r="K261" i="69"/>
  <c r="AN428" i="75"/>
  <c r="AN430" i="75" s="1"/>
  <c r="AN431" i="75" s="1"/>
  <c r="AN98" i="75" s="1"/>
  <c r="AN366" i="76"/>
  <c r="K249" i="69"/>
  <c r="K253" i="68"/>
  <c r="HM16" i="69"/>
  <c r="N274" i="68" a="1"/>
  <c r="N274" i="68" s="1"/>
  <c r="M275" i="68"/>
  <c r="HV18" i="68" s="1"/>
  <c r="H302" i="68"/>
  <c r="H306" i="69"/>
  <c r="H307" i="69"/>
  <c r="H303" i="68"/>
  <c r="H311" i="68" s="1"/>
  <c r="I313" i="68"/>
  <c r="I269" i="68"/>
  <c r="I266" i="68"/>
  <c r="I267" i="68"/>
  <c r="I268" i="68"/>
  <c r="AN92" i="75"/>
  <c r="IH18" i="68"/>
  <c r="M288" i="68"/>
  <c r="IA18" i="68"/>
  <c r="IB18" i="68"/>
  <c r="AN342" i="75"/>
  <c r="AN385" i="76"/>
  <c r="L289" i="68"/>
  <c r="L285" i="69"/>
  <c r="HY17" i="69"/>
  <c r="AR314" i="75"/>
  <c r="AR377" i="76" s="1"/>
  <c r="AR266" i="75"/>
  <c r="AR84" i="75"/>
  <c r="AR35" i="75"/>
  <c r="AR34" i="76" s="1"/>
  <c r="AR46" i="75"/>
  <c r="AR45" i="76" s="1"/>
  <c r="AR45" i="75"/>
  <c r="AR44" i="76" s="1"/>
  <c r="AR396" i="75"/>
  <c r="AR215" i="75"/>
  <c r="AR72" i="75"/>
  <c r="AR37" i="75"/>
  <c r="AR36" i="76" s="1"/>
  <c r="AR287" i="75"/>
  <c r="AR184" i="75"/>
  <c r="AR43" i="75"/>
  <c r="AR42" i="76" s="1"/>
  <c r="AR51" i="75"/>
  <c r="AR50" i="76" s="1"/>
  <c r="AR17" i="75"/>
  <c r="AR16" i="76" s="1"/>
  <c r="AR275" i="75"/>
  <c r="AR103" i="75"/>
  <c r="AR28" i="75"/>
  <c r="AR27" i="76" s="1"/>
  <c r="AR304" i="75"/>
  <c r="AR198" i="75"/>
  <c r="AR189" i="75"/>
  <c r="AR9" i="75"/>
  <c r="AR274" i="75"/>
  <c r="AR102" i="75"/>
  <c r="AR26" i="75"/>
  <c r="AR25" i="76" s="1"/>
  <c r="AR311" i="75"/>
  <c r="AR374" i="76" s="1"/>
  <c r="AR316" i="75"/>
  <c r="AR379" i="76" s="1"/>
  <c r="AR261" i="75"/>
  <c r="AR324" i="76" s="1"/>
  <c r="AR60" i="75"/>
  <c r="AR260" i="75"/>
  <c r="AR295" i="75"/>
  <c r="AR401" i="75"/>
  <c r="AR315" i="75"/>
  <c r="AR378" i="76" s="1"/>
  <c r="AR205" i="75"/>
  <c r="AR79" i="75"/>
  <c r="AR27" i="75"/>
  <c r="AR26" i="76" s="1"/>
  <c r="AR285" i="75"/>
  <c r="AR190" i="75"/>
  <c r="AR42" i="75"/>
  <c r="AR41" i="76" s="1"/>
  <c r="AR36" i="75"/>
  <c r="AR400" i="75"/>
  <c r="AR269" i="75"/>
  <c r="AR85" i="75"/>
  <c r="AR12" i="75"/>
  <c r="AR11" i="76" s="1"/>
  <c r="AR296" i="75"/>
  <c r="AR177" i="75"/>
  <c r="AR90" i="75"/>
  <c r="AR398" i="75"/>
  <c r="AR267" i="75"/>
  <c r="AR89" i="75"/>
  <c r="AR15" i="75"/>
  <c r="AR14" i="76" s="1"/>
  <c r="AR290" i="75"/>
  <c r="AR353" i="76" s="1"/>
  <c r="AR302" i="75"/>
  <c r="AR199" i="75"/>
  <c r="AR65" i="75"/>
  <c r="AR48" i="75"/>
  <c r="AR47" i="76" s="1"/>
  <c r="AR174" i="75"/>
  <c r="AR332" i="75"/>
  <c r="AR395" i="76" s="1"/>
  <c r="AR307" i="75"/>
  <c r="AR202" i="75"/>
  <c r="AR67" i="75"/>
  <c r="AR176" i="76" s="1"/>
  <c r="AR18" i="75"/>
  <c r="AR17" i="76" s="1"/>
  <c r="AR280" i="75"/>
  <c r="AR104" i="75"/>
  <c r="AR30" i="75"/>
  <c r="AR29" i="76" s="1"/>
  <c r="AR11" i="75"/>
  <c r="AR10" i="76" s="1"/>
  <c r="AR336" i="75"/>
  <c r="AR399" i="76" s="1"/>
  <c r="AR211" i="75"/>
  <c r="AR70" i="75"/>
  <c r="AR69" i="76" s="1"/>
  <c r="AR21" i="75"/>
  <c r="AR20" i="76" s="1"/>
  <c r="AR279" i="75"/>
  <c r="AR71" i="75"/>
  <c r="AR70" i="76" s="1"/>
  <c r="AR47" i="75"/>
  <c r="AR46" i="76" s="1"/>
  <c r="AR326" i="75"/>
  <c r="AR389" i="76" s="1"/>
  <c r="AR209" i="75"/>
  <c r="AR68" i="75"/>
  <c r="AR19" i="75"/>
  <c r="AR18" i="76" s="1"/>
  <c r="AR217" i="75"/>
  <c r="AR309" i="75"/>
  <c r="AR277" i="75"/>
  <c r="AR172" i="75"/>
  <c r="AR39" i="75"/>
  <c r="AR38" i="76" s="1"/>
  <c r="AR276" i="75"/>
  <c r="AR306" i="75"/>
  <c r="AR88" i="75"/>
  <c r="AR294" i="75"/>
  <c r="AR194" i="75"/>
  <c r="AR44" i="75"/>
  <c r="AR43" i="76" s="1"/>
  <c r="AR328" i="75"/>
  <c r="AR391" i="76" s="1"/>
  <c r="AR263" i="75"/>
  <c r="AR76" i="75"/>
  <c r="AR25" i="75"/>
  <c r="AR24" i="76" s="1"/>
  <c r="AR259" i="75"/>
  <c r="AR299" i="75"/>
  <c r="AR197" i="75"/>
  <c r="AR56" i="75"/>
  <c r="AR55" i="76" s="1"/>
  <c r="AR322" i="75"/>
  <c r="AR207" i="75"/>
  <c r="AR337" i="75"/>
  <c r="AR400" i="76" s="1"/>
  <c r="AR218" i="75"/>
  <c r="AR368" i="76" s="1"/>
  <c r="AR305" i="75"/>
  <c r="AR195" i="75"/>
  <c r="AR53" i="75"/>
  <c r="AR52" i="76" s="1"/>
  <c r="AR74" i="75"/>
  <c r="AR58" i="75"/>
  <c r="AR288" i="75"/>
  <c r="AR80" i="75"/>
  <c r="AR181" i="75"/>
  <c r="AR187" i="75"/>
  <c r="AR34" i="75"/>
  <c r="AR33" i="76" s="1"/>
  <c r="AR186" i="75"/>
  <c r="AR313" i="75"/>
  <c r="AR376" i="76" s="1"/>
  <c r="AR82" i="75"/>
  <c r="AR171" i="75"/>
  <c r="AR182" i="75"/>
  <c r="AR330" i="75"/>
  <c r="AR393" i="76" s="1"/>
  <c r="AR300" i="75"/>
  <c r="AR297" i="75"/>
  <c r="AR54" i="75"/>
  <c r="AR53" i="76" s="1"/>
  <c r="AR20" i="75"/>
  <c r="AR19" i="76" s="1"/>
  <c r="AR258" i="75"/>
  <c r="AR178" i="75"/>
  <c r="AR201" i="75"/>
  <c r="AR24" i="75"/>
  <c r="AR23" i="76" s="1"/>
  <c r="AR397" i="75"/>
  <c r="AR176" i="75"/>
  <c r="AR185" i="75"/>
  <c r="AR395" i="75"/>
  <c r="AR59" i="75"/>
  <c r="AR212" i="75"/>
  <c r="AR13" i="75"/>
  <c r="AR12" i="76" s="1"/>
  <c r="AR77" i="75"/>
  <c r="AR399" i="75"/>
  <c r="AR87" i="75"/>
  <c r="AR83" i="75"/>
  <c r="AR404" i="75"/>
  <c r="AR175" i="75"/>
  <c r="AR301" i="75"/>
  <c r="AR61" i="75"/>
  <c r="AR170" i="76" s="1"/>
  <c r="AR64" i="75"/>
  <c r="AR196" i="75"/>
  <c r="AR308" i="75"/>
  <c r="AR268" i="75"/>
  <c r="AR281" i="75"/>
  <c r="AR40" i="75"/>
  <c r="AR39" i="76" s="1"/>
  <c r="AR214" i="75"/>
  <c r="AR364" i="76" s="1"/>
  <c r="AR210" i="75"/>
  <c r="AR52" i="75"/>
  <c r="AR51" i="76" s="1"/>
  <c r="AR293" i="75"/>
  <c r="AR49" i="75"/>
  <c r="AR48" i="76" s="1"/>
  <c r="AR81" i="75"/>
  <c r="AR303" i="75"/>
  <c r="AR55" i="75"/>
  <c r="AR54" i="76" s="1"/>
  <c r="AR271" i="75"/>
  <c r="AR14" i="75"/>
  <c r="AR13" i="76" s="1"/>
  <c r="AR324" i="75"/>
  <c r="AR387" i="76" s="1"/>
  <c r="AR75" i="75"/>
  <c r="AR272" i="75"/>
  <c r="AR33" i="75"/>
  <c r="AR32" i="76" s="1"/>
  <c r="AR264" i="75"/>
  <c r="AR216" i="75"/>
  <c r="AR57" i="75"/>
  <c r="AR166" i="76" s="1"/>
  <c r="AR22" i="75"/>
  <c r="AR21" i="76" s="1"/>
  <c r="AR282" i="75"/>
  <c r="AR32" i="75"/>
  <c r="AR31" i="76" s="1"/>
  <c r="AR200" i="75"/>
  <c r="AR298" i="75"/>
  <c r="AR62" i="75"/>
  <c r="AR192" i="75"/>
  <c r="AR292" i="75"/>
  <c r="AR50" i="75"/>
  <c r="AR49" i="76" s="1"/>
  <c r="AR10" i="75"/>
  <c r="AR9" i="76" s="1"/>
  <c r="AR289" i="75"/>
  <c r="AR63" i="75"/>
  <c r="AR213" i="75"/>
  <c r="AR29" i="75"/>
  <c r="AR28" i="76" s="1"/>
  <c r="AR312" i="75"/>
  <c r="AR375" i="76" s="1"/>
  <c r="AR78" i="75"/>
  <c r="AR265" i="75"/>
  <c r="AR291" i="75"/>
  <c r="AR354" i="76" s="1"/>
  <c r="AR203" i="75"/>
  <c r="AR183" i="75"/>
  <c r="AR31" i="75"/>
  <c r="AR30" i="76" s="1"/>
  <c r="AR270" i="75"/>
  <c r="AR180" i="75"/>
  <c r="AR330" i="76" s="1"/>
  <c r="AR191" i="75"/>
  <c r="AR402" i="75"/>
  <c r="AR86" i="75"/>
  <c r="AR335" i="75"/>
  <c r="AR398" i="76" s="1"/>
  <c r="AR23" i="75"/>
  <c r="AR22" i="76" s="1"/>
  <c r="AR334" i="75"/>
  <c r="AR397" i="76" s="1"/>
  <c r="AR73" i="75"/>
  <c r="AR71" i="76" s="1"/>
  <c r="AR405" i="75"/>
  <c r="AR278" i="75"/>
  <c r="AR38" i="75"/>
  <c r="AR37" i="76" s="1"/>
  <c r="AR179" i="75"/>
  <c r="AR329" i="76" s="1"/>
  <c r="AR273" i="75"/>
  <c r="AR16" i="75"/>
  <c r="AR15" i="76" s="1"/>
  <c r="AR206" i="75"/>
  <c r="AR66" i="75"/>
  <c r="AR175" i="76" s="1"/>
  <c r="AR283" i="75"/>
  <c r="AR41" i="75"/>
  <c r="AR40" i="76" s="1"/>
  <c r="AR193" i="75"/>
  <c r="AR69" i="75"/>
  <c r="AR178" i="76" s="1"/>
  <c r="AR188" i="75"/>
  <c r="AR403" i="75"/>
  <c r="AR284" i="75"/>
  <c r="AR262" i="75"/>
  <c r="AR325" i="76" s="1"/>
  <c r="AR208" i="75"/>
  <c r="AR204" i="75"/>
  <c r="AR286" i="75"/>
  <c r="AR310" i="75"/>
  <c r="AR373" i="76" s="1"/>
  <c r="AR173" i="75"/>
  <c r="AR1" i="76"/>
  <c r="IG17" i="68"/>
  <c r="HX17" i="68"/>
  <c r="HW17" i="68"/>
  <c r="L276" i="68"/>
  <c r="AJ91" i="75"/>
  <c r="AJ8" i="76"/>
  <c r="HS17" i="68"/>
  <c r="HT17" i="68"/>
  <c r="IF17" i="68"/>
  <c r="L264" i="68"/>
  <c r="H282" i="68"/>
  <c r="AN341" i="75"/>
  <c r="AN369" i="76"/>
  <c r="AN91" i="75"/>
  <c r="AN8" i="76"/>
  <c r="AJ93" i="75"/>
  <c r="HY16" i="69"/>
  <c r="K285" i="69"/>
  <c r="K289" i="68"/>
  <c r="AF96" i="75"/>
  <c r="AF99" i="75" s="1"/>
  <c r="AF105" i="75" s="1"/>
  <c r="AG106" i="75" s="1"/>
  <c r="AF95" i="75"/>
  <c r="AJ340" i="75"/>
  <c r="AJ428" i="75"/>
  <c r="AJ430" i="75" s="1"/>
  <c r="AJ431" i="75" s="1"/>
  <c r="AJ98" i="75" s="1"/>
  <c r="K277" i="68"/>
  <c r="K273" i="69"/>
  <c r="HU16" i="69"/>
  <c r="HN18" i="68"/>
  <c r="HU15" i="69"/>
  <c r="J277" i="68"/>
  <c r="J273" i="69"/>
  <c r="O250" i="68" a="1"/>
  <c r="O250" i="68" s="1"/>
  <c r="N251" i="68"/>
  <c r="J285" i="69"/>
  <c r="HY15" i="69"/>
  <c r="J289" i="68"/>
  <c r="AN251" i="75"/>
  <c r="AN254" i="75" s="1"/>
  <c r="AN255" i="75" s="1"/>
  <c r="AN321" i="76"/>
  <c r="AJ92" i="75"/>
  <c r="AJ342" i="75"/>
  <c r="AJ385" i="76"/>
  <c r="AJ251" i="75"/>
  <c r="AJ254" i="75" s="1"/>
  <c r="AJ255" i="75" s="1"/>
  <c r="AJ355" i="76"/>
  <c r="J261" i="69"/>
  <c r="J265" i="68"/>
  <c r="HQ15" i="69"/>
  <c r="AR331" i="76"/>
  <c r="AR332" i="76"/>
  <c r="AR66" i="76"/>
  <c r="AR337" i="76"/>
  <c r="AR335" i="76" l="1"/>
  <c r="AR358" i="76"/>
  <c r="AR321" i="76"/>
  <c r="AR341" i="76"/>
  <c r="AR355" i="76"/>
  <c r="AR181" i="76"/>
  <c r="AR180" i="76"/>
  <c r="AR334" i="76"/>
  <c r="AR356" i="76"/>
  <c r="AR338" i="76"/>
  <c r="AR347" i="76"/>
  <c r="AR322" i="76"/>
  <c r="HN19" i="68"/>
  <c r="HO19" i="68" s="1"/>
  <c r="AR336" i="76"/>
  <c r="AR343" i="76"/>
  <c r="AR342" i="76"/>
  <c r="AR351" i="76"/>
  <c r="AR60" i="76"/>
  <c r="AR56" i="76"/>
  <c r="AR333" i="76"/>
  <c r="AR350" i="76"/>
  <c r="AR360" i="76"/>
  <c r="AR345" i="76"/>
  <c r="AR357" i="76"/>
  <c r="AR367" i="76"/>
  <c r="AR349" i="76"/>
  <c r="AR327" i="76"/>
  <c r="AR340" i="76"/>
  <c r="AR346" i="76"/>
  <c r="AR359" i="76"/>
  <c r="AR339" i="76"/>
  <c r="AR68" i="76"/>
  <c r="AR363" i="76"/>
  <c r="AR344" i="76"/>
  <c r="AR323" i="76"/>
  <c r="AR352" i="76"/>
  <c r="AR365" i="76"/>
  <c r="AR65" i="76"/>
  <c r="AR362" i="76"/>
  <c r="AR328" i="76"/>
  <c r="AR366" i="76"/>
  <c r="AN94" i="75"/>
  <c r="AN95" i="75" s="1"/>
  <c r="AR326" i="76"/>
  <c r="AR91" i="75"/>
  <c r="AR8" i="76"/>
  <c r="L290" i="68"/>
  <c r="L293" i="68"/>
  <c r="L292" i="68"/>
  <c r="L291" i="68"/>
  <c r="L315" i="68"/>
  <c r="I270" i="68"/>
  <c r="H310" i="68"/>
  <c r="I307" i="69"/>
  <c r="I303" i="68"/>
  <c r="I311" i="68" s="1"/>
  <c r="M264" i="68"/>
  <c r="HT18" i="68"/>
  <c r="IF18" i="68"/>
  <c r="HS18" i="68"/>
  <c r="J300" i="68"/>
  <c r="J308" i="68" s="1"/>
  <c r="J304" i="69"/>
  <c r="HM17" i="69"/>
  <c r="L253" i="68"/>
  <c r="L249" i="69"/>
  <c r="I301" i="68"/>
  <c r="I305" i="69"/>
  <c r="N263" i="68"/>
  <c r="HR19" i="68" s="1"/>
  <c r="O262" i="68" a="1"/>
  <c r="O262" i="68" s="1"/>
  <c r="J258" i="68"/>
  <c r="J290" i="68"/>
  <c r="J293" i="68"/>
  <c r="J315" i="68"/>
  <c r="J291" i="68"/>
  <c r="J292" i="68"/>
  <c r="K280" i="68"/>
  <c r="K279" i="68"/>
  <c r="K314" i="68"/>
  <c r="K281" i="68"/>
  <c r="K278" i="68"/>
  <c r="AJ94" i="75"/>
  <c r="AR341" i="75"/>
  <c r="AR369" i="76"/>
  <c r="AR93" i="75"/>
  <c r="AR361" i="76"/>
  <c r="I294" i="68"/>
  <c r="O251" i="68"/>
  <c r="HN20" i="68" s="1"/>
  <c r="P250" i="68" a="1"/>
  <c r="P250" i="68" s="1"/>
  <c r="HU17" i="69"/>
  <c r="L273" i="69"/>
  <c r="L277" i="68"/>
  <c r="HW18" i="68"/>
  <c r="HX18" i="68"/>
  <c r="M276" i="68"/>
  <c r="IG18" i="68"/>
  <c r="I302" i="68"/>
  <c r="I310" i="68" s="1"/>
  <c r="I306" i="69"/>
  <c r="K291" i="68"/>
  <c r="K290" i="68"/>
  <c r="K292" i="68"/>
  <c r="K293" i="68"/>
  <c r="K315" i="68"/>
  <c r="HQ17" i="69"/>
  <c r="L265" i="68"/>
  <c r="L261" i="69"/>
  <c r="AR92" i="75"/>
  <c r="AR251" i="75"/>
  <c r="AR254" i="75" s="1"/>
  <c r="AR255" i="75" s="1"/>
  <c r="N275" i="68"/>
  <c r="HV19" i="68" s="1"/>
  <c r="O274" i="68" a="1"/>
  <c r="O274" i="68" s="1"/>
  <c r="J314" i="68"/>
  <c r="J280" i="68"/>
  <c r="J279" i="68"/>
  <c r="J281" i="68"/>
  <c r="J278" i="68"/>
  <c r="AR340" i="75"/>
  <c r="AR342" i="75"/>
  <c r="AR385" i="76"/>
  <c r="M285" i="69"/>
  <c r="M289" i="68"/>
  <c r="HY18" i="69"/>
  <c r="K268" i="68"/>
  <c r="K313" i="68"/>
  <c r="K267" i="68"/>
  <c r="K269" i="68"/>
  <c r="K266" i="68"/>
  <c r="AN343" i="75"/>
  <c r="AN344" i="75" s="1"/>
  <c r="AN97" i="75" s="1"/>
  <c r="AR179" i="76"/>
  <c r="J269" i="68"/>
  <c r="J268" i="68"/>
  <c r="J266" i="68"/>
  <c r="J267" i="68"/>
  <c r="J313" i="68"/>
  <c r="AJ343" i="75"/>
  <c r="AJ344" i="75" s="1"/>
  <c r="AJ97" i="75" s="1"/>
  <c r="AR428" i="75"/>
  <c r="AR430" i="75" s="1"/>
  <c r="AR431" i="75" s="1"/>
  <c r="AR98" i="75" s="1"/>
  <c r="K312" i="68"/>
  <c r="K256" i="68"/>
  <c r="K254" i="68"/>
  <c r="K255" i="68"/>
  <c r="K257" i="68"/>
  <c r="AZ1" i="75"/>
  <c r="AV59" i="75"/>
  <c r="AV41" i="75"/>
  <c r="AV40" i="76" s="1"/>
  <c r="AV22" i="75"/>
  <c r="AV21" i="76" s="1"/>
  <c r="AV176" i="75"/>
  <c r="AV213" i="75"/>
  <c r="AV211" i="75"/>
  <c r="AV52" i="75"/>
  <c r="AV51" i="76" s="1"/>
  <c r="AV303" i="75"/>
  <c r="AV262" i="75"/>
  <c r="AV15" i="75"/>
  <c r="AV14" i="76" s="1"/>
  <c r="AV78" i="75"/>
  <c r="AV87" i="75"/>
  <c r="AV88" i="75"/>
  <c r="AV48" i="75"/>
  <c r="AV47" i="76" s="1"/>
  <c r="AV210" i="75"/>
  <c r="AV259" i="75"/>
  <c r="AV292" i="75"/>
  <c r="AV194" i="75"/>
  <c r="AV313" i="75"/>
  <c r="AV376" i="76" s="1"/>
  <c r="AV177" i="75"/>
  <c r="AV70" i="75"/>
  <c r="AV43" i="75"/>
  <c r="AV42" i="76" s="1"/>
  <c r="AV217" i="75"/>
  <c r="AV201" i="75"/>
  <c r="AV23" i="75"/>
  <c r="AV22" i="76" s="1"/>
  <c r="AV295" i="75"/>
  <c r="AV269" i="75"/>
  <c r="AV399" i="75"/>
  <c r="AV74" i="75"/>
  <c r="AV67" i="75"/>
  <c r="AV27" i="75"/>
  <c r="AV26" i="76" s="1"/>
  <c r="AV310" i="75"/>
  <c r="AV373" i="76" s="1"/>
  <c r="AV335" i="75"/>
  <c r="AV398" i="76" s="1"/>
  <c r="AV403" i="75"/>
  <c r="AV207" i="75"/>
  <c r="AV86" i="75"/>
  <c r="AV183" i="75"/>
  <c r="AV81" i="75"/>
  <c r="AV180" i="75"/>
  <c r="AV102" i="75"/>
  <c r="AV274" i="75"/>
  <c r="AV60" i="75"/>
  <c r="AV30" i="75"/>
  <c r="AV29" i="76" s="1"/>
  <c r="AV18" i="75"/>
  <c r="AV17" i="76" s="1"/>
  <c r="AV206" i="75"/>
  <c r="AV218" i="75"/>
  <c r="AV49" i="75"/>
  <c r="AV48" i="76" s="1"/>
  <c r="AV20" i="75"/>
  <c r="AV19" i="76" s="1"/>
  <c r="AV336" i="75"/>
  <c r="AV399" i="76" s="1"/>
  <c r="AV76" i="75"/>
  <c r="AV24" i="75"/>
  <c r="AV23" i="76" s="1"/>
  <c r="AV191" i="75"/>
  <c r="AV404" i="75"/>
  <c r="AV397" i="75"/>
  <c r="AV61" i="75"/>
  <c r="AV85" i="75"/>
  <c r="AV293" i="75"/>
  <c r="AV258" i="75"/>
  <c r="AV265" i="75"/>
  <c r="AV270" i="75"/>
  <c r="AV73" i="75"/>
  <c r="AV28" i="75"/>
  <c r="AV27" i="76" s="1"/>
  <c r="AV271" i="75"/>
  <c r="AV200" i="75"/>
  <c r="AV188" i="75"/>
  <c r="AV284" i="75"/>
  <c r="AV32" i="75"/>
  <c r="AV31" i="76" s="1"/>
  <c r="AV40" i="75"/>
  <c r="AV39" i="76" s="1"/>
  <c r="AV305" i="75"/>
  <c r="AV187" i="75"/>
  <c r="AV326" i="75"/>
  <c r="AV389" i="76" s="1"/>
  <c r="AV82" i="75"/>
  <c r="AV31" i="75"/>
  <c r="AV30" i="76" s="1"/>
  <c r="AV80" i="75"/>
  <c r="AV62" i="75"/>
  <c r="AV283" i="75"/>
  <c r="AV330" i="75"/>
  <c r="AV393" i="76" s="1"/>
  <c r="AV285" i="75"/>
  <c r="AV264" i="75"/>
  <c r="AV21" i="75"/>
  <c r="AV20" i="76" s="1"/>
  <c r="AV287" i="75"/>
  <c r="AV314" i="75"/>
  <c r="AV377" i="76" s="1"/>
  <c r="AV179" i="75"/>
  <c r="AV57" i="75"/>
  <c r="AV77" i="75"/>
  <c r="AV83" i="75"/>
  <c r="AV103" i="75"/>
  <c r="AV197" i="75"/>
  <c r="AV298" i="75"/>
  <c r="AV288" i="75"/>
  <c r="AV281" i="75"/>
  <c r="AV172" i="75"/>
  <c r="AV214" i="75"/>
  <c r="AV89" i="75"/>
  <c r="AV63" i="75"/>
  <c r="AV10" i="75"/>
  <c r="AV9" i="76" s="1"/>
  <c r="AV174" i="75"/>
  <c r="AV401" i="75"/>
  <c r="AV289" i="75"/>
  <c r="AV290" i="75"/>
  <c r="AV297" i="75"/>
  <c r="AV216" i="75"/>
  <c r="AV208" i="75"/>
  <c r="AV182" i="75"/>
  <c r="AV405" i="75"/>
  <c r="AV304" i="75"/>
  <c r="AV275" i="75"/>
  <c r="AV266" i="75"/>
  <c r="AV79" i="75"/>
  <c r="AV312" i="75"/>
  <c r="AV375" i="76" s="1"/>
  <c r="AV277" i="75"/>
  <c r="AV55" i="75"/>
  <c r="AV54" i="76" s="1"/>
  <c r="AV278" i="75"/>
  <c r="AV204" i="75"/>
  <c r="AV209" i="75"/>
  <c r="AV296" i="75"/>
  <c r="AV302" i="75"/>
  <c r="AV212" i="75"/>
  <c r="AV65" i="75"/>
  <c r="AV294" i="75"/>
  <c r="AV192" i="75"/>
  <c r="AV34" i="75"/>
  <c r="AV33" i="76" s="1"/>
  <c r="AV45" i="75"/>
  <c r="AV44" i="76" s="1"/>
  <c r="AV282" i="75"/>
  <c r="AV104" i="75"/>
  <c r="AV47" i="75"/>
  <c r="AV46" i="76" s="1"/>
  <c r="AV42" i="75"/>
  <c r="AV41" i="76" s="1"/>
  <c r="AV398" i="75"/>
  <c r="AV171" i="75"/>
  <c r="AV39" i="75"/>
  <c r="AV38" i="76" s="1"/>
  <c r="AV202" i="75"/>
  <c r="AV352" i="76" s="1"/>
  <c r="AV13" i="75"/>
  <c r="AV12" i="76" s="1"/>
  <c r="AV71" i="75"/>
  <c r="AV69" i="75"/>
  <c r="AV328" i="75"/>
  <c r="AV391" i="76" s="1"/>
  <c r="AV203" i="75"/>
  <c r="AV51" i="75"/>
  <c r="AV50" i="76" s="1"/>
  <c r="AV402" i="75"/>
  <c r="AV315" i="75"/>
  <c r="AV378" i="76" s="1"/>
  <c r="AV14" i="75"/>
  <c r="AV13" i="76" s="1"/>
  <c r="AV301" i="75"/>
  <c r="AV308" i="75"/>
  <c r="AV46" i="75"/>
  <c r="AV45" i="76" s="1"/>
  <c r="AV272" i="75"/>
  <c r="AV189" i="75"/>
  <c r="AV309" i="75"/>
  <c r="AV26" i="75"/>
  <c r="AV25" i="76" s="1"/>
  <c r="AV25" i="75"/>
  <c r="AV24" i="76" s="1"/>
  <c r="AV196" i="75"/>
  <c r="AV263" i="75"/>
  <c r="AV395" i="75"/>
  <c r="AV268" i="75"/>
  <c r="AV175" i="75"/>
  <c r="AV325" i="76" s="1"/>
  <c r="AV186" i="75"/>
  <c r="AV199" i="75"/>
  <c r="AV286" i="75"/>
  <c r="AV58" i="75"/>
  <c r="AV37" i="75"/>
  <c r="AV36" i="76" s="1"/>
  <c r="AV84" i="75"/>
  <c r="AV33" i="75"/>
  <c r="AV32" i="76" s="1"/>
  <c r="AV280" i="75"/>
  <c r="AV173" i="75"/>
  <c r="AV38" i="75"/>
  <c r="AV37" i="76" s="1"/>
  <c r="AV260" i="75"/>
  <c r="AV178" i="75"/>
  <c r="AV307" i="75"/>
  <c r="AV193" i="75"/>
  <c r="AV64" i="75"/>
  <c r="AV68" i="75"/>
  <c r="AV190" i="75"/>
  <c r="AV334" i="75"/>
  <c r="AV397" i="76" s="1"/>
  <c r="AV53" i="75"/>
  <c r="AV52" i="76" s="1"/>
  <c r="AV11" i="75"/>
  <c r="AV10" i="76" s="1"/>
  <c r="AV56" i="75"/>
  <c r="AV55" i="76" s="1"/>
  <c r="AV54" i="75"/>
  <c r="AV53" i="76" s="1"/>
  <c r="AV36" i="75"/>
  <c r="AV90" i="75"/>
  <c r="AV195" i="75"/>
  <c r="AV12" i="75"/>
  <c r="AV11" i="76" s="1"/>
  <c r="AV332" i="75"/>
  <c r="AV395" i="76" s="1"/>
  <c r="AV279" i="75"/>
  <c r="AV16" i="75"/>
  <c r="AV15" i="76" s="1"/>
  <c r="AV29" i="75"/>
  <c r="AV28" i="76" s="1"/>
  <c r="AV276" i="75"/>
  <c r="AV66" i="75"/>
  <c r="AV50" i="75"/>
  <c r="AV49" i="76" s="1"/>
  <c r="AV181" i="75"/>
  <c r="AV261" i="75"/>
  <c r="AV17" i="75"/>
  <c r="AV16" i="76" s="1"/>
  <c r="AV273" i="75"/>
  <c r="AV19" i="75"/>
  <c r="AV18" i="76" s="1"/>
  <c r="AV198" i="75"/>
  <c r="AV9" i="75"/>
  <c r="AV396" i="75"/>
  <c r="AV306" i="75"/>
  <c r="AV322" i="75"/>
  <c r="AV72" i="75"/>
  <c r="AV75" i="75"/>
  <c r="AV300" i="75"/>
  <c r="AV324" i="75"/>
  <c r="AV387" i="76" s="1"/>
  <c r="AV44" i="75"/>
  <c r="AV43" i="76" s="1"/>
  <c r="AV267" i="75"/>
  <c r="AV185" i="75"/>
  <c r="AV291" i="75"/>
  <c r="AV205" i="75"/>
  <c r="AV299" i="75"/>
  <c r="AV400" i="75"/>
  <c r="AV316" i="75"/>
  <c r="AV379" i="76" s="1"/>
  <c r="AV184" i="75"/>
  <c r="AV334" i="76" s="1"/>
  <c r="AV337" i="75"/>
  <c r="AV400" i="76" s="1"/>
  <c r="AV215" i="75"/>
  <c r="AV311" i="75"/>
  <c r="AV374" i="76" s="1"/>
  <c r="AV35" i="75"/>
  <c r="AV34" i="76" s="1"/>
  <c r="AV1" i="76"/>
  <c r="IB19" i="68"/>
  <c r="IH19" i="68"/>
  <c r="IA19" i="68"/>
  <c r="N288" i="68"/>
  <c r="HP18" i="68"/>
  <c r="IE18" i="68"/>
  <c r="M252" i="68"/>
  <c r="HO18" i="68"/>
  <c r="AN96" i="75"/>
  <c r="P286" i="68" a="1"/>
  <c r="P286" i="68" s="1"/>
  <c r="O287" i="68"/>
  <c r="HZ20" i="68" s="1"/>
  <c r="AN99" i="75" l="1"/>
  <c r="AN105" i="75" s="1"/>
  <c r="AO106" i="75" s="1"/>
  <c r="HP19" i="68"/>
  <c r="N252" i="68"/>
  <c r="IE19" i="68"/>
  <c r="AV338" i="76"/>
  <c r="AV332" i="76"/>
  <c r="AV342" i="76"/>
  <c r="AV324" i="76"/>
  <c r="AV353" i="76"/>
  <c r="AV347" i="76"/>
  <c r="AV351" i="76"/>
  <c r="K270" i="68"/>
  <c r="AV358" i="76"/>
  <c r="AV367" i="76"/>
  <c r="J270" i="68"/>
  <c r="AV339" i="76"/>
  <c r="AV330" i="76"/>
  <c r="AV360" i="76"/>
  <c r="AV368" i="76"/>
  <c r="AV365" i="76"/>
  <c r="AV349" i="76"/>
  <c r="AV359" i="76"/>
  <c r="J294" i="68"/>
  <c r="L294" i="68"/>
  <c r="AV343" i="76"/>
  <c r="AV428" i="75"/>
  <c r="AV430" i="75" s="1"/>
  <c r="AV431" i="75" s="1"/>
  <c r="AV98" i="75" s="1"/>
  <c r="AV66" i="76"/>
  <c r="AV176" i="76"/>
  <c r="AR343" i="75"/>
  <c r="AR344" i="75" s="1"/>
  <c r="AR97" i="75" s="1"/>
  <c r="AV355" i="76"/>
  <c r="AV328" i="76"/>
  <c r="AV346" i="76"/>
  <c r="AV180" i="76"/>
  <c r="AV70" i="76"/>
  <c r="AV364" i="76"/>
  <c r="AV71" i="76"/>
  <c r="AV181" i="76"/>
  <c r="AV356" i="76"/>
  <c r="AV333" i="76"/>
  <c r="AV69" i="76"/>
  <c r="AV179" i="76"/>
  <c r="AV363" i="76"/>
  <c r="HX19" i="68"/>
  <c r="IG19" i="68"/>
  <c r="HW19" i="68"/>
  <c r="N276" i="68"/>
  <c r="K294" i="68"/>
  <c r="K306" i="69"/>
  <c r="K302" i="68"/>
  <c r="K310" i="68" s="1"/>
  <c r="AV91" i="75"/>
  <c r="AV8" i="76"/>
  <c r="M253" i="68"/>
  <c r="M249" i="69"/>
  <c r="HM18" i="69"/>
  <c r="AV342" i="75"/>
  <c r="AV385" i="76"/>
  <c r="AV322" i="76"/>
  <c r="AV92" i="75"/>
  <c r="AV56" i="76"/>
  <c r="AV166" i="76"/>
  <c r="AV341" i="76"/>
  <c r="AV327" i="76"/>
  <c r="AV326" i="76"/>
  <c r="K258" i="68"/>
  <c r="K282" i="68"/>
  <c r="I309" i="68"/>
  <c r="L307" i="69"/>
  <c r="L303" i="68"/>
  <c r="L311" i="68" s="1"/>
  <c r="AV350" i="76"/>
  <c r="IH20" i="68"/>
  <c r="IA20" i="68"/>
  <c r="O288" i="68"/>
  <c r="IB20" i="68"/>
  <c r="AV170" i="76"/>
  <c r="AV60" i="76"/>
  <c r="N289" i="68"/>
  <c r="N285" i="69"/>
  <c r="HY19" i="69"/>
  <c r="AV335" i="76"/>
  <c r="AV341" i="75"/>
  <c r="AV369" i="76"/>
  <c r="AV331" i="76"/>
  <c r="AV329" i="76"/>
  <c r="AV357" i="76"/>
  <c r="J302" i="68"/>
  <c r="J310" i="68" s="1"/>
  <c r="J306" i="69"/>
  <c r="K307" i="69"/>
  <c r="K303" i="68"/>
  <c r="K311" i="68" s="1"/>
  <c r="L281" i="68"/>
  <c r="L279" i="68"/>
  <c r="L280" i="68"/>
  <c r="L314" i="68"/>
  <c r="L278" i="68"/>
  <c r="HQ18" i="69"/>
  <c r="M265" i="68"/>
  <c r="M261" i="69"/>
  <c r="AV175" i="76"/>
  <c r="AV65" i="76"/>
  <c r="P287" i="68"/>
  <c r="HZ21" i="68" s="1"/>
  <c r="Q286" i="68" a="1"/>
  <c r="Q286" i="68" s="1"/>
  <c r="AV345" i="76"/>
  <c r="AV340" i="76"/>
  <c r="AV323" i="76"/>
  <c r="AV336" i="76"/>
  <c r="AV354" i="76"/>
  <c r="AV340" i="75"/>
  <c r="AV344" i="76"/>
  <c r="M315" i="68"/>
  <c r="M291" i="68"/>
  <c r="M292" i="68"/>
  <c r="M290" i="68"/>
  <c r="M293" i="68"/>
  <c r="J282" i="68"/>
  <c r="HM19" i="69"/>
  <c r="N253" i="68"/>
  <c r="N249" i="69"/>
  <c r="L255" i="68"/>
  <c r="L257" i="68"/>
  <c r="L256" i="68"/>
  <c r="L312" i="68"/>
  <c r="BD1" i="75"/>
  <c r="L254" i="68"/>
  <c r="AV251" i="75"/>
  <c r="AV254" i="75" s="1"/>
  <c r="AV255" i="75" s="1"/>
  <c r="AV321" i="76"/>
  <c r="L266" i="68"/>
  <c r="L269" i="68"/>
  <c r="L268" i="68"/>
  <c r="L267" i="68"/>
  <c r="L313" i="68"/>
  <c r="AJ96" i="75"/>
  <c r="AJ99" i="75" s="1"/>
  <c r="AJ105" i="75" s="1"/>
  <c r="AK106" i="75" s="1"/>
  <c r="AJ95" i="75"/>
  <c r="AV93" i="75"/>
  <c r="AZ12" i="75"/>
  <c r="AZ11" i="76" s="1"/>
  <c r="AZ21" i="75"/>
  <c r="AZ20" i="76" s="1"/>
  <c r="AZ312" i="75"/>
  <c r="AZ375" i="76" s="1"/>
  <c r="AZ209" i="75"/>
  <c r="AZ283" i="75"/>
  <c r="AZ189" i="75"/>
  <c r="AZ173" i="75"/>
  <c r="AZ281" i="75"/>
  <c r="AZ286" i="75"/>
  <c r="AZ311" i="75"/>
  <c r="AZ374" i="76" s="1"/>
  <c r="AZ204" i="75"/>
  <c r="AZ84" i="75"/>
  <c r="AZ307" i="75"/>
  <c r="AZ28" i="75"/>
  <c r="AZ27" i="76" s="1"/>
  <c r="AZ26" i="75"/>
  <c r="AZ25" i="76" s="1"/>
  <c r="AZ36" i="75"/>
  <c r="AZ271" i="75"/>
  <c r="AZ300" i="75"/>
  <c r="AZ185" i="75"/>
  <c r="AZ218" i="75"/>
  <c r="AZ267" i="75"/>
  <c r="AZ80" i="75"/>
  <c r="AZ43" i="75"/>
  <c r="AZ42" i="76" s="1"/>
  <c r="AZ206" i="75"/>
  <c r="AZ50" i="75"/>
  <c r="AZ49" i="76" s="1"/>
  <c r="AZ38" i="75"/>
  <c r="AZ37" i="76" s="1"/>
  <c r="AZ53" i="75"/>
  <c r="AZ52" i="76" s="1"/>
  <c r="AZ308" i="75"/>
  <c r="AZ282" i="75"/>
  <c r="AZ73" i="75"/>
  <c r="AZ35" i="75"/>
  <c r="AZ34" i="76" s="1"/>
  <c r="AZ398" i="75"/>
  <c r="AZ47" i="75"/>
  <c r="AZ46" i="76" s="1"/>
  <c r="AZ16" i="75"/>
  <c r="AZ15" i="76" s="1"/>
  <c r="AZ186" i="75"/>
  <c r="AZ306" i="75"/>
  <c r="AZ261" i="75"/>
  <c r="AZ324" i="75"/>
  <c r="AZ387" i="76" s="1"/>
  <c r="AZ337" i="75"/>
  <c r="AZ400" i="76" s="1"/>
  <c r="AZ208" i="75"/>
  <c r="AZ285" i="75"/>
  <c r="AZ295" i="75"/>
  <c r="AZ403" i="75"/>
  <c r="AZ213" i="75"/>
  <c r="AZ210" i="75"/>
  <c r="AZ46" i="75"/>
  <c r="AZ45" i="76" s="1"/>
  <c r="AZ82" i="75"/>
  <c r="AZ87" i="75"/>
  <c r="AZ33" i="75"/>
  <c r="AZ32" i="76" s="1"/>
  <c r="AZ200" i="75"/>
  <c r="AZ77" i="75"/>
  <c r="AZ309" i="75"/>
  <c r="AZ304" i="75"/>
  <c r="AZ263" i="75"/>
  <c r="AZ203" i="75"/>
  <c r="AZ183" i="75"/>
  <c r="AZ287" i="75"/>
  <c r="AZ177" i="75"/>
  <c r="AZ40" i="75"/>
  <c r="AZ39" i="76" s="1"/>
  <c r="AZ332" i="75"/>
  <c r="AZ395" i="76" s="1"/>
  <c r="AZ56" i="75"/>
  <c r="AZ55" i="76" s="1"/>
  <c r="AZ37" i="75"/>
  <c r="AZ36" i="76" s="1"/>
  <c r="AZ215" i="75"/>
  <c r="AZ58" i="75"/>
  <c r="AZ273" i="75"/>
  <c r="AZ265" i="75"/>
  <c r="AZ69" i="75"/>
  <c r="AZ198" i="75"/>
  <c r="AZ178" i="75"/>
  <c r="AZ293" i="75"/>
  <c r="AZ19" i="75"/>
  <c r="AZ18" i="76" s="1"/>
  <c r="AZ65" i="75"/>
  <c r="AZ85" i="75"/>
  <c r="AZ29" i="75"/>
  <c r="AZ28" i="76" s="1"/>
  <c r="AZ15" i="75"/>
  <c r="AZ14" i="76" s="1"/>
  <c r="AZ284" i="75"/>
  <c r="AZ328" i="75"/>
  <c r="AZ391" i="76" s="1"/>
  <c r="AZ322" i="75"/>
  <c r="AZ259" i="75"/>
  <c r="AZ196" i="75"/>
  <c r="AZ60" i="75"/>
  <c r="AZ63" i="75"/>
  <c r="AZ32" i="75"/>
  <c r="AZ31" i="76" s="1"/>
  <c r="AZ180" i="75"/>
  <c r="AZ201" i="75"/>
  <c r="AZ194" i="75"/>
  <c r="AZ260" i="75"/>
  <c r="AZ291" i="75"/>
  <c r="AZ296" i="75"/>
  <c r="AZ258" i="75"/>
  <c r="AZ270" i="75"/>
  <c r="AZ14" i="75"/>
  <c r="AZ13" i="76" s="1"/>
  <c r="AZ172" i="75"/>
  <c r="AZ400" i="75"/>
  <c r="AZ42" i="75"/>
  <c r="AZ41" i="76" s="1"/>
  <c r="AZ52" i="75"/>
  <c r="AZ51" i="76" s="1"/>
  <c r="AZ45" i="75"/>
  <c r="AZ44" i="76" s="1"/>
  <c r="AZ179" i="75"/>
  <c r="AZ396" i="75"/>
  <c r="AZ303" i="75"/>
  <c r="AZ262" i="75"/>
  <c r="AZ294" i="75"/>
  <c r="AZ171" i="75"/>
  <c r="AZ205" i="75"/>
  <c r="AZ211" i="75"/>
  <c r="AZ81" i="75"/>
  <c r="AZ44" i="75"/>
  <c r="AZ43" i="76" s="1"/>
  <c r="AZ399" i="75"/>
  <c r="AZ70" i="75"/>
  <c r="AZ54" i="75"/>
  <c r="AZ53" i="76" s="1"/>
  <c r="AZ55" i="75"/>
  <c r="AZ54" i="76" s="1"/>
  <c r="AZ272" i="75"/>
  <c r="AZ79" i="75"/>
  <c r="AZ184" i="75"/>
  <c r="AZ193" i="75"/>
  <c r="AZ23" i="75"/>
  <c r="AZ22" i="76" s="1"/>
  <c r="AZ88" i="75"/>
  <c r="AZ326" i="75"/>
  <c r="AZ389" i="76" s="1"/>
  <c r="AZ13" i="75"/>
  <c r="AZ12" i="76" s="1"/>
  <c r="AZ397" i="75"/>
  <c r="AZ289" i="75"/>
  <c r="AZ10" i="75"/>
  <c r="AZ9" i="76" s="1"/>
  <c r="AZ316" i="75"/>
  <c r="AZ379" i="76" s="1"/>
  <c r="AZ313" i="75"/>
  <c r="AZ376" i="76" s="1"/>
  <c r="AZ217" i="75"/>
  <c r="AZ367" i="76" s="1"/>
  <c r="AZ199" i="75"/>
  <c r="AZ334" i="75"/>
  <c r="AZ397" i="76" s="1"/>
  <c r="AZ191" i="75"/>
  <c r="AZ34" i="75"/>
  <c r="AZ33" i="76" s="1"/>
  <c r="AZ75" i="75"/>
  <c r="AZ66" i="75"/>
  <c r="AZ401" i="75"/>
  <c r="AZ192" i="75"/>
  <c r="AZ266" i="75"/>
  <c r="AZ301" i="75"/>
  <c r="AZ302" i="75"/>
  <c r="AZ315" i="75"/>
  <c r="AZ378" i="76" s="1"/>
  <c r="AZ181" i="75"/>
  <c r="AZ31" i="75"/>
  <c r="AZ30" i="76" s="1"/>
  <c r="AZ61" i="75"/>
  <c r="AZ51" i="75"/>
  <c r="AZ50" i="76" s="1"/>
  <c r="AZ30" i="75"/>
  <c r="AZ29" i="76" s="1"/>
  <c r="AZ20" i="75"/>
  <c r="AZ19" i="76" s="1"/>
  <c r="AZ68" i="75"/>
  <c r="AZ290" i="75"/>
  <c r="AZ264" i="75"/>
  <c r="AZ41" i="75"/>
  <c r="AZ40" i="76" s="1"/>
  <c r="AZ76" i="75"/>
  <c r="AZ67" i="75"/>
  <c r="AZ103" i="75"/>
  <c r="AZ90" i="75"/>
  <c r="AZ62" i="75"/>
  <c r="AZ216" i="75"/>
  <c r="AZ49" i="75"/>
  <c r="AZ48" i="76" s="1"/>
  <c r="AZ78" i="75"/>
  <c r="AZ25" i="75"/>
  <c r="AZ24" i="76" s="1"/>
  <c r="AZ11" i="75"/>
  <c r="AZ10" i="76" s="1"/>
  <c r="AZ268" i="75"/>
  <c r="AZ202" i="75"/>
  <c r="AZ277" i="75"/>
  <c r="AZ72" i="75"/>
  <c r="AZ214" i="75"/>
  <c r="AZ212" i="75"/>
  <c r="AZ27" i="75"/>
  <c r="AZ26" i="76" s="1"/>
  <c r="AZ22" i="75"/>
  <c r="AZ21" i="76" s="1"/>
  <c r="AZ404" i="75"/>
  <c r="AZ299" i="75"/>
  <c r="AZ314" i="75"/>
  <c r="AZ377" i="76" s="1"/>
  <c r="AZ269" i="75"/>
  <c r="AZ187" i="75"/>
  <c r="AZ274" i="75"/>
  <c r="AZ174" i="75"/>
  <c r="AZ59" i="75"/>
  <c r="AZ276" i="75"/>
  <c r="AZ104" i="75"/>
  <c r="AZ402" i="75"/>
  <c r="AZ195" i="75"/>
  <c r="AZ39" i="75"/>
  <c r="AZ38" i="76" s="1"/>
  <c r="AZ275" i="75"/>
  <c r="AZ71" i="75"/>
  <c r="AZ335" i="75"/>
  <c r="AZ398" i="76" s="1"/>
  <c r="AZ305" i="75"/>
  <c r="AZ197" i="75"/>
  <c r="AZ292" i="75"/>
  <c r="AZ175" i="75"/>
  <c r="AZ336" i="75"/>
  <c r="AZ399" i="76" s="1"/>
  <c r="AZ190" i="75"/>
  <c r="AZ17" i="75"/>
  <c r="AZ16" i="76" s="1"/>
  <c r="AZ57" i="75"/>
  <c r="AZ74" i="75"/>
  <c r="AZ280" i="75"/>
  <c r="AZ298" i="75"/>
  <c r="AZ278" i="75"/>
  <c r="AZ64" i="75"/>
  <c r="AZ83" i="75"/>
  <c r="AZ279" i="75"/>
  <c r="AZ182" i="75"/>
  <c r="AZ24" i="75"/>
  <c r="AZ23" i="76" s="1"/>
  <c r="AZ48" i="75"/>
  <c r="AZ47" i="76" s="1"/>
  <c r="AZ9" i="75"/>
  <c r="AZ102" i="75"/>
  <c r="AZ89" i="75"/>
  <c r="AZ86" i="75"/>
  <c r="AZ330" i="75"/>
  <c r="AZ393" i="76" s="1"/>
  <c r="AZ288" i="75"/>
  <c r="AZ395" i="75"/>
  <c r="AZ405" i="75"/>
  <c r="AZ207" i="75"/>
  <c r="AZ188" i="75"/>
  <c r="AZ310" i="75"/>
  <c r="AZ373" i="76" s="1"/>
  <c r="AZ176" i="75"/>
  <c r="AZ18" i="75"/>
  <c r="AZ17" i="76" s="1"/>
  <c r="AZ297" i="75"/>
  <c r="AZ1" i="76"/>
  <c r="P251" i="68"/>
  <c r="HN21" i="68" s="1"/>
  <c r="Q250" i="68" a="1"/>
  <c r="Q250" i="68" s="1"/>
  <c r="O252" i="68"/>
  <c r="HP20" i="68"/>
  <c r="IE20" i="68"/>
  <c r="HO20" i="68"/>
  <c r="O263" i="68"/>
  <c r="HR20" i="68" s="1"/>
  <c r="P262" i="68" a="1"/>
  <c r="P262" i="68" s="1"/>
  <c r="AR94" i="75"/>
  <c r="AV178" i="76"/>
  <c r="AV68" i="76"/>
  <c r="AV362" i="76"/>
  <c r="AV366" i="76"/>
  <c r="AV337" i="76"/>
  <c r="AV361" i="76"/>
  <c r="K300" i="68"/>
  <c r="K308" i="68" s="1"/>
  <c r="K304" i="69"/>
  <c r="J301" i="68"/>
  <c r="J309" i="68" s="1"/>
  <c r="J305" i="69"/>
  <c r="K301" i="68"/>
  <c r="K309" i="68" s="1"/>
  <c r="K305" i="69"/>
  <c r="P274" i="68" a="1"/>
  <c r="P274" i="68" s="1"/>
  <c r="O275" i="68"/>
  <c r="HV20" i="68" s="1"/>
  <c r="M277" i="68"/>
  <c r="M273" i="69"/>
  <c r="HU18" i="69"/>
  <c r="J307" i="69"/>
  <c r="J303" i="68"/>
  <c r="J311" i="68" s="1"/>
  <c r="HT19" i="68"/>
  <c r="HS19" i="68"/>
  <c r="IF19" i="68"/>
  <c r="N264" i="68"/>
  <c r="AZ324" i="76" l="1"/>
  <c r="AZ330" i="76"/>
  <c r="AZ345" i="76"/>
  <c r="AZ346" i="76"/>
  <c r="AZ364" i="76"/>
  <c r="M294" i="68"/>
  <c r="AZ428" i="75"/>
  <c r="AZ430" i="75" s="1"/>
  <c r="AZ431" i="75" s="1"/>
  <c r="AZ98" i="75" s="1"/>
  <c r="AZ349" i="76"/>
  <c r="AZ344" i="76"/>
  <c r="AZ322" i="76"/>
  <c r="AZ326" i="76"/>
  <c r="AZ340" i="76"/>
  <c r="AZ362" i="76"/>
  <c r="AZ343" i="76"/>
  <c r="AZ336" i="76"/>
  <c r="AZ335" i="76"/>
  <c r="AZ354" i="76"/>
  <c r="L270" i="68"/>
  <c r="L258" i="68"/>
  <c r="AZ325" i="76"/>
  <c r="AZ366" i="76"/>
  <c r="AZ361" i="76"/>
  <c r="AZ358" i="76"/>
  <c r="AV343" i="75"/>
  <c r="AV344" i="75" s="1"/>
  <c r="AV97" i="75" s="1"/>
  <c r="AV94" i="75"/>
  <c r="AZ328" i="76"/>
  <c r="AZ363" i="76"/>
  <c r="HW20" i="68"/>
  <c r="O276" i="68"/>
  <c r="HX20" i="68"/>
  <c r="IG20" i="68"/>
  <c r="N261" i="69"/>
  <c r="HQ19" i="69"/>
  <c r="N265" i="68"/>
  <c r="AZ65" i="76"/>
  <c r="AZ175" i="76"/>
  <c r="O249" i="69"/>
  <c r="HM20" i="69"/>
  <c r="O253" i="68"/>
  <c r="AZ337" i="76"/>
  <c r="AZ331" i="76"/>
  <c r="AZ334" i="76"/>
  <c r="AZ329" i="76"/>
  <c r="AZ340" i="75"/>
  <c r="AZ327" i="76"/>
  <c r="AZ350" i="76"/>
  <c r="L301" i="68"/>
  <c r="L309" i="68" s="1"/>
  <c r="L305" i="69"/>
  <c r="BD24" i="75"/>
  <c r="BD23" i="76" s="1"/>
  <c r="BD201" i="75"/>
  <c r="BD396" i="75"/>
  <c r="BD25" i="75"/>
  <c r="BD24" i="76" s="1"/>
  <c r="BD211" i="75"/>
  <c r="BD23" i="75"/>
  <c r="BD22" i="76" s="1"/>
  <c r="BD306" i="75"/>
  <c r="BD399" i="75"/>
  <c r="BD299" i="75"/>
  <c r="BD181" i="75"/>
  <c r="BD297" i="75"/>
  <c r="BD258" i="75"/>
  <c r="BD289" i="75"/>
  <c r="BD17" i="75"/>
  <c r="BD16" i="76" s="1"/>
  <c r="BD53" i="75"/>
  <c r="BD52" i="76" s="1"/>
  <c r="BD337" i="75"/>
  <c r="BD400" i="76" s="1"/>
  <c r="BD280" i="75"/>
  <c r="BD307" i="75"/>
  <c r="BD281" i="75"/>
  <c r="BD174" i="75"/>
  <c r="BD187" i="75"/>
  <c r="BD205" i="75"/>
  <c r="BD324" i="75"/>
  <c r="BD387" i="76" s="1"/>
  <c r="BD65" i="75"/>
  <c r="BD301" i="75"/>
  <c r="BD309" i="75"/>
  <c r="BD276" i="75"/>
  <c r="BD60" i="75"/>
  <c r="BD212" i="75"/>
  <c r="BD405" i="75"/>
  <c r="BD89" i="75"/>
  <c r="BD177" i="75"/>
  <c r="BD43" i="75"/>
  <c r="BD42" i="76" s="1"/>
  <c r="BD303" i="75"/>
  <c r="BD38" i="75"/>
  <c r="BD37" i="76" s="1"/>
  <c r="BD274" i="75"/>
  <c r="BD264" i="75"/>
  <c r="BD182" i="75"/>
  <c r="BD48" i="75"/>
  <c r="BD47" i="76" s="1"/>
  <c r="BD67" i="75"/>
  <c r="BD55" i="75"/>
  <c r="BD54" i="76" s="1"/>
  <c r="BD332" i="75"/>
  <c r="BD395" i="76" s="1"/>
  <c r="BD20" i="75"/>
  <c r="BD19" i="76" s="1"/>
  <c r="BD175" i="75"/>
  <c r="BD295" i="75"/>
  <c r="BD277" i="75"/>
  <c r="BD298" i="75"/>
  <c r="BD275" i="75"/>
  <c r="BD47" i="75"/>
  <c r="BD46" i="76" s="1"/>
  <c r="BD271" i="75"/>
  <c r="BD37" i="75"/>
  <c r="BD36" i="76" s="1"/>
  <c r="BD185" i="75"/>
  <c r="BD328" i="75"/>
  <c r="BD391" i="76" s="1"/>
  <c r="BD314" i="75"/>
  <c r="BD377" i="76" s="1"/>
  <c r="BD13" i="75"/>
  <c r="BD12" i="76" s="1"/>
  <c r="BD15" i="75"/>
  <c r="BD14" i="76" s="1"/>
  <c r="BD268" i="75"/>
  <c r="BD83" i="75"/>
  <c r="BD284" i="75"/>
  <c r="BD199" i="75"/>
  <c r="BD266" i="75"/>
  <c r="BD200" i="75"/>
  <c r="BD206" i="75"/>
  <c r="BD62" i="75"/>
  <c r="BD302" i="75"/>
  <c r="BD326" i="75"/>
  <c r="BD389" i="76" s="1"/>
  <c r="BD290" i="75"/>
  <c r="BD300" i="75"/>
  <c r="BD216" i="75"/>
  <c r="BD191" i="75"/>
  <c r="BD209" i="75"/>
  <c r="BD171" i="75"/>
  <c r="BD27" i="75"/>
  <c r="BD26" i="76" s="1"/>
  <c r="BD39" i="75"/>
  <c r="BD38" i="76" s="1"/>
  <c r="BD68" i="75"/>
  <c r="BD14" i="75"/>
  <c r="BD13" i="76" s="1"/>
  <c r="BD204" i="75"/>
  <c r="BD77" i="75"/>
  <c r="BD10" i="75"/>
  <c r="BD9" i="76" s="1"/>
  <c r="BD272" i="75"/>
  <c r="BD270" i="75"/>
  <c r="BD173" i="75"/>
  <c r="BD35" i="75"/>
  <c r="BD34" i="76" s="1"/>
  <c r="BD82" i="75"/>
  <c r="BD61" i="75"/>
  <c r="BD315" i="75"/>
  <c r="BD378" i="76" s="1"/>
  <c r="BD72" i="75"/>
  <c r="BD88" i="75"/>
  <c r="BD259" i="75"/>
  <c r="BD85" i="75"/>
  <c r="BD189" i="75"/>
  <c r="BD339" i="76" s="1"/>
  <c r="BD76" i="75"/>
  <c r="BD172" i="75"/>
  <c r="BD54" i="75"/>
  <c r="BD53" i="76" s="1"/>
  <c r="BD194" i="75"/>
  <c r="BD279" i="75"/>
  <c r="BD196" i="75"/>
  <c r="BD208" i="75"/>
  <c r="BD186" i="75"/>
  <c r="BD46" i="75"/>
  <c r="BD45" i="76" s="1"/>
  <c r="BD71" i="75"/>
  <c r="BD40" i="75"/>
  <c r="BD39" i="76" s="1"/>
  <c r="BD73" i="75"/>
  <c r="BD31" i="75"/>
  <c r="BD30" i="76" s="1"/>
  <c r="BD19" i="75"/>
  <c r="BD18" i="76" s="1"/>
  <c r="BD184" i="75"/>
  <c r="BD334" i="76" s="1"/>
  <c r="BD400" i="75"/>
  <c r="BD210" i="75"/>
  <c r="BD11" i="75"/>
  <c r="BD10" i="76" s="1"/>
  <c r="BD214" i="75"/>
  <c r="BD104" i="75"/>
  <c r="BD58" i="75"/>
  <c r="BD404" i="75"/>
  <c r="BD288" i="75"/>
  <c r="BD69" i="75"/>
  <c r="BD203" i="75"/>
  <c r="BD42" i="75"/>
  <c r="BD41" i="76" s="1"/>
  <c r="BD283" i="75"/>
  <c r="BD311" i="75"/>
  <c r="BD374" i="76" s="1"/>
  <c r="BD193" i="75"/>
  <c r="BD74" i="75"/>
  <c r="BD287" i="75"/>
  <c r="BD21" i="75"/>
  <c r="BD20" i="76" s="1"/>
  <c r="BD292" i="75"/>
  <c r="BD215" i="75"/>
  <c r="BD296" i="75"/>
  <c r="BD397" i="75"/>
  <c r="BD305" i="75"/>
  <c r="BD402" i="75"/>
  <c r="BD261" i="75"/>
  <c r="BD44" i="75"/>
  <c r="BD43" i="76" s="1"/>
  <c r="BD395" i="75"/>
  <c r="BD103" i="75"/>
  <c r="BD308" i="75"/>
  <c r="BD334" i="75"/>
  <c r="BD397" i="76" s="1"/>
  <c r="BD30" i="75"/>
  <c r="BD29" i="76" s="1"/>
  <c r="BD90" i="75"/>
  <c r="BD260" i="75"/>
  <c r="BD29" i="75"/>
  <c r="BD28" i="76" s="1"/>
  <c r="BD285" i="75"/>
  <c r="BD32" i="75"/>
  <c r="BD31" i="76" s="1"/>
  <c r="BD398" i="75"/>
  <c r="BD57" i="75"/>
  <c r="BD282" i="75"/>
  <c r="BD293" i="75"/>
  <c r="BD335" i="75"/>
  <c r="BD398" i="76" s="1"/>
  <c r="BD263" i="75"/>
  <c r="BD176" i="75"/>
  <c r="BD192" i="75"/>
  <c r="BD87" i="75"/>
  <c r="BD49" i="75"/>
  <c r="BD48" i="76" s="1"/>
  <c r="BD207" i="75"/>
  <c r="BD81" i="75"/>
  <c r="BD9" i="75"/>
  <c r="BD45" i="75"/>
  <c r="BD44" i="76" s="1"/>
  <c r="BD291" i="75"/>
  <c r="BD401" i="75"/>
  <c r="BD218" i="75"/>
  <c r="BD18" i="75"/>
  <c r="BD17" i="76" s="1"/>
  <c r="BD403" i="75"/>
  <c r="BD179" i="75"/>
  <c r="BD202" i="75"/>
  <c r="BD352" i="76" s="1"/>
  <c r="BD79" i="75"/>
  <c r="BD59" i="75"/>
  <c r="BD180" i="75"/>
  <c r="BD183" i="75"/>
  <c r="BD265" i="75"/>
  <c r="BD198" i="75"/>
  <c r="BD213" i="75"/>
  <c r="BD267" i="75"/>
  <c r="BD56" i="75"/>
  <c r="BD55" i="76" s="1"/>
  <c r="BD36" i="75"/>
  <c r="BD41" i="75"/>
  <c r="BD40" i="76" s="1"/>
  <c r="BD51" i="75"/>
  <c r="BD50" i="76" s="1"/>
  <c r="BD78" i="75"/>
  <c r="BD22" i="75"/>
  <c r="BD21" i="76" s="1"/>
  <c r="BD70" i="75"/>
  <c r="BD269" i="75"/>
  <c r="BD80" i="75"/>
  <c r="BD336" i="75"/>
  <c r="BD399" i="76" s="1"/>
  <c r="BD12" i="75"/>
  <c r="BD11" i="76" s="1"/>
  <c r="BD52" i="75"/>
  <c r="BD51" i="76" s="1"/>
  <c r="BD310" i="75"/>
  <c r="BD373" i="76" s="1"/>
  <c r="BD316" i="75"/>
  <c r="BD379" i="76" s="1"/>
  <c r="BD188" i="75"/>
  <c r="BD66" i="75"/>
  <c r="BD273" i="75"/>
  <c r="BD330" i="75"/>
  <c r="BD393" i="76" s="1"/>
  <c r="BD313" i="75"/>
  <c r="BD376" i="76" s="1"/>
  <c r="BD322" i="75"/>
  <c r="BD33" i="75"/>
  <c r="BD32" i="76" s="1"/>
  <c r="BD178" i="75"/>
  <c r="BD86" i="75"/>
  <c r="BD50" i="75"/>
  <c r="BD49" i="76" s="1"/>
  <c r="BD75" i="75"/>
  <c r="BD102" i="75"/>
  <c r="BD294" i="75"/>
  <c r="BD197" i="75"/>
  <c r="BD64" i="75"/>
  <c r="BD190" i="75"/>
  <c r="BD340" i="76" s="1"/>
  <c r="BD26" i="75"/>
  <c r="BD25" i="76" s="1"/>
  <c r="BD286" i="75"/>
  <c r="BD278" i="75"/>
  <c r="BD312" i="75"/>
  <c r="BD375" i="76" s="1"/>
  <c r="BD217" i="75"/>
  <c r="BD28" i="75"/>
  <c r="BD27" i="76" s="1"/>
  <c r="BD34" i="75"/>
  <c r="BD33" i="76" s="1"/>
  <c r="BD84" i="75"/>
  <c r="BD63" i="75"/>
  <c r="BD262" i="75"/>
  <c r="BD304" i="75"/>
  <c r="BD195" i="75"/>
  <c r="BD16" i="75"/>
  <c r="BD15" i="76" s="1"/>
  <c r="BD1" i="76"/>
  <c r="IA21" i="68"/>
  <c r="IH21" i="68"/>
  <c r="P288" i="68"/>
  <c r="IB21" i="68"/>
  <c r="L282" i="68"/>
  <c r="HU19" i="69"/>
  <c r="N277" i="68"/>
  <c r="N273" i="69"/>
  <c r="AZ338" i="76"/>
  <c r="L302" i="68"/>
  <c r="L306" i="69"/>
  <c r="BH1" i="75"/>
  <c r="M257" i="68"/>
  <c r="M255" i="68"/>
  <c r="M256" i="68"/>
  <c r="M254" i="68"/>
  <c r="M312" i="68"/>
  <c r="AR96" i="75"/>
  <c r="AR99" i="75" s="1"/>
  <c r="AR105" i="75" s="1"/>
  <c r="AS106" i="75" s="1"/>
  <c r="AR95" i="75"/>
  <c r="R250" i="68" a="1"/>
  <c r="R250" i="68" s="1"/>
  <c r="Q251" i="68"/>
  <c r="HN22" i="68" s="1"/>
  <c r="AZ357" i="76"/>
  <c r="AZ91" i="75"/>
  <c r="AZ8" i="76"/>
  <c r="AZ93" i="75"/>
  <c r="AZ341" i="76"/>
  <c r="AZ355" i="76"/>
  <c r="AZ333" i="76"/>
  <c r="AZ356" i="76"/>
  <c r="Q262" i="68" a="1"/>
  <c r="Q262" i="68" s="1"/>
  <c r="P263" i="68"/>
  <c r="HR21" i="68" s="1"/>
  <c r="HO21" i="68"/>
  <c r="P252" i="68"/>
  <c r="IE21" i="68"/>
  <c r="HP21" i="68"/>
  <c r="AZ347" i="76"/>
  <c r="AZ352" i="76"/>
  <c r="AZ251" i="75"/>
  <c r="AZ254" i="75" s="1"/>
  <c r="AZ255" i="75" s="1"/>
  <c r="AZ321" i="76"/>
  <c r="AZ365" i="76"/>
  <c r="AZ353" i="76"/>
  <c r="AZ323" i="76"/>
  <c r="HY20" i="69"/>
  <c r="O289" i="68"/>
  <c r="O285" i="69"/>
  <c r="M314" i="68"/>
  <c r="M281" i="68"/>
  <c r="M280" i="68"/>
  <c r="M278" i="68"/>
  <c r="M279" i="68"/>
  <c r="HS20" i="68"/>
  <c r="O264" i="68"/>
  <c r="IF20" i="68"/>
  <c r="HT20" i="68"/>
  <c r="AZ342" i="75"/>
  <c r="AZ385" i="76"/>
  <c r="AZ181" i="76"/>
  <c r="AZ71" i="76"/>
  <c r="AZ339" i="76"/>
  <c r="L300" i="68"/>
  <c r="L308" i="68" s="1"/>
  <c r="L304" i="69"/>
  <c r="M267" i="68"/>
  <c r="M266" i="68"/>
  <c r="M268" i="68"/>
  <c r="M313" i="68"/>
  <c r="M269" i="68"/>
  <c r="AV96" i="75"/>
  <c r="AV95" i="75"/>
  <c r="P275" i="68"/>
  <c r="HV21" i="68" s="1"/>
  <c r="Q274" i="68" a="1"/>
  <c r="Q274" i="68" s="1"/>
  <c r="AZ332" i="76"/>
  <c r="AZ92" i="75"/>
  <c r="AZ56" i="76"/>
  <c r="AZ166" i="76"/>
  <c r="AZ66" i="76"/>
  <c r="AZ176" i="76"/>
  <c r="AZ342" i="76"/>
  <c r="AZ69" i="76"/>
  <c r="AZ179" i="76"/>
  <c r="AZ351" i="76"/>
  <c r="AZ360" i="76"/>
  <c r="M307" i="69"/>
  <c r="M303" i="68"/>
  <c r="M311" i="68" s="1"/>
  <c r="AZ180" i="76"/>
  <c r="AZ70" i="76"/>
  <c r="AZ60" i="76"/>
  <c r="AZ170" i="76"/>
  <c r="AZ341" i="75"/>
  <c r="AZ369" i="76"/>
  <c r="AZ368" i="76"/>
  <c r="AZ359" i="76"/>
  <c r="BL1" i="75"/>
  <c r="N312" i="68"/>
  <c r="N257" i="68"/>
  <c r="N256" i="68"/>
  <c r="N255" i="68"/>
  <c r="N254" i="68"/>
  <c r="AZ178" i="76"/>
  <c r="AZ68" i="76"/>
  <c r="Q287" i="68"/>
  <c r="HZ22" i="68" s="1"/>
  <c r="R286" i="68" a="1"/>
  <c r="R286" i="68" s="1"/>
  <c r="N292" i="68"/>
  <c r="N293" i="68"/>
  <c r="N291" i="68"/>
  <c r="N290" i="68"/>
  <c r="N315" i="68"/>
  <c r="BD368" i="76" l="1"/>
  <c r="BD345" i="76"/>
  <c r="BD335" i="76"/>
  <c r="AV99" i="75"/>
  <c r="AV105" i="75" s="1"/>
  <c r="AW106" i="75" s="1"/>
  <c r="BD343" i="76"/>
  <c r="BD333" i="76"/>
  <c r="BD364" i="76"/>
  <c r="BD338" i="76"/>
  <c r="BD358" i="76"/>
  <c r="BD329" i="76"/>
  <c r="BD342" i="76"/>
  <c r="BD328" i="76"/>
  <c r="BD326" i="76"/>
  <c r="BD428" i="75"/>
  <c r="BD430" i="75" s="1"/>
  <c r="BD431" i="75" s="1"/>
  <c r="BD98" i="75" s="1"/>
  <c r="BD353" i="76"/>
  <c r="BD360" i="76"/>
  <c r="BD344" i="76"/>
  <c r="M270" i="68"/>
  <c r="BD347" i="76"/>
  <c r="BD367" i="76"/>
  <c r="BD365" i="76"/>
  <c r="BD362" i="76"/>
  <c r="BD363" i="76"/>
  <c r="N258" i="68"/>
  <c r="BD330" i="76"/>
  <c r="BD366" i="76"/>
  <c r="IB22" i="68"/>
  <c r="IA22" i="68"/>
  <c r="Q288" i="68"/>
  <c r="IH22" i="68"/>
  <c r="M306" i="69"/>
  <c r="M302" i="68"/>
  <c r="M310" i="68" s="1"/>
  <c r="HX21" i="68"/>
  <c r="IG21" i="68"/>
  <c r="HW21" i="68"/>
  <c r="P276" i="68"/>
  <c r="M305" i="69"/>
  <c r="M301" i="68"/>
  <c r="M282" i="68"/>
  <c r="P289" i="68"/>
  <c r="HY21" i="69"/>
  <c r="P285" i="69"/>
  <c r="BD175" i="76"/>
  <c r="BD65" i="76"/>
  <c r="BD91" i="75"/>
  <c r="BD8" i="76"/>
  <c r="BD323" i="76"/>
  <c r="BD331" i="76"/>
  <c r="BD351" i="76"/>
  <c r="N313" i="68"/>
  <c r="N268" i="68"/>
  <c r="N267" i="68"/>
  <c r="N269" i="68"/>
  <c r="N266" i="68"/>
  <c r="N304" i="69"/>
  <c r="N300" i="68"/>
  <c r="N308" i="68" s="1"/>
  <c r="BL332" i="75"/>
  <c r="BL283" i="75"/>
  <c r="BL400" i="75"/>
  <c r="BL313" i="75"/>
  <c r="BL204" i="75"/>
  <c r="BL405" i="75"/>
  <c r="BL35" i="75"/>
  <c r="BL32" i="75"/>
  <c r="BL211" i="75"/>
  <c r="BL63" i="75"/>
  <c r="BL66" i="75"/>
  <c r="BL175" i="76" s="1"/>
  <c r="BL208" i="75"/>
  <c r="BL266" i="75"/>
  <c r="BL267" i="75"/>
  <c r="BL56" i="75"/>
  <c r="BL73" i="75"/>
  <c r="BL181" i="76" s="1"/>
  <c r="BL38" i="75"/>
  <c r="BL187" i="75"/>
  <c r="BL287" i="75"/>
  <c r="BL19" i="75"/>
  <c r="BL326" i="75"/>
  <c r="BL213" i="75"/>
  <c r="BL44" i="75"/>
  <c r="BL191" i="75"/>
  <c r="BL181" i="75"/>
  <c r="BL190" i="75"/>
  <c r="BL335" i="75"/>
  <c r="BL398" i="76" s="1"/>
  <c r="BL218" i="75"/>
  <c r="BL399" i="75"/>
  <c r="BL274" i="75"/>
  <c r="BL58" i="75"/>
  <c r="BL72" i="75"/>
  <c r="BL270" i="75"/>
  <c r="BL271" i="75"/>
  <c r="BL285" i="75"/>
  <c r="BL216" i="75"/>
  <c r="BL67" i="75"/>
  <c r="BL11" i="75"/>
  <c r="BL71" i="75"/>
  <c r="BL102" i="75"/>
  <c r="BL182" i="75"/>
  <c r="BL315" i="75"/>
  <c r="BL378" i="76" s="1"/>
  <c r="BL16" i="75"/>
  <c r="BL309" i="75"/>
  <c r="BL268" i="75"/>
  <c r="BL61" i="75"/>
  <c r="BL273" i="75"/>
  <c r="BL70" i="75"/>
  <c r="BL69" i="76" s="1"/>
  <c r="BL292" i="75"/>
  <c r="BL185" i="75"/>
  <c r="BL41" i="75"/>
  <c r="BL40" i="76" s="1"/>
  <c r="BL49" i="75"/>
  <c r="BL62" i="75"/>
  <c r="BL217" i="75"/>
  <c r="BL81" i="75"/>
  <c r="BL277" i="75"/>
  <c r="BL340" i="76" s="1"/>
  <c r="BL90" i="75"/>
  <c r="BL34" i="75"/>
  <c r="BL298" i="75"/>
  <c r="BL83" i="75"/>
  <c r="BL103" i="75"/>
  <c r="BL172" i="75"/>
  <c r="BL312" i="75"/>
  <c r="BL202" i="75"/>
  <c r="BL207" i="75"/>
  <c r="BL10" i="75"/>
  <c r="BL40" i="75"/>
  <c r="BL39" i="76" s="1"/>
  <c r="BL21" i="75"/>
  <c r="BL265" i="75"/>
  <c r="BL284" i="75"/>
  <c r="BL402" i="75"/>
  <c r="BL14" i="75"/>
  <c r="BL13" i="76" s="1"/>
  <c r="BL279" i="75"/>
  <c r="BL89" i="75"/>
  <c r="BL296" i="75"/>
  <c r="BL186" i="75"/>
  <c r="BL54" i="75"/>
  <c r="BL324" i="75"/>
  <c r="BL297" i="75"/>
  <c r="BL28" i="75"/>
  <c r="BL27" i="76" s="1"/>
  <c r="BL74" i="75"/>
  <c r="BL396" i="75"/>
  <c r="BL88" i="75"/>
  <c r="BL17" i="75"/>
  <c r="BL303" i="75"/>
  <c r="BL330" i="75"/>
  <c r="BL13" i="75"/>
  <c r="BL25" i="75"/>
  <c r="BL24" i="76" s="1"/>
  <c r="BL9" i="75"/>
  <c r="BL68" i="75"/>
  <c r="BL272" i="75"/>
  <c r="BL173" i="75"/>
  <c r="BL302" i="75"/>
  <c r="BL258" i="75"/>
  <c r="BL322" i="75"/>
  <c r="BL12" i="75"/>
  <c r="BL193" i="75"/>
  <c r="BL192" i="75"/>
  <c r="BL194" i="75"/>
  <c r="BL184" i="75"/>
  <c r="BL27" i="75"/>
  <c r="BL179" i="75"/>
  <c r="BL55" i="75"/>
  <c r="BL337" i="75"/>
  <c r="BL400" i="76" s="1"/>
  <c r="BL206" i="75"/>
  <c r="BL26" i="75"/>
  <c r="BL281" i="75"/>
  <c r="BL22" i="75"/>
  <c r="BL42" i="75"/>
  <c r="BL39" i="75"/>
  <c r="BL20" i="75"/>
  <c r="BL397" i="75"/>
  <c r="BL30" i="75"/>
  <c r="BL306" i="75"/>
  <c r="BL214" i="75"/>
  <c r="BL395" i="75"/>
  <c r="BL43" i="75"/>
  <c r="BL288" i="75"/>
  <c r="BL304" i="75"/>
  <c r="BL196" i="75"/>
  <c r="BL346" i="76" s="1"/>
  <c r="BL334" i="75"/>
  <c r="BL264" i="75"/>
  <c r="BL294" i="75"/>
  <c r="BL308" i="75"/>
  <c r="BL259" i="75"/>
  <c r="BL314" i="75"/>
  <c r="BL31" i="75"/>
  <c r="BL188" i="75"/>
  <c r="BL338" i="76" s="1"/>
  <c r="BL47" i="75"/>
  <c r="BL398" i="75"/>
  <c r="BL210" i="75"/>
  <c r="BL60" i="75"/>
  <c r="BL269" i="75"/>
  <c r="BL171" i="75"/>
  <c r="BL286" i="75"/>
  <c r="BL278" i="75"/>
  <c r="BL291" i="75"/>
  <c r="BL290" i="75"/>
  <c r="BL176" i="75"/>
  <c r="BL310" i="75"/>
  <c r="BL199" i="75"/>
  <c r="BL336" i="75"/>
  <c r="BL212" i="75"/>
  <c r="BL195" i="75"/>
  <c r="BL53" i="75"/>
  <c r="BL200" i="75"/>
  <c r="BL46" i="75"/>
  <c r="BL263" i="75"/>
  <c r="BL77" i="75"/>
  <c r="BL275" i="75"/>
  <c r="BL201" i="75"/>
  <c r="BL307" i="75"/>
  <c r="BL276" i="75"/>
  <c r="BL305" i="75"/>
  <c r="BL368" i="76" s="1"/>
  <c r="BL311" i="75"/>
  <c r="BL374" i="76" s="1"/>
  <c r="BL316" i="75"/>
  <c r="BL15" i="75"/>
  <c r="BL82" i="75"/>
  <c r="BL36" i="75"/>
  <c r="BL87" i="75"/>
  <c r="BL33" i="75"/>
  <c r="BL180" i="75"/>
  <c r="BL330" i="76" s="1"/>
  <c r="BL189" i="75"/>
  <c r="BL177" i="75"/>
  <c r="BL65" i="75"/>
  <c r="BL205" i="75"/>
  <c r="BL203" i="75"/>
  <c r="BL76" i="75"/>
  <c r="BL261" i="75"/>
  <c r="BL85" i="75"/>
  <c r="BL215" i="75"/>
  <c r="BL174" i="75"/>
  <c r="BL50" i="75"/>
  <c r="BL289" i="75"/>
  <c r="BL59" i="75"/>
  <c r="BL24" i="75"/>
  <c r="BL23" i="76" s="1"/>
  <c r="BL262" i="75"/>
  <c r="BL178" i="75"/>
  <c r="BL52" i="75"/>
  <c r="BL301" i="75"/>
  <c r="BL198" i="75"/>
  <c r="BL209" i="75"/>
  <c r="BL260" i="75"/>
  <c r="BL403" i="75"/>
  <c r="BL18" i="75"/>
  <c r="BL78" i="75"/>
  <c r="BL23" i="75"/>
  <c r="BL22" i="76" s="1"/>
  <c r="BL29" i="75"/>
  <c r="BL37" i="75"/>
  <c r="BL45" i="75"/>
  <c r="BL183" i="75"/>
  <c r="BL79" i="75"/>
  <c r="BL80" i="75"/>
  <c r="BL299" i="75"/>
  <c r="BL69" i="75"/>
  <c r="BL68" i="76" s="1"/>
  <c r="BL51" i="75"/>
  <c r="BL86" i="75"/>
  <c r="BL300" i="75"/>
  <c r="BL328" i="75"/>
  <c r="BL401" i="75"/>
  <c r="BL404" i="75"/>
  <c r="BL197" i="75"/>
  <c r="BL347" i="76" s="1"/>
  <c r="BL175" i="75"/>
  <c r="BL280" i="75"/>
  <c r="BL84" i="75"/>
  <c r="BL64" i="75"/>
  <c r="BL48" i="75"/>
  <c r="BL75" i="75"/>
  <c r="BL57" i="75"/>
  <c r="BL104" i="75"/>
  <c r="BL282" i="75"/>
  <c r="BL293" i="75"/>
  <c r="BL295" i="75"/>
  <c r="BL1" i="76"/>
  <c r="L310" i="68"/>
  <c r="BD69" i="76"/>
  <c r="BD179" i="76"/>
  <c r="BD346" i="76"/>
  <c r="R262" i="68" a="1"/>
  <c r="R262" i="68" s="1"/>
  <c r="Q263" i="68"/>
  <c r="HR22" i="68" s="1"/>
  <c r="BD357" i="76"/>
  <c r="BD251" i="75"/>
  <c r="BD254" i="75" s="1"/>
  <c r="BD255" i="75" s="1"/>
  <c r="BD321" i="76"/>
  <c r="BD66" i="76"/>
  <c r="BD176" i="76"/>
  <c r="BD327" i="76"/>
  <c r="O261" i="69"/>
  <c r="HQ20" i="69"/>
  <c r="O265" i="68"/>
  <c r="AZ94" i="75"/>
  <c r="M258" i="68"/>
  <c r="BD92" i="75"/>
  <c r="BD166" i="76"/>
  <c r="BD56" i="76"/>
  <c r="BD71" i="76"/>
  <c r="BD181" i="76"/>
  <c r="BD359" i="76"/>
  <c r="BD356" i="76"/>
  <c r="BD341" i="75"/>
  <c r="BD369" i="76"/>
  <c r="O255" i="68"/>
  <c r="O312" i="68"/>
  <c r="O257" i="68"/>
  <c r="O254" i="68"/>
  <c r="O256" i="68"/>
  <c r="N303" i="68"/>
  <c r="N311" i="68" s="1"/>
  <c r="N307" i="69"/>
  <c r="N294" i="68"/>
  <c r="O290" i="68"/>
  <c r="O315" i="68"/>
  <c r="O292" i="68"/>
  <c r="O291" i="68"/>
  <c r="O293" i="68"/>
  <c r="M304" i="69"/>
  <c r="M300" i="68"/>
  <c r="M308" i="68" s="1"/>
  <c r="N280" i="68"/>
  <c r="N281" i="68"/>
  <c r="N278" i="68"/>
  <c r="N279" i="68"/>
  <c r="N314" i="68"/>
  <c r="BD342" i="75"/>
  <c r="BD385" i="76"/>
  <c r="BD341" i="76"/>
  <c r="BD350" i="76"/>
  <c r="BD332" i="76"/>
  <c r="BD355" i="76"/>
  <c r="R287" i="68"/>
  <c r="HZ23" i="68" s="1"/>
  <c r="S286" i="68" a="1"/>
  <c r="S286" i="68" s="1"/>
  <c r="P264" i="68"/>
  <c r="HT21" i="68"/>
  <c r="HS21" i="68"/>
  <c r="IF21" i="68"/>
  <c r="HO22" i="68"/>
  <c r="HP22" i="68"/>
  <c r="Q252" i="68"/>
  <c r="IE22" i="68"/>
  <c r="BD180" i="76"/>
  <c r="BD70" i="76"/>
  <c r="BD322" i="76"/>
  <c r="BD170" i="76"/>
  <c r="BD60" i="76"/>
  <c r="BD354" i="76"/>
  <c r="BD337" i="76"/>
  <c r="BD361" i="76"/>
  <c r="R251" i="68"/>
  <c r="HN23" i="68" s="1"/>
  <c r="S250" i="68" a="1"/>
  <c r="S250" i="68" s="1"/>
  <c r="BH192" i="75"/>
  <c r="BH24" i="75"/>
  <c r="BH23" i="76" s="1"/>
  <c r="BH300" i="75"/>
  <c r="BH195" i="75"/>
  <c r="BH103" i="75"/>
  <c r="BH15" i="75"/>
  <c r="BH14" i="76" s="1"/>
  <c r="BH291" i="75"/>
  <c r="BH306" i="75"/>
  <c r="BH303" i="75"/>
  <c r="BH330" i="75"/>
  <c r="BH393" i="76" s="1"/>
  <c r="BH260" i="75"/>
  <c r="BH215" i="75"/>
  <c r="BH281" i="75"/>
  <c r="BH82" i="75"/>
  <c r="BH18" i="75"/>
  <c r="BH17" i="76" s="1"/>
  <c r="BH65" i="75"/>
  <c r="BH44" i="75"/>
  <c r="BH43" i="76" s="1"/>
  <c r="BH183" i="75"/>
  <c r="BH299" i="75"/>
  <c r="BH210" i="75"/>
  <c r="BH17" i="75"/>
  <c r="BH16" i="76" s="1"/>
  <c r="BH270" i="75"/>
  <c r="BH197" i="75"/>
  <c r="BH214" i="75"/>
  <c r="BH364" i="76" s="1"/>
  <c r="BH205" i="75"/>
  <c r="BH309" i="75"/>
  <c r="BH12" i="75"/>
  <c r="BH11" i="76" s="1"/>
  <c r="BH304" i="75"/>
  <c r="BH203" i="75"/>
  <c r="BH322" i="75"/>
  <c r="BH315" i="75"/>
  <c r="BH378" i="76" s="1"/>
  <c r="BH277" i="75"/>
  <c r="BH187" i="75"/>
  <c r="BH51" i="75"/>
  <c r="BH50" i="76" s="1"/>
  <c r="BH336" i="75"/>
  <c r="BH399" i="76" s="1"/>
  <c r="BH262" i="75"/>
  <c r="BH80" i="75"/>
  <c r="BH70" i="75"/>
  <c r="BH190" i="75"/>
  <c r="BH35" i="75"/>
  <c r="BH34" i="76" s="1"/>
  <c r="BH59" i="75"/>
  <c r="BH296" i="75"/>
  <c r="BH28" i="75"/>
  <c r="BH27" i="76" s="1"/>
  <c r="BH290" i="75"/>
  <c r="BH16" i="75"/>
  <c r="BH15" i="76" s="1"/>
  <c r="BH404" i="75"/>
  <c r="BH206" i="75"/>
  <c r="BH218" i="75"/>
  <c r="BH368" i="76" s="1"/>
  <c r="BH11" i="75"/>
  <c r="BH10" i="76" s="1"/>
  <c r="BH282" i="75"/>
  <c r="BH184" i="75"/>
  <c r="BH67" i="75"/>
  <c r="BH287" i="75"/>
  <c r="BH334" i="75"/>
  <c r="BH397" i="76" s="1"/>
  <c r="BH178" i="75"/>
  <c r="BH61" i="75"/>
  <c r="BH285" i="75"/>
  <c r="BH310" i="75"/>
  <c r="BH373" i="76" s="1"/>
  <c r="BH198" i="75"/>
  <c r="BH43" i="75"/>
  <c r="BH42" i="76" s="1"/>
  <c r="BH209" i="75"/>
  <c r="BH213" i="75"/>
  <c r="BH363" i="76" s="1"/>
  <c r="BH60" i="75"/>
  <c r="BH33" i="75"/>
  <c r="BH32" i="76" s="1"/>
  <c r="BH21" i="75"/>
  <c r="BH20" i="76" s="1"/>
  <c r="BH39" i="75"/>
  <c r="BH38" i="76" s="1"/>
  <c r="BH311" i="75"/>
  <c r="BH374" i="76" s="1"/>
  <c r="BH81" i="75"/>
  <c r="BH45" i="75"/>
  <c r="BH44" i="76" s="1"/>
  <c r="BH274" i="75"/>
  <c r="BH62" i="75"/>
  <c r="BH66" i="75"/>
  <c r="BH313" i="75"/>
  <c r="BH376" i="76" s="1"/>
  <c r="BH199" i="75"/>
  <c r="BH301" i="75"/>
  <c r="BH86" i="75"/>
  <c r="BH211" i="75"/>
  <c r="BH267" i="75"/>
  <c r="BH64" i="75"/>
  <c r="BH186" i="75"/>
  <c r="BH336" i="76" s="1"/>
  <c r="BH266" i="75"/>
  <c r="BH50" i="75"/>
  <c r="BH49" i="76" s="1"/>
  <c r="BH307" i="75"/>
  <c r="BH185" i="75"/>
  <c r="BH212" i="75"/>
  <c r="BH362" i="76" s="1"/>
  <c r="BH38" i="75"/>
  <c r="BH37" i="76" s="1"/>
  <c r="BH289" i="75"/>
  <c r="BH40" i="75"/>
  <c r="BH39" i="76" s="1"/>
  <c r="BH68" i="75"/>
  <c r="BH399" i="75"/>
  <c r="BH284" i="75"/>
  <c r="BH288" i="75"/>
  <c r="BH308" i="75"/>
  <c r="BH259" i="75"/>
  <c r="BH312" i="75"/>
  <c r="BH375" i="76" s="1"/>
  <c r="BH258" i="75"/>
  <c r="BH49" i="75"/>
  <c r="BH48" i="76" s="1"/>
  <c r="BH316" i="75"/>
  <c r="BH379" i="76" s="1"/>
  <c r="BH180" i="75"/>
  <c r="BH297" i="75"/>
  <c r="BH298" i="75"/>
  <c r="BH200" i="75"/>
  <c r="BH335" i="75"/>
  <c r="BH398" i="76" s="1"/>
  <c r="BH90" i="75"/>
  <c r="BH294" i="75"/>
  <c r="BH53" i="75"/>
  <c r="BH52" i="76" s="1"/>
  <c r="BH63" i="75"/>
  <c r="BH71" i="75"/>
  <c r="BH27" i="75"/>
  <c r="BH26" i="76" s="1"/>
  <c r="BH104" i="75"/>
  <c r="BH42" i="75"/>
  <c r="BH41" i="76" s="1"/>
  <c r="BH77" i="75"/>
  <c r="BH403" i="75"/>
  <c r="BH280" i="75"/>
  <c r="BH402" i="75"/>
  <c r="BH188" i="75"/>
  <c r="BH276" i="75"/>
  <c r="BH175" i="75"/>
  <c r="BH324" i="75"/>
  <c r="BH387" i="76" s="1"/>
  <c r="BH208" i="75"/>
  <c r="BH69" i="75"/>
  <c r="BH41" i="75"/>
  <c r="BH40" i="76" s="1"/>
  <c r="BH31" i="75"/>
  <c r="BH30" i="76" s="1"/>
  <c r="BH189" i="75"/>
  <c r="BH55" i="75"/>
  <c r="BH54" i="76" s="1"/>
  <c r="BH293" i="75"/>
  <c r="BH398" i="75"/>
  <c r="BH337" i="75"/>
  <c r="BH400" i="76" s="1"/>
  <c r="BH37" i="75"/>
  <c r="BH36" i="76" s="1"/>
  <c r="BH73" i="75"/>
  <c r="BH75" i="75"/>
  <c r="BH52" i="75"/>
  <c r="BH51" i="76" s="1"/>
  <c r="BH172" i="75"/>
  <c r="BH272" i="75"/>
  <c r="BH171" i="75"/>
  <c r="BH269" i="75"/>
  <c r="BH29" i="75"/>
  <c r="BH28" i="76" s="1"/>
  <c r="BH173" i="75"/>
  <c r="BH323" i="76" s="1"/>
  <c r="BH400" i="75"/>
  <c r="BH182" i="75"/>
  <c r="BH196" i="75"/>
  <c r="BH314" i="75"/>
  <c r="BH377" i="76" s="1"/>
  <c r="BH193" i="75"/>
  <c r="BH201" i="75"/>
  <c r="BH292" i="75"/>
  <c r="BH302" i="75"/>
  <c r="BH261" i="75"/>
  <c r="BH57" i="75"/>
  <c r="BH19" i="75"/>
  <c r="BH18" i="76" s="1"/>
  <c r="BH32" i="75"/>
  <c r="BH31" i="76" s="1"/>
  <c r="BH286" i="75"/>
  <c r="BH396" i="75"/>
  <c r="BH23" i="75"/>
  <c r="BH22" i="76" s="1"/>
  <c r="BH405" i="75"/>
  <c r="BH268" i="75"/>
  <c r="BH30" i="75"/>
  <c r="BH29" i="76" s="1"/>
  <c r="BH271" i="75"/>
  <c r="BH295" i="75"/>
  <c r="BH179" i="75"/>
  <c r="BH34" i="75"/>
  <c r="BH33" i="76" s="1"/>
  <c r="BH216" i="75"/>
  <c r="BH366" i="76" s="1"/>
  <c r="BH74" i="75"/>
  <c r="BH401" i="75"/>
  <c r="BH87" i="75"/>
  <c r="BH194" i="75"/>
  <c r="BH344" i="76" s="1"/>
  <c r="BH79" i="75"/>
  <c r="BH9" i="75"/>
  <c r="BH47" i="75"/>
  <c r="BH46" i="76" s="1"/>
  <c r="BH26" i="75"/>
  <c r="BH25" i="76" s="1"/>
  <c r="BH46" i="75"/>
  <c r="BH45" i="76" s="1"/>
  <c r="BH273" i="75"/>
  <c r="BH326" i="75"/>
  <c r="BH389" i="76" s="1"/>
  <c r="BH102" i="75"/>
  <c r="BH191" i="75"/>
  <c r="BH279" i="75"/>
  <c r="BH83" i="75"/>
  <c r="BH265" i="75"/>
  <c r="BH85" i="75"/>
  <c r="BH13" i="75"/>
  <c r="BH12" i="76" s="1"/>
  <c r="BH78" i="75"/>
  <c r="BH278" i="75"/>
  <c r="BH174" i="75"/>
  <c r="BH324" i="76" s="1"/>
  <c r="BH328" i="75"/>
  <c r="BH391" i="76" s="1"/>
  <c r="BH22" i="75"/>
  <c r="BH21" i="76" s="1"/>
  <c r="BH72" i="75"/>
  <c r="BH58" i="75"/>
  <c r="BH263" i="75"/>
  <c r="BH283" i="75"/>
  <c r="BH177" i="75"/>
  <c r="BH36" i="75"/>
  <c r="BH204" i="75"/>
  <c r="BH354" i="76" s="1"/>
  <c r="BH275" i="75"/>
  <c r="BH181" i="75"/>
  <c r="BH331" i="76" s="1"/>
  <c r="BH20" i="75"/>
  <c r="BH19" i="76" s="1"/>
  <c r="BH89" i="75"/>
  <c r="BH14" i="75"/>
  <c r="BH13" i="76" s="1"/>
  <c r="BH54" i="75"/>
  <c r="BH53" i="76" s="1"/>
  <c r="BH332" i="75"/>
  <c r="BH395" i="76" s="1"/>
  <c r="BH395" i="75"/>
  <c r="BH76" i="75"/>
  <c r="BH207" i="75"/>
  <c r="BH357" i="76" s="1"/>
  <c r="BH88" i="75"/>
  <c r="BH305" i="75"/>
  <c r="BH84" i="75"/>
  <c r="BH10" i="75"/>
  <c r="BH9" i="76" s="1"/>
  <c r="BH56" i="75"/>
  <c r="BH55" i="76" s="1"/>
  <c r="BH48" i="75"/>
  <c r="BH47" i="76" s="1"/>
  <c r="BH217" i="75"/>
  <c r="BH25" i="75"/>
  <c r="BH24" i="76" s="1"/>
  <c r="BH264" i="75"/>
  <c r="BH397" i="75"/>
  <c r="BH202" i="75"/>
  <c r="BH176" i="75"/>
  <c r="BH326" i="76" s="1"/>
  <c r="BH1" i="76"/>
  <c r="BD349" i="76"/>
  <c r="BD325" i="76"/>
  <c r="BD324" i="76"/>
  <c r="BD340" i="75"/>
  <c r="BD343" i="75" s="1"/>
  <c r="BD344" i="75" s="1"/>
  <c r="BD97" i="75" s="1"/>
  <c r="AZ343" i="75"/>
  <c r="AZ344" i="75" s="1"/>
  <c r="AZ97" i="75" s="1"/>
  <c r="O273" i="69"/>
  <c r="HU20" i="69"/>
  <c r="O277" i="68"/>
  <c r="Q275" i="68"/>
  <c r="HV22" i="68" s="1"/>
  <c r="R274" i="68" a="1"/>
  <c r="R274" i="68" s="1"/>
  <c r="P253" i="68"/>
  <c r="P249" i="69"/>
  <c r="HM21" i="69"/>
  <c r="BD68" i="76"/>
  <c r="BD178" i="76"/>
  <c r="BD336" i="76"/>
  <c r="BD93" i="75"/>
  <c r="BL45" i="76"/>
  <c r="BL20" i="76"/>
  <c r="BL11" i="76"/>
  <c r="BL52" i="76"/>
  <c r="BL53" i="76"/>
  <c r="BL324" i="76"/>
  <c r="BL331" i="76"/>
  <c r="BL342" i="76"/>
  <c r="BL373" i="76"/>
  <c r="BL379" i="76"/>
  <c r="BL49" i="76"/>
  <c r="BL37" i="76"/>
  <c r="BL29" i="76"/>
  <c r="BL55" i="76"/>
  <c r="BL166" i="76"/>
  <c r="BL56" i="76"/>
  <c r="BL332" i="76"/>
  <c r="BL333" i="76"/>
  <c r="BL354" i="76"/>
  <c r="BL349" i="76"/>
  <c r="BL376" i="76"/>
  <c r="BL387" i="76"/>
  <c r="BL399" i="76"/>
  <c r="BL8" i="76"/>
  <c r="BL15" i="76"/>
  <c r="BL31" i="76"/>
  <c r="BL54" i="76"/>
  <c r="BL322" i="76"/>
  <c r="BL362" i="76"/>
  <c r="BL351" i="76"/>
  <c r="BL10" i="76"/>
  <c r="BL26" i="76"/>
  <c r="BL41" i="76"/>
  <c r="BL17" i="76"/>
  <c r="BL33" i="76"/>
  <c r="BL65" i="76"/>
  <c r="BL60" i="76"/>
  <c r="BL170" i="76"/>
  <c r="BL323" i="76"/>
  <c r="BL343" i="76"/>
  <c r="BL367" i="76"/>
  <c r="BL395" i="76"/>
  <c r="BL36" i="76"/>
  <c r="BL12" i="76"/>
  <c r="BL28" i="76"/>
  <c r="BL42" i="76"/>
  <c r="BL19" i="76"/>
  <c r="BL44" i="76"/>
  <c r="BL71" i="76"/>
  <c r="BL321" i="76"/>
  <c r="BL355" i="76"/>
  <c r="BL356" i="76"/>
  <c r="BL375" i="76"/>
  <c r="BL393" i="76"/>
  <c r="BL38" i="76"/>
  <c r="BL14" i="76"/>
  <c r="BL30" i="76"/>
  <c r="BL47" i="76"/>
  <c r="BL21" i="76"/>
  <c r="BL46" i="76"/>
  <c r="BL180" i="76"/>
  <c r="BL70" i="76"/>
  <c r="BL328" i="76"/>
  <c r="BL358" i="76"/>
  <c r="BL337" i="76"/>
  <c r="BL366" i="76"/>
  <c r="BL389" i="76"/>
  <c r="BL377" i="76"/>
  <c r="BL397" i="76"/>
  <c r="BL16" i="76"/>
  <c r="BL32" i="76"/>
  <c r="BL51" i="76"/>
  <c r="BL48" i="76"/>
  <c r="BL66" i="76"/>
  <c r="BL176" i="76"/>
  <c r="BL327" i="76"/>
  <c r="BL336" i="76"/>
  <c r="BL364" i="76"/>
  <c r="BL363" i="76"/>
  <c r="BL43" i="76"/>
  <c r="BL18" i="76"/>
  <c r="BL34" i="76"/>
  <c r="BL9" i="76"/>
  <c r="BL25" i="76"/>
  <c r="BL50" i="76"/>
  <c r="BL329" i="76"/>
  <c r="BL341" i="76"/>
  <c r="BL391" i="76"/>
  <c r="BL352" i="76" l="1"/>
  <c r="BL325" i="76"/>
  <c r="BL365" i="76"/>
  <c r="BL179" i="76"/>
  <c r="BH329" i="76"/>
  <c r="BL339" i="76"/>
  <c r="BL360" i="76"/>
  <c r="BL357" i="76"/>
  <c r="BL361" i="76"/>
  <c r="BL353" i="76"/>
  <c r="BL345" i="76"/>
  <c r="BL334" i="76"/>
  <c r="N282" i="68"/>
  <c r="BH358" i="76"/>
  <c r="BL326" i="76"/>
  <c r="BL335" i="76"/>
  <c r="BH367" i="76"/>
  <c r="BH351" i="76"/>
  <c r="BH325" i="76"/>
  <c r="BL359" i="76"/>
  <c r="BL350" i="76"/>
  <c r="BH343" i="76"/>
  <c r="BL178" i="76"/>
  <c r="BH352" i="76"/>
  <c r="BL344" i="76"/>
  <c r="BH341" i="76"/>
  <c r="BH350" i="76"/>
  <c r="BH347" i="76"/>
  <c r="BH328" i="76"/>
  <c r="N270" i="68"/>
  <c r="BH339" i="76"/>
  <c r="BH345" i="76"/>
  <c r="HW22" i="68"/>
  <c r="Q276" i="68"/>
  <c r="HX22" i="68"/>
  <c r="IG22" i="68"/>
  <c r="R275" i="68"/>
  <c r="HV23" i="68" s="1"/>
  <c r="S274" i="68" a="1"/>
  <c r="S274" i="68" s="1"/>
  <c r="P254" i="68"/>
  <c r="P255" i="68"/>
  <c r="P256" i="68"/>
  <c r="P312" i="68"/>
  <c r="P257" i="68"/>
  <c r="BH178" i="76"/>
  <c r="BH68" i="76"/>
  <c r="BH93" i="75"/>
  <c r="T68" i="75"/>
  <c r="BH337" i="76"/>
  <c r="BH355" i="76"/>
  <c r="BH342" i="76"/>
  <c r="BL92" i="75"/>
  <c r="T404" i="75"/>
  <c r="L404" i="75" s="1"/>
  <c r="T80" i="75"/>
  <c r="L80" i="75" s="1"/>
  <c r="T18" i="75"/>
  <c r="L18" i="75" s="1"/>
  <c r="L17" i="76" s="1"/>
  <c r="T262" i="75"/>
  <c r="L262" i="75" s="1"/>
  <c r="T261" i="75"/>
  <c r="L261" i="75" s="1"/>
  <c r="T33" i="75"/>
  <c r="L33" i="75" s="1"/>
  <c r="T276" i="75"/>
  <c r="L276" i="75" s="1"/>
  <c r="T53" i="75"/>
  <c r="L53" i="75" s="1"/>
  <c r="L52" i="76" s="1"/>
  <c r="T291" i="75"/>
  <c r="L291" i="75" s="1"/>
  <c r="T47" i="75"/>
  <c r="L47" i="75" s="1"/>
  <c r="T334" i="75"/>
  <c r="L334" i="75" s="1"/>
  <c r="L397" i="76" s="1"/>
  <c r="T30" i="75"/>
  <c r="L30" i="75" s="1"/>
  <c r="T206" i="75"/>
  <c r="L206" i="75" s="1"/>
  <c r="T193" i="75"/>
  <c r="L193" i="75" s="1"/>
  <c r="BL91" i="75"/>
  <c r="T74" i="75"/>
  <c r="L74" i="75" s="1"/>
  <c r="T279" i="75"/>
  <c r="L279" i="75" s="1"/>
  <c r="T207" i="75"/>
  <c r="L207" i="75" s="1"/>
  <c r="T90" i="75"/>
  <c r="L90" i="75" s="1"/>
  <c r="T292" i="75"/>
  <c r="L292" i="75" s="1"/>
  <c r="T182" i="75"/>
  <c r="L182" i="75" s="1"/>
  <c r="T270" i="75"/>
  <c r="L270" i="75" s="1"/>
  <c r="T181" i="75"/>
  <c r="L181" i="75" s="1"/>
  <c r="T38" i="75"/>
  <c r="L38" i="75" s="1"/>
  <c r="L37" i="76" s="1"/>
  <c r="T211" i="75"/>
  <c r="L211" i="75" s="1"/>
  <c r="T332" i="75"/>
  <c r="L332" i="75" s="1"/>
  <c r="BH175" i="76"/>
  <c r="BH65" i="76"/>
  <c r="BH170" i="76"/>
  <c r="BH60" i="76"/>
  <c r="BH341" i="75"/>
  <c r="BH369" i="76"/>
  <c r="S251" i="68"/>
  <c r="HN24" i="68" s="1"/>
  <c r="T250" i="68" a="1"/>
  <c r="T250" i="68" s="1"/>
  <c r="T75" i="75"/>
  <c r="L75" i="75" s="1"/>
  <c r="T401" i="75"/>
  <c r="L401" i="75" s="1"/>
  <c r="T79" i="75"/>
  <c r="L79" i="75" s="1"/>
  <c r="T403" i="75"/>
  <c r="L403" i="75" s="1"/>
  <c r="T24" i="75"/>
  <c r="L24" i="75" s="1"/>
  <c r="T76" i="75"/>
  <c r="L76" i="75" s="1"/>
  <c r="T87" i="75"/>
  <c r="L87" i="75" s="1"/>
  <c r="T307" i="75"/>
  <c r="L307" i="75" s="1"/>
  <c r="T195" i="75"/>
  <c r="L195" i="75" s="1"/>
  <c r="T278" i="75"/>
  <c r="L278" i="75" s="1"/>
  <c r="T188" i="75"/>
  <c r="L188" i="75" s="1"/>
  <c r="T196" i="75"/>
  <c r="L196" i="75" s="1"/>
  <c r="T397" i="75"/>
  <c r="L397" i="75" s="1"/>
  <c r="T337" i="75"/>
  <c r="L337" i="75" s="1"/>
  <c r="L400" i="76" s="1"/>
  <c r="T12" i="75"/>
  <c r="L12" i="75" s="1"/>
  <c r="T25" i="75"/>
  <c r="L25" i="75" s="1"/>
  <c r="L24" i="76" s="1"/>
  <c r="T28" i="75"/>
  <c r="L28" i="75" s="1"/>
  <c r="L27" i="76" s="1"/>
  <c r="T14" i="75"/>
  <c r="L14" i="75" s="1"/>
  <c r="T202" i="75"/>
  <c r="L202" i="75" s="1"/>
  <c r="T277" i="75"/>
  <c r="L277" i="75" s="1"/>
  <c r="T70" i="75"/>
  <c r="L70" i="75" s="1"/>
  <c r="T72" i="75"/>
  <c r="L72" i="75" s="1"/>
  <c r="T191" i="75"/>
  <c r="L191" i="75" s="1"/>
  <c r="T73" i="75"/>
  <c r="L73" i="75" s="1"/>
  <c r="T32" i="75"/>
  <c r="L32" i="75" s="1"/>
  <c r="L31" i="76" s="1"/>
  <c r="P292" i="68"/>
  <c r="P293" i="68"/>
  <c r="P290" i="68"/>
  <c r="P315" i="68"/>
  <c r="P291" i="68"/>
  <c r="BH428" i="75"/>
  <c r="BH430" i="75" s="1"/>
  <c r="BH431" i="75" s="1"/>
  <c r="BH98" i="75" s="1"/>
  <c r="T395" i="75"/>
  <c r="BH91" i="75"/>
  <c r="BH94" i="75" s="1"/>
  <c r="BH8" i="76"/>
  <c r="T9" i="75"/>
  <c r="BH251" i="75"/>
  <c r="BH254" i="75" s="1"/>
  <c r="BH255" i="75" s="1"/>
  <c r="BH321" i="76"/>
  <c r="T171" i="75"/>
  <c r="BH356" i="76"/>
  <c r="BH340" i="76"/>
  <c r="HO23" i="68"/>
  <c r="R252" i="68"/>
  <c r="HP23" i="68"/>
  <c r="IE23" i="68"/>
  <c r="P261" i="69"/>
  <c r="HQ21" i="69"/>
  <c r="P265" i="68"/>
  <c r="T306" i="75"/>
  <c r="AZ96" i="75"/>
  <c r="AZ99" i="75" s="1"/>
  <c r="AZ105" i="75" s="1"/>
  <c r="BA106" i="75" s="1"/>
  <c r="AZ95" i="75"/>
  <c r="T48" i="75"/>
  <c r="L48" i="75" s="1"/>
  <c r="L47" i="76" s="1"/>
  <c r="T328" i="75"/>
  <c r="L328" i="75" s="1"/>
  <c r="T183" i="75"/>
  <c r="L183" i="75" s="1"/>
  <c r="T260" i="75"/>
  <c r="L260" i="75" s="1"/>
  <c r="T59" i="75"/>
  <c r="L59" i="75" s="1"/>
  <c r="T203" i="75"/>
  <c r="L203" i="75" s="1"/>
  <c r="T36" i="75"/>
  <c r="L36" i="75" s="1"/>
  <c r="T201" i="75"/>
  <c r="L201" i="75" s="1"/>
  <c r="T212" i="75"/>
  <c r="L212" i="75" s="1"/>
  <c r="T286" i="75"/>
  <c r="L286" i="75" s="1"/>
  <c r="T31" i="75"/>
  <c r="L31" i="75" s="1"/>
  <c r="L30" i="76" s="1"/>
  <c r="T304" i="75"/>
  <c r="L304" i="75" s="1"/>
  <c r="T20" i="75"/>
  <c r="L20" i="75" s="1"/>
  <c r="T55" i="75"/>
  <c r="L55" i="75" s="1"/>
  <c r="L54" i="76" s="1"/>
  <c r="BL342" i="75"/>
  <c r="BL385" i="76"/>
  <c r="T13" i="75"/>
  <c r="L13" i="75" s="1"/>
  <c r="L12" i="76" s="1"/>
  <c r="T297" i="75"/>
  <c r="L297" i="75" s="1"/>
  <c r="T402" i="75"/>
  <c r="L402" i="75" s="1"/>
  <c r="T312" i="75"/>
  <c r="L312" i="75" s="1"/>
  <c r="L375" i="76" s="1"/>
  <c r="T81" i="75"/>
  <c r="L81" i="75" s="1"/>
  <c r="T273" i="75"/>
  <c r="L273" i="75" s="1"/>
  <c r="T71" i="75"/>
  <c r="L71" i="75" s="1"/>
  <c r="T58" i="75"/>
  <c r="L58" i="75" s="1"/>
  <c r="T44" i="75"/>
  <c r="L44" i="75" s="1"/>
  <c r="L43" i="76" s="1"/>
  <c r="T56" i="75"/>
  <c r="L56" i="75" s="1"/>
  <c r="T35" i="75"/>
  <c r="L35" i="75" s="1"/>
  <c r="L34" i="76" s="1"/>
  <c r="O314" i="68"/>
  <c r="O281" i="68"/>
  <c r="O279" i="68"/>
  <c r="O278" i="68"/>
  <c r="O280" i="68"/>
  <c r="BH179" i="76"/>
  <c r="BH69" i="76"/>
  <c r="BH342" i="75"/>
  <c r="BH385" i="76"/>
  <c r="T322" i="75"/>
  <c r="T286" i="68" a="1"/>
  <c r="T286" i="68" s="1"/>
  <c r="S287" i="68"/>
  <c r="HZ24" i="68" s="1"/>
  <c r="O303" i="68"/>
  <c r="O311" i="68" s="1"/>
  <c r="O307" i="69"/>
  <c r="O258" i="68"/>
  <c r="O266" i="68"/>
  <c r="O313" i="68"/>
  <c r="O269" i="68"/>
  <c r="O267" i="68"/>
  <c r="O268" i="68"/>
  <c r="T64" i="75"/>
  <c r="L64" i="75" s="1"/>
  <c r="T300" i="75"/>
  <c r="L300" i="75" s="1"/>
  <c r="T45" i="75"/>
  <c r="L45" i="75" s="1"/>
  <c r="T209" i="75"/>
  <c r="L209" i="75" s="1"/>
  <c r="T289" i="75"/>
  <c r="L289" i="75" s="1"/>
  <c r="T205" i="75"/>
  <c r="L205" i="75" s="1"/>
  <c r="T82" i="75"/>
  <c r="L82" i="75" s="1"/>
  <c r="T275" i="75"/>
  <c r="L275" i="75" s="1"/>
  <c r="T336" i="75"/>
  <c r="L336" i="75" s="1"/>
  <c r="L399" i="76" s="1"/>
  <c r="BL251" i="75"/>
  <c r="BL254" i="75" s="1"/>
  <c r="BL255" i="75" s="1"/>
  <c r="T314" i="75"/>
  <c r="L314" i="75" s="1"/>
  <c r="T288" i="75"/>
  <c r="L288" i="75" s="1"/>
  <c r="T39" i="75"/>
  <c r="L39" i="75" s="1"/>
  <c r="L38" i="76" s="1"/>
  <c r="T179" i="75"/>
  <c r="L179" i="75" s="1"/>
  <c r="BL340" i="75"/>
  <c r="T330" i="75"/>
  <c r="L330" i="75" s="1"/>
  <c r="L393" i="76" s="1"/>
  <c r="T324" i="75"/>
  <c r="L324" i="75" s="1"/>
  <c r="T284" i="75"/>
  <c r="L284" i="75" s="1"/>
  <c r="T172" i="75"/>
  <c r="L172" i="75" s="1"/>
  <c r="T217" i="75"/>
  <c r="L217" i="75" s="1"/>
  <c r="T61" i="75"/>
  <c r="L61" i="75" s="1"/>
  <c r="T11" i="75"/>
  <c r="L11" i="75" s="1"/>
  <c r="T274" i="75"/>
  <c r="L274" i="75" s="1"/>
  <c r="T213" i="75"/>
  <c r="L213" i="75" s="1"/>
  <c r="T267" i="75"/>
  <c r="L267" i="75" s="1"/>
  <c r="T405" i="75"/>
  <c r="L405" i="75" s="1"/>
  <c r="M309" i="68"/>
  <c r="BH327" i="76"/>
  <c r="BH346" i="76"/>
  <c r="BH322" i="76"/>
  <c r="BH361" i="76"/>
  <c r="BH359" i="76"/>
  <c r="BH353" i="76"/>
  <c r="Q253" i="68"/>
  <c r="Q249" i="69"/>
  <c r="HM22" i="69"/>
  <c r="IB23" i="68"/>
  <c r="R288" i="68"/>
  <c r="IA23" i="68"/>
  <c r="IH23" i="68"/>
  <c r="N302" i="68"/>
  <c r="N310" i="68" s="1"/>
  <c r="N306" i="69"/>
  <c r="O294" i="68"/>
  <c r="HS22" i="68"/>
  <c r="HT22" i="68"/>
  <c r="Q264" i="68"/>
  <c r="IF22" i="68"/>
  <c r="T295" i="75"/>
  <c r="L295" i="75" s="1"/>
  <c r="L358" i="76" s="1"/>
  <c r="T84" i="75"/>
  <c r="L84" i="75" s="1"/>
  <c r="T86" i="75"/>
  <c r="L86" i="75" s="1"/>
  <c r="T37" i="75"/>
  <c r="L37" i="75" s="1"/>
  <c r="T198" i="75"/>
  <c r="L198" i="75" s="1"/>
  <c r="T50" i="75"/>
  <c r="L50" i="75" s="1"/>
  <c r="L49" i="76" s="1"/>
  <c r="T65" i="75"/>
  <c r="L65" i="75" s="1"/>
  <c r="T15" i="75"/>
  <c r="L15" i="75" s="1"/>
  <c r="L14" i="76" s="1"/>
  <c r="T77" i="75"/>
  <c r="L77" i="75" s="1"/>
  <c r="T199" i="75"/>
  <c r="L199" i="75" s="1"/>
  <c r="T269" i="75"/>
  <c r="L269" i="75" s="1"/>
  <c r="T259" i="75"/>
  <c r="L259" i="75" s="1"/>
  <c r="T43" i="75"/>
  <c r="L43" i="75" s="1"/>
  <c r="L42" i="76" s="1"/>
  <c r="T42" i="75"/>
  <c r="L42" i="75" s="1"/>
  <c r="L41" i="76" s="1"/>
  <c r="T27" i="75"/>
  <c r="L27" i="75" s="1"/>
  <c r="L26" i="76" s="1"/>
  <c r="T302" i="75"/>
  <c r="L302" i="75" s="1"/>
  <c r="L365" i="76" s="1"/>
  <c r="T303" i="75"/>
  <c r="L303" i="75" s="1"/>
  <c r="T54" i="75"/>
  <c r="L54" i="75" s="1"/>
  <c r="L53" i="76" s="1"/>
  <c r="T265" i="75"/>
  <c r="L265" i="75" s="1"/>
  <c r="T62" i="75"/>
  <c r="L62" i="75" s="1"/>
  <c r="T268" i="75"/>
  <c r="L268" i="75" s="1"/>
  <c r="T67" i="75"/>
  <c r="L67" i="75" s="1"/>
  <c r="T399" i="75"/>
  <c r="L399" i="75" s="1"/>
  <c r="T326" i="75"/>
  <c r="L326" i="75" s="1"/>
  <c r="L389" i="76" s="1"/>
  <c r="T266" i="75"/>
  <c r="L266" i="75" s="1"/>
  <c r="L329" i="76" s="1"/>
  <c r="T204" i="75"/>
  <c r="L204" i="75" s="1"/>
  <c r="L354" i="76" s="1"/>
  <c r="BD94" i="75"/>
  <c r="BH92" i="75"/>
  <c r="BH166" i="76"/>
  <c r="BH56" i="76"/>
  <c r="T57" i="75"/>
  <c r="T166" i="76" s="1"/>
  <c r="BH332" i="76"/>
  <c r="BH338" i="76"/>
  <c r="BH70" i="76"/>
  <c r="BH180" i="76"/>
  <c r="BH335" i="76"/>
  <c r="BH176" i="76"/>
  <c r="BH66" i="76"/>
  <c r="BH360" i="76"/>
  <c r="BH365" i="76"/>
  <c r="R263" i="68"/>
  <c r="HR23" i="68" s="1"/>
  <c r="S262" i="68" a="1"/>
  <c r="S262" i="68" s="1"/>
  <c r="T293" i="75"/>
  <c r="L293" i="75" s="1"/>
  <c r="T280" i="75"/>
  <c r="L280" i="75" s="1"/>
  <c r="L343" i="76" s="1"/>
  <c r="T51" i="75"/>
  <c r="L51" i="75" s="1"/>
  <c r="T29" i="75"/>
  <c r="L29" i="75" s="1"/>
  <c r="L28" i="76" s="1"/>
  <c r="T301" i="75"/>
  <c r="L301" i="75" s="1"/>
  <c r="T174" i="75"/>
  <c r="L174" i="75" s="1"/>
  <c r="T177" i="75"/>
  <c r="L177" i="75" s="1"/>
  <c r="T316" i="75"/>
  <c r="L316" i="75" s="1"/>
  <c r="L379" i="76" s="1"/>
  <c r="T263" i="75"/>
  <c r="L263" i="75" s="1"/>
  <c r="T310" i="75"/>
  <c r="L310" i="75" s="1"/>
  <c r="T60" i="75"/>
  <c r="L60" i="75" s="1"/>
  <c r="T308" i="75"/>
  <c r="L308" i="75" s="1"/>
  <c r="BL428" i="75"/>
  <c r="BL430" i="75" s="1"/>
  <c r="BL431" i="75" s="1"/>
  <c r="BL98" i="75" s="1"/>
  <c r="T22" i="75"/>
  <c r="L22" i="75" s="1"/>
  <c r="L21" i="76" s="1"/>
  <c r="T184" i="75"/>
  <c r="L184" i="75" s="1"/>
  <c r="T173" i="75"/>
  <c r="L173" i="75" s="1"/>
  <c r="L323" i="76" s="1"/>
  <c r="T17" i="75"/>
  <c r="L17" i="75" s="1"/>
  <c r="L16" i="76" s="1"/>
  <c r="T186" i="75"/>
  <c r="L186" i="75" s="1"/>
  <c r="T21" i="75"/>
  <c r="L21" i="75" s="1"/>
  <c r="L20" i="76" s="1"/>
  <c r="T83" i="75"/>
  <c r="L83" i="75" s="1"/>
  <c r="T49" i="75"/>
  <c r="L49" i="75" s="1"/>
  <c r="L48" i="76" s="1"/>
  <c r="T309" i="75"/>
  <c r="L309" i="75" s="1"/>
  <c r="T216" i="75"/>
  <c r="L216" i="75" s="1"/>
  <c r="L366" i="76" s="1"/>
  <c r="T218" i="75"/>
  <c r="L218" i="75" s="1"/>
  <c r="T19" i="75"/>
  <c r="L19" i="75" s="1"/>
  <c r="L18" i="76" s="1"/>
  <c r="T208" i="75"/>
  <c r="L208" i="75" s="1"/>
  <c r="T313" i="75"/>
  <c r="L313" i="75" s="1"/>
  <c r="L376" i="76" s="1"/>
  <c r="N305" i="69"/>
  <c r="N301" i="68"/>
  <c r="N309" i="68" s="1"/>
  <c r="HU21" i="69"/>
  <c r="P273" i="69"/>
  <c r="P277" i="68"/>
  <c r="Q289" i="68"/>
  <c r="Q285" i="69"/>
  <c r="HY22" i="69"/>
  <c r="BH330" i="76"/>
  <c r="BH334" i="76"/>
  <c r="T282" i="75"/>
  <c r="L282" i="75" s="1"/>
  <c r="T175" i="75"/>
  <c r="L175" i="75" s="1"/>
  <c r="L325" i="76" s="1"/>
  <c r="T69" i="75"/>
  <c r="T178" i="76" s="1"/>
  <c r="T23" i="75"/>
  <c r="L23" i="75" s="1"/>
  <c r="L22" i="76" s="1"/>
  <c r="T52" i="75"/>
  <c r="L52" i="75" s="1"/>
  <c r="L51" i="76" s="1"/>
  <c r="T215" i="75"/>
  <c r="L215" i="75" s="1"/>
  <c r="T189" i="75"/>
  <c r="L189" i="75" s="1"/>
  <c r="T311" i="75"/>
  <c r="L311" i="75" s="1"/>
  <c r="L374" i="76" s="1"/>
  <c r="T46" i="75"/>
  <c r="L46" i="75" s="1"/>
  <c r="L45" i="76" s="1"/>
  <c r="T176" i="75"/>
  <c r="L176" i="75" s="1"/>
  <c r="T210" i="75"/>
  <c r="L210" i="75" s="1"/>
  <c r="L360" i="76" s="1"/>
  <c r="T294" i="75"/>
  <c r="L294" i="75" s="1"/>
  <c r="T214" i="75"/>
  <c r="L214" i="75" s="1"/>
  <c r="L364" i="76" s="1"/>
  <c r="T281" i="75"/>
  <c r="L281" i="75" s="1"/>
  <c r="T194" i="75"/>
  <c r="L194" i="75" s="1"/>
  <c r="T272" i="75"/>
  <c r="L272" i="75" s="1"/>
  <c r="T88" i="75"/>
  <c r="L88" i="75" s="1"/>
  <c r="T296" i="75"/>
  <c r="L296" i="75" s="1"/>
  <c r="L359" i="76" s="1"/>
  <c r="T40" i="75"/>
  <c r="L40" i="75" s="1"/>
  <c r="L39" i="76" s="1"/>
  <c r="T298" i="75"/>
  <c r="L298" i="75" s="1"/>
  <c r="L361" i="76" s="1"/>
  <c r="T41" i="75"/>
  <c r="L41" i="75" s="1"/>
  <c r="T16" i="75"/>
  <c r="L16" i="75" s="1"/>
  <c r="L15" i="76" s="1"/>
  <c r="T285" i="75"/>
  <c r="L285" i="75" s="1"/>
  <c r="T335" i="75"/>
  <c r="L335" i="75" s="1"/>
  <c r="L398" i="76" s="1"/>
  <c r="T287" i="75"/>
  <c r="L287" i="75" s="1"/>
  <c r="T66" i="75"/>
  <c r="L66" i="75" s="1"/>
  <c r="T400" i="75"/>
  <c r="L400" i="75" s="1"/>
  <c r="BH340" i="75"/>
  <c r="T258" i="75"/>
  <c r="BH181" i="76"/>
  <c r="BH71" i="76"/>
  <c r="BH349" i="76"/>
  <c r="BH333" i="76"/>
  <c r="O304" i="69"/>
  <c r="O300" i="68"/>
  <c r="O308" i="68" s="1"/>
  <c r="T197" i="75"/>
  <c r="L197" i="75" s="1"/>
  <c r="L347" i="76" s="1"/>
  <c r="T299" i="75"/>
  <c r="L299" i="75" s="1"/>
  <c r="T78" i="75"/>
  <c r="L78" i="75" s="1"/>
  <c r="T178" i="75"/>
  <c r="L178" i="75" s="1"/>
  <c r="T85" i="75"/>
  <c r="L85" i="75" s="1"/>
  <c r="T180" i="75"/>
  <c r="L180" i="75" s="1"/>
  <c r="L330" i="76" s="1"/>
  <c r="T305" i="75"/>
  <c r="L305" i="75" s="1"/>
  <c r="T200" i="75"/>
  <c r="L200" i="75" s="1"/>
  <c r="L350" i="76" s="1"/>
  <c r="T290" i="75"/>
  <c r="L290" i="75" s="1"/>
  <c r="T398" i="75"/>
  <c r="L398" i="75" s="1"/>
  <c r="T264" i="75"/>
  <c r="L264" i="75" s="1"/>
  <c r="BL341" i="75"/>
  <c r="BL369" i="76"/>
  <c r="T26" i="75"/>
  <c r="L26" i="75" s="1"/>
  <c r="L25" i="76" s="1"/>
  <c r="T192" i="75"/>
  <c r="L192" i="75" s="1"/>
  <c r="L342" i="76" s="1"/>
  <c r="BL93" i="75"/>
  <c r="T396" i="75"/>
  <c r="L396" i="75" s="1"/>
  <c r="T89" i="75"/>
  <c r="L89" i="75" s="1"/>
  <c r="T10" i="75"/>
  <c r="L10" i="75" s="1"/>
  <c r="L9" i="76" s="1"/>
  <c r="T34" i="75"/>
  <c r="L34" i="75" s="1"/>
  <c r="L33" i="76" s="1"/>
  <c r="T185" i="75"/>
  <c r="L185" i="75" s="1"/>
  <c r="L335" i="76" s="1"/>
  <c r="T315" i="75"/>
  <c r="L315" i="75" s="1"/>
  <c r="L378" i="76" s="1"/>
  <c r="T271" i="75"/>
  <c r="L271" i="75" s="1"/>
  <c r="T190" i="75"/>
  <c r="L190" i="75" s="1"/>
  <c r="L340" i="76" s="1"/>
  <c r="T187" i="75"/>
  <c r="L187" i="75" s="1"/>
  <c r="T63" i="75"/>
  <c r="L63" i="75" s="1"/>
  <c r="T283" i="75"/>
  <c r="L283" i="75" s="1"/>
  <c r="L346" i="76" s="1"/>
  <c r="T399" i="76"/>
  <c r="T354" i="76"/>
  <c r="L46" i="76"/>
  <c r="T46" i="76"/>
  <c r="L55" i="76"/>
  <c r="T55" i="76"/>
  <c r="L23" i="76"/>
  <c r="T23" i="76"/>
  <c r="L40" i="76"/>
  <c r="T40" i="76"/>
  <c r="L362" i="76"/>
  <c r="L322" i="76"/>
  <c r="T322" i="76"/>
  <c r="L387" i="76"/>
  <c r="L50" i="76"/>
  <c r="T50" i="76"/>
  <c r="L29" i="76"/>
  <c r="T29" i="76"/>
  <c r="L11" i="76"/>
  <c r="T11" i="76"/>
  <c r="L395" i="76"/>
  <c r="T395" i="76"/>
  <c r="L10" i="76"/>
  <c r="T10" i="76"/>
  <c r="L333" i="76"/>
  <c r="T333" i="76"/>
  <c r="L391" i="76"/>
  <c r="T391" i="76"/>
  <c r="L341" i="76"/>
  <c r="T341" i="76"/>
  <c r="L355" i="76"/>
  <c r="T355" i="76"/>
  <c r="L44" i="76"/>
  <c r="T44" i="76"/>
  <c r="L13" i="76"/>
  <c r="T13" i="76"/>
  <c r="T53" i="76"/>
  <c r="T176" i="76"/>
  <c r="L32" i="76"/>
  <c r="T32" i="76"/>
  <c r="L377" i="76"/>
  <c r="T377" i="76"/>
  <c r="T343" i="76"/>
  <c r="L349" i="76"/>
  <c r="T349" i="76"/>
  <c r="L19" i="76"/>
  <c r="T19" i="76"/>
  <c r="L36" i="76"/>
  <c r="T36" i="76"/>
  <c r="T37" i="76"/>
  <c r="L373" i="76"/>
  <c r="T373" i="76"/>
  <c r="T374" i="76" l="1"/>
  <c r="T51" i="76"/>
  <c r="T387" i="76"/>
  <c r="T351" i="76"/>
  <c r="L351" i="76"/>
  <c r="T376" i="76"/>
  <c r="L326" i="76"/>
  <c r="L352" i="76"/>
  <c r="T15" i="76"/>
  <c r="T49" i="76"/>
  <c r="L331" i="76"/>
  <c r="T38" i="76"/>
  <c r="T339" i="76"/>
  <c r="T179" i="76"/>
  <c r="T20" i="76"/>
  <c r="T69" i="76"/>
  <c r="T42" i="76"/>
  <c r="BH343" i="75"/>
  <c r="BH344" i="75" s="1"/>
  <c r="BH97" i="75" s="1"/>
  <c r="T30" i="76"/>
  <c r="T331" i="76"/>
  <c r="T34" i="76"/>
  <c r="T344" i="76"/>
  <c r="L339" i="76"/>
  <c r="L336" i="76"/>
  <c r="T17" i="76"/>
  <c r="L368" i="76"/>
  <c r="L345" i="76"/>
  <c r="T180" i="76"/>
  <c r="T346" i="76"/>
  <c r="T366" i="76"/>
  <c r="T9" i="76"/>
  <c r="T379" i="76"/>
  <c r="L344" i="76"/>
  <c r="L357" i="76"/>
  <c r="T378" i="76"/>
  <c r="T70" i="76"/>
  <c r="L338" i="76"/>
  <c r="L332" i="76"/>
  <c r="L356" i="76"/>
  <c r="T338" i="76"/>
  <c r="T47" i="76"/>
  <c r="T18" i="76"/>
  <c r="T352" i="76"/>
  <c r="T345" i="76"/>
  <c r="T362" i="76"/>
  <c r="P294" i="68"/>
  <c r="T356" i="76"/>
  <c r="L353" i="76"/>
  <c r="T22" i="76"/>
  <c r="L334" i="76"/>
  <c r="L363" i="76"/>
  <c r="T357" i="76"/>
  <c r="T12" i="76"/>
  <c r="T43" i="76"/>
  <c r="T16" i="76"/>
  <c r="L324" i="76"/>
  <c r="T361" i="76"/>
  <c r="T347" i="76"/>
  <c r="L328" i="76"/>
  <c r="L367" i="76"/>
  <c r="T332" i="76"/>
  <c r="T342" i="76"/>
  <c r="T25" i="76"/>
  <c r="T363" i="76"/>
  <c r="T340" i="76"/>
  <c r="T66" i="76"/>
  <c r="T14" i="76"/>
  <c r="T327" i="76"/>
  <c r="T323" i="76"/>
  <c r="T21" i="76"/>
  <c r="T65" i="76"/>
  <c r="T325" i="76"/>
  <c r="T365" i="76"/>
  <c r="T28" i="76"/>
  <c r="T175" i="76"/>
  <c r="T367" i="76"/>
  <c r="L327" i="76"/>
  <c r="T375" i="76"/>
  <c r="T400" i="76"/>
  <c r="T52" i="76"/>
  <c r="T170" i="76"/>
  <c r="T324" i="76"/>
  <c r="T181" i="76"/>
  <c r="T334" i="76"/>
  <c r="T68" i="76"/>
  <c r="T359" i="76"/>
  <c r="T321" i="76"/>
  <c r="P258" i="68"/>
  <c r="T45" i="76"/>
  <c r="T393" i="76"/>
  <c r="T60" i="76"/>
  <c r="T54" i="76"/>
  <c r="T71" i="76"/>
  <c r="T358" i="76"/>
  <c r="T330" i="76"/>
  <c r="T326" i="76"/>
  <c r="T389" i="76"/>
  <c r="L337" i="76"/>
  <c r="BL343" i="75"/>
  <c r="BL344" i="75" s="1"/>
  <c r="BL97" i="75" s="1"/>
  <c r="R285" i="69"/>
  <c r="HY23" i="69"/>
  <c r="R289" i="68"/>
  <c r="T56" i="76"/>
  <c r="T364" i="76"/>
  <c r="T335" i="76"/>
  <c r="T337" i="76"/>
  <c r="P281" i="68"/>
  <c r="P314" i="68"/>
  <c r="P278" i="68"/>
  <c r="P279" i="68"/>
  <c r="P280" i="68"/>
  <c r="T31" i="76"/>
  <c r="T336" i="76"/>
  <c r="T24" i="76"/>
  <c r="T33" i="76"/>
  <c r="T328" i="76"/>
  <c r="HT23" i="68"/>
  <c r="R264" i="68"/>
  <c r="HS23" i="68"/>
  <c r="IF23" i="68"/>
  <c r="O282" i="68"/>
  <c r="T91" i="75"/>
  <c r="L9" i="75"/>
  <c r="T8" i="76"/>
  <c r="P304" i="69"/>
  <c r="P300" i="68"/>
  <c r="P308" i="68" s="1"/>
  <c r="T287" i="68"/>
  <c r="HZ25" i="68" s="1"/>
  <c r="U286" i="68" a="1"/>
  <c r="U286" i="68" s="1"/>
  <c r="T112" i="75"/>
  <c r="L69" i="75"/>
  <c r="T353" i="76"/>
  <c r="T368" i="76"/>
  <c r="T41" i="76"/>
  <c r="T329" i="76"/>
  <c r="O270" i="68"/>
  <c r="IA24" i="68"/>
  <c r="IH24" i="68"/>
  <c r="IB24" i="68"/>
  <c r="S288" i="68"/>
  <c r="R249" i="69"/>
  <c r="HM23" i="69"/>
  <c r="R253" i="68"/>
  <c r="L68" i="75"/>
  <c r="T93" i="75"/>
  <c r="T114" i="75"/>
  <c r="BH96" i="75"/>
  <c r="BH99" i="75" s="1"/>
  <c r="BH105" i="75" s="1"/>
  <c r="BI106" i="75" s="1"/>
  <c r="BH95" i="75"/>
  <c r="T274" i="68" a="1"/>
  <c r="T274" i="68" s="1"/>
  <c r="S275" i="68"/>
  <c r="HV24" i="68" s="1"/>
  <c r="T338" i="75"/>
  <c r="T342" i="75"/>
  <c r="L322" i="75"/>
  <c r="T339" i="75"/>
  <c r="T385" i="76"/>
  <c r="L306" i="75"/>
  <c r="T341" i="75"/>
  <c r="T369" i="76"/>
  <c r="T428" i="75"/>
  <c r="T430" i="75" s="1"/>
  <c r="T431" i="75" s="1"/>
  <c r="T98" i="75" s="1"/>
  <c r="L395" i="75"/>
  <c r="L428" i="75" s="1"/>
  <c r="L430" i="75" s="1"/>
  <c r="L431" i="75" s="1"/>
  <c r="L98" i="75" s="1"/>
  <c r="T251" i="68"/>
  <c r="HN25" i="68" s="1"/>
  <c r="U250" i="68" a="1"/>
  <c r="U250" i="68" s="1"/>
  <c r="R276" i="68"/>
  <c r="HX23" i="68"/>
  <c r="HW23" i="68"/>
  <c r="IG23" i="68"/>
  <c r="T26" i="76"/>
  <c r="T360" i="76"/>
  <c r="T397" i="76"/>
  <c r="P269" i="68"/>
  <c r="P268" i="68"/>
  <c r="P266" i="68"/>
  <c r="P267" i="68"/>
  <c r="P313" i="68"/>
  <c r="HO24" i="68"/>
  <c r="S252" i="68"/>
  <c r="IE24" i="68"/>
  <c r="HP24" i="68"/>
  <c r="O305" i="69"/>
  <c r="O301" i="68"/>
  <c r="O309" i="68" s="1"/>
  <c r="T398" i="76"/>
  <c r="T350" i="76"/>
  <c r="T39" i="76"/>
  <c r="T27" i="76"/>
  <c r="T48" i="76"/>
  <c r="T340" i="75"/>
  <c r="T343" i="75" s="1"/>
  <c r="T344" i="75" s="1"/>
  <c r="T97" i="75" s="1"/>
  <c r="L258" i="75"/>
  <c r="L340" i="75" s="1"/>
  <c r="T251" i="75"/>
  <c r="T254" i="75" s="1"/>
  <c r="T255" i="75" s="1"/>
  <c r="L171" i="75"/>
  <c r="L251" i="75" s="1"/>
  <c r="L254" i="75" s="1"/>
  <c r="L255" i="75" s="1"/>
  <c r="P307" i="69"/>
  <c r="P303" i="68"/>
  <c r="P311" i="68" s="1"/>
  <c r="L57" i="75"/>
  <c r="T92" i="75"/>
  <c r="Q265" i="68"/>
  <c r="HQ22" i="69"/>
  <c r="Q261" i="69"/>
  <c r="O306" i="69"/>
  <c r="O302" i="68"/>
  <c r="O310" i="68" s="1"/>
  <c r="Q293" i="68"/>
  <c r="Q291" i="68"/>
  <c r="Q290" i="68"/>
  <c r="Q292" i="68"/>
  <c r="Q294" i="68" s="1"/>
  <c r="Q315" i="68"/>
  <c r="BD95" i="75"/>
  <c r="BD96" i="75"/>
  <c r="BD99" i="75" s="1"/>
  <c r="BD105" i="75" s="1"/>
  <c r="BE106" i="75" s="1"/>
  <c r="Q256" i="68"/>
  <c r="Q254" i="68"/>
  <c r="Q312" i="68"/>
  <c r="Q257" i="68"/>
  <c r="Q255" i="68"/>
  <c r="BL94" i="75"/>
  <c r="Q273" i="69"/>
  <c r="HU22" i="69"/>
  <c r="Q277" i="68"/>
  <c r="S263" i="68"/>
  <c r="HR24" i="68" s="1"/>
  <c r="T262" i="68" a="1"/>
  <c r="T262" i="68" s="1"/>
  <c r="L175" i="76"/>
  <c r="L65" i="76"/>
  <c r="L66" i="76"/>
  <c r="L176" i="76"/>
  <c r="L180" i="76"/>
  <c r="L70" i="76"/>
  <c r="L69" i="76"/>
  <c r="L179" i="76"/>
  <c r="L60" i="76"/>
  <c r="L170" i="76"/>
  <c r="L71" i="76"/>
  <c r="L181" i="76"/>
  <c r="P270" i="68" l="1"/>
  <c r="U251" i="68"/>
  <c r="HN26" i="68" s="1"/>
  <c r="V250" i="68" a="1"/>
  <c r="V250" i="68" s="1"/>
  <c r="T115" i="75"/>
  <c r="L112" i="75"/>
  <c r="T113" i="75"/>
  <c r="L113" i="75" s="1"/>
  <c r="T116" i="75"/>
  <c r="BL96" i="75"/>
  <c r="BL99" i="75" s="1"/>
  <c r="BL105" i="75" s="1"/>
  <c r="BM106" i="75" s="1"/>
  <c r="BL95" i="75"/>
  <c r="U287" i="68"/>
  <c r="HZ26" i="68" s="1"/>
  <c r="V286" i="68" a="1"/>
  <c r="V286" i="68" s="1"/>
  <c r="HO25" i="68"/>
  <c r="T252" i="68"/>
  <c r="IE25" i="68"/>
  <c r="HP25" i="68"/>
  <c r="L339" i="75"/>
  <c r="L342" i="75"/>
  <c r="L338" i="75"/>
  <c r="L385" i="76"/>
  <c r="S249" i="69"/>
  <c r="S253" i="68"/>
  <c r="HM24" i="69"/>
  <c r="IH25" i="68"/>
  <c r="IA25" i="68"/>
  <c r="IB25" i="68"/>
  <c r="T288" i="68"/>
  <c r="T263" i="68"/>
  <c r="HR25" i="68" s="1"/>
  <c r="U262" i="68" a="1"/>
  <c r="U262" i="68" s="1"/>
  <c r="Q303" i="68"/>
  <c r="Q311" i="68" s="1"/>
  <c r="Q307" i="69"/>
  <c r="L92" i="75"/>
  <c r="L166" i="76"/>
  <c r="L56" i="76"/>
  <c r="L114" i="75"/>
  <c r="L93" i="75"/>
  <c r="R256" i="68"/>
  <c r="R258" i="68" s="1"/>
  <c r="R257" i="68"/>
  <c r="R254" i="68"/>
  <c r="R312" i="68"/>
  <c r="R255" i="68"/>
  <c r="HQ23" i="69"/>
  <c r="R265" i="68"/>
  <c r="R261" i="69"/>
  <c r="P282" i="68"/>
  <c r="Q300" i="68"/>
  <c r="Q308" i="68" s="1"/>
  <c r="Q304" i="69"/>
  <c r="Q266" i="68"/>
  <c r="Q267" i="68"/>
  <c r="Q269" i="68"/>
  <c r="Q313" i="68"/>
  <c r="Q268" i="68"/>
  <c r="Q270" i="68" s="1"/>
  <c r="L321" i="76"/>
  <c r="Q279" i="68"/>
  <c r="Q278" i="68"/>
  <c r="Q281" i="68"/>
  <c r="Q280" i="68"/>
  <c r="Q314" i="68"/>
  <c r="Q258" i="68"/>
  <c r="HV25" i="68"/>
  <c r="HX24" i="68"/>
  <c r="IG24" i="68"/>
  <c r="HW24" i="68"/>
  <c r="S276" i="68"/>
  <c r="P306" i="69"/>
  <c r="P302" i="68"/>
  <c r="P310" i="68" s="1"/>
  <c r="R292" i="68"/>
  <c r="R293" i="68"/>
  <c r="R315" i="68"/>
  <c r="R291" i="68"/>
  <c r="R290" i="68"/>
  <c r="U274" i="68" a="1"/>
  <c r="U274" i="68" s="1"/>
  <c r="T275" i="68"/>
  <c r="HS24" i="68"/>
  <c r="S264" i="68"/>
  <c r="IF24" i="68"/>
  <c r="HT24" i="68"/>
  <c r="P301" i="68"/>
  <c r="P309" i="68" s="1"/>
  <c r="P305" i="69"/>
  <c r="L341" i="75"/>
  <c r="L369" i="76"/>
  <c r="S289" i="68"/>
  <c r="HY24" i="69"/>
  <c r="S285" i="69"/>
  <c r="L91" i="75"/>
  <c r="L8" i="76"/>
  <c r="R277" i="68"/>
  <c r="R273" i="69"/>
  <c r="HU23" i="69"/>
  <c r="L178" i="76"/>
  <c r="L68" i="76"/>
  <c r="T94" i="75"/>
  <c r="P201" i="76"/>
  <c r="P225" i="76" s="1"/>
  <c r="Q201" i="76"/>
  <c r="Q225" i="76" s="1"/>
  <c r="R90" i="76"/>
  <c r="R115" i="76" s="1"/>
  <c r="S201" i="76"/>
  <c r="S225" i="76" s="1"/>
  <c r="Q282" i="68" l="1"/>
  <c r="V251" i="68"/>
  <c r="HN27" i="68" s="1"/>
  <c r="W250" i="68" a="1"/>
  <c r="W250" i="68" s="1"/>
  <c r="S265" i="68"/>
  <c r="S261" i="69"/>
  <c r="HQ24" i="69"/>
  <c r="R294" i="68"/>
  <c r="R313" i="68"/>
  <c r="R269" i="68"/>
  <c r="R268" i="68"/>
  <c r="R266" i="68"/>
  <c r="R267" i="68"/>
  <c r="T285" i="69"/>
  <c r="T289" i="68"/>
  <c r="HY25" i="69"/>
  <c r="IA26" i="68"/>
  <c r="IH26" i="68"/>
  <c r="U288" i="68"/>
  <c r="IB26" i="68"/>
  <c r="S292" i="68"/>
  <c r="S290" i="68"/>
  <c r="S291" i="68"/>
  <c r="S293" i="68"/>
  <c r="S315" i="68"/>
  <c r="L343" i="75"/>
  <c r="L344" i="75" s="1"/>
  <c r="L97" i="75" s="1"/>
  <c r="T96" i="75"/>
  <c r="T99" i="75" s="1"/>
  <c r="T95" i="75"/>
  <c r="HI14" i="68" s="1"/>
  <c r="Q301" i="68"/>
  <c r="Q309" i="68" s="1"/>
  <c r="Q305" i="69"/>
  <c r="R300" i="68"/>
  <c r="R308" i="68" s="1"/>
  <c r="R304" i="69"/>
  <c r="S273" i="69"/>
  <c r="S277" i="68"/>
  <c r="HU24" i="69"/>
  <c r="U275" i="68"/>
  <c r="HV26" i="68" s="1"/>
  <c r="V274" i="68" a="1"/>
  <c r="V274" i="68" s="1"/>
  <c r="R279" i="68"/>
  <c r="R281" i="68"/>
  <c r="R280" i="68"/>
  <c r="R314" i="68"/>
  <c r="R278" i="68"/>
  <c r="T276" i="68"/>
  <c r="IG25" i="68"/>
  <c r="HW25" i="68"/>
  <c r="HX25" i="68"/>
  <c r="R307" i="69"/>
  <c r="R303" i="68"/>
  <c r="R311" i="68" s="1"/>
  <c r="Q306" i="69"/>
  <c r="Q302" i="68"/>
  <c r="Q310" i="68" s="1"/>
  <c r="S255" i="68"/>
  <c r="S256" i="68"/>
  <c r="S258" i="68" s="1"/>
  <c r="S312" i="68"/>
  <c r="S254" i="68"/>
  <c r="S257" i="68"/>
  <c r="T249" i="69"/>
  <c r="T253" i="68"/>
  <c r="HM25" i="69"/>
  <c r="L116" i="75"/>
  <c r="U263" i="68"/>
  <c r="HR26" i="68" s="1"/>
  <c r="V262" i="68" a="1"/>
  <c r="V262" i="68" s="1"/>
  <c r="L94" i="75"/>
  <c r="HS25" i="68"/>
  <c r="HT25" i="68"/>
  <c r="T264" i="68"/>
  <c r="IF25" i="68"/>
  <c r="V287" i="68"/>
  <c r="HZ27" i="68" s="1"/>
  <c r="W286" i="68" a="1"/>
  <c r="W286" i="68" s="1"/>
  <c r="L115" i="75"/>
  <c r="HP26" i="68"/>
  <c r="HO26" i="68"/>
  <c r="U252" i="68"/>
  <c r="IE26" i="68"/>
  <c r="R91" i="76"/>
  <c r="R114" i="76" s="1"/>
  <c r="Q90" i="76"/>
  <c r="Q115" i="76" s="1"/>
  <c r="P200" i="76"/>
  <c r="P226" i="76" s="1"/>
  <c r="S90" i="76"/>
  <c r="S115" i="76" s="1"/>
  <c r="Q91" i="76"/>
  <c r="Q114" i="76" s="1"/>
  <c r="P91" i="76"/>
  <c r="P114" i="76" s="1"/>
  <c r="S200" i="76"/>
  <c r="S226" i="76" s="1"/>
  <c r="S91" i="76"/>
  <c r="S114" i="76" s="1"/>
  <c r="R200" i="76"/>
  <c r="R226" i="76" s="1"/>
  <c r="R201" i="76"/>
  <c r="R225" i="76" s="1"/>
  <c r="Q200" i="76"/>
  <c r="Q226" i="76" s="1"/>
  <c r="P90" i="76"/>
  <c r="P115" i="76" s="1"/>
  <c r="S294" i="68" l="1"/>
  <c r="R270" i="68"/>
  <c r="IH27" i="68"/>
  <c r="IB27" i="68"/>
  <c r="IA27" i="68"/>
  <c r="V288" i="68"/>
  <c r="U264" i="68"/>
  <c r="IF26" i="68"/>
  <c r="HT26" i="68"/>
  <c r="HS26" i="68"/>
  <c r="S304" i="69"/>
  <c r="S300" i="68"/>
  <c r="S308" i="68" s="1"/>
  <c r="S279" i="68"/>
  <c r="S281" i="68"/>
  <c r="S278" i="68"/>
  <c r="S314" i="68"/>
  <c r="S280" i="68"/>
  <c r="IE27" i="68"/>
  <c r="HP27" i="68"/>
  <c r="HO27" i="68"/>
  <c r="V252" i="68"/>
  <c r="T265" i="68"/>
  <c r="T261" i="69"/>
  <c r="HQ25" i="69"/>
  <c r="T257" i="68"/>
  <c r="T312" i="68"/>
  <c r="T256" i="68"/>
  <c r="T255" i="68"/>
  <c r="T254" i="68"/>
  <c r="AB100" i="75"/>
  <c r="BH100" i="75"/>
  <c r="AR100" i="75"/>
  <c r="T105" i="75"/>
  <c r="U106" i="75" s="1"/>
  <c r="T100" i="75"/>
  <c r="AF100" i="75"/>
  <c r="AV100" i="75"/>
  <c r="AZ100" i="75"/>
  <c r="BL100" i="75"/>
  <c r="BD100" i="75"/>
  <c r="AJ100" i="75"/>
  <c r="X100" i="75"/>
  <c r="AN100" i="75"/>
  <c r="R282" i="68"/>
  <c r="U289" i="68"/>
  <c r="U285" i="69"/>
  <c r="HY26" i="69"/>
  <c r="V263" i="68"/>
  <c r="HR27" i="68" s="1"/>
  <c r="W262" i="68" a="1"/>
  <c r="W262" i="68" s="1"/>
  <c r="IG26" i="68"/>
  <c r="U276" i="68"/>
  <c r="HW26" i="68"/>
  <c r="HX26" i="68"/>
  <c r="T277" i="68"/>
  <c r="T273" i="69"/>
  <c r="HU25" i="69"/>
  <c r="U253" i="68"/>
  <c r="U249" i="69"/>
  <c r="HM26" i="69"/>
  <c r="S307" i="69"/>
  <c r="S303" i="68"/>
  <c r="S311" i="68" s="1"/>
  <c r="L96" i="75"/>
  <c r="L99" i="75" s="1"/>
  <c r="L95" i="75"/>
  <c r="HE14" i="68" s="1"/>
  <c r="R306" i="69"/>
  <c r="R302" i="68"/>
  <c r="R310" i="68" s="1"/>
  <c r="T293" i="68"/>
  <c r="T315" i="68"/>
  <c r="T291" i="68"/>
  <c r="T290" i="68"/>
  <c r="T292" i="68"/>
  <c r="V275" i="68"/>
  <c r="HV27" i="68" s="1"/>
  <c r="W274" i="68" a="1"/>
  <c r="W274" i="68" s="1"/>
  <c r="R305" i="69"/>
  <c r="R301" i="68"/>
  <c r="R309" i="68" s="1"/>
  <c r="S269" i="68"/>
  <c r="S266" i="68"/>
  <c r="S267" i="68"/>
  <c r="S268" i="68"/>
  <c r="S313" i="68"/>
  <c r="W251" i="68"/>
  <c r="HN28" i="68" s="1"/>
  <c r="X250" i="68" a="1"/>
  <c r="X250" i="68" s="1"/>
  <c r="W287" i="68"/>
  <c r="HZ28" i="68" s="1"/>
  <c r="X286" i="68" a="1"/>
  <c r="X286" i="68" s="1"/>
  <c r="Y201" i="76"/>
  <c r="Z201" i="76"/>
  <c r="AA200" i="76"/>
  <c r="X201" i="76"/>
  <c r="S270" i="68" l="1"/>
  <c r="S282" i="68"/>
  <c r="T258" i="68"/>
  <c r="X287" i="68"/>
  <c r="HZ29" i="68" s="1"/>
  <c r="Y286" i="68" a="1"/>
  <c r="Y286" i="68" s="1"/>
  <c r="U273" i="69"/>
  <c r="U277" i="68"/>
  <c r="HU26" i="69"/>
  <c r="W288" i="68"/>
  <c r="IA28" i="68"/>
  <c r="IB28" i="68"/>
  <c r="IH28" i="68"/>
  <c r="W263" i="68"/>
  <c r="HR28" i="68" s="1"/>
  <c r="X262" i="68" a="1"/>
  <c r="X262" i="68" s="1"/>
  <c r="W275" i="68"/>
  <c r="HV28" i="68" s="1"/>
  <c r="X274" i="68" a="1"/>
  <c r="X274" i="68" s="1"/>
  <c r="V264" i="68"/>
  <c r="HS27" i="68"/>
  <c r="IF27" i="68"/>
  <c r="HT27" i="68"/>
  <c r="U265" i="68"/>
  <c r="U261" i="69"/>
  <c r="HQ26" i="69"/>
  <c r="X251" i="68"/>
  <c r="HN29" i="68" s="1"/>
  <c r="Y250" i="68" a="1"/>
  <c r="Y250" i="68" s="1"/>
  <c r="U256" i="68"/>
  <c r="U257" i="68"/>
  <c r="U254" i="68"/>
  <c r="U255" i="68"/>
  <c r="U312" i="68"/>
  <c r="HP28" i="68"/>
  <c r="IE28" i="68"/>
  <c r="W252" i="68"/>
  <c r="HO28" i="68"/>
  <c r="HW27" i="68"/>
  <c r="V276" i="68"/>
  <c r="IG27" i="68"/>
  <c r="HX27" i="68"/>
  <c r="T269" i="68"/>
  <c r="T267" i="68"/>
  <c r="T313" i="68"/>
  <c r="T268" i="68"/>
  <c r="T266" i="68"/>
  <c r="V285" i="69"/>
  <c r="HY27" i="69"/>
  <c r="V289" i="68"/>
  <c r="T294" i="68"/>
  <c r="X101" i="75"/>
  <c r="BD101" i="75"/>
  <c r="AB101" i="75"/>
  <c r="AJ101" i="75"/>
  <c r="AF101" i="75"/>
  <c r="AZ101" i="75"/>
  <c r="L105" i="75"/>
  <c r="M106" i="75" s="1"/>
  <c r="U101" i="75"/>
  <c r="P101" i="75"/>
  <c r="V101" i="75"/>
  <c r="L101" i="75"/>
  <c r="BH101" i="75"/>
  <c r="AR101" i="75"/>
  <c r="AV101" i="75"/>
  <c r="BL101" i="75"/>
  <c r="T101" i="75"/>
  <c r="W101" i="75"/>
  <c r="AN101" i="75"/>
  <c r="T279" i="68"/>
  <c r="T278" i="68"/>
  <c r="T281" i="68"/>
  <c r="T280" i="68"/>
  <c r="T314" i="68"/>
  <c r="V253" i="68"/>
  <c r="V249" i="69"/>
  <c r="HM27" i="69"/>
  <c r="S302" i="68"/>
  <c r="S310" i="68" s="1"/>
  <c r="S306" i="69"/>
  <c r="S305" i="69"/>
  <c r="S301" i="68"/>
  <c r="S309" i="68" s="1"/>
  <c r="U315" i="68"/>
  <c r="U290" i="68"/>
  <c r="U291" i="68"/>
  <c r="U293" i="68"/>
  <c r="U292" i="68"/>
  <c r="T304" i="69"/>
  <c r="T300" i="68"/>
  <c r="T308" i="68" s="1"/>
  <c r="T303" i="68"/>
  <c r="T311" i="68" s="1"/>
  <c r="T307" i="69"/>
  <c r="X200" i="76"/>
  <c r="AA201" i="76"/>
  <c r="Z91" i="76"/>
  <c r="Y91" i="76"/>
  <c r="X90" i="76"/>
  <c r="AA91" i="76"/>
  <c r="X91" i="76"/>
  <c r="Z200" i="76"/>
  <c r="Y90" i="76"/>
  <c r="AA90" i="76"/>
  <c r="Z90" i="76"/>
  <c r="Y200" i="76"/>
  <c r="T270" i="68" l="1"/>
  <c r="T282" i="68"/>
  <c r="U258" i="68"/>
  <c r="V291" i="68"/>
  <c r="V292" i="68"/>
  <c r="V315" i="68"/>
  <c r="V290" i="68"/>
  <c r="V293" i="68"/>
  <c r="HU27" i="69"/>
  <c r="V277" i="68"/>
  <c r="V273" i="69"/>
  <c r="U294" i="68"/>
  <c r="T306" i="69"/>
  <c r="T302" i="68"/>
  <c r="T310" i="68" s="1"/>
  <c r="Y251" i="68"/>
  <c r="HN30" i="68" s="1"/>
  <c r="Z250" i="68" a="1"/>
  <c r="Z250" i="68" s="1"/>
  <c r="HQ27" i="69"/>
  <c r="V261" i="69"/>
  <c r="V265" i="68"/>
  <c r="W289" i="68"/>
  <c r="HY28" i="69"/>
  <c r="W285" i="69"/>
  <c r="X275" i="68"/>
  <c r="HV29" i="68" s="1"/>
  <c r="Y274" i="68" a="1"/>
  <c r="Y274" i="68" s="1"/>
  <c r="X288" i="68"/>
  <c r="IH29" i="68"/>
  <c r="IA29" i="68"/>
  <c r="IB29" i="68"/>
  <c r="W253" i="68"/>
  <c r="HM28" i="69"/>
  <c r="W249" i="69"/>
  <c r="U303" i="68"/>
  <c r="U311" i="68" s="1"/>
  <c r="U307" i="69"/>
  <c r="T305" i="69"/>
  <c r="T301" i="68"/>
  <c r="T309" i="68" s="1"/>
  <c r="X252" i="68"/>
  <c r="HO29" i="68"/>
  <c r="IE29" i="68"/>
  <c r="HP29" i="68"/>
  <c r="V254" i="68"/>
  <c r="V256" i="68"/>
  <c r="V312" i="68"/>
  <c r="V257" i="68"/>
  <c r="V255" i="68"/>
  <c r="W276" i="68"/>
  <c r="HW28" i="68"/>
  <c r="HX28" i="68"/>
  <c r="IG28" i="68"/>
  <c r="X263" i="68"/>
  <c r="HR29" i="68" s="1"/>
  <c r="Y262" i="68" a="1"/>
  <c r="Y262" i="68" s="1"/>
  <c r="U280" i="68"/>
  <c r="U279" i="68"/>
  <c r="U281" i="68"/>
  <c r="U314" i="68"/>
  <c r="U278" i="68"/>
  <c r="U304" i="69"/>
  <c r="U300" i="68"/>
  <c r="U308" i="68" s="1"/>
  <c r="U313" i="68"/>
  <c r="U267" i="68"/>
  <c r="U266" i="68"/>
  <c r="U268" i="68"/>
  <c r="U269" i="68"/>
  <c r="HS28" i="68"/>
  <c r="HT28" i="68"/>
  <c r="IF28" i="68"/>
  <c r="W264" i="68"/>
  <c r="Y287" i="68"/>
  <c r="HZ30" i="68" s="1"/>
  <c r="Z286" i="68" a="1"/>
  <c r="Z286" i="68" s="1"/>
  <c r="U282" i="68" l="1"/>
  <c r="V294" i="68"/>
  <c r="HP30" i="68"/>
  <c r="HO30" i="68"/>
  <c r="Y252" i="68"/>
  <c r="IE30" i="68"/>
  <c r="Y263" i="68"/>
  <c r="HR30" i="68" s="1"/>
  <c r="Z262" i="68" a="1"/>
  <c r="Z262" i="68" s="1"/>
  <c r="V269" i="68"/>
  <c r="V266" i="68"/>
  <c r="V268" i="68"/>
  <c r="V267" i="68"/>
  <c r="V313" i="68"/>
  <c r="Z287" i="68"/>
  <c r="HZ31" i="68" s="1"/>
  <c r="AA286" i="68" a="1"/>
  <c r="AA286" i="68" s="1"/>
  <c r="U270" i="68"/>
  <c r="W265" i="68"/>
  <c r="W261" i="69"/>
  <c r="HQ28" i="69"/>
  <c r="W291" i="68"/>
  <c r="W315" i="68"/>
  <c r="W293" i="68"/>
  <c r="W292" i="68"/>
  <c r="W294" i="68" s="1"/>
  <c r="W290" i="68"/>
  <c r="V303" i="68"/>
  <c r="V311" i="68" s="1"/>
  <c r="V307" i="69"/>
  <c r="V258" i="68"/>
  <c r="V281" i="68"/>
  <c r="V280" i="68"/>
  <c r="V279" i="68"/>
  <c r="V278" i="68"/>
  <c r="V314" i="68"/>
  <c r="X285" i="69"/>
  <c r="HY29" i="69"/>
  <c r="X289" i="68"/>
  <c r="Z251" i="68"/>
  <c r="HN31" i="68" s="1"/>
  <c r="AA250" i="68" a="1"/>
  <c r="AA250" i="68" s="1"/>
  <c r="X264" i="68"/>
  <c r="HS29" i="68"/>
  <c r="IF29" i="68"/>
  <c r="HT29" i="68"/>
  <c r="Y275" i="68"/>
  <c r="HV30" i="68" s="1"/>
  <c r="Z274" i="68" a="1"/>
  <c r="Z274" i="68" s="1"/>
  <c r="IG29" i="68"/>
  <c r="HW29" i="68"/>
  <c r="X276" i="68"/>
  <c r="HX29" i="68"/>
  <c r="W273" i="69"/>
  <c r="HU28" i="69"/>
  <c r="W277" i="68"/>
  <c r="IA30" i="68"/>
  <c r="Y288" i="68"/>
  <c r="IB30" i="68"/>
  <c r="IH30" i="68"/>
  <c r="U306" i="69"/>
  <c r="U302" i="68"/>
  <c r="U310" i="68" s="1"/>
  <c r="V304" i="69"/>
  <c r="V300" i="68"/>
  <c r="V308" i="68" s="1"/>
  <c r="X253" i="68"/>
  <c r="X249" i="69"/>
  <c r="HM29" i="69"/>
  <c r="W255" i="68"/>
  <c r="W254" i="68"/>
  <c r="W312" i="68"/>
  <c r="W256" i="68"/>
  <c r="W257" i="68"/>
  <c r="U305" i="69"/>
  <c r="U301" i="68"/>
  <c r="U309" i="68" s="1"/>
  <c r="V282" i="68" l="1"/>
  <c r="AA287" i="68"/>
  <c r="HZ32" i="68" s="1"/>
  <c r="AB286" i="68" a="1"/>
  <c r="AB286" i="68" s="1"/>
  <c r="Z275" i="68"/>
  <c r="HV31" i="68" s="1"/>
  <c r="AA274" i="68" a="1"/>
  <c r="AA274" i="68" s="1"/>
  <c r="AA251" i="68"/>
  <c r="AB250" i="68" a="1"/>
  <c r="AB250" i="68" s="1"/>
  <c r="Z263" i="68"/>
  <c r="HR31" i="68" s="1"/>
  <c r="AA262" i="68" a="1"/>
  <c r="AA262" i="68" s="1"/>
  <c r="W280" i="68"/>
  <c r="W314" i="68"/>
  <c r="W281" i="68"/>
  <c r="W279" i="68"/>
  <c r="W278" i="68"/>
  <c r="Y289" i="68"/>
  <c r="Y285" i="69"/>
  <c r="HY30" i="69"/>
  <c r="X257" i="68"/>
  <c r="X312" i="68"/>
  <c r="X256" i="68"/>
  <c r="X254" i="68"/>
  <c r="X255" i="68"/>
  <c r="Y276" i="68"/>
  <c r="IG30" i="68"/>
  <c r="HW30" i="68"/>
  <c r="HX30" i="68"/>
  <c r="W258" i="68"/>
  <c r="W267" i="68"/>
  <c r="W266" i="68"/>
  <c r="W269" i="68"/>
  <c r="W268" i="68"/>
  <c r="W270" i="68" s="1"/>
  <c r="W313" i="68"/>
  <c r="HS30" i="68"/>
  <c r="HT30" i="68"/>
  <c r="IF30" i="68"/>
  <c r="Y264" i="68"/>
  <c r="W300" i="68"/>
  <c r="W308" i="68" s="1"/>
  <c r="W304" i="69"/>
  <c r="X277" i="68"/>
  <c r="HU29" i="69"/>
  <c r="X273" i="69"/>
  <c r="X261" i="69"/>
  <c r="HQ29" i="69"/>
  <c r="X265" i="68"/>
  <c r="V306" i="69"/>
  <c r="V302" i="68"/>
  <c r="V310" i="68" s="1"/>
  <c r="Z288" i="68"/>
  <c r="IA31" i="68"/>
  <c r="IH31" i="68"/>
  <c r="IB31" i="68"/>
  <c r="HM30" i="69"/>
  <c r="Y249" i="69"/>
  <c r="Y253" i="68"/>
  <c r="HN32" i="68"/>
  <c r="HO31" i="68"/>
  <c r="HP31" i="68"/>
  <c r="Z252" i="68"/>
  <c r="IE31" i="68"/>
  <c r="W303" i="68"/>
  <c r="W311" i="68" s="1"/>
  <c r="W307" i="69"/>
  <c r="V305" i="69"/>
  <c r="V301" i="68"/>
  <c r="V309" i="68" s="1"/>
  <c r="X291" i="68"/>
  <c r="X315" i="68"/>
  <c r="X292" i="68"/>
  <c r="X293" i="68"/>
  <c r="X290" i="68"/>
  <c r="V270" i="68"/>
  <c r="AA263" i="68" l="1"/>
  <c r="HR32" i="68" s="1"/>
  <c r="AB262" i="68" a="1"/>
  <c r="AB262" i="68" s="1"/>
  <c r="IF31" i="68"/>
  <c r="HS31" i="68"/>
  <c r="Z264" i="68"/>
  <c r="HT31" i="68"/>
  <c r="AB251" i="68"/>
  <c r="HN33" i="68" s="1"/>
  <c r="AC250" i="68" a="1"/>
  <c r="AC250" i="68" s="1"/>
  <c r="HP32" i="68"/>
  <c r="AA252" i="68"/>
  <c r="IE32" i="68"/>
  <c r="HO32" i="68"/>
  <c r="IB32" i="68"/>
  <c r="IH32" i="68"/>
  <c r="IA32" i="68"/>
  <c r="AA288" i="68"/>
  <c r="X280" i="68"/>
  <c r="X278" i="68"/>
  <c r="X279" i="68"/>
  <c r="X314" i="68"/>
  <c r="X281" i="68"/>
  <c r="HU30" i="69"/>
  <c r="Y277" i="68"/>
  <c r="Y273" i="69"/>
  <c r="Y292" i="68"/>
  <c r="Y293" i="68"/>
  <c r="Y315" i="68"/>
  <c r="Y291" i="68"/>
  <c r="Y290" i="68"/>
  <c r="Y257" i="68"/>
  <c r="Y256" i="68"/>
  <c r="Y254" i="68"/>
  <c r="Y255" i="68"/>
  <c r="Y312" i="68"/>
  <c r="X300" i="68"/>
  <c r="X308" i="68" s="1"/>
  <c r="X304" i="69"/>
  <c r="AA275" i="68"/>
  <c r="HV32" i="68" s="1"/>
  <c r="AB274" i="68" a="1"/>
  <c r="AB274" i="68" s="1"/>
  <c r="X303" i="68"/>
  <c r="X311" i="68" s="1"/>
  <c r="X307" i="69"/>
  <c r="HY31" i="69"/>
  <c r="Z289" i="68"/>
  <c r="Z285" i="69"/>
  <c r="W302" i="68"/>
  <c r="W310" i="68" s="1"/>
  <c r="W306" i="69"/>
  <c r="X313" i="68"/>
  <c r="X266" i="68"/>
  <c r="X267" i="68"/>
  <c r="X268" i="68"/>
  <c r="X269" i="68"/>
  <c r="Y261" i="69"/>
  <c r="HQ30" i="69"/>
  <c r="Y265" i="68"/>
  <c r="W305" i="69"/>
  <c r="W301" i="68"/>
  <c r="W309" i="68" s="1"/>
  <c r="X258" i="68"/>
  <c r="W282" i="68"/>
  <c r="IG31" i="68"/>
  <c r="HW31" i="68"/>
  <c r="HX31" i="68"/>
  <c r="Z276" i="68"/>
  <c r="AB287" i="68"/>
  <c r="HZ33" i="68" s="1"/>
  <c r="AC286" i="68" a="1"/>
  <c r="AC286" i="68" s="1"/>
  <c r="X294" i="68"/>
  <c r="Z249" i="69"/>
  <c r="Z253" i="68"/>
  <c r="HM31" i="69"/>
  <c r="Y258" i="68" l="1"/>
  <c r="AC251" i="68"/>
  <c r="HN34" i="68" s="1"/>
  <c r="AD250" i="68" a="1"/>
  <c r="AD250" i="68" s="1"/>
  <c r="X305" i="69"/>
  <c r="X301" i="68"/>
  <c r="X309" i="68" s="1"/>
  <c r="AB275" i="68"/>
  <c r="HV33" i="68" s="1"/>
  <c r="AC274" i="68" a="1"/>
  <c r="AC274" i="68" s="1"/>
  <c r="IB33" i="68"/>
  <c r="AB288" i="68"/>
  <c r="IH33" i="68"/>
  <c r="IA33" i="68"/>
  <c r="Z273" i="69"/>
  <c r="Z277" i="68"/>
  <c r="HU31" i="69"/>
  <c r="Y269" i="68"/>
  <c r="Y313" i="68"/>
  <c r="Y266" i="68"/>
  <c r="Y268" i="68"/>
  <c r="Y267" i="68"/>
  <c r="HX32" i="68"/>
  <c r="AA276" i="68"/>
  <c r="IG32" i="68"/>
  <c r="HW32" i="68"/>
  <c r="X282" i="68"/>
  <c r="Z261" i="69"/>
  <c r="HQ31" i="69"/>
  <c r="Z265" i="68"/>
  <c r="Z256" i="68"/>
  <c r="Z312" i="68"/>
  <c r="Z257" i="68"/>
  <c r="Z254" i="68"/>
  <c r="Z255" i="68"/>
  <c r="Z315" i="68"/>
  <c r="Z292" i="68"/>
  <c r="Z293" i="68"/>
  <c r="Z291" i="68"/>
  <c r="Z290" i="68"/>
  <c r="HY32" i="69"/>
  <c r="AA289" i="68"/>
  <c r="AA285" i="69"/>
  <c r="IE33" i="68"/>
  <c r="HP33" i="68"/>
  <c r="HO33" i="68"/>
  <c r="AB252" i="68"/>
  <c r="Y307" i="69"/>
  <c r="Y303" i="68"/>
  <c r="Y311" i="68" s="1"/>
  <c r="AC287" i="68"/>
  <c r="HZ34" i="68" s="1"/>
  <c r="AD286" i="68" a="1"/>
  <c r="AD286" i="68" s="1"/>
  <c r="Y280" i="68"/>
  <c r="Y314" i="68"/>
  <c r="Y278" i="68"/>
  <c r="Y281" i="68"/>
  <c r="Y279" i="68"/>
  <c r="X302" i="68"/>
  <c r="X310" i="68" s="1"/>
  <c r="X306" i="69"/>
  <c r="AB263" i="68"/>
  <c r="HR33" i="68" s="1"/>
  <c r="AC262" i="68" a="1"/>
  <c r="AC262" i="68" s="1"/>
  <c r="AA253" i="68"/>
  <c r="AA249" i="69"/>
  <c r="HM32" i="69"/>
  <c r="X270" i="68"/>
  <c r="Y304" i="69"/>
  <c r="Y300" i="68"/>
  <c r="Y308" i="68" s="1"/>
  <c r="Y294" i="68"/>
  <c r="IF32" i="68"/>
  <c r="HT32" i="68"/>
  <c r="HS32" i="68"/>
  <c r="AA264" i="68"/>
  <c r="AC263" i="68" l="1"/>
  <c r="HR34" i="68" s="1"/>
  <c r="AD262" i="68" a="1"/>
  <c r="AD262" i="68" s="1"/>
  <c r="AB285" i="69"/>
  <c r="AB289" i="68"/>
  <c r="HY33" i="69"/>
  <c r="AD287" i="68"/>
  <c r="HZ35" i="68" s="1"/>
  <c r="AE286" i="68" a="1"/>
  <c r="AE286" i="68" s="1"/>
  <c r="Z300" i="68"/>
  <c r="Z308" i="68" s="1"/>
  <c r="Z304" i="69"/>
  <c r="AC275" i="68"/>
  <c r="HV34" i="68" s="1"/>
  <c r="AD274" i="68" a="1"/>
  <c r="AD274" i="68" s="1"/>
  <c r="AB264" i="68"/>
  <c r="HS33" i="68"/>
  <c r="HT33" i="68"/>
  <c r="IF33" i="68"/>
  <c r="IG33" i="68"/>
  <c r="AB276" i="68"/>
  <c r="HW33" i="68"/>
  <c r="HX33" i="68"/>
  <c r="IB34" i="68"/>
  <c r="AC288" i="68"/>
  <c r="IA34" i="68"/>
  <c r="IH34" i="68"/>
  <c r="AA315" i="68"/>
  <c r="AA292" i="68"/>
  <c r="AA291" i="68"/>
  <c r="AA290" i="68"/>
  <c r="AA293" i="68"/>
  <c r="Y306" i="69"/>
  <c r="Y302" i="68"/>
  <c r="Y310" i="68" s="1"/>
  <c r="AA273" i="69"/>
  <c r="AA277" i="68"/>
  <c r="HU32" i="69"/>
  <c r="Z279" i="68"/>
  <c r="Z280" i="68"/>
  <c r="Z314" i="68"/>
  <c r="Z281" i="68"/>
  <c r="Z278" i="68"/>
  <c r="Y301" i="68"/>
  <c r="Y309" i="68" s="1"/>
  <c r="Y305" i="69"/>
  <c r="HQ32" i="69"/>
  <c r="AA265" i="68"/>
  <c r="AA261" i="69"/>
  <c r="Y282" i="68"/>
  <c r="AB253" i="68"/>
  <c r="AB249" i="69"/>
  <c r="HM33" i="69"/>
  <c r="Z307" i="69"/>
  <c r="Z303" i="68"/>
  <c r="Z311" i="68" s="1"/>
  <c r="Z258" i="68"/>
  <c r="AD251" i="68"/>
  <c r="HN35" i="68" s="1"/>
  <c r="AE250" i="68" a="1"/>
  <c r="AE250" i="68" s="1"/>
  <c r="Z266" i="68"/>
  <c r="Z269" i="68"/>
  <c r="Z313" i="68"/>
  <c r="Z267" i="68"/>
  <c r="Z268" i="68"/>
  <c r="AA257" i="68"/>
  <c r="AA312" i="68"/>
  <c r="AA256" i="68"/>
  <c r="AA258" i="68" s="1"/>
  <c r="AA255" i="68"/>
  <c r="AA254" i="68"/>
  <c r="Z294" i="68"/>
  <c r="Y270" i="68"/>
  <c r="HO34" i="68"/>
  <c r="IE34" i="68"/>
  <c r="HP34" i="68"/>
  <c r="AC252" i="68"/>
  <c r="W293" i="76"/>
  <c r="V293" i="76"/>
  <c r="U293" i="76"/>
  <c r="T293" i="76"/>
  <c r="S293" i="76"/>
  <c r="R293" i="76"/>
  <c r="Q293" i="76"/>
  <c r="P293" i="76"/>
  <c r="W292" i="76"/>
  <c r="V292" i="76"/>
  <c r="U292" i="76"/>
  <c r="T292" i="76"/>
  <c r="S292" i="76"/>
  <c r="R292" i="76"/>
  <c r="Q292" i="76"/>
  <c r="P292" i="76"/>
  <c r="W291" i="76"/>
  <c r="V291" i="76"/>
  <c r="U291" i="76"/>
  <c r="T291" i="76"/>
  <c r="S291" i="76"/>
  <c r="R291" i="76"/>
  <c r="Q291" i="76"/>
  <c r="P291" i="76"/>
  <c r="AA294" i="68" l="1"/>
  <c r="Z270" i="68"/>
  <c r="HO35" i="68"/>
  <c r="IE35" i="68"/>
  <c r="AD252" i="68"/>
  <c r="HP35" i="68"/>
  <c r="AA269" i="68"/>
  <c r="AA313" i="68"/>
  <c r="AA267" i="68"/>
  <c r="AA266" i="68"/>
  <c r="AA268" i="68"/>
  <c r="Z302" i="68"/>
  <c r="Z310" i="68" s="1"/>
  <c r="Z306" i="69"/>
  <c r="HX34" i="68"/>
  <c r="IG34" i="68"/>
  <c r="HW34" i="68"/>
  <c r="AC276" i="68"/>
  <c r="AB273" i="69"/>
  <c r="HU33" i="69"/>
  <c r="AB277" i="68"/>
  <c r="HT34" i="68"/>
  <c r="AC264" i="68"/>
  <c r="IF34" i="68"/>
  <c r="HS34" i="68"/>
  <c r="Z301" i="68"/>
  <c r="Z309" i="68" s="1"/>
  <c r="Z305" i="69"/>
  <c r="AA279" i="68"/>
  <c r="AA278" i="68"/>
  <c r="AA280" i="68"/>
  <c r="AA281" i="68"/>
  <c r="AA314" i="68"/>
  <c r="AE287" i="68"/>
  <c r="HZ36" i="68" s="1"/>
  <c r="AF286" i="68" a="1"/>
  <c r="AF286" i="68" s="1"/>
  <c r="IH35" i="68"/>
  <c r="IA35" i="68"/>
  <c r="AD288" i="68"/>
  <c r="IB35" i="68"/>
  <c r="AC253" i="68"/>
  <c r="HM34" i="69"/>
  <c r="AC249" i="69"/>
  <c r="AA304" i="69"/>
  <c r="AA300" i="68"/>
  <c r="AA308" i="68" s="1"/>
  <c r="AB256" i="68"/>
  <c r="AB255" i="68"/>
  <c r="AB257" i="68"/>
  <c r="AB312" i="68"/>
  <c r="AB254" i="68"/>
  <c r="Z282" i="68"/>
  <c r="HY34" i="69"/>
  <c r="AC289" i="68"/>
  <c r="AC285" i="69"/>
  <c r="AE251" i="68"/>
  <c r="HN36" i="68" s="1"/>
  <c r="AF250" i="68" a="1"/>
  <c r="AF250" i="68" s="1"/>
  <c r="AB265" i="68"/>
  <c r="AB261" i="69"/>
  <c r="HQ33" i="69"/>
  <c r="AB292" i="68"/>
  <c r="AB294" i="68" s="1"/>
  <c r="AB293" i="68"/>
  <c r="AB291" i="68"/>
  <c r="AB315" i="68"/>
  <c r="AB290" i="68"/>
  <c r="AD275" i="68"/>
  <c r="HV35" i="68" s="1"/>
  <c r="AE274" i="68" a="1"/>
  <c r="AE274" i="68" s="1"/>
  <c r="AD263" i="68"/>
  <c r="HR35" i="68" s="1"/>
  <c r="AE262" i="68" a="1"/>
  <c r="AE262" i="68" s="1"/>
  <c r="AA303" i="68"/>
  <c r="AA311" i="68" s="1"/>
  <c r="AA307" i="69"/>
  <c r="Q125" i="76"/>
  <c r="Y125" i="76"/>
  <c r="P124" i="76"/>
  <c r="X124" i="76"/>
  <c r="P134" i="76"/>
  <c r="X134" i="76"/>
  <c r="P147" i="76"/>
  <c r="X147" i="76"/>
  <c r="P157" i="76"/>
  <c r="X157" i="76"/>
  <c r="P165" i="76"/>
  <c r="X165" i="76"/>
  <c r="Q122" i="76"/>
  <c r="Y122" i="76"/>
  <c r="Q128" i="76"/>
  <c r="Y128" i="76"/>
  <c r="Q134" i="76"/>
  <c r="Y134" i="76"/>
  <c r="Q142" i="76"/>
  <c r="Y142" i="76"/>
  <c r="Q149" i="76"/>
  <c r="Y149" i="76"/>
  <c r="Q155" i="76"/>
  <c r="Y155" i="76"/>
  <c r="Q161" i="76"/>
  <c r="Y161" i="76"/>
  <c r="Q283" i="76"/>
  <c r="U283" i="76"/>
  <c r="Q285" i="76"/>
  <c r="U285" i="76"/>
  <c r="S118" i="76"/>
  <c r="AA118" i="76"/>
  <c r="S120" i="76"/>
  <c r="AA120" i="76"/>
  <c r="S122" i="76"/>
  <c r="AA122" i="76"/>
  <c r="S124" i="76"/>
  <c r="AA124" i="76"/>
  <c r="S126" i="76"/>
  <c r="AA126" i="76"/>
  <c r="S128" i="76"/>
  <c r="AA128" i="76"/>
  <c r="S130" i="76"/>
  <c r="AA130" i="76"/>
  <c r="S132" i="76"/>
  <c r="AA132" i="76"/>
  <c r="S134" i="76"/>
  <c r="AA134" i="76"/>
  <c r="S136" i="76"/>
  <c r="AA136" i="76"/>
  <c r="S138" i="76"/>
  <c r="AA138" i="76"/>
  <c r="S140" i="76"/>
  <c r="AA140" i="76"/>
  <c r="S142" i="76"/>
  <c r="AA142" i="76"/>
  <c r="S144" i="76"/>
  <c r="AA144" i="76"/>
  <c r="S147" i="76"/>
  <c r="AA147" i="76"/>
  <c r="S149" i="76"/>
  <c r="AA149" i="76"/>
  <c r="S151" i="76"/>
  <c r="AA151" i="76"/>
  <c r="S153" i="76"/>
  <c r="AA153" i="76"/>
  <c r="S155" i="76"/>
  <c r="AA155" i="76"/>
  <c r="S157" i="76"/>
  <c r="AA157" i="76"/>
  <c r="S159" i="76"/>
  <c r="AA159" i="76"/>
  <c r="S161" i="76"/>
  <c r="AA161" i="76"/>
  <c r="S163" i="76"/>
  <c r="AA163" i="76"/>
  <c r="S165" i="76"/>
  <c r="AA165" i="76"/>
  <c r="W276" i="76"/>
  <c r="S276" i="76"/>
  <c r="W278" i="76"/>
  <c r="S278" i="76"/>
  <c r="W280" i="76"/>
  <c r="S280" i="76"/>
  <c r="S283" i="76"/>
  <c r="W283" i="76"/>
  <c r="S285" i="76"/>
  <c r="W285" i="76"/>
  <c r="S287" i="76"/>
  <c r="W287" i="76"/>
  <c r="S290" i="76"/>
  <c r="S295" i="76" s="1"/>
  <c r="S317" i="76" s="1"/>
  <c r="S250" i="76"/>
  <c r="S272" i="76" s="1"/>
  <c r="Q121" i="76"/>
  <c r="Y121" i="76"/>
  <c r="X118" i="76"/>
  <c r="P118" i="76"/>
  <c r="P128" i="76"/>
  <c r="X128" i="76"/>
  <c r="P138" i="76"/>
  <c r="X138" i="76"/>
  <c r="P144" i="76"/>
  <c r="X144" i="76"/>
  <c r="P153" i="76"/>
  <c r="X153" i="76"/>
  <c r="P163" i="76"/>
  <c r="X163" i="76"/>
  <c r="T283" i="76"/>
  <c r="P283" i="76"/>
  <c r="P119" i="76"/>
  <c r="X119" i="76"/>
  <c r="P121" i="76"/>
  <c r="X121" i="76"/>
  <c r="P123" i="76"/>
  <c r="X123" i="76"/>
  <c r="P125" i="76"/>
  <c r="X125" i="76"/>
  <c r="P127" i="76"/>
  <c r="X127" i="76"/>
  <c r="P129" i="76"/>
  <c r="X129" i="76"/>
  <c r="P131" i="76"/>
  <c r="X131" i="76"/>
  <c r="P133" i="76"/>
  <c r="X133" i="76"/>
  <c r="P135" i="76"/>
  <c r="X135" i="76"/>
  <c r="P137" i="76"/>
  <c r="X137" i="76"/>
  <c r="P139" i="76"/>
  <c r="X139" i="76"/>
  <c r="P141" i="76"/>
  <c r="X141" i="76"/>
  <c r="P143" i="76"/>
  <c r="X143" i="76"/>
  <c r="P146" i="76"/>
  <c r="X146" i="76"/>
  <c r="P148" i="76"/>
  <c r="X148" i="76"/>
  <c r="P150" i="76"/>
  <c r="X150" i="76"/>
  <c r="P152" i="76"/>
  <c r="X152" i="76"/>
  <c r="P156" i="76"/>
  <c r="X156" i="76"/>
  <c r="P158" i="76"/>
  <c r="X158" i="76"/>
  <c r="P160" i="76"/>
  <c r="X160" i="76"/>
  <c r="P162" i="76"/>
  <c r="X162" i="76"/>
  <c r="P164" i="76"/>
  <c r="X164" i="76"/>
  <c r="T277" i="76"/>
  <c r="P277" i="76"/>
  <c r="P279" i="76"/>
  <c r="T279" i="76"/>
  <c r="P281" i="76"/>
  <c r="T281" i="76"/>
  <c r="T284" i="76"/>
  <c r="P284" i="76"/>
  <c r="T286" i="76"/>
  <c r="P286" i="76"/>
  <c r="P288" i="76"/>
  <c r="T288" i="76"/>
  <c r="T290" i="76"/>
  <c r="T295" i="76" s="1"/>
  <c r="T317" i="76" s="1"/>
  <c r="T250" i="76"/>
  <c r="T272" i="76" s="1"/>
  <c r="Q123" i="76"/>
  <c r="Y123" i="76"/>
  <c r="Q133" i="76"/>
  <c r="Y133" i="76"/>
  <c r="Q139" i="76"/>
  <c r="Y139" i="76"/>
  <c r="Q146" i="76"/>
  <c r="Y146" i="76"/>
  <c r="Q160" i="76"/>
  <c r="Y160" i="76"/>
  <c r="Q164" i="76"/>
  <c r="Y164" i="76"/>
  <c r="U277" i="76"/>
  <c r="Q277" i="76"/>
  <c r="Q279" i="76"/>
  <c r="U279" i="76"/>
  <c r="Q286" i="76"/>
  <c r="U286" i="76"/>
  <c r="Q129" i="76"/>
  <c r="Y129" i="76"/>
  <c r="Q137" i="76"/>
  <c r="Y137" i="76"/>
  <c r="Q143" i="76"/>
  <c r="Y143" i="76"/>
  <c r="Q150" i="76"/>
  <c r="Y150" i="76"/>
  <c r="Q156" i="76"/>
  <c r="Y156" i="76"/>
  <c r="Q162" i="76"/>
  <c r="Y162" i="76"/>
  <c r="Q284" i="76"/>
  <c r="U284" i="76"/>
  <c r="U288" i="76"/>
  <c r="Q288" i="76"/>
  <c r="U290" i="76"/>
  <c r="U295" i="76" s="1"/>
  <c r="U317" i="76" s="1"/>
  <c r="U250" i="76"/>
  <c r="U272" i="76" s="1"/>
  <c r="R119" i="76"/>
  <c r="Z119" i="76"/>
  <c r="R121" i="76"/>
  <c r="Z121" i="76"/>
  <c r="R123" i="76"/>
  <c r="Z123" i="76"/>
  <c r="R125" i="76"/>
  <c r="Z125" i="76"/>
  <c r="R127" i="76"/>
  <c r="Z127" i="76"/>
  <c r="R129" i="76"/>
  <c r="Z129" i="76"/>
  <c r="R131" i="76"/>
  <c r="Z131" i="76"/>
  <c r="R133" i="76"/>
  <c r="Z133" i="76"/>
  <c r="R135" i="76"/>
  <c r="Z135" i="76"/>
  <c r="R137" i="76"/>
  <c r="Z137" i="76"/>
  <c r="R139" i="76"/>
  <c r="Z139" i="76"/>
  <c r="R141" i="76"/>
  <c r="Z141" i="76"/>
  <c r="R143" i="76"/>
  <c r="Z143" i="76"/>
  <c r="R146" i="76"/>
  <c r="Z146" i="76"/>
  <c r="R148" i="76"/>
  <c r="Z148" i="76"/>
  <c r="R150" i="76"/>
  <c r="Z150" i="76"/>
  <c r="R152" i="76"/>
  <c r="Z152" i="76"/>
  <c r="R156" i="76"/>
  <c r="Z156" i="76"/>
  <c r="R158" i="76"/>
  <c r="Z158" i="76"/>
  <c r="R160" i="76"/>
  <c r="Z160" i="76"/>
  <c r="R162" i="76"/>
  <c r="Z162" i="76"/>
  <c r="R164" i="76"/>
  <c r="Z164" i="76"/>
  <c r="V277" i="76"/>
  <c r="R277" i="76"/>
  <c r="V279" i="76"/>
  <c r="R279" i="76"/>
  <c r="V281" i="76"/>
  <c r="R281" i="76"/>
  <c r="R284" i="76"/>
  <c r="V284" i="76"/>
  <c r="R286" i="76"/>
  <c r="V286" i="76"/>
  <c r="V288" i="76"/>
  <c r="R288" i="76"/>
  <c r="V290" i="76"/>
  <c r="V295" i="76" s="1"/>
  <c r="V317" i="76" s="1"/>
  <c r="V250" i="76"/>
  <c r="V272" i="76" s="1"/>
  <c r="Q127" i="76"/>
  <c r="Y127" i="76"/>
  <c r="Q135" i="76"/>
  <c r="Y135" i="76"/>
  <c r="Q141" i="76"/>
  <c r="Y141" i="76"/>
  <c r="Q148" i="76"/>
  <c r="Y148" i="76"/>
  <c r="Q152" i="76"/>
  <c r="Y152" i="76"/>
  <c r="Q158" i="76"/>
  <c r="Y158" i="76"/>
  <c r="U281" i="76"/>
  <c r="Q281" i="76"/>
  <c r="S119" i="76"/>
  <c r="AA119" i="76"/>
  <c r="S121" i="76"/>
  <c r="AA121" i="76"/>
  <c r="S123" i="76"/>
  <c r="AA123" i="76"/>
  <c r="S125" i="76"/>
  <c r="AA125" i="76"/>
  <c r="S127" i="76"/>
  <c r="AA127" i="76"/>
  <c r="S129" i="76"/>
  <c r="AA129" i="76"/>
  <c r="S131" i="76"/>
  <c r="AA131" i="76"/>
  <c r="S133" i="76"/>
  <c r="AA133" i="76"/>
  <c r="S135" i="76"/>
  <c r="AA135" i="76"/>
  <c r="S137" i="76"/>
  <c r="AA137" i="76"/>
  <c r="S139" i="76"/>
  <c r="AA139" i="76"/>
  <c r="S141" i="76"/>
  <c r="AA141" i="76"/>
  <c r="S143" i="76"/>
  <c r="AA143" i="76"/>
  <c r="S146" i="76"/>
  <c r="AA146" i="76"/>
  <c r="S148" i="76"/>
  <c r="AA148" i="76"/>
  <c r="S150" i="76"/>
  <c r="AA150" i="76"/>
  <c r="S152" i="76"/>
  <c r="AA152" i="76"/>
  <c r="S156" i="76"/>
  <c r="AA156" i="76"/>
  <c r="S158" i="76"/>
  <c r="AA158" i="76"/>
  <c r="S160" i="76"/>
  <c r="AA160" i="76"/>
  <c r="S162" i="76"/>
  <c r="AA162" i="76"/>
  <c r="S164" i="76"/>
  <c r="AA164" i="76"/>
  <c r="W277" i="76"/>
  <c r="S277" i="76"/>
  <c r="S279" i="76"/>
  <c r="W279" i="76"/>
  <c r="W281" i="76"/>
  <c r="S281" i="76"/>
  <c r="S284" i="76"/>
  <c r="W284" i="76"/>
  <c r="W286" i="76"/>
  <c r="S286" i="76"/>
  <c r="S288" i="76"/>
  <c r="W288" i="76"/>
  <c r="W290" i="76"/>
  <c r="W295" i="76" s="1"/>
  <c r="W317" i="76" s="1"/>
  <c r="W250" i="76"/>
  <c r="W272" i="76" s="1"/>
  <c r="Q119" i="76"/>
  <c r="Y119" i="76"/>
  <c r="P120" i="76"/>
  <c r="X120" i="76"/>
  <c r="P130" i="76"/>
  <c r="X130" i="76"/>
  <c r="P140" i="76"/>
  <c r="X140" i="76"/>
  <c r="P149" i="76"/>
  <c r="X149" i="76"/>
  <c r="P159" i="76"/>
  <c r="X159" i="76"/>
  <c r="T285" i="76"/>
  <c r="P285" i="76"/>
  <c r="Q131" i="76"/>
  <c r="Y131" i="76"/>
  <c r="P126" i="76"/>
  <c r="X126" i="76"/>
  <c r="P136" i="76"/>
  <c r="X136" i="76"/>
  <c r="P142" i="76"/>
  <c r="X142" i="76"/>
  <c r="P151" i="76"/>
  <c r="X151" i="76"/>
  <c r="P161" i="76"/>
  <c r="X161" i="76"/>
  <c r="P278" i="76"/>
  <c r="T278" i="76"/>
  <c r="T280" i="76"/>
  <c r="P280" i="76"/>
  <c r="Q120" i="76"/>
  <c r="Y120" i="76"/>
  <c r="Q126" i="76"/>
  <c r="Y126" i="76"/>
  <c r="Q132" i="76"/>
  <c r="Y132" i="76"/>
  <c r="Q140" i="76"/>
  <c r="Y140" i="76"/>
  <c r="Q147" i="76"/>
  <c r="Y147" i="76"/>
  <c r="Q151" i="76"/>
  <c r="Y151" i="76"/>
  <c r="Q157" i="76"/>
  <c r="Y157" i="76"/>
  <c r="Q163" i="76"/>
  <c r="Y163" i="76"/>
  <c r="Q278" i="76"/>
  <c r="U278" i="76"/>
  <c r="Q290" i="76"/>
  <c r="Q295" i="76" s="1"/>
  <c r="Q317" i="76" s="1"/>
  <c r="Q250" i="76"/>
  <c r="Q272" i="76" s="1"/>
  <c r="P122" i="76"/>
  <c r="X122" i="76"/>
  <c r="P132" i="76"/>
  <c r="X132" i="76"/>
  <c r="P155" i="76"/>
  <c r="X155" i="76"/>
  <c r="T276" i="76"/>
  <c r="P276" i="76"/>
  <c r="T287" i="76"/>
  <c r="P287" i="76"/>
  <c r="P290" i="76"/>
  <c r="P295" i="76" s="1"/>
  <c r="P317" i="76" s="1"/>
  <c r="P250" i="76"/>
  <c r="P272" i="76" s="1"/>
  <c r="Q118" i="76"/>
  <c r="Y118" i="76"/>
  <c r="Q124" i="76"/>
  <c r="Y124" i="76"/>
  <c r="Q130" i="76"/>
  <c r="Y130" i="76"/>
  <c r="Q136" i="76"/>
  <c r="Y136" i="76"/>
  <c r="Q138" i="76"/>
  <c r="Y138" i="76"/>
  <c r="Q144" i="76"/>
  <c r="Y144" i="76"/>
  <c r="Q153" i="76"/>
  <c r="Y153" i="76"/>
  <c r="Q159" i="76"/>
  <c r="Y159" i="76"/>
  <c r="Q165" i="76"/>
  <c r="Y165" i="76"/>
  <c r="Q276" i="76"/>
  <c r="U276" i="76"/>
  <c r="Q280" i="76"/>
  <c r="U280" i="76"/>
  <c r="Q287" i="76"/>
  <c r="U287" i="76"/>
  <c r="R118" i="76"/>
  <c r="Z118" i="76"/>
  <c r="R120" i="76"/>
  <c r="Z120" i="76"/>
  <c r="R122" i="76"/>
  <c r="Z122" i="76"/>
  <c r="R124" i="76"/>
  <c r="Z124" i="76"/>
  <c r="R126" i="76"/>
  <c r="Z126" i="76"/>
  <c r="R128" i="76"/>
  <c r="Z128" i="76"/>
  <c r="R130" i="76"/>
  <c r="Z130" i="76"/>
  <c r="R132" i="76"/>
  <c r="Z132" i="76"/>
  <c r="R134" i="76"/>
  <c r="Z134" i="76"/>
  <c r="R136" i="76"/>
  <c r="Z136" i="76"/>
  <c r="R138" i="76"/>
  <c r="Z138" i="76"/>
  <c r="R140" i="76"/>
  <c r="Z140" i="76"/>
  <c r="R142" i="76"/>
  <c r="Z142" i="76"/>
  <c r="R144" i="76"/>
  <c r="Z144" i="76"/>
  <c r="R147" i="76"/>
  <c r="Z147" i="76"/>
  <c r="R149" i="76"/>
  <c r="Z149" i="76"/>
  <c r="R151" i="76"/>
  <c r="Z151" i="76"/>
  <c r="R153" i="76"/>
  <c r="Z153" i="76"/>
  <c r="R155" i="76"/>
  <c r="Z155" i="76"/>
  <c r="R157" i="76"/>
  <c r="Z157" i="76"/>
  <c r="R159" i="76"/>
  <c r="Z159" i="76"/>
  <c r="R161" i="76"/>
  <c r="Z161" i="76"/>
  <c r="R163" i="76"/>
  <c r="Z163" i="76"/>
  <c r="R165" i="76"/>
  <c r="Z165" i="76"/>
  <c r="R276" i="76"/>
  <c r="V276" i="76"/>
  <c r="V278" i="76"/>
  <c r="R278" i="76"/>
  <c r="V280" i="76"/>
  <c r="R280" i="76"/>
  <c r="R283" i="76"/>
  <c r="V283" i="76"/>
  <c r="R285" i="76"/>
  <c r="V285" i="76"/>
  <c r="V287" i="76"/>
  <c r="R287" i="76"/>
  <c r="R290" i="76"/>
  <c r="R295" i="76" s="1"/>
  <c r="R317" i="76" s="1"/>
  <c r="R250" i="76"/>
  <c r="R272" i="76" s="1"/>
  <c r="AB258" i="68" l="1"/>
  <c r="AA282" i="68"/>
  <c r="AA270" i="68"/>
  <c r="AC315" i="68"/>
  <c r="AC291" i="68"/>
  <c r="AC290" i="68"/>
  <c r="AC293" i="68"/>
  <c r="AC292" i="68"/>
  <c r="AF287" i="68"/>
  <c r="HZ37" i="68" s="1"/>
  <c r="AG286" i="68" a="1"/>
  <c r="AG286" i="68" s="1"/>
  <c r="AC277" i="68"/>
  <c r="HU34" i="69"/>
  <c r="AC273" i="69"/>
  <c r="AA301" i="68"/>
  <c r="AA309" i="68" s="1"/>
  <c r="AA305" i="69"/>
  <c r="IF35" i="68"/>
  <c r="HS35" i="68"/>
  <c r="AD264" i="68"/>
  <c r="HT35" i="68"/>
  <c r="AE288" i="68"/>
  <c r="IB36" i="68"/>
  <c r="IA36" i="68"/>
  <c r="IH36" i="68"/>
  <c r="AE275" i="68"/>
  <c r="HV36" i="68" s="1"/>
  <c r="AF274" i="68" a="1"/>
  <c r="AF274" i="68" s="1"/>
  <c r="HX35" i="68"/>
  <c r="AD276" i="68"/>
  <c r="HW35" i="68"/>
  <c r="IG35" i="68"/>
  <c r="AB268" i="68"/>
  <c r="AB267" i="68"/>
  <c r="AB269" i="68"/>
  <c r="AB266" i="68"/>
  <c r="AB313" i="68"/>
  <c r="AC312" i="68"/>
  <c r="AC255" i="68"/>
  <c r="AC256" i="68"/>
  <c r="AC254" i="68"/>
  <c r="AC257" i="68"/>
  <c r="AC261" i="69"/>
  <c r="HQ34" i="69"/>
  <c r="AC265" i="68"/>
  <c r="AF251" i="68"/>
  <c r="HN37" i="68" s="1"/>
  <c r="AG250" i="68" a="1"/>
  <c r="AG250" i="68" s="1"/>
  <c r="HM35" i="69"/>
  <c r="AD249" i="69"/>
  <c r="AD253" i="68"/>
  <c r="AE263" i="68"/>
  <c r="HR36" i="68" s="1"/>
  <c r="AF262" i="68" a="1"/>
  <c r="AF262" i="68" s="1"/>
  <c r="HP36" i="68"/>
  <c r="AE252" i="68"/>
  <c r="IE36" i="68"/>
  <c r="HO36" i="68"/>
  <c r="AB304" i="69"/>
  <c r="AB300" i="68"/>
  <c r="AB308" i="68" s="1"/>
  <c r="AD285" i="69"/>
  <c r="AD289" i="68"/>
  <c r="HY35" i="69"/>
  <c r="AB278" i="68"/>
  <c r="AB314" i="68"/>
  <c r="AB281" i="68"/>
  <c r="AB280" i="68"/>
  <c r="AB279" i="68"/>
  <c r="AB307" i="69"/>
  <c r="AB303" i="68"/>
  <c r="AB311" i="68" s="1"/>
  <c r="AA302" i="68"/>
  <c r="AA310" i="68" s="1"/>
  <c r="AA306" i="69"/>
  <c r="M292" i="76"/>
  <c r="E293" i="76"/>
  <c r="N293" i="76"/>
  <c r="E367" i="76"/>
  <c r="E292" i="76"/>
  <c r="M291" i="76"/>
  <c r="O291" i="76"/>
  <c r="N283" i="76"/>
  <c r="N278" i="76"/>
  <c r="M287" i="76"/>
  <c r="S249" i="76"/>
  <c r="S273" i="76" s="1"/>
  <c r="S275" i="76"/>
  <c r="S294" i="76" s="1"/>
  <c r="S318" i="76" s="1"/>
  <c r="N281" i="76"/>
  <c r="L277" i="76"/>
  <c r="P154" i="76"/>
  <c r="P89" i="76"/>
  <c r="P88" i="76" s="1"/>
  <c r="L283" i="76"/>
  <c r="E283" i="76"/>
  <c r="N276" i="76"/>
  <c r="N286" i="76"/>
  <c r="R249" i="76"/>
  <c r="R273" i="76" s="1"/>
  <c r="R275" i="76"/>
  <c r="R294" i="76" s="1"/>
  <c r="R318" i="76" s="1"/>
  <c r="M284" i="76"/>
  <c r="L288" i="76"/>
  <c r="O278" i="76"/>
  <c r="E288" i="76"/>
  <c r="L292" i="76"/>
  <c r="L291" i="76"/>
  <c r="N292" i="76"/>
  <c r="Y198" i="76"/>
  <c r="L276" i="76"/>
  <c r="O279" i="76"/>
  <c r="W275" i="76"/>
  <c r="W294" i="76" s="1"/>
  <c r="W318" i="76" s="1"/>
  <c r="W249" i="76"/>
  <c r="W273" i="76" s="1"/>
  <c r="M281" i="76"/>
  <c r="M279" i="76"/>
  <c r="L281" i="76"/>
  <c r="P275" i="76"/>
  <c r="P294" i="76" s="1"/>
  <c r="P318" i="76" s="1"/>
  <c r="P249" i="76"/>
  <c r="P273" i="76" s="1"/>
  <c r="O283" i="76"/>
  <c r="M283" i="76"/>
  <c r="E349" i="76"/>
  <c r="O293" i="76"/>
  <c r="L293" i="76"/>
  <c r="N291" i="76"/>
  <c r="Q198" i="76"/>
  <c r="L280" i="76"/>
  <c r="O286" i="76"/>
  <c r="N284" i="76"/>
  <c r="N279" i="76"/>
  <c r="M277" i="76"/>
  <c r="Y154" i="76"/>
  <c r="Y89" i="76"/>
  <c r="Y88" i="76" s="1"/>
  <c r="N287" i="76"/>
  <c r="N280" i="76"/>
  <c r="M280" i="76"/>
  <c r="M278" i="76"/>
  <c r="O284" i="76"/>
  <c r="N277" i="76"/>
  <c r="Z154" i="76"/>
  <c r="Z89" i="76"/>
  <c r="Z88" i="76" s="1"/>
  <c r="U249" i="76"/>
  <c r="U273" i="76" s="1"/>
  <c r="U275" i="76"/>
  <c r="U294" i="76" s="1"/>
  <c r="U318" i="76" s="1"/>
  <c r="Q154" i="76"/>
  <c r="Q89" i="76"/>
  <c r="Q88" i="76" s="1"/>
  <c r="L286" i="76"/>
  <c r="L279" i="76"/>
  <c r="T249" i="76"/>
  <c r="T273" i="76" s="1"/>
  <c r="T275" i="76"/>
  <c r="T294" i="76" s="1"/>
  <c r="T318" i="76" s="1"/>
  <c r="O287" i="76"/>
  <c r="O276" i="76"/>
  <c r="AA198" i="76"/>
  <c r="Z198" i="76"/>
  <c r="M276" i="76"/>
  <c r="L278" i="76"/>
  <c r="L285" i="76"/>
  <c r="AA154" i="76"/>
  <c r="AA89" i="76"/>
  <c r="AA88" i="76" s="1"/>
  <c r="N288" i="76"/>
  <c r="R154" i="76"/>
  <c r="R89" i="76"/>
  <c r="R88" i="76" s="1"/>
  <c r="P198" i="76"/>
  <c r="O280" i="76"/>
  <c r="S198" i="76"/>
  <c r="M293" i="76"/>
  <c r="N285" i="76"/>
  <c r="R198" i="76"/>
  <c r="O277" i="76"/>
  <c r="S154" i="76"/>
  <c r="S89" i="76"/>
  <c r="S88" i="76" s="1"/>
  <c r="M288" i="76"/>
  <c r="Q275" i="76"/>
  <c r="Q294" i="76" s="1"/>
  <c r="Q318" i="76" s="1"/>
  <c r="Q249" i="76"/>
  <c r="Q273" i="76" s="1"/>
  <c r="M286" i="76"/>
  <c r="X198" i="76"/>
  <c r="M285" i="76"/>
  <c r="E181" i="76"/>
  <c r="O292" i="76"/>
  <c r="L287" i="76"/>
  <c r="O288" i="76"/>
  <c r="O281" i="76"/>
  <c r="V275" i="76"/>
  <c r="V294" i="76" s="1"/>
  <c r="V318" i="76" s="1"/>
  <c r="V249" i="76"/>
  <c r="V273" i="76" s="1"/>
  <c r="L284" i="76"/>
  <c r="X154" i="76"/>
  <c r="X89" i="76"/>
  <c r="X88" i="76" s="1"/>
  <c r="O285" i="76"/>
  <c r="AB282" i="68" l="1"/>
  <c r="HM36" i="69"/>
  <c r="AE249" i="69"/>
  <c r="AE253" i="68"/>
  <c r="AF252" i="68"/>
  <c r="IE37" i="68"/>
  <c r="HP37" i="68"/>
  <c r="HO37" i="68"/>
  <c r="AD273" i="69"/>
  <c r="HU35" i="69"/>
  <c r="AD277" i="68"/>
  <c r="AC281" i="68"/>
  <c r="AC280" i="68"/>
  <c r="AC278" i="68"/>
  <c r="AC279" i="68"/>
  <c r="AC314" i="68"/>
  <c r="AG287" i="68"/>
  <c r="HZ38" i="68" s="1"/>
  <c r="AH286" i="68" a="1"/>
  <c r="AH286" i="68" s="1"/>
  <c r="AF275" i="68"/>
  <c r="HV37" i="68" s="1"/>
  <c r="AG274" i="68" a="1"/>
  <c r="AG274" i="68" s="1"/>
  <c r="IA37" i="68"/>
  <c r="AF288" i="68"/>
  <c r="IH37" i="68"/>
  <c r="IB37" i="68"/>
  <c r="AF263" i="68"/>
  <c r="HR37" i="68" s="1"/>
  <c r="AG262" i="68" a="1"/>
  <c r="AG262" i="68" s="1"/>
  <c r="AE264" i="68"/>
  <c r="IF36" i="68"/>
  <c r="HS36" i="68"/>
  <c r="HT36" i="68"/>
  <c r="HX36" i="68"/>
  <c r="HW36" i="68"/>
  <c r="IG36" i="68"/>
  <c r="AE276" i="68"/>
  <c r="AC294" i="68"/>
  <c r="AD261" i="69"/>
  <c r="HQ35" i="69"/>
  <c r="AD265" i="68"/>
  <c r="AD292" i="68"/>
  <c r="AD315" i="68"/>
  <c r="AD291" i="68"/>
  <c r="AD293" i="68"/>
  <c r="AD290" i="68"/>
  <c r="AB306" i="69"/>
  <c r="AB302" i="68"/>
  <c r="AB310" i="68" s="1"/>
  <c r="AD312" i="68"/>
  <c r="AD254" i="68"/>
  <c r="AD257" i="68"/>
  <c r="AD256" i="68"/>
  <c r="AD255" i="68"/>
  <c r="AB301" i="68"/>
  <c r="AB309" i="68" s="1"/>
  <c r="AB305" i="69"/>
  <c r="AC266" i="68"/>
  <c r="AC269" i="68"/>
  <c r="AC267" i="68"/>
  <c r="AC313" i="68"/>
  <c r="AC268" i="68"/>
  <c r="AB270" i="68"/>
  <c r="AC258" i="68"/>
  <c r="AC307" i="69"/>
  <c r="AC303" i="68"/>
  <c r="AC311" i="68" s="1"/>
  <c r="AG251" i="68"/>
  <c r="HN38" i="68" s="1"/>
  <c r="AH250" i="68" a="1"/>
  <c r="AH250" i="68" s="1"/>
  <c r="AC304" i="69"/>
  <c r="AC300" i="68"/>
  <c r="AC308" i="68" s="1"/>
  <c r="HY36" i="69"/>
  <c r="AE289" i="68"/>
  <c r="AE285" i="69"/>
  <c r="R406" i="76"/>
  <c r="R202" i="76" s="1"/>
  <c r="R227" i="76" s="1"/>
  <c r="R401" i="76"/>
  <c r="R92" i="76" s="1"/>
  <c r="R116" i="76" s="1"/>
  <c r="M290" i="76"/>
  <c r="M295" i="76" s="1"/>
  <c r="M317" i="76" s="1"/>
  <c r="M250" i="76"/>
  <c r="M272" i="76" s="1"/>
  <c r="N290" i="76"/>
  <c r="N295" i="76" s="1"/>
  <c r="N317" i="76" s="1"/>
  <c r="N250" i="76"/>
  <c r="N272" i="76" s="1"/>
  <c r="L249" i="76"/>
  <c r="L275" i="76"/>
  <c r="L294" i="76" s="1"/>
  <c r="AA406" i="76"/>
  <c r="AA202" i="76" s="1"/>
  <c r="AA227" i="76" s="1"/>
  <c r="AA401" i="76"/>
  <c r="AA92" i="76" s="1"/>
  <c r="AA116" i="76" s="1"/>
  <c r="P406" i="76"/>
  <c r="P202" i="76" s="1"/>
  <c r="P227" i="76" s="1"/>
  <c r="P401" i="76"/>
  <c r="P92" i="76" s="1"/>
  <c r="P116" i="76" s="1"/>
  <c r="Y406" i="76"/>
  <c r="Y202" i="76" s="1"/>
  <c r="Y227" i="76" s="1"/>
  <c r="Y401" i="76"/>
  <c r="Y92" i="76" s="1"/>
  <c r="Y116" i="76" s="1"/>
  <c r="M249" i="76"/>
  <c r="M275" i="76"/>
  <c r="M294" i="76" s="1"/>
  <c r="L290" i="76"/>
  <c r="L295" i="76" s="1"/>
  <c r="L317" i="76" s="1"/>
  <c r="L250" i="76"/>
  <c r="L272" i="76" s="1"/>
  <c r="X406" i="76"/>
  <c r="X202" i="76" s="1"/>
  <c r="X227" i="76" s="1"/>
  <c r="X401" i="76"/>
  <c r="X92" i="76" s="1"/>
  <c r="X116" i="76" s="1"/>
  <c r="Z406" i="76"/>
  <c r="Z202" i="76" s="1"/>
  <c r="Z227" i="76" s="1"/>
  <c r="Z401" i="76"/>
  <c r="Z92" i="76" s="1"/>
  <c r="Z116" i="76" s="1"/>
  <c r="S406" i="76"/>
  <c r="S202" i="76" s="1"/>
  <c r="S227" i="76" s="1"/>
  <c r="S401" i="76"/>
  <c r="S92" i="76" s="1"/>
  <c r="S116" i="76" s="1"/>
  <c r="E368" i="76"/>
  <c r="O275" i="76"/>
  <c r="O294" i="76" s="1"/>
  <c r="O249" i="76"/>
  <c r="N275" i="76"/>
  <c r="N294" i="76" s="1"/>
  <c r="N249" i="76"/>
  <c r="E356" i="76"/>
  <c r="E180" i="76"/>
  <c r="Q406" i="76"/>
  <c r="Q202" i="76" s="1"/>
  <c r="Q227" i="76" s="1"/>
  <c r="Q401" i="76"/>
  <c r="Q92" i="76" s="1"/>
  <c r="Q116" i="76" s="1"/>
  <c r="O290" i="76"/>
  <c r="O295" i="76" s="1"/>
  <c r="O317" i="76" s="1"/>
  <c r="O250" i="76"/>
  <c r="O272" i="76" s="1"/>
  <c r="AC270" i="68" l="1"/>
  <c r="AD294" i="68"/>
  <c r="AD258" i="68"/>
  <c r="N318" i="76"/>
  <c r="N273" i="76"/>
  <c r="AC282" i="68"/>
  <c r="AD307" i="69"/>
  <c r="AD303" i="68"/>
  <c r="AD311" i="68" s="1"/>
  <c r="HT37" i="68"/>
  <c r="HS37" i="68"/>
  <c r="AF264" i="68"/>
  <c r="IF37" i="68"/>
  <c r="IA38" i="68"/>
  <c r="IB38" i="68"/>
  <c r="AG288" i="68"/>
  <c r="IH38" i="68"/>
  <c r="AD304" i="69"/>
  <c r="AD300" i="68"/>
  <c r="AD308" i="68" s="1"/>
  <c r="AH251" i="68"/>
  <c r="HN39" i="68" s="1"/>
  <c r="AI250" i="68" a="1"/>
  <c r="AI250" i="68" s="1"/>
  <c r="AC301" i="68"/>
  <c r="AC309" i="68" s="1"/>
  <c r="AC305" i="69"/>
  <c r="AC302" i="68"/>
  <c r="AC310" i="68" s="1"/>
  <c r="AC306" i="69"/>
  <c r="AG263" i="68"/>
  <c r="HR38" i="68" s="1"/>
  <c r="AH262" i="68" a="1"/>
  <c r="AH262" i="68" s="1"/>
  <c r="HO38" i="68"/>
  <c r="IE38" i="68"/>
  <c r="AG252" i="68"/>
  <c r="HP38" i="68"/>
  <c r="AD267" i="68"/>
  <c r="AD268" i="68"/>
  <c r="AD269" i="68"/>
  <c r="AD266" i="68"/>
  <c r="AD313" i="68"/>
  <c r="AF285" i="69"/>
  <c r="AF289" i="68"/>
  <c r="HY37" i="69"/>
  <c r="AE277" i="68"/>
  <c r="AE273" i="69"/>
  <c r="HU36" i="69"/>
  <c r="HM37" i="69"/>
  <c r="AF253" i="68"/>
  <c r="AF249" i="69"/>
  <c r="AG275" i="68"/>
  <c r="HV38" i="68" s="1"/>
  <c r="AH274" i="68" a="1"/>
  <c r="AH274" i="68" s="1"/>
  <c r="AE312" i="68"/>
  <c r="AE257" i="68"/>
  <c r="AE254" i="68"/>
  <c r="AE255" i="68"/>
  <c r="AE256" i="68"/>
  <c r="AE291" i="68"/>
  <c r="AE293" i="68"/>
  <c r="AE290" i="68"/>
  <c r="AE292" i="68"/>
  <c r="AE315" i="68"/>
  <c r="AE265" i="68"/>
  <c r="AE261" i="69"/>
  <c r="HQ36" i="69"/>
  <c r="AF276" i="68"/>
  <c r="IG37" i="68"/>
  <c r="HW37" i="68"/>
  <c r="HX37" i="68"/>
  <c r="AD314" i="68"/>
  <c r="AD279" i="68"/>
  <c r="AD281" i="68"/>
  <c r="AD280" i="68"/>
  <c r="AD278" i="68"/>
  <c r="AH287" i="68"/>
  <c r="HZ39" i="68" s="1"/>
  <c r="AI286" i="68" a="1"/>
  <c r="AI286" i="68" s="1"/>
  <c r="O318" i="76"/>
  <c r="M318" i="76"/>
  <c r="L318" i="76"/>
  <c r="O273" i="76"/>
  <c r="M273" i="76"/>
  <c r="L273" i="76"/>
  <c r="E373" i="76"/>
  <c r="E170" i="76"/>
  <c r="E379" i="76"/>
  <c r="E176" i="76"/>
  <c r="E378" i="76"/>
  <c r="E175" i="76"/>
  <c r="AE258" i="68" l="1"/>
  <c r="AH275" i="68"/>
  <c r="HV39" i="68" s="1"/>
  <c r="AI274" i="68" a="1"/>
  <c r="AI274" i="68" s="1"/>
  <c r="AI287" i="68"/>
  <c r="HZ40" i="68" s="1"/>
  <c r="AJ286" i="68" a="1"/>
  <c r="AJ286" i="68" s="1"/>
  <c r="IH39" i="68"/>
  <c r="IA39" i="68"/>
  <c r="IB39" i="68"/>
  <c r="AH288" i="68"/>
  <c r="AG276" i="68"/>
  <c r="HW38" i="68"/>
  <c r="HX38" i="68"/>
  <c r="IG38" i="68"/>
  <c r="AF293" i="68"/>
  <c r="AF291" i="68"/>
  <c r="AF290" i="68"/>
  <c r="AF315" i="68"/>
  <c r="AF292" i="68"/>
  <c r="HM38" i="69"/>
  <c r="AG249" i="69"/>
  <c r="AG253" i="68"/>
  <c r="AI251" i="68"/>
  <c r="HN40" i="68" s="1"/>
  <c r="AJ250" i="68" a="1"/>
  <c r="AJ250" i="68" s="1"/>
  <c r="AF277" i="68"/>
  <c r="HU37" i="69"/>
  <c r="AF273" i="69"/>
  <c r="AD282" i="68"/>
  <c r="AF254" i="68"/>
  <c r="AF312" i="68"/>
  <c r="AF256" i="68"/>
  <c r="AF255" i="68"/>
  <c r="AF257" i="68"/>
  <c r="HP39" i="68"/>
  <c r="AH252" i="68"/>
  <c r="IE39" i="68"/>
  <c r="HO39" i="68"/>
  <c r="AF261" i="69"/>
  <c r="AF265" i="68"/>
  <c r="HQ37" i="69"/>
  <c r="AI262" i="68" a="1"/>
  <c r="AI262" i="68" s="1"/>
  <c r="AH263" i="68"/>
  <c r="HR39" i="68" s="1"/>
  <c r="AE300" i="68"/>
  <c r="AE308" i="68" s="1"/>
  <c r="AE304" i="69"/>
  <c r="AD302" i="68"/>
  <c r="AD310" i="68" s="1"/>
  <c r="AD306" i="69"/>
  <c r="AE267" i="68"/>
  <c r="AE266" i="68"/>
  <c r="AE313" i="68"/>
  <c r="AE268" i="68"/>
  <c r="AE269" i="68"/>
  <c r="AG264" i="68"/>
  <c r="HS38" i="68"/>
  <c r="IF38" i="68"/>
  <c r="HT38" i="68"/>
  <c r="AD270" i="68"/>
  <c r="AE303" i="68"/>
  <c r="AE311" i="68" s="1"/>
  <c r="AE307" i="69"/>
  <c r="AE294" i="68"/>
  <c r="AE280" i="68"/>
  <c r="AE279" i="68"/>
  <c r="AE278" i="68"/>
  <c r="AE281" i="68"/>
  <c r="AE314" i="68"/>
  <c r="AD301" i="68"/>
  <c r="AD309" i="68" s="1"/>
  <c r="AD305" i="69"/>
  <c r="AG285" i="69"/>
  <c r="HY38" i="69"/>
  <c r="AG289" i="68"/>
  <c r="AF294" i="68" l="1"/>
  <c r="AF258" i="68"/>
  <c r="AE270" i="68"/>
  <c r="AG261" i="69"/>
  <c r="HQ38" i="69"/>
  <c r="AG265" i="68"/>
  <c r="HS39" i="68"/>
  <c r="AH264" i="68"/>
  <c r="HT39" i="68"/>
  <c r="IF39" i="68"/>
  <c r="HY39" i="69"/>
  <c r="AH285" i="69"/>
  <c r="AH289" i="68"/>
  <c r="AI263" i="68"/>
  <c r="HR40" i="68" s="1"/>
  <c r="AJ262" i="68" a="1"/>
  <c r="AJ262" i="68" s="1"/>
  <c r="AF314" i="68"/>
  <c r="AF281" i="68"/>
  <c r="AF278" i="68"/>
  <c r="AF280" i="68"/>
  <c r="AF279" i="68"/>
  <c r="AJ251" i="68"/>
  <c r="HN41" i="68" s="1"/>
  <c r="AK250" i="68" a="1"/>
  <c r="AK250" i="68" s="1"/>
  <c r="AF307" i="69"/>
  <c r="AF303" i="68"/>
  <c r="AF311" i="68" s="1"/>
  <c r="AF300" i="68"/>
  <c r="AF308" i="68" s="1"/>
  <c r="AF304" i="69"/>
  <c r="AE282" i="68"/>
  <c r="AE305" i="69"/>
  <c r="AE301" i="68"/>
  <c r="AE309" i="68" s="1"/>
  <c r="AF266" i="68"/>
  <c r="AF268" i="68"/>
  <c r="AF313" i="68"/>
  <c r="AF269" i="68"/>
  <c r="AF267" i="68"/>
  <c r="HP40" i="68"/>
  <c r="HO40" i="68"/>
  <c r="IE40" i="68"/>
  <c r="AI252" i="68"/>
  <c r="AJ287" i="68"/>
  <c r="HZ41" i="68" s="1"/>
  <c r="AK286" i="68" a="1"/>
  <c r="AK286" i="68" s="1"/>
  <c r="AG256" i="68"/>
  <c r="AG312" i="68"/>
  <c r="AG254" i="68"/>
  <c r="AG257" i="68"/>
  <c r="AG255" i="68"/>
  <c r="AG290" i="68"/>
  <c r="AG293" i="68"/>
  <c r="AG292" i="68"/>
  <c r="AG294" i="68" s="1"/>
  <c r="AG315" i="68"/>
  <c r="AG291" i="68"/>
  <c r="AE302" i="68"/>
  <c r="AE310" i="68" s="1"/>
  <c r="AE306" i="69"/>
  <c r="IH40" i="68"/>
  <c r="IA40" i="68"/>
  <c r="AI288" i="68"/>
  <c r="IB40" i="68"/>
  <c r="AI275" i="68"/>
  <c r="HV40" i="68" s="1"/>
  <c r="AJ274" i="68" a="1"/>
  <c r="AJ274" i="68" s="1"/>
  <c r="AH253" i="68"/>
  <c r="HM39" i="69"/>
  <c r="AH249" i="69"/>
  <c r="AG277" i="68"/>
  <c r="AG273" i="69"/>
  <c r="HU38" i="69"/>
  <c r="HX39" i="68"/>
  <c r="IG39" i="68"/>
  <c r="AH276" i="68"/>
  <c r="HW39" i="68"/>
  <c r="AG258" i="68" l="1"/>
  <c r="AF270" i="68"/>
  <c r="AF282" i="68"/>
  <c r="AH273" i="69"/>
  <c r="AH277" i="68"/>
  <c r="HU39" i="69"/>
  <c r="AH256" i="68"/>
  <c r="AH255" i="68"/>
  <c r="AH312" i="68"/>
  <c r="AH254" i="68"/>
  <c r="AH257" i="68"/>
  <c r="AJ275" i="68"/>
  <c r="HV41" i="68" s="1"/>
  <c r="AK274" i="68" a="1"/>
  <c r="AK274" i="68" s="1"/>
  <c r="AG303" i="68"/>
  <c r="AG311" i="68" s="1"/>
  <c r="AG307" i="69"/>
  <c r="AF301" i="68"/>
  <c r="AF309" i="68" s="1"/>
  <c r="AF305" i="69"/>
  <c r="HX40" i="68"/>
  <c r="IG40" i="68"/>
  <c r="AI276" i="68"/>
  <c r="HW40" i="68"/>
  <c r="AK287" i="68"/>
  <c r="HZ42" i="68" s="1"/>
  <c r="AL286" i="68" a="1"/>
  <c r="AL286" i="68" s="1"/>
  <c r="AH261" i="69"/>
  <c r="AH265" i="68"/>
  <c r="HQ39" i="69"/>
  <c r="AJ263" i="68"/>
  <c r="AK262" i="68" a="1"/>
  <c r="AK262" i="68" s="1"/>
  <c r="AK251" i="68"/>
  <c r="HN42" i="68" s="1"/>
  <c r="AL250" i="68" a="1"/>
  <c r="AL250" i="68" s="1"/>
  <c r="HR41" i="68"/>
  <c r="IF40" i="68"/>
  <c r="HS40" i="68"/>
  <c r="HT40" i="68"/>
  <c r="AI264" i="68"/>
  <c r="AG266" i="68"/>
  <c r="AG269" i="68"/>
  <c r="AG267" i="68"/>
  <c r="AG313" i="68"/>
  <c r="AG268" i="68"/>
  <c r="AI285" i="69"/>
  <c r="HY40" i="69"/>
  <c r="AI289" i="68"/>
  <c r="AI253" i="68"/>
  <c r="AI249" i="69"/>
  <c r="HM40" i="69"/>
  <c r="AG304" i="69"/>
  <c r="AG300" i="68"/>
  <c r="AG308" i="68" s="1"/>
  <c r="AJ252" i="68"/>
  <c r="IE41" i="68"/>
  <c r="HO41" i="68"/>
  <c r="HP41" i="68"/>
  <c r="AH290" i="68"/>
  <c r="AH293" i="68"/>
  <c r="AH292" i="68"/>
  <c r="AH294" i="68" s="1"/>
  <c r="AH315" i="68"/>
  <c r="AH291" i="68"/>
  <c r="AJ288" i="68"/>
  <c r="IA41" i="68"/>
  <c r="IB41" i="68"/>
  <c r="IH41" i="68"/>
  <c r="AG279" i="68"/>
  <c r="AG278" i="68"/>
  <c r="AG280" i="68"/>
  <c r="AG314" i="68"/>
  <c r="AG281" i="68"/>
  <c r="AF302" i="68"/>
  <c r="AF310" i="68" s="1"/>
  <c r="AF306" i="69"/>
  <c r="AG282" i="68" l="1"/>
  <c r="AH258" i="68"/>
  <c r="HP42" i="68"/>
  <c r="IE42" i="68"/>
  <c r="AK252" i="68"/>
  <c r="HO42" i="68"/>
  <c r="AI312" i="68"/>
  <c r="AI257" i="68"/>
  <c r="AI256" i="68"/>
  <c r="AI254" i="68"/>
  <c r="AI255" i="68"/>
  <c r="AI293" i="68"/>
  <c r="AI291" i="68"/>
  <c r="AI290" i="68"/>
  <c r="AI292" i="68"/>
  <c r="AI315" i="68"/>
  <c r="AI265" i="68"/>
  <c r="AI261" i="69"/>
  <c r="HQ40" i="69"/>
  <c r="AG302" i="68"/>
  <c r="AG310" i="68" s="1"/>
  <c r="AG306" i="69"/>
  <c r="AJ289" i="68"/>
  <c r="AJ285" i="69"/>
  <c r="HY41" i="69"/>
  <c r="AH307" i="69"/>
  <c r="AH303" i="68"/>
  <c r="AH311" i="68" s="1"/>
  <c r="HM41" i="69"/>
  <c r="AJ249" i="69"/>
  <c r="AJ253" i="68"/>
  <c r="AH268" i="68"/>
  <c r="AH313" i="68"/>
  <c r="AH267" i="68"/>
  <c r="AH269" i="68"/>
  <c r="AH266" i="68"/>
  <c r="HS41" i="68"/>
  <c r="HT41" i="68"/>
  <c r="IF41" i="68"/>
  <c r="AJ264" i="68"/>
  <c r="AG305" i="69"/>
  <c r="AG301" i="68"/>
  <c r="AG309" i="68" s="1"/>
  <c r="AG270" i="68"/>
  <c r="AH304" i="69"/>
  <c r="AH300" i="68"/>
  <c r="AH308" i="68" s="1"/>
  <c r="AL287" i="68"/>
  <c r="HZ43" i="68" s="1"/>
  <c r="AM286" i="68" a="1"/>
  <c r="AM286" i="68" s="1"/>
  <c r="AL251" i="68"/>
  <c r="HN43" i="68" s="1"/>
  <c r="AM250" i="68" a="1"/>
  <c r="AM250" i="68" s="1"/>
  <c r="AK288" i="68"/>
  <c r="IH42" i="68"/>
  <c r="IA42" i="68"/>
  <c r="IB42" i="68"/>
  <c r="AK275" i="68"/>
  <c r="HV42" i="68" s="1"/>
  <c r="AL274" i="68" a="1"/>
  <c r="AL274" i="68" s="1"/>
  <c r="AH280" i="68"/>
  <c r="AH314" i="68"/>
  <c r="AH279" i="68"/>
  <c r="AH278" i="68"/>
  <c r="AH281" i="68"/>
  <c r="AK263" i="68"/>
  <c r="HR42" i="68" s="1"/>
  <c r="AL262" i="68" a="1"/>
  <c r="AL262" i="68" s="1"/>
  <c r="HU40" i="69"/>
  <c r="AI277" i="68"/>
  <c r="AI273" i="69"/>
  <c r="IG41" i="68"/>
  <c r="HX41" i="68"/>
  <c r="AJ276" i="68"/>
  <c r="HW41" i="68"/>
  <c r="AI294" i="68" l="1"/>
  <c r="AH282" i="68"/>
  <c r="AJ277" i="68"/>
  <c r="AJ273" i="69"/>
  <c r="HU41" i="69"/>
  <c r="AI269" i="68"/>
  <c r="AI268" i="68"/>
  <c r="AI313" i="68"/>
  <c r="AI266" i="68"/>
  <c r="AI267" i="68"/>
  <c r="AI258" i="68"/>
  <c r="AH302" i="68"/>
  <c r="AH310" i="68" s="1"/>
  <c r="AH306" i="69"/>
  <c r="AK289" i="68"/>
  <c r="AK285" i="69"/>
  <c r="HY42" i="69"/>
  <c r="AH301" i="68"/>
  <c r="AH309" i="68" s="1"/>
  <c r="AH305" i="69"/>
  <c r="AM251" i="68"/>
  <c r="HN44" i="68" s="1"/>
  <c r="AN250" i="68" a="1"/>
  <c r="AN250" i="68" s="1"/>
  <c r="AI278" i="68"/>
  <c r="AI280" i="68"/>
  <c r="AI279" i="68"/>
  <c r="AI281" i="68"/>
  <c r="AI314" i="68"/>
  <c r="IE43" i="68"/>
  <c r="HP43" i="68"/>
  <c r="HO43" i="68"/>
  <c r="AL252" i="68"/>
  <c r="HQ41" i="69"/>
  <c r="AJ265" i="68"/>
  <c r="AJ261" i="69"/>
  <c r="AH270" i="68"/>
  <c r="AJ293" i="68"/>
  <c r="AJ290" i="68"/>
  <c r="AJ291" i="68"/>
  <c r="AJ315" i="68"/>
  <c r="AJ292" i="68"/>
  <c r="AM287" i="68"/>
  <c r="HZ44" i="68" s="1"/>
  <c r="AN286" i="68" a="1"/>
  <c r="AN286" i="68" s="1"/>
  <c r="AJ312" i="68"/>
  <c r="AJ254" i="68"/>
  <c r="AJ255" i="68"/>
  <c r="AJ256" i="68"/>
  <c r="AJ257" i="68"/>
  <c r="AI303" i="68"/>
  <c r="AI311" i="68" s="1"/>
  <c r="AI307" i="69"/>
  <c r="HM42" i="69"/>
  <c r="AK249" i="69"/>
  <c r="AK253" i="68"/>
  <c r="AL275" i="68"/>
  <c r="HV43" i="68" s="1"/>
  <c r="AM274" i="68" a="1"/>
  <c r="AM274" i="68" s="1"/>
  <c r="AK276" i="68"/>
  <c r="IG42" i="68"/>
  <c r="HX42" i="68"/>
  <c r="HW42" i="68"/>
  <c r="AL288" i="68"/>
  <c r="IA43" i="68"/>
  <c r="IH43" i="68"/>
  <c r="IB43" i="68"/>
  <c r="AL263" i="68"/>
  <c r="HR43" i="68" s="1"/>
  <c r="AM262" i="68" a="1"/>
  <c r="AM262" i="68" s="1"/>
  <c r="AK264" i="68"/>
  <c r="HT42" i="68"/>
  <c r="IF42" i="68"/>
  <c r="HS42" i="68"/>
  <c r="AI300" i="68"/>
  <c r="AI308" i="68" s="1"/>
  <c r="AI304" i="69"/>
  <c r="AI270" i="68" l="1"/>
  <c r="HS43" i="68"/>
  <c r="HT43" i="68"/>
  <c r="IF43" i="68"/>
  <c r="AL264" i="68"/>
  <c r="AJ307" i="69"/>
  <c r="AJ303" i="68"/>
  <c r="AJ311" i="68" s="1"/>
  <c r="AK257" i="68"/>
  <c r="AK312" i="68"/>
  <c r="AK254" i="68"/>
  <c r="AK255" i="68"/>
  <c r="AK256" i="68"/>
  <c r="AI301" i="68"/>
  <c r="AI309" i="68" s="1"/>
  <c r="AI305" i="69"/>
  <c r="AL253" i="68"/>
  <c r="HM43" i="69"/>
  <c r="AL249" i="69"/>
  <c r="AL285" i="69"/>
  <c r="HY43" i="69"/>
  <c r="AL289" i="68"/>
  <c r="AN287" i="68"/>
  <c r="HZ45" i="68" s="1"/>
  <c r="AO286" i="68" a="1"/>
  <c r="AO286" i="68" s="1"/>
  <c r="AK277" i="68"/>
  <c r="AK273" i="69"/>
  <c r="HU42" i="69"/>
  <c r="AK265" i="68"/>
  <c r="AK261" i="69"/>
  <c r="HQ42" i="69"/>
  <c r="IB44" i="68"/>
  <c r="IA44" i="68"/>
  <c r="AM288" i="68"/>
  <c r="IH44" i="68"/>
  <c r="AJ268" i="68"/>
  <c r="AJ267" i="68"/>
  <c r="AJ266" i="68"/>
  <c r="AJ269" i="68"/>
  <c r="AJ313" i="68"/>
  <c r="AI306" i="69"/>
  <c r="AI302" i="68"/>
  <c r="AI310" i="68" s="1"/>
  <c r="AM263" i="68"/>
  <c r="HR44" i="68" s="1"/>
  <c r="AN262" i="68" a="1"/>
  <c r="AN262" i="68" s="1"/>
  <c r="AJ294" i="68"/>
  <c r="AI282" i="68"/>
  <c r="AK290" i="68"/>
  <c r="AK291" i="68"/>
  <c r="AK292" i="68"/>
  <c r="AK293" i="68"/>
  <c r="AK315" i="68"/>
  <c r="AN251" i="68"/>
  <c r="HN45" i="68" s="1"/>
  <c r="AO250" i="68" a="1"/>
  <c r="AO250" i="68" s="1"/>
  <c r="AM275" i="68"/>
  <c r="HV44" i="68" s="1"/>
  <c r="AN274" i="68" a="1"/>
  <c r="AN274" i="68" s="1"/>
  <c r="AJ258" i="68"/>
  <c r="HW43" i="68"/>
  <c r="IG43" i="68"/>
  <c r="AL276" i="68"/>
  <c r="HX43" i="68"/>
  <c r="AJ300" i="68"/>
  <c r="AJ308" i="68" s="1"/>
  <c r="AJ304" i="69"/>
  <c r="AM252" i="68"/>
  <c r="HO44" i="68"/>
  <c r="HP44" i="68"/>
  <c r="IE44" i="68"/>
  <c r="AJ278" i="68"/>
  <c r="AJ280" i="68"/>
  <c r="AJ279" i="68"/>
  <c r="AJ314" i="68"/>
  <c r="AJ281" i="68"/>
  <c r="AJ270" i="68" l="1"/>
  <c r="AK294" i="68"/>
  <c r="AJ282" i="68"/>
  <c r="AN263" i="68"/>
  <c r="HR45" i="68" s="1"/>
  <c r="AO262" i="68" a="1"/>
  <c r="AO262" i="68" s="1"/>
  <c r="HT44" i="68"/>
  <c r="IF44" i="68"/>
  <c r="AM264" i="68"/>
  <c r="HS44" i="68"/>
  <c r="AM285" i="69"/>
  <c r="AM289" i="68"/>
  <c r="HY44" i="69"/>
  <c r="AK280" i="68"/>
  <c r="AK281" i="68"/>
  <c r="AK314" i="68"/>
  <c r="AK278" i="68"/>
  <c r="AK279" i="68"/>
  <c r="AL255" i="68"/>
  <c r="AL257" i="68"/>
  <c r="AL254" i="68"/>
  <c r="AL256" i="68"/>
  <c r="AL258" i="68" s="1"/>
  <c r="AL312" i="68"/>
  <c r="AO287" i="68"/>
  <c r="HZ46" i="68" s="1"/>
  <c r="AP286" i="68" a="1"/>
  <c r="AP286" i="68" s="1"/>
  <c r="AJ302" i="68"/>
  <c r="AJ310" i="68" s="1"/>
  <c r="AJ306" i="69"/>
  <c r="AK303" i="68"/>
  <c r="AK311" i="68" s="1"/>
  <c r="AK307" i="69"/>
  <c r="IB45" i="68"/>
  <c r="AN288" i="68"/>
  <c r="IA45" i="68"/>
  <c r="IH45" i="68"/>
  <c r="HQ43" i="69"/>
  <c r="AL265" i="68"/>
  <c r="AL261" i="69"/>
  <c r="AN275" i="68"/>
  <c r="HV45" i="68" s="1"/>
  <c r="AO274" i="68" a="1"/>
  <c r="AO274" i="68" s="1"/>
  <c r="AL293" i="68"/>
  <c r="AL291" i="68"/>
  <c r="AL290" i="68"/>
  <c r="AL315" i="68"/>
  <c r="AL292" i="68"/>
  <c r="AK258" i="68"/>
  <c r="AN252" i="68"/>
  <c r="HP45" i="68"/>
  <c r="IE45" i="68"/>
  <c r="HO45" i="68"/>
  <c r="AL277" i="68"/>
  <c r="AL273" i="69"/>
  <c r="HU43" i="69"/>
  <c r="AM253" i="68"/>
  <c r="AM249" i="69"/>
  <c r="HM44" i="69"/>
  <c r="AM276" i="68"/>
  <c r="HX44" i="68"/>
  <c r="HW44" i="68"/>
  <c r="IG44" i="68"/>
  <c r="AK304" i="69"/>
  <c r="AK300" i="68"/>
  <c r="AK308" i="68" s="1"/>
  <c r="AO251" i="68"/>
  <c r="HN46" i="68" s="1"/>
  <c r="AP250" i="68" a="1"/>
  <c r="AP250" i="68" s="1"/>
  <c r="AJ301" i="68"/>
  <c r="AJ309" i="68" s="1"/>
  <c r="AJ305" i="69"/>
  <c r="AK313" i="68"/>
  <c r="AK268" i="68"/>
  <c r="AK266" i="68"/>
  <c r="AK269" i="68"/>
  <c r="AK267" i="68"/>
  <c r="AL294" i="68" l="1"/>
  <c r="AK270" i="68"/>
  <c r="AO275" i="68"/>
  <c r="HV46" i="68" s="1"/>
  <c r="AP274" i="68" a="1"/>
  <c r="AP274" i="68" s="1"/>
  <c r="AM312" i="68"/>
  <c r="AM254" i="68"/>
  <c r="AM257" i="68"/>
  <c r="AM256" i="68"/>
  <c r="AM255" i="68"/>
  <c r="AM290" i="68"/>
  <c r="AM292" i="68"/>
  <c r="AM293" i="68"/>
  <c r="AM291" i="68"/>
  <c r="AM315" i="68"/>
  <c r="AK302" i="68"/>
  <c r="AK310" i="68" s="1"/>
  <c r="AK306" i="69"/>
  <c r="AP287" i="68"/>
  <c r="HZ47" i="68" s="1"/>
  <c r="AQ286" i="68" a="1"/>
  <c r="AQ286" i="68" s="1"/>
  <c r="HQ44" i="69"/>
  <c r="AM261" i="69"/>
  <c r="AM265" i="68"/>
  <c r="AL266" i="68"/>
  <c r="AL267" i="68"/>
  <c r="AL269" i="68"/>
  <c r="AL313" i="68"/>
  <c r="AL268" i="68"/>
  <c r="AL303" i="68"/>
  <c r="AL311" i="68" s="1"/>
  <c r="AL307" i="69"/>
  <c r="AO288" i="68"/>
  <c r="IH46" i="68"/>
  <c r="IB46" i="68"/>
  <c r="IA46" i="68"/>
  <c r="AL304" i="69"/>
  <c r="AL300" i="68"/>
  <c r="AL308" i="68" s="1"/>
  <c r="AL314" i="68"/>
  <c r="AL280" i="68"/>
  <c r="AL278" i="68"/>
  <c r="AL279" i="68"/>
  <c r="AL281" i="68"/>
  <c r="AM273" i="69"/>
  <c r="HU44" i="69"/>
  <c r="AM277" i="68"/>
  <c r="AN289" i="68"/>
  <c r="AN285" i="69"/>
  <c r="HY45" i="69"/>
  <c r="AK282" i="68"/>
  <c r="AO263" i="68"/>
  <c r="HR46" i="68" s="1"/>
  <c r="AP262" i="68" a="1"/>
  <c r="AP262" i="68" s="1"/>
  <c r="AP251" i="68"/>
  <c r="HN47" i="68" s="1"/>
  <c r="AQ250" i="68" a="1"/>
  <c r="AQ250" i="68" s="1"/>
  <c r="AK301" i="68"/>
  <c r="AK309" i="68" s="1"/>
  <c r="AK305" i="69"/>
  <c r="HP46" i="68"/>
  <c r="IE46" i="68"/>
  <c r="HO46" i="68"/>
  <c r="AO252" i="68"/>
  <c r="HM45" i="69"/>
  <c r="AN253" i="68"/>
  <c r="AN249" i="69"/>
  <c r="AN276" i="68"/>
  <c r="HX45" i="68"/>
  <c r="HW45" i="68"/>
  <c r="IG45" i="68"/>
  <c r="HT45" i="68"/>
  <c r="IF45" i="68"/>
  <c r="AN264" i="68"/>
  <c r="HS45" i="68"/>
  <c r="AM258" i="68" l="1"/>
  <c r="AL282" i="68"/>
  <c r="AL270" i="68"/>
  <c r="AQ287" i="68"/>
  <c r="HZ48" i="68" s="1"/>
  <c r="AR286" i="68" a="1"/>
  <c r="AR286" i="68" s="1"/>
  <c r="AP263" i="68"/>
  <c r="HR47" i="68" s="1"/>
  <c r="AQ262" i="68" a="1"/>
  <c r="AQ262" i="68" s="1"/>
  <c r="AN261" i="69"/>
  <c r="HQ45" i="69"/>
  <c r="AN265" i="68"/>
  <c r="HO47" i="68"/>
  <c r="IE47" i="68"/>
  <c r="AP252" i="68"/>
  <c r="HP47" i="68"/>
  <c r="IF46" i="68"/>
  <c r="HS46" i="68"/>
  <c r="AO264" i="68"/>
  <c r="HT46" i="68"/>
  <c r="AL301" i="68"/>
  <c r="AL309" i="68" s="1"/>
  <c r="AL305" i="69"/>
  <c r="AQ251" i="68"/>
  <c r="HN48" i="68" s="1"/>
  <c r="AR250" i="68" a="1"/>
  <c r="AR250" i="68" s="1"/>
  <c r="AM314" i="68"/>
  <c r="AM278" i="68"/>
  <c r="AM281" i="68"/>
  <c r="AM279" i="68"/>
  <c r="AM280" i="68"/>
  <c r="AP288" i="68"/>
  <c r="IB47" i="68"/>
  <c r="IH47" i="68"/>
  <c r="IA47" i="68"/>
  <c r="AL306" i="69"/>
  <c r="AL302" i="68"/>
  <c r="AL310" i="68" s="1"/>
  <c r="AM300" i="68"/>
  <c r="AM308" i="68" s="1"/>
  <c r="AM304" i="69"/>
  <c r="AO249" i="69"/>
  <c r="HM46" i="69"/>
  <c r="AO253" i="68"/>
  <c r="AO289" i="68"/>
  <c r="HY46" i="69"/>
  <c r="AO285" i="69"/>
  <c r="AM313" i="68"/>
  <c r="AM267" i="68"/>
  <c r="AM269" i="68"/>
  <c r="AM266" i="68"/>
  <c r="AM268" i="68"/>
  <c r="AM270" i="68" s="1"/>
  <c r="AM303" i="68"/>
  <c r="AM311" i="68" s="1"/>
  <c r="AM307" i="69"/>
  <c r="AP275" i="68"/>
  <c r="HV47" i="68" s="1"/>
  <c r="AQ274" i="68" a="1"/>
  <c r="AQ274" i="68" s="1"/>
  <c r="AN255" i="68"/>
  <c r="AN312" i="68"/>
  <c r="AN256" i="68"/>
  <c r="AN257" i="68"/>
  <c r="AN254" i="68"/>
  <c r="AN273" i="69"/>
  <c r="AN277" i="68"/>
  <c r="HU45" i="69"/>
  <c r="AN315" i="68"/>
  <c r="AN291" i="68"/>
  <c r="AN292" i="68"/>
  <c r="AN290" i="68"/>
  <c r="AN293" i="68"/>
  <c r="AM294" i="68"/>
  <c r="IG46" i="68"/>
  <c r="HX46" i="68"/>
  <c r="HW46" i="68"/>
  <c r="AO276" i="68"/>
  <c r="AO256" i="68" l="1"/>
  <c r="AO312" i="68"/>
  <c r="AO255" i="68"/>
  <c r="AO254" i="68"/>
  <c r="AO257" i="68"/>
  <c r="AN258" i="68"/>
  <c r="AN300" i="68"/>
  <c r="AN308" i="68" s="1"/>
  <c r="AN304" i="69"/>
  <c r="AM301" i="68"/>
  <c r="AM309" i="68" s="1"/>
  <c r="AM305" i="69"/>
  <c r="AM282" i="68"/>
  <c r="AM302" i="68"/>
  <c r="AM310" i="68" s="1"/>
  <c r="AM306" i="69"/>
  <c r="AN266" i="68"/>
  <c r="AN269" i="68"/>
  <c r="AN267" i="68"/>
  <c r="AN268" i="68"/>
  <c r="AN313" i="68"/>
  <c r="HX47" i="68"/>
  <c r="IG47" i="68"/>
  <c r="AP276" i="68"/>
  <c r="HW47" i="68"/>
  <c r="AO265" i="68"/>
  <c r="AO261" i="69"/>
  <c r="HQ46" i="69"/>
  <c r="AQ275" i="68"/>
  <c r="HV48" i="68" s="1"/>
  <c r="AR274" i="68" a="1"/>
  <c r="AR274" i="68" s="1"/>
  <c r="AN279" i="68"/>
  <c r="AN281" i="68"/>
  <c r="AN280" i="68"/>
  <c r="AN278" i="68"/>
  <c r="AN314" i="68"/>
  <c r="AQ263" i="68"/>
  <c r="HR48" i="68" s="1"/>
  <c r="AR262" i="68" a="1"/>
  <c r="AR262" i="68" s="1"/>
  <c r="AR251" i="68"/>
  <c r="HN49" i="68" s="1"/>
  <c r="AS250" i="68" a="1"/>
  <c r="AS250" i="68" s="1"/>
  <c r="IF47" i="68"/>
  <c r="AP264" i="68"/>
  <c r="HT47" i="68"/>
  <c r="HS47" i="68"/>
  <c r="AR287" i="68"/>
  <c r="HZ49" i="68" s="1"/>
  <c r="AS286" i="68" a="1"/>
  <c r="AS286" i="68" s="1"/>
  <c r="AO290" i="68"/>
  <c r="AO292" i="68"/>
  <c r="AO294" i="68" s="1"/>
  <c r="AO315" i="68"/>
  <c r="AO293" i="68"/>
  <c r="AO291" i="68"/>
  <c r="AN294" i="68"/>
  <c r="HO48" i="68"/>
  <c r="HP48" i="68"/>
  <c r="IE48" i="68"/>
  <c r="AQ252" i="68"/>
  <c r="AP249" i="69"/>
  <c r="AP253" i="68"/>
  <c r="HM47" i="69"/>
  <c r="AO273" i="69"/>
  <c r="HU46" i="69"/>
  <c r="AO277" i="68"/>
  <c r="AN303" i="68"/>
  <c r="AN311" i="68" s="1"/>
  <c r="AN307" i="69"/>
  <c r="AP289" i="68"/>
  <c r="AP285" i="69"/>
  <c r="HY47" i="69"/>
  <c r="AQ288" i="68"/>
  <c r="IH48" i="68"/>
  <c r="IA48" i="68"/>
  <c r="IB48" i="68"/>
  <c r="AN282" i="68" l="1"/>
  <c r="AS287" i="68"/>
  <c r="HZ50" i="68" s="1"/>
  <c r="AT286" i="68" a="1"/>
  <c r="AT286" i="68" s="1"/>
  <c r="AQ285" i="69"/>
  <c r="AQ289" i="68"/>
  <c r="HY48" i="69"/>
  <c r="AN305" i="69"/>
  <c r="AN301" i="68"/>
  <c r="AN309" i="68" s="1"/>
  <c r="AO269" i="68"/>
  <c r="AO268" i="68"/>
  <c r="AO270" i="68" s="1"/>
  <c r="AO266" i="68"/>
  <c r="AO313" i="68"/>
  <c r="AO267" i="68"/>
  <c r="AP255" i="68"/>
  <c r="AP254" i="68"/>
  <c r="AP312" i="68"/>
  <c r="AP257" i="68"/>
  <c r="AP256" i="68"/>
  <c r="AP258" i="68" s="1"/>
  <c r="AP261" i="69"/>
  <c r="HQ47" i="69"/>
  <c r="AP265" i="68"/>
  <c r="AO303" i="68"/>
  <c r="AO311" i="68" s="1"/>
  <c r="AO307" i="69"/>
  <c r="AP315" i="68"/>
  <c r="AP291" i="68"/>
  <c r="AP290" i="68"/>
  <c r="AP292" i="68"/>
  <c r="AP293" i="68"/>
  <c r="HU47" i="69"/>
  <c r="AP273" i="69"/>
  <c r="AP277" i="68"/>
  <c r="AS251" i="68"/>
  <c r="HN50" i="68" s="1"/>
  <c r="AT250" i="68" a="1"/>
  <c r="AT250" i="68" s="1"/>
  <c r="AN302" i="68"/>
  <c r="AN310" i="68" s="1"/>
  <c r="AN306" i="69"/>
  <c r="AR275" i="68"/>
  <c r="HV49" i="68" s="1"/>
  <c r="AS274" i="68" a="1"/>
  <c r="AS274" i="68" s="1"/>
  <c r="AO304" i="69"/>
  <c r="AO300" i="68"/>
  <c r="AO308" i="68" s="1"/>
  <c r="AR263" i="68"/>
  <c r="HR49" i="68" s="1"/>
  <c r="AS262" i="68" a="1"/>
  <c r="AS262" i="68" s="1"/>
  <c r="HX48" i="68"/>
  <c r="HW48" i="68"/>
  <c r="IG48" i="68"/>
  <c r="AQ276" i="68"/>
  <c r="AQ253" i="68"/>
  <c r="HM48" i="69"/>
  <c r="AQ249" i="69"/>
  <c r="HP49" i="68"/>
  <c r="IE49" i="68"/>
  <c r="AR252" i="68"/>
  <c r="HO49" i="68"/>
  <c r="AO278" i="68"/>
  <c r="AO280" i="68"/>
  <c r="AO281" i="68"/>
  <c r="AO314" i="68"/>
  <c r="AO279" i="68"/>
  <c r="IB49" i="68"/>
  <c r="IA49" i="68"/>
  <c r="AR288" i="68"/>
  <c r="IH49" i="68"/>
  <c r="HS48" i="68"/>
  <c r="AQ264" i="68"/>
  <c r="IF48" i="68"/>
  <c r="HT48" i="68"/>
  <c r="AN270" i="68"/>
  <c r="AO258" i="68"/>
  <c r="AP294" i="68" l="1"/>
  <c r="AT251" i="68"/>
  <c r="HN51" i="68" s="1"/>
  <c r="AU250" i="68" a="1"/>
  <c r="AU250" i="68" s="1"/>
  <c r="AP303" i="68"/>
  <c r="AP311" i="68" s="1"/>
  <c r="AP307" i="69"/>
  <c r="IE50" i="68"/>
  <c r="AS252" i="68"/>
  <c r="HO50" i="68"/>
  <c r="HP50" i="68"/>
  <c r="HQ48" i="69"/>
  <c r="AQ261" i="69"/>
  <c r="AQ265" i="68"/>
  <c r="AP280" i="68"/>
  <c r="AP281" i="68"/>
  <c r="AP314" i="68"/>
  <c r="AP278" i="68"/>
  <c r="AP279" i="68"/>
  <c r="AO302" i="68"/>
  <c r="AO310" i="68" s="1"/>
  <c r="AO306" i="69"/>
  <c r="AO282" i="68"/>
  <c r="AQ257" i="68"/>
  <c r="AQ255" i="68"/>
  <c r="AQ312" i="68"/>
  <c r="AQ254" i="68"/>
  <c r="AQ256" i="68"/>
  <c r="AP300" i="68"/>
  <c r="AP308" i="68" s="1"/>
  <c r="AP304" i="69"/>
  <c r="AS275" i="68"/>
  <c r="HV50" i="68" s="1"/>
  <c r="AT274" i="68" a="1"/>
  <c r="AT274" i="68" s="1"/>
  <c r="AP313" i="68"/>
  <c r="AP269" i="68"/>
  <c r="AP266" i="68"/>
  <c r="AP268" i="68"/>
  <c r="AP267" i="68"/>
  <c r="AO301" i="68"/>
  <c r="AO309" i="68" s="1"/>
  <c r="AO305" i="69"/>
  <c r="AQ290" i="68"/>
  <c r="AQ293" i="68"/>
  <c r="AQ315" i="68"/>
  <c r="AQ291" i="68"/>
  <c r="AQ292" i="68"/>
  <c r="AS263" i="68"/>
  <c r="HR50" i="68" s="1"/>
  <c r="AT262" i="68" a="1"/>
  <c r="AT262" i="68" s="1"/>
  <c r="AR264" i="68"/>
  <c r="HS49" i="68"/>
  <c r="IF49" i="68"/>
  <c r="HT49" i="68"/>
  <c r="AQ277" i="68"/>
  <c r="AQ273" i="69"/>
  <c r="HU48" i="69"/>
  <c r="AR289" i="68"/>
  <c r="AR285" i="69"/>
  <c r="HY49" i="69"/>
  <c r="AR276" i="68"/>
  <c r="HX49" i="68"/>
  <c r="HW49" i="68"/>
  <c r="IG49" i="68"/>
  <c r="AT287" i="68"/>
  <c r="HZ51" i="68" s="1"/>
  <c r="AU286" i="68" a="1"/>
  <c r="AU286" i="68" s="1"/>
  <c r="AR249" i="69"/>
  <c r="HM49" i="69"/>
  <c r="AR253" i="68"/>
  <c r="AS288" i="68"/>
  <c r="IB50" i="68"/>
  <c r="IH50" i="68"/>
  <c r="IA50" i="68"/>
  <c r="AQ258" i="68" l="1"/>
  <c r="AQ294" i="68"/>
  <c r="AU287" i="68"/>
  <c r="HZ52" i="68" s="1"/>
  <c r="AV286" i="68" a="1"/>
  <c r="AV286" i="68" s="1"/>
  <c r="AP270" i="68"/>
  <c r="AP306" i="69"/>
  <c r="AP302" i="68"/>
  <c r="AP310" i="68" s="1"/>
  <c r="AT263" i="68"/>
  <c r="HR51" i="68" s="1"/>
  <c r="AU262" i="68" a="1"/>
  <c r="AU262" i="68" s="1"/>
  <c r="AQ303" i="68"/>
  <c r="AQ311" i="68" s="1"/>
  <c r="AQ307" i="69"/>
  <c r="HY50" i="69"/>
  <c r="AS285" i="69"/>
  <c r="AS289" i="68"/>
  <c r="HM50" i="69"/>
  <c r="AS249" i="69"/>
  <c r="AS253" i="68"/>
  <c r="AQ279" i="68"/>
  <c r="AQ281" i="68"/>
  <c r="AQ314" i="68"/>
  <c r="AQ278" i="68"/>
  <c r="AQ280" i="68"/>
  <c r="AR312" i="68"/>
  <c r="AR256" i="68"/>
  <c r="AR254" i="68"/>
  <c r="AR257" i="68"/>
  <c r="AR255" i="68"/>
  <c r="AR273" i="69"/>
  <c r="AR277" i="68"/>
  <c r="HU49" i="69"/>
  <c r="AQ300" i="68"/>
  <c r="AQ308" i="68" s="1"/>
  <c r="AQ304" i="69"/>
  <c r="AP282" i="68"/>
  <c r="AT275" i="68"/>
  <c r="HV51" i="68" s="1"/>
  <c r="AU274" i="68" a="1"/>
  <c r="AU274" i="68" s="1"/>
  <c r="AR261" i="69"/>
  <c r="HQ49" i="69"/>
  <c r="AR265" i="68"/>
  <c r="AS276" i="68"/>
  <c r="HW50" i="68"/>
  <c r="IG50" i="68"/>
  <c r="HX50" i="68"/>
  <c r="AQ313" i="68"/>
  <c r="AQ268" i="68"/>
  <c r="AQ270" i="68" s="1"/>
  <c r="AQ266" i="68"/>
  <c r="AQ269" i="68"/>
  <c r="AQ267" i="68"/>
  <c r="AU251" i="68"/>
  <c r="HN52" i="68" s="1"/>
  <c r="AV250" i="68" a="1"/>
  <c r="AV250" i="68" s="1"/>
  <c r="AR315" i="68"/>
  <c r="AR291" i="68"/>
  <c r="AR290" i="68"/>
  <c r="AR292" i="68"/>
  <c r="AR293" i="68"/>
  <c r="AT288" i="68"/>
  <c r="IH51" i="68"/>
  <c r="IA51" i="68"/>
  <c r="IB51" i="68"/>
  <c r="IF50" i="68"/>
  <c r="AS264" i="68"/>
  <c r="HT50" i="68"/>
  <c r="HS50" i="68"/>
  <c r="AP305" i="69"/>
  <c r="AP301" i="68"/>
  <c r="AP309" i="68" s="1"/>
  <c r="AT252" i="68"/>
  <c r="HP51" i="68"/>
  <c r="HO51" i="68"/>
  <c r="IE51" i="68"/>
  <c r="AR258" i="68" l="1"/>
  <c r="AR307" i="69"/>
  <c r="AR303" i="68"/>
  <c r="AR311" i="68" s="1"/>
  <c r="HX51" i="68"/>
  <c r="AT276" i="68"/>
  <c r="HW51" i="68"/>
  <c r="IG51" i="68"/>
  <c r="AQ302" i="68"/>
  <c r="AQ310" i="68" s="1"/>
  <c r="AQ306" i="69"/>
  <c r="AU263" i="68"/>
  <c r="HR52" i="68" s="1"/>
  <c r="AV262" i="68" a="1"/>
  <c r="AV262" i="68" s="1"/>
  <c r="HT51" i="68"/>
  <c r="HS51" i="68"/>
  <c r="IF51" i="68"/>
  <c r="AT264" i="68"/>
  <c r="AU252" i="68"/>
  <c r="IE52" i="68"/>
  <c r="HP52" i="68"/>
  <c r="HO52" i="68"/>
  <c r="HY51" i="69"/>
  <c r="AT285" i="69"/>
  <c r="AT289" i="68"/>
  <c r="AQ305" i="69"/>
  <c r="AQ301" i="68"/>
  <c r="AQ309" i="68" s="1"/>
  <c r="AS277" i="68"/>
  <c r="AS273" i="69"/>
  <c r="HU50" i="69"/>
  <c r="AS261" i="69"/>
  <c r="HQ50" i="69"/>
  <c r="AS265" i="68"/>
  <c r="AT253" i="68"/>
  <c r="HM51" i="69"/>
  <c r="AT249" i="69"/>
  <c r="AS312" i="68"/>
  <c r="AS257" i="68"/>
  <c r="AS254" i="68"/>
  <c r="AS255" i="68"/>
  <c r="AS256" i="68"/>
  <c r="AR268" i="68"/>
  <c r="AR269" i="68"/>
  <c r="AR313" i="68"/>
  <c r="AR267" i="68"/>
  <c r="AR266" i="68"/>
  <c r="AQ282" i="68"/>
  <c r="AS291" i="68"/>
  <c r="AS290" i="68"/>
  <c r="AS315" i="68"/>
  <c r="AS293" i="68"/>
  <c r="AS292" i="68"/>
  <c r="AV251" i="68"/>
  <c r="HN53" i="68" s="1"/>
  <c r="AW250" i="68" a="1"/>
  <c r="AW250" i="68" s="1"/>
  <c r="AR294" i="68"/>
  <c r="AR314" i="68"/>
  <c r="AR280" i="68"/>
  <c r="AR281" i="68"/>
  <c r="AR279" i="68"/>
  <c r="AR278" i="68"/>
  <c r="AV287" i="68"/>
  <c r="HZ53" i="68" s="1"/>
  <c r="AW286" i="68" a="1"/>
  <c r="AW286" i="68" s="1"/>
  <c r="AU275" i="68"/>
  <c r="HV52" i="68" s="1"/>
  <c r="AV274" i="68" a="1"/>
  <c r="AV274" i="68" s="1"/>
  <c r="AR300" i="68"/>
  <c r="AR308" i="68" s="1"/>
  <c r="AR304" i="69"/>
  <c r="AU288" i="68"/>
  <c r="IB52" i="68"/>
  <c r="IH52" i="68"/>
  <c r="IA52" i="68"/>
  <c r="AW287" i="68" l="1"/>
  <c r="HZ54" i="68" s="1"/>
  <c r="AX286" i="68" a="1"/>
  <c r="AX286" i="68" s="1"/>
  <c r="AS294" i="68"/>
  <c r="AS278" i="68"/>
  <c r="AS281" i="68"/>
  <c r="AS314" i="68"/>
  <c r="AS279" i="68"/>
  <c r="AS280" i="68"/>
  <c r="AU289" i="68"/>
  <c r="AU285" i="69"/>
  <c r="HY52" i="69"/>
  <c r="AU253" i="68"/>
  <c r="HM52" i="69"/>
  <c r="AU249" i="69"/>
  <c r="AR270" i="68"/>
  <c r="AT257" i="68"/>
  <c r="AT312" i="68"/>
  <c r="AT254" i="68"/>
  <c r="AT256" i="68"/>
  <c r="AT255" i="68"/>
  <c r="HQ51" i="69"/>
  <c r="AT265" i="68"/>
  <c r="AT261" i="69"/>
  <c r="AR282" i="68"/>
  <c r="AS258" i="68"/>
  <c r="AS269" i="68"/>
  <c r="AS267" i="68"/>
  <c r="AS313" i="68"/>
  <c r="AS268" i="68"/>
  <c r="AS266" i="68"/>
  <c r="AT290" i="68"/>
  <c r="AT315" i="68"/>
  <c r="AT292" i="68"/>
  <c r="AT291" i="68"/>
  <c r="AT293" i="68"/>
  <c r="AV275" i="68"/>
  <c r="HV53" i="68" s="1"/>
  <c r="AW274" i="68" a="1"/>
  <c r="AW274" i="68" s="1"/>
  <c r="AS307" i="69"/>
  <c r="AS303" i="68"/>
  <c r="AS311" i="68" s="1"/>
  <c r="AS304" i="69"/>
  <c r="AS300" i="68"/>
  <c r="AS308" i="68" s="1"/>
  <c r="AT277" i="68"/>
  <c r="HU51" i="69"/>
  <c r="AT273" i="69"/>
  <c r="AR302" i="68"/>
  <c r="AR310" i="68" s="1"/>
  <c r="AR306" i="69"/>
  <c r="AU276" i="68"/>
  <c r="HX52" i="68"/>
  <c r="HW52" i="68"/>
  <c r="IG52" i="68"/>
  <c r="AV263" i="68"/>
  <c r="HR53" i="68" s="1"/>
  <c r="AW262" i="68" a="1"/>
  <c r="AW262" i="68" s="1"/>
  <c r="AW251" i="68"/>
  <c r="HN54" i="68" s="1"/>
  <c r="AX250" i="68" a="1"/>
  <c r="AX250" i="68" s="1"/>
  <c r="IA53" i="68"/>
  <c r="IH53" i="68"/>
  <c r="IB53" i="68"/>
  <c r="AV288" i="68"/>
  <c r="HO53" i="68"/>
  <c r="IE53" i="68"/>
  <c r="AV252" i="68"/>
  <c r="HP53" i="68"/>
  <c r="AR301" i="68"/>
  <c r="AR309" i="68" s="1"/>
  <c r="AR305" i="69"/>
  <c r="HT52" i="68"/>
  <c r="HS52" i="68"/>
  <c r="IF52" i="68"/>
  <c r="AU264" i="68"/>
  <c r="AS282" i="68" l="1"/>
  <c r="AT294" i="68"/>
  <c r="AV289" i="68"/>
  <c r="AV285" i="69"/>
  <c r="HY53" i="69"/>
  <c r="AT303" i="68"/>
  <c r="AT311" i="68" s="1"/>
  <c r="AT307" i="69"/>
  <c r="AX251" i="68"/>
  <c r="HN55" i="68" s="1"/>
  <c r="AY250" i="68" a="1"/>
  <c r="AY250" i="68" s="1"/>
  <c r="AT269" i="68"/>
  <c r="AT266" i="68"/>
  <c r="AT268" i="68"/>
  <c r="AT267" i="68"/>
  <c r="AT313" i="68"/>
  <c r="AW275" i="68"/>
  <c r="HV54" i="68" s="1"/>
  <c r="AX274" i="68" a="1"/>
  <c r="AX274" i="68" s="1"/>
  <c r="AS270" i="68"/>
  <c r="AW263" i="68"/>
  <c r="HR54" i="68" s="1"/>
  <c r="AX262" i="68" a="1"/>
  <c r="AX262" i="68" s="1"/>
  <c r="AV276" i="68"/>
  <c r="HX53" i="68"/>
  <c r="HW53" i="68"/>
  <c r="IG53" i="68"/>
  <c r="AT300" i="68"/>
  <c r="AT308" i="68" s="1"/>
  <c r="AT304" i="69"/>
  <c r="AU312" i="68"/>
  <c r="AU257" i="68"/>
  <c r="AU254" i="68"/>
  <c r="AU256" i="68"/>
  <c r="AU255" i="68"/>
  <c r="HU52" i="69"/>
  <c r="AU277" i="68"/>
  <c r="AU273" i="69"/>
  <c r="AS306" i="69"/>
  <c r="AS302" i="68"/>
  <c r="AS310" i="68" s="1"/>
  <c r="AV253" i="68"/>
  <c r="HM53" i="69"/>
  <c r="AV249" i="69"/>
  <c r="AU265" i="68"/>
  <c r="HQ52" i="69"/>
  <c r="AU261" i="69"/>
  <c r="HS53" i="68"/>
  <c r="AV264" i="68"/>
  <c r="IF53" i="68"/>
  <c r="HT53" i="68"/>
  <c r="AS301" i="68"/>
  <c r="AS309" i="68" s="1"/>
  <c r="AS305" i="69"/>
  <c r="AT258" i="68"/>
  <c r="AX287" i="68"/>
  <c r="HZ55" i="68" s="1"/>
  <c r="AY286" i="68" a="1"/>
  <c r="AY286" i="68" s="1"/>
  <c r="HP54" i="68"/>
  <c r="IE54" i="68"/>
  <c r="AW252" i="68"/>
  <c r="HO54" i="68"/>
  <c r="AT314" i="68"/>
  <c r="AT281" i="68"/>
  <c r="AT278" i="68"/>
  <c r="AT280" i="68"/>
  <c r="AT282" i="68" s="1"/>
  <c r="AT279" i="68"/>
  <c r="AU293" i="68"/>
  <c r="AU290" i="68"/>
  <c r="AU315" i="68"/>
  <c r="AU292" i="68"/>
  <c r="AU291" i="68"/>
  <c r="AW288" i="68"/>
  <c r="IH54" i="68"/>
  <c r="IB54" i="68"/>
  <c r="IA54" i="68"/>
  <c r="AU294" i="68" l="1"/>
  <c r="AY287" i="68"/>
  <c r="HZ56" i="68" s="1"/>
  <c r="AZ286" i="68" a="1"/>
  <c r="AZ286" i="68" s="1"/>
  <c r="IF54" i="68"/>
  <c r="HS54" i="68"/>
  <c r="HT54" i="68"/>
  <c r="AW264" i="68"/>
  <c r="AX275" i="68"/>
  <c r="HV55" i="68" s="1"/>
  <c r="AY274" i="68" a="1"/>
  <c r="AY274" i="68" s="1"/>
  <c r="HO55" i="68"/>
  <c r="HP55" i="68"/>
  <c r="IE55" i="68"/>
  <c r="AX252" i="68"/>
  <c r="AU303" i="68"/>
  <c r="AU311" i="68" s="1"/>
  <c r="AU307" i="69"/>
  <c r="HW54" i="68"/>
  <c r="AW276" i="68"/>
  <c r="IG54" i="68"/>
  <c r="HX54" i="68"/>
  <c r="AY251" i="68"/>
  <c r="HN56" i="68" s="1"/>
  <c r="AZ250" i="68" a="1"/>
  <c r="AZ250" i="68" s="1"/>
  <c r="AU304" i="69"/>
  <c r="AU300" i="68"/>
  <c r="AU308" i="68" s="1"/>
  <c r="AT306" i="69"/>
  <c r="AT302" i="68"/>
  <c r="AT310" i="68" s="1"/>
  <c r="AV265" i="68"/>
  <c r="AV261" i="69"/>
  <c r="HQ53" i="69"/>
  <c r="AX288" i="68"/>
  <c r="IB55" i="68"/>
  <c r="IH55" i="68"/>
  <c r="IA55" i="68"/>
  <c r="AU267" i="68"/>
  <c r="AU269" i="68"/>
  <c r="AU266" i="68"/>
  <c r="AU313" i="68"/>
  <c r="AU268" i="68"/>
  <c r="AU270" i="68" s="1"/>
  <c r="AW253" i="68"/>
  <c r="HM54" i="69"/>
  <c r="AW249" i="69"/>
  <c r="AU258" i="68"/>
  <c r="AT305" i="69"/>
  <c r="AT301" i="68"/>
  <c r="AT309" i="68" s="1"/>
  <c r="AW289" i="68"/>
  <c r="HY54" i="69"/>
  <c r="AW285" i="69"/>
  <c r="AU314" i="68"/>
  <c r="AU281" i="68"/>
  <c r="AU279" i="68"/>
  <c r="AU278" i="68"/>
  <c r="AU280" i="68"/>
  <c r="AV255" i="68"/>
  <c r="AV257" i="68"/>
  <c r="AV254" i="68"/>
  <c r="AV256" i="68"/>
  <c r="AV312" i="68"/>
  <c r="HU53" i="69"/>
  <c r="AV277" i="68"/>
  <c r="AV273" i="69"/>
  <c r="AT270" i="68"/>
  <c r="AX263" i="68"/>
  <c r="HR55" i="68" s="1"/>
  <c r="AY262" i="68" a="1"/>
  <c r="AY262" i="68" s="1"/>
  <c r="AV315" i="68"/>
  <c r="AV290" i="68"/>
  <c r="AV293" i="68"/>
  <c r="AV291" i="68"/>
  <c r="AV292" i="68"/>
  <c r="AY275" i="68" l="1"/>
  <c r="HV56" i="68" s="1"/>
  <c r="AZ274" i="68" a="1"/>
  <c r="AZ274" i="68" s="1"/>
  <c r="AX276" i="68"/>
  <c r="HX55" i="68"/>
  <c r="HW55" i="68"/>
  <c r="IG55" i="68"/>
  <c r="AV258" i="68"/>
  <c r="HQ54" i="69"/>
  <c r="AW265" i="68"/>
  <c r="AW261" i="69"/>
  <c r="AY263" i="68"/>
  <c r="HR56" i="68" s="1"/>
  <c r="AZ262" i="68" a="1"/>
  <c r="AZ262" i="68" s="1"/>
  <c r="AW312" i="68"/>
  <c r="AW257" i="68"/>
  <c r="AW255" i="68"/>
  <c r="AW256" i="68"/>
  <c r="AW258" i="68" s="1"/>
  <c r="AW254" i="68"/>
  <c r="AZ251" i="68"/>
  <c r="HN57" i="68" s="1"/>
  <c r="BA250" i="68" a="1"/>
  <c r="BA250" i="68" s="1"/>
  <c r="AX249" i="69"/>
  <c r="AX253" i="68"/>
  <c r="HM55" i="69"/>
  <c r="AU306" i="69"/>
  <c r="AU302" i="68"/>
  <c r="AU310" i="68" s="1"/>
  <c r="AU305" i="69"/>
  <c r="AU301" i="68"/>
  <c r="AU309" i="68" s="1"/>
  <c r="AW277" i="68"/>
  <c r="AW273" i="69"/>
  <c r="HU54" i="69"/>
  <c r="AX264" i="68"/>
  <c r="HS55" i="68"/>
  <c r="IF55" i="68"/>
  <c r="HT55" i="68"/>
  <c r="AX285" i="69"/>
  <c r="HY55" i="69"/>
  <c r="AX289" i="68"/>
  <c r="AV300" i="68"/>
  <c r="AV308" i="68" s="1"/>
  <c r="AV304" i="69"/>
  <c r="AW293" i="68"/>
  <c r="AW315" i="68"/>
  <c r="AW290" i="68"/>
  <c r="AW291" i="68"/>
  <c r="AW292" i="68"/>
  <c r="AW294" i="68" s="1"/>
  <c r="HP56" i="68"/>
  <c r="AY252" i="68"/>
  <c r="IE56" i="68"/>
  <c r="HO56" i="68"/>
  <c r="AZ287" i="68"/>
  <c r="HZ57" i="68" s="1"/>
  <c r="BA286" i="68" a="1"/>
  <c r="BA286" i="68" s="1"/>
  <c r="AV294" i="68"/>
  <c r="AU282" i="68"/>
  <c r="AV303" i="68"/>
  <c r="AV311" i="68" s="1"/>
  <c r="AV307" i="69"/>
  <c r="AV278" i="68"/>
  <c r="AV281" i="68"/>
  <c r="AV314" i="68"/>
  <c r="AV279" i="68"/>
  <c r="AV280" i="68"/>
  <c r="AV282" i="68" s="1"/>
  <c r="AV269" i="68"/>
  <c r="AV268" i="68"/>
  <c r="AV270" i="68" s="1"/>
  <c r="AV267" i="68"/>
  <c r="AV313" i="68"/>
  <c r="AV266" i="68"/>
  <c r="IA56" i="68"/>
  <c r="AY288" i="68"/>
  <c r="IB56" i="68"/>
  <c r="IH56" i="68"/>
  <c r="AZ252" i="68" l="1"/>
  <c r="IE57" i="68"/>
  <c r="HO57" i="68"/>
  <c r="HP57" i="68"/>
  <c r="AV306" i="69"/>
  <c r="AV302" i="68"/>
  <c r="AV310" i="68" s="1"/>
  <c r="AZ288" i="68"/>
  <c r="IA57" i="68"/>
  <c r="IB57" i="68"/>
  <c r="IH57" i="68"/>
  <c r="AX290" i="68"/>
  <c r="AX315" i="68"/>
  <c r="AX292" i="68"/>
  <c r="AX291" i="68"/>
  <c r="AX293" i="68"/>
  <c r="AW278" i="68"/>
  <c r="AW314" i="68"/>
  <c r="AW279" i="68"/>
  <c r="AW280" i="68"/>
  <c r="AW281" i="68"/>
  <c r="AW307" i="69"/>
  <c r="AW303" i="68"/>
  <c r="AW311" i="68" s="1"/>
  <c r="AW300" i="68"/>
  <c r="AW308" i="68" s="1"/>
  <c r="AW304" i="69"/>
  <c r="HQ55" i="69"/>
  <c r="AX265" i="68"/>
  <c r="AX261" i="69"/>
  <c r="AY289" i="68"/>
  <c r="AY285" i="69"/>
  <c r="HY56" i="69"/>
  <c r="AV301" i="68"/>
  <c r="AV309" i="68" s="1"/>
  <c r="AV305" i="69"/>
  <c r="AY253" i="68"/>
  <c r="HM56" i="69"/>
  <c r="AY249" i="69"/>
  <c r="AX256" i="68"/>
  <c r="AX254" i="68"/>
  <c r="AX257" i="68"/>
  <c r="AX312" i="68"/>
  <c r="AX255" i="68"/>
  <c r="AZ263" i="68"/>
  <c r="HR57" i="68" s="1"/>
  <c r="BA262" i="68" a="1"/>
  <c r="BA262" i="68" s="1"/>
  <c r="BA251" i="68"/>
  <c r="HN58" i="68" s="1"/>
  <c r="BB250" i="68" a="1"/>
  <c r="BB250" i="68" s="1"/>
  <c r="BB251" i="68" s="1"/>
  <c r="HN59" i="68" s="1"/>
  <c r="AY264" i="68"/>
  <c r="HT56" i="68"/>
  <c r="IF56" i="68"/>
  <c r="HS56" i="68"/>
  <c r="HU55" i="69"/>
  <c r="AX273" i="69"/>
  <c r="AX277" i="68"/>
  <c r="AZ275" i="68"/>
  <c r="HV57" i="68" s="1"/>
  <c r="BA274" i="68" a="1"/>
  <c r="BA274" i="68" s="1"/>
  <c r="BA287" i="68"/>
  <c r="HZ58" i="68" s="1"/>
  <c r="BB286" i="68" a="1"/>
  <c r="BB286" i="68" s="1"/>
  <c r="BB287" i="68" s="1"/>
  <c r="HZ59" i="68" s="1"/>
  <c r="AW267" i="68"/>
  <c r="AW269" i="68"/>
  <c r="AW313" i="68"/>
  <c r="AW266" i="68"/>
  <c r="AW268" i="68"/>
  <c r="HX56" i="68"/>
  <c r="HW56" i="68"/>
  <c r="IG56" i="68"/>
  <c r="AY276" i="68"/>
  <c r="AW270" i="68" l="1"/>
  <c r="HU56" i="69"/>
  <c r="AY277" i="68"/>
  <c r="AY273" i="69"/>
  <c r="AW305" i="69"/>
  <c r="AW301" i="68"/>
  <c r="AW309" i="68" s="1"/>
  <c r="AX300" i="68"/>
  <c r="AX308" i="68" s="1"/>
  <c r="AX304" i="69"/>
  <c r="IB59" i="68"/>
  <c r="IH59" i="68"/>
  <c r="IA59" i="68"/>
  <c r="BB288" i="68"/>
  <c r="AZ285" i="69"/>
  <c r="HY57" i="69"/>
  <c r="AZ289" i="68"/>
  <c r="IH58" i="68"/>
  <c r="IB58" i="68"/>
  <c r="BA288" i="68"/>
  <c r="IA58" i="68"/>
  <c r="AX303" i="68"/>
  <c r="AX311" i="68" s="1"/>
  <c r="AX307" i="69"/>
  <c r="BA275" i="68"/>
  <c r="HV58" i="68" s="1"/>
  <c r="BB274" i="68" a="1"/>
  <c r="BB274" i="68" s="1"/>
  <c r="BB275" i="68" s="1"/>
  <c r="HV59" i="68" s="1"/>
  <c r="HQ56" i="69"/>
  <c r="AY265" i="68"/>
  <c r="AY261" i="69"/>
  <c r="AX294" i="68"/>
  <c r="HP59" i="68"/>
  <c r="HO59" i="68"/>
  <c r="BB252" i="68"/>
  <c r="IE59" i="68"/>
  <c r="AX258" i="68"/>
  <c r="AY291" i="68"/>
  <c r="AY293" i="68"/>
  <c r="AY290" i="68"/>
  <c r="AY315" i="68"/>
  <c r="AY292" i="68"/>
  <c r="AZ276" i="68"/>
  <c r="HX57" i="68"/>
  <c r="HW57" i="68"/>
  <c r="IG57" i="68"/>
  <c r="AX281" i="68"/>
  <c r="AX278" i="68"/>
  <c r="AX279" i="68"/>
  <c r="AX280" i="68"/>
  <c r="AX314" i="68"/>
  <c r="HO58" i="68"/>
  <c r="HP58" i="68"/>
  <c r="BA252" i="68"/>
  <c r="IE58" i="68"/>
  <c r="AW282" i="68"/>
  <c r="BA263" i="68"/>
  <c r="HR58" i="68" s="1"/>
  <c r="BB262" i="68" a="1"/>
  <c r="BB262" i="68" s="1"/>
  <c r="BB263" i="68" s="1"/>
  <c r="HR59" i="68" s="1"/>
  <c r="AX267" i="68"/>
  <c r="AX268" i="68"/>
  <c r="AX269" i="68"/>
  <c r="AX313" i="68"/>
  <c r="AX266" i="68"/>
  <c r="AW302" i="68"/>
  <c r="AW310" i="68" s="1"/>
  <c r="AW306" i="69"/>
  <c r="IF57" i="68"/>
  <c r="HT57" i="68"/>
  <c r="AZ264" i="68"/>
  <c r="HS57" i="68"/>
  <c r="AY312" i="68"/>
  <c r="AY257" i="68"/>
  <c r="AY255" i="68"/>
  <c r="AY254" i="68"/>
  <c r="AY256" i="68"/>
  <c r="AY258" i="68" s="1"/>
  <c r="HM57" i="69"/>
  <c r="AZ253" i="68"/>
  <c r="AZ249" i="69"/>
  <c r="AX282" i="68" l="1"/>
  <c r="AY294" i="68"/>
  <c r="AX270" i="68"/>
  <c r="BA253" i="68"/>
  <c r="BA249" i="69"/>
  <c r="HM58" i="69"/>
  <c r="AY303" i="68"/>
  <c r="AY311" i="68" s="1"/>
  <c r="AY307" i="69"/>
  <c r="AY268" i="68"/>
  <c r="AY266" i="68"/>
  <c r="AY313" i="68"/>
  <c r="AY269" i="68"/>
  <c r="AY267" i="68"/>
  <c r="BB276" i="68"/>
  <c r="HX59" i="68"/>
  <c r="HW59" i="68"/>
  <c r="IG59" i="68"/>
  <c r="AZ292" i="68"/>
  <c r="AZ315" i="68"/>
  <c r="AZ293" i="68"/>
  <c r="AZ290" i="68"/>
  <c r="AZ291" i="68"/>
  <c r="AZ261" i="69"/>
  <c r="HQ57" i="69"/>
  <c r="AZ265" i="68"/>
  <c r="AX301" i="68"/>
  <c r="AX309" i="68" s="1"/>
  <c r="AX305" i="69"/>
  <c r="AZ277" i="68"/>
  <c r="AZ273" i="69"/>
  <c r="HU57" i="69"/>
  <c r="BB253" i="68"/>
  <c r="HM59" i="69"/>
  <c r="BB249" i="69"/>
  <c r="IG58" i="68"/>
  <c r="HX58" i="68"/>
  <c r="BA276" i="68"/>
  <c r="HW58" i="68"/>
  <c r="HS59" i="68"/>
  <c r="HT59" i="68"/>
  <c r="IF59" i="68"/>
  <c r="BB264" i="68"/>
  <c r="HT58" i="68"/>
  <c r="HS58" i="68"/>
  <c r="BA264" i="68"/>
  <c r="IF58" i="68"/>
  <c r="AX306" i="69"/>
  <c r="AX302" i="68"/>
  <c r="AX310" i="68" s="1"/>
  <c r="BB289" i="68"/>
  <c r="BB285" i="69"/>
  <c r="HY59" i="69"/>
  <c r="AZ256" i="68"/>
  <c r="AZ257" i="68"/>
  <c r="AZ255" i="68"/>
  <c r="AZ254" i="68"/>
  <c r="AZ312" i="68"/>
  <c r="AY304" i="69"/>
  <c r="AY300" i="68"/>
  <c r="AY308" i="68" s="1"/>
  <c r="AY314" i="68"/>
  <c r="AY279" i="68"/>
  <c r="AY281" i="68"/>
  <c r="AY278" i="68"/>
  <c r="AY280" i="68"/>
  <c r="BA289" i="68"/>
  <c r="BA285" i="69"/>
  <c r="HY58" i="69"/>
  <c r="AY282" i="68" l="1"/>
  <c r="E286" i="69" a="1"/>
  <c r="E286" i="69" s="1"/>
  <c r="E287" i="69" s="1"/>
  <c r="HZ10" i="69" s="1"/>
  <c r="E250" i="69" a="1"/>
  <c r="E250" i="69" s="1"/>
  <c r="E251" i="69" s="1"/>
  <c r="HN10" i="69" s="1"/>
  <c r="AY270" i="68"/>
  <c r="AZ258" i="68"/>
  <c r="AY306" i="69"/>
  <c r="AY302" i="68"/>
  <c r="AY310" i="68" s="1"/>
  <c r="AZ269" i="68"/>
  <c r="AZ268" i="68"/>
  <c r="AZ313" i="68"/>
  <c r="AZ266" i="68"/>
  <c r="AZ267" i="68"/>
  <c r="BB261" i="69"/>
  <c r="HQ59" i="69"/>
  <c r="BB265" i="68"/>
  <c r="BB291" i="68"/>
  <c r="BB293" i="68"/>
  <c r="BB292" i="68"/>
  <c r="BB315" i="68"/>
  <c r="BB290" i="68"/>
  <c r="BA290" i="68"/>
  <c r="BA292" i="68"/>
  <c r="BA291" i="68"/>
  <c r="BA315" i="68"/>
  <c r="BA293" i="68"/>
  <c r="BB312" i="68"/>
  <c r="BB254" i="68"/>
  <c r="BB256" i="68"/>
  <c r="BB257" i="68"/>
  <c r="BB255" i="68"/>
  <c r="AZ303" i="68"/>
  <c r="AZ311" i="68" s="1"/>
  <c r="AZ307" i="69"/>
  <c r="HU59" i="69"/>
  <c r="BB277" i="68"/>
  <c r="BB273" i="69"/>
  <c r="AZ304" i="69"/>
  <c r="AZ300" i="68"/>
  <c r="AZ308" i="68" s="1"/>
  <c r="AY305" i="69"/>
  <c r="AY301" i="68"/>
  <c r="AY309" i="68" s="1"/>
  <c r="BA265" i="68"/>
  <c r="BA261" i="69"/>
  <c r="HQ58" i="69"/>
  <c r="BA277" i="68"/>
  <c r="BA273" i="69"/>
  <c r="HU58" i="69"/>
  <c r="AZ314" i="68"/>
  <c r="AZ280" i="68"/>
  <c r="AZ281" i="68"/>
  <c r="AZ279" i="68"/>
  <c r="AZ278" i="68"/>
  <c r="AZ294" i="68"/>
  <c r="BA254" i="68"/>
  <c r="BA255" i="68"/>
  <c r="BA256" i="68"/>
  <c r="BA312" i="68"/>
  <c r="BA257" i="68"/>
  <c r="F286" i="69" l="1" a="1"/>
  <c r="F286" i="69" s="1"/>
  <c r="F287" i="69" s="1"/>
  <c r="HZ11" i="69" s="1"/>
  <c r="F288" i="69" s="1"/>
  <c r="F250" i="69" a="1"/>
  <c r="F250" i="69" s="1"/>
  <c r="F251" i="69" s="1"/>
  <c r="HN11" i="69" s="1"/>
  <c r="F252" i="69" s="1"/>
  <c r="AZ270" i="68"/>
  <c r="E262" i="69" a="1"/>
  <c r="E262" i="69" s="1"/>
  <c r="BA279" i="68"/>
  <c r="BA280" i="68"/>
  <c r="BA281" i="68"/>
  <c r="BA278" i="68"/>
  <c r="BA314" i="68"/>
  <c r="BB258" i="68"/>
  <c r="AZ305" i="69"/>
  <c r="AZ301" i="68"/>
  <c r="AZ309" i="68" s="1"/>
  <c r="E274" i="69" a="1"/>
  <c r="E274" i="69" s="1"/>
  <c r="AZ302" i="68"/>
  <c r="AZ310" i="68" s="1"/>
  <c r="AZ306" i="69"/>
  <c r="BA266" i="68"/>
  <c r="BA269" i="68"/>
  <c r="BA267" i="68"/>
  <c r="BA268" i="68"/>
  <c r="BA313" i="68"/>
  <c r="BB278" i="68"/>
  <c r="BB279" i="68"/>
  <c r="BB280" i="68"/>
  <c r="BB314" i="68"/>
  <c r="BB281" i="68"/>
  <c r="BB294" i="68"/>
  <c r="AZ282" i="68"/>
  <c r="BA258" i="68"/>
  <c r="IH10" i="69"/>
  <c r="IB10" i="69"/>
  <c r="E288" i="69"/>
  <c r="IA10" i="69"/>
  <c r="BB303" i="68"/>
  <c r="BB307" i="69"/>
  <c r="HO10" i="69"/>
  <c r="IE10" i="69"/>
  <c r="E252" i="69"/>
  <c r="HP10" i="69"/>
  <c r="BA304" i="69"/>
  <c r="BA300" i="68"/>
  <c r="BA308" i="68" s="1"/>
  <c r="BA303" i="68"/>
  <c r="BA311" i="68" s="1"/>
  <c r="BA307" i="69"/>
  <c r="BB269" i="68"/>
  <c r="BB268" i="68"/>
  <c r="BB313" i="68"/>
  <c r="BB267" i="68"/>
  <c r="BB266" i="68"/>
  <c r="BB300" i="68"/>
  <c r="BB308" i="68" s="1"/>
  <c r="BB304" i="69"/>
  <c r="BA294" i="68"/>
  <c r="IH11" i="69" l="1"/>
  <c r="G286" i="69" a="1"/>
  <c r="G286" i="69" s="1"/>
  <c r="H286" i="69" s="1" a="1"/>
  <c r="H286" i="69" s="1"/>
  <c r="H287" i="69" s="1"/>
  <c r="IB11" i="69"/>
  <c r="IA11" i="69"/>
  <c r="IE11" i="69"/>
  <c r="HO11" i="69"/>
  <c r="HP11" i="69"/>
  <c r="G250" i="69" a="1"/>
  <c r="G250" i="69" s="1"/>
  <c r="G251" i="69" s="1"/>
  <c r="HN12" i="69" s="1"/>
  <c r="HO12" i="69" s="1"/>
  <c r="BB270" i="68"/>
  <c r="HY10" i="70"/>
  <c r="E289" i="69"/>
  <c r="E285" i="70"/>
  <c r="BA282" i="68"/>
  <c r="BA302" i="68"/>
  <c r="BA310" i="68" s="1"/>
  <c r="BA306" i="69"/>
  <c r="BB282" i="68"/>
  <c r="BB302" i="68"/>
  <c r="BB310" i="68" s="1"/>
  <c r="BB306" i="69"/>
  <c r="BA270" i="68"/>
  <c r="F285" i="70"/>
  <c r="HY11" i="70"/>
  <c r="F289" i="69"/>
  <c r="E263" i="69"/>
  <c r="HR10" i="69" s="1"/>
  <c r="F262" i="69" a="1"/>
  <c r="F262" i="69" s="1"/>
  <c r="F263" i="69" s="1"/>
  <c r="HR11" i="69" s="1"/>
  <c r="BA305" i="69"/>
  <c r="BA301" i="68"/>
  <c r="BA309" i="68" s="1"/>
  <c r="HM10" i="70"/>
  <c r="E253" i="69"/>
  <c r="E249" i="70"/>
  <c r="BB311" i="68"/>
  <c r="HM11" i="70"/>
  <c r="F249" i="70"/>
  <c r="F253" i="69"/>
  <c r="BB301" i="68"/>
  <c r="BB305" i="69"/>
  <c r="F274" i="69" a="1"/>
  <c r="F274" i="69" s="1"/>
  <c r="F275" i="69" s="1"/>
  <c r="E275" i="69"/>
  <c r="HV10" i="69" s="1"/>
  <c r="G287" i="69" l="1"/>
  <c r="HZ12" i="69" s="1"/>
  <c r="I286" i="69" a="1"/>
  <c r="I286" i="69" s="1"/>
  <c r="I287" i="69" s="1"/>
  <c r="HP12" i="69"/>
  <c r="IE12" i="69"/>
  <c r="H250" i="69" a="1"/>
  <c r="H250" i="69" s="1"/>
  <c r="H251" i="69" s="1"/>
  <c r="HN13" i="69" s="1"/>
  <c r="G252" i="69"/>
  <c r="G253" i="69" s="1"/>
  <c r="HM12" i="70"/>
  <c r="G296" i="68"/>
  <c r="I296" i="68" s="1"/>
  <c r="P103" i="75" s="1"/>
  <c r="G274" i="69" a="1"/>
  <c r="G274" i="69" s="1"/>
  <c r="G275" i="69" s="1"/>
  <c r="G262" i="69" a="1"/>
  <c r="G262" i="69" s="1"/>
  <c r="G263" i="69" s="1"/>
  <c r="HR12" i="69" s="1"/>
  <c r="HS12" i="69" s="1"/>
  <c r="F290" i="69"/>
  <c r="F315" i="69"/>
  <c r="F292" i="69"/>
  <c r="F293" i="69"/>
  <c r="F291" i="69"/>
  <c r="IB12" i="69"/>
  <c r="G288" i="69"/>
  <c r="IA12" i="69"/>
  <c r="IH12" i="69"/>
  <c r="HX10" i="69"/>
  <c r="IG10" i="69"/>
  <c r="E276" i="69"/>
  <c r="HW10" i="69"/>
  <c r="F264" i="69"/>
  <c r="IF11" i="69"/>
  <c r="HT11" i="69"/>
  <c r="HS11" i="69"/>
  <c r="HV11" i="69"/>
  <c r="BB309" i="68"/>
  <c r="G297" i="68"/>
  <c r="HZ13" i="69"/>
  <c r="G256" i="69"/>
  <c r="G254" i="69"/>
  <c r="G312" i="69"/>
  <c r="G257" i="69"/>
  <c r="G299" i="69"/>
  <c r="AK1" i="75"/>
  <c r="G255" i="69"/>
  <c r="F257" i="69"/>
  <c r="F299" i="69"/>
  <c r="AG1" i="75"/>
  <c r="F256" i="69"/>
  <c r="F254" i="69"/>
  <c r="F255" i="69"/>
  <c r="F312" i="69"/>
  <c r="AC1" i="75"/>
  <c r="E257" i="69"/>
  <c r="E256" i="69"/>
  <c r="E255" i="69"/>
  <c r="E254" i="69"/>
  <c r="E312" i="69"/>
  <c r="E299" i="69"/>
  <c r="HS10" i="69"/>
  <c r="IF10" i="69"/>
  <c r="E264" i="69"/>
  <c r="HT10" i="69"/>
  <c r="E293" i="69"/>
  <c r="E290" i="69"/>
  <c r="E292" i="69"/>
  <c r="E315" i="69"/>
  <c r="E291" i="69"/>
  <c r="J286" i="69" l="1" a="1"/>
  <c r="J286" i="69" s="1"/>
  <c r="K286" i="69" s="1" a="1"/>
  <c r="K286" i="69" s="1"/>
  <c r="K287" i="69" s="1"/>
  <c r="G249" i="70"/>
  <c r="I250" i="69" a="1"/>
  <c r="I250" i="69" s="1"/>
  <c r="I251" i="69" s="1"/>
  <c r="HN14" i="69" s="1"/>
  <c r="HO14" i="69" s="1"/>
  <c r="IF12" i="69"/>
  <c r="G264" i="69"/>
  <c r="HV12" i="69"/>
  <c r="P102" i="75"/>
  <c r="F294" i="69"/>
  <c r="F295" i="69" s="1"/>
  <c r="K296" i="68"/>
  <c r="P104" i="75" s="1"/>
  <c r="P105" i="75" s="1"/>
  <c r="H262" i="69" a="1"/>
  <c r="H262" i="69" s="1"/>
  <c r="H263" i="69" s="1"/>
  <c r="HR13" i="69" s="1"/>
  <c r="IF13" i="69" s="1"/>
  <c r="HT12" i="69"/>
  <c r="E294" i="69"/>
  <c r="E295" i="69" s="1"/>
  <c r="E258" i="69"/>
  <c r="E259" i="69" s="1"/>
  <c r="IE13" i="69"/>
  <c r="HP13" i="69"/>
  <c r="H252" i="69"/>
  <c r="HO13" i="69"/>
  <c r="H274" i="69" a="1"/>
  <c r="H274" i="69" s="1"/>
  <c r="I274" i="69" s="1" a="1"/>
  <c r="I274" i="69" s="1"/>
  <c r="I275" i="69" s="1"/>
  <c r="HX12" i="69"/>
  <c r="G276" i="69"/>
  <c r="HW12" i="69"/>
  <c r="IG12" i="69"/>
  <c r="F258" i="69"/>
  <c r="F259" i="69" s="1"/>
  <c r="AK289" i="75"/>
  <c r="AK189" i="75"/>
  <c r="AK65" i="75"/>
  <c r="AK322" i="75"/>
  <c r="AK212" i="75"/>
  <c r="AK75" i="75"/>
  <c r="AK9" i="75"/>
  <c r="AK314" i="75"/>
  <c r="AK377" i="76" s="1"/>
  <c r="AK210" i="75"/>
  <c r="AK73" i="75"/>
  <c r="AK36" i="75"/>
  <c r="AK277" i="75"/>
  <c r="AK176" i="75"/>
  <c r="AK26" i="75"/>
  <c r="AK25" i="76" s="1"/>
  <c r="AK298" i="75"/>
  <c r="AK197" i="75"/>
  <c r="AK43" i="75"/>
  <c r="AK42" i="76" s="1"/>
  <c r="AK309" i="75"/>
  <c r="AK217" i="75"/>
  <c r="AK71" i="75"/>
  <c r="AK396" i="75"/>
  <c r="AK263" i="75"/>
  <c r="AK80" i="75"/>
  <c r="AK305" i="75"/>
  <c r="AK202" i="75"/>
  <c r="AK352" i="76" s="1"/>
  <c r="AK67" i="75"/>
  <c r="AK287" i="75"/>
  <c r="AK179" i="75"/>
  <c r="AK46" i="75"/>
  <c r="AK45" i="76" s="1"/>
  <c r="AK315" i="75"/>
  <c r="AK378" i="76" s="1"/>
  <c r="AK208" i="75"/>
  <c r="AK77" i="75"/>
  <c r="AK87" i="75"/>
  <c r="AK312" i="75"/>
  <c r="AK375" i="76" s="1"/>
  <c r="AK205" i="75"/>
  <c r="AK72" i="75"/>
  <c r="AK405" i="75"/>
  <c r="AK267" i="75"/>
  <c r="AK104" i="75"/>
  <c r="AK10" i="75"/>
  <c r="AK9" i="76" s="1"/>
  <c r="AK294" i="75"/>
  <c r="AK192" i="75"/>
  <c r="AK54" i="75"/>
  <c r="AK53" i="76" s="1"/>
  <c r="AK306" i="75"/>
  <c r="AK206" i="75"/>
  <c r="AK56" i="75"/>
  <c r="AK55" i="76" s="1"/>
  <c r="AK316" i="75"/>
  <c r="AK379" i="76" s="1"/>
  <c r="AK266" i="75"/>
  <c r="AK69" i="75"/>
  <c r="AK303" i="75"/>
  <c r="AK203" i="75"/>
  <c r="AK51" i="75"/>
  <c r="AK50" i="76" s="1"/>
  <c r="AK14" i="75"/>
  <c r="AK13" i="76" s="1"/>
  <c r="AK276" i="75"/>
  <c r="AK283" i="75"/>
  <c r="AK182" i="75"/>
  <c r="AK32" i="75"/>
  <c r="AK31" i="76" s="1"/>
  <c r="AK299" i="75"/>
  <c r="AK199" i="75"/>
  <c r="AK47" i="75"/>
  <c r="AK46" i="76" s="1"/>
  <c r="AK53" i="75"/>
  <c r="AK52" i="76" s="1"/>
  <c r="AK297" i="75"/>
  <c r="AK209" i="75"/>
  <c r="AK45" i="75"/>
  <c r="AK44" i="76" s="1"/>
  <c r="AK324" i="75"/>
  <c r="AK387" i="76" s="1"/>
  <c r="AK260" i="75"/>
  <c r="AK70" i="75"/>
  <c r="AK21" i="75"/>
  <c r="AK20" i="76" s="1"/>
  <c r="AK280" i="75"/>
  <c r="AK171" i="75"/>
  <c r="AK40" i="75"/>
  <c r="AK39" i="76" s="1"/>
  <c r="AK295" i="75"/>
  <c r="AK195" i="75"/>
  <c r="AK41" i="75"/>
  <c r="AK40" i="76" s="1"/>
  <c r="AK307" i="75"/>
  <c r="AK204" i="75"/>
  <c r="AK39" i="75"/>
  <c r="AK38" i="76" s="1"/>
  <c r="AK291" i="75"/>
  <c r="AK191" i="75"/>
  <c r="AK37" i="75"/>
  <c r="AK36" i="76" s="1"/>
  <c r="AK89" i="75"/>
  <c r="AK402" i="75"/>
  <c r="AK273" i="75"/>
  <c r="AK85" i="75"/>
  <c r="AK16" i="75"/>
  <c r="AK15" i="76" s="1"/>
  <c r="AK302" i="75"/>
  <c r="AK187" i="75"/>
  <c r="AK61" i="75"/>
  <c r="AK50" i="75"/>
  <c r="AK49" i="76" s="1"/>
  <c r="AK296" i="75"/>
  <c r="AK185" i="75"/>
  <c r="AK58" i="75"/>
  <c r="AK311" i="75"/>
  <c r="AK374" i="76" s="1"/>
  <c r="AK261" i="75"/>
  <c r="AK64" i="75"/>
  <c r="AK403" i="75"/>
  <c r="AK274" i="75"/>
  <c r="AK174" i="75"/>
  <c r="AK24" i="75"/>
  <c r="AK23" i="76" s="1"/>
  <c r="AK292" i="75"/>
  <c r="AK188" i="75"/>
  <c r="AK52" i="75"/>
  <c r="AK51" i="76" s="1"/>
  <c r="AK310" i="75"/>
  <c r="AK373" i="76" s="1"/>
  <c r="AK207" i="75"/>
  <c r="AK20" i="75"/>
  <c r="AK19" i="76" s="1"/>
  <c r="AK288" i="75"/>
  <c r="AK181" i="75"/>
  <c r="AK48" i="75"/>
  <c r="AK47" i="76" s="1"/>
  <c r="AK103" i="75"/>
  <c r="AK275" i="75"/>
  <c r="AK264" i="75"/>
  <c r="AK397" i="75"/>
  <c r="AK218" i="75"/>
  <c r="AK90" i="75"/>
  <c r="AK27" i="75"/>
  <c r="AK26" i="76" s="1"/>
  <c r="AK286" i="75"/>
  <c r="AK177" i="75"/>
  <c r="AK44" i="75"/>
  <c r="AK43" i="76" s="1"/>
  <c r="AK55" i="75"/>
  <c r="AK54" i="76" s="1"/>
  <c r="AK284" i="75"/>
  <c r="AK175" i="75"/>
  <c r="AK57" i="75"/>
  <c r="AK332" i="75"/>
  <c r="AK395" i="76" s="1"/>
  <c r="AK198" i="75"/>
  <c r="AK60" i="75"/>
  <c r="AK337" i="75"/>
  <c r="AK400" i="76" s="1"/>
  <c r="AK265" i="75"/>
  <c r="AK82" i="75"/>
  <c r="AK35" i="75"/>
  <c r="AK34" i="76" s="1"/>
  <c r="AK278" i="75"/>
  <c r="AK194" i="75"/>
  <c r="AK38" i="75"/>
  <c r="AK37" i="76" s="1"/>
  <c r="AK293" i="75"/>
  <c r="AK193" i="75"/>
  <c r="AK15" i="75"/>
  <c r="AK14" i="76" s="1"/>
  <c r="AK285" i="75"/>
  <c r="AK184" i="75"/>
  <c r="AK34" i="75"/>
  <c r="AK33" i="76" s="1"/>
  <c r="AK330" i="75"/>
  <c r="AK393" i="76" s="1"/>
  <c r="AK200" i="75"/>
  <c r="AK78" i="75"/>
  <c r="AK400" i="75"/>
  <c r="AK271" i="75"/>
  <c r="AK398" i="75"/>
  <c r="AK12" i="75"/>
  <c r="AK11" i="76" s="1"/>
  <c r="AK300" i="75"/>
  <c r="AK186" i="75"/>
  <c r="AK336" i="76" s="1"/>
  <c r="AK313" i="75"/>
  <c r="AK376" i="76" s="1"/>
  <c r="AK259" i="75"/>
  <c r="AK399" i="75"/>
  <c r="AK81" i="75"/>
  <c r="AK190" i="75"/>
  <c r="AK102" i="75"/>
  <c r="AK326" i="75"/>
  <c r="AK389" i="76" s="1"/>
  <c r="AK214" i="75"/>
  <c r="AK76" i="75"/>
  <c r="AK11" i="75"/>
  <c r="AK10" i="76" s="1"/>
  <c r="AK281" i="75"/>
  <c r="AK180" i="75"/>
  <c r="AK30" i="75"/>
  <c r="AK29" i="76" s="1"/>
  <c r="AK31" i="75"/>
  <c r="AK30" i="76" s="1"/>
  <c r="AK279" i="75"/>
  <c r="AK178" i="75"/>
  <c r="AK28" i="75"/>
  <c r="AK27" i="76" s="1"/>
  <c r="AK304" i="75"/>
  <c r="AK211" i="75"/>
  <c r="AK74" i="75"/>
  <c r="AK336" i="75"/>
  <c r="AK399" i="76" s="1"/>
  <c r="AK258" i="75"/>
  <c r="AK68" i="75"/>
  <c r="AK19" i="75"/>
  <c r="AK18" i="76" s="1"/>
  <c r="AK272" i="75"/>
  <c r="AK172" i="75"/>
  <c r="AK322" i="76" s="1"/>
  <c r="AK22" i="75"/>
  <c r="AK21" i="76" s="1"/>
  <c r="AK290" i="75"/>
  <c r="AK183" i="75"/>
  <c r="AK404" i="75"/>
  <c r="AK268" i="75"/>
  <c r="AK86" i="75"/>
  <c r="AK18" i="75"/>
  <c r="AK17" i="76" s="1"/>
  <c r="AK269" i="75"/>
  <c r="AK63" i="75"/>
  <c r="AK62" i="75"/>
  <c r="AK33" i="75"/>
  <c r="AK32" i="76" s="1"/>
  <c r="AK401" i="75"/>
  <c r="AK29" i="75"/>
  <c r="AK28" i="76" s="1"/>
  <c r="AK301" i="75"/>
  <c r="AK201" i="75"/>
  <c r="AK49" i="75"/>
  <c r="AK48" i="76" s="1"/>
  <c r="AK395" i="75"/>
  <c r="AK215" i="75"/>
  <c r="AK84" i="75"/>
  <c r="AK25" i="75"/>
  <c r="AK24" i="76" s="1"/>
  <c r="AK328" i="75"/>
  <c r="AK391" i="76" s="1"/>
  <c r="AK213" i="75"/>
  <c r="AK83" i="75"/>
  <c r="AK23" i="75"/>
  <c r="AK22" i="76" s="1"/>
  <c r="AK282" i="75"/>
  <c r="AK173" i="75"/>
  <c r="AK42" i="75"/>
  <c r="AK41" i="76" s="1"/>
  <c r="AK308" i="75"/>
  <c r="AK196" i="75"/>
  <c r="AK59" i="75"/>
  <c r="AK334" i="75"/>
  <c r="AK397" i="76" s="1"/>
  <c r="AK262" i="75"/>
  <c r="AK66" i="75"/>
  <c r="AK17" i="75"/>
  <c r="AK16" i="76" s="1"/>
  <c r="AK270" i="75"/>
  <c r="AK88" i="75"/>
  <c r="AK335" i="75"/>
  <c r="AK398" i="76" s="1"/>
  <c r="AK216" i="75"/>
  <c r="AK79" i="75"/>
  <c r="AK13" i="75"/>
  <c r="AK12" i="76" s="1"/>
  <c r="AK1" i="76"/>
  <c r="IA13" i="69"/>
  <c r="IH13" i="69"/>
  <c r="IB13" i="69"/>
  <c r="H288" i="69"/>
  <c r="E303" i="69"/>
  <c r="E311" i="69" s="1"/>
  <c r="E307" i="70"/>
  <c r="AC277" i="75"/>
  <c r="AC176" i="75"/>
  <c r="AC26" i="75"/>
  <c r="AC14" i="75"/>
  <c r="AC290" i="75"/>
  <c r="AC190" i="75"/>
  <c r="AC54" i="75"/>
  <c r="AC53" i="76" s="1"/>
  <c r="AC103" i="75"/>
  <c r="AC75" i="75"/>
  <c r="AC276" i="75"/>
  <c r="AC194" i="75"/>
  <c r="AC38" i="75"/>
  <c r="AC50" i="75"/>
  <c r="AC49" i="76" s="1"/>
  <c r="AC44" i="75"/>
  <c r="AC43" i="76" s="1"/>
  <c r="AC300" i="75"/>
  <c r="AC400" i="75"/>
  <c r="AC404" i="75"/>
  <c r="AC268" i="75"/>
  <c r="AC88" i="75"/>
  <c r="AC18" i="75"/>
  <c r="AC17" i="76" s="1"/>
  <c r="AC298" i="75"/>
  <c r="AC187" i="75"/>
  <c r="AC74" i="75"/>
  <c r="AC85" i="75"/>
  <c r="AC202" i="75"/>
  <c r="AC279" i="75"/>
  <c r="AC315" i="75"/>
  <c r="AC310" i="75"/>
  <c r="AC373" i="76" s="1"/>
  <c r="AC316" i="75"/>
  <c r="AC379" i="76" s="1"/>
  <c r="AC37" i="75"/>
  <c r="AC199" i="75"/>
  <c r="AC405" i="75"/>
  <c r="AC269" i="75"/>
  <c r="AC102" i="75"/>
  <c r="AC10" i="75"/>
  <c r="AC9" i="76" s="1"/>
  <c r="AC398" i="75"/>
  <c r="AC278" i="75"/>
  <c r="AC192" i="75"/>
  <c r="AC40" i="75"/>
  <c r="AC39" i="75"/>
  <c r="AC30" i="75"/>
  <c r="AC272" i="75"/>
  <c r="AC172" i="75"/>
  <c r="AC22" i="75"/>
  <c r="AC21" i="76" s="1"/>
  <c r="AC20" i="75"/>
  <c r="AC11" i="75"/>
  <c r="AC287" i="75"/>
  <c r="AC297" i="75"/>
  <c r="AC401" i="75"/>
  <c r="AC215" i="75"/>
  <c r="AC87" i="75"/>
  <c r="AC31" i="75"/>
  <c r="AC30" i="76" s="1"/>
  <c r="AC286" i="75"/>
  <c r="AC177" i="75"/>
  <c r="AC46" i="75"/>
  <c r="AC45" i="76" s="1"/>
  <c r="AC12" i="75"/>
  <c r="AC72" i="75"/>
  <c r="AC178" i="75"/>
  <c r="AC45" i="75"/>
  <c r="AC44" i="76" s="1"/>
  <c r="AC62" i="75"/>
  <c r="AC207" i="75"/>
  <c r="AC181" i="75"/>
  <c r="AC189" i="75"/>
  <c r="AC13" i="75"/>
  <c r="AC12" i="76" s="1"/>
  <c r="AC328" i="75"/>
  <c r="AC258" i="75"/>
  <c r="AC70" i="75"/>
  <c r="AC23" i="75"/>
  <c r="AC306" i="75"/>
  <c r="AC274" i="75"/>
  <c r="AC174" i="75"/>
  <c r="AC24" i="75"/>
  <c r="AC23" i="76" s="1"/>
  <c r="AC55" i="75"/>
  <c r="AC397" i="75"/>
  <c r="AC265" i="75"/>
  <c r="AC82" i="75"/>
  <c r="AC35" i="75"/>
  <c r="AC34" i="76" s="1"/>
  <c r="AC17" i="75"/>
  <c r="AC16" i="76" s="1"/>
  <c r="AC330" i="75"/>
  <c r="AC218" i="75"/>
  <c r="AC273" i="75"/>
  <c r="AC335" i="75"/>
  <c r="AC214" i="75"/>
  <c r="AC79" i="75"/>
  <c r="AC15" i="75"/>
  <c r="AC14" i="76" s="1"/>
  <c r="AC283" i="75"/>
  <c r="AC182" i="75"/>
  <c r="AC32" i="75"/>
  <c r="AC31" i="76" s="1"/>
  <c r="AC260" i="75"/>
  <c r="AC208" i="75"/>
  <c r="AC28" i="75"/>
  <c r="AC27" i="76" s="1"/>
  <c r="AC304" i="75"/>
  <c r="AC210" i="75"/>
  <c r="AC266" i="75"/>
  <c r="AC332" i="75"/>
  <c r="AC395" i="76" s="1"/>
  <c r="AC261" i="75"/>
  <c r="AC64" i="75"/>
  <c r="AC322" i="75"/>
  <c r="AC337" i="75"/>
  <c r="AC400" i="76" s="1"/>
  <c r="AC267" i="75"/>
  <c r="AC89" i="75"/>
  <c r="AC36" i="75"/>
  <c r="AC33" i="75"/>
  <c r="AC32" i="76" s="1"/>
  <c r="AC334" i="75"/>
  <c r="AC263" i="75"/>
  <c r="AC66" i="75"/>
  <c r="AC19" i="75"/>
  <c r="AC18" i="76" s="1"/>
  <c r="AC305" i="75"/>
  <c r="AC403" i="75"/>
  <c r="AC216" i="75"/>
  <c r="AC201" i="75"/>
  <c r="AC309" i="75"/>
  <c r="AC206" i="75"/>
  <c r="AC67" i="75"/>
  <c r="AC402" i="75"/>
  <c r="AC275" i="75"/>
  <c r="AC104" i="75"/>
  <c r="AC16" i="75"/>
  <c r="AC83" i="75"/>
  <c r="AC60" i="75"/>
  <c r="AC282" i="75"/>
  <c r="AC197" i="75"/>
  <c r="AC259" i="75"/>
  <c r="AC294" i="75"/>
  <c r="AC186" i="75"/>
  <c r="AC289" i="75"/>
  <c r="AC212" i="75"/>
  <c r="AC59" i="75"/>
  <c r="AC312" i="75"/>
  <c r="AC375" i="76" s="1"/>
  <c r="AC200" i="75"/>
  <c r="AC63" i="75"/>
  <c r="AC281" i="75"/>
  <c r="AC324" i="75"/>
  <c r="AC387" i="76" s="1"/>
  <c r="AC264" i="75"/>
  <c r="AC68" i="75"/>
  <c r="AC21" i="75"/>
  <c r="AC20" i="76" s="1"/>
  <c r="AC395" i="75"/>
  <c r="AC313" i="75"/>
  <c r="AC376" i="76" s="1"/>
  <c r="AC217" i="75"/>
  <c r="AC71" i="75"/>
  <c r="AC270" i="75"/>
  <c r="AC284" i="75"/>
  <c r="AC396" i="75"/>
  <c r="AC198" i="75"/>
  <c r="AC86" i="75"/>
  <c r="AC301" i="75"/>
  <c r="AC196" i="75"/>
  <c r="AC53" i="75"/>
  <c r="AC52" i="76" s="1"/>
  <c r="AC399" i="75"/>
  <c r="AC213" i="75"/>
  <c r="AC90" i="75"/>
  <c r="AC29" i="75"/>
  <c r="AC25" i="75"/>
  <c r="AC314" i="75"/>
  <c r="AC377" i="76" s="1"/>
  <c r="AC173" i="75"/>
  <c r="AC204" i="75"/>
  <c r="AC311" i="75"/>
  <c r="AC374" i="76" s="1"/>
  <c r="AC58" i="75"/>
  <c r="AC65" i="75"/>
  <c r="AC326" i="75"/>
  <c r="AC389" i="76" s="1"/>
  <c r="AC280" i="75"/>
  <c r="AC171" i="75"/>
  <c r="AC42" i="75"/>
  <c r="AC41" i="76" s="1"/>
  <c r="AC49" i="75"/>
  <c r="AC48" i="76" s="1"/>
  <c r="AC293" i="75"/>
  <c r="AC195" i="75"/>
  <c r="AC43" i="75"/>
  <c r="AC42" i="76" s="1"/>
  <c r="AC191" i="75"/>
  <c r="AC185" i="75"/>
  <c r="AC288" i="75"/>
  <c r="AC183" i="75"/>
  <c r="AC52" i="75"/>
  <c r="AC51" i="76" s="1"/>
  <c r="AC69" i="75"/>
  <c r="AC84" i="75"/>
  <c r="AC291" i="75"/>
  <c r="AC56" i="75"/>
  <c r="AC55" i="76" s="1"/>
  <c r="AC336" i="75"/>
  <c r="AC285" i="75"/>
  <c r="AC184" i="75"/>
  <c r="AC34" i="75"/>
  <c r="AC33" i="76" s="1"/>
  <c r="AC299" i="75"/>
  <c r="AC203" i="75"/>
  <c r="AC51" i="75"/>
  <c r="AC271" i="75"/>
  <c r="AC9" i="75"/>
  <c r="AC302" i="75"/>
  <c r="AC76" i="75"/>
  <c r="AC308" i="75"/>
  <c r="AC80" i="75"/>
  <c r="AC307" i="75"/>
  <c r="AC61" i="75"/>
  <c r="AC303" i="75"/>
  <c r="AC209" i="75"/>
  <c r="AC81" i="75"/>
  <c r="AC77" i="75"/>
  <c r="AC211" i="75"/>
  <c r="AC175" i="75"/>
  <c r="AC205" i="75"/>
  <c r="AC27" i="75"/>
  <c r="AC26" i="76" s="1"/>
  <c r="AC47" i="75"/>
  <c r="AC46" i="76" s="1"/>
  <c r="AC193" i="75"/>
  <c r="AC343" i="76" s="1"/>
  <c r="AC180" i="75"/>
  <c r="AC78" i="75"/>
  <c r="AC262" i="75"/>
  <c r="AC73" i="75"/>
  <c r="AC188" i="75"/>
  <c r="AC338" i="76" s="1"/>
  <c r="AC296" i="75"/>
  <c r="AC295" i="75"/>
  <c r="AC57" i="75"/>
  <c r="AC179" i="75"/>
  <c r="AC292" i="75"/>
  <c r="AC41" i="75"/>
  <c r="AC40" i="76" s="1"/>
  <c r="AC48" i="75"/>
  <c r="AC47" i="76" s="1"/>
  <c r="AC1" i="76"/>
  <c r="AG300" i="75"/>
  <c r="AG207" i="75"/>
  <c r="AG62" i="75"/>
  <c r="AG216" i="75"/>
  <c r="AG178" i="75"/>
  <c r="AG299" i="75"/>
  <c r="AG191" i="75"/>
  <c r="AG56" i="75"/>
  <c r="AG55" i="76" s="1"/>
  <c r="AG44" i="75"/>
  <c r="AG43" i="76" s="1"/>
  <c r="AG28" i="75"/>
  <c r="AG27" i="76" s="1"/>
  <c r="AG276" i="75"/>
  <c r="AG173" i="75"/>
  <c r="AG27" i="75"/>
  <c r="AG26" i="76" s="1"/>
  <c r="AG208" i="75"/>
  <c r="AG67" i="75"/>
  <c r="AG296" i="75"/>
  <c r="AG185" i="75"/>
  <c r="AG51" i="75"/>
  <c r="AG50" i="76" s="1"/>
  <c r="AG76" i="75"/>
  <c r="AG17" i="75"/>
  <c r="AG16" i="76" s="1"/>
  <c r="AG275" i="75"/>
  <c r="AG187" i="75"/>
  <c r="AG58" i="75"/>
  <c r="AG303" i="75"/>
  <c r="AG200" i="75"/>
  <c r="AG46" i="75"/>
  <c r="AG45" i="76" s="1"/>
  <c r="AG59" i="75"/>
  <c r="AG26" i="75"/>
  <c r="AG25" i="76" s="1"/>
  <c r="AG403" i="75"/>
  <c r="AG89" i="75"/>
  <c r="AG85" i="75"/>
  <c r="AG285" i="75"/>
  <c r="AG315" i="75"/>
  <c r="AG378" i="76" s="1"/>
  <c r="AG54" i="75"/>
  <c r="AG53" i="76" s="1"/>
  <c r="AG201" i="75"/>
  <c r="AG297" i="75"/>
  <c r="AG214" i="75"/>
  <c r="AG204" i="75"/>
  <c r="AG215" i="75"/>
  <c r="AG290" i="75"/>
  <c r="AG293" i="75"/>
  <c r="AG186" i="75"/>
  <c r="AG55" i="75"/>
  <c r="AG54" i="76" s="1"/>
  <c r="AG190" i="75"/>
  <c r="AG72" i="75"/>
  <c r="AG281" i="75"/>
  <c r="AG174" i="75"/>
  <c r="AG41" i="75"/>
  <c r="AG40" i="76" s="1"/>
  <c r="AG19" i="75"/>
  <c r="AG18" i="76" s="1"/>
  <c r="AG404" i="75"/>
  <c r="AG268" i="75"/>
  <c r="AG103" i="75"/>
  <c r="AG11" i="75"/>
  <c r="AG10" i="76" s="1"/>
  <c r="AG181" i="75"/>
  <c r="AG73" i="75"/>
  <c r="AG277" i="75"/>
  <c r="AG193" i="75"/>
  <c r="AG37" i="75"/>
  <c r="AG36" i="76" s="1"/>
  <c r="AG35" i="75"/>
  <c r="AG34" i="76" s="1"/>
  <c r="AG402" i="75"/>
  <c r="AG271" i="75"/>
  <c r="AG102" i="75"/>
  <c r="AG23" i="75"/>
  <c r="AG22" i="76" s="1"/>
  <c r="AG288" i="75"/>
  <c r="AG192" i="75"/>
  <c r="AG64" i="75"/>
  <c r="AG396" i="75"/>
  <c r="AG324" i="75"/>
  <c r="AG387" i="76" s="1"/>
  <c r="AG70" i="75"/>
  <c r="AG294" i="75"/>
  <c r="AG312" i="75"/>
  <c r="AG375" i="76" s="1"/>
  <c r="AG199" i="75"/>
  <c r="AG398" i="75"/>
  <c r="AG211" i="75"/>
  <c r="AG195" i="75"/>
  <c r="AG84" i="75"/>
  <c r="AG287" i="75"/>
  <c r="AG307" i="75"/>
  <c r="AG50" i="75"/>
  <c r="AG49" i="76" s="1"/>
  <c r="AG194" i="75"/>
  <c r="AG218" i="75"/>
  <c r="AG283" i="75"/>
  <c r="AG176" i="75"/>
  <c r="AG43" i="75"/>
  <c r="AG42" i="76" s="1"/>
  <c r="AG69" i="75"/>
  <c r="AG33" i="75"/>
  <c r="AG32" i="76" s="1"/>
  <c r="AG278" i="75"/>
  <c r="AG175" i="75"/>
  <c r="AG29" i="75"/>
  <c r="AG28" i="76" s="1"/>
  <c r="AG337" i="75"/>
  <c r="AG400" i="76" s="1"/>
  <c r="AG330" i="75"/>
  <c r="AG393" i="76" s="1"/>
  <c r="AG261" i="75"/>
  <c r="AG74" i="75"/>
  <c r="AG22" i="75"/>
  <c r="AG21" i="76" s="1"/>
  <c r="AG81" i="75"/>
  <c r="AG12" i="75"/>
  <c r="AG11" i="76" s="1"/>
  <c r="AG273" i="75"/>
  <c r="AG171" i="75"/>
  <c r="AG25" i="75"/>
  <c r="AG24" i="76" s="1"/>
  <c r="AG401" i="75"/>
  <c r="AG336" i="75"/>
  <c r="AG399" i="76" s="1"/>
  <c r="AG264" i="75"/>
  <c r="AG86" i="75"/>
  <c r="AG34" i="75"/>
  <c r="AG33" i="76" s="1"/>
  <c r="AG289" i="75"/>
  <c r="AG182" i="75"/>
  <c r="AG47" i="75"/>
  <c r="AG46" i="76" s="1"/>
  <c r="AG42" i="75"/>
  <c r="AG41" i="76" s="1"/>
  <c r="AG328" i="75"/>
  <c r="AG391" i="76" s="1"/>
  <c r="AG189" i="75"/>
  <c r="AG179" i="75"/>
  <c r="AG280" i="75"/>
  <c r="AG177" i="75"/>
  <c r="AG31" i="75"/>
  <c r="AG30" i="76" s="1"/>
  <c r="AG60" i="75"/>
  <c r="AG397" i="75"/>
  <c r="AG270" i="75"/>
  <c r="AG88" i="75"/>
  <c r="AG13" i="75"/>
  <c r="AG12" i="76" s="1"/>
  <c r="AG295" i="75"/>
  <c r="AG313" i="75"/>
  <c r="AG376" i="76" s="1"/>
  <c r="AG262" i="75"/>
  <c r="AG68" i="75"/>
  <c r="AG400" i="75"/>
  <c r="AG45" i="75"/>
  <c r="AG44" i="76" s="1"/>
  <c r="AG395" i="75"/>
  <c r="AG266" i="75"/>
  <c r="AG104" i="75"/>
  <c r="AG9" i="75"/>
  <c r="AG302" i="75"/>
  <c r="AG326" i="75"/>
  <c r="AG389" i="76" s="1"/>
  <c r="AG217" i="75"/>
  <c r="AG63" i="75"/>
  <c r="AG18" i="75"/>
  <c r="AG17" i="76" s="1"/>
  <c r="AG286" i="75"/>
  <c r="AG183" i="75"/>
  <c r="AG36" i="75"/>
  <c r="AG212" i="75"/>
  <c r="AG332" i="75"/>
  <c r="AG395" i="76" s="1"/>
  <c r="AG209" i="75"/>
  <c r="AG304" i="75"/>
  <c r="AG198" i="75"/>
  <c r="AG316" i="75"/>
  <c r="AG379" i="76" s="1"/>
  <c r="AG66" i="75"/>
  <c r="AG202" i="75"/>
  <c r="AG352" i="76" s="1"/>
  <c r="AG265" i="75"/>
  <c r="AG53" i="75"/>
  <c r="AG52" i="76" s="1"/>
  <c r="AG399" i="75"/>
  <c r="AG272" i="75"/>
  <c r="AG83" i="75"/>
  <c r="AG15" i="75"/>
  <c r="AG14" i="76" s="1"/>
  <c r="AG30" i="75"/>
  <c r="AG29" i="76" s="1"/>
  <c r="AG334" i="75"/>
  <c r="AG397" i="76" s="1"/>
  <c r="AG263" i="75"/>
  <c r="AG77" i="75"/>
  <c r="AG24" i="75"/>
  <c r="AG23" i="76" s="1"/>
  <c r="AG274" i="75"/>
  <c r="AG309" i="75"/>
  <c r="AG210" i="75"/>
  <c r="AG52" i="75"/>
  <c r="AG51" i="76" s="1"/>
  <c r="AG314" i="75"/>
  <c r="AG377" i="76" s="1"/>
  <c r="AG14" i="75"/>
  <c r="AG13" i="76" s="1"/>
  <c r="AG335" i="75"/>
  <c r="AG398" i="76" s="1"/>
  <c r="AG259" i="75"/>
  <c r="AG65" i="75"/>
  <c r="AG20" i="75"/>
  <c r="AG19" i="76" s="1"/>
  <c r="AG282" i="75"/>
  <c r="AG310" i="75"/>
  <c r="AG373" i="76" s="1"/>
  <c r="AG258" i="75"/>
  <c r="AG80" i="75"/>
  <c r="AG405" i="75"/>
  <c r="AG269" i="75"/>
  <c r="AG87" i="75"/>
  <c r="AG21" i="75"/>
  <c r="AG20" i="76" s="1"/>
  <c r="AG78" i="75"/>
  <c r="AG205" i="75"/>
  <c r="AG306" i="75"/>
  <c r="AG260" i="75"/>
  <c r="AG305" i="75"/>
  <c r="AG48" i="75"/>
  <c r="AG47" i="76" s="1"/>
  <c r="AG32" i="75"/>
  <c r="AG31" i="76" s="1"/>
  <c r="AG311" i="75"/>
  <c r="AG374" i="76" s="1"/>
  <c r="AG197" i="75"/>
  <c r="AG71" i="75"/>
  <c r="AG301" i="75"/>
  <c r="AG213" i="75"/>
  <c r="AG298" i="75"/>
  <c r="AG206" i="75"/>
  <c r="AG57" i="75"/>
  <c r="AG90" i="75"/>
  <c r="AG75" i="75"/>
  <c r="AG279" i="75"/>
  <c r="AG172" i="75"/>
  <c r="AG39" i="75"/>
  <c r="AG38" i="76" s="1"/>
  <c r="AG267" i="75"/>
  <c r="AG188" i="75"/>
  <c r="AG292" i="75"/>
  <c r="AG196" i="75"/>
  <c r="AG40" i="75"/>
  <c r="AG39" i="76" s="1"/>
  <c r="AG180" i="75"/>
  <c r="AG82" i="75"/>
  <c r="AG291" i="75"/>
  <c r="AG184" i="75"/>
  <c r="AG49" i="75"/>
  <c r="AG48" i="76" s="1"/>
  <c r="AG308" i="75"/>
  <c r="AG203" i="75"/>
  <c r="AG79" i="75"/>
  <c r="AG284" i="75"/>
  <c r="AG10" i="75"/>
  <c r="AG9" i="76" s="1"/>
  <c r="AG38" i="75"/>
  <c r="AG37" i="76" s="1"/>
  <c r="AG322" i="75"/>
  <c r="AG16" i="75"/>
  <c r="AG15" i="76" s="1"/>
  <c r="AG61" i="75"/>
  <c r="AG1" i="76"/>
  <c r="HQ11" i="70"/>
  <c r="F265" i="69"/>
  <c r="F261" i="70"/>
  <c r="E261" i="70"/>
  <c r="E265" i="69"/>
  <c r="HQ10" i="70"/>
  <c r="I297" i="68"/>
  <c r="X103" i="75" s="1"/>
  <c r="K297" i="68"/>
  <c r="X104" i="75" s="1"/>
  <c r="X105" i="75" s="1"/>
  <c r="X102" i="75"/>
  <c r="J287" i="69"/>
  <c r="HZ14" i="69"/>
  <c r="G289" i="69"/>
  <c r="HY12" i="70"/>
  <c r="G285" i="70"/>
  <c r="HU10" i="70"/>
  <c r="E277" i="69"/>
  <c r="E273" i="70"/>
  <c r="F307" i="70"/>
  <c r="F303" i="69"/>
  <c r="F311" i="69" s="1"/>
  <c r="G258" i="69"/>
  <c r="G259" i="69" s="1"/>
  <c r="F276" i="69"/>
  <c r="HX11" i="69"/>
  <c r="IG11" i="69"/>
  <c r="HW11" i="69"/>
  <c r="E300" i="69"/>
  <c r="E308" i="69" s="1"/>
  <c r="E304" i="70"/>
  <c r="F304" i="70"/>
  <c r="F300" i="69"/>
  <c r="F308" i="69" s="1"/>
  <c r="G261" i="70"/>
  <c r="G265" i="69"/>
  <c r="HQ12" i="70"/>
  <c r="G304" i="70"/>
  <c r="G300" i="69"/>
  <c r="G308" i="69" s="1"/>
  <c r="L286" i="69" a="1"/>
  <c r="L286" i="69" s="1"/>
  <c r="IE14" i="69" l="1"/>
  <c r="I252" i="69"/>
  <c r="I253" i="69" s="1"/>
  <c r="HP14" i="69"/>
  <c r="J250" i="69" a="1"/>
  <c r="J250" i="69" s="1"/>
  <c r="J251" i="69" s="1"/>
  <c r="HN15" i="69" s="1"/>
  <c r="IE15" i="69" s="1"/>
  <c r="AG360" i="76"/>
  <c r="AC331" i="76"/>
  <c r="AG338" i="76"/>
  <c r="I262" i="69" a="1"/>
  <c r="I262" i="69" s="1"/>
  <c r="J262" i="69" s="1" a="1"/>
  <c r="J262" i="69" s="1"/>
  <c r="J263" i="69" s="1"/>
  <c r="HT13" i="69"/>
  <c r="HS13" i="69"/>
  <c r="H264" i="69"/>
  <c r="AK361" i="76"/>
  <c r="AG363" i="76"/>
  <c r="AK357" i="76"/>
  <c r="AG356" i="76"/>
  <c r="AC363" i="76"/>
  <c r="AG346" i="76"/>
  <c r="AK340" i="76"/>
  <c r="AK365" i="76"/>
  <c r="AK330" i="76"/>
  <c r="AK343" i="76"/>
  <c r="AK351" i="76"/>
  <c r="AC332" i="76"/>
  <c r="AK366" i="76"/>
  <c r="AK363" i="76"/>
  <c r="AC340" i="76"/>
  <c r="AG347" i="76"/>
  <c r="AG365" i="76"/>
  <c r="AC360" i="76"/>
  <c r="AG353" i="76"/>
  <c r="AG428" i="75"/>
  <c r="AG430" i="75" s="1"/>
  <c r="AG431" i="75" s="1"/>
  <c r="AG98" i="75" s="1"/>
  <c r="AG339" i="76"/>
  <c r="AG331" i="76"/>
  <c r="AC354" i="76"/>
  <c r="AC323" i="76"/>
  <c r="AC364" i="76"/>
  <c r="AK323" i="76"/>
  <c r="AK341" i="76"/>
  <c r="AK359" i="76"/>
  <c r="AG354" i="76"/>
  <c r="AG358" i="76"/>
  <c r="AK337" i="76"/>
  <c r="AK358" i="76"/>
  <c r="AG364" i="76"/>
  <c r="AG328" i="76"/>
  <c r="AC334" i="76"/>
  <c r="AK428" i="75"/>
  <c r="AK430" i="75" s="1"/>
  <c r="AK431" i="75" s="1"/>
  <c r="AK98" i="75" s="1"/>
  <c r="AG359" i="76"/>
  <c r="AG340" i="76"/>
  <c r="AG323" i="76"/>
  <c r="AG366" i="76"/>
  <c r="AC326" i="76"/>
  <c r="AK338" i="76"/>
  <c r="AK326" i="76"/>
  <c r="AK362" i="76"/>
  <c r="H253" i="69"/>
  <c r="H249" i="70"/>
  <c r="HM13" i="70"/>
  <c r="AG326" i="76"/>
  <c r="AK350" i="76"/>
  <c r="H275" i="69"/>
  <c r="HV13" i="69" s="1"/>
  <c r="H276" i="69" s="1"/>
  <c r="J274" i="69" a="1"/>
  <c r="J274" i="69" s="1"/>
  <c r="J275" i="69" s="1"/>
  <c r="AG325" i="76"/>
  <c r="AC353" i="76"/>
  <c r="HM14" i="70"/>
  <c r="I249" i="70"/>
  <c r="L287" i="69"/>
  <c r="M286" i="69" a="1"/>
  <c r="M286" i="69" s="1"/>
  <c r="M287" i="69" s="1"/>
  <c r="F269" i="69"/>
  <c r="F266" i="69"/>
  <c r="F313" i="69"/>
  <c r="F268" i="69"/>
  <c r="F267" i="69"/>
  <c r="AG342" i="75"/>
  <c r="AG385" i="76"/>
  <c r="AG334" i="76"/>
  <c r="AG93" i="75"/>
  <c r="AG345" i="76"/>
  <c r="AG351" i="76"/>
  <c r="AC329" i="76"/>
  <c r="AC330" i="76"/>
  <c r="AC251" i="75"/>
  <c r="AC254" i="75" s="1"/>
  <c r="AC255" i="75" s="1"/>
  <c r="AC321" i="76"/>
  <c r="AC350" i="76"/>
  <c r="AC347" i="76"/>
  <c r="AC66" i="76"/>
  <c r="AC176" i="76"/>
  <c r="AC65" i="76"/>
  <c r="AC175" i="76"/>
  <c r="AC342" i="75"/>
  <c r="AC385" i="76"/>
  <c r="AC358" i="76"/>
  <c r="AC398" i="76"/>
  <c r="AC340" i="75"/>
  <c r="AC328" i="76"/>
  <c r="AC365" i="76"/>
  <c r="H289" i="69"/>
  <c r="HY13" i="70"/>
  <c r="H285" i="70"/>
  <c r="AK327" i="76"/>
  <c r="AK356" i="76"/>
  <c r="AG362" i="76"/>
  <c r="AG332" i="76"/>
  <c r="AG251" i="75"/>
  <c r="AG254" i="75" s="1"/>
  <c r="AG255" i="75" s="1"/>
  <c r="AG321" i="76"/>
  <c r="AG361" i="76"/>
  <c r="AG336" i="76"/>
  <c r="AG357" i="76"/>
  <c r="AC92" i="75"/>
  <c r="AC56" i="76"/>
  <c r="AC166" i="76"/>
  <c r="AC359" i="76"/>
  <c r="AC91" i="75"/>
  <c r="AC8" i="76"/>
  <c r="AC399" i="76"/>
  <c r="AC335" i="76"/>
  <c r="AC24" i="76"/>
  <c r="AC428" i="75"/>
  <c r="AC430" i="75" s="1"/>
  <c r="AC431" i="75" s="1"/>
  <c r="AC98" i="75" s="1"/>
  <c r="AC356" i="76"/>
  <c r="AC54" i="76"/>
  <c r="AC391" i="76"/>
  <c r="AC29" i="76"/>
  <c r="AC352" i="76"/>
  <c r="AK354" i="76"/>
  <c r="AK341" i="75"/>
  <c r="AK369" i="76"/>
  <c r="AK329" i="76"/>
  <c r="AK70" i="76"/>
  <c r="AK180" i="76"/>
  <c r="AK342" i="75"/>
  <c r="AK385" i="76"/>
  <c r="AG322" i="76"/>
  <c r="AG341" i="75"/>
  <c r="AG369" i="76"/>
  <c r="AG340" i="75"/>
  <c r="AG91" i="75"/>
  <c r="AG8" i="76"/>
  <c r="AG327" i="76"/>
  <c r="AG368" i="76"/>
  <c r="AG342" i="76"/>
  <c r="AG343" i="76"/>
  <c r="AG350" i="76"/>
  <c r="AG335" i="76"/>
  <c r="AC341" i="76"/>
  <c r="AC28" i="76"/>
  <c r="AC397" i="76"/>
  <c r="AC368" i="76"/>
  <c r="AC11" i="76"/>
  <c r="AC38" i="76"/>
  <c r="AK328" i="76"/>
  <c r="AK364" i="76"/>
  <c r="AK344" i="76"/>
  <c r="AK331" i="76"/>
  <c r="AK335" i="76"/>
  <c r="AK179" i="76"/>
  <c r="AK69" i="76"/>
  <c r="AK349" i="76"/>
  <c r="AK353" i="76"/>
  <c r="AK355" i="76"/>
  <c r="AK367" i="76"/>
  <c r="E281" i="69"/>
  <c r="E279" i="69"/>
  <c r="E314" i="69"/>
  <c r="E278" i="69"/>
  <c r="E280" i="69"/>
  <c r="HQ13" i="70"/>
  <c r="H261" i="70"/>
  <c r="H265" i="69"/>
  <c r="HZ15" i="69"/>
  <c r="E269" i="69"/>
  <c r="E268" i="69"/>
  <c r="E266" i="69"/>
  <c r="E313" i="69"/>
  <c r="E267" i="69"/>
  <c r="AG330" i="76"/>
  <c r="AG180" i="76"/>
  <c r="AG70" i="76"/>
  <c r="AG355" i="76"/>
  <c r="AG65" i="76"/>
  <c r="AG175" i="76"/>
  <c r="AG333" i="76"/>
  <c r="AG344" i="76"/>
  <c r="AG349" i="76"/>
  <c r="AC60" i="76"/>
  <c r="AC170" i="76"/>
  <c r="AC50" i="76"/>
  <c r="AC93" i="75"/>
  <c r="AC362" i="76"/>
  <c r="AC351" i="76"/>
  <c r="AC393" i="76"/>
  <c r="AC324" i="76"/>
  <c r="AC339" i="76"/>
  <c r="AC39" i="76"/>
  <c r="AC349" i="76"/>
  <c r="AK346" i="76"/>
  <c r="AK93" i="75"/>
  <c r="AK92" i="75"/>
  <c r="AK56" i="76"/>
  <c r="AK166" i="76"/>
  <c r="AK324" i="76"/>
  <c r="AK342" i="76"/>
  <c r="AK66" i="76"/>
  <c r="AK176" i="76"/>
  <c r="AK71" i="76"/>
  <c r="AK181" i="76"/>
  <c r="AK339" i="76"/>
  <c r="G277" i="69"/>
  <c r="HU12" i="70"/>
  <c r="G273" i="70"/>
  <c r="G315" i="69"/>
  <c r="G293" i="69"/>
  <c r="G290" i="69"/>
  <c r="G291" i="69"/>
  <c r="G292" i="69"/>
  <c r="AG329" i="76"/>
  <c r="AG71" i="76"/>
  <c r="AG181" i="76"/>
  <c r="AG324" i="76"/>
  <c r="AG176" i="76"/>
  <c r="AG66" i="76"/>
  <c r="AG341" i="76"/>
  <c r="AC355" i="76"/>
  <c r="AC345" i="76"/>
  <c r="AC15" i="76"/>
  <c r="AC366" i="76"/>
  <c r="AC327" i="76"/>
  <c r="AC10" i="76"/>
  <c r="AC342" i="76"/>
  <c r="AC36" i="76"/>
  <c r="AC337" i="76"/>
  <c r="AK340" i="75"/>
  <c r="AK334" i="76"/>
  <c r="AK325" i="76"/>
  <c r="AK368" i="76"/>
  <c r="AK345" i="76"/>
  <c r="AK178" i="76"/>
  <c r="AK68" i="76"/>
  <c r="AK360" i="76"/>
  <c r="G269" i="69"/>
  <c r="G268" i="69"/>
  <c r="G313" i="69"/>
  <c r="G267" i="69"/>
  <c r="G266" i="69"/>
  <c r="I288" i="69"/>
  <c r="IA14" i="69"/>
  <c r="IH14" i="69"/>
  <c r="IB14" i="69"/>
  <c r="AG337" i="76"/>
  <c r="AC71" i="76"/>
  <c r="AC181" i="76"/>
  <c r="AC325" i="76"/>
  <c r="AC68" i="76"/>
  <c r="AC178" i="76"/>
  <c r="AC336" i="76"/>
  <c r="AC341" i="75"/>
  <c r="AC369" i="76"/>
  <c r="AC357" i="76"/>
  <c r="AC19" i="76"/>
  <c r="AK333" i="76"/>
  <c r="AK60" i="76"/>
  <c r="AK170" i="76"/>
  <c r="AK332" i="76"/>
  <c r="AK347" i="76"/>
  <c r="F277" i="69"/>
  <c r="F273" i="70"/>
  <c r="HU11" i="70"/>
  <c r="AG60" i="76"/>
  <c r="AG170" i="76"/>
  <c r="AG92" i="75"/>
  <c r="AG56" i="76"/>
  <c r="AG166" i="76"/>
  <c r="AG68" i="76"/>
  <c r="AG178" i="76"/>
  <c r="AG69" i="76"/>
  <c r="AG179" i="76"/>
  <c r="AC361" i="76"/>
  <c r="AC70" i="76"/>
  <c r="AC180" i="76"/>
  <c r="AC22" i="76"/>
  <c r="AC37" i="76"/>
  <c r="AC13" i="76"/>
  <c r="AK91" i="75"/>
  <c r="AK8" i="76"/>
  <c r="AG367" i="76"/>
  <c r="AC333" i="76"/>
  <c r="AC346" i="76"/>
  <c r="AC367" i="76"/>
  <c r="AC69" i="76"/>
  <c r="AC179" i="76"/>
  <c r="AC322" i="76"/>
  <c r="AC378" i="76"/>
  <c r="AC344" i="76"/>
  <c r="AC25" i="76"/>
  <c r="AK65" i="76"/>
  <c r="AK175" i="76"/>
  <c r="AK251" i="75"/>
  <c r="AK254" i="75" s="1"/>
  <c r="AK255" i="75" s="1"/>
  <c r="AK321" i="76"/>
  <c r="J252" i="69" l="1"/>
  <c r="J249" i="70" s="1"/>
  <c r="HO15" i="69"/>
  <c r="K250" i="69" a="1"/>
  <c r="K250" i="69" s="1"/>
  <c r="K251" i="69" s="1"/>
  <c r="HN16" i="69" s="1"/>
  <c r="IE16" i="69" s="1"/>
  <c r="I263" i="69"/>
  <c r="HR14" i="69" s="1"/>
  <c r="HR15" i="69" s="1"/>
  <c r="HS15" i="69" s="1"/>
  <c r="HP15" i="69"/>
  <c r="K262" i="69" a="1"/>
  <c r="K262" i="69" s="1"/>
  <c r="K263" i="69" s="1"/>
  <c r="HR16" i="69" s="1"/>
  <c r="J253" i="69"/>
  <c r="J256" i="69" s="1"/>
  <c r="IG13" i="69"/>
  <c r="HM15" i="70"/>
  <c r="AG343" i="75"/>
  <c r="AG344" i="75" s="1"/>
  <c r="AG97" i="75" s="1"/>
  <c r="E270" i="69"/>
  <c r="E271" i="69" s="1"/>
  <c r="HX13" i="69"/>
  <c r="HV14" i="69"/>
  <c r="HV15" i="69" s="1"/>
  <c r="G270" i="69"/>
  <c r="G271" i="69" s="1"/>
  <c r="AK343" i="75"/>
  <c r="AK344" i="75" s="1"/>
  <c r="AK97" i="75" s="1"/>
  <c r="G294" i="69"/>
  <c r="G295" i="69" s="1"/>
  <c r="AK94" i="75"/>
  <c r="AK96" i="75" s="1"/>
  <c r="HW13" i="69"/>
  <c r="I256" i="69"/>
  <c r="I299" i="69"/>
  <c r="AS1" i="75"/>
  <c r="I254" i="69"/>
  <c r="I312" i="69"/>
  <c r="I255" i="69"/>
  <c r="I257" i="69"/>
  <c r="H255" i="69"/>
  <c r="H254" i="69"/>
  <c r="AO1" i="75"/>
  <c r="H312" i="69"/>
  <c r="H256" i="69"/>
  <c r="H257" i="69"/>
  <c r="H299" i="69"/>
  <c r="E282" i="69"/>
  <c r="E283" i="69" s="1"/>
  <c r="K274" i="69" a="1"/>
  <c r="K274" i="69" s="1"/>
  <c r="J264" i="69"/>
  <c r="IF15" i="69"/>
  <c r="F278" i="69"/>
  <c r="F314" i="69"/>
  <c r="F279" i="69"/>
  <c r="F281" i="69"/>
  <c r="F280" i="69"/>
  <c r="E305" i="70"/>
  <c r="E301" i="69"/>
  <c r="N286" i="69" a="1"/>
  <c r="N286" i="69" s="1"/>
  <c r="AG94" i="75"/>
  <c r="AC343" i="75"/>
  <c r="AC344" i="75" s="1"/>
  <c r="AC97" i="75" s="1"/>
  <c r="IF14" i="69"/>
  <c r="HT14" i="69"/>
  <c r="I264" i="69"/>
  <c r="G280" i="69"/>
  <c r="G279" i="69"/>
  <c r="G314" i="69"/>
  <c r="G278" i="69"/>
  <c r="G281" i="69"/>
  <c r="HX14" i="69"/>
  <c r="F305" i="70"/>
  <c r="F301" i="69"/>
  <c r="F309" i="69" s="1"/>
  <c r="G305" i="70"/>
  <c r="G301" i="69"/>
  <c r="G309" i="69" s="1"/>
  <c r="AC94" i="75"/>
  <c r="F270" i="69"/>
  <c r="F271" i="69" s="1"/>
  <c r="J288" i="69"/>
  <c r="IB15" i="69"/>
  <c r="IA15" i="69"/>
  <c r="IH15" i="69"/>
  <c r="HZ16" i="69"/>
  <c r="E306" i="70"/>
  <c r="E302" i="69"/>
  <c r="HY14" i="70"/>
  <c r="I289" i="69"/>
  <c r="I285" i="70"/>
  <c r="G303" i="69"/>
  <c r="G311" i="69" s="1"/>
  <c r="G307" i="70"/>
  <c r="H277" i="69"/>
  <c r="HU13" i="70"/>
  <c r="H273" i="70"/>
  <c r="H266" i="69"/>
  <c r="H267" i="69"/>
  <c r="H269" i="69"/>
  <c r="H313" i="69"/>
  <c r="H268" i="69"/>
  <c r="H291" i="69"/>
  <c r="H290" i="69"/>
  <c r="H293" i="69"/>
  <c r="H315" i="69"/>
  <c r="H292" i="69"/>
  <c r="AB133" i="76"/>
  <c r="AB165" i="76"/>
  <c r="AB159" i="76"/>
  <c r="AB148" i="76"/>
  <c r="AB139" i="76"/>
  <c r="AB127" i="76"/>
  <c r="AB129" i="76"/>
  <c r="AB153" i="76"/>
  <c r="AB143" i="76"/>
  <c r="AB147" i="76"/>
  <c r="AB136" i="76"/>
  <c r="AB150" i="76"/>
  <c r="AB126" i="76"/>
  <c r="AB120" i="76"/>
  <c r="AF405" i="76"/>
  <c r="AF404" i="76"/>
  <c r="AF403" i="76"/>
  <c r="AF402" i="76"/>
  <c r="AF372" i="76"/>
  <c r="AF370" i="76"/>
  <c r="AF348" i="76"/>
  <c r="AF371" i="76"/>
  <c r="AF177" i="76"/>
  <c r="AF168" i="76"/>
  <c r="AF167" i="76"/>
  <c r="AF169" i="76"/>
  <c r="AF145" i="76"/>
  <c r="AF67" i="76"/>
  <c r="AF59" i="76"/>
  <c r="AF58" i="76"/>
  <c r="AF57" i="76"/>
  <c r="AF35" i="76"/>
  <c r="AB156" i="76"/>
  <c r="AB141" i="76"/>
  <c r="AB138" i="76"/>
  <c r="AB135" i="76"/>
  <c r="AB149" i="76"/>
  <c r="AB125" i="76"/>
  <c r="AB119" i="76"/>
  <c r="AN405" i="76"/>
  <c r="AN404" i="76"/>
  <c r="AN403" i="76"/>
  <c r="AN402" i="76"/>
  <c r="AN372" i="76"/>
  <c r="AN371" i="76"/>
  <c r="AN370" i="76"/>
  <c r="AN348" i="76"/>
  <c r="AN177" i="76"/>
  <c r="AN168" i="76"/>
  <c r="AN167" i="76"/>
  <c r="AN169" i="76"/>
  <c r="AN145" i="76"/>
  <c r="AN67" i="76"/>
  <c r="AN59" i="76"/>
  <c r="AN58" i="76"/>
  <c r="AN57" i="76"/>
  <c r="AN35" i="76"/>
  <c r="AB144" i="76"/>
  <c r="AB151" i="76"/>
  <c r="AB128" i="76"/>
  <c r="AB132" i="76"/>
  <c r="AB160" i="76"/>
  <c r="AB121" i="76"/>
  <c r="AB164" i="76"/>
  <c r="AB155" i="76"/>
  <c r="AB158" i="76"/>
  <c r="AB124" i="76"/>
  <c r="AB131" i="76"/>
  <c r="AB152" i="76"/>
  <c r="AB161" i="76"/>
  <c r="AB146" i="76"/>
  <c r="AB157" i="76"/>
  <c r="AB130" i="76"/>
  <c r="BH405" i="76"/>
  <c r="BH404" i="76"/>
  <c r="BH403" i="76"/>
  <c r="BH402" i="76"/>
  <c r="BH372" i="76"/>
  <c r="BH370" i="76"/>
  <c r="BH371" i="76"/>
  <c r="BH348" i="76"/>
  <c r="BH177" i="76"/>
  <c r="BH168" i="76"/>
  <c r="BH145" i="76"/>
  <c r="BH169" i="76"/>
  <c r="BH167" i="76"/>
  <c r="BH59" i="76"/>
  <c r="BH58" i="76"/>
  <c r="BH67" i="76"/>
  <c r="BH57" i="76"/>
  <c r="BH35" i="76"/>
  <c r="AB140" i="76"/>
  <c r="AB162" i="76"/>
  <c r="AB137" i="76"/>
  <c r="AB134" i="76"/>
  <c r="AB123" i="76"/>
  <c r="AB405" i="76"/>
  <c r="AB404" i="76"/>
  <c r="AB403" i="76"/>
  <c r="AB402" i="76"/>
  <c r="AB372" i="76"/>
  <c r="AB370" i="76"/>
  <c r="AB371" i="76"/>
  <c r="AB348" i="76"/>
  <c r="AB177" i="76"/>
  <c r="AB201" i="76" s="1"/>
  <c r="AB168" i="76"/>
  <c r="AB169" i="76"/>
  <c r="AB145" i="76"/>
  <c r="AB167" i="76"/>
  <c r="AB59" i="76"/>
  <c r="AB58" i="76"/>
  <c r="AB67" i="76"/>
  <c r="AB91" i="76" s="1"/>
  <c r="AB57" i="76"/>
  <c r="AB35" i="76"/>
  <c r="AB142" i="76"/>
  <c r="AB163" i="76"/>
  <c r="AB122" i="76"/>
  <c r="AB118" i="76"/>
  <c r="HT15" i="69" l="1"/>
  <c r="J299" i="69"/>
  <c r="AW1" i="75"/>
  <c r="J312" i="69"/>
  <c r="J255" i="69"/>
  <c r="J254" i="69"/>
  <c r="J257" i="69"/>
  <c r="AK99" i="75"/>
  <c r="AK105" i="75" s="1"/>
  <c r="L262" i="69" a="1"/>
  <c r="L262" i="69" s="1"/>
  <c r="HS14" i="69"/>
  <c r="HO16" i="69"/>
  <c r="I276" i="69"/>
  <c r="K252" i="69"/>
  <c r="L250" i="69" a="1"/>
  <c r="L250" i="69" s="1"/>
  <c r="M250" i="69" s="1" a="1"/>
  <c r="M250" i="69" s="1"/>
  <c r="HP16" i="69"/>
  <c r="HW14" i="69"/>
  <c r="IG14" i="69"/>
  <c r="AK95" i="75"/>
  <c r="J276" i="69"/>
  <c r="HW15" i="69"/>
  <c r="HX15" i="69"/>
  <c r="IG15" i="69"/>
  <c r="H294" i="69"/>
  <c r="H295" i="69" s="1"/>
  <c r="AS13" i="75"/>
  <c r="AS12" i="76" s="1"/>
  <c r="AS73" i="75"/>
  <c r="AS68" i="75"/>
  <c r="AS273" i="75"/>
  <c r="AS16" i="75"/>
  <c r="AS15" i="76" s="1"/>
  <c r="AS261" i="75"/>
  <c r="AS397" i="75"/>
  <c r="AS311" i="75"/>
  <c r="AS374" i="76" s="1"/>
  <c r="AS266" i="75"/>
  <c r="AS268" i="75"/>
  <c r="AS191" i="75"/>
  <c r="AS289" i="75"/>
  <c r="AS401" i="75"/>
  <c r="AS276" i="75"/>
  <c r="AS71" i="75"/>
  <c r="AS209" i="75"/>
  <c r="AS102" i="75"/>
  <c r="AS103" i="75"/>
  <c r="AS34" i="75"/>
  <c r="AS33" i="76" s="1"/>
  <c r="AS178" i="75"/>
  <c r="AS211" i="75"/>
  <c r="AS86" i="75"/>
  <c r="AS20" i="75"/>
  <c r="AS19" i="76" s="1"/>
  <c r="AS213" i="75"/>
  <c r="AS335" i="75"/>
  <c r="AS398" i="76" s="1"/>
  <c r="AS88" i="75"/>
  <c r="AS57" i="75"/>
  <c r="AS281" i="75"/>
  <c r="AS9" i="75"/>
  <c r="AS270" i="75"/>
  <c r="AS190" i="75"/>
  <c r="AS81" i="75"/>
  <c r="AS64" i="75"/>
  <c r="AS275" i="75"/>
  <c r="AS22" i="75"/>
  <c r="AS21" i="76" s="1"/>
  <c r="AS84" i="75"/>
  <c r="AS312" i="75"/>
  <c r="AS375" i="76" s="1"/>
  <c r="AS285" i="75"/>
  <c r="AS187" i="75"/>
  <c r="AS298" i="75"/>
  <c r="AS184" i="75"/>
  <c r="AS288" i="75"/>
  <c r="AS77" i="75"/>
  <c r="AS296" i="75"/>
  <c r="AS202" i="75"/>
  <c r="AS297" i="75"/>
  <c r="AS30" i="75"/>
  <c r="AS29" i="76" s="1"/>
  <c r="AS316" i="75"/>
  <c r="AS379" i="76" s="1"/>
  <c r="AS18" i="75"/>
  <c r="AS17" i="76" s="1"/>
  <c r="AS277" i="75"/>
  <c r="AS104" i="75"/>
  <c r="AS260" i="75"/>
  <c r="AS308" i="75"/>
  <c r="AS216" i="75"/>
  <c r="AS180" i="75"/>
  <c r="AS328" i="75"/>
  <c r="AS391" i="76" s="1"/>
  <c r="AS301" i="75"/>
  <c r="AS305" i="75"/>
  <c r="AS48" i="75"/>
  <c r="AS47" i="76" s="1"/>
  <c r="AS396" i="75"/>
  <c r="AS87" i="75"/>
  <c r="AS290" i="75"/>
  <c r="AS27" i="75"/>
  <c r="AS26" i="76" s="1"/>
  <c r="AS196" i="75"/>
  <c r="AS334" i="75"/>
  <c r="AS397" i="76" s="1"/>
  <c r="AS37" i="75"/>
  <c r="AS36" i="76" s="1"/>
  <c r="AS207" i="75"/>
  <c r="AS274" i="75"/>
  <c r="AS269" i="75"/>
  <c r="AS324" i="75"/>
  <c r="AS387" i="76" s="1"/>
  <c r="AS192" i="75"/>
  <c r="AS306" i="75"/>
  <c r="AS208" i="75"/>
  <c r="AS51" i="75"/>
  <c r="AS50" i="76" s="1"/>
  <c r="AS41" i="75"/>
  <c r="AS40" i="76" s="1"/>
  <c r="AS300" i="75"/>
  <c r="AS176" i="75"/>
  <c r="AS29" i="75"/>
  <c r="AS28" i="76" s="1"/>
  <c r="AS83" i="75"/>
  <c r="AS174" i="75"/>
  <c r="AS1" i="76"/>
  <c r="AS32" i="75"/>
  <c r="AS31" i="76" s="1"/>
  <c r="AS258" i="75"/>
  <c r="AS15" i="75"/>
  <c r="AS14" i="76" s="1"/>
  <c r="AS200" i="75"/>
  <c r="AS332" i="75"/>
  <c r="AS395" i="76" s="1"/>
  <c r="AS55" i="75"/>
  <c r="AS54" i="76" s="1"/>
  <c r="AS35" i="75"/>
  <c r="AS34" i="76" s="1"/>
  <c r="AS294" i="75"/>
  <c r="AS62" i="75"/>
  <c r="AS61" i="75"/>
  <c r="AS262" i="75"/>
  <c r="AS322" i="75"/>
  <c r="AS60" i="75"/>
  <c r="AS10" i="75"/>
  <c r="AS9" i="76" s="1"/>
  <c r="AS194" i="75"/>
  <c r="AS52" i="75"/>
  <c r="AS51" i="76" s="1"/>
  <c r="AS54" i="75"/>
  <c r="AS53" i="76" s="1"/>
  <c r="AS205" i="75"/>
  <c r="AS47" i="75"/>
  <c r="AS46" i="76" s="1"/>
  <c r="AS282" i="75"/>
  <c r="AS189" i="75"/>
  <c r="AS339" i="76" s="1"/>
  <c r="AS185" i="75"/>
  <c r="AS186" i="75"/>
  <c r="AS287" i="75"/>
  <c r="AS25" i="75"/>
  <c r="AS24" i="76" s="1"/>
  <c r="AS295" i="75"/>
  <c r="AS173" i="75"/>
  <c r="AS323" i="76" s="1"/>
  <c r="AS70" i="75"/>
  <c r="AS272" i="75"/>
  <c r="AS78" i="75"/>
  <c r="AS198" i="75"/>
  <c r="AS292" i="75"/>
  <c r="AS67" i="75"/>
  <c r="AS299" i="75"/>
  <c r="AS33" i="75"/>
  <c r="AS32" i="76" s="1"/>
  <c r="AS303" i="75"/>
  <c r="AS66" i="75"/>
  <c r="AS212" i="75"/>
  <c r="AS201" i="75"/>
  <c r="AS188" i="75"/>
  <c r="AS286" i="75"/>
  <c r="AS90" i="75"/>
  <c r="AS218" i="75"/>
  <c r="AS56" i="75"/>
  <c r="AS55" i="76" s="1"/>
  <c r="AS265" i="75"/>
  <c r="AS175" i="75"/>
  <c r="AS325" i="76" s="1"/>
  <c r="AS302" i="75"/>
  <c r="AS59" i="75"/>
  <c r="AS309" i="75"/>
  <c r="AS179" i="75"/>
  <c r="AS329" i="76" s="1"/>
  <c r="AS405" i="75"/>
  <c r="AS404" i="75"/>
  <c r="AS326" i="75"/>
  <c r="AS389" i="76" s="1"/>
  <c r="AS80" i="75"/>
  <c r="AS23" i="75"/>
  <c r="AS22" i="76" s="1"/>
  <c r="AS172" i="75"/>
  <c r="AS400" i="75"/>
  <c r="AS72" i="75"/>
  <c r="AS63" i="75"/>
  <c r="AS402" i="75"/>
  <c r="AS199" i="75"/>
  <c r="AS310" i="75"/>
  <c r="AS373" i="76" s="1"/>
  <c r="AS336" i="75"/>
  <c r="AS399" i="76" s="1"/>
  <c r="AS19" i="75"/>
  <c r="AS18" i="76" s="1"/>
  <c r="AS75" i="75"/>
  <c r="AS304" i="75"/>
  <c r="AS215" i="75"/>
  <c r="AS181" i="75"/>
  <c r="AS284" i="75"/>
  <c r="AS36" i="75"/>
  <c r="AS69" i="75"/>
  <c r="AS26" i="75"/>
  <c r="AS25" i="76" s="1"/>
  <c r="AS38" i="75"/>
  <c r="AS37" i="76" s="1"/>
  <c r="AS193" i="75"/>
  <c r="AS259" i="75"/>
  <c r="AS76" i="75"/>
  <c r="AS210" i="75"/>
  <c r="AS360" i="76" s="1"/>
  <c r="AS293" i="75"/>
  <c r="AS183" i="75"/>
  <c r="AS85" i="75"/>
  <c r="AS330" i="75"/>
  <c r="AS393" i="76" s="1"/>
  <c r="AS291" i="75"/>
  <c r="AS28" i="75"/>
  <c r="AS27" i="76" s="1"/>
  <c r="AS399" i="75"/>
  <c r="AS45" i="75"/>
  <c r="AS44" i="76" s="1"/>
  <c r="AS58" i="75"/>
  <c r="AS398" i="75"/>
  <c r="AS74" i="75"/>
  <c r="AS65" i="75"/>
  <c r="AS217" i="75"/>
  <c r="AS367" i="76" s="1"/>
  <c r="AS313" i="75"/>
  <c r="AS376" i="76" s="1"/>
  <c r="AS40" i="75"/>
  <c r="AS39" i="76" s="1"/>
  <c r="AS403" i="75"/>
  <c r="AS182" i="75"/>
  <c r="AS279" i="75"/>
  <c r="AS337" i="75"/>
  <c r="AS400" i="76" s="1"/>
  <c r="AS17" i="75"/>
  <c r="AS16" i="76" s="1"/>
  <c r="AS89" i="75"/>
  <c r="AS395" i="75"/>
  <c r="AS203" i="75"/>
  <c r="AS12" i="75"/>
  <c r="AS11" i="76" s="1"/>
  <c r="AS171" i="75"/>
  <c r="AS271" i="75"/>
  <c r="AS11" i="75"/>
  <c r="AS10" i="76" s="1"/>
  <c r="AS204" i="75"/>
  <c r="AS82" i="75"/>
  <c r="AS307" i="75"/>
  <c r="AS197" i="75"/>
  <c r="AS43" i="75"/>
  <c r="AS42" i="76" s="1"/>
  <c r="AS39" i="75"/>
  <c r="AS38" i="76" s="1"/>
  <c r="AS264" i="75"/>
  <c r="AS315" i="75"/>
  <c r="AS378" i="76" s="1"/>
  <c r="AS21" i="75"/>
  <c r="AS20" i="76" s="1"/>
  <c r="AS278" i="75"/>
  <c r="AS14" i="75"/>
  <c r="AS13" i="76" s="1"/>
  <c r="AS44" i="75"/>
  <c r="AS43" i="76" s="1"/>
  <c r="AS79" i="75"/>
  <c r="AS214" i="75"/>
  <c r="AS49" i="75"/>
  <c r="AS48" i="76" s="1"/>
  <c r="AS177" i="75"/>
  <c r="AS50" i="75"/>
  <c r="AS49" i="76" s="1"/>
  <c r="AS314" i="75"/>
  <c r="AS377" i="76" s="1"/>
  <c r="AS206" i="75"/>
  <c r="AS263" i="75"/>
  <c r="AS42" i="75"/>
  <c r="AS41" i="76" s="1"/>
  <c r="AS53" i="75"/>
  <c r="AS52" i="76" s="1"/>
  <c r="AS280" i="75"/>
  <c r="AS283" i="75"/>
  <c r="AS195" i="75"/>
  <c r="AS24" i="75"/>
  <c r="AS23" i="76" s="1"/>
  <c r="AS46" i="75"/>
  <c r="AS45" i="76" s="1"/>
  <c r="AS31" i="75"/>
  <c r="AS30" i="76" s="1"/>
  <c r="AS267" i="75"/>
  <c r="J304" i="70"/>
  <c r="J300" i="69"/>
  <c r="J308" i="69" s="1"/>
  <c r="H258" i="69"/>
  <c r="H259" i="69" s="1"/>
  <c r="I258" i="69"/>
  <c r="I259" i="69" s="1"/>
  <c r="AW29" i="75"/>
  <c r="AW28" i="76" s="1"/>
  <c r="AW284" i="75"/>
  <c r="AW279" i="75"/>
  <c r="AW399" i="75"/>
  <c r="AW61" i="75"/>
  <c r="AW215" i="75"/>
  <c r="AW38" i="75"/>
  <c r="AW37" i="76" s="1"/>
  <c r="AW78" i="75"/>
  <c r="AW398" i="75"/>
  <c r="AW324" i="75"/>
  <c r="AW387" i="76" s="1"/>
  <c r="AW36" i="75"/>
  <c r="AW206" i="75"/>
  <c r="AW302" i="75"/>
  <c r="AW63" i="75"/>
  <c r="AW268" i="75"/>
  <c r="AW298" i="75"/>
  <c r="AW201" i="75"/>
  <c r="AW273" i="75"/>
  <c r="AW48" i="75"/>
  <c r="AW47" i="76" s="1"/>
  <c r="AW405" i="75"/>
  <c r="AW212" i="75"/>
  <c r="AW52" i="75"/>
  <c r="AW51" i="76" s="1"/>
  <c r="AW295" i="75"/>
  <c r="AW265" i="75"/>
  <c r="AW297" i="75"/>
  <c r="AW293" i="75"/>
  <c r="AW42" i="75"/>
  <c r="AW41" i="76" s="1"/>
  <c r="AW313" i="75"/>
  <c r="AW376" i="76" s="1"/>
  <c r="AW179" i="75"/>
  <c r="AW39" i="75"/>
  <c r="AW38" i="76" s="1"/>
  <c r="AW272" i="75"/>
  <c r="AW16" i="75"/>
  <c r="AW15" i="76" s="1"/>
  <c r="AW72" i="75"/>
  <c r="AW21" i="75"/>
  <c r="AW20" i="76" s="1"/>
  <c r="AW26" i="75"/>
  <c r="AW25" i="76" s="1"/>
  <c r="AW262" i="75"/>
  <c r="AW88" i="75"/>
  <c r="AW328" i="75"/>
  <c r="AW391" i="76" s="1"/>
  <c r="AW50" i="75"/>
  <c r="AW49" i="76" s="1"/>
  <c r="AW202" i="75"/>
  <c r="AW326" i="75"/>
  <c r="AW389" i="76" s="1"/>
  <c r="AW176" i="75"/>
  <c r="AW59" i="75"/>
  <c r="AW76" i="75"/>
  <c r="AW271" i="75"/>
  <c r="AW207" i="75"/>
  <c r="AW269" i="75"/>
  <c r="AW401" i="75"/>
  <c r="AW40" i="75"/>
  <c r="AW39" i="76" s="1"/>
  <c r="AW180" i="75"/>
  <c r="AW286" i="75"/>
  <c r="AW35" i="75"/>
  <c r="AW34" i="76" s="1"/>
  <c r="AW57" i="75"/>
  <c r="AW281" i="75"/>
  <c r="AW173" i="75"/>
  <c r="AW33" i="75"/>
  <c r="AW32" i="76" s="1"/>
  <c r="AW37" i="75"/>
  <c r="AW36" i="76" s="1"/>
  <c r="AW83" i="75"/>
  <c r="AW403" i="75"/>
  <c r="AW12" i="75"/>
  <c r="AW11" i="76" s="1"/>
  <c r="AW51" i="75"/>
  <c r="AW50" i="76" s="1"/>
  <c r="AW209" i="75"/>
  <c r="AW69" i="75"/>
  <c r="AW402" i="75"/>
  <c r="AW213" i="75"/>
  <c r="AW191" i="75"/>
  <c r="AW46" i="75"/>
  <c r="AW45" i="76" s="1"/>
  <c r="AW53" i="75"/>
  <c r="AW52" i="76" s="1"/>
  <c r="AW208" i="75"/>
  <c r="AW261" i="75"/>
  <c r="AW397" i="75"/>
  <c r="AW266" i="75"/>
  <c r="AW289" i="75"/>
  <c r="AW90" i="75"/>
  <c r="AW274" i="75"/>
  <c r="AW184" i="75"/>
  <c r="AW41" i="75"/>
  <c r="AW40" i="76" s="1"/>
  <c r="AW198" i="75"/>
  <c r="AW177" i="75"/>
  <c r="AW288" i="75"/>
  <c r="AW102" i="75"/>
  <c r="AW336" i="75"/>
  <c r="AW399" i="76" s="1"/>
  <c r="AW172" i="75"/>
  <c r="AW64" i="75"/>
  <c r="AW13" i="75"/>
  <c r="AW12" i="76" s="1"/>
  <c r="AW267" i="75"/>
  <c r="AW195" i="75"/>
  <c r="AW44" i="75"/>
  <c r="AW43" i="76" s="1"/>
  <c r="AW24" i="75"/>
  <c r="AW23" i="76" s="1"/>
  <c r="AW30" i="75"/>
  <c r="AW29" i="76" s="1"/>
  <c r="AW400" i="75"/>
  <c r="AW70" i="75"/>
  <c r="AW314" i="75"/>
  <c r="AW377" i="76" s="1"/>
  <c r="AW278" i="75"/>
  <c r="AW315" i="75"/>
  <c r="AW378" i="76" s="1"/>
  <c r="AW194" i="75"/>
  <c r="AW290" i="75"/>
  <c r="AW299" i="75"/>
  <c r="AW264" i="75"/>
  <c r="AW283" i="75"/>
  <c r="AW19" i="75"/>
  <c r="AW18" i="76" s="1"/>
  <c r="AW84" i="75"/>
  <c r="AW65" i="75"/>
  <c r="AW204" i="75"/>
  <c r="AW86" i="75"/>
  <c r="AW182" i="75"/>
  <c r="AW58" i="75"/>
  <c r="AW1" i="76"/>
  <c r="AW280" i="75"/>
  <c r="AW32" i="75"/>
  <c r="AW31" i="76" s="1"/>
  <c r="AW67" i="75"/>
  <c r="AW56" i="75"/>
  <c r="AW55" i="76" s="1"/>
  <c r="AW322" i="75"/>
  <c r="AW75" i="75"/>
  <c r="AW20" i="75"/>
  <c r="AW19" i="76" s="1"/>
  <c r="AW396" i="75"/>
  <c r="AW79" i="75"/>
  <c r="AW199" i="75"/>
  <c r="AW23" i="75"/>
  <c r="AW22" i="76" s="1"/>
  <c r="AW334" i="75"/>
  <c r="AW397" i="76" s="1"/>
  <c r="AW14" i="75"/>
  <c r="AW13" i="76" s="1"/>
  <c r="AW296" i="75"/>
  <c r="AW49" i="75"/>
  <c r="AW48" i="76" s="1"/>
  <c r="AW205" i="75"/>
  <c r="AW77" i="75"/>
  <c r="AW73" i="75"/>
  <c r="AW312" i="75"/>
  <c r="AW375" i="76" s="1"/>
  <c r="AW27" i="75"/>
  <c r="AW26" i="76" s="1"/>
  <c r="AW178" i="75"/>
  <c r="AW80" i="75"/>
  <c r="AW210" i="75"/>
  <c r="AW104" i="75"/>
  <c r="AW259" i="75"/>
  <c r="AW31" i="75"/>
  <c r="AW30" i="76" s="1"/>
  <c r="AW185" i="75"/>
  <c r="AW335" i="76" s="1"/>
  <c r="AW66" i="75"/>
  <c r="AW62" i="75"/>
  <c r="AW45" i="75"/>
  <c r="AW44" i="76" s="1"/>
  <c r="AW81" i="75"/>
  <c r="AW82" i="75"/>
  <c r="AW9" i="75"/>
  <c r="AW197" i="75"/>
  <c r="AW347" i="76" s="1"/>
  <c r="AW301" i="75"/>
  <c r="AW311" i="75"/>
  <c r="AW374" i="76" s="1"/>
  <c r="AW258" i="75"/>
  <c r="AW337" i="75"/>
  <c r="AW400" i="76" s="1"/>
  <c r="AW217" i="75"/>
  <c r="AW275" i="75"/>
  <c r="AW395" i="75"/>
  <c r="AW404" i="75"/>
  <c r="AW316" i="75"/>
  <c r="AW379" i="76" s="1"/>
  <c r="AW330" i="75"/>
  <c r="AW393" i="76" s="1"/>
  <c r="AW47" i="75"/>
  <c r="AW46" i="76" s="1"/>
  <c r="AW285" i="75"/>
  <c r="AW68" i="75"/>
  <c r="AW43" i="75"/>
  <c r="AW42" i="76" s="1"/>
  <c r="AW216" i="75"/>
  <c r="AW103" i="75"/>
  <c r="AW214" i="75"/>
  <c r="AW364" i="76" s="1"/>
  <c r="AW277" i="75"/>
  <c r="AW307" i="75"/>
  <c r="AW71" i="75"/>
  <c r="AW287" i="75"/>
  <c r="AW15" i="75"/>
  <c r="AW14" i="76" s="1"/>
  <c r="AW196" i="75"/>
  <c r="AW190" i="75"/>
  <c r="AW28" i="75"/>
  <c r="AW27" i="76" s="1"/>
  <c r="AW17" i="75"/>
  <c r="AW16" i="76" s="1"/>
  <c r="AW310" i="75"/>
  <c r="AW373" i="76" s="1"/>
  <c r="AW260" i="75"/>
  <c r="AW303" i="75"/>
  <c r="AW192" i="75"/>
  <c r="AW189" i="75"/>
  <c r="AW309" i="75"/>
  <c r="AW181" i="75"/>
  <c r="AW331" i="76" s="1"/>
  <c r="AW55" i="75"/>
  <c r="AW54" i="76" s="1"/>
  <c r="AW25" i="75"/>
  <c r="AW24" i="76" s="1"/>
  <c r="AW332" i="75"/>
  <c r="AW395" i="76" s="1"/>
  <c r="AW203" i="75"/>
  <c r="AW10" i="75"/>
  <c r="AW9" i="76" s="1"/>
  <c r="AW292" i="75"/>
  <c r="AW60" i="75"/>
  <c r="AW174" i="75"/>
  <c r="AW54" i="75"/>
  <c r="AW53" i="76" s="1"/>
  <c r="AW282" i="75"/>
  <c r="AW183" i="75"/>
  <c r="AW175" i="75"/>
  <c r="AW74" i="75"/>
  <c r="AW34" i="75"/>
  <c r="AW33" i="76" s="1"/>
  <c r="AW270" i="75"/>
  <c r="AW193" i="75"/>
  <c r="AW300" i="75"/>
  <c r="AW308" i="75"/>
  <c r="AW87" i="75"/>
  <c r="AW263" i="75"/>
  <c r="AW85" i="75"/>
  <c r="AW22" i="75"/>
  <c r="AW21" i="76" s="1"/>
  <c r="AW11" i="75"/>
  <c r="AW10" i="76" s="1"/>
  <c r="AW305" i="75"/>
  <c r="AW171" i="75"/>
  <c r="AW294" i="75"/>
  <c r="AW211" i="75"/>
  <c r="AW200" i="75"/>
  <c r="AW350" i="76" s="1"/>
  <c r="AW186" i="75"/>
  <c r="AW336" i="76" s="1"/>
  <c r="AW89" i="75"/>
  <c r="AW291" i="75"/>
  <c r="AW18" i="75"/>
  <c r="AW17" i="76" s="1"/>
  <c r="AW306" i="75"/>
  <c r="AW218" i="75"/>
  <c r="AW304" i="75"/>
  <c r="AW188" i="75"/>
  <c r="AW187" i="75"/>
  <c r="AW335" i="75"/>
  <c r="AW398" i="76" s="1"/>
  <c r="AW276" i="75"/>
  <c r="AO403" i="75"/>
  <c r="AO209" i="75"/>
  <c r="AO313" i="75"/>
  <c r="AO376" i="76" s="1"/>
  <c r="AO326" i="75"/>
  <c r="AO389" i="76" s="1"/>
  <c r="AO30" i="75"/>
  <c r="AO29" i="76" s="1"/>
  <c r="AO267" i="75"/>
  <c r="AO72" i="75"/>
  <c r="AO260" i="75"/>
  <c r="AO192" i="75"/>
  <c r="AO285" i="75"/>
  <c r="AO335" i="75"/>
  <c r="AO398" i="76" s="1"/>
  <c r="AO189" i="75"/>
  <c r="AO404" i="75"/>
  <c r="AO213" i="75"/>
  <c r="AO44" i="75"/>
  <c r="AO43" i="76" s="1"/>
  <c r="AO196" i="75"/>
  <c r="AO190" i="75"/>
  <c r="AO15" i="75"/>
  <c r="AO14" i="76" s="1"/>
  <c r="AO273" i="75"/>
  <c r="AO62" i="75"/>
  <c r="AO182" i="75"/>
  <c r="AO28" i="75"/>
  <c r="AO27" i="76" s="1"/>
  <c r="AO263" i="75"/>
  <c r="AO266" i="75"/>
  <c r="AO188" i="75"/>
  <c r="AO29" i="75"/>
  <c r="AO28" i="76" s="1"/>
  <c r="AO171" i="75"/>
  <c r="AO272" i="75"/>
  <c r="AO89" i="75"/>
  <c r="AO396" i="75"/>
  <c r="AO77" i="75"/>
  <c r="AO87" i="75"/>
  <c r="AO10" i="75"/>
  <c r="AO9" i="76" s="1"/>
  <c r="AO68" i="75"/>
  <c r="AO310" i="75"/>
  <c r="AO373" i="76" s="1"/>
  <c r="AO178" i="75"/>
  <c r="AO259" i="75"/>
  <c r="AO405" i="75"/>
  <c r="AO9" i="75"/>
  <c r="AO63" i="75"/>
  <c r="AO193" i="75"/>
  <c r="AO42" i="75"/>
  <c r="AO41" i="76" s="1"/>
  <c r="AO57" i="75"/>
  <c r="AO299" i="75"/>
  <c r="AO20" i="75"/>
  <c r="AO19" i="76" s="1"/>
  <c r="AO13" i="75"/>
  <c r="AO12" i="76" s="1"/>
  <c r="AO45" i="75"/>
  <c r="AO44" i="76" s="1"/>
  <c r="AO283" i="75"/>
  <c r="AO183" i="75"/>
  <c r="AO86" i="75"/>
  <c r="AO55" i="75"/>
  <c r="AO54" i="76" s="1"/>
  <c r="AO75" i="75"/>
  <c r="AO25" i="75"/>
  <c r="AO24" i="76" s="1"/>
  <c r="AO38" i="75"/>
  <c r="AO37" i="76" s="1"/>
  <c r="AO32" i="75"/>
  <c r="AO31" i="76" s="1"/>
  <c r="AO261" i="75"/>
  <c r="AO334" i="75"/>
  <c r="AO397" i="76" s="1"/>
  <c r="AO395" i="75"/>
  <c r="AO17" i="75"/>
  <c r="AO16" i="76" s="1"/>
  <c r="AO11" i="75"/>
  <c r="AO10" i="76" s="1"/>
  <c r="AO398" i="75"/>
  <c r="AO208" i="75"/>
  <c r="AO59" i="75"/>
  <c r="AO24" i="75"/>
  <c r="AO23" i="76" s="1"/>
  <c r="AO104" i="75"/>
  <c r="AO312" i="75"/>
  <c r="AO375" i="76" s="1"/>
  <c r="AO14" i="75"/>
  <c r="AO13" i="76" s="1"/>
  <c r="AO37" i="75"/>
  <c r="AO36" i="76" s="1"/>
  <c r="AO307" i="75"/>
  <c r="AO308" i="75"/>
  <c r="AO205" i="75"/>
  <c r="AO295" i="75"/>
  <c r="AO191" i="75"/>
  <c r="AO304" i="75"/>
  <c r="AO176" i="75"/>
  <c r="AO279" i="75"/>
  <c r="AO289" i="75"/>
  <c r="AO332" i="75"/>
  <c r="AO395" i="76" s="1"/>
  <c r="AO74" i="75"/>
  <c r="AO277" i="75"/>
  <c r="AO70" i="75"/>
  <c r="AO284" i="75"/>
  <c r="AO85" i="75"/>
  <c r="AO217" i="75"/>
  <c r="AO262" i="75"/>
  <c r="AO288" i="75"/>
  <c r="AO397" i="75"/>
  <c r="AO194" i="75"/>
  <c r="AO80" i="75"/>
  <c r="AO315" i="75"/>
  <c r="AO378" i="76" s="1"/>
  <c r="AO40" i="75"/>
  <c r="AO39" i="76" s="1"/>
  <c r="AO296" i="75"/>
  <c r="AO103" i="75"/>
  <c r="AO282" i="75"/>
  <c r="AO324" i="75"/>
  <c r="AO387" i="76" s="1"/>
  <c r="AO81" i="75"/>
  <c r="AO203" i="75"/>
  <c r="AO56" i="75"/>
  <c r="AO55" i="76" s="1"/>
  <c r="AO187" i="75"/>
  <c r="AO52" i="75"/>
  <c r="AO51" i="76" s="1"/>
  <c r="AO204" i="75"/>
  <c r="AO43" i="75"/>
  <c r="AO42" i="76" s="1"/>
  <c r="AO172" i="75"/>
  <c r="AO16" i="75"/>
  <c r="AO15" i="76" s="1"/>
  <c r="AO211" i="75"/>
  <c r="AO293" i="75"/>
  <c r="AO197" i="75"/>
  <c r="AO83" i="75"/>
  <c r="AO179" i="75"/>
  <c r="AO26" i="75"/>
  <c r="AO25" i="76" s="1"/>
  <c r="AO78" i="75"/>
  <c r="AO65" i="75"/>
  <c r="AO328" i="75"/>
  <c r="AO391" i="76" s="1"/>
  <c r="AO54" i="75"/>
  <c r="AO53" i="76" s="1"/>
  <c r="AO268" i="75"/>
  <c r="AO69" i="75"/>
  <c r="AO265" i="75"/>
  <c r="AO64" i="75"/>
  <c r="AO102" i="75"/>
  <c r="AO50" i="75"/>
  <c r="AO49" i="76" s="1"/>
  <c r="AO300" i="75"/>
  <c r="AO23" i="75"/>
  <c r="AO22" i="76" s="1"/>
  <c r="AO66" i="75"/>
  <c r="AO274" i="75"/>
  <c r="AO311" i="75"/>
  <c r="AO374" i="76" s="1"/>
  <c r="AO49" i="75"/>
  <c r="AO48" i="76" s="1"/>
  <c r="AO60" i="75"/>
  <c r="AO212" i="75"/>
  <c r="AO298" i="75"/>
  <c r="AO36" i="75"/>
  <c r="AO35" i="75"/>
  <c r="AO34" i="76" s="1"/>
  <c r="AO280" i="75"/>
  <c r="AO18" i="75"/>
  <c r="AO17" i="76" s="1"/>
  <c r="AO180" i="75"/>
  <c r="AO330" i="76" s="1"/>
  <c r="AO336" i="75"/>
  <c r="AO399" i="76" s="1"/>
  <c r="AO202" i="75"/>
  <c r="AO278" i="75"/>
  <c r="AO21" i="75"/>
  <c r="AO20" i="76" s="1"/>
  <c r="AO27" i="75"/>
  <c r="AO26" i="76" s="1"/>
  <c r="AO309" i="75"/>
  <c r="AO314" i="75"/>
  <c r="AO377" i="76" s="1"/>
  <c r="AO303" i="75"/>
  <c r="AO51" i="75"/>
  <c r="AO50" i="76" s="1"/>
  <c r="AO67" i="75"/>
  <c r="AO181" i="75"/>
  <c r="AO275" i="75"/>
  <c r="AO46" i="75"/>
  <c r="AO45" i="76" s="1"/>
  <c r="AO306" i="75"/>
  <c r="AO207" i="75"/>
  <c r="AO177" i="75"/>
  <c r="AO292" i="75"/>
  <c r="AO301" i="75"/>
  <c r="AO82" i="75"/>
  <c r="AO290" i="75"/>
  <c r="AO19" i="75"/>
  <c r="AO18" i="76" s="1"/>
  <c r="AO41" i="75"/>
  <c r="AO40" i="76" s="1"/>
  <c r="AO58" i="75"/>
  <c r="AO316" i="75"/>
  <c r="AO379" i="76" s="1"/>
  <c r="AO31" i="75"/>
  <c r="AO30" i="76" s="1"/>
  <c r="AO79" i="75"/>
  <c r="AO47" i="75"/>
  <c r="AO46" i="76" s="1"/>
  <c r="AO184" i="75"/>
  <c r="AO334" i="76" s="1"/>
  <c r="AO61" i="75"/>
  <c r="AO76" i="75"/>
  <c r="AO34" i="75"/>
  <c r="AO33" i="76" s="1"/>
  <c r="AO322" i="75"/>
  <c r="AO400" i="75"/>
  <c r="AO201" i="75"/>
  <c r="AO200" i="75"/>
  <c r="AO401" i="75"/>
  <c r="AO218" i="75"/>
  <c r="AO174" i="75"/>
  <c r="AO12" i="75"/>
  <c r="AO11" i="76" s="1"/>
  <c r="AO402" i="75"/>
  <c r="AO53" i="75"/>
  <c r="AO52" i="76" s="1"/>
  <c r="AO215" i="75"/>
  <c r="AO214" i="75"/>
  <c r="AO399" i="75"/>
  <c r="AO210" i="75"/>
  <c r="AO90" i="75"/>
  <c r="AO294" i="75"/>
  <c r="AO39" i="75"/>
  <c r="AO38" i="76" s="1"/>
  <c r="AO175" i="75"/>
  <c r="AO264" i="75"/>
  <c r="AO22" i="75"/>
  <c r="AO21" i="76" s="1"/>
  <c r="AO186" i="75"/>
  <c r="AO199" i="75"/>
  <c r="AO281" i="75"/>
  <c r="AO330" i="75"/>
  <c r="AO393" i="76" s="1"/>
  <c r="AO173" i="75"/>
  <c r="AO287" i="75"/>
  <c r="AO291" i="75"/>
  <c r="AO84" i="75"/>
  <c r="AO216" i="75"/>
  <c r="AO258" i="75"/>
  <c r="AO73" i="75"/>
  <c r="AO71" i="75"/>
  <c r="AO305" i="75"/>
  <c r="AO297" i="75"/>
  <c r="AO271" i="75"/>
  <c r="AO48" i="75"/>
  <c r="AO47" i="76" s="1"/>
  <c r="AO269" i="75"/>
  <c r="AO206" i="75"/>
  <c r="AO33" i="75"/>
  <c r="AO32" i="76" s="1"/>
  <c r="AO1" i="76"/>
  <c r="AO270" i="75"/>
  <c r="AO185" i="75"/>
  <c r="AO335" i="76" s="1"/>
  <c r="AO195" i="75"/>
  <c r="AO88" i="75"/>
  <c r="AO198" i="75"/>
  <c r="AO337" i="75"/>
  <c r="AO400" i="76" s="1"/>
  <c r="AO286" i="75"/>
  <c r="AO276" i="75"/>
  <c r="AO302" i="75"/>
  <c r="M251" i="69"/>
  <c r="J258" i="69"/>
  <c r="J259" i="69" s="1"/>
  <c r="H304" i="70"/>
  <c r="H300" i="69"/>
  <c r="H308" i="69" s="1"/>
  <c r="I304" i="70"/>
  <c r="I300" i="69"/>
  <c r="I308" i="69" s="1"/>
  <c r="L274" i="69" a="1"/>
  <c r="L274" i="69" s="1"/>
  <c r="K275" i="69"/>
  <c r="HV16" i="69" s="1"/>
  <c r="HW16" i="69" s="1"/>
  <c r="N250" i="69" a="1"/>
  <c r="N250" i="69" s="1"/>
  <c r="N251" i="69" s="1"/>
  <c r="IH16" i="69"/>
  <c r="IB16" i="69"/>
  <c r="K288" i="69"/>
  <c r="IA16" i="69"/>
  <c r="H305" i="70"/>
  <c r="H301" i="69"/>
  <c r="H309" i="69" s="1"/>
  <c r="HZ17" i="69"/>
  <c r="HZ18" i="69" s="1"/>
  <c r="AC96" i="75"/>
  <c r="AC99" i="75" s="1"/>
  <c r="AC105" i="75" s="1"/>
  <c r="AC95" i="75"/>
  <c r="AL106" i="75"/>
  <c r="AK107" i="75"/>
  <c r="F282" i="69"/>
  <c r="F283" i="69" s="1"/>
  <c r="J261" i="70"/>
  <c r="HQ15" i="70"/>
  <c r="J265" i="69"/>
  <c r="H307" i="70"/>
  <c r="H303" i="69"/>
  <c r="H311" i="69" s="1"/>
  <c r="H278" i="69"/>
  <c r="H279" i="69"/>
  <c r="H280" i="69"/>
  <c r="H281" i="69"/>
  <c r="H314" i="69"/>
  <c r="E309" i="69"/>
  <c r="IF16" i="69"/>
  <c r="HT16" i="69"/>
  <c r="HS16" i="69"/>
  <c r="K264" i="69"/>
  <c r="AG96" i="75"/>
  <c r="AG99" i="75" s="1"/>
  <c r="AG105" i="75" s="1"/>
  <c r="AG95" i="75"/>
  <c r="F306" i="70"/>
  <c r="F302" i="69"/>
  <c r="F310" i="69" s="1"/>
  <c r="I293" i="69"/>
  <c r="I290" i="69"/>
  <c r="I292" i="69"/>
  <c r="I315" i="69"/>
  <c r="I291" i="69"/>
  <c r="J285" i="70"/>
  <c r="HY15" i="70"/>
  <c r="J289" i="69"/>
  <c r="G282" i="69"/>
  <c r="G283" i="69" s="1"/>
  <c r="M262" i="69" a="1"/>
  <c r="M262" i="69" s="1"/>
  <c r="L263" i="69"/>
  <c r="HR17" i="69" s="1"/>
  <c r="J277" i="69"/>
  <c r="J273" i="70"/>
  <c r="HU15" i="70"/>
  <c r="I265" i="69"/>
  <c r="I261" i="70"/>
  <c r="HQ14" i="70"/>
  <c r="H270" i="69"/>
  <c r="H271" i="69" s="1"/>
  <c r="E310" i="69"/>
  <c r="I277" i="69"/>
  <c r="I273" i="70"/>
  <c r="HU14" i="70"/>
  <c r="G302" i="69"/>
  <c r="G310" i="69" s="1"/>
  <c r="G306" i="70"/>
  <c r="N287" i="69"/>
  <c r="O286" i="69" a="1"/>
  <c r="O286" i="69" s="1"/>
  <c r="BH135" i="76"/>
  <c r="AV141" i="76"/>
  <c r="AV155" i="76"/>
  <c r="AV156" i="76"/>
  <c r="AN159" i="76"/>
  <c r="AN149" i="76"/>
  <c r="AN141" i="76"/>
  <c r="AN153" i="76"/>
  <c r="AN132" i="76"/>
  <c r="AN157" i="76"/>
  <c r="BH136" i="76"/>
  <c r="BH140" i="76"/>
  <c r="BH128" i="76"/>
  <c r="BH120" i="76"/>
  <c r="AF148" i="76"/>
  <c r="AF151" i="76"/>
  <c r="AF156" i="76"/>
  <c r="AF135" i="76"/>
  <c r="AV160" i="76"/>
  <c r="AV132" i="76"/>
  <c r="AV140" i="76"/>
  <c r="AV128" i="76"/>
  <c r="AV138" i="76"/>
  <c r="AV161" i="76"/>
  <c r="BD149" i="76"/>
  <c r="BD165" i="76"/>
  <c r="BD163" i="76"/>
  <c r="AR135" i="76"/>
  <c r="AR158" i="76"/>
  <c r="AJ122" i="76"/>
  <c r="AJ142" i="76"/>
  <c r="AJ147" i="76"/>
  <c r="BL148" i="76"/>
  <c r="BL128" i="76"/>
  <c r="BL155" i="76"/>
  <c r="BL158" i="76"/>
  <c r="BL127" i="76"/>
  <c r="AJ130" i="76"/>
  <c r="AJ158" i="76"/>
  <c r="AJ162" i="76"/>
  <c r="AZ135" i="76"/>
  <c r="AZ162" i="76"/>
  <c r="AZ143" i="76"/>
  <c r="AZ130" i="76"/>
  <c r="AZ153" i="76"/>
  <c r="AB200" i="76"/>
  <c r="AJ405" i="76"/>
  <c r="AJ403" i="76"/>
  <c r="AJ404" i="76"/>
  <c r="AJ402" i="76"/>
  <c r="AJ372" i="76"/>
  <c r="AJ370" i="76"/>
  <c r="AJ371" i="76"/>
  <c r="AJ348" i="76"/>
  <c r="AJ177" i="76"/>
  <c r="AJ168" i="76"/>
  <c r="AJ169" i="76"/>
  <c r="AJ145" i="76"/>
  <c r="AJ167" i="76"/>
  <c r="AJ59" i="76"/>
  <c r="AJ58" i="76"/>
  <c r="AJ67" i="76"/>
  <c r="AJ35" i="76"/>
  <c r="AJ57" i="76"/>
  <c r="AF157" i="76"/>
  <c r="AN121" i="76"/>
  <c r="AN123" i="76"/>
  <c r="AN150" i="76"/>
  <c r="AN131" i="76"/>
  <c r="BH158" i="76"/>
  <c r="BH141" i="76"/>
  <c r="BH131" i="76"/>
  <c r="BH125" i="76"/>
  <c r="BH163" i="76"/>
  <c r="AF128" i="76"/>
  <c r="AF144" i="76"/>
  <c r="AF132" i="76"/>
  <c r="AF158" i="76"/>
  <c r="AF119" i="76"/>
  <c r="AF124" i="76"/>
  <c r="AF129" i="76"/>
  <c r="AV125" i="76"/>
  <c r="AV139" i="76"/>
  <c r="AV127" i="76"/>
  <c r="AV147" i="76"/>
  <c r="BD136" i="76"/>
  <c r="BD134" i="76"/>
  <c r="BD152" i="76"/>
  <c r="BD140" i="76"/>
  <c r="BD128" i="76"/>
  <c r="BD160" i="76"/>
  <c r="AR119" i="76"/>
  <c r="AR159" i="76"/>
  <c r="AR148" i="76"/>
  <c r="AR146" i="76"/>
  <c r="AR142" i="76"/>
  <c r="AR128" i="76"/>
  <c r="AR124" i="76"/>
  <c r="AR139" i="76"/>
  <c r="AR155" i="76"/>
  <c r="AR144" i="76"/>
  <c r="AR134" i="76"/>
  <c r="AJ138" i="76"/>
  <c r="BL160" i="76"/>
  <c r="BL147" i="76"/>
  <c r="BL161" i="76"/>
  <c r="BL150" i="76"/>
  <c r="BL138" i="76"/>
  <c r="BL119" i="76"/>
  <c r="AJ157" i="76"/>
  <c r="BL137" i="76"/>
  <c r="AJ161" i="76"/>
  <c r="AJ136" i="76"/>
  <c r="AZ125" i="76"/>
  <c r="AZ132" i="76"/>
  <c r="AZ127" i="76"/>
  <c r="AZ131" i="76"/>
  <c r="AZ151" i="76"/>
  <c r="AB406" i="76"/>
  <c r="AB202" i="76" s="1"/>
  <c r="AB401" i="76"/>
  <c r="AB92" i="76" s="1"/>
  <c r="AN124" i="76"/>
  <c r="AF131" i="76"/>
  <c r="AN137" i="76"/>
  <c r="AN148" i="76"/>
  <c r="AN129" i="76"/>
  <c r="AN130" i="76"/>
  <c r="BH127" i="76"/>
  <c r="BH146" i="76"/>
  <c r="AN128" i="76"/>
  <c r="AN146" i="76"/>
  <c r="AN151" i="76"/>
  <c r="AN165" i="76"/>
  <c r="BH160" i="76"/>
  <c r="BH139" i="76"/>
  <c r="BH126" i="76"/>
  <c r="BH144" i="76"/>
  <c r="AF139" i="76"/>
  <c r="AF141" i="76"/>
  <c r="AF121" i="76"/>
  <c r="AF164" i="76"/>
  <c r="AF130" i="76"/>
  <c r="AF136" i="76"/>
  <c r="AF118" i="76"/>
  <c r="AV126" i="76"/>
  <c r="AV119" i="76"/>
  <c r="AV143" i="76"/>
  <c r="AV124" i="76"/>
  <c r="AV164" i="76"/>
  <c r="AV129" i="76"/>
  <c r="AV165" i="76"/>
  <c r="BD161" i="76"/>
  <c r="BD139" i="76"/>
  <c r="BD126" i="76"/>
  <c r="BD142" i="76"/>
  <c r="BD159" i="76"/>
  <c r="BD138" i="76"/>
  <c r="BD158" i="76"/>
  <c r="BD147" i="76"/>
  <c r="AR152" i="76"/>
  <c r="AR129" i="76"/>
  <c r="AR131" i="76"/>
  <c r="AJ126" i="76"/>
  <c r="AJ125" i="76"/>
  <c r="AR157" i="76"/>
  <c r="BL126" i="76"/>
  <c r="BL141" i="76"/>
  <c r="BL136" i="76"/>
  <c r="BL151" i="76"/>
  <c r="AJ119" i="76"/>
  <c r="BL157" i="76"/>
  <c r="BL134" i="76"/>
  <c r="AJ148" i="76"/>
  <c r="AJ127" i="76"/>
  <c r="AJ121" i="76"/>
  <c r="AJ134" i="76"/>
  <c r="AJ163" i="76"/>
  <c r="AZ148" i="76"/>
  <c r="AZ119" i="76"/>
  <c r="AZ138" i="76"/>
  <c r="AZ160" i="76"/>
  <c r="AZ120" i="76"/>
  <c r="AZ161" i="76"/>
  <c r="AZ157" i="76"/>
  <c r="AZ405" i="76"/>
  <c r="AZ403" i="76"/>
  <c r="AZ404" i="76"/>
  <c r="AZ402" i="76"/>
  <c r="AZ372" i="76"/>
  <c r="AZ371" i="76"/>
  <c r="AZ370" i="76"/>
  <c r="AZ348" i="76"/>
  <c r="AZ177" i="76"/>
  <c r="AZ168" i="76"/>
  <c r="AZ169" i="76"/>
  <c r="AZ145" i="76"/>
  <c r="AZ167" i="76"/>
  <c r="AZ59" i="76"/>
  <c r="AZ58" i="76"/>
  <c r="AZ67" i="76"/>
  <c r="AZ35" i="76"/>
  <c r="AZ57" i="76"/>
  <c r="BH133" i="76"/>
  <c r="AF138" i="76"/>
  <c r="AN138" i="76"/>
  <c r="BH122" i="76"/>
  <c r="BH132" i="76"/>
  <c r="BH152" i="76"/>
  <c r="BH130" i="76"/>
  <c r="AF160" i="76"/>
  <c r="AF126" i="76"/>
  <c r="AF162" i="76"/>
  <c r="AV158" i="76"/>
  <c r="AV151" i="76"/>
  <c r="AV121" i="76"/>
  <c r="AV150" i="76"/>
  <c r="BD150" i="76"/>
  <c r="BD124" i="76"/>
  <c r="BD132" i="76"/>
  <c r="BD156" i="76"/>
  <c r="BD122" i="76"/>
  <c r="BD143" i="76"/>
  <c r="BD118" i="76"/>
  <c r="BD137" i="76"/>
  <c r="AR165" i="76"/>
  <c r="AR138" i="76"/>
  <c r="AR126" i="76"/>
  <c r="AR125" i="76"/>
  <c r="AR143" i="76"/>
  <c r="AR127" i="76"/>
  <c r="AR147" i="76"/>
  <c r="AR121" i="76"/>
  <c r="AR156" i="76"/>
  <c r="AJ129" i="76"/>
  <c r="AJ151" i="76"/>
  <c r="AJ124" i="76"/>
  <c r="AJ156" i="76"/>
  <c r="BL152" i="76"/>
  <c r="BL131" i="76"/>
  <c r="AJ165" i="76"/>
  <c r="BL140" i="76"/>
  <c r="BL130" i="76"/>
  <c r="AJ131" i="76"/>
  <c r="AZ124" i="76"/>
  <c r="AZ121" i="76"/>
  <c r="AZ129" i="76"/>
  <c r="AZ146" i="76"/>
  <c r="AZ128" i="76"/>
  <c r="AZ141" i="76"/>
  <c r="AZ142" i="76"/>
  <c r="AZ152" i="76"/>
  <c r="AB198" i="76"/>
  <c r="BL405" i="76"/>
  <c r="BL404" i="76"/>
  <c r="BL403" i="76"/>
  <c r="BL402" i="76"/>
  <c r="BL372" i="76"/>
  <c r="BL370" i="76"/>
  <c r="BL348" i="76"/>
  <c r="BL371" i="76"/>
  <c r="BL177" i="76"/>
  <c r="BL169" i="76"/>
  <c r="BL168" i="76"/>
  <c r="BL167" i="76"/>
  <c r="BL145" i="76"/>
  <c r="BL67" i="76"/>
  <c r="BL59" i="76"/>
  <c r="BL58" i="76"/>
  <c r="BL57" i="76"/>
  <c r="BL35" i="76"/>
  <c r="BH91" i="76"/>
  <c r="BD405" i="76"/>
  <c r="BD404" i="76"/>
  <c r="BD403" i="76"/>
  <c r="BD402" i="76"/>
  <c r="BD372" i="76"/>
  <c r="BD371" i="76"/>
  <c r="BD370" i="76"/>
  <c r="BD348" i="76"/>
  <c r="BD177" i="76"/>
  <c r="BD169" i="76"/>
  <c r="BD168" i="76"/>
  <c r="BD167" i="76"/>
  <c r="BD145" i="76"/>
  <c r="BD67" i="76"/>
  <c r="BD59" i="76"/>
  <c r="BD58" i="76"/>
  <c r="BD57" i="76"/>
  <c r="BD35" i="76"/>
  <c r="AN155" i="76"/>
  <c r="BH148" i="76"/>
  <c r="BH201" i="76"/>
  <c r="AF133" i="76"/>
  <c r="AN91" i="76"/>
  <c r="AN201" i="76"/>
  <c r="BH156" i="76"/>
  <c r="AN126" i="76"/>
  <c r="AN164" i="76"/>
  <c r="AN134" i="76"/>
  <c r="AN162" i="76"/>
  <c r="BH119" i="76"/>
  <c r="BH155" i="76"/>
  <c r="BH142" i="76"/>
  <c r="BH151" i="76"/>
  <c r="BH164" i="76"/>
  <c r="BH123" i="76"/>
  <c r="AF140" i="76"/>
  <c r="AF155" i="76"/>
  <c r="AF163" i="76"/>
  <c r="AF165" i="76"/>
  <c r="AF137" i="76"/>
  <c r="AF152" i="76"/>
  <c r="AF150" i="76"/>
  <c r="AV153" i="76"/>
  <c r="AV148" i="76"/>
  <c r="AV157" i="76"/>
  <c r="BD164" i="76"/>
  <c r="BD153" i="76"/>
  <c r="BD135" i="76"/>
  <c r="BD121" i="76"/>
  <c r="BD157" i="76"/>
  <c r="BD123" i="76"/>
  <c r="BD133" i="76"/>
  <c r="BD125" i="76"/>
  <c r="AR161" i="76"/>
  <c r="AR153" i="76"/>
  <c r="AR140" i="76"/>
  <c r="AR120" i="76"/>
  <c r="AR118" i="76"/>
  <c r="AR160" i="76"/>
  <c r="AR137" i="76"/>
  <c r="AR141" i="76"/>
  <c r="AJ150" i="76"/>
  <c r="AJ164" i="76"/>
  <c r="AJ123" i="76"/>
  <c r="BL143" i="76"/>
  <c r="AJ160" i="76"/>
  <c r="AJ118" i="76"/>
  <c r="BL122" i="76"/>
  <c r="BL159" i="76"/>
  <c r="BL121" i="76"/>
  <c r="AJ135" i="76"/>
  <c r="AZ126" i="76"/>
  <c r="AZ133" i="76"/>
  <c r="AZ149" i="76"/>
  <c r="AZ140" i="76"/>
  <c r="AZ155" i="76"/>
  <c r="AZ158" i="76"/>
  <c r="AR405" i="76"/>
  <c r="AR404" i="76"/>
  <c r="AR402" i="76"/>
  <c r="AR403" i="76"/>
  <c r="AR372" i="76"/>
  <c r="AR370" i="76"/>
  <c r="AR371" i="76"/>
  <c r="AR348" i="76"/>
  <c r="AR177" i="76"/>
  <c r="AR168" i="76"/>
  <c r="AR169" i="76"/>
  <c r="AR145" i="76"/>
  <c r="AR167" i="76"/>
  <c r="AR59" i="76"/>
  <c r="AR58" i="76"/>
  <c r="AR67" i="76"/>
  <c r="AR57" i="76"/>
  <c r="AR35" i="76"/>
  <c r="AB154" i="76"/>
  <c r="AB89" i="76"/>
  <c r="AB88" i="76" s="1"/>
  <c r="AN119" i="76"/>
  <c r="AN143" i="76"/>
  <c r="BH153" i="76"/>
  <c r="AF134" i="76"/>
  <c r="AF153" i="76"/>
  <c r="AN142" i="76"/>
  <c r="BH147" i="76"/>
  <c r="AN139" i="76"/>
  <c r="AN158" i="76"/>
  <c r="AN147" i="76"/>
  <c r="AN140" i="76"/>
  <c r="AN122" i="76"/>
  <c r="AN156" i="76"/>
  <c r="AN163" i="76"/>
  <c r="AN118" i="76"/>
  <c r="BH138" i="76"/>
  <c r="BH161" i="76"/>
  <c r="BH134" i="76"/>
  <c r="BH137" i="76"/>
  <c r="BH157" i="76"/>
  <c r="BH143" i="76"/>
  <c r="AF127" i="76"/>
  <c r="AF125" i="76"/>
  <c r="AF142" i="76"/>
  <c r="AF120" i="76"/>
  <c r="AF159" i="76"/>
  <c r="AF147" i="76"/>
  <c r="AF406" i="76"/>
  <c r="AF202" i="76" s="1"/>
  <c r="AF91" i="76"/>
  <c r="AF201" i="76"/>
  <c r="AV118" i="76"/>
  <c r="AV134" i="76"/>
  <c r="AV133" i="76"/>
  <c r="AV131" i="76"/>
  <c r="AV146" i="76"/>
  <c r="AV142" i="76"/>
  <c r="AV136" i="76"/>
  <c r="AV122" i="76"/>
  <c r="AV163" i="76"/>
  <c r="BD146" i="76"/>
  <c r="BD148" i="76"/>
  <c r="BD127" i="76"/>
  <c r="BD131" i="76"/>
  <c r="AR130" i="76"/>
  <c r="AR151" i="76"/>
  <c r="AR162" i="76"/>
  <c r="AR132" i="76"/>
  <c r="AR150" i="76"/>
  <c r="AJ143" i="76"/>
  <c r="BL153" i="76"/>
  <c r="BL156" i="76"/>
  <c r="AJ146" i="76"/>
  <c r="AJ128" i="76"/>
  <c r="BL124" i="76"/>
  <c r="BL164" i="76"/>
  <c r="BL125" i="76"/>
  <c r="AJ152" i="76"/>
  <c r="AJ149" i="76"/>
  <c r="AZ139" i="76"/>
  <c r="AZ165" i="76"/>
  <c r="AZ134" i="76"/>
  <c r="AZ159" i="76"/>
  <c r="AZ136" i="76"/>
  <c r="AV405" i="76"/>
  <c r="AV404" i="76"/>
  <c r="AV403" i="76"/>
  <c r="AV402" i="76"/>
  <c r="AV372" i="76"/>
  <c r="AV371" i="76"/>
  <c r="AV370" i="76"/>
  <c r="AV348" i="76"/>
  <c r="AV177" i="76"/>
  <c r="AV168" i="76"/>
  <c r="AV167" i="76"/>
  <c r="AV169" i="76"/>
  <c r="AV145" i="76"/>
  <c r="AV67" i="76"/>
  <c r="AV59" i="76"/>
  <c r="AV58" i="76"/>
  <c r="AV57" i="76"/>
  <c r="AV35" i="76"/>
  <c r="BH150" i="76"/>
  <c r="AN160" i="76"/>
  <c r="AN161" i="76"/>
  <c r="AN125" i="76"/>
  <c r="AN135" i="76"/>
  <c r="AN127" i="76"/>
  <c r="AN136" i="76"/>
  <c r="AN144" i="76"/>
  <c r="AN152" i="76"/>
  <c r="AN120" i="76"/>
  <c r="BH129" i="76"/>
  <c r="BH159" i="76"/>
  <c r="BH121" i="76"/>
  <c r="BH149" i="76"/>
  <c r="BH165" i="76"/>
  <c r="BH162" i="76"/>
  <c r="BH406" i="76"/>
  <c r="BH202" i="76" s="1"/>
  <c r="BH118" i="76"/>
  <c r="AF146" i="76"/>
  <c r="AF161" i="76"/>
  <c r="AF149" i="76"/>
  <c r="AF143" i="76"/>
  <c r="AF122" i="76"/>
  <c r="AV120" i="76"/>
  <c r="AV159" i="76"/>
  <c r="AV137" i="76"/>
  <c r="AV162" i="76"/>
  <c r="AV130" i="76"/>
  <c r="AV135" i="76"/>
  <c r="BD119" i="76"/>
  <c r="BD155" i="76"/>
  <c r="BD129" i="76"/>
  <c r="BD120" i="76"/>
  <c r="BD151" i="76"/>
  <c r="BD144" i="76"/>
  <c r="AR164" i="76"/>
  <c r="AR136" i="76"/>
  <c r="AR123" i="76"/>
  <c r="AJ137" i="76"/>
  <c r="AJ144" i="76"/>
  <c r="AR163" i="76"/>
  <c r="AJ133" i="76"/>
  <c r="BL149" i="76"/>
  <c r="BL165" i="76"/>
  <c r="BL135" i="76"/>
  <c r="AJ155" i="76"/>
  <c r="AJ132" i="76"/>
  <c r="BL120" i="76"/>
  <c r="BL144" i="76"/>
  <c r="BL123" i="76"/>
  <c r="BL142" i="76"/>
  <c r="AJ153" i="76"/>
  <c r="AJ120" i="76"/>
  <c r="AZ122" i="76"/>
  <c r="AZ123" i="76"/>
  <c r="AZ147" i="76"/>
  <c r="AZ144" i="76"/>
  <c r="AZ137" i="76"/>
  <c r="AZ163" i="76"/>
  <c r="AN133" i="76"/>
  <c r="BH124" i="76"/>
  <c r="AF123" i="76"/>
  <c r="AV149" i="76"/>
  <c r="AV152" i="76"/>
  <c r="AV123" i="76"/>
  <c r="AV144" i="76"/>
  <c r="BD162" i="76"/>
  <c r="BD130" i="76"/>
  <c r="BD141" i="76"/>
  <c r="AR149" i="76"/>
  <c r="AR133" i="76"/>
  <c r="AR122" i="76"/>
  <c r="AJ141" i="76"/>
  <c r="AJ159" i="76"/>
  <c r="BL139" i="76"/>
  <c r="BL133" i="76"/>
  <c r="BL146" i="76"/>
  <c r="BL132" i="76"/>
  <c r="BL163" i="76"/>
  <c r="AJ140" i="76"/>
  <c r="BL118" i="76"/>
  <c r="BL129" i="76"/>
  <c r="BL162" i="76"/>
  <c r="AJ139" i="76"/>
  <c r="AZ150" i="76"/>
  <c r="AZ164" i="76"/>
  <c r="AZ118" i="76"/>
  <c r="AZ156" i="76"/>
  <c r="AB90" i="76"/>
  <c r="T118" i="76"/>
  <c r="AW324" i="76" l="1"/>
  <c r="AO323" i="76"/>
  <c r="AO329" i="76"/>
  <c r="AO324" i="76"/>
  <c r="AW344" i="76"/>
  <c r="AS352" i="76"/>
  <c r="AO349" i="76"/>
  <c r="AO362" i="76"/>
  <c r="AS336" i="76"/>
  <c r="AS344" i="76"/>
  <c r="AW343" i="76"/>
  <c r="AW334" i="76"/>
  <c r="AO360" i="76"/>
  <c r="AO326" i="76"/>
  <c r="L251" i="69"/>
  <c r="HN17" i="69" s="1"/>
  <c r="K253" i="69"/>
  <c r="K249" i="70"/>
  <c r="HM16" i="70"/>
  <c r="AO364" i="76"/>
  <c r="AO327" i="76"/>
  <c r="AO358" i="76"/>
  <c r="AO354" i="76"/>
  <c r="AW322" i="76"/>
  <c r="AS327" i="76"/>
  <c r="AW333" i="76"/>
  <c r="AO356" i="76"/>
  <c r="AO347" i="76"/>
  <c r="AW328" i="76"/>
  <c r="AS347" i="76"/>
  <c r="AS353" i="76"/>
  <c r="AW337" i="76"/>
  <c r="AW342" i="76"/>
  <c r="AS322" i="76"/>
  <c r="AS358" i="76"/>
  <c r="AW361" i="76"/>
  <c r="AS333" i="76"/>
  <c r="AS324" i="76"/>
  <c r="AW355" i="76"/>
  <c r="AW356" i="76"/>
  <c r="AS345" i="76"/>
  <c r="AS354" i="76"/>
  <c r="AW332" i="76"/>
  <c r="AO337" i="76"/>
  <c r="AW368" i="76"/>
  <c r="AS364" i="76"/>
  <c r="AS332" i="76"/>
  <c r="AS362" i="76"/>
  <c r="AS335" i="76"/>
  <c r="AW358" i="76"/>
  <c r="AW338" i="76"/>
  <c r="AW325" i="76"/>
  <c r="AW367" i="76"/>
  <c r="AS338" i="76"/>
  <c r="HX16" i="69"/>
  <c r="AO340" i="75"/>
  <c r="AO368" i="76"/>
  <c r="AW363" i="76"/>
  <c r="AW351" i="76"/>
  <c r="AS342" i="76"/>
  <c r="AS330" i="76"/>
  <c r="AS337" i="76"/>
  <c r="AS340" i="76"/>
  <c r="IG16" i="69"/>
  <c r="K276" i="69"/>
  <c r="K273" i="70" s="1"/>
  <c r="AO350" i="76"/>
  <c r="AS331" i="76"/>
  <c r="AW340" i="76"/>
  <c r="H282" i="69"/>
  <c r="H283" i="69" s="1"/>
  <c r="AO181" i="76"/>
  <c r="AO71" i="76"/>
  <c r="AO341" i="75"/>
  <c r="AO369" i="76"/>
  <c r="AO68" i="76"/>
  <c r="AO178" i="76"/>
  <c r="AO367" i="76"/>
  <c r="AO328" i="76"/>
  <c r="AO339" i="76"/>
  <c r="AW70" i="76"/>
  <c r="AW180" i="76"/>
  <c r="AW341" i="76"/>
  <c r="AW330" i="76"/>
  <c r="AW326" i="76"/>
  <c r="AS68" i="76"/>
  <c r="AS178" i="76"/>
  <c r="AS351" i="76"/>
  <c r="AS369" i="76"/>
  <c r="AS341" i="75"/>
  <c r="AS346" i="76"/>
  <c r="AS363" i="76"/>
  <c r="AS359" i="76"/>
  <c r="AS70" i="76"/>
  <c r="AS180" i="76"/>
  <c r="AO366" i="76"/>
  <c r="AO336" i="76"/>
  <c r="AO428" i="75"/>
  <c r="AO430" i="75" s="1"/>
  <c r="AO431" i="75" s="1"/>
  <c r="AO98" i="75" s="1"/>
  <c r="AO93" i="75"/>
  <c r="AO359" i="76"/>
  <c r="AW341" i="75"/>
  <c r="AW369" i="76"/>
  <c r="AW251" i="75"/>
  <c r="AW254" i="75" s="1"/>
  <c r="AW255" i="75" s="1"/>
  <c r="AW321" i="76"/>
  <c r="AW65" i="76"/>
  <c r="AW175" i="76"/>
  <c r="AW354" i="76"/>
  <c r="AW352" i="76"/>
  <c r="AS349" i="76"/>
  <c r="AS65" i="76"/>
  <c r="AS175" i="76"/>
  <c r="AS366" i="76"/>
  <c r="L275" i="69"/>
  <c r="HV17" i="69" s="1"/>
  <c r="AO331" i="76"/>
  <c r="AO361" i="76"/>
  <c r="AO353" i="76"/>
  <c r="AO69" i="76"/>
  <c r="AO179" i="76"/>
  <c r="AO341" i="76"/>
  <c r="AO333" i="76"/>
  <c r="AO343" i="76"/>
  <c r="AO338" i="76"/>
  <c r="AO340" i="76"/>
  <c r="AO342" i="76"/>
  <c r="AW66" i="76"/>
  <c r="AW176" i="76"/>
  <c r="AW345" i="76"/>
  <c r="AW327" i="76"/>
  <c r="AW68" i="76"/>
  <c r="AW178" i="76"/>
  <c r="AW323" i="76"/>
  <c r="AS69" i="76"/>
  <c r="AS179" i="76"/>
  <c r="AS385" i="76"/>
  <c r="AS342" i="75"/>
  <c r="AS350" i="76"/>
  <c r="AS326" i="76"/>
  <c r="AS8" i="76"/>
  <c r="AS91" i="75"/>
  <c r="AS361" i="76"/>
  <c r="AO65" i="76"/>
  <c r="AO175" i="76"/>
  <c r="M274" i="69" a="1"/>
  <c r="M274" i="69" s="1"/>
  <c r="M275" i="69" s="1"/>
  <c r="O250" i="69" a="1"/>
  <c r="O250" i="69" s="1"/>
  <c r="O251" i="69" s="1"/>
  <c r="AO345" i="76"/>
  <c r="AO365" i="76"/>
  <c r="AO351" i="76"/>
  <c r="AO66" i="76"/>
  <c r="AO176" i="76"/>
  <c r="AO352" i="76"/>
  <c r="AO344" i="76"/>
  <c r="AO346" i="76"/>
  <c r="AW71" i="76"/>
  <c r="AW181" i="76"/>
  <c r="AW349" i="76"/>
  <c r="AW359" i="76"/>
  <c r="AW357" i="76"/>
  <c r="AW365" i="76"/>
  <c r="AS356" i="76"/>
  <c r="AS428" i="75"/>
  <c r="AS430" i="75" s="1"/>
  <c r="AS431" i="75" s="1"/>
  <c r="AS98" i="75" s="1"/>
  <c r="AS365" i="76"/>
  <c r="AS368" i="76"/>
  <c r="AS328" i="76"/>
  <c r="AS251" i="75"/>
  <c r="AS254" i="75" s="1"/>
  <c r="AS255" i="75" s="1"/>
  <c r="AS321" i="76"/>
  <c r="HZ19" i="69"/>
  <c r="IA19" i="69" s="1"/>
  <c r="I294" i="69"/>
  <c r="I295" i="69" s="1"/>
  <c r="AO325" i="76"/>
  <c r="AO322" i="76"/>
  <c r="AO355" i="76"/>
  <c r="AO91" i="75"/>
  <c r="AO8" i="76"/>
  <c r="AW339" i="76"/>
  <c r="AW346" i="76"/>
  <c r="AW366" i="76"/>
  <c r="AW428" i="75"/>
  <c r="AW430" i="75" s="1"/>
  <c r="AW431" i="75" s="1"/>
  <c r="AW98" i="75" s="1"/>
  <c r="AW91" i="75"/>
  <c r="AW8" i="76"/>
  <c r="AW92" i="75"/>
  <c r="AW56" i="76"/>
  <c r="AW166" i="76"/>
  <c r="AW329" i="76"/>
  <c r="AW362" i="76"/>
  <c r="AW60" i="76"/>
  <c r="AW170" i="76"/>
  <c r="AS343" i="76"/>
  <c r="AS355" i="76"/>
  <c r="AS60" i="76"/>
  <c r="AS170" i="76"/>
  <c r="AS340" i="75"/>
  <c r="AS357" i="76"/>
  <c r="AS166" i="76"/>
  <c r="AS92" i="75"/>
  <c r="AS56" i="76"/>
  <c r="AS341" i="76"/>
  <c r="AS93" i="75"/>
  <c r="AO166" i="76"/>
  <c r="AO56" i="76"/>
  <c r="AO92" i="75"/>
  <c r="AO321" i="76"/>
  <c r="AO251" i="75"/>
  <c r="AO254" i="75" s="1"/>
  <c r="AO255" i="75" s="1"/>
  <c r="AO385" i="76"/>
  <c r="AO342" i="75"/>
  <c r="AO363" i="76"/>
  <c r="AW69" i="76"/>
  <c r="AW179" i="76"/>
  <c r="AS66" i="76"/>
  <c r="AS176" i="76"/>
  <c r="AS71" i="76"/>
  <c r="AS181" i="76"/>
  <c r="AO170" i="76"/>
  <c r="AO60" i="76"/>
  <c r="AW340" i="75"/>
  <c r="AW342" i="75"/>
  <c r="AW385" i="76"/>
  <c r="AO180" i="76"/>
  <c r="AO70" i="76"/>
  <c r="AO357" i="76"/>
  <c r="AO332" i="76"/>
  <c r="AW353" i="76"/>
  <c r="AW93" i="75"/>
  <c r="AW360" i="76"/>
  <c r="AS334" i="76"/>
  <c r="J293" i="69"/>
  <c r="J292" i="69"/>
  <c r="J290" i="69"/>
  <c r="J315" i="69"/>
  <c r="J291" i="69"/>
  <c r="H302" i="69"/>
  <c r="H310" i="69" s="1"/>
  <c r="H306" i="70"/>
  <c r="J266" i="69"/>
  <c r="J313" i="69"/>
  <c r="J268" i="69"/>
  <c r="J269" i="69"/>
  <c r="J267" i="69"/>
  <c r="I280" i="69"/>
  <c r="I281" i="69"/>
  <c r="I279" i="69"/>
  <c r="I314" i="69"/>
  <c r="I278" i="69"/>
  <c r="I313" i="69"/>
  <c r="I269" i="69"/>
  <c r="I268" i="69"/>
  <c r="I266" i="69"/>
  <c r="I267" i="69"/>
  <c r="J281" i="69"/>
  <c r="J278" i="69"/>
  <c r="J314" i="69"/>
  <c r="J279" i="69"/>
  <c r="J280" i="69"/>
  <c r="HT17" i="69"/>
  <c r="IF17" i="69"/>
  <c r="L264" i="69"/>
  <c r="HS17" i="69"/>
  <c r="M288" i="69"/>
  <c r="IB18" i="69"/>
  <c r="IA18" i="69"/>
  <c r="IH18" i="69"/>
  <c r="O287" i="69"/>
  <c r="HZ20" i="69" s="1"/>
  <c r="P286" i="69" a="1"/>
  <c r="P286" i="69" s="1"/>
  <c r="IH19" i="69"/>
  <c r="M263" i="69"/>
  <c r="HR18" i="69" s="1"/>
  <c r="N262" i="69" a="1"/>
  <c r="N262" i="69" s="1"/>
  <c r="K261" i="70"/>
  <c r="K265" i="69"/>
  <c r="HQ16" i="70"/>
  <c r="HU16" i="70"/>
  <c r="AD106" i="75"/>
  <c r="AC107" i="75"/>
  <c r="I303" i="69"/>
  <c r="I311" i="69" s="1"/>
  <c r="I307" i="70"/>
  <c r="AH106" i="75"/>
  <c r="AG107" i="75"/>
  <c r="IB17" i="69"/>
  <c r="L288" i="69"/>
  <c r="IA17" i="69"/>
  <c r="IH17" i="69"/>
  <c r="HY16" i="70"/>
  <c r="K289" i="69"/>
  <c r="K285" i="70"/>
  <c r="AB227" i="76"/>
  <c r="AB116" i="76"/>
  <c r="BD200" i="76"/>
  <c r="AJ406" i="76"/>
  <c r="AJ202" i="76" s="1"/>
  <c r="BD90" i="76"/>
  <c r="AZ406" i="76"/>
  <c r="AZ202" i="76" s="1"/>
  <c r="AZ198" i="76"/>
  <c r="T132" i="76"/>
  <c r="T160" i="76"/>
  <c r="T164" i="76"/>
  <c r="T123" i="76"/>
  <c r="T134" i="76"/>
  <c r="T153" i="76"/>
  <c r="T128" i="76"/>
  <c r="T120" i="76"/>
  <c r="T146" i="76"/>
  <c r="T150" i="76"/>
  <c r="BL90" i="76"/>
  <c r="AZ154" i="76"/>
  <c r="AZ89" i="76"/>
  <c r="AZ88" i="76" s="1"/>
  <c r="AZ91" i="76"/>
  <c r="AN200" i="76"/>
  <c r="T162" i="76"/>
  <c r="T152" i="76"/>
  <c r="BL198" i="76"/>
  <c r="AJ90" i="76"/>
  <c r="BL200" i="76"/>
  <c r="BD154" i="76"/>
  <c r="BD89" i="76"/>
  <c r="BD88" i="76" s="1"/>
  <c r="AV198" i="76"/>
  <c r="AR201" i="76"/>
  <c r="AN90" i="76"/>
  <c r="BH401" i="76"/>
  <c r="BH92" i="76" s="1"/>
  <c r="T143" i="76"/>
  <c r="T126" i="76"/>
  <c r="T119" i="76"/>
  <c r="T137" i="76"/>
  <c r="AV91" i="76"/>
  <c r="AJ200" i="76"/>
  <c r="AR91" i="76"/>
  <c r="BD91" i="76"/>
  <c r="BL201" i="76"/>
  <c r="AF154" i="76"/>
  <c r="AF89" i="76"/>
  <c r="AF88" i="76" s="1"/>
  <c r="BH90" i="76"/>
  <c r="AN154" i="76"/>
  <c r="AN89" i="76"/>
  <c r="AN88" i="76" s="1"/>
  <c r="AF200" i="76"/>
  <c r="AV406" i="76"/>
  <c r="AV202" i="76" s="1"/>
  <c r="AV401" i="76"/>
  <c r="AV92" i="76" s="1"/>
  <c r="AV154" i="76"/>
  <c r="AV89" i="76"/>
  <c r="AV88" i="76" s="1"/>
  <c r="T130" i="76"/>
  <c r="T165" i="76"/>
  <c r="T138" i="76"/>
  <c r="T135" i="76"/>
  <c r="T122" i="76"/>
  <c r="T161" i="76"/>
  <c r="T144" i="76"/>
  <c r="T158" i="76"/>
  <c r="T139" i="76"/>
  <c r="T127" i="76"/>
  <c r="T125" i="76"/>
  <c r="T131" i="76"/>
  <c r="T121" i="76"/>
  <c r="BH200" i="76"/>
  <c r="AF90" i="76"/>
  <c r="AJ201" i="76"/>
  <c r="AJ154" i="76"/>
  <c r="AJ89" i="76"/>
  <c r="AJ88" i="76" s="1"/>
  <c r="AN198" i="76"/>
  <c r="AZ401" i="76"/>
  <c r="AZ92" i="76" s="1"/>
  <c r="AF401" i="76"/>
  <c r="AF92" i="76" s="1"/>
  <c r="AR90" i="76"/>
  <c r="AJ91" i="76"/>
  <c r="T142" i="76"/>
  <c r="T155" i="76"/>
  <c r="T159" i="76"/>
  <c r="T163" i="76"/>
  <c r="AR406" i="76"/>
  <c r="AR202" i="76" s="1"/>
  <c r="AR401" i="76"/>
  <c r="AR92" i="76" s="1"/>
  <c r="BH198" i="76"/>
  <c r="BH227" i="76" s="1"/>
  <c r="BD406" i="76"/>
  <c r="BD202" i="76" s="1"/>
  <c r="BD401" i="76"/>
  <c r="BD92" i="76" s="1"/>
  <c r="AV90" i="76"/>
  <c r="BL91" i="76"/>
  <c r="AF198" i="76"/>
  <c r="AR200" i="76"/>
  <c r="T156" i="76"/>
  <c r="T147" i="76"/>
  <c r="T124" i="76"/>
  <c r="T157" i="76"/>
  <c r="T140" i="76"/>
  <c r="T129" i="76"/>
  <c r="T148" i="76"/>
  <c r="T136" i="76"/>
  <c r="AJ401" i="76"/>
  <c r="AJ92" i="76" s="1"/>
  <c r="AZ90" i="76"/>
  <c r="BL406" i="76"/>
  <c r="BL202" i="76" s="1"/>
  <c r="BL401" i="76"/>
  <c r="BL92" i="76" s="1"/>
  <c r="AV200" i="76"/>
  <c r="AR154" i="76"/>
  <c r="AR89" i="76"/>
  <c r="AR88" i="76" s="1"/>
  <c r="BH154" i="76"/>
  <c r="BH89" i="76"/>
  <c r="BH88" i="76" s="1"/>
  <c r="T141" i="76"/>
  <c r="T151" i="76"/>
  <c r="T149" i="76"/>
  <c r="T133" i="76"/>
  <c r="AN406" i="76"/>
  <c r="AN202" i="76" s="1"/>
  <c r="AN401" i="76"/>
  <c r="AN92" i="76" s="1"/>
  <c r="AV201" i="76"/>
  <c r="AZ200" i="76"/>
  <c r="AJ198" i="76"/>
  <c r="AR198" i="76"/>
  <c r="BD201" i="76"/>
  <c r="BD198" i="76"/>
  <c r="AZ201" i="76"/>
  <c r="BL154" i="76"/>
  <c r="BL89" i="76"/>
  <c r="BL88" i="76" s="1"/>
  <c r="L118" i="76"/>
  <c r="HN18" i="69" l="1"/>
  <c r="K257" i="69"/>
  <c r="BA1" i="75"/>
  <c r="K299" i="69"/>
  <c r="K256" i="69"/>
  <c r="K254" i="69"/>
  <c r="K255" i="69"/>
  <c r="K312" i="69"/>
  <c r="HO17" i="69"/>
  <c r="HP17" i="69"/>
  <c r="L252" i="69"/>
  <c r="IE17" i="69"/>
  <c r="AS343" i="75"/>
  <c r="AS344" i="75" s="1"/>
  <c r="AS97" i="75" s="1"/>
  <c r="N288" i="69"/>
  <c r="IB19" i="69"/>
  <c r="K277" i="69"/>
  <c r="K280" i="69" s="1"/>
  <c r="I270" i="69"/>
  <c r="I271" i="69" s="1"/>
  <c r="AW343" i="75"/>
  <c r="AW344" i="75" s="1"/>
  <c r="AW97" i="75" s="1"/>
  <c r="AW94" i="75"/>
  <c r="L276" i="69"/>
  <c r="IG17" i="69"/>
  <c r="HW17" i="69"/>
  <c r="HX17" i="69"/>
  <c r="AS94" i="75"/>
  <c r="AO94" i="75"/>
  <c r="N274" i="69" a="1"/>
  <c r="N274" i="69" s="1"/>
  <c r="J282" i="69"/>
  <c r="J283" i="69" s="1"/>
  <c r="AO343" i="75"/>
  <c r="AO344" i="75" s="1"/>
  <c r="AO97" i="75" s="1"/>
  <c r="HV18" i="69"/>
  <c r="P250" i="69" a="1"/>
  <c r="P250" i="69" s="1"/>
  <c r="IB20" i="69"/>
  <c r="O288" i="69"/>
  <c r="IA20" i="69"/>
  <c r="IH20" i="69"/>
  <c r="J301" i="69"/>
  <c r="J309" i="69" s="1"/>
  <c r="J305" i="70"/>
  <c r="J307" i="70"/>
  <c r="J303" i="69"/>
  <c r="J311" i="69" s="1"/>
  <c r="K268" i="69"/>
  <c r="K269" i="69"/>
  <c r="K266" i="69"/>
  <c r="K267" i="69"/>
  <c r="K313" i="69"/>
  <c r="L289" i="69"/>
  <c r="HY17" i="70"/>
  <c r="L285" i="70"/>
  <c r="N289" i="69"/>
  <c r="HY19" i="70"/>
  <c r="N285" i="70"/>
  <c r="J306" i="70"/>
  <c r="J302" i="69"/>
  <c r="J310" i="69" s="1"/>
  <c r="N263" i="69"/>
  <c r="HR19" i="69" s="1"/>
  <c r="O262" i="69" a="1"/>
  <c r="O262" i="69" s="1"/>
  <c r="M285" i="70"/>
  <c r="HY18" i="70"/>
  <c r="M289" i="69"/>
  <c r="J270" i="69"/>
  <c r="J271" i="69" s="1"/>
  <c r="J294" i="69"/>
  <c r="J295" i="69" s="1"/>
  <c r="M264" i="69"/>
  <c r="HS18" i="69"/>
  <c r="IF18" i="69"/>
  <c r="HT18" i="69"/>
  <c r="BH116" i="76"/>
  <c r="AF227" i="76"/>
  <c r="I302" i="69"/>
  <c r="I306" i="70"/>
  <c r="K290" i="69"/>
  <c r="K315" i="69"/>
  <c r="K293" i="69"/>
  <c r="K291" i="69"/>
  <c r="K292" i="69"/>
  <c r="P287" i="69"/>
  <c r="HZ21" i="69" s="1"/>
  <c r="Q286" i="69" a="1"/>
  <c r="Q286" i="69" s="1"/>
  <c r="L265" i="69"/>
  <c r="HQ17" i="70"/>
  <c r="L261" i="70"/>
  <c r="I305" i="70"/>
  <c r="I301" i="69"/>
  <c r="I282" i="69"/>
  <c r="I283" i="69" s="1"/>
  <c r="BL116" i="76"/>
  <c r="AJ227" i="76"/>
  <c r="AR227" i="76"/>
  <c r="BL227" i="76"/>
  <c r="AN227" i="76"/>
  <c r="AZ227" i="76"/>
  <c r="AJ116" i="76"/>
  <c r="AV227" i="76"/>
  <c r="BD227" i="76"/>
  <c r="AR116" i="76"/>
  <c r="AN116" i="76"/>
  <c r="BD116" i="76"/>
  <c r="AV116" i="76"/>
  <c r="AF116" i="76"/>
  <c r="AZ116" i="76"/>
  <c r="T198" i="76"/>
  <c r="T406" i="76"/>
  <c r="T202" i="76" s="1"/>
  <c r="T401" i="76"/>
  <c r="T92" i="76" s="1"/>
  <c r="T201" i="76"/>
  <c r="T225" i="76" s="1"/>
  <c r="L126" i="76"/>
  <c r="L133" i="76"/>
  <c r="L139" i="76"/>
  <c r="L131" i="76"/>
  <c r="L158" i="76"/>
  <c r="L130" i="76"/>
  <c r="L129" i="76"/>
  <c r="L125" i="76"/>
  <c r="L157" i="76"/>
  <c r="L153" i="76"/>
  <c r="L147" i="76"/>
  <c r="L143" i="76"/>
  <c r="L120" i="76"/>
  <c r="L127" i="76"/>
  <c r="L162" i="76"/>
  <c r="L155" i="76"/>
  <c r="L161" i="76"/>
  <c r="L134" i="76"/>
  <c r="L128" i="76"/>
  <c r="L121" i="76"/>
  <c r="L123" i="76"/>
  <c r="L152" i="76"/>
  <c r="L149" i="76"/>
  <c r="L150" i="76"/>
  <c r="AC405" i="76"/>
  <c r="AC404" i="76"/>
  <c r="AC403" i="76"/>
  <c r="AC402" i="76"/>
  <c r="AC372" i="76"/>
  <c r="AC370" i="76"/>
  <c r="AC371" i="76"/>
  <c r="AC348" i="76"/>
  <c r="AC177" i="76"/>
  <c r="AC169" i="76"/>
  <c r="AC145" i="76"/>
  <c r="AC168" i="76"/>
  <c r="AC167" i="76"/>
  <c r="AC67" i="76"/>
  <c r="AC59" i="76"/>
  <c r="AC58" i="76"/>
  <c r="AC57" i="76"/>
  <c r="AC35" i="76"/>
  <c r="L144" i="76"/>
  <c r="L124" i="76"/>
  <c r="L122" i="76"/>
  <c r="L156" i="76"/>
  <c r="L164" i="76"/>
  <c r="L148" i="76"/>
  <c r="T90" i="76"/>
  <c r="T115" i="76" s="1"/>
  <c r="L119" i="76"/>
  <c r="L142" i="76"/>
  <c r="L135" i="76"/>
  <c r="L163" i="76"/>
  <c r="L146" i="76"/>
  <c r="T200" i="76"/>
  <c r="T226" i="76" s="1"/>
  <c r="L136" i="76"/>
  <c r="L141" i="76"/>
  <c r="L132" i="76"/>
  <c r="L159" i="76"/>
  <c r="L151" i="76"/>
  <c r="T154" i="76"/>
  <c r="T89" i="76"/>
  <c r="T88" i="76" s="1"/>
  <c r="L138" i="76"/>
  <c r="L137" i="76"/>
  <c r="L140" i="76"/>
  <c r="L160" i="76"/>
  <c r="L165" i="76"/>
  <c r="T91" i="76"/>
  <c r="T114" i="76" s="1"/>
  <c r="AC120" i="76"/>
  <c r="AC118" i="76"/>
  <c r="AC119" i="76"/>
  <c r="AC121" i="76"/>
  <c r="AC122" i="76"/>
  <c r="K278" i="69" l="1"/>
  <c r="K258" i="69"/>
  <c r="K259" i="69" s="1"/>
  <c r="HO18" i="69"/>
  <c r="M252" i="69"/>
  <c r="IE18" i="69"/>
  <c r="HP18" i="69"/>
  <c r="HN19" i="69"/>
  <c r="HM17" i="70"/>
  <c r="L253" i="69"/>
  <c r="L249" i="70"/>
  <c r="BA39" i="75"/>
  <c r="BA38" i="76" s="1"/>
  <c r="BA209" i="75"/>
  <c r="BA19" i="75"/>
  <c r="BA18" i="76" s="1"/>
  <c r="BA171" i="75"/>
  <c r="BA188" i="75"/>
  <c r="BA29" i="75"/>
  <c r="BA28" i="76" s="1"/>
  <c r="BA67" i="75"/>
  <c r="BA302" i="75"/>
  <c r="BA307" i="75"/>
  <c r="BA286" i="75"/>
  <c r="BA301" i="75"/>
  <c r="BA56" i="75"/>
  <c r="BA55" i="76" s="1"/>
  <c r="BA24" i="75"/>
  <c r="BA23" i="76" s="1"/>
  <c r="BA216" i="75"/>
  <c r="BA277" i="75"/>
  <c r="BA30" i="75"/>
  <c r="BA29" i="76" s="1"/>
  <c r="BA25" i="75"/>
  <c r="BA24" i="76" s="1"/>
  <c r="BA177" i="75"/>
  <c r="BA283" i="75"/>
  <c r="BA298" i="75"/>
  <c r="BA311" i="75"/>
  <c r="BA374" i="76" s="1"/>
  <c r="BA49" i="75"/>
  <c r="BA48" i="76" s="1"/>
  <c r="BA295" i="75"/>
  <c r="BA289" i="75"/>
  <c r="BA82" i="75"/>
  <c r="BA83" i="75"/>
  <c r="BA337" i="75"/>
  <c r="BA400" i="76" s="1"/>
  <c r="BA313" i="75"/>
  <c r="BA376" i="76" s="1"/>
  <c r="BA89" i="75"/>
  <c r="BA218" i="75"/>
  <c r="BA334" i="75"/>
  <c r="BA397" i="76" s="1"/>
  <c r="BA35" i="75"/>
  <c r="BA34" i="76" s="1"/>
  <c r="BA285" i="75"/>
  <c r="BA179" i="75"/>
  <c r="BA215" i="75"/>
  <c r="BA365" i="76" s="1"/>
  <c r="BA308" i="75"/>
  <c r="BA202" i="75"/>
  <c r="BA352" i="76" s="1"/>
  <c r="BA278" i="75"/>
  <c r="BA309" i="75"/>
  <c r="BA398" i="75"/>
  <c r="BA290" i="75"/>
  <c r="BA104" i="75"/>
  <c r="BA199" i="75"/>
  <c r="BA349" i="76" s="1"/>
  <c r="BA306" i="75"/>
  <c r="BA264" i="75"/>
  <c r="BA194" i="75"/>
  <c r="BA213" i="75"/>
  <c r="BA66" i="75"/>
  <c r="BA186" i="75"/>
  <c r="BA217" i="75"/>
  <c r="BA258" i="75"/>
  <c r="BA189" i="75"/>
  <c r="BA269" i="75"/>
  <c r="BA1" i="76"/>
  <c r="BA48" i="75"/>
  <c r="BA47" i="76" s="1"/>
  <c r="BA274" i="75"/>
  <c r="BA10" i="75"/>
  <c r="BA9" i="76" s="1"/>
  <c r="BA47" i="75"/>
  <c r="BA46" i="76" s="1"/>
  <c r="BA395" i="75"/>
  <c r="BA37" i="75"/>
  <c r="BA36" i="76" s="1"/>
  <c r="BA59" i="75"/>
  <c r="BA21" i="75"/>
  <c r="BA20" i="76" s="1"/>
  <c r="BA300" i="75"/>
  <c r="BA68" i="75"/>
  <c r="BA203" i="75"/>
  <c r="BA353" i="76" s="1"/>
  <c r="BA84" i="75"/>
  <c r="BA312" i="75"/>
  <c r="BA375" i="76" s="1"/>
  <c r="BA173" i="75"/>
  <c r="BA71" i="75"/>
  <c r="BA172" i="75"/>
  <c r="BA326" i="75"/>
  <c r="BA389" i="76" s="1"/>
  <c r="BA32" i="75"/>
  <c r="BA31" i="76" s="1"/>
  <c r="BA20" i="75"/>
  <c r="BA19" i="76" s="1"/>
  <c r="BA46" i="75"/>
  <c r="BA45" i="76" s="1"/>
  <c r="BA73" i="75"/>
  <c r="BA34" i="75"/>
  <c r="BA33" i="76" s="1"/>
  <c r="BA51" i="75"/>
  <c r="BA50" i="76" s="1"/>
  <c r="BA103" i="75"/>
  <c r="BA28" i="75"/>
  <c r="BA27" i="76" s="1"/>
  <c r="BA23" i="75"/>
  <c r="BA22" i="76" s="1"/>
  <c r="BA86" i="75"/>
  <c r="BA77" i="75"/>
  <c r="BA195" i="75"/>
  <c r="BA196" i="75"/>
  <c r="BA314" i="75"/>
  <c r="BA377" i="76" s="1"/>
  <c r="BA76" i="75"/>
  <c r="BA15" i="75"/>
  <c r="BA14" i="76" s="1"/>
  <c r="BA14" i="75"/>
  <c r="BA13" i="76" s="1"/>
  <c r="BA293" i="75"/>
  <c r="BA210" i="75"/>
  <c r="BA79" i="75"/>
  <c r="BA207" i="75"/>
  <c r="BA61" i="75"/>
  <c r="BA70" i="75"/>
  <c r="BA72" i="75"/>
  <c r="BA90" i="75"/>
  <c r="BA13" i="75"/>
  <c r="BA12" i="76" s="1"/>
  <c r="BA330" i="75"/>
  <c r="BA393" i="76" s="1"/>
  <c r="BA324" i="75"/>
  <c r="BA387" i="76" s="1"/>
  <c r="BA69" i="75"/>
  <c r="BA201" i="75"/>
  <c r="BA198" i="75"/>
  <c r="BA87" i="75"/>
  <c r="BA58" i="75"/>
  <c r="BA85" i="75"/>
  <c r="BA36" i="75"/>
  <c r="BA176" i="75"/>
  <c r="BA296" i="75"/>
  <c r="BA304" i="75"/>
  <c r="BA292" i="75"/>
  <c r="BA211" i="75"/>
  <c r="BA361" i="76" s="1"/>
  <c r="BA54" i="75"/>
  <c r="BA53" i="76" s="1"/>
  <c r="BA57" i="75"/>
  <c r="BA332" i="75"/>
  <c r="BA395" i="76" s="1"/>
  <c r="BA197" i="75"/>
  <c r="BA102" i="75"/>
  <c r="BA404" i="75"/>
  <c r="BA55" i="75"/>
  <c r="BA54" i="76" s="1"/>
  <c r="BA310" i="75"/>
  <c r="BA373" i="76" s="1"/>
  <c r="BA271" i="75"/>
  <c r="BA81" i="75"/>
  <c r="BA403" i="75"/>
  <c r="BA17" i="75"/>
  <c r="BA16" i="76" s="1"/>
  <c r="BA400" i="75"/>
  <c r="BA182" i="75"/>
  <c r="BA332" i="76" s="1"/>
  <c r="BA52" i="75"/>
  <c r="BA51" i="76" s="1"/>
  <c r="BA273" i="75"/>
  <c r="BA262" i="75"/>
  <c r="BA336" i="75"/>
  <c r="BA399" i="76" s="1"/>
  <c r="BA200" i="75"/>
  <c r="BA291" i="75"/>
  <c r="BA190" i="75"/>
  <c r="BA340" i="76" s="1"/>
  <c r="BA288" i="75"/>
  <c r="BA402" i="75"/>
  <c r="BA191" i="75"/>
  <c r="BA401" i="75"/>
  <c r="BA281" i="75"/>
  <c r="BA268" i="75"/>
  <c r="BA276" i="75"/>
  <c r="BA287" i="75"/>
  <c r="BA261" i="75"/>
  <c r="BA260" i="75"/>
  <c r="BA184" i="75"/>
  <c r="BA183" i="75"/>
  <c r="BA18" i="75"/>
  <c r="BA17" i="76" s="1"/>
  <c r="BA279" i="75"/>
  <c r="BA187" i="75"/>
  <c r="BA337" i="76" s="1"/>
  <c r="BA396" i="75"/>
  <c r="BA74" i="75"/>
  <c r="BA181" i="75"/>
  <c r="BA331" i="76" s="1"/>
  <c r="BA192" i="75"/>
  <c r="BA342" i="76" s="1"/>
  <c r="BA175" i="75"/>
  <c r="BA325" i="76" s="1"/>
  <c r="BA185" i="75"/>
  <c r="BA42" i="75"/>
  <c r="BA41" i="76" s="1"/>
  <c r="BA178" i="75"/>
  <c r="BA180" i="75"/>
  <c r="BA174" i="75"/>
  <c r="BA324" i="76" s="1"/>
  <c r="BA64" i="75"/>
  <c r="BA12" i="75"/>
  <c r="BA11" i="76" s="1"/>
  <c r="BA193" i="75"/>
  <c r="BA284" i="75"/>
  <c r="BA62" i="75"/>
  <c r="BA397" i="75"/>
  <c r="BA212" i="75"/>
  <c r="BA272" i="75"/>
  <c r="BA303" i="75"/>
  <c r="BA60" i="75"/>
  <c r="BA214" i="75"/>
  <c r="BA11" i="75"/>
  <c r="BA10" i="76" s="1"/>
  <c r="BA259" i="75"/>
  <c r="BA45" i="75"/>
  <c r="BA44" i="76" s="1"/>
  <c r="BA267" i="75"/>
  <c r="BA80" i="75"/>
  <c r="BA43" i="75"/>
  <c r="BA42" i="76" s="1"/>
  <c r="BA208" i="75"/>
  <c r="BA358" i="76" s="1"/>
  <c r="BA78" i="75"/>
  <c r="BA265" i="75"/>
  <c r="BA206" i="75"/>
  <c r="BA356" i="76" s="1"/>
  <c r="BA44" i="75"/>
  <c r="BA43" i="76" s="1"/>
  <c r="BA282" i="75"/>
  <c r="BA41" i="75"/>
  <c r="BA40" i="76" s="1"/>
  <c r="BA33" i="75"/>
  <c r="BA32" i="76" s="1"/>
  <c r="BA328" i="75"/>
  <c r="BA391" i="76" s="1"/>
  <c r="BA275" i="75"/>
  <c r="BA205" i="75"/>
  <c r="BA405" i="75"/>
  <c r="BA294" i="75"/>
  <c r="BA9" i="75"/>
  <c r="BA38" i="75"/>
  <c r="BA37" i="76" s="1"/>
  <c r="BA50" i="75"/>
  <c r="BA49" i="76" s="1"/>
  <c r="BA22" i="75"/>
  <c r="BA21" i="76" s="1"/>
  <c r="BA316" i="75"/>
  <c r="BA379" i="76" s="1"/>
  <c r="BA75" i="75"/>
  <c r="BA270" i="75"/>
  <c r="BA16" i="75"/>
  <c r="BA15" i="76" s="1"/>
  <c r="BA88" i="75"/>
  <c r="BA299" i="75"/>
  <c r="BA305" i="75"/>
  <c r="BA26" i="75"/>
  <c r="BA25" i="76" s="1"/>
  <c r="BA204" i="75"/>
  <c r="BA399" i="75"/>
  <c r="BA27" i="75"/>
  <c r="BA26" i="76" s="1"/>
  <c r="BA335" i="75"/>
  <c r="BA398" i="76" s="1"/>
  <c r="BA322" i="75"/>
  <c r="BA53" i="75"/>
  <c r="BA52" i="76" s="1"/>
  <c r="BA297" i="75"/>
  <c r="BA266" i="75"/>
  <c r="BA31" i="75"/>
  <c r="BA30" i="76" s="1"/>
  <c r="BA65" i="75"/>
  <c r="BA40" i="75"/>
  <c r="BA39" i="76" s="1"/>
  <c r="BA263" i="75"/>
  <c r="BA280" i="75"/>
  <c r="BA63" i="75"/>
  <c r="BA315" i="75"/>
  <c r="BA378" i="76" s="1"/>
  <c r="K300" i="69"/>
  <c r="K308" i="69" s="1"/>
  <c r="K304" i="70"/>
  <c r="K281" i="69"/>
  <c r="K314" i="69"/>
  <c r="K270" i="69"/>
  <c r="K271" i="69" s="1"/>
  <c r="K279" i="69"/>
  <c r="AW95" i="75"/>
  <c r="AW96" i="75"/>
  <c r="AW99" i="75" s="1"/>
  <c r="AW105" i="75" s="1"/>
  <c r="HX18" i="69"/>
  <c r="M276" i="69"/>
  <c r="IG18" i="69"/>
  <c r="HW18" i="69"/>
  <c r="N275" i="69"/>
  <c r="HV19" i="69" s="1"/>
  <c r="AO96" i="75"/>
  <c r="AO99" i="75" s="1"/>
  <c r="AO105" i="75" s="1"/>
  <c r="AO95" i="75"/>
  <c r="O274" i="69" a="1"/>
  <c r="O274" i="69" s="1"/>
  <c r="L273" i="70"/>
  <c r="HU17" i="70"/>
  <c r="L277" i="69"/>
  <c r="P251" i="69"/>
  <c r="Q250" i="69" a="1"/>
  <c r="Q250" i="69" s="1"/>
  <c r="R250" i="69" s="1" a="1"/>
  <c r="R250" i="69" s="1"/>
  <c r="R251" i="69" s="1"/>
  <c r="AS95" i="75"/>
  <c r="AS96" i="75"/>
  <c r="AS99" i="75" s="1"/>
  <c r="AS105" i="75" s="1"/>
  <c r="K302" i="69"/>
  <c r="K310" i="69" s="1"/>
  <c r="K306" i="70"/>
  <c r="P288" i="69"/>
  <c r="IB21" i="69"/>
  <c r="IA21" i="69"/>
  <c r="IH21" i="69"/>
  <c r="K294" i="69"/>
  <c r="K295" i="69" s="1"/>
  <c r="I310" i="69"/>
  <c r="M292" i="69"/>
  <c r="M293" i="69"/>
  <c r="M290" i="69"/>
  <c r="M291" i="69"/>
  <c r="M315" i="69"/>
  <c r="O263" i="69"/>
  <c r="HR20" i="69" s="1"/>
  <c r="P262" i="69" a="1"/>
  <c r="P262" i="69" s="1"/>
  <c r="N290" i="69"/>
  <c r="N315" i="69"/>
  <c r="N293" i="69"/>
  <c r="N291" i="69"/>
  <c r="N292" i="69"/>
  <c r="L315" i="69"/>
  <c r="L293" i="69"/>
  <c r="L290" i="69"/>
  <c r="L291" i="69"/>
  <c r="L292" i="69"/>
  <c r="I309" i="69"/>
  <c r="M261" i="70"/>
  <c r="HQ18" i="70"/>
  <c r="M265" i="69"/>
  <c r="HS19" i="69"/>
  <c r="IF19" i="69"/>
  <c r="HT19" i="69"/>
  <c r="N264" i="69"/>
  <c r="L313" i="69"/>
  <c r="L269" i="69"/>
  <c r="L266" i="69"/>
  <c r="L268" i="69"/>
  <c r="L267" i="69"/>
  <c r="K301" i="69"/>
  <c r="K309" i="69" s="1"/>
  <c r="K305" i="70"/>
  <c r="HY20" i="70"/>
  <c r="O289" i="69"/>
  <c r="O285" i="70"/>
  <c r="Q287" i="69"/>
  <c r="HZ22" i="69" s="1"/>
  <c r="R286" i="69" a="1"/>
  <c r="R286" i="69" s="1"/>
  <c r="K282" i="69"/>
  <c r="K283" i="69" s="1"/>
  <c r="K307" i="70"/>
  <c r="K303" i="69"/>
  <c r="K311" i="69" s="1"/>
  <c r="T116" i="76"/>
  <c r="HI15" i="68" s="1"/>
  <c r="T227" i="76"/>
  <c r="L198" i="76"/>
  <c r="AC144" i="76"/>
  <c r="AC159" i="76"/>
  <c r="AC132" i="76"/>
  <c r="AC152" i="76"/>
  <c r="L200" i="76"/>
  <c r="L226" i="76" s="1"/>
  <c r="L91" i="76"/>
  <c r="L114" i="76" s="1"/>
  <c r="AC147" i="76"/>
  <c r="AC123" i="76"/>
  <c r="AC134" i="76"/>
  <c r="AC129" i="76"/>
  <c r="AC406" i="76"/>
  <c r="AC202" i="76" s="1"/>
  <c r="AC140" i="76"/>
  <c r="AC161" i="76"/>
  <c r="AC158" i="76"/>
  <c r="AC163" i="76"/>
  <c r="AC141" i="76"/>
  <c r="L201" i="76"/>
  <c r="L225" i="76" s="1"/>
  <c r="AC139" i="76"/>
  <c r="AC149" i="76"/>
  <c r="AC130" i="76"/>
  <c r="AC138" i="76"/>
  <c r="AC135" i="76"/>
  <c r="AC155" i="76"/>
  <c r="L154" i="76"/>
  <c r="L89" i="76"/>
  <c r="L88" i="76" s="1"/>
  <c r="AC162" i="76"/>
  <c r="AC128" i="76"/>
  <c r="AC133" i="76"/>
  <c r="AC146" i="76"/>
  <c r="AC165" i="76"/>
  <c r="AC151" i="76"/>
  <c r="AC148" i="76"/>
  <c r="AC200" i="76"/>
  <c r="AC90" i="76"/>
  <c r="AC126" i="76"/>
  <c r="AC136" i="76"/>
  <c r="AC160" i="76"/>
  <c r="AC157" i="76"/>
  <c r="AC137" i="76"/>
  <c r="AC142" i="76"/>
  <c r="AC124" i="76"/>
  <c r="AC127" i="76"/>
  <c r="AC143" i="76"/>
  <c r="AC150" i="76"/>
  <c r="AC91" i="76"/>
  <c r="AC164" i="76"/>
  <c r="AC156" i="76"/>
  <c r="AC153" i="76"/>
  <c r="AC131" i="76"/>
  <c r="AC125" i="76"/>
  <c r="AC201" i="76"/>
  <c r="L406" i="76"/>
  <c r="L202" i="76" s="1"/>
  <c r="L401" i="76"/>
  <c r="L92" i="76" s="1"/>
  <c r="L90" i="76"/>
  <c r="L115" i="76" s="1"/>
  <c r="BA346" i="76" l="1"/>
  <c r="BA355" i="76"/>
  <c r="BA354" i="76"/>
  <c r="BA364" i="76"/>
  <c r="BA341" i="76"/>
  <c r="HO19" i="69"/>
  <c r="IE19" i="69"/>
  <c r="N252" i="69"/>
  <c r="HP19" i="69"/>
  <c r="HN20" i="69"/>
  <c r="HN21" i="69" s="1"/>
  <c r="BA328" i="76"/>
  <c r="HM18" i="70"/>
  <c r="M253" i="69"/>
  <c r="M249" i="70"/>
  <c r="BA351" i="76"/>
  <c r="BA170" i="76"/>
  <c r="BA60" i="76"/>
  <c r="BA180" i="76"/>
  <c r="BA70" i="76"/>
  <c r="BA338" i="76"/>
  <c r="BA342" i="75"/>
  <c r="BA385" i="76"/>
  <c r="BA91" i="75"/>
  <c r="BA94" i="75" s="1"/>
  <c r="BA95" i="75" s="1"/>
  <c r="BA8" i="76"/>
  <c r="BA362" i="76"/>
  <c r="BA330" i="76"/>
  <c r="BA68" i="76"/>
  <c r="BA178" i="76"/>
  <c r="BA357" i="76"/>
  <c r="BA323" i="76"/>
  <c r="BA339" i="76"/>
  <c r="BA369" i="76"/>
  <c r="BA341" i="75"/>
  <c r="BA321" i="76"/>
  <c r="BA251" i="75"/>
  <c r="BA254" i="75" s="1"/>
  <c r="BA255" i="75" s="1"/>
  <c r="BA347" i="76"/>
  <c r="BA326" i="76"/>
  <c r="BA345" i="76"/>
  <c r="BA71" i="76"/>
  <c r="BA181" i="76"/>
  <c r="BA428" i="75"/>
  <c r="BA430" i="75" s="1"/>
  <c r="BA431" i="75" s="1"/>
  <c r="BA98" i="75" s="1"/>
  <c r="BA340" i="75"/>
  <c r="BA343" i="75" s="1"/>
  <c r="BA344" i="75" s="1"/>
  <c r="BA97" i="75" s="1"/>
  <c r="BA350" i="76"/>
  <c r="BA360" i="76"/>
  <c r="BA367" i="76"/>
  <c r="BA329" i="76"/>
  <c r="BA327" i="76"/>
  <c r="BA359" i="76"/>
  <c r="BA335" i="76"/>
  <c r="BA56" i="76"/>
  <c r="BA166" i="76"/>
  <c r="BA92" i="75"/>
  <c r="BA336" i="76"/>
  <c r="BA343" i="76"/>
  <c r="BA333" i="76"/>
  <c r="BA93" i="75"/>
  <c r="BA175" i="76"/>
  <c r="BA65" i="76"/>
  <c r="BA334" i="76"/>
  <c r="BA363" i="76"/>
  <c r="BA176" i="76"/>
  <c r="BA66" i="76"/>
  <c r="L254" i="69"/>
  <c r="L255" i="69"/>
  <c r="L299" i="69"/>
  <c r="L256" i="69"/>
  <c r="L258" i="69" s="1"/>
  <c r="L259" i="69" s="1"/>
  <c r="BE1" i="75"/>
  <c r="L312" i="69"/>
  <c r="L257" i="69"/>
  <c r="BA179" i="76"/>
  <c r="BA69" i="76"/>
  <c r="BA322" i="76"/>
  <c r="BA344" i="76"/>
  <c r="BA368" i="76"/>
  <c r="BA366" i="76"/>
  <c r="N294" i="69"/>
  <c r="N295" i="69" s="1"/>
  <c r="AW107" i="75"/>
  <c r="AX106" i="75"/>
  <c r="BA96" i="75"/>
  <c r="BA99" i="75" s="1"/>
  <c r="BA105" i="75" s="1"/>
  <c r="AS107" i="75"/>
  <c r="AT106" i="75"/>
  <c r="AP106" i="75"/>
  <c r="AO107" i="75"/>
  <c r="N276" i="69"/>
  <c r="HX19" i="69"/>
  <c r="IG19" i="69"/>
  <c r="HW19" i="69"/>
  <c r="O275" i="69"/>
  <c r="HV20" i="69" s="1"/>
  <c r="L314" i="69"/>
  <c r="L280" i="69"/>
  <c r="L281" i="69"/>
  <c r="L279" i="69"/>
  <c r="L278" i="69"/>
  <c r="Q251" i="69"/>
  <c r="S250" i="69" a="1"/>
  <c r="S250" i="69" s="1"/>
  <c r="S251" i="69" s="1"/>
  <c r="HU18" i="70"/>
  <c r="M273" i="70"/>
  <c r="M277" i="69"/>
  <c r="P274" i="69" a="1"/>
  <c r="P274" i="69" s="1"/>
  <c r="P275" i="69" s="1"/>
  <c r="R287" i="69"/>
  <c r="HZ23" i="69" s="1"/>
  <c r="S286" i="69" a="1"/>
  <c r="S286" i="69" s="1"/>
  <c r="L270" i="69"/>
  <c r="L271" i="69" s="1"/>
  <c r="P285" i="70"/>
  <c r="P289" i="69"/>
  <c r="HY21" i="70"/>
  <c r="L301" i="69"/>
  <c r="L305" i="70"/>
  <c r="IB22" i="69"/>
  <c r="IA22" i="69"/>
  <c r="Q288" i="69"/>
  <c r="IH22" i="69"/>
  <c r="M266" i="69"/>
  <c r="M268" i="69"/>
  <c r="M313" i="69"/>
  <c r="M269" i="69"/>
  <c r="M267" i="69"/>
  <c r="N307" i="70"/>
  <c r="N303" i="69"/>
  <c r="N311" i="69" s="1"/>
  <c r="M303" i="69"/>
  <c r="M311" i="69" s="1"/>
  <c r="M307" i="70"/>
  <c r="O291" i="69"/>
  <c r="O293" i="69"/>
  <c r="O315" i="69"/>
  <c r="O290" i="69"/>
  <c r="O292" i="69"/>
  <c r="L294" i="69"/>
  <c r="L295" i="69" s="1"/>
  <c r="P263" i="69"/>
  <c r="HR21" i="69" s="1"/>
  <c r="Q262" i="69" a="1"/>
  <c r="Q262" i="69" s="1"/>
  <c r="M294" i="69"/>
  <c r="M295" i="69" s="1"/>
  <c r="N261" i="70"/>
  <c r="N265" i="69"/>
  <c r="HQ19" i="70"/>
  <c r="L303" i="69"/>
  <c r="L311" i="69" s="1"/>
  <c r="L307" i="70"/>
  <c r="HT20" i="69"/>
  <c r="HS20" i="69"/>
  <c r="O264" i="69"/>
  <c r="IF20" i="69"/>
  <c r="L227" i="76"/>
  <c r="L116" i="76"/>
  <c r="HE15" i="68" s="1"/>
  <c r="AC198" i="76"/>
  <c r="AC227" i="76" s="1"/>
  <c r="AG405" i="76"/>
  <c r="AG404" i="76"/>
  <c r="AG403" i="76"/>
  <c r="AG402" i="76"/>
  <c r="AG372" i="76"/>
  <c r="AG371" i="76"/>
  <c r="AG348" i="76"/>
  <c r="AG370" i="76"/>
  <c r="AG169" i="76"/>
  <c r="AG177" i="76"/>
  <c r="AG168" i="76"/>
  <c r="AG167" i="76"/>
  <c r="AG145" i="76"/>
  <c r="AG67" i="76"/>
  <c r="AG59" i="76"/>
  <c r="AG58" i="76"/>
  <c r="AG57" i="76"/>
  <c r="AG35" i="76"/>
  <c r="AC154" i="76"/>
  <c r="AC89" i="76"/>
  <c r="AC88" i="76" s="1"/>
  <c r="AC401" i="76"/>
  <c r="AC92" i="76" s="1"/>
  <c r="P252" i="69" l="1"/>
  <c r="HO21" i="69"/>
  <c r="IE21" i="69"/>
  <c r="HN22" i="69"/>
  <c r="HP21" i="69"/>
  <c r="IE20" i="69"/>
  <c r="O252" i="69"/>
  <c r="HO20" i="69"/>
  <c r="HP20" i="69"/>
  <c r="N249" i="70"/>
  <c r="N253" i="69"/>
  <c r="HM19" i="70"/>
  <c r="M257" i="69"/>
  <c r="M299" i="69"/>
  <c r="M312" i="69"/>
  <c r="BI1" i="75"/>
  <c r="M255" i="69"/>
  <c r="M256" i="69"/>
  <c r="M254" i="69"/>
  <c r="BE335" i="75"/>
  <c r="BE398" i="76" s="1"/>
  <c r="BE40" i="75"/>
  <c r="BE39" i="76" s="1"/>
  <c r="BE330" i="75"/>
  <c r="BE1" i="76"/>
  <c r="BE58" i="75"/>
  <c r="BE53" i="75"/>
  <c r="BE52" i="76" s="1"/>
  <c r="BE82" i="75"/>
  <c r="BE398" i="75"/>
  <c r="BE11" i="75"/>
  <c r="BE66" i="75"/>
  <c r="BE402" i="75"/>
  <c r="BE65" i="75"/>
  <c r="BE265" i="75"/>
  <c r="BE33" i="75"/>
  <c r="BE32" i="76" s="1"/>
  <c r="BE397" i="75"/>
  <c r="BE301" i="75"/>
  <c r="BE280" i="75"/>
  <c r="BE22" i="75"/>
  <c r="BE311" i="75"/>
  <c r="BE374" i="76" s="1"/>
  <c r="BE206" i="75"/>
  <c r="BE177" i="75"/>
  <c r="BE21" i="75"/>
  <c r="BE16" i="75"/>
  <c r="BE15" i="76" s="1"/>
  <c r="BE57" i="75"/>
  <c r="BE15" i="75"/>
  <c r="BE218" i="75"/>
  <c r="BE79" i="75"/>
  <c r="BE278" i="75"/>
  <c r="BE24" i="75"/>
  <c r="BE23" i="76" s="1"/>
  <c r="BE25" i="75"/>
  <c r="BE24" i="76" s="1"/>
  <c r="BE404" i="75"/>
  <c r="BE261" i="75"/>
  <c r="BE23" i="75"/>
  <c r="BE22" i="76" s="1"/>
  <c r="BE180" i="75"/>
  <c r="BE77" i="75"/>
  <c r="BE45" i="75"/>
  <c r="BE44" i="76" s="1"/>
  <c r="BE287" i="75"/>
  <c r="BE59" i="75"/>
  <c r="BE294" i="75"/>
  <c r="BE283" i="75"/>
  <c r="BE291" i="75"/>
  <c r="BE102" i="75"/>
  <c r="BE259" i="75"/>
  <c r="BE296" i="75"/>
  <c r="BE400" i="75"/>
  <c r="BE29" i="75"/>
  <c r="BE28" i="76" s="1"/>
  <c r="BE14" i="75"/>
  <c r="BE210" i="75"/>
  <c r="BE264" i="75"/>
  <c r="BE262" i="75"/>
  <c r="BE61" i="75"/>
  <c r="BE64" i="75"/>
  <c r="BE26" i="75"/>
  <c r="BE25" i="76" s="1"/>
  <c r="BE37" i="75"/>
  <c r="BE36" i="76" s="1"/>
  <c r="BE310" i="75"/>
  <c r="BE373" i="76" s="1"/>
  <c r="BE288" i="75"/>
  <c r="BE30" i="75"/>
  <c r="BE326" i="75"/>
  <c r="BE389" i="76" s="1"/>
  <c r="BE50" i="75"/>
  <c r="BE49" i="76" s="1"/>
  <c r="BE80" i="75"/>
  <c r="BE197" i="75"/>
  <c r="BE103" i="75"/>
  <c r="BE71" i="75"/>
  <c r="BE62" i="75"/>
  <c r="BE56" i="75"/>
  <c r="BE55" i="76" s="1"/>
  <c r="BE334" i="75"/>
  <c r="BE397" i="76" s="1"/>
  <c r="BE74" i="75"/>
  <c r="BE396" i="75"/>
  <c r="BE307" i="75"/>
  <c r="BE49" i="75"/>
  <c r="BE48" i="76" s="1"/>
  <c r="BE297" i="75"/>
  <c r="BE401" i="75"/>
  <c r="BE205" i="75"/>
  <c r="BE274" i="75"/>
  <c r="BE182" i="75"/>
  <c r="BE179" i="75"/>
  <c r="BE48" i="75"/>
  <c r="BE47" i="76" s="1"/>
  <c r="BE324" i="75"/>
  <c r="BE298" i="75"/>
  <c r="BE312" i="75"/>
  <c r="BE289" i="75"/>
  <c r="BE306" i="75"/>
  <c r="BE282" i="75"/>
  <c r="BE281" i="75"/>
  <c r="BE332" i="75"/>
  <c r="BE395" i="76" s="1"/>
  <c r="BE284" i="75"/>
  <c r="BE83" i="75"/>
  <c r="BE20" i="75"/>
  <c r="BE19" i="76" s="1"/>
  <c r="BE267" i="75"/>
  <c r="BE215" i="75"/>
  <c r="BE55" i="75"/>
  <c r="BE54" i="76" s="1"/>
  <c r="BE207" i="75"/>
  <c r="BE290" i="75"/>
  <c r="BE277" i="75"/>
  <c r="BE60" i="75"/>
  <c r="BE18" i="75"/>
  <c r="BE17" i="76" s="1"/>
  <c r="BE89" i="75"/>
  <c r="BE216" i="75"/>
  <c r="BE270" i="75"/>
  <c r="BE286" i="75"/>
  <c r="BE32" i="75"/>
  <c r="BE31" i="76" s="1"/>
  <c r="BE403" i="75"/>
  <c r="BE78" i="75"/>
  <c r="BE305" i="75"/>
  <c r="BE268" i="75"/>
  <c r="BE273" i="75"/>
  <c r="BE34" i="75"/>
  <c r="BE33" i="76" s="1"/>
  <c r="BE68" i="75"/>
  <c r="BE211" i="75"/>
  <c r="BE189" i="75"/>
  <c r="BE260" i="75"/>
  <c r="BE212" i="75"/>
  <c r="BE309" i="75"/>
  <c r="BE10" i="75"/>
  <c r="BE85" i="75"/>
  <c r="BE208" i="75"/>
  <c r="BE81" i="75"/>
  <c r="BE292" i="75"/>
  <c r="BE47" i="75"/>
  <c r="BE46" i="76" s="1"/>
  <c r="BE405" i="75"/>
  <c r="BE322" i="75"/>
  <c r="BE201" i="75"/>
  <c r="BE351" i="76" s="1"/>
  <c r="BE69" i="75"/>
  <c r="BE174" i="75"/>
  <c r="BE172" i="75"/>
  <c r="BE322" i="76" s="1"/>
  <c r="BE186" i="75"/>
  <c r="BE336" i="76" s="1"/>
  <c r="BE300" i="75"/>
  <c r="BE41" i="75"/>
  <c r="BE40" i="76" s="1"/>
  <c r="BE39" i="75"/>
  <c r="BE38" i="76" s="1"/>
  <c r="BE308" i="75"/>
  <c r="BE302" i="75"/>
  <c r="BE303" i="75"/>
  <c r="BE316" i="75"/>
  <c r="BE178" i="75"/>
  <c r="BE27" i="75"/>
  <c r="BE26" i="76" s="1"/>
  <c r="BE171" i="75"/>
  <c r="BE299" i="75"/>
  <c r="BE195" i="75"/>
  <c r="BE345" i="76" s="1"/>
  <c r="BE279" i="75"/>
  <c r="BE275" i="75"/>
  <c r="BE9" i="75"/>
  <c r="BE395" i="75"/>
  <c r="BE213" i="75"/>
  <c r="BE13" i="75"/>
  <c r="BE12" i="76" s="1"/>
  <c r="BE36" i="75"/>
  <c r="BE46" i="75"/>
  <c r="BE45" i="76" s="1"/>
  <c r="BE17" i="75"/>
  <c r="BE16" i="76" s="1"/>
  <c r="BE276" i="75"/>
  <c r="BE194" i="75"/>
  <c r="BE344" i="76" s="1"/>
  <c r="BE271" i="75"/>
  <c r="BE266" i="75"/>
  <c r="BE183" i="75"/>
  <c r="BE84" i="75"/>
  <c r="BE188" i="75"/>
  <c r="BE338" i="76" s="1"/>
  <c r="BE86" i="75"/>
  <c r="BE52" i="75"/>
  <c r="BE51" i="76" s="1"/>
  <c r="BE35" i="75"/>
  <c r="BE34" i="76" s="1"/>
  <c r="BE293" i="75"/>
  <c r="BE399" i="75"/>
  <c r="BE209" i="75"/>
  <c r="BE76" i="75"/>
  <c r="BE204" i="75"/>
  <c r="BE354" i="76" s="1"/>
  <c r="BE203" i="75"/>
  <c r="BE315" i="75"/>
  <c r="BE258" i="75"/>
  <c r="BE190" i="75"/>
  <c r="BE340" i="76" s="1"/>
  <c r="BE199" i="75"/>
  <c r="BE295" i="75"/>
  <c r="BE193" i="75"/>
  <c r="BE263" i="75"/>
  <c r="BE185" i="75"/>
  <c r="BE104" i="75"/>
  <c r="BE191" i="75"/>
  <c r="BE54" i="75"/>
  <c r="BE67" i="75"/>
  <c r="BE192" i="75"/>
  <c r="BE342" i="76" s="1"/>
  <c r="BE187" i="75"/>
  <c r="BE337" i="76" s="1"/>
  <c r="BE304" i="75"/>
  <c r="BE19" i="75"/>
  <c r="BE18" i="76" s="1"/>
  <c r="BE73" i="75"/>
  <c r="BE75" i="75"/>
  <c r="BE202" i="75"/>
  <c r="BE352" i="76" s="1"/>
  <c r="BE285" i="75"/>
  <c r="BE42" i="75"/>
  <c r="BE41" i="76" s="1"/>
  <c r="BE196" i="75"/>
  <c r="BE38" i="75"/>
  <c r="BE37" i="76" s="1"/>
  <c r="BE88" i="75"/>
  <c r="BE90" i="75"/>
  <c r="BE31" i="75"/>
  <c r="BE272" i="75"/>
  <c r="BE173" i="75"/>
  <c r="BE323" i="76" s="1"/>
  <c r="BE44" i="75"/>
  <c r="BE28" i="75"/>
  <c r="BE27" i="76" s="1"/>
  <c r="BE175" i="75"/>
  <c r="BE313" i="75"/>
  <c r="BE376" i="76" s="1"/>
  <c r="BE314" i="75"/>
  <c r="BE377" i="76" s="1"/>
  <c r="BE70" i="75"/>
  <c r="BE336" i="75"/>
  <c r="BE399" i="76" s="1"/>
  <c r="BE51" i="75"/>
  <c r="BE184" i="75"/>
  <c r="BE334" i="76" s="1"/>
  <c r="BE12" i="75"/>
  <c r="BE11" i="76" s="1"/>
  <c r="BE181" i="75"/>
  <c r="BE269" i="75"/>
  <c r="BE217" i="75"/>
  <c r="BE337" i="75"/>
  <c r="BE400" i="76" s="1"/>
  <c r="BE72" i="75"/>
  <c r="BE87" i="75"/>
  <c r="BE63" i="75"/>
  <c r="BE214" i="75"/>
  <c r="BE364" i="76" s="1"/>
  <c r="BE43" i="75"/>
  <c r="BE200" i="75"/>
  <c r="BE350" i="76" s="1"/>
  <c r="BE328" i="75"/>
  <c r="BE176" i="75"/>
  <c r="BE198" i="75"/>
  <c r="L304" i="70"/>
  <c r="L300" i="69"/>
  <c r="L308" i="69" s="1"/>
  <c r="L282" i="69"/>
  <c r="L283" i="69" s="1"/>
  <c r="HW20" i="69"/>
  <c r="O276" i="69"/>
  <c r="HX20" i="69"/>
  <c r="IG20" i="69"/>
  <c r="L306" i="70"/>
  <c r="L302" i="69"/>
  <c r="L310" i="69" s="1"/>
  <c r="M280" i="69"/>
  <c r="M281" i="69"/>
  <c r="M278" i="69"/>
  <c r="M314" i="69"/>
  <c r="M279" i="69"/>
  <c r="HM21" i="70"/>
  <c r="P253" i="69"/>
  <c r="P249" i="70"/>
  <c r="IE22" i="69"/>
  <c r="Q252" i="69"/>
  <c r="HP22" i="69"/>
  <c r="HO22" i="69"/>
  <c r="N273" i="70"/>
  <c r="HU19" i="70"/>
  <c r="N277" i="69"/>
  <c r="HN23" i="69"/>
  <c r="BA107" i="75"/>
  <c r="BB106" i="75"/>
  <c r="T250" i="69" a="1"/>
  <c r="T250" i="69" s="1"/>
  <c r="HV21" i="69"/>
  <c r="Q274" i="69" a="1"/>
  <c r="Q274" i="69" s="1"/>
  <c r="R274" i="69" s="1" a="1"/>
  <c r="R274" i="69" s="1"/>
  <c r="R275" i="69" s="1"/>
  <c r="O265" i="69"/>
  <c r="HQ20" i="70"/>
  <c r="O261" i="70"/>
  <c r="Q289" i="69"/>
  <c r="Q285" i="70"/>
  <c r="HY22" i="70"/>
  <c r="L309" i="69"/>
  <c r="S287" i="69"/>
  <c r="HZ24" i="69" s="1"/>
  <c r="T286" i="69" a="1"/>
  <c r="T286" i="69" s="1"/>
  <c r="O303" i="69"/>
  <c r="O311" i="69" s="1"/>
  <c r="O307" i="70"/>
  <c r="M305" i="70"/>
  <c r="M301" i="69"/>
  <c r="M309" i="69" s="1"/>
  <c r="R288" i="69"/>
  <c r="IH23" i="69"/>
  <c r="IA23" i="69"/>
  <c r="IB23" i="69"/>
  <c r="Q263" i="69"/>
  <c r="HR22" i="69" s="1"/>
  <c r="R262" i="69" a="1"/>
  <c r="R262" i="69" s="1"/>
  <c r="IF21" i="69"/>
  <c r="HS21" i="69"/>
  <c r="HT21" i="69"/>
  <c r="P264" i="69"/>
  <c r="M270" i="69"/>
  <c r="M271" i="69" s="1"/>
  <c r="P293" i="69"/>
  <c r="P291" i="69"/>
  <c r="P292" i="69"/>
  <c r="P290" i="69"/>
  <c r="P315" i="69"/>
  <c r="N266" i="69"/>
  <c r="N269" i="69"/>
  <c r="N267" i="69"/>
  <c r="N268" i="69"/>
  <c r="N313" i="69"/>
  <c r="O294" i="69"/>
  <c r="O295" i="69" s="1"/>
  <c r="AC116" i="76"/>
  <c r="AK142" i="76"/>
  <c r="AK135" i="76"/>
  <c r="AK160" i="76"/>
  <c r="AK151" i="76"/>
  <c r="AK148" i="76"/>
  <c r="AK140" i="76"/>
  <c r="AG160" i="76"/>
  <c r="AG90" i="76"/>
  <c r="AG133" i="76"/>
  <c r="AK128" i="76"/>
  <c r="AK144" i="76"/>
  <c r="AK162" i="76"/>
  <c r="AG136" i="76"/>
  <c r="AK127" i="76"/>
  <c r="AK405" i="76"/>
  <c r="AK404" i="76"/>
  <c r="AK403" i="76"/>
  <c r="AK402" i="76"/>
  <c r="AK372" i="76"/>
  <c r="AK370" i="76"/>
  <c r="AK371" i="76"/>
  <c r="AK348" i="76"/>
  <c r="AK177" i="76"/>
  <c r="AK169" i="76"/>
  <c r="AK145" i="76"/>
  <c r="AK168" i="76"/>
  <c r="AK67" i="76"/>
  <c r="AK167" i="76"/>
  <c r="AK59" i="76"/>
  <c r="AK58" i="76"/>
  <c r="AK57" i="76"/>
  <c r="AK35" i="76"/>
  <c r="AG127" i="76"/>
  <c r="AG120" i="76"/>
  <c r="AG156" i="76"/>
  <c r="AG151" i="76"/>
  <c r="AG125" i="76"/>
  <c r="AK157" i="76"/>
  <c r="AK121" i="76"/>
  <c r="AG138" i="76"/>
  <c r="AK132" i="76"/>
  <c r="AK147" i="76"/>
  <c r="AK146" i="76"/>
  <c r="AK158" i="76"/>
  <c r="AK159" i="76"/>
  <c r="AK141" i="76"/>
  <c r="AK134" i="76"/>
  <c r="AG118" i="76"/>
  <c r="AG143" i="76"/>
  <c r="AG131" i="76"/>
  <c r="AG134" i="76"/>
  <c r="AG163" i="76"/>
  <c r="AG129" i="76"/>
  <c r="AG152" i="76"/>
  <c r="AK152" i="76"/>
  <c r="AG91" i="76"/>
  <c r="AG201" i="76"/>
  <c r="AG141" i="76"/>
  <c r="AG165" i="76"/>
  <c r="AK120" i="76"/>
  <c r="AK156" i="76"/>
  <c r="AK119" i="76"/>
  <c r="AK124" i="76"/>
  <c r="AG155" i="76"/>
  <c r="AG135" i="76"/>
  <c r="AG126" i="76"/>
  <c r="AG150" i="76"/>
  <c r="AG157" i="76"/>
  <c r="AG139" i="76"/>
  <c r="AK155" i="76"/>
  <c r="AK118" i="76"/>
  <c r="AK164" i="76"/>
  <c r="AG122" i="76"/>
  <c r="AG148" i="76"/>
  <c r="AK122" i="76"/>
  <c r="AK137" i="76"/>
  <c r="AK150" i="76"/>
  <c r="AK161" i="76"/>
  <c r="AK129" i="76"/>
  <c r="AK130" i="76"/>
  <c r="AG119" i="76"/>
  <c r="AG137" i="76"/>
  <c r="AK139" i="76"/>
  <c r="AK123" i="76"/>
  <c r="AK153" i="76"/>
  <c r="AK131" i="76"/>
  <c r="AK149" i="76"/>
  <c r="AK136" i="76"/>
  <c r="AK125" i="76"/>
  <c r="AG130" i="76"/>
  <c r="AG128" i="76"/>
  <c r="AG144" i="76"/>
  <c r="AG153" i="76"/>
  <c r="AG142" i="76"/>
  <c r="AG146" i="76"/>
  <c r="AG158" i="76"/>
  <c r="AK133" i="76"/>
  <c r="AK163" i="76"/>
  <c r="AK126" i="76"/>
  <c r="AK138" i="76"/>
  <c r="AK165" i="76"/>
  <c r="AK143" i="76"/>
  <c r="AG123" i="76"/>
  <c r="AG159" i="76"/>
  <c r="AG149" i="76"/>
  <c r="AG147" i="76"/>
  <c r="AG162" i="76"/>
  <c r="AG140" i="76"/>
  <c r="AG132" i="76"/>
  <c r="AG164" i="76"/>
  <c r="AG124" i="76"/>
  <c r="AG121" i="76"/>
  <c r="AG161" i="76"/>
  <c r="BE353" i="76" l="1"/>
  <c r="BE328" i="76"/>
  <c r="BE355" i="76"/>
  <c r="N254" i="69"/>
  <c r="N312" i="69"/>
  <c r="N256" i="69"/>
  <c r="N299" i="69"/>
  <c r="N257" i="69"/>
  <c r="N255" i="69"/>
  <c r="BM1" i="75"/>
  <c r="M258" i="69"/>
  <c r="M259" i="69" s="1"/>
  <c r="BE428" i="75"/>
  <c r="BE430" i="75" s="1"/>
  <c r="BE431" i="75" s="1"/>
  <c r="BE98" i="75" s="1"/>
  <c r="M304" i="70"/>
  <c r="M300" i="69"/>
  <c r="M308" i="69" s="1"/>
  <c r="BI57" i="75"/>
  <c r="BI61" i="75"/>
  <c r="BI291" i="75"/>
  <c r="BI270" i="75"/>
  <c r="BI212" i="75"/>
  <c r="BI268" i="75"/>
  <c r="BI78" i="75"/>
  <c r="BI199" i="75"/>
  <c r="BI286" i="75"/>
  <c r="BI280" i="75"/>
  <c r="BI171" i="75"/>
  <c r="BI296" i="75"/>
  <c r="BI10" i="75"/>
  <c r="BI9" i="76" s="1"/>
  <c r="BI307" i="75"/>
  <c r="BI201" i="75"/>
  <c r="BI80" i="75"/>
  <c r="BI22" i="75"/>
  <c r="BI21" i="76" s="1"/>
  <c r="BI302" i="75"/>
  <c r="BI82" i="75"/>
  <c r="BI16" i="75"/>
  <c r="BI260" i="75"/>
  <c r="BI313" i="75"/>
  <c r="BI183" i="75"/>
  <c r="BI333" i="76" s="1"/>
  <c r="BI336" i="75"/>
  <c r="BI276" i="75"/>
  <c r="BI288" i="75"/>
  <c r="BI315" i="75"/>
  <c r="BI378" i="76" s="1"/>
  <c r="BI173" i="75"/>
  <c r="BI194" i="75"/>
  <c r="BI35" i="75"/>
  <c r="BI86" i="75"/>
  <c r="BI79" i="75"/>
  <c r="BI49" i="75"/>
  <c r="BI304" i="75"/>
  <c r="BI396" i="75"/>
  <c r="BI287" i="75"/>
  <c r="BI68" i="75"/>
  <c r="BI31" i="75"/>
  <c r="BI30" i="76" s="1"/>
  <c r="BI67" i="75"/>
  <c r="BI282" i="75"/>
  <c r="BI258" i="75"/>
  <c r="BI196" i="75"/>
  <c r="BI180" i="75"/>
  <c r="BI11" i="75"/>
  <c r="BI10" i="76" s="1"/>
  <c r="BI300" i="75"/>
  <c r="BI277" i="75"/>
  <c r="BI42" i="75"/>
  <c r="BI308" i="75"/>
  <c r="BI209" i="75"/>
  <c r="BI359" i="76" s="1"/>
  <c r="BI290" i="75"/>
  <c r="BI263" i="75"/>
  <c r="BI83" i="75"/>
  <c r="BI330" i="75"/>
  <c r="BI393" i="76" s="1"/>
  <c r="BI295" i="75"/>
  <c r="BI211" i="75"/>
  <c r="BI30" i="75"/>
  <c r="BI29" i="76" s="1"/>
  <c r="BI322" i="75"/>
  <c r="BI176" i="75"/>
  <c r="BI197" i="75"/>
  <c r="BI195" i="75"/>
  <c r="BI51" i="75"/>
  <c r="BI50" i="76" s="1"/>
  <c r="BI46" i="75"/>
  <c r="BI24" i="75"/>
  <c r="BI266" i="75"/>
  <c r="BI38" i="75"/>
  <c r="BI85" i="75"/>
  <c r="BI399" i="75"/>
  <c r="BI172" i="75"/>
  <c r="BI299" i="75"/>
  <c r="BI12" i="75"/>
  <c r="BI88" i="75"/>
  <c r="BI26" i="75"/>
  <c r="BI45" i="75"/>
  <c r="BI185" i="75"/>
  <c r="BI103" i="75"/>
  <c r="BI73" i="75"/>
  <c r="BI192" i="75"/>
  <c r="BI81" i="75"/>
  <c r="BI62" i="75"/>
  <c r="BI104" i="75"/>
  <c r="BI55" i="75"/>
  <c r="BI198" i="75"/>
  <c r="BI189" i="75"/>
  <c r="BI283" i="75"/>
  <c r="BI400" i="75"/>
  <c r="BI63" i="75"/>
  <c r="BI27" i="75"/>
  <c r="BI210" i="75"/>
  <c r="BI33" i="75"/>
  <c r="BI77" i="75"/>
  <c r="BI309" i="75"/>
  <c r="BI293" i="75"/>
  <c r="BI203" i="75"/>
  <c r="BI36" i="75"/>
  <c r="BI398" i="75"/>
  <c r="BI314" i="75"/>
  <c r="BI326" i="75"/>
  <c r="BI28" i="75"/>
  <c r="BI191" i="75"/>
  <c r="BI21" i="75"/>
  <c r="BI20" i="76" s="1"/>
  <c r="BI179" i="75"/>
  <c r="BI303" i="75"/>
  <c r="BI218" i="75"/>
  <c r="BI188" i="75"/>
  <c r="BI208" i="75"/>
  <c r="BI401" i="75"/>
  <c r="BI311" i="75"/>
  <c r="BI50" i="75"/>
  <c r="BI216" i="75"/>
  <c r="BI41" i="75"/>
  <c r="BI337" i="75"/>
  <c r="BI175" i="75"/>
  <c r="BI70" i="75"/>
  <c r="BI65" i="75"/>
  <c r="BI32" i="75"/>
  <c r="BI279" i="75"/>
  <c r="BI206" i="75"/>
  <c r="BI356" i="76" s="1"/>
  <c r="BI48" i="75"/>
  <c r="BI177" i="75"/>
  <c r="BI275" i="75"/>
  <c r="BI53" i="75"/>
  <c r="BI37" i="75"/>
  <c r="BI182" i="75"/>
  <c r="BI273" i="75"/>
  <c r="BI181" i="75"/>
  <c r="BI200" i="75"/>
  <c r="BI350" i="76" s="1"/>
  <c r="BI187" i="75"/>
  <c r="BI47" i="75"/>
  <c r="BI1" i="76"/>
  <c r="BI90" i="75"/>
  <c r="BI204" i="75"/>
  <c r="BI354" i="76" s="1"/>
  <c r="BI29" i="75"/>
  <c r="BI404" i="75"/>
  <c r="BI316" i="75"/>
  <c r="BI379" i="76" s="1"/>
  <c r="BI402" i="75"/>
  <c r="BI202" i="75"/>
  <c r="BI297" i="75"/>
  <c r="BI43" i="75"/>
  <c r="BI42" i="76" s="1"/>
  <c r="BI60" i="75"/>
  <c r="BI14" i="75"/>
  <c r="BI13" i="76" s="1"/>
  <c r="BI9" i="75"/>
  <c r="BI54" i="75"/>
  <c r="BI53" i="76" s="1"/>
  <c r="BI217" i="75"/>
  <c r="BI367" i="76" s="1"/>
  <c r="BI66" i="75"/>
  <c r="BI52" i="75"/>
  <c r="BI193" i="75"/>
  <c r="BI343" i="76" s="1"/>
  <c r="BI285" i="75"/>
  <c r="BI102" i="75"/>
  <c r="BI335" i="75"/>
  <c r="BI44" i="75"/>
  <c r="BI43" i="76" s="1"/>
  <c r="BI74" i="75"/>
  <c r="BI305" i="75"/>
  <c r="BI324" i="75"/>
  <c r="BI387" i="76" s="1"/>
  <c r="BI84" i="75"/>
  <c r="BI274" i="75"/>
  <c r="BI395" i="75"/>
  <c r="BI64" i="75"/>
  <c r="BI207" i="75"/>
  <c r="BI298" i="75"/>
  <c r="BI328" i="75"/>
  <c r="BI391" i="76" s="1"/>
  <c r="BI312" i="75"/>
  <c r="BI375" i="76" s="1"/>
  <c r="BI281" i="75"/>
  <c r="BI75" i="75"/>
  <c r="BI265" i="75"/>
  <c r="BI69" i="75"/>
  <c r="BI213" i="75"/>
  <c r="BI363" i="76" s="1"/>
  <c r="BI310" i="75"/>
  <c r="BI56" i="75"/>
  <c r="BI39" i="75"/>
  <c r="BI264" i="75"/>
  <c r="BI20" i="75"/>
  <c r="BI15" i="75"/>
  <c r="BI14" i="76" s="1"/>
  <c r="BI18" i="75"/>
  <c r="BI269" i="75"/>
  <c r="BI272" i="75"/>
  <c r="BI76" i="75"/>
  <c r="BI294" i="75"/>
  <c r="BI174" i="75"/>
  <c r="BI59" i="75"/>
  <c r="BI397" i="75"/>
  <c r="BI214" i="75"/>
  <c r="BI215" i="75"/>
  <c r="BI365" i="76" s="1"/>
  <c r="BI58" i="75"/>
  <c r="BI25" i="75"/>
  <c r="BI72" i="75"/>
  <c r="BI13" i="75"/>
  <c r="BI271" i="75"/>
  <c r="BI262" i="75"/>
  <c r="BI292" i="75"/>
  <c r="BI267" i="75"/>
  <c r="BI259" i="75"/>
  <c r="BI278" i="75"/>
  <c r="BI403" i="75"/>
  <c r="BI289" i="75"/>
  <c r="BI17" i="75"/>
  <c r="BI40" i="75"/>
  <c r="BI261" i="75"/>
  <c r="BI23" i="75"/>
  <c r="BI190" i="75"/>
  <c r="BI306" i="75"/>
  <c r="BI178" i="75"/>
  <c r="BI205" i="75"/>
  <c r="BI87" i="75"/>
  <c r="BI301" i="75"/>
  <c r="BI184" i="75"/>
  <c r="BI71" i="75"/>
  <c r="BI332" i="75"/>
  <c r="BI34" i="75"/>
  <c r="BI89" i="75"/>
  <c r="BI186" i="75"/>
  <c r="BI284" i="75"/>
  <c r="BI19" i="75"/>
  <c r="BI334" i="75"/>
  <c r="BI405" i="75"/>
  <c r="O253" i="69"/>
  <c r="HM20" i="70"/>
  <c r="O249" i="70"/>
  <c r="BE346" i="76"/>
  <c r="BE343" i="76"/>
  <c r="BE385" i="76"/>
  <c r="BE342" i="75"/>
  <c r="BE29" i="76"/>
  <c r="BE14" i="76"/>
  <c r="BE10" i="76"/>
  <c r="BE43" i="76"/>
  <c r="BE359" i="76"/>
  <c r="BE333" i="76"/>
  <c r="BE321" i="76"/>
  <c r="BE251" i="75"/>
  <c r="BE254" i="75" s="1"/>
  <c r="BE255" i="75" s="1"/>
  <c r="BE362" i="76"/>
  <c r="BE375" i="76"/>
  <c r="BE360" i="76"/>
  <c r="BE92" i="75"/>
  <c r="BE56" i="76"/>
  <c r="BE166" i="76"/>
  <c r="BE50" i="76"/>
  <c r="BE66" i="76"/>
  <c r="BE176" i="76"/>
  <c r="BE349" i="76"/>
  <c r="BE363" i="76"/>
  <c r="BE70" i="76"/>
  <c r="BE180" i="76"/>
  <c r="BE13" i="76"/>
  <c r="BE53" i="76"/>
  <c r="BE339" i="76"/>
  <c r="BE387" i="76"/>
  <c r="BE20" i="76"/>
  <c r="BE326" i="76"/>
  <c r="BE69" i="76"/>
  <c r="BE179" i="76"/>
  <c r="BE30" i="76"/>
  <c r="BE341" i="76"/>
  <c r="BE340" i="75"/>
  <c r="BE8" i="76"/>
  <c r="BE91" i="75"/>
  <c r="BE379" i="76"/>
  <c r="BE361" i="76"/>
  <c r="BE347" i="76"/>
  <c r="BE327" i="76"/>
  <c r="BE391" i="76"/>
  <c r="BE367" i="76"/>
  <c r="BE181" i="76"/>
  <c r="BE71" i="76"/>
  <c r="BE378" i="76"/>
  <c r="BE324" i="76"/>
  <c r="BE358" i="76"/>
  <c r="BE93" i="75"/>
  <c r="BE357" i="76"/>
  <c r="BE329" i="76"/>
  <c r="BE356" i="76"/>
  <c r="BE335" i="76"/>
  <c r="BE178" i="76"/>
  <c r="BE68" i="76"/>
  <c r="BE332" i="76"/>
  <c r="BE60" i="76"/>
  <c r="BE170" i="76"/>
  <c r="BE393" i="76"/>
  <c r="BE42" i="76"/>
  <c r="BE331" i="76"/>
  <c r="BE325" i="76"/>
  <c r="BE9" i="76"/>
  <c r="BE366" i="76"/>
  <c r="BE365" i="76"/>
  <c r="BE341" i="75"/>
  <c r="BE369" i="76"/>
  <c r="BE330" i="76"/>
  <c r="BE368" i="76"/>
  <c r="BE21" i="76"/>
  <c r="BE175" i="76"/>
  <c r="BE65" i="76"/>
  <c r="P294" i="69"/>
  <c r="P295" i="69" s="1"/>
  <c r="S274" i="69" a="1"/>
  <c r="S274" i="69" s="1"/>
  <c r="S275" i="69" s="1"/>
  <c r="IG21" i="69"/>
  <c r="HX21" i="69"/>
  <c r="P276" i="69"/>
  <c r="HW21" i="69"/>
  <c r="P299" i="69"/>
  <c r="P312" i="69"/>
  <c r="P254" i="69"/>
  <c r="P257" i="69"/>
  <c r="P255" i="69"/>
  <c r="P256" i="69"/>
  <c r="Q253" i="69"/>
  <c r="Q249" i="70"/>
  <c r="HM22" i="70"/>
  <c r="M282" i="69"/>
  <c r="M283" i="69" s="1"/>
  <c r="O273" i="70"/>
  <c r="O277" i="69"/>
  <c r="HU20" i="70"/>
  <c r="IE23" i="69"/>
  <c r="R252" i="69"/>
  <c r="HP23" i="69"/>
  <c r="HO23" i="69"/>
  <c r="N278" i="69"/>
  <c r="N279" i="69"/>
  <c r="N281" i="69"/>
  <c r="N314" i="69"/>
  <c r="N280" i="69"/>
  <c r="HN24" i="69"/>
  <c r="Q275" i="69"/>
  <c r="HV22" i="69" s="1"/>
  <c r="T251" i="69"/>
  <c r="U250" i="69" a="1"/>
  <c r="U250" i="69" s="1"/>
  <c r="M302" i="69"/>
  <c r="M310" i="69" s="1"/>
  <c r="M306" i="70"/>
  <c r="HQ21" i="70"/>
  <c r="P261" i="70"/>
  <c r="P265" i="69"/>
  <c r="HY23" i="70"/>
  <c r="R289" i="69"/>
  <c r="R285" i="70"/>
  <c r="T287" i="69"/>
  <c r="HZ25" i="69" s="1"/>
  <c r="U286" i="69" a="1"/>
  <c r="U286" i="69" s="1"/>
  <c r="O269" i="69"/>
  <c r="O268" i="69"/>
  <c r="O313" i="69"/>
  <c r="O266" i="69"/>
  <c r="O267" i="69"/>
  <c r="N305" i="70"/>
  <c r="N301" i="69"/>
  <c r="N309" i="69" s="1"/>
  <c r="P307" i="70"/>
  <c r="P303" i="69"/>
  <c r="P311" i="69" s="1"/>
  <c r="S288" i="69"/>
  <c r="IH24" i="69"/>
  <c r="IB24" i="69"/>
  <c r="IA24" i="69"/>
  <c r="R263" i="69"/>
  <c r="HR23" i="69" s="1"/>
  <c r="S262" i="69" a="1"/>
  <c r="S262" i="69" s="1"/>
  <c r="Q292" i="69"/>
  <c r="Q291" i="69"/>
  <c r="Q290" i="69"/>
  <c r="Q293" i="69"/>
  <c r="Q315" i="69"/>
  <c r="Q264" i="69"/>
  <c r="HT22" i="69"/>
  <c r="HS22" i="69"/>
  <c r="IF22" i="69"/>
  <c r="N270" i="69"/>
  <c r="N271" i="69" s="1"/>
  <c r="AK90" i="76"/>
  <c r="AG198" i="76"/>
  <c r="AG154" i="76"/>
  <c r="AG89" i="76"/>
  <c r="AG88" i="76" s="1"/>
  <c r="AG406" i="76"/>
  <c r="AG202" i="76" s="1"/>
  <c r="AG401" i="76"/>
  <c r="AG92" i="76" s="1"/>
  <c r="AK200" i="76"/>
  <c r="AK154" i="76"/>
  <c r="AK89" i="76"/>
  <c r="AK88" i="76" s="1"/>
  <c r="AG200" i="76"/>
  <c r="AK91" i="76"/>
  <c r="AK406" i="76"/>
  <c r="AK202" i="76" s="1"/>
  <c r="AK401" i="76"/>
  <c r="AK92" i="76" s="1"/>
  <c r="AO405" i="76"/>
  <c r="AO404" i="76"/>
  <c r="AO403" i="76"/>
  <c r="AO402" i="76"/>
  <c r="AO372" i="76"/>
  <c r="AO371" i="76"/>
  <c r="AO370" i="76"/>
  <c r="AO348" i="76"/>
  <c r="AO169" i="76"/>
  <c r="AO177" i="76"/>
  <c r="AO168" i="76"/>
  <c r="AO167" i="76"/>
  <c r="AO145" i="76"/>
  <c r="AO59" i="76"/>
  <c r="AO58" i="76"/>
  <c r="AO57" i="76"/>
  <c r="AO35" i="76"/>
  <c r="AO67" i="76"/>
  <c r="AK198" i="76"/>
  <c r="AK201" i="76"/>
  <c r="BI323" i="76" l="1"/>
  <c r="BI331" i="76"/>
  <c r="BI366" i="76"/>
  <c r="BI397" i="76"/>
  <c r="BI334" i="76"/>
  <c r="BI364" i="76"/>
  <c r="BI17" i="76"/>
  <c r="BI68" i="76"/>
  <c r="BI178" i="76"/>
  <c r="BI398" i="76"/>
  <c r="BI91" i="75"/>
  <c r="BI8" i="76"/>
  <c r="BI329" i="76"/>
  <c r="BI353" i="76"/>
  <c r="BI342" i="76"/>
  <c r="BI93" i="75"/>
  <c r="BI344" i="76"/>
  <c r="BI362" i="76"/>
  <c r="BI18" i="76"/>
  <c r="BI39" i="76"/>
  <c r="BI428" i="75"/>
  <c r="BI430" i="75" s="1"/>
  <c r="BI431" i="75" s="1"/>
  <c r="BI98" i="75" s="1"/>
  <c r="BI28" i="76"/>
  <c r="BI49" i="76"/>
  <c r="BI71" i="76"/>
  <c r="BI181" i="76"/>
  <c r="BI322" i="76"/>
  <c r="BI345" i="76"/>
  <c r="BI15" i="76"/>
  <c r="BI16" i="76"/>
  <c r="BI19" i="76"/>
  <c r="BI332" i="76"/>
  <c r="BI31" i="76"/>
  <c r="BI374" i="76"/>
  <c r="BI341" i="76"/>
  <c r="BI339" i="76"/>
  <c r="BI347" i="76"/>
  <c r="BI330" i="76"/>
  <c r="BI251" i="75"/>
  <c r="BI254" i="75" s="1"/>
  <c r="BI255" i="75" s="1"/>
  <c r="BI321" i="76"/>
  <c r="BE94" i="75"/>
  <c r="BI336" i="76"/>
  <c r="BI355" i="76"/>
  <c r="BI12" i="76"/>
  <c r="BI324" i="76"/>
  <c r="BI36" i="76"/>
  <c r="BI27" i="76"/>
  <c r="BI335" i="76"/>
  <c r="BI326" i="76"/>
  <c r="BI346" i="76"/>
  <c r="BI60" i="76"/>
  <c r="BI170" i="76"/>
  <c r="BM299" i="75"/>
  <c r="U299" i="75" s="1"/>
  <c r="M299" i="75" s="1"/>
  <c r="BM316" i="75"/>
  <c r="BM216" i="75"/>
  <c r="BM313" i="75"/>
  <c r="BM376" i="76" s="1"/>
  <c r="BM175" i="75"/>
  <c r="BM258" i="75"/>
  <c r="BM284" i="75"/>
  <c r="U284" i="75" s="1"/>
  <c r="M284" i="75" s="1"/>
  <c r="BM402" i="75"/>
  <c r="U402" i="75" s="1"/>
  <c r="M402" i="75" s="1"/>
  <c r="BM397" i="75"/>
  <c r="U397" i="75" s="1"/>
  <c r="M397" i="75" s="1"/>
  <c r="BM50" i="75"/>
  <c r="BM49" i="76" s="1"/>
  <c r="BM79" i="75"/>
  <c r="U79" i="75" s="1"/>
  <c r="M79" i="75" s="1"/>
  <c r="BM28" i="75"/>
  <c r="BM27" i="76" s="1"/>
  <c r="BM78" i="75"/>
  <c r="BM194" i="75"/>
  <c r="BM214" i="75"/>
  <c r="U214" i="75" s="1"/>
  <c r="BM280" i="75"/>
  <c r="U280" i="75" s="1"/>
  <c r="M280" i="75" s="1"/>
  <c r="BM268" i="75"/>
  <c r="BM288" i="75"/>
  <c r="U288" i="75" s="1"/>
  <c r="M288" i="75" s="1"/>
  <c r="BM14" i="75"/>
  <c r="BM13" i="75"/>
  <c r="BM12" i="76" s="1"/>
  <c r="BM22" i="75"/>
  <c r="BM289" i="75"/>
  <c r="U289" i="75" s="1"/>
  <c r="M289" i="75" s="1"/>
  <c r="BM67" i="75"/>
  <c r="BM72" i="75"/>
  <c r="U72" i="75" s="1"/>
  <c r="M72" i="75" s="1"/>
  <c r="BM52" i="75"/>
  <c r="BM51" i="76" s="1"/>
  <c r="BM405" i="75"/>
  <c r="U405" i="75" s="1"/>
  <c r="M405" i="75" s="1"/>
  <c r="BM57" i="75"/>
  <c r="BM281" i="75"/>
  <c r="U281" i="75" s="1"/>
  <c r="M281" i="75" s="1"/>
  <c r="BM32" i="75"/>
  <c r="BM31" i="76" s="1"/>
  <c r="BM300" i="75"/>
  <c r="U300" i="75" s="1"/>
  <c r="M300" i="75" s="1"/>
  <c r="BM337" i="75"/>
  <c r="BM400" i="76" s="1"/>
  <c r="BM35" i="75"/>
  <c r="BM34" i="76" s="1"/>
  <c r="BM197" i="75"/>
  <c r="BM347" i="76" s="1"/>
  <c r="BM283" i="75"/>
  <c r="U283" i="75" s="1"/>
  <c r="M283" i="75" s="1"/>
  <c r="BM308" i="75"/>
  <c r="BM29" i="75"/>
  <c r="BM28" i="76" s="1"/>
  <c r="BM292" i="75"/>
  <c r="U292" i="75" s="1"/>
  <c r="M292" i="75" s="1"/>
  <c r="BM311" i="75"/>
  <c r="BM374" i="76" s="1"/>
  <c r="BM45" i="75"/>
  <c r="BM44" i="76" s="1"/>
  <c r="BM184" i="75"/>
  <c r="BM1" i="76"/>
  <c r="BM265" i="75"/>
  <c r="U265" i="75" s="1"/>
  <c r="M265" i="75" s="1"/>
  <c r="BM191" i="75"/>
  <c r="BM213" i="75"/>
  <c r="BM11" i="75"/>
  <c r="BM104" i="75"/>
  <c r="BM173" i="75"/>
  <c r="BM185" i="75"/>
  <c r="BM192" i="75"/>
  <c r="BM208" i="75"/>
  <c r="BM315" i="75"/>
  <c r="BM396" i="75"/>
  <c r="U396" i="75" s="1"/>
  <c r="M396" i="75" s="1"/>
  <c r="BM37" i="75"/>
  <c r="BM36" i="76" s="1"/>
  <c r="BM171" i="75"/>
  <c r="BM89" i="75"/>
  <c r="BM183" i="75"/>
  <c r="BM27" i="75"/>
  <c r="BM26" i="76" s="1"/>
  <c r="BM80" i="75"/>
  <c r="BM181" i="75"/>
  <c r="BM212" i="75"/>
  <c r="BM270" i="75"/>
  <c r="U270" i="75" s="1"/>
  <c r="M270" i="75" s="1"/>
  <c r="BM303" i="75"/>
  <c r="U303" i="75" s="1"/>
  <c r="M303" i="75" s="1"/>
  <c r="BM403" i="75"/>
  <c r="BM302" i="75"/>
  <c r="U302" i="75" s="1"/>
  <c r="M302" i="75" s="1"/>
  <c r="BM24" i="75"/>
  <c r="BM23" i="76" s="1"/>
  <c r="BM64" i="75"/>
  <c r="U64" i="75" s="1"/>
  <c r="M64" i="75" s="1"/>
  <c r="BM85" i="75"/>
  <c r="U85" i="75" s="1"/>
  <c r="M85" i="75" s="1"/>
  <c r="BM177" i="75"/>
  <c r="BM102" i="75"/>
  <c r="BM55" i="75"/>
  <c r="BM54" i="76" s="1"/>
  <c r="BM90" i="75"/>
  <c r="U90" i="75" s="1"/>
  <c r="M90" i="75" s="1"/>
  <c r="BM88" i="75"/>
  <c r="U88" i="75" s="1"/>
  <c r="M88" i="75" s="1"/>
  <c r="BM217" i="75"/>
  <c r="BM180" i="75"/>
  <c r="BM42" i="75"/>
  <c r="BM41" i="76" s="1"/>
  <c r="BM10" i="75"/>
  <c r="BM330" i="75"/>
  <c r="BM269" i="75"/>
  <c r="U269" i="75" s="1"/>
  <c r="M269" i="75" s="1"/>
  <c r="BM398" i="75"/>
  <c r="BM326" i="75"/>
  <c r="BM389" i="76" s="1"/>
  <c r="BM293" i="75"/>
  <c r="U293" i="75" s="1"/>
  <c r="M293" i="75" s="1"/>
  <c r="BM33" i="75"/>
  <c r="BM32" i="76" s="1"/>
  <c r="BM83" i="75"/>
  <c r="U83" i="75" s="1"/>
  <c r="M83" i="75" s="1"/>
  <c r="BM267" i="75"/>
  <c r="BM276" i="75"/>
  <c r="BM30" i="75"/>
  <c r="BM9" i="75"/>
  <c r="U9" i="75" s="1"/>
  <c r="BM66" i="75"/>
  <c r="U66" i="75" s="1"/>
  <c r="BM20" i="75"/>
  <c r="BM19" i="76" s="1"/>
  <c r="BM68" i="75"/>
  <c r="U68" i="75" s="1"/>
  <c r="BM38" i="75"/>
  <c r="BM37" i="76" s="1"/>
  <c r="BM87" i="75"/>
  <c r="U87" i="75" s="1"/>
  <c r="M87" i="75" s="1"/>
  <c r="BM172" i="75"/>
  <c r="BM287" i="75"/>
  <c r="U287" i="75" s="1"/>
  <c r="M287" i="75" s="1"/>
  <c r="BM205" i="75"/>
  <c r="BM355" i="76" s="1"/>
  <c r="BM179" i="75"/>
  <c r="U179" i="75" s="1"/>
  <c r="BM44" i="75"/>
  <c r="BM48" i="75"/>
  <c r="BM47" i="76" s="1"/>
  <c r="BM174" i="75"/>
  <c r="BM176" i="75"/>
  <c r="BM273" i="75"/>
  <c r="U273" i="75" s="1"/>
  <c r="M273" i="75" s="1"/>
  <c r="BM103" i="75"/>
  <c r="BM275" i="75"/>
  <c r="U275" i="75" s="1"/>
  <c r="M275" i="75" s="1"/>
  <c r="BM294" i="75"/>
  <c r="U294" i="75" s="1"/>
  <c r="M294" i="75" s="1"/>
  <c r="BM41" i="75"/>
  <c r="BM40" i="76" s="1"/>
  <c r="BM65" i="75"/>
  <c r="U65" i="75" s="1"/>
  <c r="M65" i="75" s="1"/>
  <c r="BM178" i="75"/>
  <c r="BM328" i="76" s="1"/>
  <c r="BM62" i="75"/>
  <c r="BM51" i="75"/>
  <c r="BM322" i="75"/>
  <c r="BM12" i="75"/>
  <c r="BM11" i="76" s="1"/>
  <c r="BM301" i="75"/>
  <c r="U301" i="75" s="1"/>
  <c r="M301" i="75" s="1"/>
  <c r="BM279" i="75"/>
  <c r="U279" i="75" s="1"/>
  <c r="M279" i="75" s="1"/>
  <c r="BM332" i="75"/>
  <c r="BM395" i="76" s="1"/>
  <c r="BM17" i="75"/>
  <c r="BM16" i="76" s="1"/>
  <c r="BM43" i="75"/>
  <c r="BM25" i="75"/>
  <c r="BM24" i="76" s="1"/>
  <c r="BM304" i="75"/>
  <c r="U304" i="75" s="1"/>
  <c r="M304" i="75" s="1"/>
  <c r="BM298" i="75"/>
  <c r="U298" i="75" s="1"/>
  <c r="M298" i="75" s="1"/>
  <c r="BM324" i="75"/>
  <c r="BM23" i="75"/>
  <c r="BM22" i="76" s="1"/>
  <c r="BM60" i="75"/>
  <c r="U60" i="75" s="1"/>
  <c r="M60" i="75" s="1"/>
  <c r="BM202" i="75"/>
  <c r="BM54" i="75"/>
  <c r="BM187" i="75"/>
  <c r="BM203" i="75"/>
  <c r="BM21" i="75"/>
  <c r="BM193" i="75"/>
  <c r="BM264" i="75"/>
  <c r="U264" i="75" s="1"/>
  <c r="M264" i="75" s="1"/>
  <c r="BM290" i="75"/>
  <c r="U290" i="75" s="1"/>
  <c r="M290" i="75" s="1"/>
  <c r="BM306" i="75"/>
  <c r="BM296" i="75"/>
  <c r="U296" i="75" s="1"/>
  <c r="M296" i="75" s="1"/>
  <c r="BM18" i="75"/>
  <c r="BM17" i="76" s="1"/>
  <c r="BM75" i="75"/>
  <c r="U75" i="75" s="1"/>
  <c r="M75" i="75" s="1"/>
  <c r="BM266" i="75"/>
  <c r="BM307" i="75"/>
  <c r="BM218" i="75"/>
  <c r="BM262" i="75"/>
  <c r="U262" i="75" s="1"/>
  <c r="M262" i="75" s="1"/>
  <c r="BM186" i="75"/>
  <c r="BM189" i="75"/>
  <c r="BM69" i="75"/>
  <c r="BM200" i="75"/>
  <c r="BM196" i="75"/>
  <c r="BM277" i="75"/>
  <c r="BM195" i="75"/>
  <c r="BM206" i="75"/>
  <c r="BM209" i="75"/>
  <c r="BM291" i="75"/>
  <c r="U291" i="75" s="1"/>
  <c r="M291" i="75" s="1"/>
  <c r="BM314" i="75"/>
  <c r="BM377" i="76" s="1"/>
  <c r="BM399" i="75"/>
  <c r="U399" i="75" s="1"/>
  <c r="M399" i="75" s="1"/>
  <c r="BM334" i="75"/>
  <c r="BM397" i="76" s="1"/>
  <c r="BM59" i="75"/>
  <c r="U59" i="75" s="1"/>
  <c r="M59" i="75" s="1"/>
  <c r="BM76" i="75"/>
  <c r="U76" i="75" s="1"/>
  <c r="M76" i="75" s="1"/>
  <c r="BM305" i="75"/>
  <c r="U305" i="75" s="1"/>
  <c r="M305" i="75" s="1"/>
  <c r="BM53" i="75"/>
  <c r="BM52" i="76" s="1"/>
  <c r="BM190" i="75"/>
  <c r="BM340" i="76" s="1"/>
  <c r="BM199" i="75"/>
  <c r="BM198" i="75"/>
  <c r="U198" i="75" s="1"/>
  <c r="M198" i="75" s="1"/>
  <c r="BM188" i="75"/>
  <c r="BM338" i="76" s="1"/>
  <c r="BM274" i="75"/>
  <c r="U274" i="75" s="1"/>
  <c r="M274" i="75" s="1"/>
  <c r="BM36" i="75"/>
  <c r="BM74" i="75"/>
  <c r="U74" i="75" s="1"/>
  <c r="M74" i="75" s="1"/>
  <c r="BM63" i="75"/>
  <c r="U63" i="75" s="1"/>
  <c r="M63" i="75" s="1"/>
  <c r="BM204" i="75"/>
  <c r="BM56" i="75"/>
  <c r="BM55" i="76" s="1"/>
  <c r="BM39" i="75"/>
  <c r="BM38" i="76" s="1"/>
  <c r="BM310" i="75"/>
  <c r="BM373" i="76" s="1"/>
  <c r="BM26" i="75"/>
  <c r="BM25" i="76" s="1"/>
  <c r="BM335" i="75"/>
  <c r="BM398" i="76" s="1"/>
  <c r="BM49" i="75"/>
  <c r="BM48" i="76" s="1"/>
  <c r="BM46" i="75"/>
  <c r="BM45" i="76" s="1"/>
  <c r="BM286" i="75"/>
  <c r="U286" i="75" s="1"/>
  <c r="M286" i="75" s="1"/>
  <c r="BM70" i="75"/>
  <c r="BM182" i="75"/>
  <c r="BM215" i="75"/>
  <c r="BM272" i="75"/>
  <c r="U272" i="75" s="1"/>
  <c r="M272" i="75" s="1"/>
  <c r="BM259" i="75"/>
  <c r="BM282" i="75"/>
  <c r="BM401" i="75"/>
  <c r="U401" i="75" s="1"/>
  <c r="M401" i="75" s="1"/>
  <c r="BM328" i="75"/>
  <c r="BM309" i="75"/>
  <c r="U309" i="75" s="1"/>
  <c r="M309" i="75" s="1"/>
  <c r="BM34" i="75"/>
  <c r="BM33" i="76" s="1"/>
  <c r="BM58" i="75"/>
  <c r="U58" i="75" s="1"/>
  <c r="M58" i="75" s="1"/>
  <c r="BM71" i="75"/>
  <c r="BM40" i="75"/>
  <c r="BM39" i="76" s="1"/>
  <c r="BM395" i="75"/>
  <c r="BM15" i="75"/>
  <c r="BM278" i="75"/>
  <c r="U278" i="75" s="1"/>
  <c r="M278" i="75" s="1"/>
  <c r="BM312" i="75"/>
  <c r="BM16" i="75"/>
  <c r="BM15" i="76" s="1"/>
  <c r="BM263" i="75"/>
  <c r="U263" i="75" s="1"/>
  <c r="M263" i="75" s="1"/>
  <c r="BM260" i="75"/>
  <c r="U260" i="75" s="1"/>
  <c r="M260" i="75" s="1"/>
  <c r="BM295" i="75"/>
  <c r="BM210" i="75"/>
  <c r="BM360" i="76" s="1"/>
  <c r="BM400" i="75"/>
  <c r="U400" i="75" s="1"/>
  <c r="M400" i="75" s="1"/>
  <c r="BM261" i="75"/>
  <c r="U261" i="75" s="1"/>
  <c r="M261" i="75" s="1"/>
  <c r="BM297" i="75"/>
  <c r="U297" i="75" s="1"/>
  <c r="M297" i="75" s="1"/>
  <c r="BM336" i="75"/>
  <c r="BM399" i="76" s="1"/>
  <c r="BM73" i="75"/>
  <c r="BM404" i="75"/>
  <c r="U404" i="75" s="1"/>
  <c r="M404" i="75" s="1"/>
  <c r="BM47" i="75"/>
  <c r="BM46" i="76" s="1"/>
  <c r="BM61" i="75"/>
  <c r="BM84" i="75"/>
  <c r="U84" i="75" s="1"/>
  <c r="M84" i="75" s="1"/>
  <c r="BM77" i="75"/>
  <c r="U77" i="75" s="1"/>
  <c r="M77" i="75" s="1"/>
  <c r="BM31" i="75"/>
  <c r="BM81" i="75"/>
  <c r="BM211" i="75"/>
  <c r="BM207" i="75"/>
  <c r="BM201" i="75"/>
  <c r="BM351" i="76" s="1"/>
  <c r="BM285" i="75"/>
  <c r="U285" i="75" s="1"/>
  <c r="M285" i="75" s="1"/>
  <c r="BM82" i="75"/>
  <c r="U82" i="75" s="1"/>
  <c r="M82" i="75" s="1"/>
  <c r="BM271" i="75"/>
  <c r="U271" i="75" s="1"/>
  <c r="M271" i="75" s="1"/>
  <c r="BM19" i="75"/>
  <c r="BM18" i="76" s="1"/>
  <c r="BM86" i="75"/>
  <c r="U86" i="75" s="1"/>
  <c r="M86" i="75" s="1"/>
  <c r="U89" i="75"/>
  <c r="M89" i="75" s="1"/>
  <c r="BI328" i="76"/>
  <c r="U178" i="75"/>
  <c r="U403" i="75"/>
  <c r="M403" i="75" s="1"/>
  <c r="BI38" i="76"/>
  <c r="U39" i="75"/>
  <c r="BI51" i="76"/>
  <c r="U52" i="75"/>
  <c r="BI52" i="76"/>
  <c r="U53" i="75"/>
  <c r="BI179" i="76"/>
  <c r="BI69" i="76"/>
  <c r="BI358" i="76"/>
  <c r="U208" i="75"/>
  <c r="BI389" i="76"/>
  <c r="U326" i="75"/>
  <c r="BI32" i="76"/>
  <c r="U33" i="75"/>
  <c r="BI54" i="76"/>
  <c r="U55" i="75"/>
  <c r="BI44" i="76"/>
  <c r="U45" i="75"/>
  <c r="BI37" i="76"/>
  <c r="U38" i="75"/>
  <c r="BI385" i="76"/>
  <c r="BI342" i="75"/>
  <c r="BI340" i="75"/>
  <c r="BI48" i="76"/>
  <c r="U49" i="75"/>
  <c r="U276" i="75"/>
  <c r="M276" i="75" s="1"/>
  <c r="BI92" i="75"/>
  <c r="BI166" i="76"/>
  <c r="BI56" i="76"/>
  <c r="N300" i="69"/>
  <c r="N308" i="69" s="1"/>
  <c r="N304" i="70"/>
  <c r="O257" i="69"/>
  <c r="O256" i="69"/>
  <c r="O312" i="69"/>
  <c r="O255" i="69"/>
  <c r="O254" i="69"/>
  <c r="O299" i="69"/>
  <c r="BI33" i="76"/>
  <c r="U34" i="75"/>
  <c r="BI369" i="76"/>
  <c r="U306" i="75"/>
  <c r="BI341" i="75"/>
  <c r="BI24" i="76"/>
  <c r="U25" i="75"/>
  <c r="BI55" i="76"/>
  <c r="U56" i="75"/>
  <c r="BI65" i="76"/>
  <c r="BI175" i="76"/>
  <c r="BI352" i="76"/>
  <c r="BI46" i="76"/>
  <c r="BI325" i="76"/>
  <c r="U188" i="75"/>
  <c r="BI338" i="76"/>
  <c r="BI377" i="76"/>
  <c r="U314" i="75"/>
  <c r="U210" i="75"/>
  <c r="BI360" i="76"/>
  <c r="BI25" i="76"/>
  <c r="U26" i="75"/>
  <c r="U266" i="75"/>
  <c r="M266" i="75" s="1"/>
  <c r="U308" i="75"/>
  <c r="M308" i="75" s="1"/>
  <c r="U282" i="75"/>
  <c r="M282" i="75" s="1"/>
  <c r="BI399" i="76"/>
  <c r="U336" i="75"/>
  <c r="U80" i="75"/>
  <c r="M80" i="75" s="1"/>
  <c r="BI349" i="76"/>
  <c r="U216" i="75"/>
  <c r="BI395" i="76"/>
  <c r="U332" i="75"/>
  <c r="BI340" i="76"/>
  <c r="U190" i="75"/>
  <c r="U259" i="75"/>
  <c r="M259" i="75" s="1"/>
  <c r="BI373" i="76"/>
  <c r="U310" i="75"/>
  <c r="BI337" i="76"/>
  <c r="BI327" i="76"/>
  <c r="BI400" i="76"/>
  <c r="U337" i="75"/>
  <c r="U218" i="75"/>
  <c r="BI368" i="76"/>
  <c r="U398" i="75"/>
  <c r="M398" i="75" s="1"/>
  <c r="BI26" i="76"/>
  <c r="U27" i="75"/>
  <c r="U62" i="75"/>
  <c r="M62" i="75" s="1"/>
  <c r="BI23" i="76"/>
  <c r="U24" i="75"/>
  <c r="BI361" i="76"/>
  <c r="BI41" i="76"/>
  <c r="U42" i="75"/>
  <c r="BI66" i="76"/>
  <c r="BI176" i="76"/>
  <c r="BI351" i="76"/>
  <c r="U78" i="75"/>
  <c r="M78" i="75" s="1"/>
  <c r="U71" i="75"/>
  <c r="BI180" i="76"/>
  <c r="BI70" i="76"/>
  <c r="BI22" i="76"/>
  <c r="U23" i="75"/>
  <c r="U267" i="75"/>
  <c r="M267" i="75" s="1"/>
  <c r="BI357" i="76"/>
  <c r="BI47" i="76"/>
  <c r="U48" i="75"/>
  <c r="BI40" i="76"/>
  <c r="U41" i="75"/>
  <c r="U36" i="75"/>
  <c r="M36" i="75" s="1"/>
  <c r="U81" i="75"/>
  <c r="M81" i="75" s="1"/>
  <c r="BI11" i="76"/>
  <c r="U12" i="75"/>
  <c r="BI45" i="76"/>
  <c r="U46" i="75"/>
  <c r="U295" i="75"/>
  <c r="M295" i="75" s="1"/>
  <c r="U277" i="75"/>
  <c r="M277" i="75" s="1"/>
  <c r="BI34" i="76"/>
  <c r="U35" i="75"/>
  <c r="BI376" i="76"/>
  <c r="U313" i="75"/>
  <c r="U307" i="75"/>
  <c r="M307" i="75" s="1"/>
  <c r="U268" i="75"/>
  <c r="M268" i="75" s="1"/>
  <c r="N258" i="69"/>
  <c r="N259" i="69" s="1"/>
  <c r="BE343" i="75"/>
  <c r="BE344" i="75" s="1"/>
  <c r="BE97" i="75" s="1"/>
  <c r="BE95" i="75"/>
  <c r="BE96" i="75"/>
  <c r="HN25" i="69"/>
  <c r="T252" i="69" s="1"/>
  <c r="T274" i="69" a="1"/>
  <c r="T274" i="69" s="1"/>
  <c r="T275" i="69" s="1"/>
  <c r="HX22" i="69"/>
  <c r="IG22" i="69"/>
  <c r="HW22" i="69"/>
  <c r="Q276" i="69"/>
  <c r="P258" i="69"/>
  <c r="P259" i="69" s="1"/>
  <c r="HP24" i="69"/>
  <c r="S252" i="69"/>
  <c r="HO24" i="69"/>
  <c r="IE24" i="69"/>
  <c r="HM23" i="70"/>
  <c r="R249" i="70"/>
  <c r="R253" i="69"/>
  <c r="P300" i="69"/>
  <c r="P308" i="69" s="1"/>
  <c r="P304" i="70"/>
  <c r="P277" i="69"/>
  <c r="P273" i="70"/>
  <c r="HU21" i="70"/>
  <c r="N282" i="69"/>
  <c r="N283" i="69" s="1"/>
  <c r="O270" i="69"/>
  <c r="O271" i="69" s="1"/>
  <c r="Q257" i="69"/>
  <c r="Q312" i="69"/>
  <c r="Q254" i="69"/>
  <c r="Q299" i="69"/>
  <c r="Q255" i="69"/>
  <c r="Q256" i="69"/>
  <c r="V250" i="69" a="1"/>
  <c r="V250" i="69" s="1"/>
  <c r="V251" i="69" s="1"/>
  <c r="U251" i="69"/>
  <c r="N302" i="69"/>
  <c r="N310" i="69" s="1"/>
  <c r="N306" i="70"/>
  <c r="O281" i="69"/>
  <c r="O314" i="69"/>
  <c r="O280" i="69"/>
  <c r="O279" i="69"/>
  <c r="O278" i="69"/>
  <c r="HV23" i="69"/>
  <c r="S263" i="69"/>
  <c r="HR24" i="69" s="1"/>
  <c r="T262" i="69" a="1"/>
  <c r="T262" i="69" s="1"/>
  <c r="Q294" i="69"/>
  <c r="Q295" i="69" s="1"/>
  <c r="HS23" i="69"/>
  <c r="HT23" i="69"/>
  <c r="IF23" i="69"/>
  <c r="R264" i="69"/>
  <c r="P267" i="69"/>
  <c r="P313" i="69"/>
  <c r="P266" i="69"/>
  <c r="P268" i="69"/>
  <c r="P269" i="69"/>
  <c r="R315" i="69"/>
  <c r="R290" i="69"/>
  <c r="R291" i="69"/>
  <c r="R292" i="69"/>
  <c r="R293" i="69"/>
  <c r="U287" i="69"/>
  <c r="HZ26" i="69" s="1"/>
  <c r="V286" i="69" a="1"/>
  <c r="V286" i="69" s="1"/>
  <c r="AK227" i="76"/>
  <c r="Q303" i="69"/>
  <c r="Q311" i="69" s="1"/>
  <c r="Q307" i="70"/>
  <c r="S289" i="69"/>
  <c r="S285" i="70"/>
  <c r="HY24" i="70"/>
  <c r="T288" i="69"/>
  <c r="IB25" i="69"/>
  <c r="IH25" i="69"/>
  <c r="IA25" i="69"/>
  <c r="Q265" i="69"/>
  <c r="Q261" i="70"/>
  <c r="HQ22" i="70"/>
  <c r="O305" i="70"/>
  <c r="O301" i="69"/>
  <c r="O309" i="69" s="1"/>
  <c r="AG227" i="76"/>
  <c r="AG116" i="76"/>
  <c r="AK116" i="76"/>
  <c r="AO130" i="76"/>
  <c r="AO158" i="76"/>
  <c r="AO123" i="76"/>
  <c r="AO136" i="76"/>
  <c r="AO151" i="76"/>
  <c r="AO125" i="76"/>
  <c r="AO126" i="76"/>
  <c r="AO153" i="76"/>
  <c r="AO122" i="76"/>
  <c r="AO133" i="76"/>
  <c r="AO160" i="76"/>
  <c r="AO142" i="76"/>
  <c r="AO406" i="76"/>
  <c r="AO202" i="76" s="1"/>
  <c r="AO140" i="76"/>
  <c r="AO159" i="76"/>
  <c r="AO120" i="76"/>
  <c r="AO118" i="76"/>
  <c r="AO127" i="76"/>
  <c r="AO163" i="76"/>
  <c r="AO157" i="76"/>
  <c r="AO128" i="76"/>
  <c r="AO150" i="76"/>
  <c r="AO135" i="76"/>
  <c r="AO139" i="76"/>
  <c r="AO165" i="76"/>
  <c r="AO141" i="76"/>
  <c r="AO146" i="76"/>
  <c r="AO161" i="76"/>
  <c r="AO162" i="76"/>
  <c r="AO147" i="76"/>
  <c r="AO164" i="76"/>
  <c r="AO201" i="76"/>
  <c r="AO91" i="76"/>
  <c r="AO155" i="76"/>
  <c r="AO137" i="76"/>
  <c r="AO143" i="76"/>
  <c r="AO132" i="76"/>
  <c r="AO131" i="76"/>
  <c r="AO156" i="76"/>
  <c r="AO138" i="76"/>
  <c r="AO121" i="76"/>
  <c r="AO149" i="76"/>
  <c r="AO148" i="76"/>
  <c r="AO144" i="76"/>
  <c r="AO124" i="76"/>
  <c r="AO134" i="76"/>
  <c r="AO129" i="76"/>
  <c r="AO119" i="76"/>
  <c r="AO152" i="76"/>
  <c r="BI343" i="75" l="1"/>
  <c r="BI344" i="75" s="1"/>
  <c r="BI97" i="75" s="1"/>
  <c r="BM368" i="76"/>
  <c r="BM336" i="76"/>
  <c r="BM345" i="76"/>
  <c r="U201" i="75"/>
  <c r="BM339" i="76"/>
  <c r="M68" i="75"/>
  <c r="M179" i="75"/>
  <c r="M329" i="76" s="1"/>
  <c r="U329" i="76"/>
  <c r="U65" i="76"/>
  <c r="U175" i="76"/>
  <c r="M66" i="75"/>
  <c r="M9" i="75"/>
  <c r="M8" i="76" s="1"/>
  <c r="U8" i="76"/>
  <c r="M214" i="75"/>
  <c r="M364" i="76" s="1"/>
  <c r="U364" i="76"/>
  <c r="M41" i="75"/>
  <c r="M40" i="76" s="1"/>
  <c r="U40" i="76"/>
  <c r="U41" i="76"/>
  <c r="M42" i="75"/>
  <c r="M41" i="76" s="1"/>
  <c r="O304" i="70"/>
  <c r="O300" i="69"/>
  <c r="O308" i="69" s="1"/>
  <c r="BM30" i="76"/>
  <c r="U31" i="75"/>
  <c r="BM375" i="76"/>
  <c r="U312" i="75"/>
  <c r="BM69" i="76"/>
  <c r="BM179" i="76"/>
  <c r="BM349" i="76"/>
  <c r="U199" i="75"/>
  <c r="BM68" i="76"/>
  <c r="BM178" i="76"/>
  <c r="U69" i="75"/>
  <c r="BM337" i="76"/>
  <c r="U187" i="75"/>
  <c r="BM50" i="76"/>
  <c r="U51" i="75"/>
  <c r="BM322" i="76"/>
  <c r="U172" i="75"/>
  <c r="BM393" i="76"/>
  <c r="U330" i="75"/>
  <c r="BM10" i="76"/>
  <c r="U11" i="75"/>
  <c r="BM21" i="76"/>
  <c r="U22" i="75"/>
  <c r="BM325" i="76"/>
  <c r="U175" i="75"/>
  <c r="U28" i="75"/>
  <c r="U205" i="75"/>
  <c r="U40" i="75"/>
  <c r="M336" i="75"/>
  <c r="M399" i="76" s="1"/>
  <c r="U399" i="76"/>
  <c r="M210" i="75"/>
  <c r="M360" i="76" s="1"/>
  <c r="U360" i="76"/>
  <c r="M45" i="75"/>
  <c r="M44" i="76" s="1"/>
  <c r="U44" i="76"/>
  <c r="M208" i="75"/>
  <c r="M358" i="76" s="1"/>
  <c r="U358" i="76"/>
  <c r="U38" i="76"/>
  <c r="M39" i="75"/>
  <c r="M38" i="76" s="1"/>
  <c r="BM391" i="76"/>
  <c r="U328" i="75"/>
  <c r="BM354" i="76"/>
  <c r="U204" i="75"/>
  <c r="BM53" i="76"/>
  <c r="U54" i="75"/>
  <c r="BM42" i="76"/>
  <c r="U43" i="75"/>
  <c r="BM326" i="76"/>
  <c r="U176" i="75"/>
  <c r="BM9" i="76"/>
  <c r="U10" i="75"/>
  <c r="BM327" i="76"/>
  <c r="U177" i="75"/>
  <c r="BM362" i="76"/>
  <c r="U212" i="75"/>
  <c r="BM363" i="76"/>
  <c r="U213" i="75"/>
  <c r="U311" i="75"/>
  <c r="U17" i="75"/>
  <c r="U18" i="75"/>
  <c r="M46" i="75"/>
  <c r="M45" i="76" s="1"/>
  <c r="U45" i="76"/>
  <c r="M48" i="75"/>
  <c r="M47" i="76" s="1"/>
  <c r="U47" i="76"/>
  <c r="U180" i="76"/>
  <c r="U70" i="76"/>
  <c r="M71" i="75"/>
  <c r="M218" i="75"/>
  <c r="M368" i="76" s="1"/>
  <c r="U368" i="76"/>
  <c r="U340" i="76"/>
  <c r="M190" i="75"/>
  <c r="M340" i="76" s="1"/>
  <c r="U377" i="76"/>
  <c r="M314" i="75"/>
  <c r="M377" i="76" s="1"/>
  <c r="M306" i="75"/>
  <c r="M369" i="76" s="1"/>
  <c r="U369" i="76"/>
  <c r="O258" i="69"/>
  <c r="O259" i="69" s="1"/>
  <c r="M49" i="75"/>
  <c r="M48" i="76" s="1"/>
  <c r="U48" i="76"/>
  <c r="BM14" i="76"/>
  <c r="U15" i="75"/>
  <c r="BM359" i="76"/>
  <c r="U209" i="75"/>
  <c r="BM369" i="76"/>
  <c r="BM341" i="75"/>
  <c r="BM352" i="76"/>
  <c r="U202" i="75"/>
  <c r="BM324" i="76"/>
  <c r="U174" i="75"/>
  <c r="BM331" i="76"/>
  <c r="U181" i="75"/>
  <c r="BM378" i="76"/>
  <c r="U315" i="75"/>
  <c r="BM341" i="76"/>
  <c r="U191" i="75"/>
  <c r="BM56" i="76"/>
  <c r="BM166" i="76"/>
  <c r="BM92" i="75"/>
  <c r="U57" i="75"/>
  <c r="BM13" i="76"/>
  <c r="U14" i="75"/>
  <c r="BM366" i="76"/>
  <c r="U37" i="75"/>
  <c r="U186" i="75"/>
  <c r="U195" i="75"/>
  <c r="U50" i="75"/>
  <c r="U334" i="75"/>
  <c r="M24" i="75"/>
  <c r="M23" i="76" s="1"/>
  <c r="U23" i="76"/>
  <c r="U400" i="76"/>
  <c r="M337" i="75"/>
  <c r="M400" i="76" s="1"/>
  <c r="M55" i="75"/>
  <c r="M54" i="76" s="1"/>
  <c r="U54" i="76"/>
  <c r="BM60" i="76"/>
  <c r="BM170" i="76"/>
  <c r="U61" i="75"/>
  <c r="BM428" i="75"/>
  <c r="BM430" i="75" s="1"/>
  <c r="BM431" i="75" s="1"/>
  <c r="BM98" i="75" s="1"/>
  <c r="U395" i="75"/>
  <c r="BM356" i="76"/>
  <c r="U206" i="75"/>
  <c r="BM93" i="75"/>
  <c r="BM330" i="76"/>
  <c r="U180" i="75"/>
  <c r="BM358" i="76"/>
  <c r="BM379" i="76"/>
  <c r="U316" i="75"/>
  <c r="U32" i="75"/>
  <c r="U19" i="75"/>
  <c r="U11" i="76"/>
  <c r="M12" i="75"/>
  <c r="M11" i="76" s="1"/>
  <c r="U395" i="76"/>
  <c r="M332" i="75"/>
  <c r="M395" i="76" s="1"/>
  <c r="M56" i="75"/>
  <c r="M55" i="76" s="1"/>
  <c r="U55" i="76"/>
  <c r="M34" i="75"/>
  <c r="M33" i="76" s="1"/>
  <c r="U33" i="76"/>
  <c r="M178" i="75"/>
  <c r="M328" i="76" s="1"/>
  <c r="U328" i="76"/>
  <c r="BM43" i="76"/>
  <c r="U44" i="75"/>
  <c r="BM367" i="76"/>
  <c r="U217" i="75"/>
  <c r="BM342" i="76"/>
  <c r="U197" i="75"/>
  <c r="U29" i="75"/>
  <c r="BI94" i="75"/>
  <c r="M313" i="75"/>
  <c r="M376" i="76" s="1"/>
  <c r="U376" i="76"/>
  <c r="U351" i="76"/>
  <c r="M201" i="75"/>
  <c r="M351" i="76" s="1"/>
  <c r="BE99" i="75"/>
  <c r="BE105" i="75" s="1"/>
  <c r="M188" i="75"/>
  <c r="M338" i="76" s="1"/>
  <c r="U338" i="76"/>
  <c r="U32" i="76"/>
  <c r="M33" i="75"/>
  <c r="M32" i="76" s="1"/>
  <c r="U52" i="76"/>
  <c r="M53" i="75"/>
  <c r="M52" i="76" s="1"/>
  <c r="BM357" i="76"/>
  <c r="U207" i="75"/>
  <c r="BM70" i="76"/>
  <c r="BM180" i="76"/>
  <c r="BM343" i="76"/>
  <c r="U193" i="75"/>
  <c r="BM387" i="76"/>
  <c r="U324" i="75"/>
  <c r="BM329" i="76"/>
  <c r="BM175" i="76"/>
  <c r="BM65" i="76"/>
  <c r="BM333" i="76"/>
  <c r="U183" i="75"/>
  <c r="BM335" i="76"/>
  <c r="BM334" i="76"/>
  <c r="U13" i="75"/>
  <c r="U192" i="75"/>
  <c r="U335" i="75"/>
  <c r="U34" i="76"/>
  <c r="M35" i="75"/>
  <c r="M34" i="76" s="1"/>
  <c r="M23" i="75"/>
  <c r="M22" i="76" s="1"/>
  <c r="U22" i="76"/>
  <c r="M27" i="75"/>
  <c r="M26" i="76" s="1"/>
  <c r="U26" i="76"/>
  <c r="M216" i="75"/>
  <c r="M366" i="76" s="1"/>
  <c r="U366" i="76"/>
  <c r="U25" i="76"/>
  <c r="M26" i="75"/>
  <c r="M25" i="76" s="1"/>
  <c r="M25" i="75"/>
  <c r="M24" i="76" s="1"/>
  <c r="U24" i="76"/>
  <c r="BM361" i="76"/>
  <c r="U211" i="75"/>
  <c r="BM181" i="76"/>
  <c r="BM71" i="76"/>
  <c r="BM365" i="76"/>
  <c r="U215" i="75"/>
  <c r="BM346" i="76"/>
  <c r="U196" i="75"/>
  <c r="BM20" i="76"/>
  <c r="U21" i="75"/>
  <c r="BM91" i="75"/>
  <c r="BM94" i="75" s="1"/>
  <c r="BM8" i="76"/>
  <c r="BM323" i="76"/>
  <c r="U173" i="75"/>
  <c r="BM66" i="76"/>
  <c r="BM176" i="76"/>
  <c r="U67" i="75"/>
  <c r="BM364" i="76"/>
  <c r="U185" i="75"/>
  <c r="U189" i="75"/>
  <c r="U20" i="75"/>
  <c r="U73" i="75"/>
  <c r="U70" i="75"/>
  <c r="M310" i="75"/>
  <c r="M373" i="76" s="1"/>
  <c r="U373" i="76"/>
  <c r="U47" i="75"/>
  <c r="M38" i="75"/>
  <c r="M37" i="76" s="1"/>
  <c r="U37" i="76"/>
  <c r="U389" i="76"/>
  <c r="M326" i="75"/>
  <c r="M389" i="76" s="1"/>
  <c r="U51" i="76"/>
  <c r="M52" i="75"/>
  <c r="M51" i="76" s="1"/>
  <c r="BM332" i="76"/>
  <c r="U182" i="75"/>
  <c r="BM350" i="76"/>
  <c r="U200" i="75"/>
  <c r="BM353" i="76"/>
  <c r="BM385" i="76"/>
  <c r="BM342" i="75"/>
  <c r="U322" i="75"/>
  <c r="BM29" i="76"/>
  <c r="U30" i="75"/>
  <c r="BM251" i="75"/>
  <c r="BM254" i="75" s="1"/>
  <c r="BM255" i="75" s="1"/>
  <c r="BM321" i="76"/>
  <c r="U171" i="75"/>
  <c r="BM344" i="76"/>
  <c r="U194" i="75"/>
  <c r="BM340" i="75"/>
  <c r="BM343" i="75" s="1"/>
  <c r="BM344" i="75" s="1"/>
  <c r="BM97" i="75" s="1"/>
  <c r="U258" i="75"/>
  <c r="U16" i="75"/>
  <c r="U203" i="75"/>
  <c r="U184" i="75"/>
  <c r="HP25" i="69"/>
  <c r="HN26" i="69"/>
  <c r="HN27" i="69" s="1"/>
  <c r="HO25" i="69"/>
  <c r="IE25" i="69"/>
  <c r="R294" i="69"/>
  <c r="R295" i="69" s="1"/>
  <c r="O282" i="69"/>
  <c r="O283" i="69" s="1"/>
  <c r="HW23" i="69"/>
  <c r="R276" i="69"/>
  <c r="IG23" i="69"/>
  <c r="HX23" i="69"/>
  <c r="O306" i="70"/>
  <c r="O302" i="69"/>
  <c r="O310" i="69" s="1"/>
  <c r="HV24" i="69"/>
  <c r="P314" i="69"/>
  <c r="P278" i="69"/>
  <c r="P281" i="69"/>
  <c r="P279" i="69"/>
  <c r="P280" i="69"/>
  <c r="HM24" i="70"/>
  <c r="S253" i="69"/>
  <c r="S249" i="70"/>
  <c r="T249" i="70"/>
  <c r="HM25" i="70"/>
  <c r="T253" i="69"/>
  <c r="Q258" i="69"/>
  <c r="Q259" i="69" s="1"/>
  <c r="Q304" i="70"/>
  <c r="Q300" i="69"/>
  <c r="Q308" i="69" s="1"/>
  <c r="U274" i="69" a="1"/>
  <c r="U274" i="69" s="1"/>
  <c r="U275" i="69" s="1"/>
  <c r="R312" i="69"/>
  <c r="R254" i="69"/>
  <c r="R255" i="69"/>
  <c r="R299" i="69"/>
  <c r="R257" i="69"/>
  <c r="R256" i="69"/>
  <c r="HU22" i="70"/>
  <c r="Q273" i="70"/>
  <c r="Q277" i="69"/>
  <c r="W250" i="69" a="1"/>
  <c r="W250" i="69" s="1"/>
  <c r="W251" i="69" s="1"/>
  <c r="T289" i="69"/>
  <c r="T285" i="70"/>
  <c r="HY25" i="70"/>
  <c r="U288" i="69"/>
  <c r="IB26" i="69"/>
  <c r="IA26" i="69"/>
  <c r="IH26" i="69"/>
  <c r="P301" i="69"/>
  <c r="P309" i="69" s="1"/>
  <c r="P305" i="70"/>
  <c r="S290" i="69"/>
  <c r="S293" i="69"/>
  <c r="S292" i="69"/>
  <c r="S315" i="69"/>
  <c r="S291" i="69"/>
  <c r="HQ23" i="70"/>
  <c r="R261" i="70"/>
  <c r="R265" i="69"/>
  <c r="Q268" i="69"/>
  <c r="Q266" i="69"/>
  <c r="Q313" i="69"/>
  <c r="Q269" i="69"/>
  <c r="Q267" i="69"/>
  <c r="R307" i="70"/>
  <c r="R303" i="69"/>
  <c r="R311" i="69" s="1"/>
  <c r="P270" i="69"/>
  <c r="P271" i="69" s="1"/>
  <c r="T263" i="69"/>
  <c r="HR25" i="69" s="1"/>
  <c r="U262" i="69" a="1"/>
  <c r="U262" i="69" s="1"/>
  <c r="V287" i="69"/>
  <c r="HZ27" i="69" s="1"/>
  <c r="W286" i="69" a="1"/>
  <c r="W286" i="69" s="1"/>
  <c r="HS24" i="69"/>
  <c r="IF24" i="69"/>
  <c r="HT24" i="69"/>
  <c r="S264" i="69"/>
  <c r="BA133" i="76"/>
  <c r="AW163" i="76"/>
  <c r="AW159" i="76"/>
  <c r="AW151" i="76"/>
  <c r="AS148" i="76"/>
  <c r="AW138" i="76"/>
  <c r="AW129" i="76"/>
  <c r="AW146" i="76"/>
  <c r="AW134" i="76"/>
  <c r="BA119" i="76"/>
  <c r="BA124" i="76"/>
  <c r="BA118" i="76"/>
  <c r="AS158" i="76"/>
  <c r="AS136" i="76"/>
  <c r="AS153" i="76"/>
  <c r="AS163" i="76"/>
  <c r="AW139" i="76"/>
  <c r="BA162" i="76"/>
  <c r="AW118" i="76"/>
  <c r="AW119" i="76"/>
  <c r="AW164" i="76"/>
  <c r="AW136" i="76"/>
  <c r="AW128" i="76"/>
  <c r="AW120" i="76"/>
  <c r="AW149" i="76"/>
  <c r="BA144" i="76"/>
  <c r="BA139" i="76"/>
  <c r="BA132" i="76"/>
  <c r="BA147" i="76"/>
  <c r="BA159" i="76"/>
  <c r="BA120" i="76"/>
  <c r="BA152" i="76"/>
  <c r="BA127" i="76"/>
  <c r="AS140" i="76"/>
  <c r="AS121" i="76"/>
  <c r="AS152" i="76"/>
  <c r="AS141" i="76"/>
  <c r="BA128" i="76"/>
  <c r="AW158" i="76"/>
  <c r="AW123" i="76"/>
  <c r="AW130" i="76"/>
  <c r="BA150" i="76"/>
  <c r="BA131" i="76"/>
  <c r="AS165" i="76"/>
  <c r="AS137" i="76"/>
  <c r="AS139" i="76"/>
  <c r="BA160" i="76"/>
  <c r="BA134" i="76"/>
  <c r="BA161" i="76"/>
  <c r="AS146" i="76"/>
  <c r="AW142" i="76"/>
  <c r="BA153" i="76"/>
  <c r="BA158" i="76"/>
  <c r="BA135" i="76"/>
  <c r="BA140" i="76"/>
  <c r="BA146" i="76"/>
  <c r="AW124" i="76"/>
  <c r="AW144" i="76"/>
  <c r="AW143" i="76"/>
  <c r="AW137" i="76"/>
  <c r="AW125" i="76"/>
  <c r="BA163" i="76"/>
  <c r="BA123" i="76"/>
  <c r="BA130" i="76"/>
  <c r="BA148" i="76"/>
  <c r="BA121" i="76"/>
  <c r="AS159" i="76"/>
  <c r="AS130" i="76"/>
  <c r="AS128" i="76"/>
  <c r="AS147" i="76"/>
  <c r="AS126" i="76"/>
  <c r="AS124" i="76"/>
  <c r="AS123" i="76"/>
  <c r="AO401" i="76"/>
  <c r="AO92" i="76" s="1"/>
  <c r="AW132" i="76"/>
  <c r="AW152" i="76"/>
  <c r="AW157" i="76"/>
  <c r="AW405" i="76"/>
  <c r="AW404" i="76"/>
  <c r="AW403" i="76"/>
  <c r="AW402" i="76"/>
  <c r="AW372" i="76"/>
  <c r="AW371" i="76"/>
  <c r="AW370" i="76"/>
  <c r="AW348" i="76"/>
  <c r="AW169" i="76"/>
  <c r="AW177" i="76"/>
  <c r="AW168" i="76"/>
  <c r="AW167" i="76"/>
  <c r="AW145" i="76"/>
  <c r="AW67" i="76"/>
  <c r="AW59" i="76"/>
  <c r="AW58" i="76"/>
  <c r="AW57" i="76"/>
  <c r="AW35" i="76"/>
  <c r="AS405" i="76"/>
  <c r="AS404" i="76"/>
  <c r="AS402" i="76"/>
  <c r="AS403" i="76"/>
  <c r="AS372" i="76"/>
  <c r="AS370" i="76"/>
  <c r="AS371" i="76"/>
  <c r="AS348" i="76"/>
  <c r="AS177" i="76"/>
  <c r="AS169" i="76"/>
  <c r="AS145" i="76"/>
  <c r="AS168" i="76"/>
  <c r="AS167" i="76"/>
  <c r="AS67" i="76"/>
  <c r="AS91" i="76" s="1"/>
  <c r="AS59" i="76"/>
  <c r="AS58" i="76"/>
  <c r="AS57" i="76"/>
  <c r="AS35" i="76"/>
  <c r="AO198" i="76"/>
  <c r="AW147" i="76"/>
  <c r="AW126" i="76"/>
  <c r="AS127" i="76"/>
  <c r="AS150" i="76"/>
  <c r="AS161" i="76"/>
  <c r="AS164" i="76"/>
  <c r="AW122" i="76"/>
  <c r="AW133" i="76"/>
  <c r="AW150" i="76"/>
  <c r="AW156" i="76"/>
  <c r="BA165" i="76"/>
  <c r="BA136" i="76"/>
  <c r="BA164" i="76"/>
  <c r="BA143" i="76"/>
  <c r="BA126" i="76"/>
  <c r="BA125" i="76"/>
  <c r="AS133" i="76"/>
  <c r="AS132" i="76"/>
  <c r="AS118" i="76"/>
  <c r="AS143" i="76"/>
  <c r="AS155" i="76"/>
  <c r="AS135" i="76"/>
  <c r="AS144" i="76"/>
  <c r="AS134" i="76"/>
  <c r="AS119" i="76"/>
  <c r="BA405" i="76"/>
  <c r="BA404" i="76"/>
  <c r="BA402" i="76"/>
  <c r="BA403" i="76"/>
  <c r="BA372" i="76"/>
  <c r="BA370" i="76"/>
  <c r="BA371" i="76"/>
  <c r="BA348" i="76"/>
  <c r="BA177" i="76"/>
  <c r="BA169" i="76"/>
  <c r="BA145" i="76"/>
  <c r="BA168" i="76"/>
  <c r="BA167" i="76"/>
  <c r="BA67" i="76"/>
  <c r="BA59" i="76"/>
  <c r="BA58" i="76"/>
  <c r="BA57" i="76"/>
  <c r="BA35" i="76"/>
  <c r="AW131" i="76"/>
  <c r="BA151" i="76"/>
  <c r="AS160" i="76"/>
  <c r="AW148" i="76"/>
  <c r="AS125" i="76"/>
  <c r="AS120" i="76"/>
  <c r="AS142" i="76"/>
  <c r="AS162" i="76"/>
  <c r="AO154" i="76"/>
  <c r="AO89" i="76"/>
  <c r="AO88" i="76" s="1"/>
  <c r="AO90" i="76"/>
  <c r="AW127" i="76"/>
  <c r="AS129" i="76"/>
  <c r="AW165" i="76"/>
  <c r="AW121" i="76"/>
  <c r="AW160" i="76"/>
  <c r="BA138" i="76"/>
  <c r="AW162" i="76"/>
  <c r="AW140" i="76"/>
  <c r="AW153" i="76"/>
  <c r="AW141" i="76"/>
  <c r="AW155" i="76"/>
  <c r="AW135" i="76"/>
  <c r="AW161" i="76"/>
  <c r="BA141" i="76"/>
  <c r="BA157" i="76"/>
  <c r="BA155" i="76"/>
  <c r="BA137" i="76"/>
  <c r="BA122" i="76"/>
  <c r="BA129" i="76"/>
  <c r="BA142" i="76"/>
  <c r="BA149" i="76"/>
  <c r="BA156" i="76"/>
  <c r="AS151" i="76"/>
  <c r="AS138" i="76"/>
  <c r="AS131" i="76"/>
  <c r="AS157" i="76"/>
  <c r="AS122" i="76"/>
  <c r="AS149" i="76"/>
  <c r="AS156" i="76"/>
  <c r="AO200" i="76"/>
  <c r="U341" i="75" l="1"/>
  <c r="U353" i="76"/>
  <c r="M203" i="75"/>
  <c r="M353" i="76" s="1"/>
  <c r="M185" i="75"/>
  <c r="M335" i="76" s="1"/>
  <c r="U335" i="76"/>
  <c r="BM95" i="75"/>
  <c r="BM96" i="75"/>
  <c r="BM99" i="75" s="1"/>
  <c r="BM105" i="75" s="1"/>
  <c r="M192" i="75"/>
  <c r="M342" i="76" s="1"/>
  <c r="U342" i="76"/>
  <c r="U367" i="76"/>
  <c r="M217" i="75"/>
  <c r="M367" i="76" s="1"/>
  <c r="U379" i="76"/>
  <c r="M316" i="75"/>
  <c r="M379" i="76" s="1"/>
  <c r="M395" i="75"/>
  <c r="M428" i="75" s="1"/>
  <c r="M430" i="75" s="1"/>
  <c r="M431" i="75" s="1"/>
  <c r="M98" i="75" s="1"/>
  <c r="U428" i="75"/>
  <c r="U430" i="75" s="1"/>
  <c r="U431" i="75" s="1"/>
  <c r="U98" i="75" s="1"/>
  <c r="M177" i="75"/>
  <c r="M327" i="76" s="1"/>
  <c r="U327" i="76"/>
  <c r="U53" i="76"/>
  <c r="M54" i="75"/>
  <c r="M53" i="76" s="1"/>
  <c r="M40" i="75"/>
  <c r="M39" i="76" s="1"/>
  <c r="U39" i="76"/>
  <c r="M312" i="75"/>
  <c r="M375" i="76" s="1"/>
  <c r="U375" i="76"/>
  <c r="M175" i="76"/>
  <c r="M65" i="76"/>
  <c r="M16" i="75"/>
  <c r="M15" i="76" s="1"/>
  <c r="U15" i="76"/>
  <c r="U29" i="76"/>
  <c r="M30" i="75"/>
  <c r="M29" i="76" s="1"/>
  <c r="M182" i="75"/>
  <c r="M332" i="76" s="1"/>
  <c r="U332" i="76"/>
  <c r="M47" i="75"/>
  <c r="M46" i="76" s="1"/>
  <c r="U46" i="76"/>
  <c r="M21" i="75"/>
  <c r="M20" i="76" s="1"/>
  <c r="U20" i="76"/>
  <c r="U361" i="76"/>
  <c r="M211" i="75"/>
  <c r="M361" i="76" s="1"/>
  <c r="M13" i="75"/>
  <c r="M12" i="76" s="1"/>
  <c r="U12" i="76"/>
  <c r="U387" i="76"/>
  <c r="M324" i="75"/>
  <c r="M387" i="76" s="1"/>
  <c r="M14" i="75"/>
  <c r="M13" i="76" s="1"/>
  <c r="U13" i="76"/>
  <c r="M315" i="75"/>
  <c r="M378" i="76" s="1"/>
  <c r="U378" i="76"/>
  <c r="M18" i="75"/>
  <c r="M17" i="76" s="1"/>
  <c r="U17" i="76"/>
  <c r="M205" i="75"/>
  <c r="M355" i="76" s="1"/>
  <c r="U355" i="76"/>
  <c r="M330" i="75"/>
  <c r="M393" i="76" s="1"/>
  <c r="U393" i="76"/>
  <c r="M69" i="75"/>
  <c r="U68" i="76"/>
  <c r="U112" i="75"/>
  <c r="U178" i="76"/>
  <c r="U340" i="75"/>
  <c r="M258" i="75"/>
  <c r="M340" i="75" s="1"/>
  <c r="M67" i="75"/>
  <c r="U66" i="76"/>
  <c r="U176" i="76"/>
  <c r="U43" i="76"/>
  <c r="M44" i="75"/>
  <c r="M43" i="76" s="1"/>
  <c r="U170" i="76"/>
  <c r="M61" i="75"/>
  <c r="U60" i="76"/>
  <c r="M70" i="76"/>
  <c r="M180" i="76"/>
  <c r="M17" i="75"/>
  <c r="M16" i="76" s="1"/>
  <c r="U16" i="76"/>
  <c r="U9" i="76"/>
  <c r="M10" i="75"/>
  <c r="M204" i="75"/>
  <c r="M354" i="76" s="1"/>
  <c r="U354" i="76"/>
  <c r="M28" i="75"/>
  <c r="M27" i="76" s="1"/>
  <c r="U27" i="76"/>
  <c r="M31" i="75"/>
  <c r="M30" i="76" s="1"/>
  <c r="U30" i="76"/>
  <c r="U338" i="75"/>
  <c r="U339" i="75"/>
  <c r="M322" i="75"/>
  <c r="U385" i="76"/>
  <c r="M196" i="75"/>
  <c r="M346" i="76" s="1"/>
  <c r="U346" i="76"/>
  <c r="U343" i="76"/>
  <c r="M193" i="75"/>
  <c r="M343" i="76" s="1"/>
  <c r="M180" i="75"/>
  <c r="M330" i="76" s="1"/>
  <c r="U330" i="76"/>
  <c r="U397" i="76"/>
  <c r="M334" i="75"/>
  <c r="M397" i="76" s="1"/>
  <c r="M57" i="75"/>
  <c r="U56" i="76"/>
  <c r="U166" i="76"/>
  <c r="U92" i="75"/>
  <c r="U331" i="76"/>
  <c r="M181" i="75"/>
  <c r="M331" i="76" s="1"/>
  <c r="M209" i="75"/>
  <c r="M359" i="76" s="1"/>
  <c r="U359" i="76"/>
  <c r="M311" i="75"/>
  <c r="U374" i="76"/>
  <c r="U325" i="76"/>
  <c r="M175" i="75"/>
  <c r="M325" i="76" s="1"/>
  <c r="M172" i="75"/>
  <c r="M322" i="76" s="1"/>
  <c r="U322" i="76"/>
  <c r="U344" i="76"/>
  <c r="M194" i="75"/>
  <c r="M344" i="76" s="1"/>
  <c r="U179" i="76"/>
  <c r="U69" i="76"/>
  <c r="M70" i="75"/>
  <c r="M183" i="75"/>
  <c r="M333" i="76" s="1"/>
  <c r="U333" i="76"/>
  <c r="BI95" i="75"/>
  <c r="U94" i="75"/>
  <c r="BI96" i="75"/>
  <c r="BI99" i="75" s="1"/>
  <c r="BI105" i="75" s="1"/>
  <c r="M50" i="75"/>
  <c r="M49" i="76" s="1"/>
  <c r="U49" i="76"/>
  <c r="U363" i="76"/>
  <c r="M213" i="75"/>
  <c r="M363" i="76" s="1"/>
  <c r="U326" i="76"/>
  <c r="M176" i="75"/>
  <c r="M326" i="76" s="1"/>
  <c r="U342" i="75"/>
  <c r="M328" i="75"/>
  <c r="M391" i="76" s="1"/>
  <c r="U391" i="76"/>
  <c r="U349" i="76"/>
  <c r="M199" i="75"/>
  <c r="M349" i="76" s="1"/>
  <c r="U181" i="76"/>
  <c r="M73" i="75"/>
  <c r="U71" i="76"/>
  <c r="M173" i="75"/>
  <c r="M323" i="76" s="1"/>
  <c r="U323" i="76"/>
  <c r="U365" i="76"/>
  <c r="M215" i="75"/>
  <c r="M365" i="76" s="1"/>
  <c r="M29" i="75"/>
  <c r="M28" i="76" s="1"/>
  <c r="U28" i="76"/>
  <c r="U345" i="76"/>
  <c r="M195" i="75"/>
  <c r="M345" i="76" s="1"/>
  <c r="M174" i="75"/>
  <c r="M324" i="76" s="1"/>
  <c r="U324" i="76"/>
  <c r="M15" i="75"/>
  <c r="M14" i="76" s="1"/>
  <c r="U14" i="76"/>
  <c r="M22" i="75"/>
  <c r="M21" i="76" s="1"/>
  <c r="U21" i="76"/>
  <c r="M51" i="75"/>
  <c r="M50" i="76" s="1"/>
  <c r="U50" i="76"/>
  <c r="U91" i="75"/>
  <c r="U93" i="75"/>
  <c r="M171" i="75"/>
  <c r="U321" i="76"/>
  <c r="U251" i="75"/>
  <c r="U254" i="75" s="1"/>
  <c r="U255" i="75" s="1"/>
  <c r="M20" i="75"/>
  <c r="M19" i="76" s="1"/>
  <c r="U19" i="76"/>
  <c r="M197" i="75"/>
  <c r="M347" i="76" s="1"/>
  <c r="U347" i="76"/>
  <c r="U18" i="76"/>
  <c r="M19" i="75"/>
  <c r="M18" i="76" s="1"/>
  <c r="M206" i="75"/>
  <c r="M356" i="76" s="1"/>
  <c r="U356" i="76"/>
  <c r="M186" i="75"/>
  <c r="M336" i="76" s="1"/>
  <c r="U336" i="76"/>
  <c r="M212" i="75"/>
  <c r="M362" i="76" s="1"/>
  <c r="U362" i="76"/>
  <c r="U42" i="76"/>
  <c r="M43" i="75"/>
  <c r="M42" i="76" s="1"/>
  <c r="U114" i="75"/>
  <c r="M184" i="75"/>
  <c r="M334" i="76" s="1"/>
  <c r="U334" i="76"/>
  <c r="M200" i="75"/>
  <c r="M350" i="76" s="1"/>
  <c r="U350" i="76"/>
  <c r="U339" i="76"/>
  <c r="M189" i="75"/>
  <c r="M339" i="76" s="1"/>
  <c r="M335" i="75"/>
  <c r="M398" i="76" s="1"/>
  <c r="U398" i="76"/>
  <c r="U357" i="76"/>
  <c r="M207" i="75"/>
  <c r="M357" i="76" s="1"/>
  <c r="BF106" i="75"/>
  <c r="BE107" i="75"/>
  <c r="M32" i="75"/>
  <c r="M31" i="76" s="1"/>
  <c r="U31" i="76"/>
  <c r="U36" i="76"/>
  <c r="M37" i="75"/>
  <c r="M36" i="76" s="1"/>
  <c r="M191" i="75"/>
  <c r="M341" i="76" s="1"/>
  <c r="U341" i="76"/>
  <c r="M202" i="75"/>
  <c r="M352" i="76" s="1"/>
  <c r="U352" i="76"/>
  <c r="M11" i="75"/>
  <c r="M10" i="76" s="1"/>
  <c r="U10" i="76"/>
  <c r="U337" i="76"/>
  <c r="M187" i="75"/>
  <c r="M337" i="76" s="1"/>
  <c r="V252" i="69"/>
  <c r="HP27" i="69"/>
  <c r="HO27" i="69"/>
  <c r="IE27" i="69"/>
  <c r="IE26" i="69"/>
  <c r="HP26" i="69"/>
  <c r="HN28" i="69"/>
  <c r="W252" i="69" s="1"/>
  <c r="W253" i="69" s="1"/>
  <c r="HO26" i="69"/>
  <c r="U252" i="69"/>
  <c r="HM26" i="70" s="1"/>
  <c r="R258" i="69"/>
  <c r="R259" i="69" s="1"/>
  <c r="Q270" i="69"/>
  <c r="Q271" i="69" s="1"/>
  <c r="R300" i="69"/>
  <c r="R308" i="69" s="1"/>
  <c r="R304" i="70"/>
  <c r="Q281" i="69"/>
  <c r="Q280" i="69"/>
  <c r="Q278" i="69"/>
  <c r="Q314" i="69"/>
  <c r="Q279" i="69"/>
  <c r="S312" i="69"/>
  <c r="S255" i="69"/>
  <c r="S257" i="69"/>
  <c r="S254" i="69"/>
  <c r="S299" i="69"/>
  <c r="S256" i="69"/>
  <c r="U253" i="69"/>
  <c r="HX24" i="69"/>
  <c r="S276" i="69"/>
  <c r="HW24" i="69"/>
  <c r="IG24" i="69"/>
  <c r="P282" i="69"/>
  <c r="P283" i="69" s="1"/>
  <c r="P302" i="69"/>
  <c r="P310" i="69" s="1"/>
  <c r="P306" i="70"/>
  <c r="X250" i="69" a="1"/>
  <c r="X250" i="69" s="1"/>
  <c r="X251" i="69" s="1"/>
  <c r="HN29" i="69" s="1"/>
  <c r="X252" i="69" s="1"/>
  <c r="R273" i="70"/>
  <c r="HU23" i="70"/>
  <c r="R277" i="69"/>
  <c r="T299" i="69"/>
  <c r="T254" i="69"/>
  <c r="T255" i="69"/>
  <c r="T312" i="69"/>
  <c r="T256" i="69"/>
  <c r="T257" i="69"/>
  <c r="HV25" i="69"/>
  <c r="HV26" i="69" s="1"/>
  <c r="V274" i="69" a="1"/>
  <c r="V274" i="69" s="1"/>
  <c r="U263" i="69"/>
  <c r="HR26" i="69" s="1"/>
  <c r="V262" i="69" a="1"/>
  <c r="V262" i="69" s="1"/>
  <c r="R268" i="69"/>
  <c r="R266" i="69"/>
  <c r="R313" i="69"/>
  <c r="R269" i="69"/>
  <c r="R267" i="69"/>
  <c r="HQ24" i="70"/>
  <c r="S265" i="69"/>
  <c r="S261" i="70"/>
  <c r="HS25" i="69"/>
  <c r="HT25" i="69"/>
  <c r="T264" i="69"/>
  <c r="IF25" i="69"/>
  <c r="S303" i="69"/>
  <c r="S311" i="69" s="1"/>
  <c r="S307" i="70"/>
  <c r="Q301" i="69"/>
  <c r="Q309" i="69" s="1"/>
  <c r="Q305" i="70"/>
  <c r="S294" i="69"/>
  <c r="S295" i="69" s="1"/>
  <c r="U285" i="70"/>
  <c r="HY26" i="70"/>
  <c r="U289" i="69"/>
  <c r="W287" i="69"/>
  <c r="HZ28" i="69" s="1"/>
  <c r="X286" i="69" a="1"/>
  <c r="X286" i="69" s="1"/>
  <c r="V288" i="69"/>
  <c r="IH27" i="69"/>
  <c r="IB27" i="69"/>
  <c r="IA27" i="69"/>
  <c r="T292" i="69"/>
  <c r="T291" i="69"/>
  <c r="T293" i="69"/>
  <c r="T315" i="69"/>
  <c r="T290" i="69"/>
  <c r="AO116" i="76"/>
  <c r="AO227" i="76"/>
  <c r="BE140" i="76"/>
  <c r="BE134" i="76"/>
  <c r="BA200" i="76"/>
  <c r="BE161" i="76"/>
  <c r="BE149" i="76"/>
  <c r="BA201" i="76"/>
  <c r="BE136" i="76"/>
  <c r="BE125" i="76"/>
  <c r="BE139" i="76"/>
  <c r="BE152" i="76"/>
  <c r="BE159" i="76"/>
  <c r="BE163" i="76"/>
  <c r="BE144" i="76"/>
  <c r="BE124" i="76"/>
  <c r="BE156" i="76"/>
  <c r="BE121" i="76"/>
  <c r="AW91" i="76"/>
  <c r="AS90" i="76"/>
  <c r="AW406" i="76"/>
  <c r="AW202" i="76" s="1"/>
  <c r="AW401" i="76"/>
  <c r="AW92" i="76" s="1"/>
  <c r="AW198" i="76"/>
  <c r="BE162" i="76"/>
  <c r="BE164" i="76"/>
  <c r="BE126" i="76"/>
  <c r="BE157" i="76"/>
  <c r="BE135" i="76"/>
  <c r="BE127" i="76"/>
  <c r="BE160" i="76"/>
  <c r="AS200" i="76"/>
  <c r="BA154" i="76"/>
  <c r="BA89" i="76"/>
  <c r="BA88" i="76" s="1"/>
  <c r="BE122" i="76"/>
  <c r="BE123" i="76"/>
  <c r="BE118" i="76"/>
  <c r="BE128" i="76"/>
  <c r="BE133" i="76"/>
  <c r="BE129" i="76"/>
  <c r="BA91" i="76"/>
  <c r="AW154" i="76"/>
  <c r="AW89" i="76"/>
  <c r="AW88" i="76" s="1"/>
  <c r="BE137" i="76"/>
  <c r="BE146" i="76"/>
  <c r="BE155" i="76"/>
  <c r="AS201" i="76"/>
  <c r="AS406" i="76"/>
  <c r="AS202" i="76" s="1"/>
  <c r="AS401" i="76"/>
  <c r="AS92" i="76" s="1"/>
  <c r="BE405" i="76"/>
  <c r="BE404" i="76"/>
  <c r="BE403" i="76"/>
  <c r="BE402" i="76"/>
  <c r="BE372" i="76"/>
  <c r="BE371" i="76"/>
  <c r="BE370" i="76"/>
  <c r="BE348" i="76"/>
  <c r="BE169" i="76"/>
  <c r="BE177" i="76"/>
  <c r="BE168" i="76"/>
  <c r="BE167" i="76"/>
  <c r="BE145" i="76"/>
  <c r="BE59" i="76"/>
  <c r="BE58" i="76"/>
  <c r="BE57" i="76"/>
  <c r="BE35" i="76"/>
  <c r="BE67" i="76"/>
  <c r="BE150" i="76"/>
  <c r="BE131" i="76"/>
  <c r="BE165" i="76"/>
  <c r="BE148" i="76"/>
  <c r="BE153" i="76"/>
  <c r="BE119" i="76"/>
  <c r="BE120" i="76"/>
  <c r="AW201" i="76"/>
  <c r="AW200" i="76"/>
  <c r="AS154" i="76"/>
  <c r="AS89" i="76"/>
  <c r="AS88" i="76" s="1"/>
  <c r="BA198" i="76"/>
  <c r="BE141" i="76"/>
  <c r="BE130" i="76"/>
  <c r="BE158" i="76"/>
  <c r="BI405" i="76"/>
  <c r="BI404" i="76"/>
  <c r="BI403" i="76"/>
  <c r="BI402" i="76"/>
  <c r="BI372" i="76"/>
  <c r="BI370" i="76"/>
  <c r="BI371" i="76"/>
  <c r="BI348" i="76"/>
  <c r="BI177" i="76"/>
  <c r="BI145" i="76"/>
  <c r="BI169" i="76"/>
  <c r="BI168" i="76"/>
  <c r="BI167" i="76"/>
  <c r="BI67" i="76"/>
  <c r="BI59" i="76"/>
  <c r="BI58" i="76"/>
  <c r="BI57" i="76"/>
  <c r="BI35" i="76"/>
  <c r="BE151" i="76"/>
  <c r="BE142" i="76"/>
  <c r="BE132" i="76"/>
  <c r="BE147" i="76"/>
  <c r="BE143" i="76"/>
  <c r="BE138" i="76"/>
  <c r="BA406" i="76"/>
  <c r="BA202" i="76" s="1"/>
  <c r="BA401" i="76"/>
  <c r="BA92" i="76" s="1"/>
  <c r="AS198" i="76"/>
  <c r="BA90" i="76"/>
  <c r="AW90" i="76"/>
  <c r="U115" i="75" l="1"/>
  <c r="U249" i="70"/>
  <c r="BI107" i="75"/>
  <c r="BJ106" i="75"/>
  <c r="U95" i="75"/>
  <c r="HI14" i="69" s="1"/>
  <c r="U96" i="75"/>
  <c r="U99" i="75" s="1"/>
  <c r="M385" i="76"/>
  <c r="M339" i="75"/>
  <c r="M338" i="75"/>
  <c r="M342" i="75"/>
  <c r="M170" i="76"/>
  <c r="M60" i="76"/>
  <c r="U343" i="75"/>
  <c r="U344" i="75" s="1"/>
  <c r="U97" i="75" s="1"/>
  <c r="M9" i="76"/>
  <c r="M91" i="75"/>
  <c r="M94" i="75" s="1"/>
  <c r="BN106" i="75"/>
  <c r="BM107" i="75"/>
  <c r="M71" i="76"/>
  <c r="M181" i="76"/>
  <c r="U113" i="75"/>
  <c r="M113" i="75" s="1"/>
  <c r="M112" i="75"/>
  <c r="U116" i="75"/>
  <c r="M69" i="76"/>
  <c r="M179" i="76"/>
  <c r="M178" i="76"/>
  <c r="M93" i="75"/>
  <c r="M114" i="75"/>
  <c r="M68" i="76"/>
  <c r="M251" i="75"/>
  <c r="M254" i="75" s="1"/>
  <c r="M255" i="75" s="1"/>
  <c r="M321" i="76"/>
  <c r="M374" i="76"/>
  <c r="M341" i="75"/>
  <c r="M343" i="75" s="1"/>
  <c r="M344" i="75" s="1"/>
  <c r="M97" i="75" s="1"/>
  <c r="M92" i="75"/>
  <c r="M56" i="76"/>
  <c r="M166" i="76"/>
  <c r="M66" i="76"/>
  <c r="M176" i="76"/>
  <c r="W249" i="70"/>
  <c r="T258" i="69"/>
  <c r="T259" i="69" s="1"/>
  <c r="HM28" i="70"/>
  <c r="HP28" i="69"/>
  <c r="IE28" i="69"/>
  <c r="HO28" i="69"/>
  <c r="S258" i="69"/>
  <c r="S259" i="69" s="1"/>
  <c r="V253" i="69"/>
  <c r="HM27" i="70"/>
  <c r="V249" i="70"/>
  <c r="Q282" i="69"/>
  <c r="Q283" i="69" s="1"/>
  <c r="IE29" i="69"/>
  <c r="U276" i="69"/>
  <c r="HW26" i="69"/>
  <c r="IG26" i="69"/>
  <c r="HX26" i="69"/>
  <c r="V275" i="69"/>
  <c r="HV27" i="69" s="1"/>
  <c r="W274" i="69" a="1"/>
  <c r="W274" i="69" s="1"/>
  <c r="W275" i="69" s="1"/>
  <c r="HV28" i="69" s="1"/>
  <c r="T276" i="69"/>
  <c r="IG25" i="69"/>
  <c r="HX25" i="69"/>
  <c r="HW25" i="69"/>
  <c r="R281" i="69"/>
  <c r="R314" i="69"/>
  <c r="R279" i="69"/>
  <c r="R280" i="69"/>
  <c r="R278" i="69"/>
  <c r="S273" i="70"/>
  <c r="S277" i="69"/>
  <c r="HU24" i="70"/>
  <c r="S300" i="69"/>
  <c r="S308" i="69" s="1"/>
  <c r="S304" i="70"/>
  <c r="HO29" i="69"/>
  <c r="HP29" i="69"/>
  <c r="Q306" i="70"/>
  <c r="Q302" i="69"/>
  <c r="Q310" i="69" s="1"/>
  <c r="T300" i="69"/>
  <c r="T308" i="69" s="1"/>
  <c r="T304" i="70"/>
  <c r="U257" i="69"/>
  <c r="U256" i="69"/>
  <c r="U299" i="69"/>
  <c r="U312" i="69"/>
  <c r="U255" i="69"/>
  <c r="U254" i="69"/>
  <c r="Y250" i="69" a="1"/>
  <c r="Y250" i="69" s="1"/>
  <c r="X287" i="69"/>
  <c r="HZ29" i="69" s="1"/>
  <c r="Y286" i="69" a="1"/>
  <c r="Y286" i="69" s="1"/>
  <c r="V289" i="69"/>
  <c r="V285" i="70"/>
  <c r="HY27" i="70"/>
  <c r="R301" i="69"/>
  <c r="R309" i="69" s="1"/>
  <c r="R305" i="70"/>
  <c r="T294" i="69"/>
  <c r="T295" i="69" s="1"/>
  <c r="T303" i="69"/>
  <c r="T311" i="69" s="1"/>
  <c r="T307" i="70"/>
  <c r="W288" i="69"/>
  <c r="IB28" i="69"/>
  <c r="IA28" i="69"/>
  <c r="IH28" i="69"/>
  <c r="W257" i="69"/>
  <c r="W312" i="69"/>
  <c r="W299" i="69"/>
  <c r="W255" i="69"/>
  <c r="W256" i="69"/>
  <c r="W254" i="69"/>
  <c r="T261" i="70"/>
  <c r="T265" i="69"/>
  <c r="HQ25" i="70"/>
  <c r="X249" i="70"/>
  <c r="HM29" i="70"/>
  <c r="X253" i="69"/>
  <c r="R270" i="69"/>
  <c r="R271" i="69" s="1"/>
  <c r="V263" i="69"/>
  <c r="HR27" i="69" s="1"/>
  <c r="W262" i="69" a="1"/>
  <c r="W262" i="69" s="1"/>
  <c r="U290" i="69"/>
  <c r="U292" i="69"/>
  <c r="U315" i="69"/>
  <c r="U291" i="69"/>
  <c r="U293" i="69"/>
  <c r="S266" i="69"/>
  <c r="S268" i="69"/>
  <c r="S269" i="69"/>
  <c r="S313" i="69"/>
  <c r="S267" i="69"/>
  <c r="IF26" i="69"/>
  <c r="HS26" i="69"/>
  <c r="HT26" i="69"/>
  <c r="U264" i="69"/>
  <c r="AS227" i="76"/>
  <c r="AW227" i="76"/>
  <c r="BA227" i="76"/>
  <c r="AS116" i="76"/>
  <c r="BA116" i="76"/>
  <c r="AW116" i="76"/>
  <c r="BE406" i="76"/>
  <c r="BE202" i="76" s="1"/>
  <c r="BI122" i="76"/>
  <c r="BI132" i="76"/>
  <c r="BE90" i="76"/>
  <c r="BE401" i="76"/>
  <c r="BE92" i="76" s="1"/>
  <c r="BI157" i="76"/>
  <c r="BI129" i="76"/>
  <c r="BI149" i="76"/>
  <c r="BI124" i="76"/>
  <c r="BI128" i="76"/>
  <c r="BI161" i="76"/>
  <c r="BI153" i="76"/>
  <c r="BI156" i="76"/>
  <c r="BI123" i="76"/>
  <c r="BI121" i="76"/>
  <c r="BI165" i="76"/>
  <c r="BI135" i="76"/>
  <c r="BE198" i="76"/>
  <c r="BI137" i="76"/>
  <c r="BI159" i="76"/>
  <c r="BI152" i="76"/>
  <c r="BI141" i="76"/>
  <c r="BI146" i="76"/>
  <c r="BI134" i="76"/>
  <c r="BI119" i="76"/>
  <c r="BI130" i="76"/>
  <c r="BI127" i="76"/>
  <c r="BI162" i="76"/>
  <c r="BI131" i="76"/>
  <c r="BI150" i="76"/>
  <c r="BI164" i="76"/>
  <c r="BI158" i="76"/>
  <c r="BE91" i="76"/>
  <c r="BE201" i="76"/>
  <c r="BI140" i="76"/>
  <c r="BI91" i="76"/>
  <c r="BI201" i="76"/>
  <c r="BI143" i="76"/>
  <c r="BI133" i="76"/>
  <c r="BI151" i="76"/>
  <c r="BI147" i="76"/>
  <c r="BI125" i="76"/>
  <c r="BI148" i="76"/>
  <c r="BI200" i="76"/>
  <c r="BI90" i="76"/>
  <c r="BI138" i="76"/>
  <c r="BI139" i="76"/>
  <c r="BI155" i="76"/>
  <c r="BI120" i="76"/>
  <c r="BI163" i="76"/>
  <c r="BI126" i="76"/>
  <c r="BI401" i="76"/>
  <c r="BI92" i="76" s="1"/>
  <c r="BI144" i="76"/>
  <c r="BI118" i="76"/>
  <c r="BI142" i="76"/>
  <c r="BI136" i="76"/>
  <c r="BI406" i="76"/>
  <c r="BI202" i="76" s="1"/>
  <c r="BE154" i="76"/>
  <c r="BE89" i="76"/>
  <c r="BE88" i="76" s="1"/>
  <c r="BI160" i="76"/>
  <c r="BE200" i="76"/>
  <c r="M116" i="75" l="1"/>
  <c r="M96" i="75"/>
  <c r="M99" i="75" s="1"/>
  <c r="M95" i="75"/>
  <c r="HE14" i="69" s="1"/>
  <c r="AO100" i="75"/>
  <c r="AO108" i="75" s="1"/>
  <c r="AC100" i="75"/>
  <c r="AC108" i="75" s="1"/>
  <c r="AG100" i="75"/>
  <c r="AG108" i="75" s="1"/>
  <c r="BM100" i="75"/>
  <c r="BM108" i="75" s="1"/>
  <c r="BI100" i="75"/>
  <c r="BI108" i="75" s="1"/>
  <c r="AS100" i="75"/>
  <c r="AS108" i="75" s="1"/>
  <c r="AK100" i="75"/>
  <c r="AK108" i="75" s="1"/>
  <c r="U100" i="75"/>
  <c r="BA100" i="75"/>
  <c r="BA108" i="75" s="1"/>
  <c r="BE100" i="75"/>
  <c r="BE108" i="75" s="1"/>
  <c r="AW100" i="75"/>
  <c r="AW108" i="75" s="1"/>
  <c r="Y100" i="75"/>
  <c r="M115" i="75"/>
  <c r="U258" i="69"/>
  <c r="U259" i="69" s="1"/>
  <c r="R282" i="69"/>
  <c r="R283" i="69" s="1"/>
  <c r="V312" i="69"/>
  <c r="V254" i="69"/>
  <c r="V257" i="69"/>
  <c r="V299" i="69"/>
  <c r="V255" i="69"/>
  <c r="V256" i="69"/>
  <c r="HW28" i="69"/>
  <c r="IG28" i="69"/>
  <c r="W276" i="69"/>
  <c r="HX28" i="69"/>
  <c r="T273" i="70"/>
  <c r="HU25" i="70"/>
  <c r="T277" i="69"/>
  <c r="R306" i="70"/>
  <c r="R302" i="69"/>
  <c r="R310" i="69" s="1"/>
  <c r="HW27" i="69"/>
  <c r="HX27" i="69"/>
  <c r="IG27" i="69"/>
  <c r="V276" i="69"/>
  <c r="Y251" i="69"/>
  <c r="HN30" i="69" s="1"/>
  <c r="Z250" i="69" a="1"/>
  <c r="Z250" i="69" s="1"/>
  <c r="Z251" i="69" s="1"/>
  <c r="HN31" i="69" s="1"/>
  <c r="HO31" i="69" s="1"/>
  <c r="U294" i="69"/>
  <c r="U295" i="69" s="1"/>
  <c r="S314" i="69"/>
  <c r="S280" i="69"/>
  <c r="S279" i="69"/>
  <c r="S281" i="69"/>
  <c r="S278" i="69"/>
  <c r="HU26" i="70"/>
  <c r="U273" i="70"/>
  <c r="U277" i="69"/>
  <c r="U300" i="69"/>
  <c r="U308" i="69" s="1"/>
  <c r="U304" i="70"/>
  <c r="X274" i="69" a="1"/>
  <c r="X274" i="69" s="1"/>
  <c r="X275" i="69" s="1"/>
  <c r="HV29" i="69" s="1"/>
  <c r="S301" i="69"/>
  <c r="S309" i="69" s="1"/>
  <c r="S305" i="70"/>
  <c r="W258" i="69"/>
  <c r="W259" i="69" s="1"/>
  <c r="W289" i="69"/>
  <c r="W285" i="70"/>
  <c r="HY28" i="70"/>
  <c r="U303" i="69"/>
  <c r="U311" i="69" s="1"/>
  <c r="U307" i="70"/>
  <c r="W300" i="69"/>
  <c r="W308" i="69" s="1"/>
  <c r="W304" i="70"/>
  <c r="U261" i="70"/>
  <c r="U265" i="69"/>
  <c r="HQ26" i="70"/>
  <c r="V293" i="69"/>
  <c r="V290" i="69"/>
  <c r="V291" i="69"/>
  <c r="V292" i="69"/>
  <c r="V315" i="69"/>
  <c r="S270" i="69"/>
  <c r="S271" i="69" s="1"/>
  <c r="X255" i="69"/>
  <c r="X254" i="69"/>
  <c r="X256" i="69"/>
  <c r="X299" i="69"/>
  <c r="X257" i="69"/>
  <c r="X312" i="69"/>
  <c r="T313" i="69"/>
  <c r="T266" i="69"/>
  <c r="T267" i="69"/>
  <c r="T268" i="69"/>
  <c r="T269" i="69"/>
  <c r="W263" i="69"/>
  <c r="HR28" i="69" s="1"/>
  <c r="X262" i="69" a="1"/>
  <c r="X262" i="69" s="1"/>
  <c r="IF27" i="69"/>
  <c r="HS27" i="69"/>
  <c r="V264" i="69"/>
  <c r="HT27" i="69"/>
  <c r="Y287" i="69"/>
  <c r="HZ30" i="69" s="1"/>
  <c r="Z286" i="69" a="1"/>
  <c r="Z286" i="69" s="1"/>
  <c r="IA29" i="69"/>
  <c r="IH29" i="69"/>
  <c r="IB29" i="69"/>
  <c r="X288" i="69"/>
  <c r="BE227" i="76"/>
  <c r="BE116" i="76"/>
  <c r="BI154" i="76"/>
  <c r="BI89" i="76"/>
  <c r="BI88" i="76" s="1"/>
  <c r="BI116" i="76" s="1"/>
  <c r="BM405" i="76"/>
  <c r="BM404" i="76"/>
  <c r="BM403" i="76"/>
  <c r="BM402" i="76"/>
  <c r="BM372" i="76"/>
  <c r="BM371" i="76"/>
  <c r="BM370" i="76"/>
  <c r="BM348" i="76"/>
  <c r="BM169" i="76"/>
  <c r="BM177" i="76"/>
  <c r="BM168" i="76"/>
  <c r="BM167" i="76"/>
  <c r="BM145" i="76"/>
  <c r="BM59" i="76"/>
  <c r="BM58" i="76"/>
  <c r="BM57" i="76"/>
  <c r="BM35" i="76"/>
  <c r="BM67" i="76"/>
  <c r="BI198" i="76"/>
  <c r="BI227" i="76" s="1"/>
  <c r="V258" i="69" l="1"/>
  <c r="V259" i="69" s="1"/>
  <c r="Y101" i="75"/>
  <c r="BI101" i="75"/>
  <c r="BI109" i="75" s="1"/>
  <c r="AG101" i="75"/>
  <c r="AG109" i="75" s="1"/>
  <c r="BM101" i="75"/>
  <c r="BM109" i="75" s="1"/>
  <c r="Q101" i="75"/>
  <c r="BA101" i="75"/>
  <c r="BA109" i="75" s="1"/>
  <c r="AC101" i="75"/>
  <c r="AC109" i="75" s="1"/>
  <c r="AS101" i="75"/>
  <c r="AS109" i="75" s="1"/>
  <c r="AO101" i="75"/>
  <c r="AO109" i="75" s="1"/>
  <c r="BE101" i="75"/>
  <c r="BE109" i="75" s="1"/>
  <c r="AW101" i="75"/>
  <c r="AW109" i="75" s="1"/>
  <c r="M101" i="75"/>
  <c r="AK101" i="75"/>
  <c r="AK109" i="75" s="1"/>
  <c r="V300" i="69"/>
  <c r="V308" i="69" s="1"/>
  <c r="V304" i="70"/>
  <c r="Y274" i="69" a="1"/>
  <c r="Y274" i="69" s="1"/>
  <c r="Y275" i="69" s="1"/>
  <c r="HV30" i="69" s="1"/>
  <c r="X276" i="69"/>
  <c r="HX29" i="69"/>
  <c r="IG29" i="69"/>
  <c r="HW29" i="69"/>
  <c r="S302" i="69"/>
  <c r="S310" i="69" s="1"/>
  <c r="S306" i="70"/>
  <c r="V273" i="70"/>
  <c r="HU27" i="70"/>
  <c r="V277" i="69"/>
  <c r="Z252" i="69"/>
  <c r="HM31" i="70" s="1"/>
  <c r="S282" i="69"/>
  <c r="S283" i="69" s="1"/>
  <c r="HP31" i="69"/>
  <c r="Y252" i="69"/>
  <c r="HP30" i="69"/>
  <c r="HO30" i="69"/>
  <c r="IE30" i="69"/>
  <c r="T281" i="69"/>
  <c r="T278" i="69"/>
  <c r="T279" i="69"/>
  <c r="T314" i="69"/>
  <c r="T280" i="69"/>
  <c r="IE31" i="69"/>
  <c r="W277" i="69"/>
  <c r="W273" i="70"/>
  <c r="HU28" i="70"/>
  <c r="U278" i="69"/>
  <c r="U281" i="69"/>
  <c r="U279" i="69"/>
  <c r="U314" i="69"/>
  <c r="U280" i="69"/>
  <c r="AA250" i="69" a="1"/>
  <c r="AA250" i="69" s="1"/>
  <c r="AA251" i="69" s="1"/>
  <c r="HN32" i="69" s="1"/>
  <c r="IE32" i="69" s="1"/>
  <c r="X263" i="69"/>
  <c r="HR29" i="69" s="1"/>
  <c r="Y262" i="69" a="1"/>
  <c r="Y262" i="69" s="1"/>
  <c r="T301" i="69"/>
  <c r="T309" i="69" s="1"/>
  <c r="T305" i="70"/>
  <c r="X300" i="69"/>
  <c r="X308" i="69" s="1"/>
  <c r="X304" i="70"/>
  <c r="V303" i="69"/>
  <c r="V311" i="69" s="1"/>
  <c r="V307" i="70"/>
  <c r="Z287" i="69"/>
  <c r="HZ31" i="69" s="1"/>
  <c r="AA286" i="69" a="1"/>
  <c r="AA286" i="69" s="1"/>
  <c r="U267" i="69"/>
  <c r="U266" i="69"/>
  <c r="U269" i="69"/>
  <c r="U268" i="69"/>
  <c r="U313" i="69"/>
  <c r="IB30" i="69"/>
  <c r="IA30" i="69"/>
  <c r="IH30" i="69"/>
  <c r="Y288" i="69"/>
  <c r="X285" i="70"/>
  <c r="HY29" i="70"/>
  <c r="X289" i="69"/>
  <c r="W264" i="69"/>
  <c r="HT28" i="69"/>
  <c r="IF28" i="69"/>
  <c r="HS28" i="69"/>
  <c r="W292" i="69"/>
  <c r="W315" i="69"/>
  <c r="W291" i="69"/>
  <c r="W290" i="69"/>
  <c r="W293" i="69"/>
  <c r="V261" i="70"/>
  <c r="V265" i="69"/>
  <c r="HQ27" i="70"/>
  <c r="X258" i="69"/>
  <c r="X259" i="69" s="1"/>
  <c r="T270" i="69"/>
  <c r="T271" i="69" s="1"/>
  <c r="V294" i="69"/>
  <c r="V295" i="69" s="1"/>
  <c r="BM161" i="76"/>
  <c r="BM118" i="76"/>
  <c r="BM135" i="76"/>
  <c r="BM165" i="76"/>
  <c r="BM140" i="76"/>
  <c r="BM150" i="76"/>
  <c r="BM126" i="76"/>
  <c r="BM149" i="76"/>
  <c r="BM138" i="76"/>
  <c r="BM133" i="76"/>
  <c r="BM200" i="76"/>
  <c r="BM90" i="76"/>
  <c r="BM141" i="76"/>
  <c r="BM134" i="76"/>
  <c r="BM158" i="76"/>
  <c r="BM121" i="76"/>
  <c r="BM123" i="76"/>
  <c r="BM124" i="76"/>
  <c r="BM125" i="76"/>
  <c r="BM136" i="76"/>
  <c r="BM162" i="76"/>
  <c r="BM142" i="76"/>
  <c r="BM144" i="76"/>
  <c r="BM128" i="76"/>
  <c r="BM146" i="76"/>
  <c r="BM148" i="76"/>
  <c r="BM139" i="76"/>
  <c r="BM164" i="76"/>
  <c r="BM122" i="76"/>
  <c r="BM130" i="76"/>
  <c r="BM159" i="76"/>
  <c r="BM163" i="76"/>
  <c r="BM147" i="76"/>
  <c r="BM119" i="76"/>
  <c r="BM137" i="76"/>
  <c r="BM152" i="76"/>
  <c r="BM132" i="76"/>
  <c r="BM155" i="76"/>
  <c r="BM127" i="76"/>
  <c r="BM91" i="76"/>
  <c r="BM201" i="76"/>
  <c r="BM120" i="76"/>
  <c r="BM143" i="76"/>
  <c r="BM131" i="76"/>
  <c r="BM153" i="76"/>
  <c r="BM157" i="76"/>
  <c r="BM129" i="76"/>
  <c r="BM151" i="76"/>
  <c r="BM160" i="76"/>
  <c r="BM156" i="76"/>
  <c r="U118" i="76"/>
  <c r="U270" i="69" l="1"/>
  <c r="U271" i="69" s="1"/>
  <c r="U282" i="69"/>
  <c r="U283" i="69" s="1"/>
  <c r="Z253" i="69"/>
  <c r="Z249" i="70"/>
  <c r="AB250" i="69" a="1"/>
  <c r="AB250" i="69" s="1"/>
  <c r="AB251" i="69" s="1"/>
  <c r="HN33" i="69" s="1"/>
  <c r="HP33" i="69" s="1"/>
  <c r="W280" i="69"/>
  <c r="W279" i="69"/>
  <c r="W314" i="69"/>
  <c r="W278" i="69"/>
  <c r="W281" i="69"/>
  <c r="HO32" i="69"/>
  <c r="T282" i="69"/>
  <c r="T283" i="69" s="1"/>
  <c r="Y249" i="70"/>
  <c r="HM30" i="70"/>
  <c r="Y253" i="69"/>
  <c r="HP32" i="69"/>
  <c r="AA252" i="69"/>
  <c r="AA253" i="69" s="1"/>
  <c r="U302" i="69"/>
  <c r="U310" i="69" s="1"/>
  <c r="U306" i="70"/>
  <c r="T302" i="69"/>
  <c r="T310" i="69" s="1"/>
  <c r="T306" i="70"/>
  <c r="Z274" i="69" a="1"/>
  <c r="Z274" i="69" s="1"/>
  <c r="Z275" i="69" s="1"/>
  <c r="HV31" i="69" s="1"/>
  <c r="V280" i="69"/>
  <c r="V314" i="69"/>
  <c r="V278" i="69"/>
  <c r="V281" i="69"/>
  <c r="V279" i="69"/>
  <c r="HU29" i="70"/>
  <c r="X273" i="70"/>
  <c r="X277" i="69"/>
  <c r="HX30" i="69"/>
  <c r="HW30" i="69"/>
  <c r="Y276" i="69"/>
  <c r="IG30" i="69"/>
  <c r="Z299" i="69"/>
  <c r="Z312" i="69"/>
  <c r="Z256" i="69"/>
  <c r="Z257" i="69"/>
  <c r="Z254" i="69"/>
  <c r="Z255" i="69"/>
  <c r="X293" i="69"/>
  <c r="X292" i="69"/>
  <c r="X291" i="69"/>
  <c r="X290" i="69"/>
  <c r="X315" i="69"/>
  <c r="AA287" i="69"/>
  <c r="HZ32" i="69" s="1"/>
  <c r="AB286" i="69" a="1"/>
  <c r="AB286" i="69" s="1"/>
  <c r="W265" i="69"/>
  <c r="W261" i="70"/>
  <c r="HQ28" i="70"/>
  <c r="U305" i="70"/>
  <c r="U301" i="69"/>
  <c r="U309" i="69" s="1"/>
  <c r="V313" i="69"/>
  <c r="V266" i="69"/>
  <c r="V267" i="69"/>
  <c r="V269" i="69"/>
  <c r="V268" i="69"/>
  <c r="W294" i="69"/>
  <c r="W295" i="69" s="1"/>
  <c r="Y289" i="69"/>
  <c r="Y285" i="70"/>
  <c r="HY30" i="70"/>
  <c r="IB31" i="69"/>
  <c r="IA31" i="69"/>
  <c r="Z288" i="69"/>
  <c r="IH31" i="69"/>
  <c r="Y263" i="69"/>
  <c r="HR30" i="69" s="1"/>
  <c r="Z262" i="69" a="1"/>
  <c r="Z262" i="69" s="1"/>
  <c r="W303" i="69"/>
  <c r="W311" i="69" s="1"/>
  <c r="W307" i="70"/>
  <c r="IF29" i="69"/>
  <c r="HT29" i="69"/>
  <c r="X264" i="69"/>
  <c r="HS29" i="69"/>
  <c r="U165" i="76"/>
  <c r="U157" i="76"/>
  <c r="U156" i="76"/>
  <c r="U127" i="76"/>
  <c r="U120" i="76"/>
  <c r="U141" i="76"/>
  <c r="U130" i="76"/>
  <c r="U137" i="76"/>
  <c r="U152" i="76"/>
  <c r="U146" i="76"/>
  <c r="U142" i="76"/>
  <c r="U155" i="76"/>
  <c r="U158" i="76"/>
  <c r="U129" i="76"/>
  <c r="U121" i="76"/>
  <c r="U150" i="76"/>
  <c r="U163" i="76"/>
  <c r="U147" i="76"/>
  <c r="U161" i="76"/>
  <c r="U164" i="76"/>
  <c r="U125" i="76"/>
  <c r="U151" i="76"/>
  <c r="U153" i="76"/>
  <c r="U126" i="76"/>
  <c r="U133" i="76"/>
  <c r="BM198" i="76"/>
  <c r="BM406" i="76"/>
  <c r="BM202" i="76" s="1"/>
  <c r="BM401" i="76"/>
  <c r="BM92" i="76" s="1"/>
  <c r="U162" i="76"/>
  <c r="U136" i="76"/>
  <c r="U140" i="76"/>
  <c r="U131" i="76"/>
  <c r="U128" i="76"/>
  <c r="U159" i="76"/>
  <c r="U144" i="76"/>
  <c r="U119" i="76"/>
  <c r="U134" i="76"/>
  <c r="U124" i="76"/>
  <c r="U160" i="76"/>
  <c r="U132" i="76"/>
  <c r="U149" i="76"/>
  <c r="U148" i="76"/>
  <c r="U135" i="76"/>
  <c r="U138" i="76"/>
  <c r="U123" i="76"/>
  <c r="U139" i="76"/>
  <c r="U401" i="76"/>
  <c r="U92" i="76" s="1"/>
  <c r="U122" i="76"/>
  <c r="U91" i="76"/>
  <c r="U114" i="76" s="1"/>
  <c r="U201" i="76"/>
  <c r="U225" i="76" s="1"/>
  <c r="U143" i="76"/>
  <c r="BM154" i="76"/>
  <c r="BM89" i="76"/>
  <c r="BM88" i="76" s="1"/>
  <c r="M118" i="76"/>
  <c r="HM32" i="70" l="1"/>
  <c r="AA249" i="70"/>
  <c r="W282" i="69"/>
  <c r="W283" i="69" s="1"/>
  <c r="AA274" i="69" a="1"/>
  <c r="AA274" i="69" s="1"/>
  <c r="AB274" i="69" s="1" a="1"/>
  <c r="AB274" i="69" s="1"/>
  <c r="AB275" i="69" s="1"/>
  <c r="IE33" i="69"/>
  <c r="AB252" i="69"/>
  <c r="HM33" i="70" s="1"/>
  <c r="Y277" i="69"/>
  <c r="Y273" i="70"/>
  <c r="HU30" i="70"/>
  <c r="HO33" i="69"/>
  <c r="X294" i="69"/>
  <c r="X295" i="69" s="1"/>
  <c r="V282" i="69"/>
  <c r="V283" i="69" s="1"/>
  <c r="HX31" i="69"/>
  <c r="IG31" i="69"/>
  <c r="HW31" i="69"/>
  <c r="Z276" i="69"/>
  <c r="X278" i="69"/>
  <c r="X314" i="69"/>
  <c r="X280" i="69"/>
  <c r="X279" i="69"/>
  <c r="X281" i="69"/>
  <c r="AC250" i="69" a="1"/>
  <c r="AC250" i="69" s="1"/>
  <c r="AC251" i="69" s="1"/>
  <c r="HN34" i="69" s="1"/>
  <c r="IE34" i="69" s="1"/>
  <c r="Y299" i="69"/>
  <c r="Y256" i="69"/>
  <c r="Y257" i="69"/>
  <c r="Y255" i="69"/>
  <c r="Y312" i="69"/>
  <c r="Y254" i="69"/>
  <c r="W302" i="69"/>
  <c r="W310" i="69" s="1"/>
  <c r="W306" i="70"/>
  <c r="V270" i="69"/>
  <c r="V271" i="69" s="1"/>
  <c r="V302" i="69"/>
  <c r="V310" i="69" s="1"/>
  <c r="V306" i="70"/>
  <c r="AB287" i="69"/>
  <c r="HZ33" i="69" s="1"/>
  <c r="AC286" i="69" a="1"/>
  <c r="AC286" i="69" s="1"/>
  <c r="Z300" i="69"/>
  <c r="Z308" i="69" s="1"/>
  <c r="Z304" i="70"/>
  <c r="X307" i="70"/>
  <c r="X303" i="69"/>
  <c r="X311" i="69" s="1"/>
  <c r="HT30" i="69"/>
  <c r="Y264" i="69"/>
  <c r="IF30" i="69"/>
  <c r="HS30" i="69"/>
  <c r="W266" i="69"/>
  <c r="W267" i="69"/>
  <c r="W313" i="69"/>
  <c r="W268" i="69"/>
  <c r="W269" i="69"/>
  <c r="Z258" i="69"/>
  <c r="Z259" i="69" s="1"/>
  <c r="Z263" i="69"/>
  <c r="HR31" i="69" s="1"/>
  <c r="AA262" i="69" a="1"/>
  <c r="AA262" i="69" s="1"/>
  <c r="Y291" i="69"/>
  <c r="Y292" i="69"/>
  <c r="Y293" i="69"/>
  <c r="Y315" i="69"/>
  <c r="Y290" i="69"/>
  <c r="X265" i="69"/>
  <c r="X261" i="70"/>
  <c r="HQ29" i="70"/>
  <c r="Z285" i="70"/>
  <c r="Z289" i="69"/>
  <c r="HY31" i="70"/>
  <c r="AA312" i="69"/>
  <c r="AA254" i="69"/>
  <c r="AA257" i="69"/>
  <c r="AA256" i="69"/>
  <c r="AA255" i="69"/>
  <c r="AA299" i="69"/>
  <c r="V301" i="69"/>
  <c r="V309" i="69" s="1"/>
  <c r="V305" i="70"/>
  <c r="IA32" i="69"/>
  <c r="AA288" i="69"/>
  <c r="IH32" i="69"/>
  <c r="IB32" i="69"/>
  <c r="BM116" i="76"/>
  <c r="BM227" i="76"/>
  <c r="U198" i="76"/>
  <c r="M121" i="76"/>
  <c r="M141" i="76"/>
  <c r="M132" i="76"/>
  <c r="M157" i="76"/>
  <c r="M161" i="76"/>
  <c r="M147" i="76"/>
  <c r="U406" i="76"/>
  <c r="U202" i="76" s="1"/>
  <c r="U154" i="76"/>
  <c r="U89" i="76"/>
  <c r="U88" i="76" s="1"/>
  <c r="M129" i="76"/>
  <c r="M144" i="76"/>
  <c r="M138" i="76"/>
  <c r="M163" i="76"/>
  <c r="M153" i="76"/>
  <c r="M159" i="76"/>
  <c r="M119" i="76"/>
  <c r="M127" i="76"/>
  <c r="M130" i="76"/>
  <c r="M151" i="76"/>
  <c r="M150" i="76"/>
  <c r="M149" i="76"/>
  <c r="U90" i="76"/>
  <c r="U115" i="76" s="1"/>
  <c r="M143" i="76"/>
  <c r="M122" i="76"/>
  <c r="M134" i="76"/>
  <c r="M164" i="76"/>
  <c r="M156" i="76"/>
  <c r="M165" i="76"/>
  <c r="M136" i="76"/>
  <c r="M137" i="76"/>
  <c r="M125" i="76"/>
  <c r="M155" i="76"/>
  <c r="U200" i="76"/>
  <c r="U226" i="76" s="1"/>
  <c r="M123" i="76"/>
  <c r="M142" i="76"/>
  <c r="M124" i="76"/>
  <c r="M158" i="76"/>
  <c r="M148" i="76"/>
  <c r="M140" i="76"/>
  <c r="M133" i="76"/>
  <c r="M139" i="76"/>
  <c r="M128" i="76"/>
  <c r="M160" i="76"/>
  <c r="M146" i="76"/>
  <c r="M126" i="76"/>
  <c r="M135" i="76"/>
  <c r="M131" i="76"/>
  <c r="M120" i="76"/>
  <c r="M162" i="76"/>
  <c r="M152" i="76"/>
  <c r="AB253" i="69" l="1"/>
  <c r="AB254" i="69" s="1"/>
  <c r="AB249" i="70"/>
  <c r="X282" i="69"/>
  <c r="X283" i="69" s="1"/>
  <c r="AC252" i="69"/>
  <c r="HM34" i="70" s="1"/>
  <c r="X302" i="69"/>
  <c r="X310" i="69" s="1"/>
  <c r="X306" i="70"/>
  <c r="HP34" i="69"/>
  <c r="Y304" i="70"/>
  <c r="Y300" i="69"/>
  <c r="Y308" i="69" s="1"/>
  <c r="HO34" i="69"/>
  <c r="AA258" i="69"/>
  <c r="AA259" i="69" s="1"/>
  <c r="Y258" i="69"/>
  <c r="Y259" i="69" s="1"/>
  <c r="AD250" i="69" a="1"/>
  <c r="AD250" i="69" s="1"/>
  <c r="AD251" i="69" s="1"/>
  <c r="HN35" i="69" s="1"/>
  <c r="AD252" i="69" s="1"/>
  <c r="Z277" i="69"/>
  <c r="Z273" i="70"/>
  <c r="HU31" i="70"/>
  <c r="Y279" i="69"/>
  <c r="Y314" i="69"/>
  <c r="Y280" i="69"/>
  <c r="Y281" i="69"/>
  <c r="Y278" i="69"/>
  <c r="AA275" i="69"/>
  <c r="HV32" i="69" s="1"/>
  <c r="HV33" i="69" s="1"/>
  <c r="AC274" i="69" a="1"/>
  <c r="AC274" i="69" s="1"/>
  <c r="AC275" i="69" s="1"/>
  <c r="AA304" i="70"/>
  <c r="AA300" i="69"/>
  <c r="AA308" i="69" s="1"/>
  <c r="X268" i="69"/>
  <c r="X313" i="69"/>
  <c r="X266" i="69"/>
  <c r="X267" i="69"/>
  <c r="X269" i="69"/>
  <c r="AA289" i="69"/>
  <c r="AA285" i="70"/>
  <c r="HY32" i="70"/>
  <c r="AB256" i="69"/>
  <c r="AB312" i="69"/>
  <c r="AB257" i="69"/>
  <c r="Y265" i="69"/>
  <c r="Y261" i="70"/>
  <c r="HQ30" i="70"/>
  <c r="Y294" i="69"/>
  <c r="Y295" i="69" s="1"/>
  <c r="W270" i="69"/>
  <c r="W271" i="69" s="1"/>
  <c r="Y307" i="70"/>
  <c r="Y303" i="69"/>
  <c r="Y311" i="69" s="1"/>
  <c r="AA263" i="69"/>
  <c r="HR32" i="69" s="1"/>
  <c r="AB262" i="69" a="1"/>
  <c r="AB262" i="69" s="1"/>
  <c r="W301" i="69"/>
  <c r="W309" i="69" s="1"/>
  <c r="W305" i="70"/>
  <c r="IF31" i="69"/>
  <c r="HT31" i="69"/>
  <c r="HS31" i="69"/>
  <c r="Z264" i="69"/>
  <c r="AC287" i="69"/>
  <c r="HZ34" i="69" s="1"/>
  <c r="AD286" i="69" a="1"/>
  <c r="AD286" i="69" s="1"/>
  <c r="Z315" i="69"/>
  <c r="Z291" i="69"/>
  <c r="Z292" i="69"/>
  <c r="Z290" i="69"/>
  <c r="Z293" i="69"/>
  <c r="AB288" i="69"/>
  <c r="IB33" i="69"/>
  <c r="IA33" i="69"/>
  <c r="IH33" i="69"/>
  <c r="U227" i="76"/>
  <c r="U116" i="76"/>
  <c r="HI15" i="69" s="1"/>
  <c r="M198" i="76"/>
  <c r="M201" i="76"/>
  <c r="M225" i="76" s="1"/>
  <c r="M91" i="76"/>
  <c r="M114" i="76" s="1"/>
  <c r="M406" i="76"/>
  <c r="M202" i="76" s="1"/>
  <c r="M401" i="76"/>
  <c r="M92" i="76" s="1"/>
  <c r="M90" i="76"/>
  <c r="M115" i="76" s="1"/>
  <c r="M154" i="76"/>
  <c r="M89" i="76"/>
  <c r="M88" i="76" s="1"/>
  <c r="M200" i="76"/>
  <c r="M226" i="76" s="1"/>
  <c r="AB299" i="69" l="1"/>
  <c r="AB255" i="69"/>
  <c r="AC253" i="69"/>
  <c r="AC299" i="69" s="1"/>
  <c r="AC249" i="70"/>
  <c r="HV34" i="69"/>
  <c r="AC276" i="69" s="1"/>
  <c r="AC277" i="69" s="1"/>
  <c r="Z294" i="69"/>
  <c r="Z295" i="69" s="1"/>
  <c r="Y302" i="69"/>
  <c r="Y310" i="69" s="1"/>
  <c r="Y306" i="70"/>
  <c r="AB258" i="69"/>
  <c r="AB259" i="69" s="1"/>
  <c r="HP35" i="69"/>
  <c r="AA276" i="69"/>
  <c r="IG32" i="69"/>
  <c r="HX32" i="69"/>
  <c r="HW32" i="69"/>
  <c r="Z281" i="69"/>
  <c r="Z278" i="69"/>
  <c r="Z314" i="69"/>
  <c r="Z280" i="69"/>
  <c r="Z279" i="69"/>
  <c r="IE35" i="69"/>
  <c r="HO35" i="69"/>
  <c r="X270" i="69"/>
  <c r="X271" i="69" s="1"/>
  <c r="Y282" i="69"/>
  <c r="Y283" i="69" s="1"/>
  <c r="AD274" i="69" a="1"/>
  <c r="AD274" i="69" s="1"/>
  <c r="AE250" i="69" a="1"/>
  <c r="AE250" i="69" s="1"/>
  <c r="AB276" i="69"/>
  <c r="IG33" i="69"/>
  <c r="HX33" i="69"/>
  <c r="HW33" i="69"/>
  <c r="AB289" i="69"/>
  <c r="HY33" i="70"/>
  <c r="AB285" i="70"/>
  <c r="Z307" i="70"/>
  <c r="Z303" i="69"/>
  <c r="Z311" i="69" s="1"/>
  <c r="Y268" i="69"/>
  <c r="Y313" i="69"/>
  <c r="Y266" i="69"/>
  <c r="Y269" i="69"/>
  <c r="Y267" i="69"/>
  <c r="AB263" i="69"/>
  <c r="HR33" i="69" s="1"/>
  <c r="AC262" i="69" a="1"/>
  <c r="AC262" i="69" s="1"/>
  <c r="Z261" i="70"/>
  <c r="Z265" i="69"/>
  <c r="HQ31" i="70"/>
  <c r="HU34" i="70"/>
  <c r="AA264" i="69"/>
  <c r="IF32" i="69"/>
  <c r="HS32" i="69"/>
  <c r="HT32" i="69"/>
  <c r="AB300" i="69"/>
  <c r="AB308" i="69" s="1"/>
  <c r="AB304" i="70"/>
  <c r="AD287" i="69"/>
  <c r="HZ35" i="69" s="1"/>
  <c r="AE286" i="69" a="1"/>
  <c r="AE286" i="69" s="1"/>
  <c r="AC255" i="69"/>
  <c r="AC256" i="69"/>
  <c r="AC312" i="69"/>
  <c r="AA290" i="69"/>
  <c r="AA315" i="69"/>
  <c r="AA291" i="69"/>
  <c r="AA293" i="69"/>
  <c r="AA292" i="69"/>
  <c r="IA34" i="69"/>
  <c r="IH34" i="69"/>
  <c r="AC288" i="69"/>
  <c r="IB34" i="69"/>
  <c r="HM35" i="70"/>
  <c r="AD253" i="69"/>
  <c r="AD249" i="70"/>
  <c r="X301" i="69"/>
  <c r="X309" i="69" s="1"/>
  <c r="X305" i="70"/>
  <c r="M227" i="76"/>
  <c r="M116" i="76"/>
  <c r="HE15" i="69" s="1"/>
  <c r="AC254" i="69" l="1"/>
  <c r="Z282" i="69"/>
  <c r="Z283" i="69" s="1"/>
  <c r="AC273" i="70"/>
  <c r="HW34" i="69"/>
  <c r="AC257" i="69"/>
  <c r="AC258" i="69" s="1"/>
  <c r="AC259" i="69" s="1"/>
  <c r="IG34" i="69"/>
  <c r="HX34" i="69"/>
  <c r="AA294" i="69"/>
  <c r="AA295" i="69" s="1"/>
  <c r="AB273" i="70"/>
  <c r="HU33" i="70"/>
  <c r="AB277" i="69"/>
  <c r="AE251" i="69"/>
  <c r="HN36" i="69" s="1"/>
  <c r="AF250" i="69" a="1"/>
  <c r="AF250" i="69" s="1"/>
  <c r="AF251" i="69" s="1"/>
  <c r="HN37" i="69" s="1"/>
  <c r="AF252" i="69" s="1"/>
  <c r="AE274" i="69" a="1"/>
  <c r="AE274" i="69" s="1"/>
  <c r="AE275" i="69" s="1"/>
  <c r="HV36" i="69" s="1"/>
  <c r="IG36" i="69" s="1"/>
  <c r="AD275" i="69"/>
  <c r="HV35" i="69" s="1"/>
  <c r="Z302" i="69"/>
  <c r="Z310" i="69" s="1"/>
  <c r="Z306" i="70"/>
  <c r="AA273" i="70"/>
  <c r="HU32" i="70"/>
  <c r="AA277" i="69"/>
  <c r="HQ32" i="70"/>
  <c r="AA261" i="70"/>
  <c r="AA265" i="69"/>
  <c r="AD288" i="69"/>
  <c r="IH35" i="69"/>
  <c r="IA35" i="69"/>
  <c r="IB35" i="69"/>
  <c r="HY34" i="70"/>
  <c r="AC289" i="69"/>
  <c r="AC285" i="70"/>
  <c r="Z313" i="69"/>
  <c r="Z269" i="69"/>
  <c r="Z268" i="69"/>
  <c r="Z267" i="69"/>
  <c r="Z266" i="69"/>
  <c r="HS33" i="69"/>
  <c r="IF33" i="69"/>
  <c r="HT33" i="69"/>
  <c r="AB264" i="69"/>
  <c r="AC263" i="69"/>
  <c r="HR34" i="69" s="1"/>
  <c r="AD262" i="69" a="1"/>
  <c r="AD262" i="69" s="1"/>
  <c r="AD257" i="69"/>
  <c r="AD256" i="69"/>
  <c r="AD254" i="69"/>
  <c r="AD255" i="69"/>
  <c r="AD299" i="69"/>
  <c r="AD312" i="69"/>
  <c r="Y301" i="69"/>
  <c r="Y309" i="69" s="1"/>
  <c r="Y305" i="70"/>
  <c r="AA303" i="69"/>
  <c r="AA311" i="69" s="1"/>
  <c r="AA307" i="70"/>
  <c r="AC314" i="69"/>
  <c r="AC279" i="69"/>
  <c r="AC281" i="69"/>
  <c r="AC278" i="69"/>
  <c r="AC280" i="69"/>
  <c r="AC300" i="69"/>
  <c r="AC308" i="69" s="1"/>
  <c r="AC304" i="70"/>
  <c r="Y270" i="69"/>
  <c r="Y271" i="69" s="1"/>
  <c r="AB290" i="69"/>
  <c r="AB315" i="69"/>
  <c r="AB292" i="69"/>
  <c r="AB291" i="69"/>
  <c r="AB293" i="69"/>
  <c r="AE287" i="69"/>
  <c r="HZ36" i="69" s="1"/>
  <c r="AF286" i="69" a="1"/>
  <c r="AF286" i="69" s="1"/>
  <c r="HW36" i="69" l="1"/>
  <c r="AF274" i="69" a="1"/>
  <c r="AF274" i="69" s="1"/>
  <c r="AF275" i="69" s="1"/>
  <c r="HV37" i="69" s="1"/>
  <c r="HX37" i="69" s="1"/>
  <c r="AE276" i="69"/>
  <c r="AE277" i="69" s="1"/>
  <c r="AD258" i="69"/>
  <c r="AD259" i="69" s="1"/>
  <c r="IE37" i="69"/>
  <c r="HX36" i="69"/>
  <c r="AD276" i="69"/>
  <c r="HW35" i="69"/>
  <c r="HX35" i="69"/>
  <c r="IG35" i="69"/>
  <c r="AA280" i="69"/>
  <c r="AA278" i="69"/>
  <c r="AA281" i="69"/>
  <c r="AA279" i="69"/>
  <c r="AA314" i="69"/>
  <c r="IE36" i="69"/>
  <c r="AE252" i="69"/>
  <c r="HO36" i="69"/>
  <c r="HP36" i="69"/>
  <c r="HP37" i="69"/>
  <c r="AB278" i="69"/>
  <c r="AB314" i="69"/>
  <c r="AB279" i="69"/>
  <c r="AB280" i="69"/>
  <c r="AB281" i="69"/>
  <c r="AG250" i="69" a="1"/>
  <c r="AG250" i="69" s="1"/>
  <c r="AG251" i="69" s="1"/>
  <c r="HN38" i="69" s="1"/>
  <c r="AG252" i="69" s="1"/>
  <c r="HO37" i="69"/>
  <c r="AC282" i="69"/>
  <c r="AC283" i="69" s="1"/>
  <c r="AD263" i="69"/>
  <c r="HR35" i="69" s="1"/>
  <c r="AE262" i="69" a="1"/>
  <c r="AE262" i="69" s="1"/>
  <c r="Z270" i="69"/>
  <c r="Z271" i="69" s="1"/>
  <c r="AC315" i="69"/>
  <c r="AC290" i="69"/>
  <c r="AC292" i="69"/>
  <c r="AC293" i="69"/>
  <c r="AC291" i="69"/>
  <c r="AC302" i="69"/>
  <c r="AC310" i="69" s="1"/>
  <c r="AC306" i="70"/>
  <c r="AD300" i="69"/>
  <c r="AD308" i="69" s="1"/>
  <c r="AD304" i="70"/>
  <c r="AF253" i="69"/>
  <c r="AF249" i="70"/>
  <c r="HM37" i="70"/>
  <c r="AA269" i="69"/>
  <c r="AA266" i="69"/>
  <c r="AA268" i="69"/>
  <c r="AA270" i="69" s="1"/>
  <c r="AA271" i="69" s="1"/>
  <c r="AA313" i="69"/>
  <c r="AA267" i="69"/>
  <c r="AF287" i="69"/>
  <c r="HZ37" i="69" s="1"/>
  <c r="AG286" i="69" a="1"/>
  <c r="AG286" i="69" s="1"/>
  <c r="HU36" i="70"/>
  <c r="AB303" i="69"/>
  <c r="AB311" i="69" s="1"/>
  <c r="AB307" i="70"/>
  <c r="HS34" i="69"/>
  <c r="IF34" i="69"/>
  <c r="HT34" i="69"/>
  <c r="AC264" i="69"/>
  <c r="AE288" i="69"/>
  <c r="IA36" i="69"/>
  <c r="IH36" i="69"/>
  <c r="IB36" i="69"/>
  <c r="AB265" i="69"/>
  <c r="HQ33" i="70"/>
  <c r="AB261" i="70"/>
  <c r="AD289" i="69"/>
  <c r="AD285" i="70"/>
  <c r="HY35" i="70"/>
  <c r="AB294" i="69"/>
  <c r="AB295" i="69" s="1"/>
  <c r="Z301" i="69"/>
  <c r="Z309" i="69" s="1"/>
  <c r="Z305" i="70"/>
  <c r="AE273" i="70" l="1"/>
  <c r="AA282" i="69"/>
  <c r="AA283" i="69" s="1"/>
  <c r="HO38" i="69"/>
  <c r="HP38" i="69"/>
  <c r="AF276" i="69"/>
  <c r="IE38" i="69"/>
  <c r="AB282" i="69"/>
  <c r="AB283" i="69" s="1"/>
  <c r="AE249" i="70"/>
  <c r="HM36" i="70"/>
  <c r="AE253" i="69"/>
  <c r="IG37" i="69"/>
  <c r="AB302" i="69"/>
  <c r="AB310" i="69" s="1"/>
  <c r="AB306" i="70"/>
  <c r="HW37" i="69"/>
  <c r="AA306" i="70"/>
  <c r="AA302" i="69"/>
  <c r="AA310" i="69" s="1"/>
  <c r="HU35" i="70"/>
  <c r="AD273" i="70"/>
  <c r="AD277" i="69"/>
  <c r="AG274" i="69" a="1"/>
  <c r="AG274" i="69" s="1"/>
  <c r="AG275" i="69" s="1"/>
  <c r="HV38" i="69" s="1"/>
  <c r="AG276" i="69" s="1"/>
  <c r="AH250" i="69" a="1"/>
  <c r="AH250" i="69" s="1"/>
  <c r="AH251" i="69" s="1"/>
  <c r="HN39" i="69" s="1"/>
  <c r="IE39" i="69" s="1"/>
  <c r="AC303" i="69"/>
  <c r="AC311" i="69" s="1"/>
  <c r="AC307" i="70"/>
  <c r="AC261" i="70"/>
  <c r="HQ34" i="70"/>
  <c r="AC265" i="69"/>
  <c r="AC294" i="69"/>
  <c r="AC295" i="69" s="1"/>
  <c r="AG287" i="69"/>
  <c r="HZ38" i="69" s="1"/>
  <c r="AH286" i="69" a="1"/>
  <c r="AH286" i="69" s="1"/>
  <c r="AD291" i="69"/>
  <c r="AD292" i="69"/>
  <c r="AD315" i="69"/>
  <c r="AD290" i="69"/>
  <c r="AD293" i="69"/>
  <c r="AE279" i="69"/>
  <c r="AE278" i="69"/>
  <c r="AE280" i="69"/>
  <c r="AE314" i="69"/>
  <c r="AE281" i="69"/>
  <c r="AF277" i="69"/>
  <c r="AF273" i="70"/>
  <c r="HU37" i="70"/>
  <c r="AA305" i="70"/>
  <c r="AA301" i="69"/>
  <c r="AA309" i="69" s="1"/>
  <c r="HY36" i="70"/>
  <c r="AE289" i="69"/>
  <c r="AE285" i="70"/>
  <c r="AB269" i="69"/>
  <c r="AB313" i="69"/>
  <c r="AB267" i="69"/>
  <c r="AB266" i="69"/>
  <c r="AB268" i="69"/>
  <c r="AG253" i="69"/>
  <c r="AG249" i="70"/>
  <c r="HM38" i="70"/>
  <c r="AE263" i="69"/>
  <c r="HR36" i="69" s="1"/>
  <c r="AF262" i="69" a="1"/>
  <c r="AF262" i="69" s="1"/>
  <c r="IH37" i="69"/>
  <c r="IB37" i="69"/>
  <c r="AF288" i="69"/>
  <c r="IA37" i="69"/>
  <c r="AF254" i="69"/>
  <c r="AF257" i="69"/>
  <c r="AF256" i="69"/>
  <c r="AF299" i="69"/>
  <c r="AF312" i="69"/>
  <c r="AF255" i="69"/>
  <c r="AD264" i="69"/>
  <c r="HT35" i="69"/>
  <c r="HS35" i="69"/>
  <c r="IF35" i="69"/>
  <c r="AF258" i="69" l="1"/>
  <c r="AF259" i="69" s="1"/>
  <c r="AD294" i="69"/>
  <c r="AD295" i="69" s="1"/>
  <c r="AH252" i="69"/>
  <c r="AH253" i="69" s="1"/>
  <c r="AI250" i="69" a="1"/>
  <c r="AI250" i="69" s="1"/>
  <c r="AI251" i="69" s="1"/>
  <c r="HN40" i="69" s="1"/>
  <c r="HP40" i="69" s="1"/>
  <c r="HO39" i="69"/>
  <c r="HX38" i="69"/>
  <c r="HP39" i="69"/>
  <c r="AD281" i="69"/>
  <c r="AD280" i="69"/>
  <c r="AD314" i="69"/>
  <c r="AD278" i="69"/>
  <c r="AD279" i="69"/>
  <c r="HW38" i="69"/>
  <c r="AB270" i="69"/>
  <c r="AB271" i="69" s="1"/>
  <c r="IG38" i="69"/>
  <c r="AE312" i="69"/>
  <c r="AE257" i="69"/>
  <c r="AE255" i="69"/>
  <c r="AE256" i="69"/>
  <c r="AE299" i="69"/>
  <c r="AE254" i="69"/>
  <c r="AH274" i="69" a="1"/>
  <c r="AH274" i="69" s="1"/>
  <c r="AF263" i="69"/>
  <c r="HR37" i="69" s="1"/>
  <c r="AG262" i="69" a="1"/>
  <c r="AG262" i="69" s="1"/>
  <c r="AE302" i="69"/>
  <c r="AE310" i="69" s="1"/>
  <c r="AE306" i="70"/>
  <c r="AG312" i="69"/>
  <c r="AG256" i="69"/>
  <c r="AG254" i="69"/>
  <c r="AG255" i="69"/>
  <c r="AG257" i="69"/>
  <c r="AG299" i="69"/>
  <c r="AD261" i="70"/>
  <c r="AD265" i="69"/>
  <c r="HQ35" i="70"/>
  <c r="AE264" i="69"/>
  <c r="IF36" i="69"/>
  <c r="HT36" i="69"/>
  <c r="HS36" i="69"/>
  <c r="AB301" i="69"/>
  <c r="AB309" i="69" s="1"/>
  <c r="AB305" i="70"/>
  <c r="AC267" i="69"/>
  <c r="AC313" i="69"/>
  <c r="AC266" i="69"/>
  <c r="AC268" i="69"/>
  <c r="AC269" i="69"/>
  <c r="AG277" i="69"/>
  <c r="HU38" i="70"/>
  <c r="AG273" i="70"/>
  <c r="HY37" i="70"/>
  <c r="AF285" i="70"/>
  <c r="AF289" i="69"/>
  <c r="AE282" i="69"/>
  <c r="AE283" i="69" s="1"/>
  <c r="AF300" i="69"/>
  <c r="AF308" i="69" s="1"/>
  <c r="AF304" i="70"/>
  <c r="AF314" i="69"/>
  <c r="AF281" i="69"/>
  <c r="AF278" i="69"/>
  <c r="AF280" i="69"/>
  <c r="AF279" i="69"/>
  <c r="AH287" i="69"/>
  <c r="HZ39" i="69" s="1"/>
  <c r="AI286" i="69" a="1"/>
  <c r="AI286" i="69" s="1"/>
  <c r="AE315" i="69"/>
  <c r="AE290" i="69"/>
  <c r="AE292" i="69"/>
  <c r="AE293" i="69"/>
  <c r="AE291" i="69"/>
  <c r="AD303" i="69"/>
  <c r="AD311" i="69" s="1"/>
  <c r="AD307" i="70"/>
  <c r="AG288" i="69"/>
  <c r="IB38" i="69"/>
  <c r="IA38" i="69"/>
  <c r="IH38" i="69"/>
  <c r="AH249" i="70" l="1"/>
  <c r="HM39" i="70"/>
  <c r="AG258" i="69"/>
  <c r="AG259" i="69" s="1"/>
  <c r="AD282" i="69"/>
  <c r="AD283" i="69" s="1"/>
  <c r="AF282" i="69"/>
  <c r="AF283" i="69" s="1"/>
  <c r="AH275" i="69"/>
  <c r="HV39" i="69" s="1"/>
  <c r="AI274" i="69" a="1"/>
  <c r="AI274" i="69" s="1"/>
  <c r="AI275" i="69" s="1"/>
  <c r="HV40" i="69" s="1"/>
  <c r="IG40" i="69" s="1"/>
  <c r="AD306" i="70"/>
  <c r="AD302" i="69"/>
  <c r="AD310" i="69" s="1"/>
  <c r="AE304" i="70"/>
  <c r="AE300" i="69"/>
  <c r="AE308" i="69" s="1"/>
  <c r="AI252" i="69"/>
  <c r="AI249" i="70" s="1"/>
  <c r="IE40" i="69"/>
  <c r="HO40" i="69"/>
  <c r="AE258" i="69"/>
  <c r="AE259" i="69" s="1"/>
  <c r="AJ250" i="69" a="1"/>
  <c r="AJ250" i="69" s="1"/>
  <c r="AJ251" i="69" s="1"/>
  <c r="HN41" i="69" s="1"/>
  <c r="AJ252" i="69" s="1"/>
  <c r="AG289" i="69"/>
  <c r="AG285" i="70"/>
  <c r="HY38" i="70"/>
  <c r="AI253" i="69"/>
  <c r="IB39" i="69"/>
  <c r="AH288" i="69"/>
  <c r="IH39" i="69"/>
  <c r="IA39" i="69"/>
  <c r="AE303" i="69"/>
  <c r="AE311" i="69" s="1"/>
  <c r="AE307" i="70"/>
  <c r="AG300" i="69"/>
  <c r="AG308" i="69" s="1"/>
  <c r="AG304" i="70"/>
  <c r="AF302" i="69"/>
  <c r="AF310" i="69" s="1"/>
  <c r="AF306" i="70"/>
  <c r="AE294" i="69"/>
  <c r="AE295" i="69" s="1"/>
  <c r="AG280" i="69"/>
  <c r="AG278" i="69"/>
  <c r="AG281" i="69"/>
  <c r="AG314" i="69"/>
  <c r="AG279" i="69"/>
  <c r="AH312" i="69"/>
  <c r="AH256" i="69"/>
  <c r="AH257" i="69"/>
  <c r="AH299" i="69"/>
  <c r="AH255" i="69"/>
  <c r="AH254" i="69"/>
  <c r="AE261" i="70"/>
  <c r="HQ36" i="70"/>
  <c r="AE265" i="69"/>
  <c r="AC270" i="69"/>
  <c r="AC271" i="69" s="1"/>
  <c r="AD268" i="69"/>
  <c r="AD267" i="69"/>
  <c r="AD269" i="69"/>
  <c r="AD266" i="69"/>
  <c r="AD313" i="69"/>
  <c r="AI287" i="69"/>
  <c r="HZ40" i="69" s="1"/>
  <c r="AJ286" i="69" a="1"/>
  <c r="AJ286" i="69" s="1"/>
  <c r="AF292" i="69"/>
  <c r="AF290" i="69"/>
  <c r="AF315" i="69"/>
  <c r="AF291" i="69"/>
  <c r="AF293" i="69"/>
  <c r="AG263" i="69"/>
  <c r="HR38" i="69" s="1"/>
  <c r="AH262" i="69" a="1"/>
  <c r="AH262" i="69" s="1"/>
  <c r="AC301" i="69"/>
  <c r="AC309" i="69" s="1"/>
  <c r="AC305" i="70"/>
  <c r="HT37" i="69"/>
  <c r="IF37" i="69"/>
  <c r="AF264" i="69"/>
  <c r="HS37" i="69"/>
  <c r="AD270" i="69" l="1"/>
  <c r="AD271" i="69" s="1"/>
  <c r="HM40" i="70"/>
  <c r="HX40" i="69"/>
  <c r="AI276" i="69"/>
  <c r="HW40" i="69"/>
  <c r="AJ274" i="69" a="1"/>
  <c r="AJ274" i="69" s="1"/>
  <c r="AJ275" i="69" s="1"/>
  <c r="HV41" i="69" s="1"/>
  <c r="IG41" i="69" s="1"/>
  <c r="HP41" i="69"/>
  <c r="HO41" i="69"/>
  <c r="IE41" i="69"/>
  <c r="HX39" i="69"/>
  <c r="IG39" i="69"/>
  <c r="HW39" i="69"/>
  <c r="AH276" i="69"/>
  <c r="AK250" i="69" a="1"/>
  <c r="AK250" i="69" s="1"/>
  <c r="AK251" i="69" s="1"/>
  <c r="HN42" i="69" s="1"/>
  <c r="HP42" i="69" s="1"/>
  <c r="AF303" i="69"/>
  <c r="AF311" i="69" s="1"/>
  <c r="AF307" i="70"/>
  <c r="AE266" i="69"/>
  <c r="AE269" i="69"/>
  <c r="AE268" i="69"/>
  <c r="AE267" i="69"/>
  <c r="AE313" i="69"/>
  <c r="AH289" i="69"/>
  <c r="AH285" i="70"/>
  <c r="HY39" i="70"/>
  <c r="AG282" i="69"/>
  <c r="AG283" i="69" s="1"/>
  <c r="AJ249" i="70"/>
  <c r="HM41" i="70"/>
  <c r="AJ253" i="69"/>
  <c r="AI257" i="69"/>
  <c r="AI312" i="69"/>
  <c r="AI254" i="69"/>
  <c r="AI255" i="69"/>
  <c r="AI256" i="69"/>
  <c r="AI299" i="69"/>
  <c r="AD301" i="69"/>
  <c r="AD309" i="69" s="1"/>
  <c r="AD305" i="70"/>
  <c r="AG306" i="70"/>
  <c r="AG302" i="69"/>
  <c r="AG310" i="69" s="1"/>
  <c r="AI288" i="69"/>
  <c r="IH40" i="69"/>
  <c r="IB40" i="69"/>
  <c r="IA40" i="69"/>
  <c r="AI273" i="70"/>
  <c r="AI277" i="69"/>
  <c r="HU40" i="70"/>
  <c r="AJ287" i="69"/>
  <c r="HZ41" i="69" s="1"/>
  <c r="AK286" i="69" a="1"/>
  <c r="AK286" i="69" s="1"/>
  <c r="AH300" i="69"/>
  <c r="AH308" i="69" s="1"/>
  <c r="AH304" i="70"/>
  <c r="AF265" i="69"/>
  <c r="AF261" i="70"/>
  <c r="HQ37" i="70"/>
  <c r="HS38" i="69"/>
  <c r="IF38" i="69"/>
  <c r="HT38" i="69"/>
  <c r="AG264" i="69"/>
  <c r="AH263" i="69"/>
  <c r="HR39" i="69" s="1"/>
  <c r="AI262" i="69" a="1"/>
  <c r="AI262" i="69" s="1"/>
  <c r="AF294" i="69"/>
  <c r="AF295" i="69" s="1"/>
  <c r="AH258" i="69"/>
  <c r="AH259" i="69" s="1"/>
  <c r="AG315" i="69"/>
  <c r="AG292" i="69"/>
  <c r="AG290" i="69"/>
  <c r="AG291" i="69"/>
  <c r="AG293" i="69"/>
  <c r="AG294" i="69" l="1"/>
  <c r="AG295" i="69" s="1"/>
  <c r="HX41" i="69"/>
  <c r="HO42" i="69"/>
  <c r="IE42" i="69"/>
  <c r="HW41" i="69"/>
  <c r="AK274" i="69" a="1"/>
  <c r="AK274" i="69" s="1"/>
  <c r="AK275" i="69" s="1"/>
  <c r="HV42" i="69" s="1"/>
  <c r="IG42" i="69" s="1"/>
  <c r="AJ276" i="69"/>
  <c r="HU41" i="70" s="1"/>
  <c r="AK252" i="69"/>
  <c r="HM42" i="70" s="1"/>
  <c r="AH277" i="69"/>
  <c r="AH273" i="70"/>
  <c r="HU39" i="70"/>
  <c r="AI258" i="69"/>
  <c r="AI259" i="69" s="1"/>
  <c r="AL250" i="69" a="1"/>
  <c r="AL250" i="69" s="1"/>
  <c r="AL251" i="69" s="1"/>
  <c r="HN43" i="69" s="1"/>
  <c r="AL252" i="69" s="1"/>
  <c r="IB41" i="69"/>
  <c r="IA41" i="69"/>
  <c r="IH41" i="69"/>
  <c r="AJ288" i="69"/>
  <c r="AI263" i="69"/>
  <c r="HR40" i="69" s="1"/>
  <c r="AJ262" i="69" a="1"/>
  <c r="AJ262" i="69" s="1"/>
  <c r="AF266" i="69"/>
  <c r="AF269" i="69"/>
  <c r="AF268" i="69"/>
  <c r="AF267" i="69"/>
  <c r="AF313" i="69"/>
  <c r="AJ312" i="69"/>
  <c r="AJ254" i="69"/>
  <c r="AJ255" i="69"/>
  <c r="AJ256" i="69"/>
  <c r="AJ299" i="69"/>
  <c r="AJ257" i="69"/>
  <c r="AH291" i="69"/>
  <c r="AH292" i="69"/>
  <c r="AH293" i="69"/>
  <c r="AH315" i="69"/>
  <c r="AH290" i="69"/>
  <c r="AE270" i="69"/>
  <c r="AE271" i="69" s="1"/>
  <c r="HT39" i="69"/>
  <c r="HS39" i="69"/>
  <c r="AH264" i="69"/>
  <c r="IF39" i="69"/>
  <c r="AI289" i="69"/>
  <c r="AI285" i="70"/>
  <c r="HY40" i="70"/>
  <c r="AE301" i="69"/>
  <c r="AE309" i="69" s="1"/>
  <c r="AE305" i="70"/>
  <c r="AG307" i="70"/>
  <c r="AG303" i="69"/>
  <c r="AG311" i="69" s="1"/>
  <c r="HQ38" i="70"/>
  <c r="AG265" i="69"/>
  <c r="AG261" i="70"/>
  <c r="AI280" i="69"/>
  <c r="AI279" i="69"/>
  <c r="AI281" i="69"/>
  <c r="AI314" i="69"/>
  <c r="AI278" i="69"/>
  <c r="AI300" i="69"/>
  <c r="AI308" i="69" s="1"/>
  <c r="AI304" i="70"/>
  <c r="AK287" i="69"/>
  <c r="HZ42" i="69" s="1"/>
  <c r="AL286" i="69" a="1"/>
  <c r="AL286" i="69" s="1"/>
  <c r="AK249" i="70" l="1"/>
  <c r="AK253" i="69"/>
  <c r="AK254" i="69" s="1"/>
  <c r="AJ273" i="70"/>
  <c r="AJ277" i="69"/>
  <c r="AI282" i="69"/>
  <c r="AI283" i="69" s="1"/>
  <c r="HO43" i="69"/>
  <c r="HW42" i="69"/>
  <c r="HP43" i="69"/>
  <c r="HX42" i="69"/>
  <c r="AH314" i="69"/>
  <c r="AH279" i="69"/>
  <c r="AH281" i="69"/>
  <c r="AH280" i="69"/>
  <c r="AH278" i="69"/>
  <c r="AL274" i="69" a="1"/>
  <c r="AL274" i="69" s="1"/>
  <c r="AL275" i="69" s="1"/>
  <c r="HV43" i="69" s="1"/>
  <c r="AL276" i="69" s="1"/>
  <c r="AK276" i="69"/>
  <c r="AK277" i="69" s="1"/>
  <c r="IE43" i="69"/>
  <c r="AM250" i="69" a="1"/>
  <c r="AM250" i="69" s="1"/>
  <c r="AM251" i="69" s="1"/>
  <c r="HN44" i="69" s="1"/>
  <c r="HO44" i="69" s="1"/>
  <c r="AL287" i="69"/>
  <c r="HZ43" i="69" s="1"/>
  <c r="AM286" i="69" a="1"/>
  <c r="AM286" i="69" s="1"/>
  <c r="AJ304" i="70"/>
  <c r="AJ300" i="69"/>
  <c r="AJ308" i="69" s="1"/>
  <c r="AG268" i="69"/>
  <c r="AG266" i="69"/>
  <c r="AG269" i="69"/>
  <c r="AG313" i="69"/>
  <c r="AG267" i="69"/>
  <c r="AI292" i="69"/>
  <c r="AI293" i="69"/>
  <c r="AI291" i="69"/>
  <c r="AI315" i="69"/>
  <c r="AI290" i="69"/>
  <c r="AH294" i="69"/>
  <c r="AH295" i="69" s="1"/>
  <c r="AF270" i="69"/>
  <c r="AF271" i="69" s="1"/>
  <c r="AL253" i="69"/>
  <c r="AL249" i="70"/>
  <c r="HM43" i="70"/>
  <c r="IH42" i="69"/>
  <c r="AK288" i="69"/>
  <c r="IA42" i="69"/>
  <c r="IB42" i="69"/>
  <c r="HU42" i="70"/>
  <c r="AF305" i="70"/>
  <c r="AF301" i="69"/>
  <c r="AF309" i="69" s="1"/>
  <c r="AH303" i="69"/>
  <c r="AH311" i="69" s="1"/>
  <c r="AH307" i="70"/>
  <c r="AK312" i="69"/>
  <c r="AK255" i="69"/>
  <c r="AK257" i="69"/>
  <c r="AK299" i="69"/>
  <c r="HY41" i="70"/>
  <c r="AJ289" i="69"/>
  <c r="AJ285" i="70"/>
  <c r="AJ263" i="69"/>
  <c r="HR41" i="69" s="1"/>
  <c r="AK262" i="69" a="1"/>
  <c r="AK262" i="69" s="1"/>
  <c r="AH261" i="70"/>
  <c r="HQ39" i="70"/>
  <c r="AH265" i="69"/>
  <c r="AI302" i="69"/>
  <c r="AI310" i="69" s="1"/>
  <c r="AI306" i="70"/>
  <c r="AJ258" i="69"/>
  <c r="AJ259" i="69" s="1"/>
  <c r="AJ278" i="69"/>
  <c r="AJ314" i="69"/>
  <c r="AJ281" i="69"/>
  <c r="AJ279" i="69"/>
  <c r="AJ280" i="69"/>
  <c r="IF40" i="69"/>
  <c r="HS40" i="69"/>
  <c r="AI264" i="69"/>
  <c r="HT40" i="69"/>
  <c r="AK256" i="69" l="1"/>
  <c r="AK258" i="69" s="1"/>
  <c r="AK259" i="69" s="1"/>
  <c r="AH282" i="69"/>
  <c r="AH283" i="69" s="1"/>
  <c r="AK273" i="70"/>
  <c r="AI294" i="69"/>
  <c r="AI295" i="69" s="1"/>
  <c r="AH302" i="69"/>
  <c r="AH310" i="69" s="1"/>
  <c r="AH306" i="70"/>
  <c r="HW43" i="69"/>
  <c r="HX43" i="69"/>
  <c r="IG43" i="69"/>
  <c r="IE44" i="69"/>
  <c r="HP44" i="69"/>
  <c r="AM252" i="69"/>
  <c r="AM274" i="69" a="1"/>
  <c r="AM274" i="69" s="1"/>
  <c r="AM275" i="69" s="1"/>
  <c r="HV44" i="69" s="1"/>
  <c r="AM276" i="69" s="1"/>
  <c r="AN250" i="69" a="1"/>
  <c r="AN250" i="69" s="1"/>
  <c r="AN251" i="69" s="1"/>
  <c r="HN45" i="69" s="1"/>
  <c r="IE45" i="69" s="1"/>
  <c r="AJ282" i="69"/>
  <c r="AJ283" i="69" s="1"/>
  <c r="AH313" i="69"/>
  <c r="AH267" i="69"/>
  <c r="AH269" i="69"/>
  <c r="AH266" i="69"/>
  <c r="AH268" i="69"/>
  <c r="AJ315" i="69"/>
  <c r="AJ293" i="69"/>
  <c r="AJ290" i="69"/>
  <c r="AJ291" i="69"/>
  <c r="AJ292" i="69"/>
  <c r="AI261" i="70"/>
  <c r="AI265" i="69"/>
  <c r="HQ40" i="70"/>
  <c r="AJ302" i="69"/>
  <c r="AJ310" i="69" s="1"/>
  <c r="AJ306" i="70"/>
  <c r="AK289" i="69"/>
  <c r="HY42" i="70"/>
  <c r="AK285" i="70"/>
  <c r="AK263" i="69"/>
  <c r="HR42" i="69" s="1"/>
  <c r="AL262" i="69" a="1"/>
  <c r="AL262" i="69" s="1"/>
  <c r="AM253" i="69"/>
  <c r="HM44" i="70"/>
  <c r="AM249" i="70"/>
  <c r="IF41" i="69"/>
  <c r="HS41" i="69"/>
  <c r="HT41" i="69"/>
  <c r="AJ264" i="69"/>
  <c r="AK300" i="69"/>
  <c r="AK308" i="69" s="1"/>
  <c r="AK304" i="70"/>
  <c r="AL257" i="69"/>
  <c r="AL299" i="69"/>
  <c r="AL312" i="69"/>
  <c r="AL255" i="69"/>
  <c r="AL256" i="69"/>
  <c r="AL254" i="69"/>
  <c r="AG301" i="69"/>
  <c r="AG309" i="69" s="1"/>
  <c r="AG305" i="70"/>
  <c r="AM287" i="69"/>
  <c r="HZ44" i="69" s="1"/>
  <c r="AN286" i="69" a="1"/>
  <c r="AN286" i="69" s="1"/>
  <c r="AI307" i="70"/>
  <c r="AI303" i="69"/>
  <c r="AI311" i="69" s="1"/>
  <c r="AK280" i="69"/>
  <c r="AK281" i="69"/>
  <c r="AK278" i="69"/>
  <c r="AK314" i="69"/>
  <c r="AK279" i="69"/>
  <c r="AL277" i="69"/>
  <c r="HU43" i="70"/>
  <c r="AL273" i="70"/>
  <c r="AG270" i="69"/>
  <c r="AG271" i="69" s="1"/>
  <c r="AL288" i="69"/>
  <c r="IA43" i="69"/>
  <c r="IH43" i="69"/>
  <c r="IB43" i="69"/>
  <c r="AK282" i="69" l="1"/>
  <c r="AK283" i="69" s="1"/>
  <c r="HW44" i="69"/>
  <c r="HP45" i="69"/>
  <c r="AN252" i="69"/>
  <c r="HX44" i="69"/>
  <c r="IG44" i="69"/>
  <c r="HO45" i="69"/>
  <c r="AN274" i="69" a="1"/>
  <c r="AN274" i="69" s="1"/>
  <c r="AN275" i="69" s="1"/>
  <c r="HV45" i="69" s="1"/>
  <c r="IG45" i="69" s="1"/>
  <c r="AO250" i="69" a="1"/>
  <c r="AO250" i="69" s="1"/>
  <c r="AO251" i="69" s="1"/>
  <c r="HN46" i="69" s="1"/>
  <c r="IE46" i="69" s="1"/>
  <c r="AN287" i="69"/>
  <c r="HZ45" i="69" s="1"/>
  <c r="AO286" i="69" a="1"/>
  <c r="AO286" i="69" s="1"/>
  <c r="AN253" i="69"/>
  <c r="AN249" i="70"/>
  <c r="HM45" i="70"/>
  <c r="AL263" i="69"/>
  <c r="HR43" i="69" s="1"/>
  <c r="AM262" i="69" a="1"/>
  <c r="AM262" i="69" s="1"/>
  <c r="IF42" i="69"/>
  <c r="AK264" i="69"/>
  <c r="HS42" i="69"/>
  <c r="HT42" i="69"/>
  <c r="AH270" i="69"/>
  <c r="AH271" i="69" s="1"/>
  <c r="AI313" i="69"/>
  <c r="AI268" i="69"/>
  <c r="AI267" i="69"/>
  <c r="AI266" i="69"/>
  <c r="AI269" i="69"/>
  <c r="AM257" i="69"/>
  <c r="AM299" i="69"/>
  <c r="AM254" i="69"/>
  <c r="AM256" i="69"/>
  <c r="AM255" i="69"/>
  <c r="AM312" i="69"/>
  <c r="HY43" i="70"/>
  <c r="AL289" i="69"/>
  <c r="AL285" i="70"/>
  <c r="AK302" i="69"/>
  <c r="AK310" i="69" s="1"/>
  <c r="AK306" i="70"/>
  <c r="AL258" i="69"/>
  <c r="AL259" i="69" s="1"/>
  <c r="AJ294" i="69"/>
  <c r="AJ295" i="69" s="1"/>
  <c r="AH305" i="70"/>
  <c r="AH301" i="69"/>
  <c r="AH309" i="69" s="1"/>
  <c r="AM277" i="69"/>
  <c r="AM273" i="70"/>
  <c r="HU44" i="70"/>
  <c r="AL304" i="70"/>
  <c r="AL300" i="69"/>
  <c r="AL308" i="69" s="1"/>
  <c r="AJ261" i="70"/>
  <c r="AJ265" i="69"/>
  <c r="HQ41" i="70"/>
  <c r="AJ307" i="70"/>
  <c r="AJ303" i="69"/>
  <c r="AJ311" i="69" s="1"/>
  <c r="AM288" i="69"/>
  <c r="IB44" i="69"/>
  <c r="IA44" i="69"/>
  <c r="IH44" i="69"/>
  <c r="AL278" i="69"/>
  <c r="AL279" i="69"/>
  <c r="AL314" i="69"/>
  <c r="AL280" i="69"/>
  <c r="AL281" i="69"/>
  <c r="AK292" i="69"/>
  <c r="AK293" i="69"/>
  <c r="AK315" i="69"/>
  <c r="AK290" i="69"/>
  <c r="AK291" i="69"/>
  <c r="AI270" i="69" l="1"/>
  <c r="AI271" i="69" s="1"/>
  <c r="HW45" i="69"/>
  <c r="HO46" i="69"/>
  <c r="HP46" i="69"/>
  <c r="AP250" i="69" a="1"/>
  <c r="AP250" i="69" s="1"/>
  <c r="AP251" i="69" s="1"/>
  <c r="HN47" i="69" s="1"/>
  <c r="IE47" i="69" s="1"/>
  <c r="AN276" i="69"/>
  <c r="AO252" i="69"/>
  <c r="AO249" i="70" s="1"/>
  <c r="HX45" i="69"/>
  <c r="AO274" i="69" a="1"/>
  <c r="AO274" i="69" s="1"/>
  <c r="AO275" i="69" s="1"/>
  <c r="HV46" i="69" s="1"/>
  <c r="HW46" i="69" s="1"/>
  <c r="AM263" i="69"/>
  <c r="HR44" i="69" s="1"/>
  <c r="AN262" i="69" a="1"/>
  <c r="AN262" i="69" s="1"/>
  <c r="HS43" i="69"/>
  <c r="IF43" i="69"/>
  <c r="HT43" i="69"/>
  <c r="AL264" i="69"/>
  <c r="AM289" i="69"/>
  <c r="HY44" i="70"/>
  <c r="AM285" i="70"/>
  <c r="AK303" i="69"/>
  <c r="AK311" i="69" s="1"/>
  <c r="AK307" i="70"/>
  <c r="AN277" i="69"/>
  <c r="AN273" i="70"/>
  <c r="HU45" i="70"/>
  <c r="AM278" i="69"/>
  <c r="AM314" i="69"/>
  <c r="AM280" i="69"/>
  <c r="AM279" i="69"/>
  <c r="AM281" i="69"/>
  <c r="AL302" i="69"/>
  <c r="AL310" i="69" s="1"/>
  <c r="AL306" i="70"/>
  <c r="AJ267" i="69"/>
  <c r="AJ313" i="69"/>
  <c r="AJ266" i="69"/>
  <c r="AJ269" i="69"/>
  <c r="AJ268" i="69"/>
  <c r="AJ270" i="69" s="1"/>
  <c r="AJ271" i="69" s="1"/>
  <c r="AN256" i="69"/>
  <c r="AN257" i="69"/>
  <c r="AN299" i="69"/>
  <c r="AN312" i="69"/>
  <c r="AN254" i="69"/>
  <c r="AN255" i="69"/>
  <c r="AO287" i="69"/>
  <c r="HZ46" i="69" s="1"/>
  <c r="AP286" i="69" a="1"/>
  <c r="AP286" i="69" s="1"/>
  <c r="AL282" i="69"/>
  <c r="AL283" i="69" s="1"/>
  <c r="AM300" i="69"/>
  <c r="AM308" i="69" s="1"/>
  <c r="AM304" i="70"/>
  <c r="AK294" i="69"/>
  <c r="AK295" i="69" s="1"/>
  <c r="AL290" i="69"/>
  <c r="AL292" i="69"/>
  <c r="AL293" i="69"/>
  <c r="AL291" i="69"/>
  <c r="AL315" i="69"/>
  <c r="AM258" i="69"/>
  <c r="AM259" i="69" s="1"/>
  <c r="AI305" i="70"/>
  <c r="AI301" i="69"/>
  <c r="AI309" i="69" s="1"/>
  <c r="AK265" i="69"/>
  <c r="AK261" i="70"/>
  <c r="HQ42" i="70"/>
  <c r="IH45" i="69"/>
  <c r="AN288" i="69"/>
  <c r="IA45" i="69"/>
  <c r="IB45" i="69"/>
  <c r="HM46" i="70" l="1"/>
  <c r="AO253" i="69"/>
  <c r="AO256" i="69" s="1"/>
  <c r="AP274" i="69" a="1"/>
  <c r="AP274" i="69" s="1"/>
  <c r="AP275" i="69" s="1"/>
  <c r="HV47" i="69" s="1"/>
  <c r="HW47" i="69" s="1"/>
  <c r="AL294" i="69"/>
  <c r="AL295" i="69" s="1"/>
  <c r="AO276" i="69"/>
  <c r="AO277" i="69" s="1"/>
  <c r="HX46" i="69"/>
  <c r="AP252" i="69"/>
  <c r="HM47" i="70" s="1"/>
  <c r="IG46" i="69"/>
  <c r="HP47" i="69"/>
  <c r="HO47" i="69"/>
  <c r="AQ250" i="69" a="1"/>
  <c r="AQ250" i="69" s="1"/>
  <c r="AQ251" i="69" s="1"/>
  <c r="HN48" i="69" s="1"/>
  <c r="AQ252" i="69" s="1"/>
  <c r="AO255" i="69"/>
  <c r="AO254" i="69"/>
  <c r="AO257" i="69"/>
  <c r="AO312" i="69"/>
  <c r="AO299" i="69"/>
  <c r="AN258" i="69"/>
  <c r="AN259" i="69" s="1"/>
  <c r="AN279" i="69"/>
  <c r="AN280" i="69"/>
  <c r="AN281" i="69"/>
  <c r="AN314" i="69"/>
  <c r="AN278" i="69"/>
  <c r="AL265" i="69"/>
  <c r="AL261" i="70"/>
  <c r="HQ43" i="70"/>
  <c r="AP287" i="69"/>
  <c r="HZ47" i="69" s="1"/>
  <c r="AQ286" i="69" a="1"/>
  <c r="AQ286" i="69" s="1"/>
  <c r="AM302" i="69"/>
  <c r="AM310" i="69" s="1"/>
  <c r="AM306" i="70"/>
  <c r="HU46" i="70"/>
  <c r="AO273" i="70"/>
  <c r="AM293" i="69"/>
  <c r="AM292" i="69"/>
  <c r="AM291" i="69"/>
  <c r="AM290" i="69"/>
  <c r="AM315" i="69"/>
  <c r="AK266" i="69"/>
  <c r="AK313" i="69"/>
  <c r="AK268" i="69"/>
  <c r="AK269" i="69"/>
  <c r="AK267" i="69"/>
  <c r="AO288" i="69"/>
  <c r="IH46" i="69"/>
  <c r="IB46" i="69"/>
  <c r="IA46" i="69"/>
  <c r="AM282" i="69"/>
  <c r="AM283" i="69" s="1"/>
  <c r="AN304" i="70"/>
  <c r="AN300" i="69"/>
  <c r="AN308" i="69" s="1"/>
  <c r="AN263" i="69"/>
  <c r="HR45" i="69" s="1"/>
  <c r="AO262" i="69" a="1"/>
  <c r="AO262" i="69" s="1"/>
  <c r="AN285" i="70"/>
  <c r="HY45" i="70"/>
  <c r="AN289" i="69"/>
  <c r="AJ305" i="70"/>
  <c r="AJ301" i="69"/>
  <c r="AJ309" i="69" s="1"/>
  <c r="AL303" i="69"/>
  <c r="AL311" i="69" s="1"/>
  <c r="AL307" i="70"/>
  <c r="AM264" i="69"/>
  <c r="HT44" i="69"/>
  <c r="HS44" i="69"/>
  <c r="IF44" i="69"/>
  <c r="AP249" i="70" l="1"/>
  <c r="AP253" i="69"/>
  <c r="HX47" i="69"/>
  <c r="AP276" i="69"/>
  <c r="HU47" i="70" s="1"/>
  <c r="IE48" i="69"/>
  <c r="AR250" i="69" a="1"/>
  <c r="AR250" i="69" s="1"/>
  <c r="AR251" i="69" s="1"/>
  <c r="HN49" i="69" s="1"/>
  <c r="HP49" i="69" s="1"/>
  <c r="IG47" i="69"/>
  <c r="AK270" i="69"/>
  <c r="AK271" i="69" s="1"/>
  <c r="HO48" i="69"/>
  <c r="HP48" i="69"/>
  <c r="AO258" i="69"/>
  <c r="AO259" i="69" s="1"/>
  <c r="AQ274" i="69" a="1"/>
  <c r="AQ274" i="69" s="1"/>
  <c r="AQ275" i="69" s="1"/>
  <c r="HV48" i="69" s="1"/>
  <c r="AQ276" i="69" s="1"/>
  <c r="AO263" i="69"/>
  <c r="HR46" i="69" s="1"/>
  <c r="AP262" i="69" a="1"/>
  <c r="AP262" i="69" s="1"/>
  <c r="AP288" i="69"/>
  <c r="IH47" i="69"/>
  <c r="IB47" i="69"/>
  <c r="IA47" i="69"/>
  <c r="AM261" i="70"/>
  <c r="HQ44" i="70"/>
  <c r="AM265" i="69"/>
  <c r="AQ253" i="69"/>
  <c r="HM48" i="70"/>
  <c r="AQ249" i="70"/>
  <c r="HT45" i="69"/>
  <c r="IF45" i="69"/>
  <c r="HS45" i="69"/>
  <c r="AN264" i="69"/>
  <c r="AP256" i="69"/>
  <c r="AP312" i="69"/>
  <c r="AP255" i="69"/>
  <c r="AP257" i="69"/>
  <c r="AP254" i="69"/>
  <c r="AP299" i="69"/>
  <c r="AL267" i="69"/>
  <c r="AL266" i="69"/>
  <c r="AL269" i="69"/>
  <c r="AL268" i="69"/>
  <c r="AL270" i="69" s="1"/>
  <c r="AL271" i="69" s="1"/>
  <c r="AL313" i="69"/>
  <c r="AP277" i="69"/>
  <c r="AP273" i="70"/>
  <c r="HY46" i="70"/>
  <c r="AO289" i="69"/>
  <c r="AO285" i="70"/>
  <c r="AM307" i="70"/>
  <c r="AM303" i="69"/>
  <c r="AM311" i="69" s="1"/>
  <c r="AN315" i="69"/>
  <c r="AN290" i="69"/>
  <c r="AN292" i="69"/>
  <c r="AN293" i="69"/>
  <c r="AN291" i="69"/>
  <c r="AK301" i="69"/>
  <c r="AK309" i="69" s="1"/>
  <c r="AK305" i="70"/>
  <c r="AM294" i="69"/>
  <c r="AM295" i="69" s="1"/>
  <c r="AQ287" i="69"/>
  <c r="HZ48" i="69" s="1"/>
  <c r="AR286" i="69" a="1"/>
  <c r="AR286" i="69" s="1"/>
  <c r="AN282" i="69"/>
  <c r="AN283" i="69" s="1"/>
  <c r="AO300" i="69"/>
  <c r="AO308" i="69" s="1"/>
  <c r="AO304" i="70"/>
  <c r="AO279" i="69"/>
  <c r="AO314" i="69"/>
  <c r="AO281" i="69"/>
  <c r="AO280" i="69"/>
  <c r="AO278" i="69"/>
  <c r="AN302" i="69"/>
  <c r="AN310" i="69" s="1"/>
  <c r="AN306" i="70"/>
  <c r="AP258" i="69" l="1"/>
  <c r="AP259" i="69" s="1"/>
  <c r="AO282" i="69"/>
  <c r="AO283" i="69" s="1"/>
  <c r="IE49" i="69"/>
  <c r="HO49" i="69"/>
  <c r="AR252" i="69"/>
  <c r="AR249" i="70" s="1"/>
  <c r="IG48" i="69"/>
  <c r="HW48" i="69"/>
  <c r="AS250" i="69" a="1"/>
  <c r="AS250" i="69" s="1"/>
  <c r="AS251" i="69" s="1"/>
  <c r="HN50" i="69" s="1"/>
  <c r="IE50" i="69" s="1"/>
  <c r="HX48" i="69"/>
  <c r="AR274" i="69" a="1"/>
  <c r="AR274" i="69" s="1"/>
  <c r="AR275" i="69" s="1"/>
  <c r="HV49" i="69" s="1"/>
  <c r="HW49" i="69" s="1"/>
  <c r="AN303" i="69"/>
  <c r="AN311" i="69" s="1"/>
  <c r="AN307" i="70"/>
  <c r="AO292" i="69"/>
  <c r="AO290" i="69"/>
  <c r="AO293" i="69"/>
  <c r="AO291" i="69"/>
  <c r="AO315" i="69"/>
  <c r="AN265" i="69"/>
  <c r="AN261" i="70"/>
  <c r="HQ45" i="70"/>
  <c r="AL301" i="69"/>
  <c r="AL309" i="69" s="1"/>
  <c r="AL305" i="70"/>
  <c r="IB48" i="69"/>
  <c r="IA48" i="69"/>
  <c r="IH48" i="69"/>
  <c r="AQ288" i="69"/>
  <c r="AN294" i="69"/>
  <c r="AN295" i="69" s="1"/>
  <c r="AP314" i="69"/>
  <c r="AP279" i="69"/>
  <c r="AP278" i="69"/>
  <c r="AP280" i="69"/>
  <c r="AP281" i="69"/>
  <c r="AP300" i="69"/>
  <c r="AP308" i="69" s="1"/>
  <c r="AP304" i="70"/>
  <c r="AP289" i="69"/>
  <c r="AP285" i="70"/>
  <c r="HY47" i="70"/>
  <c r="AP263" i="69"/>
  <c r="HR47" i="69" s="1"/>
  <c r="AQ262" i="69" a="1"/>
  <c r="AQ262" i="69" s="1"/>
  <c r="AR287" i="69"/>
  <c r="HZ49" i="69" s="1"/>
  <c r="AS286" i="69" a="1"/>
  <c r="AS286" i="69" s="1"/>
  <c r="AQ312" i="69"/>
  <c r="AQ257" i="69"/>
  <c r="AQ255" i="69"/>
  <c r="AQ299" i="69"/>
  <c r="AQ256" i="69"/>
  <c r="AQ254" i="69"/>
  <c r="HU48" i="70"/>
  <c r="AQ277" i="69"/>
  <c r="AQ273" i="70"/>
  <c r="AO302" i="69"/>
  <c r="AO310" i="69" s="1"/>
  <c r="AO306" i="70"/>
  <c r="AM268" i="69"/>
  <c r="AM266" i="69"/>
  <c r="AM313" i="69"/>
  <c r="AM267" i="69"/>
  <c r="AM269" i="69"/>
  <c r="HS46" i="69"/>
  <c r="HT46" i="69"/>
  <c r="IF46" i="69"/>
  <c r="AO264" i="69"/>
  <c r="AQ258" i="69" l="1"/>
  <c r="AQ259" i="69" s="1"/>
  <c r="AR253" i="69"/>
  <c r="HM49" i="70"/>
  <c r="AR276" i="69"/>
  <c r="HU49" i="70" s="1"/>
  <c r="AS252" i="69"/>
  <c r="AS253" i="69" s="1"/>
  <c r="HP50" i="69"/>
  <c r="HX49" i="69"/>
  <c r="AO294" i="69"/>
  <c r="AO295" i="69" s="1"/>
  <c r="AS274" i="69" a="1"/>
  <c r="AS274" i="69" s="1"/>
  <c r="AS275" i="69" s="1"/>
  <c r="HV50" i="69" s="1"/>
  <c r="AS276" i="69" s="1"/>
  <c r="AT250" i="69" a="1"/>
  <c r="AT250" i="69" s="1"/>
  <c r="AT251" i="69" s="1"/>
  <c r="HN51" i="69" s="1"/>
  <c r="IE51" i="69" s="1"/>
  <c r="IG49" i="69"/>
  <c r="HO50" i="69"/>
  <c r="AQ300" i="69"/>
  <c r="AQ308" i="69" s="1"/>
  <c r="AQ304" i="70"/>
  <c r="AP291" i="69"/>
  <c r="AP292" i="69"/>
  <c r="AP290" i="69"/>
  <c r="AP315" i="69"/>
  <c r="AP293" i="69"/>
  <c r="AN313" i="69"/>
  <c r="AN268" i="69"/>
  <c r="AN266" i="69"/>
  <c r="AN267" i="69"/>
  <c r="AN269" i="69"/>
  <c r="AO303" i="69"/>
  <c r="AO311" i="69" s="1"/>
  <c r="AO307" i="70"/>
  <c r="AS287" i="69"/>
  <c r="HZ50" i="69" s="1"/>
  <c r="AT286" i="69" a="1"/>
  <c r="AT286" i="69" s="1"/>
  <c r="AR288" i="69"/>
  <c r="IA49" i="69"/>
  <c r="IH49" i="69"/>
  <c r="IB49" i="69"/>
  <c r="AQ263" i="69"/>
  <c r="HR48" i="69" s="1"/>
  <c r="AR262" i="69" a="1"/>
  <c r="AR262" i="69" s="1"/>
  <c r="AR277" i="69"/>
  <c r="AR273" i="70"/>
  <c r="AP306" i="70"/>
  <c r="AP302" i="69"/>
  <c r="AP310" i="69" s="1"/>
  <c r="AM305" i="70"/>
  <c r="AM301" i="69"/>
  <c r="AM309" i="69" s="1"/>
  <c r="HS47" i="69"/>
  <c r="IF47" i="69"/>
  <c r="HT47" i="69"/>
  <c r="AP264" i="69"/>
  <c r="AQ289" i="69"/>
  <c r="AQ285" i="70"/>
  <c r="HY48" i="70"/>
  <c r="AR256" i="69"/>
  <c r="AR257" i="69"/>
  <c r="AR299" i="69"/>
  <c r="AR254" i="69"/>
  <c r="AR312" i="69"/>
  <c r="AR255" i="69"/>
  <c r="AQ314" i="69"/>
  <c r="AQ280" i="69"/>
  <c r="AQ279" i="69"/>
  <c r="AQ278" i="69"/>
  <c r="AQ281" i="69"/>
  <c r="AP282" i="69"/>
  <c r="AP283" i="69" s="1"/>
  <c r="AO261" i="70"/>
  <c r="HQ46" i="70"/>
  <c r="AO265" i="69"/>
  <c r="AM270" i="69"/>
  <c r="AM271" i="69" s="1"/>
  <c r="AR258" i="69" l="1"/>
  <c r="AR259" i="69" s="1"/>
  <c r="HM50" i="70"/>
  <c r="AS249" i="70"/>
  <c r="AN270" i="69"/>
  <c r="AN271" i="69" s="1"/>
  <c r="HX50" i="69"/>
  <c r="IG50" i="69"/>
  <c r="AU250" i="69" a="1"/>
  <c r="AU250" i="69" s="1"/>
  <c r="AU251" i="69" s="1"/>
  <c r="HN52" i="69" s="1"/>
  <c r="AU252" i="69" s="1"/>
  <c r="AT274" i="69" a="1"/>
  <c r="AT274" i="69" s="1"/>
  <c r="AT275" i="69" s="1"/>
  <c r="HV51" i="69" s="1"/>
  <c r="AT276" i="69" s="1"/>
  <c r="AQ282" i="69"/>
  <c r="AQ283" i="69" s="1"/>
  <c r="HP51" i="69"/>
  <c r="HW50" i="69"/>
  <c r="HO51" i="69"/>
  <c r="AT252" i="69"/>
  <c r="AT249" i="70" s="1"/>
  <c r="AO268" i="69"/>
  <c r="AO267" i="69"/>
  <c r="AO313" i="69"/>
  <c r="AO269" i="69"/>
  <c r="AO266" i="69"/>
  <c r="IH50" i="69"/>
  <c r="IA50" i="69"/>
  <c r="IB50" i="69"/>
  <c r="AS288" i="69"/>
  <c r="AS277" i="69"/>
  <c r="HU50" i="70"/>
  <c r="AS273" i="70"/>
  <c r="AR300" i="69"/>
  <c r="AR308" i="69" s="1"/>
  <c r="AR304" i="70"/>
  <c r="AQ292" i="69"/>
  <c r="AQ293" i="69"/>
  <c r="AQ315" i="69"/>
  <c r="AQ290" i="69"/>
  <c r="AQ291" i="69"/>
  <c r="AP265" i="69"/>
  <c r="HQ47" i="70"/>
  <c r="AP261" i="70"/>
  <c r="AR280" i="69"/>
  <c r="AR278" i="69"/>
  <c r="AR281" i="69"/>
  <c r="AR279" i="69"/>
  <c r="AR314" i="69"/>
  <c r="AS255" i="69"/>
  <c r="AS254" i="69"/>
  <c r="AS257" i="69"/>
  <c r="AS299" i="69"/>
  <c r="AS312" i="69"/>
  <c r="AS256" i="69"/>
  <c r="AP294" i="69"/>
  <c r="AP295" i="69" s="1"/>
  <c r="AR263" i="69"/>
  <c r="HR49" i="69" s="1"/>
  <c r="AS262" i="69" a="1"/>
  <c r="AS262" i="69" s="1"/>
  <c r="AP303" i="69"/>
  <c r="AP311" i="69" s="1"/>
  <c r="AP307" i="70"/>
  <c r="AQ306" i="70"/>
  <c r="AQ302" i="69"/>
  <c r="AQ310" i="69" s="1"/>
  <c r="IF48" i="69"/>
  <c r="AQ264" i="69"/>
  <c r="HT48" i="69"/>
  <c r="HS48" i="69"/>
  <c r="AR289" i="69"/>
  <c r="AR285" i="70"/>
  <c r="HY49" i="70"/>
  <c r="AN301" i="69"/>
  <c r="AN309" i="69" s="1"/>
  <c r="AN305" i="70"/>
  <c r="AT287" i="69"/>
  <c r="HZ51" i="69" s="1"/>
  <c r="AU286" i="69" a="1"/>
  <c r="AU286" i="69" s="1"/>
  <c r="AT253" i="69" l="1"/>
  <c r="AT312" i="69" s="1"/>
  <c r="AQ294" i="69"/>
  <c r="AQ295" i="69" s="1"/>
  <c r="HM51" i="70"/>
  <c r="HX51" i="69"/>
  <c r="AV250" i="69" a="1"/>
  <c r="AV250" i="69" s="1"/>
  <c r="AV251" i="69" s="1"/>
  <c r="HN53" i="69" s="1"/>
  <c r="HO53" i="69" s="1"/>
  <c r="HP52" i="69"/>
  <c r="HO52" i="69"/>
  <c r="IG51" i="69"/>
  <c r="HW51" i="69"/>
  <c r="IE52" i="69"/>
  <c r="AU274" i="69" a="1"/>
  <c r="AU274" i="69" s="1"/>
  <c r="AU275" i="69" s="1"/>
  <c r="HV52" i="69" s="1"/>
  <c r="HW52" i="69" s="1"/>
  <c r="AT288" i="69"/>
  <c r="IB51" i="69"/>
  <c r="IH51" i="69"/>
  <c r="IA51" i="69"/>
  <c r="HQ48" i="70"/>
  <c r="AQ261" i="70"/>
  <c r="AQ265" i="69"/>
  <c r="AT254" i="69"/>
  <c r="AT256" i="69"/>
  <c r="AR302" i="69"/>
  <c r="AR310" i="69" s="1"/>
  <c r="AR306" i="70"/>
  <c r="AP269" i="69"/>
  <c r="AP266" i="69"/>
  <c r="AP313" i="69"/>
  <c r="AP268" i="69"/>
  <c r="AP267" i="69"/>
  <c r="AR282" i="69"/>
  <c r="AR283" i="69" s="1"/>
  <c r="AQ307" i="70"/>
  <c r="AQ303" i="69"/>
  <c r="AQ311" i="69" s="1"/>
  <c r="AS263" i="69"/>
  <c r="HR50" i="69" s="1"/>
  <c r="AT262" i="69" a="1"/>
  <c r="AT262" i="69" s="1"/>
  <c r="AS300" i="69"/>
  <c r="AS308" i="69" s="1"/>
  <c r="AS304" i="70"/>
  <c r="AS281" i="69"/>
  <c r="AS314" i="69"/>
  <c r="AS280" i="69"/>
  <c r="AS279" i="69"/>
  <c r="AS278" i="69"/>
  <c r="AR315" i="69"/>
  <c r="AR290" i="69"/>
  <c r="AR291" i="69"/>
  <c r="AR292" i="69"/>
  <c r="AR293" i="69"/>
  <c r="AR264" i="69"/>
  <c r="IF49" i="69"/>
  <c r="HT49" i="69"/>
  <c r="HS49" i="69"/>
  <c r="HY50" i="70"/>
  <c r="AS289" i="69"/>
  <c r="AS285" i="70"/>
  <c r="AU287" i="69"/>
  <c r="HZ52" i="69" s="1"/>
  <c r="AV286" i="69" a="1"/>
  <c r="AV286" i="69" s="1"/>
  <c r="AT277" i="69"/>
  <c r="HU51" i="70"/>
  <c r="AT273" i="70"/>
  <c r="AS258" i="69"/>
  <c r="AS259" i="69" s="1"/>
  <c r="AU249" i="70"/>
  <c r="AU253" i="69"/>
  <c r="HM52" i="70"/>
  <c r="AO301" i="69"/>
  <c r="AO309" i="69" s="1"/>
  <c r="AO305" i="70"/>
  <c r="AO270" i="69"/>
  <c r="AO271" i="69" s="1"/>
  <c r="AT299" i="69" l="1"/>
  <c r="AT255" i="69"/>
  <c r="AT257" i="69"/>
  <c r="AW250" i="69" a="1"/>
  <c r="AW250" i="69" s="1"/>
  <c r="AW251" i="69" s="1"/>
  <c r="HN54" i="69" s="1"/>
  <c r="IE54" i="69" s="1"/>
  <c r="HP53" i="69"/>
  <c r="AV252" i="69"/>
  <c r="HM53" i="70" s="1"/>
  <c r="IE53" i="69"/>
  <c r="AP270" i="69"/>
  <c r="AP271" i="69" s="1"/>
  <c r="IG52" i="69"/>
  <c r="HX52" i="69"/>
  <c r="AR294" i="69"/>
  <c r="AR295" i="69" s="1"/>
  <c r="AU276" i="69"/>
  <c r="AU273" i="70" s="1"/>
  <c r="AV274" i="69" a="1"/>
  <c r="AV274" i="69" s="1"/>
  <c r="AV275" i="69" s="1"/>
  <c r="HV53" i="69" s="1"/>
  <c r="IG53" i="69" s="1"/>
  <c r="AV253" i="69"/>
  <c r="AP301" i="69"/>
  <c r="AP309" i="69" s="1"/>
  <c r="AP305" i="70"/>
  <c r="AT300" i="69"/>
  <c r="AT308" i="69" s="1"/>
  <c r="AT304" i="70"/>
  <c r="AS293" i="69"/>
  <c r="AS290" i="69"/>
  <c r="AS291" i="69"/>
  <c r="AS292" i="69"/>
  <c r="AS315" i="69"/>
  <c r="AR307" i="70"/>
  <c r="AR303" i="69"/>
  <c r="AR311" i="69" s="1"/>
  <c r="AQ268" i="69"/>
  <c r="AQ267" i="69"/>
  <c r="AQ269" i="69"/>
  <c r="AQ266" i="69"/>
  <c r="AQ313" i="69"/>
  <c r="AT258" i="69"/>
  <c r="AT259" i="69" s="1"/>
  <c r="AT263" i="69"/>
  <c r="HR51" i="69" s="1"/>
  <c r="AU262" i="69" a="1"/>
  <c r="AU262" i="69" s="1"/>
  <c r="AV287" i="69"/>
  <c r="HZ53" i="69" s="1"/>
  <c r="AW286" i="69" a="1"/>
  <c r="AW286" i="69" s="1"/>
  <c r="HT50" i="69"/>
  <c r="HS50" i="69"/>
  <c r="AS264" i="69"/>
  <c r="IF50" i="69"/>
  <c r="AU288" i="69"/>
  <c r="IA52" i="69"/>
  <c r="IB52" i="69"/>
  <c r="IH52" i="69"/>
  <c r="AS306" i="70"/>
  <c r="AS302" i="69"/>
  <c r="AS310" i="69" s="1"/>
  <c r="AR261" i="70"/>
  <c r="HQ49" i="70"/>
  <c r="AR265" i="69"/>
  <c r="AS282" i="69"/>
  <c r="AS283" i="69" s="1"/>
  <c r="AT280" i="69"/>
  <c r="AT278" i="69"/>
  <c r="AT281" i="69"/>
  <c r="AT314" i="69"/>
  <c r="AT279" i="69"/>
  <c r="AU312" i="69"/>
  <c r="AU299" i="69"/>
  <c r="AU255" i="69"/>
  <c r="AU254" i="69"/>
  <c r="AU257" i="69"/>
  <c r="AU256" i="69"/>
  <c r="HY51" i="70"/>
  <c r="AT289" i="69"/>
  <c r="AT285" i="70"/>
  <c r="HU52" i="70" l="1"/>
  <c r="AU277" i="69"/>
  <c r="AU314" i="69" s="1"/>
  <c r="AT282" i="69"/>
  <c r="AT283" i="69" s="1"/>
  <c r="AV249" i="70"/>
  <c r="HP54" i="69"/>
  <c r="AS294" i="69"/>
  <c r="AS295" i="69" s="1"/>
  <c r="AX250" i="69" a="1"/>
  <c r="AX250" i="69" s="1"/>
  <c r="AX251" i="69" s="1"/>
  <c r="HN55" i="69" s="1"/>
  <c r="AX252" i="69" s="1"/>
  <c r="HO54" i="69"/>
  <c r="AW252" i="69"/>
  <c r="AW253" i="69" s="1"/>
  <c r="AV276" i="69"/>
  <c r="HU53" i="70" s="1"/>
  <c r="AW274" i="69" a="1"/>
  <c r="AW274" i="69" s="1"/>
  <c r="AW275" i="69" s="1"/>
  <c r="HV54" i="69" s="1"/>
  <c r="HX54" i="69" s="1"/>
  <c r="HX53" i="69"/>
  <c r="HW53" i="69"/>
  <c r="HT51" i="69"/>
  <c r="IF51" i="69"/>
  <c r="AT264" i="69"/>
  <c r="HS51" i="69"/>
  <c r="AU281" i="69"/>
  <c r="AU280" i="69"/>
  <c r="AS261" i="70"/>
  <c r="HQ50" i="70"/>
  <c r="AS265" i="69"/>
  <c r="AS303" i="69"/>
  <c r="AS311" i="69" s="1"/>
  <c r="AS307" i="70"/>
  <c r="AU304" i="70"/>
  <c r="AU300" i="69"/>
  <c r="AU308" i="69" s="1"/>
  <c r="AU258" i="69"/>
  <c r="AU259" i="69" s="1"/>
  <c r="AR269" i="69"/>
  <c r="AR267" i="69"/>
  <c r="AR266" i="69"/>
  <c r="AR313" i="69"/>
  <c r="AR268" i="69"/>
  <c r="AW287" i="69"/>
  <c r="HZ54" i="69" s="1"/>
  <c r="AX286" i="69" a="1"/>
  <c r="AX286" i="69" s="1"/>
  <c r="AQ301" i="69"/>
  <c r="AQ309" i="69" s="1"/>
  <c r="AQ305" i="70"/>
  <c r="AV277" i="69"/>
  <c r="AT293" i="69"/>
  <c r="AT291" i="69"/>
  <c r="AT315" i="69"/>
  <c r="AT290" i="69"/>
  <c r="AT292" i="69"/>
  <c r="AT302" i="69"/>
  <c r="AT310" i="69" s="1"/>
  <c r="AT306" i="70"/>
  <c r="AU285" i="70"/>
  <c r="HY52" i="70"/>
  <c r="AU289" i="69"/>
  <c r="AV288" i="69"/>
  <c r="IA53" i="69"/>
  <c r="IB53" i="69"/>
  <c r="IH53" i="69"/>
  <c r="AQ270" i="69"/>
  <c r="AQ271" i="69" s="1"/>
  <c r="AU263" i="69"/>
  <c r="HR52" i="69" s="1"/>
  <c r="AV262" i="69" a="1"/>
  <c r="AV262" i="69" s="1"/>
  <c r="AV312" i="69"/>
  <c r="AV257" i="69"/>
  <c r="AV254" i="69"/>
  <c r="AV299" i="69"/>
  <c r="AV255" i="69"/>
  <c r="AV256" i="69"/>
  <c r="AU278" i="69" l="1"/>
  <c r="AU279" i="69"/>
  <c r="AU306" i="70" s="1"/>
  <c r="AV273" i="70"/>
  <c r="AW249" i="70"/>
  <c r="HM54" i="70"/>
  <c r="AR270" i="69"/>
  <c r="AR271" i="69" s="1"/>
  <c r="HP55" i="69"/>
  <c r="AY250" i="69" a="1"/>
  <c r="AY250" i="69" s="1"/>
  <c r="AY251" i="69" s="1"/>
  <c r="HN56" i="69" s="1"/>
  <c r="HO56" i="69" s="1"/>
  <c r="IE55" i="69"/>
  <c r="AU282" i="69"/>
  <c r="AU283" i="69" s="1"/>
  <c r="HO55" i="69"/>
  <c r="IG54" i="69"/>
  <c r="AW276" i="69"/>
  <c r="HW54" i="69"/>
  <c r="AX274" i="69" a="1"/>
  <c r="AX274" i="69" s="1"/>
  <c r="AX275" i="69" s="1"/>
  <c r="HV55" i="69" s="1"/>
  <c r="IG55" i="69" s="1"/>
  <c r="AU302" i="69"/>
  <c r="AU310" i="69" s="1"/>
  <c r="AU291" i="69"/>
  <c r="AU292" i="69"/>
  <c r="AU293" i="69"/>
  <c r="AU290" i="69"/>
  <c r="AU315" i="69"/>
  <c r="AT307" i="70"/>
  <c r="AT303" i="69"/>
  <c r="AT311" i="69" s="1"/>
  <c r="AW288" i="69"/>
  <c r="IB54" i="69"/>
  <c r="IH54" i="69"/>
  <c r="IA54" i="69"/>
  <c r="AS266" i="69"/>
  <c r="AS313" i="69"/>
  <c r="AS269" i="69"/>
  <c r="AS268" i="69"/>
  <c r="AS267" i="69"/>
  <c r="AV263" i="69"/>
  <c r="HR53" i="69" s="1"/>
  <c r="AW262" i="69" a="1"/>
  <c r="AW262" i="69" s="1"/>
  <c r="AW273" i="70"/>
  <c r="HU54" i="70"/>
  <c r="AW277" i="69"/>
  <c r="AX287" i="69"/>
  <c r="HZ55" i="69" s="1"/>
  <c r="AY286" i="69" a="1"/>
  <c r="AY286" i="69" s="1"/>
  <c r="AU264" i="69"/>
  <c r="IF52" i="69"/>
  <c r="HS52" i="69"/>
  <c r="HT52" i="69"/>
  <c r="AT265" i="69"/>
  <c r="HQ51" i="70"/>
  <c r="AT261" i="70"/>
  <c r="AV258" i="69"/>
  <c r="AV259" i="69" s="1"/>
  <c r="AV304" i="70"/>
  <c r="AV300" i="69"/>
  <c r="AV308" i="69" s="1"/>
  <c r="AV314" i="69"/>
  <c r="AV278" i="69"/>
  <c r="AV279" i="69"/>
  <c r="AV280" i="69"/>
  <c r="AV281" i="69"/>
  <c r="AR305" i="70"/>
  <c r="AR301" i="69"/>
  <c r="AR309" i="69" s="1"/>
  <c r="HY53" i="70"/>
  <c r="AV289" i="69"/>
  <c r="AV285" i="70"/>
  <c r="AT294" i="69"/>
  <c r="AT295" i="69" s="1"/>
  <c r="AW254" i="69"/>
  <c r="AW256" i="69"/>
  <c r="AW312" i="69"/>
  <c r="AW299" i="69"/>
  <c r="AW257" i="69"/>
  <c r="AW255" i="69"/>
  <c r="AX253" i="69"/>
  <c r="HM55" i="70"/>
  <c r="AX249" i="70"/>
  <c r="AY252" i="69" l="1"/>
  <c r="AY253" i="69" s="1"/>
  <c r="HP56" i="69"/>
  <c r="IE56" i="69"/>
  <c r="AZ250" i="69" a="1"/>
  <c r="AZ250" i="69" s="1"/>
  <c r="AZ251" i="69" s="1"/>
  <c r="HN57" i="69" s="1"/>
  <c r="AZ252" i="69" s="1"/>
  <c r="AS270" i="69"/>
  <c r="AS271" i="69" s="1"/>
  <c r="HX55" i="69"/>
  <c r="HW55" i="69"/>
  <c r="AY274" i="69" a="1"/>
  <c r="AY274" i="69" s="1"/>
  <c r="AY275" i="69" s="1"/>
  <c r="HV56" i="69" s="1"/>
  <c r="HX56" i="69" s="1"/>
  <c r="AX276" i="69"/>
  <c r="HU55" i="70" s="1"/>
  <c r="AV282" i="69"/>
  <c r="AV283" i="69" s="1"/>
  <c r="AW258" i="69"/>
  <c r="AW259" i="69" s="1"/>
  <c r="AU294" i="69"/>
  <c r="AU295" i="69" s="1"/>
  <c r="AW300" i="69"/>
  <c r="AW308" i="69" s="1"/>
  <c r="AW304" i="70"/>
  <c r="AV292" i="69"/>
  <c r="AV315" i="69"/>
  <c r="AV290" i="69"/>
  <c r="AV291" i="69"/>
  <c r="AV293" i="69"/>
  <c r="AU265" i="69"/>
  <c r="AU261" i="70"/>
  <c r="HQ52" i="70"/>
  <c r="AS301" i="69"/>
  <c r="AS309" i="69" s="1"/>
  <c r="AS305" i="70"/>
  <c r="AW285" i="70"/>
  <c r="AW289" i="69"/>
  <c r="HY54" i="70"/>
  <c r="AY287" i="69"/>
  <c r="HZ56" i="69" s="1"/>
  <c r="AZ286" i="69" a="1"/>
  <c r="AZ286" i="69" s="1"/>
  <c r="AY249" i="70"/>
  <c r="AV306" i="70"/>
  <c r="AV302" i="69"/>
  <c r="AV310" i="69" s="1"/>
  <c r="AT269" i="69"/>
  <c r="AT266" i="69"/>
  <c r="AT267" i="69"/>
  <c r="AT268" i="69"/>
  <c r="AT313" i="69"/>
  <c r="AX288" i="69"/>
  <c r="IA55" i="69"/>
  <c r="IH55" i="69"/>
  <c r="IB55" i="69"/>
  <c r="AW314" i="69"/>
  <c r="AW281" i="69"/>
  <c r="AW280" i="69"/>
  <c r="AW279" i="69"/>
  <c r="AW278" i="69"/>
  <c r="AX277" i="69"/>
  <c r="AX273" i="70"/>
  <c r="AW263" i="69"/>
  <c r="HR54" i="69" s="1"/>
  <c r="AX262" i="69" a="1"/>
  <c r="AX262" i="69" s="1"/>
  <c r="AX312" i="69"/>
  <c r="AX254" i="69"/>
  <c r="AX256" i="69"/>
  <c r="AX257" i="69"/>
  <c r="AX255" i="69"/>
  <c r="AX299" i="69"/>
  <c r="HS53" i="69"/>
  <c r="AV264" i="69"/>
  <c r="IF53" i="69"/>
  <c r="HT53" i="69"/>
  <c r="AU303" i="69"/>
  <c r="AU311" i="69" s="1"/>
  <c r="AU307" i="70"/>
  <c r="HM56" i="70" l="1"/>
  <c r="HO57" i="69"/>
  <c r="HP57" i="69"/>
  <c r="IE57" i="69"/>
  <c r="BA250" i="69" a="1"/>
  <c r="BA250" i="69" s="1"/>
  <c r="BA251" i="69" s="1"/>
  <c r="HN58" i="69" s="1"/>
  <c r="IE58" i="69" s="1"/>
  <c r="HW56" i="69"/>
  <c r="AV294" i="69"/>
  <c r="AV295" i="69" s="1"/>
  <c r="IG56" i="69"/>
  <c r="AY276" i="69"/>
  <c r="HU56" i="70" s="1"/>
  <c r="AZ274" i="69" a="1"/>
  <c r="AZ274" i="69" s="1"/>
  <c r="AZ275" i="69" s="1"/>
  <c r="HV57" i="69" s="1"/>
  <c r="HX57" i="69" s="1"/>
  <c r="AX300" i="69"/>
  <c r="AX308" i="69" s="1"/>
  <c r="AX304" i="70"/>
  <c r="AT270" i="69"/>
  <c r="AT271" i="69" s="1"/>
  <c r="AY257" i="69"/>
  <c r="AY255" i="69"/>
  <c r="AY312" i="69"/>
  <c r="AY256" i="69"/>
  <c r="AY254" i="69"/>
  <c r="AY299" i="69"/>
  <c r="AZ287" i="69"/>
  <c r="HZ57" i="69" s="1"/>
  <c r="BA286" i="69" a="1"/>
  <c r="BA286" i="69" s="1"/>
  <c r="AX258" i="69"/>
  <c r="AX259" i="69" s="1"/>
  <c r="AY288" i="69"/>
  <c r="IA56" i="69"/>
  <c r="IH56" i="69"/>
  <c r="IB56" i="69"/>
  <c r="AU313" i="69"/>
  <c r="AU268" i="69"/>
  <c r="AU267" i="69"/>
  <c r="AU266" i="69"/>
  <c r="AU269" i="69"/>
  <c r="AX280" i="69"/>
  <c r="AX314" i="69"/>
  <c r="AX279" i="69"/>
  <c r="AX281" i="69"/>
  <c r="AX278" i="69"/>
  <c r="AT301" i="69"/>
  <c r="AT309" i="69" s="1"/>
  <c r="AT305" i="70"/>
  <c r="AW293" i="69"/>
  <c r="AW291" i="69"/>
  <c r="AW315" i="69"/>
  <c r="AW290" i="69"/>
  <c r="AW292" i="69"/>
  <c r="AV307" i="70"/>
  <c r="AV303" i="69"/>
  <c r="AV311" i="69" s="1"/>
  <c r="AX263" i="69"/>
  <c r="HR55" i="69" s="1"/>
  <c r="AY262" i="69" a="1"/>
  <c r="AY262" i="69" s="1"/>
  <c r="AW302" i="69"/>
  <c r="AW310" i="69" s="1"/>
  <c r="AW306" i="70"/>
  <c r="AY277" i="69"/>
  <c r="HQ53" i="70"/>
  <c r="AV265" i="69"/>
  <c r="AV261" i="70"/>
  <c r="HS54" i="69"/>
  <c r="IF54" i="69"/>
  <c r="AW264" i="69"/>
  <c r="HT54" i="69"/>
  <c r="AW282" i="69"/>
  <c r="AW283" i="69" s="1"/>
  <c r="AX289" i="69"/>
  <c r="AX285" i="70"/>
  <c r="HY55" i="70"/>
  <c r="AZ253" i="69"/>
  <c r="AZ249" i="70"/>
  <c r="HM57" i="70"/>
  <c r="AU270" i="69" l="1"/>
  <c r="AU271" i="69" s="1"/>
  <c r="AY273" i="70"/>
  <c r="HO58" i="69"/>
  <c r="BA252" i="69"/>
  <c r="BA249" i="70" s="1"/>
  <c r="BB250" i="69" a="1"/>
  <c r="BB250" i="69" s="1"/>
  <c r="BB251" i="69" s="1"/>
  <c r="HN59" i="69" s="1"/>
  <c r="HO59" i="69" s="1"/>
  <c r="HP58" i="69"/>
  <c r="AZ276" i="69"/>
  <c r="HU57" i="70" s="1"/>
  <c r="HW57" i="69"/>
  <c r="IG57" i="69"/>
  <c r="AW294" i="69"/>
  <c r="AW295" i="69" s="1"/>
  <c r="AX282" i="69"/>
  <c r="AX283" i="69" s="1"/>
  <c r="BA274" i="69" a="1"/>
  <c r="BA274" i="69" s="1"/>
  <c r="BA275" i="69" s="1"/>
  <c r="HV58" i="69" s="1"/>
  <c r="HW58" i="69" s="1"/>
  <c r="BA253" i="69"/>
  <c r="AV266" i="69"/>
  <c r="AV313" i="69"/>
  <c r="AV269" i="69"/>
  <c r="AV268" i="69"/>
  <c r="AV267" i="69"/>
  <c r="AX302" i="69"/>
  <c r="AX310" i="69" s="1"/>
  <c r="AX306" i="70"/>
  <c r="AX292" i="69"/>
  <c r="AX315" i="69"/>
  <c r="AX293" i="69"/>
  <c r="AX291" i="69"/>
  <c r="AX290" i="69"/>
  <c r="AW303" i="69"/>
  <c r="AW311" i="69" s="1"/>
  <c r="AW307" i="70"/>
  <c r="AZ288" i="69"/>
  <c r="IA57" i="69"/>
  <c r="IB57" i="69"/>
  <c r="IH57" i="69"/>
  <c r="AY263" i="69"/>
  <c r="HR56" i="69" s="1"/>
  <c r="AZ262" i="69" a="1"/>
  <c r="AZ262" i="69" s="1"/>
  <c r="AY289" i="69"/>
  <c r="AY285" i="70"/>
  <c r="HY56" i="70"/>
  <c r="AZ312" i="69"/>
  <c r="AZ299" i="69"/>
  <c r="AZ256" i="69"/>
  <c r="AZ257" i="69"/>
  <c r="AZ255" i="69"/>
  <c r="AZ254" i="69"/>
  <c r="AY304" i="70"/>
  <c r="AY300" i="69"/>
  <c r="AY308" i="69" s="1"/>
  <c r="AW265" i="69"/>
  <c r="AW261" i="70"/>
  <c r="HQ54" i="70"/>
  <c r="AY278" i="69"/>
  <c r="AY279" i="69"/>
  <c r="AY281" i="69"/>
  <c r="AY314" i="69"/>
  <c r="AY280" i="69"/>
  <c r="IF55" i="69"/>
  <c r="AX264" i="69"/>
  <c r="HT55" i="69"/>
  <c r="HS55" i="69"/>
  <c r="AU301" i="69"/>
  <c r="AU309" i="69" s="1"/>
  <c r="AU305" i="70"/>
  <c r="AY258" i="69"/>
  <c r="AY259" i="69" s="1"/>
  <c r="BA287" i="69"/>
  <c r="HZ58" i="69" s="1"/>
  <c r="BB286" i="69" a="1"/>
  <c r="BB286" i="69" s="1"/>
  <c r="BB287" i="69" s="1"/>
  <c r="HZ59" i="69" s="1"/>
  <c r="AZ277" i="69" l="1"/>
  <c r="AZ279" i="69" s="1"/>
  <c r="HM58" i="70"/>
  <c r="AZ273" i="70"/>
  <c r="HP59" i="69"/>
  <c r="IE59" i="69"/>
  <c r="BB252" i="69"/>
  <c r="HX58" i="69"/>
  <c r="BB274" i="69" a="1"/>
  <c r="BB274" i="69" s="1"/>
  <c r="BB275" i="69" s="1"/>
  <c r="HV59" i="69" s="1"/>
  <c r="IG58" i="69"/>
  <c r="BA276" i="69"/>
  <c r="HU58" i="70" s="1"/>
  <c r="AY282" i="69"/>
  <c r="AY283" i="69" s="1"/>
  <c r="AX294" i="69"/>
  <c r="AX295" i="69" s="1"/>
  <c r="AV270" i="69"/>
  <c r="AV271" i="69" s="1"/>
  <c r="AY315" i="69"/>
  <c r="AY291" i="69"/>
  <c r="AY292" i="69"/>
  <c r="AY293" i="69"/>
  <c r="AY290" i="69"/>
  <c r="AX265" i="69"/>
  <c r="AX261" i="70"/>
  <c r="HQ55" i="70"/>
  <c r="AV305" i="70"/>
  <c r="AV301" i="69"/>
  <c r="AV309" i="69" s="1"/>
  <c r="BA288" i="69"/>
  <c r="IB58" i="69"/>
  <c r="IA58" i="69"/>
  <c r="IH58" i="69"/>
  <c r="AZ258" i="69"/>
  <c r="AZ259" i="69" s="1"/>
  <c r="AZ281" i="69"/>
  <c r="AZ278" i="69"/>
  <c r="AZ280" i="69"/>
  <c r="AZ314" i="69"/>
  <c r="IA59" i="69"/>
  <c r="BB288" i="69"/>
  <c r="IH59" i="69"/>
  <c r="IB59" i="69"/>
  <c r="AY302" i="69"/>
  <c r="AY310" i="69" s="1"/>
  <c r="AY306" i="70"/>
  <c r="AZ300" i="69"/>
  <c r="AZ308" i="69" s="1"/>
  <c r="AZ304" i="70"/>
  <c r="HY57" i="70"/>
  <c r="AZ289" i="69"/>
  <c r="AZ285" i="70"/>
  <c r="AZ263" i="69"/>
  <c r="HR57" i="69" s="1"/>
  <c r="BA262" i="69" a="1"/>
  <c r="BA262" i="69" s="1"/>
  <c r="AW313" i="69"/>
  <c r="AW269" i="69"/>
  <c r="AW268" i="69"/>
  <c r="AW266" i="69"/>
  <c r="AW267" i="69"/>
  <c r="AY264" i="69"/>
  <c r="IF56" i="69"/>
  <c r="HT56" i="69"/>
  <c r="HS56" i="69"/>
  <c r="AX303" i="69"/>
  <c r="AX311" i="69" s="1"/>
  <c r="AX307" i="70"/>
  <c r="BA312" i="69"/>
  <c r="BA255" i="69"/>
  <c r="BA254" i="69"/>
  <c r="BA256" i="69"/>
  <c r="BA299" i="69"/>
  <c r="BA257" i="69"/>
  <c r="AY294" i="69" l="1"/>
  <c r="AY295" i="69" s="1"/>
  <c r="BA273" i="70"/>
  <c r="BA277" i="69"/>
  <c r="BA281" i="69" s="1"/>
  <c r="BB249" i="70"/>
  <c r="E250" i="70" s="1" a="1"/>
  <c r="E250" i="70" s="1"/>
  <c r="BB253" i="69"/>
  <c r="HM59" i="70"/>
  <c r="AW270" i="69"/>
  <c r="AW271" i="69" s="1"/>
  <c r="IG59" i="69"/>
  <c r="HW59" i="69"/>
  <c r="HX59" i="69"/>
  <c r="BB276" i="69"/>
  <c r="BA263" i="69"/>
  <c r="HR58" i="69" s="1"/>
  <c r="BB262" i="69" a="1"/>
  <c r="BB262" i="69" s="1"/>
  <c r="BB263" i="69" s="1"/>
  <c r="HR59" i="69" s="1"/>
  <c r="AZ264" i="69"/>
  <c r="HT57" i="69"/>
  <c r="IF57" i="69"/>
  <c r="HS57" i="69"/>
  <c r="AY265" i="69"/>
  <c r="AY261" i="70"/>
  <c r="HQ56" i="70"/>
  <c r="AZ302" i="69"/>
  <c r="AZ310" i="69" s="1"/>
  <c r="AZ306" i="70"/>
  <c r="BA285" i="70"/>
  <c r="BA289" i="69"/>
  <c r="HY58" i="70"/>
  <c r="BA258" i="69"/>
  <c r="BA259" i="69" s="1"/>
  <c r="AW305" i="70"/>
  <c r="AW301" i="69"/>
  <c r="AW309" i="69" s="1"/>
  <c r="BA314" i="69"/>
  <c r="AZ292" i="69"/>
  <c r="AZ293" i="69"/>
  <c r="AZ290" i="69"/>
  <c r="AZ291" i="69"/>
  <c r="AZ315" i="69"/>
  <c r="BB285" i="70"/>
  <c r="BB289" i="69"/>
  <c r="HY59" i="70"/>
  <c r="BA304" i="70"/>
  <c r="BA300" i="69"/>
  <c r="BA308" i="69" s="1"/>
  <c r="AY303" i="69"/>
  <c r="AY311" i="69" s="1"/>
  <c r="AY307" i="70"/>
  <c r="AZ282" i="69"/>
  <c r="AZ283" i="69" s="1"/>
  <c r="AX267" i="69"/>
  <c r="AX266" i="69"/>
  <c r="AX269" i="69"/>
  <c r="AX313" i="69"/>
  <c r="AX268" i="69"/>
  <c r="BA280" i="69" l="1"/>
  <c r="BA282" i="69" s="1"/>
  <c r="BA283" i="69" s="1"/>
  <c r="BA278" i="69"/>
  <c r="BA279" i="69"/>
  <c r="AX270" i="69"/>
  <c r="AX271" i="69" s="1"/>
  <c r="BB312" i="69"/>
  <c r="BB256" i="69"/>
  <c r="BB257" i="69"/>
  <c r="BB254" i="69"/>
  <c r="BB255" i="69"/>
  <c r="BB299" i="69"/>
  <c r="E251" i="70"/>
  <c r="HN10" i="70" s="1"/>
  <c r="F250" i="70" a="1"/>
  <c r="F250" i="70" s="1"/>
  <c r="F251" i="70" s="1"/>
  <c r="HN11" i="70" s="1"/>
  <c r="BB277" i="69"/>
  <c r="BB273" i="70"/>
  <c r="E274" i="70" s="1" a="1"/>
  <c r="E274" i="70" s="1"/>
  <c r="E275" i="70" s="1"/>
  <c r="HV10" i="70" s="1"/>
  <c r="HU59" i="70"/>
  <c r="AZ261" i="70"/>
  <c r="AZ265" i="69"/>
  <c r="HQ57" i="70"/>
  <c r="BB315" i="69"/>
  <c r="BB293" i="69"/>
  <c r="BB290" i="69"/>
  <c r="BB292" i="69"/>
  <c r="BB291" i="69"/>
  <c r="E286" i="70" a="1"/>
  <c r="E286" i="70" s="1"/>
  <c r="BA292" i="69"/>
  <c r="BA291" i="69"/>
  <c r="BA315" i="69"/>
  <c r="BA293" i="69"/>
  <c r="BA290" i="69"/>
  <c r="AY313" i="69"/>
  <c r="AY267" i="69"/>
  <c r="AY266" i="69"/>
  <c r="AY268" i="69"/>
  <c r="AY269" i="69"/>
  <c r="HS59" i="69"/>
  <c r="IF59" i="69"/>
  <c r="HT59" i="69"/>
  <c r="BB264" i="69"/>
  <c r="AZ303" i="69"/>
  <c r="AZ311" i="69" s="1"/>
  <c r="AZ307" i="70"/>
  <c r="AX301" i="69"/>
  <c r="AX309" i="69" s="1"/>
  <c r="AX305" i="70"/>
  <c r="AZ294" i="69"/>
  <c r="AZ295" i="69" s="1"/>
  <c r="BA306" i="70"/>
  <c r="BA302" i="69"/>
  <c r="BA310" i="69" s="1"/>
  <c r="HT58" i="69"/>
  <c r="IF58" i="69"/>
  <c r="BA264" i="69"/>
  <c r="HS58" i="69"/>
  <c r="AY270" i="69" l="1"/>
  <c r="AY271" i="69" s="1"/>
  <c r="BB300" i="69"/>
  <c r="BB308" i="69" s="1"/>
  <c r="BB304" i="70"/>
  <c r="BB258" i="69"/>
  <c r="BB259" i="69" s="1"/>
  <c r="IE11" i="70"/>
  <c r="HP11" i="70"/>
  <c r="F252" i="70"/>
  <c r="HO11" i="70"/>
  <c r="E252" i="70"/>
  <c r="HP10" i="70"/>
  <c r="IE10" i="70"/>
  <c r="HO10" i="70"/>
  <c r="G250" i="70" a="1"/>
  <c r="G250" i="70" s="1"/>
  <c r="G251" i="70" s="1"/>
  <c r="HN12" i="70" s="1"/>
  <c r="G252" i="70" s="1"/>
  <c r="F274" i="70" a="1"/>
  <c r="F274" i="70" s="1"/>
  <c r="F275" i="70" s="1"/>
  <c r="HV11" i="70" s="1"/>
  <c r="BB294" i="69"/>
  <c r="BB295" i="69" s="1"/>
  <c r="BB280" i="69"/>
  <c r="BB278" i="69"/>
  <c r="BB314" i="69"/>
  <c r="BB281" i="69"/>
  <c r="BB279" i="69"/>
  <c r="BA303" i="69"/>
  <c r="BA311" i="69" s="1"/>
  <c r="BA307" i="70"/>
  <c r="BA294" i="69"/>
  <c r="BA295" i="69" s="1"/>
  <c r="HW10" i="70"/>
  <c r="HX10" i="70"/>
  <c r="E276" i="70"/>
  <c r="IG10" i="70"/>
  <c r="AY301" i="69"/>
  <c r="AY309" i="69" s="1"/>
  <c r="AY305" i="70"/>
  <c r="BA261" i="70"/>
  <c r="BA265" i="69"/>
  <c r="HQ58" i="70"/>
  <c r="BB303" i="69"/>
  <c r="BB307" i="70"/>
  <c r="AZ269" i="69"/>
  <c r="AZ268" i="69"/>
  <c r="AZ266" i="69"/>
  <c r="AZ267" i="69"/>
  <c r="AZ313" i="69"/>
  <c r="BB261" i="70"/>
  <c r="BB265" i="69"/>
  <c r="HQ59" i="70"/>
  <c r="E287" i="70"/>
  <c r="HZ10" i="70" s="1"/>
  <c r="F286" i="70" a="1"/>
  <c r="F286" i="70" s="1"/>
  <c r="F287" i="70" s="1"/>
  <c r="HZ11" i="70" s="1"/>
  <c r="BB282" i="69" l="1"/>
  <c r="BB283" i="69" s="1"/>
  <c r="E296" i="69" s="1"/>
  <c r="Q107" i="75" s="1"/>
  <c r="Q109" i="75" s="1"/>
  <c r="HM11" i="71"/>
  <c r="F253" i="70"/>
  <c r="F249" i="71"/>
  <c r="H250" i="70" a="1"/>
  <c r="H250" i="70" s="1"/>
  <c r="H251" i="70" s="1"/>
  <c r="HN13" i="70" s="1"/>
  <c r="HO13" i="70" s="1"/>
  <c r="HP12" i="70"/>
  <c r="IE12" i="70"/>
  <c r="HM10" i="71"/>
  <c r="E249" i="71"/>
  <c r="E253" i="70"/>
  <c r="HO12" i="70"/>
  <c r="BB302" i="69"/>
  <c r="BB310" i="69" s="1"/>
  <c r="BB306" i="70"/>
  <c r="E262" i="70" a="1"/>
  <c r="E262" i="70" s="1"/>
  <c r="E263" i="70" s="1"/>
  <c r="HR10" i="70" s="1"/>
  <c r="G274" i="70" a="1"/>
  <c r="G274" i="70" s="1"/>
  <c r="G275" i="70" s="1"/>
  <c r="HV12" i="70" s="1"/>
  <c r="AZ270" i="69"/>
  <c r="AZ271" i="69" s="1"/>
  <c r="G253" i="70"/>
  <c r="HM12" i="71"/>
  <c r="G249" i="71"/>
  <c r="G286" i="70" a="1"/>
  <c r="G286" i="70" s="1"/>
  <c r="IG11" i="70"/>
  <c r="HX11" i="70"/>
  <c r="F276" i="70"/>
  <c r="HW11" i="70"/>
  <c r="E288" i="70"/>
  <c r="IH10" i="70"/>
  <c r="IA10" i="70"/>
  <c r="IB10" i="70"/>
  <c r="BB311" i="69"/>
  <c r="AZ301" i="69"/>
  <c r="AZ309" i="69" s="1"/>
  <c r="AZ305" i="70"/>
  <c r="BA266" i="69"/>
  <c r="BA267" i="69"/>
  <c r="BA269" i="69"/>
  <c r="BA313" i="69"/>
  <c r="BA268" i="69"/>
  <c r="E277" i="70"/>
  <c r="HU10" i="71"/>
  <c r="E273" i="71"/>
  <c r="IB11" i="70"/>
  <c r="IA11" i="70"/>
  <c r="IH11" i="70"/>
  <c r="F288" i="70"/>
  <c r="BB266" i="69"/>
  <c r="BB268" i="69"/>
  <c r="BB267" i="69"/>
  <c r="BB269" i="69"/>
  <c r="BB313" i="69"/>
  <c r="F262" i="70" l="1" a="1"/>
  <c r="F262" i="70" s="1"/>
  <c r="F263" i="70" s="1"/>
  <c r="HR11" i="70" s="1"/>
  <c r="H252" i="70"/>
  <c r="H249" i="71" s="1"/>
  <c r="I250" i="70" a="1"/>
  <c r="I250" i="70" s="1"/>
  <c r="I251" i="70" s="1"/>
  <c r="HN14" i="70" s="1"/>
  <c r="IG12" i="70"/>
  <c r="HW12" i="70"/>
  <c r="HX12" i="70"/>
  <c r="G276" i="70"/>
  <c r="G273" i="71" s="1"/>
  <c r="G296" i="69"/>
  <c r="K296" i="69" s="1"/>
  <c r="Q104" i="75" s="1"/>
  <c r="Q105" i="75" s="1"/>
  <c r="BB270" i="69"/>
  <c r="BB271" i="69" s="1"/>
  <c r="IE13" i="70"/>
  <c r="HP13" i="70"/>
  <c r="E255" i="70"/>
  <c r="AD1" i="75"/>
  <c r="E299" i="70"/>
  <c r="E312" i="70"/>
  <c r="E257" i="70"/>
  <c r="E256" i="70"/>
  <c r="E254" i="70"/>
  <c r="F312" i="70"/>
  <c r="F299" i="70"/>
  <c r="F255" i="70"/>
  <c r="F256" i="70"/>
  <c r="F254" i="70"/>
  <c r="F257" i="70"/>
  <c r="AH1" i="75"/>
  <c r="H274" i="70" a="1"/>
  <c r="H274" i="70" s="1"/>
  <c r="BA270" i="69"/>
  <c r="BA271" i="69" s="1"/>
  <c r="H253" i="70"/>
  <c r="HM13" i="71"/>
  <c r="G255" i="70"/>
  <c r="G256" i="70"/>
  <c r="AL1" i="75"/>
  <c r="G299" i="70"/>
  <c r="G254" i="70"/>
  <c r="G257" i="70"/>
  <c r="G312" i="70"/>
  <c r="BB305" i="70"/>
  <c r="BB301" i="69"/>
  <c r="HS10" i="70"/>
  <c r="IF10" i="70"/>
  <c r="HT10" i="70"/>
  <c r="E264" i="70"/>
  <c r="HY10" i="71"/>
  <c r="E285" i="71"/>
  <c r="E289" i="70"/>
  <c r="G287" i="70"/>
  <c r="HZ12" i="70" s="1"/>
  <c r="H286" i="70" a="1"/>
  <c r="H286" i="70" s="1"/>
  <c r="I286" i="70" s="1" a="1"/>
  <c r="I286" i="70" s="1"/>
  <c r="I287" i="70" s="1"/>
  <c r="G277" i="70"/>
  <c r="HU12" i="71"/>
  <c r="HU11" i="71"/>
  <c r="F273" i="71"/>
  <c r="F277" i="70"/>
  <c r="F289" i="70"/>
  <c r="HY11" i="71"/>
  <c r="F285" i="71"/>
  <c r="E278" i="70"/>
  <c r="E280" i="70"/>
  <c r="E314" i="70"/>
  <c r="E279" i="70"/>
  <c r="E281" i="70"/>
  <c r="BA305" i="70"/>
  <c r="BA301" i="69"/>
  <c r="BA309" i="69" s="1"/>
  <c r="H3" i="51"/>
  <c r="M297" i="69" l="1"/>
  <c r="U108" i="75" s="1"/>
  <c r="U105" i="75" s="1"/>
  <c r="J250" i="70" a="1"/>
  <c r="J250" i="70" s="1"/>
  <c r="J251" i="70" s="1"/>
  <c r="HN15" i="70" s="1"/>
  <c r="E297" i="69"/>
  <c r="Y107" i="75" s="1"/>
  <c r="IE14" i="70"/>
  <c r="I252" i="70"/>
  <c r="HP14" i="70"/>
  <c r="HO14" i="70"/>
  <c r="HT11" i="70"/>
  <c r="F264" i="70"/>
  <c r="HS11" i="70"/>
  <c r="IF11" i="70"/>
  <c r="M296" i="69"/>
  <c r="M109" i="75" s="1"/>
  <c r="M105" i="75" s="1"/>
  <c r="N106" i="75" s="1"/>
  <c r="G262" i="70" a="1"/>
  <c r="G262" i="70" s="1"/>
  <c r="F258" i="70"/>
  <c r="F259" i="70" s="1"/>
  <c r="I296" i="69"/>
  <c r="Q103" i="75" s="1"/>
  <c r="F300" i="70"/>
  <c r="F308" i="70" s="1"/>
  <c r="F304" i="71"/>
  <c r="AD290" i="75"/>
  <c r="AD184" i="75"/>
  <c r="AD32" i="75"/>
  <c r="AD31" i="76" s="1"/>
  <c r="AD141" i="76" s="1"/>
  <c r="AD258" i="75"/>
  <c r="AD12" i="75"/>
  <c r="AD11" i="76" s="1"/>
  <c r="AD121" i="76" s="1"/>
  <c r="AD301" i="75"/>
  <c r="AD193" i="75"/>
  <c r="AD70" i="75"/>
  <c r="AD334" i="75"/>
  <c r="AD397" i="76" s="1"/>
  <c r="AD83" i="75"/>
  <c r="AD287" i="75"/>
  <c r="AD316" i="75"/>
  <c r="AD379" i="76" s="1"/>
  <c r="AD216" i="75"/>
  <c r="AD71" i="75"/>
  <c r="AD43" i="75"/>
  <c r="AD42" i="76" s="1"/>
  <c r="AD152" i="76" s="1"/>
  <c r="AD89" i="75"/>
  <c r="AD186" i="75"/>
  <c r="AD295" i="75"/>
  <c r="AD209" i="75"/>
  <c r="AD53" i="75"/>
  <c r="AD52" i="76" s="1"/>
  <c r="AD162" i="76" s="1"/>
  <c r="AD335" i="75"/>
  <c r="AD398" i="76" s="1"/>
  <c r="AD76" i="75"/>
  <c r="AD326" i="75"/>
  <c r="AD389" i="76" s="1"/>
  <c r="AD210" i="75"/>
  <c r="AD86" i="75"/>
  <c r="AD10" i="75"/>
  <c r="AD9" i="76" s="1"/>
  <c r="AD119" i="76" s="1"/>
  <c r="AD34" i="75"/>
  <c r="AD33" i="76" s="1"/>
  <c r="AD143" i="76" s="1"/>
  <c r="AD203" i="75"/>
  <c r="AD20" i="75"/>
  <c r="AD19" i="76" s="1"/>
  <c r="AD129" i="76" s="1"/>
  <c r="AD268" i="75"/>
  <c r="AD189" i="75"/>
  <c r="AD14" i="75"/>
  <c r="AD13" i="76" s="1"/>
  <c r="AD123" i="76" s="1"/>
  <c r="AD191" i="75"/>
  <c r="AD403" i="75"/>
  <c r="AD296" i="75"/>
  <c r="AD200" i="75"/>
  <c r="AD62" i="75"/>
  <c r="AD299" i="75"/>
  <c r="AD77" i="75"/>
  <c r="AD213" i="75"/>
  <c r="AD322" i="75"/>
  <c r="AD207" i="75"/>
  <c r="AD74" i="75"/>
  <c r="AD336" i="75"/>
  <c r="AD399" i="76" s="1"/>
  <c r="AD63" i="75"/>
  <c r="AD90" i="75"/>
  <c r="AD298" i="75"/>
  <c r="AD190" i="75"/>
  <c r="AD52" i="75"/>
  <c r="AD51" i="76" s="1"/>
  <c r="AD161" i="76" s="1"/>
  <c r="AD307" i="75"/>
  <c r="AD58" i="75"/>
  <c r="AD310" i="75"/>
  <c r="AD373" i="76" s="1"/>
  <c r="AD201" i="75"/>
  <c r="AD61" i="75"/>
  <c r="AD315" i="75"/>
  <c r="AD378" i="76" s="1"/>
  <c r="AD309" i="75"/>
  <c r="AD272" i="75"/>
  <c r="AD401" i="75"/>
  <c r="AD269" i="75"/>
  <c r="AD88" i="75"/>
  <c r="AD25" i="75"/>
  <c r="AD24" i="76" s="1"/>
  <c r="AD134" i="76" s="1"/>
  <c r="AD175" i="75"/>
  <c r="AD197" i="75"/>
  <c r="AD293" i="75"/>
  <c r="AD177" i="75"/>
  <c r="AD59" i="75"/>
  <c r="AD286" i="75"/>
  <c r="AD57" i="75"/>
  <c r="AD204" i="75"/>
  <c r="AD297" i="75"/>
  <c r="AD208" i="75"/>
  <c r="AD358" i="76" s="1"/>
  <c r="AD56" i="75"/>
  <c r="AD55" i="76" s="1"/>
  <c r="AD165" i="76" s="1"/>
  <c r="AD306" i="75"/>
  <c r="AD50" i="75"/>
  <c r="AD49" i="76" s="1"/>
  <c r="AD159" i="76" s="1"/>
  <c r="AD47" i="75"/>
  <c r="AD46" i="76" s="1"/>
  <c r="AD156" i="76" s="1"/>
  <c r="AD282" i="75"/>
  <c r="AD192" i="75"/>
  <c r="AD38" i="75"/>
  <c r="AD37" i="76" s="1"/>
  <c r="AD147" i="76" s="1"/>
  <c r="AD294" i="75"/>
  <c r="AD51" i="75"/>
  <c r="AD50" i="76" s="1"/>
  <c r="AD160" i="76" s="1"/>
  <c r="AD304" i="75"/>
  <c r="AD205" i="75"/>
  <c r="AD49" i="75"/>
  <c r="AD48" i="76" s="1"/>
  <c r="AD158" i="76" s="1"/>
  <c r="AD271" i="75"/>
  <c r="AD328" i="75"/>
  <c r="AD391" i="76" s="1"/>
  <c r="AD262" i="75"/>
  <c r="AD64" i="75"/>
  <c r="AD9" i="75"/>
  <c r="AD103" i="75"/>
  <c r="AD69" i="75"/>
  <c r="AD288" i="75"/>
  <c r="AD182" i="75"/>
  <c r="AD30" i="75"/>
  <c r="AD29" i="76" s="1"/>
  <c r="AD139" i="76" s="1"/>
  <c r="AD264" i="75"/>
  <c r="AD28" i="75"/>
  <c r="AD27" i="76" s="1"/>
  <c r="AD137" i="76" s="1"/>
  <c r="AD196" i="75"/>
  <c r="AD289" i="75"/>
  <c r="AD199" i="75"/>
  <c r="AD54" i="75"/>
  <c r="AD53" i="76" s="1"/>
  <c r="AD163" i="76" s="1"/>
  <c r="AD280" i="75"/>
  <c r="AD31" i="75"/>
  <c r="AD30" i="76" s="1"/>
  <c r="AD140" i="76" s="1"/>
  <c r="AD18" i="75"/>
  <c r="AD17" i="76" s="1"/>
  <c r="AD127" i="76" s="1"/>
  <c r="AD277" i="75"/>
  <c r="AD176" i="75"/>
  <c r="AD24" i="75"/>
  <c r="AD23" i="76" s="1"/>
  <c r="AD133" i="76" s="1"/>
  <c r="AD274" i="75"/>
  <c r="AD55" i="75"/>
  <c r="AD54" i="76" s="1"/>
  <c r="AD164" i="76" s="1"/>
  <c r="AD302" i="75"/>
  <c r="AD183" i="75"/>
  <c r="AD48" i="75"/>
  <c r="AD47" i="76" s="1"/>
  <c r="AD157" i="76" s="1"/>
  <c r="AD181" i="75"/>
  <c r="AD26" i="75"/>
  <c r="AD25" i="76" s="1"/>
  <c r="AD135" i="76" s="1"/>
  <c r="AD46" i="75"/>
  <c r="AD45" i="76" s="1"/>
  <c r="AD155" i="76" s="1"/>
  <c r="AD314" i="75"/>
  <c r="AD377" i="76" s="1"/>
  <c r="AD259" i="75"/>
  <c r="AD67" i="75"/>
  <c r="AD396" i="75"/>
  <c r="AD82" i="75"/>
  <c r="AD27" i="75"/>
  <c r="AD26" i="76" s="1"/>
  <c r="AD136" i="76" s="1"/>
  <c r="AD266" i="75"/>
  <c r="AD104" i="75"/>
  <c r="AD39" i="75"/>
  <c r="AD38" i="76" s="1"/>
  <c r="AD148" i="76" s="1"/>
  <c r="AD265" i="75"/>
  <c r="AD21" i="75"/>
  <c r="AD20" i="76" s="1"/>
  <c r="AD130" i="76" s="1"/>
  <c r="AD85" i="75"/>
  <c r="AD284" i="75"/>
  <c r="AD173" i="75"/>
  <c r="AD40" i="75"/>
  <c r="AD39" i="76" s="1"/>
  <c r="AD149" i="76" s="1"/>
  <c r="AD275" i="75"/>
  <c r="AD37" i="75"/>
  <c r="AD36" i="76" s="1"/>
  <c r="AD146" i="76" s="1"/>
  <c r="AD400" i="75"/>
  <c r="AD276" i="75"/>
  <c r="AD171" i="75"/>
  <c r="AD33" i="75"/>
  <c r="AD32" i="76" s="1"/>
  <c r="AD142" i="76" s="1"/>
  <c r="AD218" i="75"/>
  <c r="AD22" i="75"/>
  <c r="AD21" i="76" s="1"/>
  <c r="AD131" i="76" s="1"/>
  <c r="AD278" i="75"/>
  <c r="AD194" i="75"/>
  <c r="AD72" i="75"/>
  <c r="AD73" i="75"/>
  <c r="AD303" i="75"/>
  <c r="AD195" i="75"/>
  <c r="AD81" i="75"/>
  <c r="AD311" i="75"/>
  <c r="AD374" i="76" s="1"/>
  <c r="AD68" i="75"/>
  <c r="AD397" i="75"/>
  <c r="AD267" i="75"/>
  <c r="AD66" i="75"/>
  <c r="AD23" i="75"/>
  <c r="AD22" i="76" s="1"/>
  <c r="AD132" i="76" s="1"/>
  <c r="AD211" i="75"/>
  <c r="AD337" i="75"/>
  <c r="AD400" i="76" s="1"/>
  <c r="AD283" i="75"/>
  <c r="AD212" i="75"/>
  <c r="AD395" i="75"/>
  <c r="AD279" i="75"/>
  <c r="AD79" i="75"/>
  <c r="AD17" i="75"/>
  <c r="AD16" i="76" s="1"/>
  <c r="AD126" i="76" s="1"/>
  <c r="AD15" i="75"/>
  <c r="AD14" i="76" s="1"/>
  <c r="AD124" i="76" s="1"/>
  <c r="AD300" i="75"/>
  <c r="AD179" i="75"/>
  <c r="AD329" i="76" s="1"/>
  <c r="AD44" i="75"/>
  <c r="AD43" i="76" s="1"/>
  <c r="AD153" i="76" s="1"/>
  <c r="AD285" i="75"/>
  <c r="AD36" i="75"/>
  <c r="AD313" i="75"/>
  <c r="AD376" i="76" s="1"/>
  <c r="AD217" i="75"/>
  <c r="AD78" i="75"/>
  <c r="AD404" i="75"/>
  <c r="AD180" i="75"/>
  <c r="AD292" i="75"/>
  <c r="AD399" i="75"/>
  <c r="AD263" i="75"/>
  <c r="AD80" i="75"/>
  <c r="AD19" i="75"/>
  <c r="AD18" i="76" s="1"/>
  <c r="AD128" i="76" s="1"/>
  <c r="AD185" i="75"/>
  <c r="AD261" i="75"/>
  <c r="AD312" i="75"/>
  <c r="AD375" i="76" s="1"/>
  <c r="AD198" i="75"/>
  <c r="AD65" i="75"/>
  <c r="AD398" i="75"/>
  <c r="AD174" i="75"/>
  <c r="AD332" i="75"/>
  <c r="AD395" i="76" s="1"/>
  <c r="AD215" i="75"/>
  <c r="AD75" i="75"/>
  <c r="AD13" i="75"/>
  <c r="AD12" i="76" s="1"/>
  <c r="AD122" i="76" s="1"/>
  <c r="AD1" i="76"/>
  <c r="AD178" i="75"/>
  <c r="AD172" i="75"/>
  <c r="AD322" i="76" s="1"/>
  <c r="AD45" i="75"/>
  <c r="AD44" i="76" s="1"/>
  <c r="AD305" i="75"/>
  <c r="AD214" i="75"/>
  <c r="AD364" i="76" s="1"/>
  <c r="AD11" i="75"/>
  <c r="AD10" i="76" s="1"/>
  <c r="AD120" i="76" s="1"/>
  <c r="AD35" i="75"/>
  <c r="AD34" i="76" s="1"/>
  <c r="AD144" i="76" s="1"/>
  <c r="AD291" i="75"/>
  <c r="AD402" i="75"/>
  <c r="AD60" i="75"/>
  <c r="AD187" i="75"/>
  <c r="AD337" i="76" s="1"/>
  <c r="AD260" i="75"/>
  <c r="AD84" i="75"/>
  <c r="AD206" i="75"/>
  <c r="AD330" i="75"/>
  <c r="AD393" i="76" s="1"/>
  <c r="AD42" i="75"/>
  <c r="AD41" i="76" s="1"/>
  <c r="AD151" i="76" s="1"/>
  <c r="AD281" i="75"/>
  <c r="AD41" i="75"/>
  <c r="AD40" i="76" s="1"/>
  <c r="AD150" i="76" s="1"/>
  <c r="AD102" i="75"/>
  <c r="AD405" i="75"/>
  <c r="AD308" i="75"/>
  <c r="AD270" i="75"/>
  <c r="AD29" i="75"/>
  <c r="AD28" i="76" s="1"/>
  <c r="AD138" i="76" s="1"/>
  <c r="AD324" i="75"/>
  <c r="AD387" i="76" s="1"/>
  <c r="AD273" i="75"/>
  <c r="AD202" i="75"/>
  <c r="AD16" i="75"/>
  <c r="AD15" i="76" s="1"/>
  <c r="AD125" i="76" s="1"/>
  <c r="AD87" i="75"/>
  <c r="AD188" i="75"/>
  <c r="Q102" i="75"/>
  <c r="E300" i="70"/>
  <c r="E308" i="70" s="1"/>
  <c r="E304" i="71"/>
  <c r="K250" i="70" a="1"/>
  <c r="K250" i="70" s="1"/>
  <c r="AH302" i="75"/>
  <c r="AH208" i="75"/>
  <c r="AH69" i="75"/>
  <c r="AH60" i="75"/>
  <c r="AH297" i="75"/>
  <c r="AH178" i="75"/>
  <c r="AH45" i="75"/>
  <c r="AH44" i="76" s="1"/>
  <c r="AH330" i="75"/>
  <c r="AH393" i="76" s="1"/>
  <c r="AH258" i="75"/>
  <c r="AH54" i="75"/>
  <c r="AH53" i="76" s="1"/>
  <c r="AH163" i="76" s="1"/>
  <c r="AH296" i="75"/>
  <c r="AH206" i="75"/>
  <c r="AH52" i="75"/>
  <c r="AH51" i="76" s="1"/>
  <c r="AH161" i="76" s="1"/>
  <c r="AH285" i="75"/>
  <c r="AH37" i="75"/>
  <c r="AH36" i="76" s="1"/>
  <c r="AH146" i="76" s="1"/>
  <c r="AH301" i="75"/>
  <c r="AH189" i="75"/>
  <c r="AH56" i="75"/>
  <c r="AH55" i="76" s="1"/>
  <c r="AH165" i="76" s="1"/>
  <c r="AH334" i="75"/>
  <c r="AH397" i="76" s="1"/>
  <c r="AH81" i="75"/>
  <c r="AH49" i="75"/>
  <c r="AH48" i="76" s="1"/>
  <c r="AH158" i="76" s="1"/>
  <c r="AH293" i="75"/>
  <c r="AH184" i="75"/>
  <c r="AH51" i="75"/>
  <c r="AH50" i="76" s="1"/>
  <c r="AH160" i="76" s="1"/>
  <c r="AH310" i="75"/>
  <c r="AH373" i="76" s="1"/>
  <c r="AH200" i="75"/>
  <c r="AH350" i="76" s="1"/>
  <c r="AH58" i="75"/>
  <c r="AH279" i="75"/>
  <c r="AH40" i="75"/>
  <c r="AH39" i="76" s="1"/>
  <c r="AH149" i="76" s="1"/>
  <c r="AH270" i="75"/>
  <c r="AH86" i="75"/>
  <c r="AH30" i="75"/>
  <c r="AH29" i="76" s="1"/>
  <c r="AH139" i="76" s="1"/>
  <c r="AH181" i="75"/>
  <c r="AH179" i="75"/>
  <c r="AH401" i="75"/>
  <c r="AH13" i="75"/>
  <c r="AH12" i="76" s="1"/>
  <c r="AH122" i="76" s="1"/>
  <c r="AH278" i="75"/>
  <c r="AH305" i="75"/>
  <c r="AH269" i="75"/>
  <c r="AH23" i="75"/>
  <c r="AH22" i="76" s="1"/>
  <c r="AH132" i="76" s="1"/>
  <c r="AH326" i="75"/>
  <c r="AH389" i="76" s="1"/>
  <c r="AH14" i="75"/>
  <c r="AH13" i="76" s="1"/>
  <c r="AH123" i="76" s="1"/>
  <c r="AH103" i="75"/>
  <c r="AH263" i="75"/>
  <c r="AH193" i="75"/>
  <c r="AH82" i="75"/>
  <c r="AH11" i="75"/>
  <c r="AH10" i="76" s="1"/>
  <c r="AH120" i="76" s="1"/>
  <c r="AH20" i="75"/>
  <c r="AH19" i="76" s="1"/>
  <c r="AH129" i="76" s="1"/>
  <c r="AH272" i="75"/>
  <c r="AH324" i="75"/>
  <c r="AH387" i="76" s="1"/>
  <c r="AH85" i="75"/>
  <c r="AH292" i="75"/>
  <c r="AH190" i="75"/>
  <c r="AH57" i="75"/>
  <c r="AH19" i="75"/>
  <c r="AH18" i="76" s="1"/>
  <c r="AH128" i="76" s="1"/>
  <c r="AH277" i="75"/>
  <c r="AH183" i="75"/>
  <c r="AH36" i="75"/>
  <c r="AH298" i="75"/>
  <c r="AH207" i="75"/>
  <c r="AH43" i="75"/>
  <c r="AH42" i="76" s="1"/>
  <c r="AH152" i="76" s="1"/>
  <c r="AH303" i="75"/>
  <c r="AH199" i="75"/>
  <c r="AH55" i="75"/>
  <c r="AH54" i="76" s="1"/>
  <c r="AH164" i="76" s="1"/>
  <c r="AH275" i="75"/>
  <c r="AH38" i="75"/>
  <c r="AH37" i="76" s="1"/>
  <c r="AH147" i="76" s="1"/>
  <c r="AH287" i="75"/>
  <c r="AH172" i="75"/>
  <c r="AH39" i="75"/>
  <c r="AH38" i="76" s="1"/>
  <c r="AH148" i="76" s="1"/>
  <c r="AH308" i="75"/>
  <c r="AH64" i="75"/>
  <c r="AH25" i="75"/>
  <c r="AH24" i="76" s="1"/>
  <c r="AH134" i="76" s="1"/>
  <c r="AH283" i="75"/>
  <c r="AH195" i="75"/>
  <c r="AH61" i="75"/>
  <c r="AH306" i="75"/>
  <c r="AH192" i="75"/>
  <c r="AH34" i="75"/>
  <c r="AH33" i="76" s="1"/>
  <c r="AH143" i="76" s="1"/>
  <c r="AH187" i="75"/>
  <c r="AH28" i="75"/>
  <c r="AH27" i="76" s="1"/>
  <c r="AH137" i="76" s="1"/>
  <c r="AH33" i="75"/>
  <c r="AH32" i="76" s="1"/>
  <c r="AH142" i="76" s="1"/>
  <c r="AH276" i="75"/>
  <c r="AH280" i="75"/>
  <c r="AH397" i="75"/>
  <c r="AH42" i="75"/>
  <c r="AH41" i="76" s="1"/>
  <c r="AH151" i="76" s="1"/>
  <c r="AH191" i="75"/>
  <c r="AH261" i="75"/>
  <c r="AH286" i="75"/>
  <c r="AH403" i="75"/>
  <c r="AH102" i="75"/>
  <c r="AH398" i="75"/>
  <c r="AH24" i="75"/>
  <c r="AH23" i="76" s="1"/>
  <c r="AH133" i="76" s="1"/>
  <c r="AH316" i="75"/>
  <c r="AH379" i="76" s="1"/>
  <c r="AH78" i="75"/>
  <c r="AH84" i="75"/>
  <c r="AH79" i="75"/>
  <c r="AH87" i="75"/>
  <c r="AH299" i="75"/>
  <c r="AH180" i="75"/>
  <c r="AH47" i="75"/>
  <c r="AH46" i="76" s="1"/>
  <c r="AH156" i="76" s="1"/>
  <c r="AH12" i="75"/>
  <c r="AH11" i="76" s="1"/>
  <c r="AH121" i="76" s="1"/>
  <c r="AH267" i="75"/>
  <c r="AH104" i="75"/>
  <c r="AH21" i="75"/>
  <c r="AH20" i="76" s="1"/>
  <c r="AH130" i="76" s="1"/>
  <c r="AH288" i="75"/>
  <c r="AH201" i="75"/>
  <c r="AH35" i="75"/>
  <c r="AH34" i="76" s="1"/>
  <c r="AH144" i="76" s="1"/>
  <c r="AH289" i="75"/>
  <c r="AH174" i="75"/>
  <c r="AH41" i="75"/>
  <c r="AH40" i="76" s="1"/>
  <c r="AH150" i="76" s="1"/>
  <c r="AH215" i="75"/>
  <c r="AH22" i="75"/>
  <c r="AH21" i="76" s="1"/>
  <c r="AH131" i="76" s="1"/>
  <c r="AH282" i="75"/>
  <c r="AH177" i="75"/>
  <c r="AH31" i="75"/>
  <c r="AH30" i="76" s="1"/>
  <c r="AH140" i="76" s="1"/>
  <c r="AH295" i="75"/>
  <c r="AH53" i="75"/>
  <c r="AH52" i="76" s="1"/>
  <c r="AH162" i="76" s="1"/>
  <c r="AH18" i="75"/>
  <c r="AH17" i="76" s="1"/>
  <c r="AH127" i="76" s="1"/>
  <c r="AH273" i="75"/>
  <c r="AH173" i="75"/>
  <c r="AH27" i="75"/>
  <c r="AH26" i="76" s="1"/>
  <c r="AH136" i="76" s="1"/>
  <c r="AH307" i="75"/>
  <c r="AH182" i="75"/>
  <c r="AH1" i="76"/>
  <c r="AH400" i="75"/>
  <c r="AH291" i="75"/>
  <c r="AH284" i="75"/>
  <c r="AH196" i="75"/>
  <c r="AH186" i="75"/>
  <c r="AH29" i="75"/>
  <c r="AH28" i="76" s="1"/>
  <c r="AH138" i="76" s="1"/>
  <c r="AH90" i="75"/>
  <c r="AH188" i="75"/>
  <c r="AH65" i="75"/>
  <c r="AH17" i="75"/>
  <c r="AH16" i="76" s="1"/>
  <c r="AH126" i="76" s="1"/>
  <c r="AH264" i="75"/>
  <c r="AH262" i="75"/>
  <c r="AH216" i="75"/>
  <c r="AH281" i="75"/>
  <c r="AH88" i="75"/>
  <c r="AH260" i="75"/>
  <c r="AH265" i="75"/>
  <c r="AH89" i="75"/>
  <c r="AH218" i="75"/>
  <c r="AH328" i="75"/>
  <c r="AH391" i="76" s="1"/>
  <c r="AH209" i="75"/>
  <c r="AH359" i="76" s="1"/>
  <c r="AH80" i="75"/>
  <c r="AH176" i="75"/>
  <c r="AH290" i="75"/>
  <c r="AH203" i="75"/>
  <c r="AH71" i="75"/>
  <c r="AH322" i="75"/>
  <c r="AH259" i="75"/>
  <c r="AH76" i="75"/>
  <c r="AH311" i="75"/>
  <c r="AH374" i="76" s="1"/>
  <c r="AH197" i="75"/>
  <c r="AH75" i="75"/>
  <c r="AH313" i="75"/>
  <c r="AH376" i="76" s="1"/>
  <c r="AH48" i="75"/>
  <c r="AH47" i="76" s="1"/>
  <c r="AH157" i="76" s="1"/>
  <c r="AH294" i="75"/>
  <c r="AH198" i="75"/>
  <c r="AH50" i="75"/>
  <c r="AH49" i="76" s="1"/>
  <c r="AH159" i="76" s="1"/>
  <c r="AH396" i="75"/>
  <c r="AH175" i="75"/>
  <c r="AH66" i="75"/>
  <c r="AH309" i="75"/>
  <c r="AH194" i="75"/>
  <c r="AH46" i="75"/>
  <c r="AH45" i="76" s="1"/>
  <c r="AH155" i="76" s="1"/>
  <c r="AH337" i="75"/>
  <c r="AH400" i="76" s="1"/>
  <c r="AH211" i="75"/>
  <c r="AH361" i="76" s="1"/>
  <c r="AH44" i="75"/>
  <c r="AH43" i="76" s="1"/>
  <c r="AH153" i="76" s="1"/>
  <c r="AH402" i="75"/>
  <c r="AH32" i="75"/>
  <c r="AH31" i="76" s="1"/>
  <c r="AH141" i="76" s="1"/>
  <c r="AH405" i="75"/>
  <c r="AH266" i="75"/>
  <c r="AH315" i="75"/>
  <c r="AH378" i="76" s="1"/>
  <c r="AH300" i="75"/>
  <c r="AH217" i="75"/>
  <c r="AH367" i="76" s="1"/>
  <c r="AH73" i="75"/>
  <c r="AH304" i="75"/>
  <c r="AH274" i="75"/>
  <c r="AH202" i="75"/>
  <c r="AH395" i="75"/>
  <c r="AH204" i="75"/>
  <c r="AH268" i="75"/>
  <c r="AH185" i="75"/>
  <c r="AH335" i="76" s="1"/>
  <c r="AH74" i="75"/>
  <c r="AH205" i="75"/>
  <c r="AH72" i="75"/>
  <c r="AH15" i="75"/>
  <c r="AH14" i="76" s="1"/>
  <c r="AH124" i="76" s="1"/>
  <c r="AH213" i="75"/>
  <c r="AH77" i="75"/>
  <c r="AH399" i="75"/>
  <c r="AH10" i="75"/>
  <c r="AH9" i="76" s="1"/>
  <c r="AH119" i="76" s="1"/>
  <c r="AH335" i="75"/>
  <c r="AH398" i="76" s="1"/>
  <c r="AH62" i="75"/>
  <c r="AH212" i="75"/>
  <c r="AH314" i="75"/>
  <c r="AH377" i="76" s="1"/>
  <c r="AH67" i="75"/>
  <c r="AH26" i="75"/>
  <c r="AH25" i="76" s="1"/>
  <c r="AH135" i="76" s="1"/>
  <c r="AH83" i="75"/>
  <c r="AH68" i="75"/>
  <c r="AH70" i="75"/>
  <c r="AH171" i="75"/>
  <c r="AH332" i="75"/>
  <c r="AH395" i="76" s="1"/>
  <c r="AH271" i="75"/>
  <c r="AH63" i="75"/>
  <c r="AH214" i="75"/>
  <c r="AH9" i="75"/>
  <c r="AH336" i="75"/>
  <c r="AH399" i="76" s="1"/>
  <c r="AH210" i="75"/>
  <c r="AH404" i="75"/>
  <c r="AH16" i="75"/>
  <c r="AH15" i="76" s="1"/>
  <c r="AH125" i="76" s="1"/>
  <c r="AH59" i="75"/>
  <c r="AH312" i="75"/>
  <c r="AH375" i="76" s="1"/>
  <c r="E258" i="70"/>
  <c r="E259" i="70" s="1"/>
  <c r="M107" i="75"/>
  <c r="J286" i="70" a="1"/>
  <c r="J286" i="70" s="1"/>
  <c r="J287" i="70" s="1"/>
  <c r="G258" i="70"/>
  <c r="G259" i="70" s="1"/>
  <c r="I274" i="70" a="1"/>
  <c r="I274" i="70" s="1"/>
  <c r="H275" i="70"/>
  <c r="HV13" i="70" s="1"/>
  <c r="G263" i="70"/>
  <c r="HR12" i="70" s="1"/>
  <c r="H262" i="70" a="1"/>
  <c r="H262" i="70" s="1"/>
  <c r="I262" i="70" s="1" a="1"/>
  <c r="I262" i="70" s="1"/>
  <c r="I263" i="70" s="1"/>
  <c r="AL403" i="75"/>
  <c r="AL328" i="75"/>
  <c r="AL391" i="76" s="1"/>
  <c r="AL311" i="75"/>
  <c r="AL374" i="76" s="1"/>
  <c r="AL309" i="75"/>
  <c r="AL304" i="75"/>
  <c r="AL292" i="75"/>
  <c r="AL278" i="75"/>
  <c r="AL270" i="75"/>
  <c r="AL265" i="75"/>
  <c r="AL213" i="75"/>
  <c r="AL261" i="75"/>
  <c r="AL203" i="75"/>
  <c r="AL204" i="75"/>
  <c r="AL181" i="75"/>
  <c r="AL185" i="75"/>
  <c r="AL189" i="75"/>
  <c r="AL90" i="75"/>
  <c r="AL75" i="75"/>
  <c r="AL67" i="75"/>
  <c r="AL61" i="75"/>
  <c r="AL51" i="75"/>
  <c r="AL50" i="76" s="1"/>
  <c r="AL160" i="76" s="1"/>
  <c r="AL46" i="75"/>
  <c r="AL45" i="76" s="1"/>
  <c r="AL155" i="76" s="1"/>
  <c r="AL34" i="75"/>
  <c r="AL33" i="76" s="1"/>
  <c r="AL143" i="76" s="1"/>
  <c r="AL18" i="75"/>
  <c r="AL17" i="76" s="1"/>
  <c r="AL127" i="76" s="1"/>
  <c r="AL29" i="75"/>
  <c r="AL28" i="76" s="1"/>
  <c r="AL138" i="76" s="1"/>
  <c r="AL13" i="75"/>
  <c r="AL12" i="76" s="1"/>
  <c r="AL122" i="76" s="1"/>
  <c r="AL401" i="75"/>
  <c r="AL324" i="75"/>
  <c r="AL387" i="76" s="1"/>
  <c r="AL313" i="75"/>
  <c r="AL376" i="76" s="1"/>
  <c r="AL307" i="75"/>
  <c r="AL306" i="75"/>
  <c r="AL298" i="75"/>
  <c r="AL290" i="75"/>
  <c r="AL268" i="75"/>
  <c r="AL263" i="75"/>
  <c r="AL260" i="75"/>
  <c r="AL259" i="75"/>
  <c r="AL201" i="75"/>
  <c r="AL202" i="75"/>
  <c r="AL179" i="75"/>
  <c r="AL184" i="75"/>
  <c r="AL187" i="75"/>
  <c r="AL88" i="75"/>
  <c r="AL73" i="75"/>
  <c r="AL83" i="75"/>
  <c r="AL84" i="75"/>
  <c r="AL49" i="75"/>
  <c r="AL48" i="76" s="1"/>
  <c r="AL158" i="76" s="1"/>
  <c r="AL44" i="75"/>
  <c r="AL43" i="76" s="1"/>
  <c r="AL153" i="76" s="1"/>
  <c r="AL32" i="75"/>
  <c r="AL31" i="76" s="1"/>
  <c r="AL141" i="76" s="1"/>
  <c r="AL37" i="75"/>
  <c r="AL36" i="76" s="1"/>
  <c r="AL146" i="76" s="1"/>
  <c r="AL27" i="75"/>
  <c r="AL26" i="76" s="1"/>
  <c r="AL136" i="76" s="1"/>
  <c r="AL11" i="75"/>
  <c r="AL10" i="76" s="1"/>
  <c r="AL120" i="76" s="1"/>
  <c r="AL399" i="75"/>
  <c r="AL336" i="75"/>
  <c r="AL399" i="76" s="1"/>
  <c r="AL314" i="75"/>
  <c r="AL377" i="76" s="1"/>
  <c r="AL303" i="75"/>
  <c r="AL291" i="75"/>
  <c r="AL293" i="75"/>
  <c r="AL285" i="75"/>
  <c r="AL266" i="75"/>
  <c r="AL279" i="75"/>
  <c r="AL258" i="75"/>
  <c r="AL217" i="75"/>
  <c r="AL209" i="75"/>
  <c r="AL200" i="75"/>
  <c r="AL177" i="75"/>
  <c r="AL182" i="75"/>
  <c r="AL104" i="75"/>
  <c r="AL81" i="75"/>
  <c r="AL64" i="75"/>
  <c r="AL82" i="75"/>
  <c r="AL70" i="75"/>
  <c r="AL47" i="75"/>
  <c r="AL46" i="76" s="1"/>
  <c r="AL156" i="76" s="1"/>
  <c r="AL57" i="75"/>
  <c r="AL30" i="75"/>
  <c r="AL29" i="76" s="1"/>
  <c r="AL139" i="76" s="1"/>
  <c r="AL14" i="75"/>
  <c r="AL13" i="76" s="1"/>
  <c r="AL123" i="76" s="1"/>
  <c r="AL25" i="75"/>
  <c r="AL24" i="76" s="1"/>
  <c r="AL134" i="76" s="1"/>
  <c r="AL9" i="75"/>
  <c r="AL63" i="75"/>
  <c r="AL404" i="75"/>
  <c r="AL396" i="75"/>
  <c r="AL334" i="75"/>
  <c r="AL397" i="76" s="1"/>
  <c r="AL315" i="75"/>
  <c r="AL378" i="76" s="1"/>
  <c r="AL301" i="75"/>
  <c r="AL289" i="75"/>
  <c r="AL286" i="75"/>
  <c r="AL283" i="75"/>
  <c r="AL264" i="75"/>
  <c r="AL275" i="75"/>
  <c r="AL262" i="75"/>
  <c r="AL208" i="75"/>
  <c r="AL211" i="75"/>
  <c r="AL199" i="75"/>
  <c r="AL175" i="75"/>
  <c r="AL180" i="75"/>
  <c r="AL103" i="75"/>
  <c r="AL66" i="75"/>
  <c r="AL71" i="75"/>
  <c r="AL78" i="75"/>
  <c r="AL68" i="75"/>
  <c r="AL45" i="75"/>
  <c r="AL44" i="76" s="1"/>
  <c r="AL42" i="75"/>
  <c r="AL41" i="76" s="1"/>
  <c r="AL151" i="76" s="1"/>
  <c r="AL28" i="75"/>
  <c r="AL27" i="76" s="1"/>
  <c r="AL137" i="76" s="1"/>
  <c r="AL41" i="75"/>
  <c r="AL40" i="76" s="1"/>
  <c r="AL150" i="76" s="1"/>
  <c r="AL23" i="75"/>
  <c r="AL22" i="76" s="1"/>
  <c r="AL132" i="76" s="1"/>
  <c r="AL16" i="75"/>
  <c r="AL15" i="76" s="1"/>
  <c r="AL125" i="76" s="1"/>
  <c r="AL31" i="75"/>
  <c r="AL30" i="76" s="1"/>
  <c r="AL140" i="76" s="1"/>
  <c r="AL402" i="75"/>
  <c r="AL397" i="75"/>
  <c r="AL316" i="75"/>
  <c r="AL379" i="76" s="1"/>
  <c r="AL312" i="75"/>
  <c r="AL375" i="76" s="1"/>
  <c r="AL299" i="75"/>
  <c r="AL302" i="75"/>
  <c r="AL288" i="75"/>
  <c r="AL287" i="75"/>
  <c r="AL273" i="75"/>
  <c r="AL277" i="75"/>
  <c r="AL216" i="75"/>
  <c r="AL205" i="75"/>
  <c r="AL197" i="75"/>
  <c r="AL186" i="75"/>
  <c r="AL173" i="75"/>
  <c r="AL178" i="75"/>
  <c r="AL102" i="75"/>
  <c r="AL86" i="75"/>
  <c r="AL60" i="75"/>
  <c r="AL77" i="75"/>
  <c r="AL62" i="75"/>
  <c r="AL54" i="75"/>
  <c r="AL53" i="76" s="1"/>
  <c r="AL163" i="76" s="1"/>
  <c r="AL40" i="75"/>
  <c r="AL39" i="76" s="1"/>
  <c r="AL149" i="76" s="1"/>
  <c r="AL26" i="75"/>
  <c r="AL25" i="76" s="1"/>
  <c r="AL135" i="76" s="1"/>
  <c r="AL43" i="75"/>
  <c r="AL42" i="76" s="1"/>
  <c r="AL152" i="76" s="1"/>
  <c r="AL21" i="75"/>
  <c r="AL20" i="76" s="1"/>
  <c r="AL130" i="76" s="1"/>
  <c r="AL12" i="75"/>
  <c r="AL11" i="76" s="1"/>
  <c r="AL121" i="76" s="1"/>
  <c r="AL400" i="75"/>
  <c r="AL395" i="75"/>
  <c r="AL330" i="75"/>
  <c r="AL393" i="76" s="1"/>
  <c r="AL326" i="75"/>
  <c r="AL389" i="76" s="1"/>
  <c r="AL297" i="75"/>
  <c r="AL296" i="75"/>
  <c r="AL284" i="75"/>
  <c r="AL281" i="75"/>
  <c r="AL271" i="75"/>
  <c r="AL276" i="75"/>
  <c r="AL214" i="75"/>
  <c r="AL198" i="75"/>
  <c r="AL195" i="75"/>
  <c r="AL192" i="75"/>
  <c r="AL194" i="75"/>
  <c r="AL176" i="75"/>
  <c r="AL89" i="75"/>
  <c r="AL80" i="75"/>
  <c r="AL58" i="75"/>
  <c r="AL74" i="75"/>
  <c r="AL59" i="75"/>
  <c r="AL52" i="75"/>
  <c r="AL51" i="76" s="1"/>
  <c r="AL161" i="76" s="1"/>
  <c r="AL38" i="75"/>
  <c r="AL37" i="76" s="1"/>
  <c r="AL147" i="76" s="1"/>
  <c r="AL24" i="75"/>
  <c r="AL23" i="76" s="1"/>
  <c r="AL133" i="76" s="1"/>
  <c r="AL35" i="75"/>
  <c r="AL34" i="76" s="1"/>
  <c r="AL144" i="76" s="1"/>
  <c r="AL19" i="75"/>
  <c r="AL18" i="76" s="1"/>
  <c r="AL128" i="76" s="1"/>
  <c r="AL39" i="75"/>
  <c r="AL38" i="76" s="1"/>
  <c r="AL148" i="76" s="1"/>
  <c r="AL69" i="75"/>
  <c r="AL10" i="75"/>
  <c r="AL9" i="76" s="1"/>
  <c r="AL119" i="76" s="1"/>
  <c r="AL398" i="75"/>
  <c r="AL337" i="75"/>
  <c r="AL400" i="76" s="1"/>
  <c r="AL335" i="75"/>
  <c r="AL398" i="76" s="1"/>
  <c r="AL310" i="75"/>
  <c r="AL373" i="76" s="1"/>
  <c r="AL295" i="75"/>
  <c r="AL300" i="75"/>
  <c r="AL282" i="75"/>
  <c r="AL274" i="75"/>
  <c r="AL269" i="75"/>
  <c r="AL218" i="75"/>
  <c r="AL212" i="75"/>
  <c r="AL206" i="75"/>
  <c r="AL193" i="75"/>
  <c r="AL188" i="75"/>
  <c r="AL338" i="76" s="1"/>
  <c r="AL196" i="75"/>
  <c r="AL174" i="75"/>
  <c r="AL324" i="76" s="1"/>
  <c r="AL171" i="75"/>
  <c r="AL79" i="75"/>
  <c r="AL85" i="75"/>
  <c r="AL65" i="75"/>
  <c r="AL56" i="75"/>
  <c r="AL55" i="76" s="1"/>
  <c r="AL165" i="76" s="1"/>
  <c r="AL50" i="75"/>
  <c r="AL49" i="76" s="1"/>
  <c r="AL159" i="76" s="1"/>
  <c r="AL72" i="75"/>
  <c r="AL22" i="75"/>
  <c r="AL21" i="76" s="1"/>
  <c r="AL131" i="76" s="1"/>
  <c r="AL33" i="75"/>
  <c r="AL32" i="76" s="1"/>
  <c r="AL142" i="76" s="1"/>
  <c r="AL17" i="75"/>
  <c r="AL16" i="76" s="1"/>
  <c r="AL126" i="76" s="1"/>
  <c r="AL36" i="75"/>
  <c r="AL207" i="75"/>
  <c r="AL405" i="75"/>
  <c r="AL332" i="75"/>
  <c r="AL395" i="76" s="1"/>
  <c r="AL322" i="75"/>
  <c r="AL308" i="75"/>
  <c r="AL305" i="75"/>
  <c r="AL294" i="75"/>
  <c r="AL280" i="75"/>
  <c r="AL272" i="75"/>
  <c r="AL267" i="75"/>
  <c r="AL215" i="75"/>
  <c r="AL365" i="76" s="1"/>
  <c r="AL210" i="75"/>
  <c r="AL191" i="75"/>
  <c r="AL183" i="75"/>
  <c r="AL190" i="75"/>
  <c r="AL340" i="76" s="1"/>
  <c r="AL172" i="75"/>
  <c r="AL87" i="75"/>
  <c r="AL76" i="75"/>
  <c r="AL53" i="75"/>
  <c r="AL52" i="76" s="1"/>
  <c r="AL162" i="76" s="1"/>
  <c r="AL48" i="75"/>
  <c r="AL47" i="76" s="1"/>
  <c r="AL157" i="76" s="1"/>
  <c r="AL55" i="75"/>
  <c r="AL54" i="76" s="1"/>
  <c r="AL164" i="76" s="1"/>
  <c r="AL20" i="75"/>
  <c r="AL19" i="76" s="1"/>
  <c r="AL129" i="76" s="1"/>
  <c r="AL15" i="75"/>
  <c r="AL14" i="76" s="1"/>
  <c r="AL124" i="76" s="1"/>
  <c r="AL1" i="76"/>
  <c r="F279" i="70"/>
  <c r="F280" i="70"/>
  <c r="F278" i="70"/>
  <c r="F314" i="70"/>
  <c r="F281" i="70"/>
  <c r="E261" i="71"/>
  <c r="E265" i="70"/>
  <c r="HQ10" i="71"/>
  <c r="HM14" i="71"/>
  <c r="I253" i="70"/>
  <c r="I249" i="71"/>
  <c r="E302" i="70"/>
  <c r="E306" i="71"/>
  <c r="E282" i="70"/>
  <c r="E283" i="70" s="1"/>
  <c r="V106" i="75"/>
  <c r="U107" i="75"/>
  <c r="U109" i="75" s="1"/>
  <c r="F261" i="71"/>
  <c r="HQ11" i="71"/>
  <c r="F265" i="70"/>
  <c r="BB309" i="69"/>
  <c r="G297" i="69"/>
  <c r="G304" i="71"/>
  <c r="G300" i="70"/>
  <c r="G308" i="70" s="1"/>
  <c r="Y108" i="75"/>
  <c r="Y109" i="75"/>
  <c r="H287" i="70"/>
  <c r="HZ13" i="70" s="1"/>
  <c r="E291" i="70"/>
  <c r="E315" i="70"/>
  <c r="E292" i="70"/>
  <c r="E293" i="70"/>
  <c r="E290" i="70"/>
  <c r="F290" i="70"/>
  <c r="F293" i="70"/>
  <c r="F291" i="70"/>
  <c r="F292" i="70"/>
  <c r="F315" i="70"/>
  <c r="G314" i="70"/>
  <c r="G281" i="70"/>
  <c r="G278" i="70"/>
  <c r="G280" i="70"/>
  <c r="G279" i="70"/>
  <c r="IA12" i="70"/>
  <c r="IH12" i="70"/>
  <c r="IB12" i="70"/>
  <c r="G288" i="70"/>
  <c r="H255" i="70"/>
  <c r="H257" i="70"/>
  <c r="H312" i="70"/>
  <c r="AP1" i="75"/>
  <c r="H256" i="70"/>
  <c r="H299" i="70"/>
  <c r="H254" i="70"/>
  <c r="F16" i="48"/>
  <c r="F15" i="48"/>
  <c r="AD335" i="76" l="1"/>
  <c r="AH338" i="76"/>
  <c r="AH364" i="76"/>
  <c r="AL355" i="76"/>
  <c r="AH352" i="76"/>
  <c r="AH353" i="76"/>
  <c r="AH342" i="76"/>
  <c r="AD331" i="76"/>
  <c r="AH332" i="76"/>
  <c r="AH327" i="76"/>
  <c r="AD353" i="76"/>
  <c r="AD352" i="76"/>
  <c r="AD338" i="76"/>
  <c r="AL356" i="76"/>
  <c r="AH324" i="76"/>
  <c r="AH347" i="76"/>
  <c r="AD367" i="76"/>
  <c r="AH336" i="76"/>
  <c r="AD330" i="76"/>
  <c r="AL344" i="76"/>
  <c r="AL349" i="76"/>
  <c r="AH355" i="76"/>
  <c r="AH326" i="76"/>
  <c r="K286" i="70" a="1"/>
  <c r="K286" i="70" s="1"/>
  <c r="K287" i="70" s="1"/>
  <c r="AH360" i="76"/>
  <c r="AH351" i="76"/>
  <c r="AH345" i="76"/>
  <c r="AD332" i="76"/>
  <c r="AD350" i="76"/>
  <c r="AH346" i="76"/>
  <c r="AH323" i="76"/>
  <c r="AD328" i="76"/>
  <c r="AD349" i="76"/>
  <c r="H258" i="70"/>
  <c r="H259" i="70" s="1"/>
  <c r="AH365" i="76"/>
  <c r="AD362" i="76"/>
  <c r="IE15" i="70"/>
  <c r="HO15" i="70"/>
  <c r="HP15" i="70"/>
  <c r="J252" i="70"/>
  <c r="J253" i="70" s="1"/>
  <c r="AD361" i="76"/>
  <c r="AL333" i="76"/>
  <c r="AD324" i="76"/>
  <c r="AH341" i="76"/>
  <c r="AH354" i="76"/>
  <c r="AH368" i="76"/>
  <c r="AD327" i="76"/>
  <c r="AD356" i="76"/>
  <c r="AH358" i="76"/>
  <c r="AH366" i="76"/>
  <c r="AH333" i="76"/>
  <c r="AH69" i="76"/>
  <c r="AH179" i="76"/>
  <c r="AH181" i="76"/>
  <c r="AH71" i="76"/>
  <c r="AH329" i="76"/>
  <c r="AD89" i="76"/>
  <c r="AD154" i="76"/>
  <c r="AD65" i="76"/>
  <c r="AD175" i="76"/>
  <c r="AD71" i="76"/>
  <c r="AD181" i="76"/>
  <c r="AD66" i="76"/>
  <c r="AD176" i="76"/>
  <c r="AD92" i="75"/>
  <c r="AD56" i="76"/>
  <c r="AD166" i="76"/>
  <c r="AD340" i="75"/>
  <c r="AL343" i="76"/>
  <c r="AH93" i="75"/>
  <c r="AH331" i="76"/>
  <c r="AH339" i="76"/>
  <c r="AH340" i="75"/>
  <c r="AD359" i="76"/>
  <c r="AH91" i="75"/>
  <c r="AH8" i="76"/>
  <c r="L250" i="70" a="1"/>
  <c r="L250" i="70" s="1"/>
  <c r="K251" i="70"/>
  <c r="HN16" i="70" s="1"/>
  <c r="AD428" i="75"/>
  <c r="AD430" i="75" s="1"/>
  <c r="AD431" i="75" s="1"/>
  <c r="AD98" i="75" s="1"/>
  <c r="AD344" i="76"/>
  <c r="AD68" i="76"/>
  <c r="AD178" i="76"/>
  <c r="AD355" i="76"/>
  <c r="AD357" i="76"/>
  <c r="AD334" i="76"/>
  <c r="AL326" i="76"/>
  <c r="AH342" i="75"/>
  <c r="AH385" i="76"/>
  <c r="AH337" i="76"/>
  <c r="AH349" i="76"/>
  <c r="AH334" i="76"/>
  <c r="AH154" i="76"/>
  <c r="AH89" i="76"/>
  <c r="AD370" i="76"/>
  <c r="AD167" i="76"/>
  <c r="AD59" i="76"/>
  <c r="AD348" i="76"/>
  <c r="AD371" i="76"/>
  <c r="AD405" i="76"/>
  <c r="AD372" i="76"/>
  <c r="AD177" i="76"/>
  <c r="AD404" i="76"/>
  <c r="AD403" i="76"/>
  <c r="AD58" i="76"/>
  <c r="AD168" i="76"/>
  <c r="AD67" i="76"/>
  <c r="AD35" i="76"/>
  <c r="AD145" i="76"/>
  <c r="AD169" i="76"/>
  <c r="AD57" i="76"/>
  <c r="AD402" i="76"/>
  <c r="AD93" i="75"/>
  <c r="AD369" i="76"/>
  <c r="AD341" i="75"/>
  <c r="AD342" i="75"/>
  <c r="AD385" i="76"/>
  <c r="AD341" i="76"/>
  <c r="AD336" i="76"/>
  <c r="AL354" i="76"/>
  <c r="AH66" i="76"/>
  <c r="AH176" i="76"/>
  <c r="AH363" i="76"/>
  <c r="AH428" i="75"/>
  <c r="AH430" i="75" s="1"/>
  <c r="AH431" i="75" s="1"/>
  <c r="AH98" i="75" s="1"/>
  <c r="AH344" i="76"/>
  <c r="AH180" i="76"/>
  <c r="AH70" i="76"/>
  <c r="AH92" i="75"/>
  <c r="AH56" i="76"/>
  <c r="AH166" i="76"/>
  <c r="AH328" i="76"/>
  <c r="AD326" i="76"/>
  <c r="AD346" i="76"/>
  <c r="AD91" i="75"/>
  <c r="AD8" i="76"/>
  <c r="AD118" i="76" s="1"/>
  <c r="AD340" i="76"/>
  <c r="AD363" i="76"/>
  <c r="AD360" i="76"/>
  <c r="AD69" i="76"/>
  <c r="AD179" i="76"/>
  <c r="AH340" i="76"/>
  <c r="AH343" i="76"/>
  <c r="AD368" i="76"/>
  <c r="AD323" i="76"/>
  <c r="AD347" i="76"/>
  <c r="AD339" i="76"/>
  <c r="AD343" i="76"/>
  <c r="AH362" i="76"/>
  <c r="AH65" i="76"/>
  <c r="AH175" i="76"/>
  <c r="AH404" i="76"/>
  <c r="AH177" i="76"/>
  <c r="AH169" i="76"/>
  <c r="AH168" i="76"/>
  <c r="AH371" i="76"/>
  <c r="AH67" i="76"/>
  <c r="AH167" i="76"/>
  <c r="AH405" i="76"/>
  <c r="AH402" i="76"/>
  <c r="AH145" i="76"/>
  <c r="AH348" i="76"/>
  <c r="AH372" i="76"/>
  <c r="AH370" i="76"/>
  <c r="AH35" i="76"/>
  <c r="AH59" i="76"/>
  <c r="AH403" i="76"/>
  <c r="AH58" i="76"/>
  <c r="AH57" i="76"/>
  <c r="AH369" i="76"/>
  <c r="AH341" i="75"/>
  <c r="AH322" i="76"/>
  <c r="AH357" i="76"/>
  <c r="AH356" i="76"/>
  <c r="AD365" i="76"/>
  <c r="AD345" i="76"/>
  <c r="AD325" i="76"/>
  <c r="AD170" i="76"/>
  <c r="AD60" i="76"/>
  <c r="AD180" i="76"/>
  <c r="AD70" i="76"/>
  <c r="AH251" i="75"/>
  <c r="AH254" i="75" s="1"/>
  <c r="AH255" i="75" s="1"/>
  <c r="AH321" i="76"/>
  <c r="AH325" i="76"/>
  <c r="AH330" i="76"/>
  <c r="AH170" i="76"/>
  <c r="AH60" i="76"/>
  <c r="AH178" i="76"/>
  <c r="AH68" i="76"/>
  <c r="AD251" i="75"/>
  <c r="AD254" i="75" s="1"/>
  <c r="AD255" i="75" s="1"/>
  <c r="AD321" i="76"/>
  <c r="AD333" i="76"/>
  <c r="AD342" i="76"/>
  <c r="AD354" i="76"/>
  <c r="AD351" i="76"/>
  <c r="AD366" i="76"/>
  <c r="AL345" i="76"/>
  <c r="H276" i="70"/>
  <c r="HX13" i="70"/>
  <c r="HW13" i="70"/>
  <c r="IG13" i="70"/>
  <c r="I275" i="70"/>
  <c r="HV14" i="70" s="1"/>
  <c r="E294" i="70"/>
  <c r="E295" i="70" s="1"/>
  <c r="AL364" i="76"/>
  <c r="AL336" i="76"/>
  <c r="AL350" i="76"/>
  <c r="AL359" i="76"/>
  <c r="AL329" i="76"/>
  <c r="AL325" i="76"/>
  <c r="AL351" i="76"/>
  <c r="AL331" i="76"/>
  <c r="F282" i="70"/>
  <c r="F283" i="70" s="1"/>
  <c r="AL368" i="76"/>
  <c r="J274" i="70" a="1"/>
  <c r="J274" i="70" s="1"/>
  <c r="K274" i="70" s="1" a="1"/>
  <c r="K274" i="70" s="1"/>
  <c r="F269" i="70"/>
  <c r="F266" i="70"/>
  <c r="F267" i="70"/>
  <c r="F313" i="70"/>
  <c r="F268" i="70"/>
  <c r="AL154" i="76"/>
  <c r="AL89" i="76"/>
  <c r="AP403" i="75"/>
  <c r="AP336" i="75"/>
  <c r="AP399" i="76" s="1"/>
  <c r="AP315" i="75"/>
  <c r="AP378" i="76" s="1"/>
  <c r="AP330" i="75"/>
  <c r="AP393" i="76" s="1"/>
  <c r="AP302" i="75"/>
  <c r="AP292" i="75"/>
  <c r="AP285" i="75"/>
  <c r="AP282" i="75"/>
  <c r="AP263" i="75"/>
  <c r="AP262" i="75"/>
  <c r="AP217" i="75"/>
  <c r="AP210" i="75"/>
  <c r="AP196" i="75"/>
  <c r="AP199" i="75"/>
  <c r="AP178" i="75"/>
  <c r="AP183" i="75"/>
  <c r="AP103" i="75"/>
  <c r="AP89" i="75"/>
  <c r="AP83" i="75"/>
  <c r="AP76" i="75"/>
  <c r="AP52" i="75"/>
  <c r="AP51" i="76" s="1"/>
  <c r="AP161" i="76" s="1"/>
  <c r="AP57" i="75"/>
  <c r="AP43" i="75"/>
  <c r="AP42" i="76" s="1"/>
  <c r="AP152" i="76" s="1"/>
  <c r="AP29" i="75"/>
  <c r="AP28" i="76" s="1"/>
  <c r="AP138" i="76" s="1"/>
  <c r="AP36" i="75"/>
  <c r="AP24" i="75"/>
  <c r="AP23" i="76" s="1"/>
  <c r="AP133" i="76" s="1"/>
  <c r="AP15" i="75"/>
  <c r="AP14" i="76" s="1"/>
  <c r="AP124" i="76" s="1"/>
  <c r="AP189" i="75"/>
  <c r="AP401" i="75"/>
  <c r="AP396" i="75"/>
  <c r="AP337" i="75"/>
  <c r="AP400" i="76" s="1"/>
  <c r="AP311" i="75"/>
  <c r="AP374" i="76" s="1"/>
  <c r="AP300" i="75"/>
  <c r="AP290" i="75"/>
  <c r="AP283" i="75"/>
  <c r="AP289" i="75"/>
  <c r="AP275" i="75"/>
  <c r="AP276" i="75"/>
  <c r="AP218" i="75"/>
  <c r="AP207" i="75"/>
  <c r="AP194" i="75"/>
  <c r="AP193" i="75"/>
  <c r="AP176" i="75"/>
  <c r="AP181" i="75"/>
  <c r="AP102" i="75"/>
  <c r="AP82" i="75"/>
  <c r="AP72" i="75"/>
  <c r="AP75" i="75"/>
  <c r="AP50" i="75"/>
  <c r="AP49" i="76" s="1"/>
  <c r="AP159" i="76" s="1"/>
  <c r="AP55" i="75"/>
  <c r="AP54" i="76" s="1"/>
  <c r="AP164" i="76" s="1"/>
  <c r="AP41" i="75"/>
  <c r="AP40" i="76" s="1"/>
  <c r="AP150" i="76" s="1"/>
  <c r="AP27" i="75"/>
  <c r="AP26" i="76" s="1"/>
  <c r="AP136" i="76" s="1"/>
  <c r="AP13" i="75"/>
  <c r="AP12" i="76" s="1"/>
  <c r="AP122" i="76" s="1"/>
  <c r="AP22" i="75"/>
  <c r="AP21" i="76" s="1"/>
  <c r="AP131" i="76" s="1"/>
  <c r="AP11" i="75"/>
  <c r="AP10" i="76" s="1"/>
  <c r="AP120" i="76" s="1"/>
  <c r="AP399" i="75"/>
  <c r="AP398" i="75"/>
  <c r="AP334" i="75"/>
  <c r="AP397" i="76" s="1"/>
  <c r="AP313" i="75"/>
  <c r="AP376" i="76" s="1"/>
  <c r="AP298" i="75"/>
  <c r="AP288" i="75"/>
  <c r="AP281" i="75"/>
  <c r="AP278" i="75"/>
  <c r="AP274" i="75"/>
  <c r="AP280" i="75"/>
  <c r="AP215" i="75"/>
  <c r="AP206" i="75"/>
  <c r="AP192" i="75"/>
  <c r="AP188" i="75"/>
  <c r="AP338" i="76" s="1"/>
  <c r="AP174" i="75"/>
  <c r="AP179" i="75"/>
  <c r="AP87" i="75"/>
  <c r="AP81" i="75"/>
  <c r="AP59" i="75"/>
  <c r="AP73" i="75"/>
  <c r="AP48" i="75"/>
  <c r="AP47" i="76" s="1"/>
  <c r="AP157" i="76" s="1"/>
  <c r="AP56" i="75"/>
  <c r="AP55" i="76" s="1"/>
  <c r="AP165" i="76" s="1"/>
  <c r="AP39" i="75"/>
  <c r="AP38" i="76" s="1"/>
  <c r="AP148" i="76" s="1"/>
  <c r="AP25" i="75"/>
  <c r="AP24" i="76" s="1"/>
  <c r="AP134" i="76" s="1"/>
  <c r="AP40" i="75"/>
  <c r="AP39" i="76" s="1"/>
  <c r="AP149" i="76" s="1"/>
  <c r="AP20" i="75"/>
  <c r="AP19" i="76" s="1"/>
  <c r="AP129" i="76" s="1"/>
  <c r="AP38" i="75"/>
  <c r="AP37" i="76" s="1"/>
  <c r="AP147" i="76" s="1"/>
  <c r="AP397" i="75"/>
  <c r="AP316" i="75"/>
  <c r="AP379" i="76" s="1"/>
  <c r="AP328" i="75"/>
  <c r="AP391" i="76" s="1"/>
  <c r="AP308" i="75"/>
  <c r="AP296" i="75"/>
  <c r="AP299" i="75"/>
  <c r="AP279" i="75"/>
  <c r="AP273" i="75"/>
  <c r="AP272" i="75"/>
  <c r="AP216" i="75"/>
  <c r="AP213" i="75"/>
  <c r="AP197" i="75"/>
  <c r="AP190" i="75"/>
  <c r="AP187" i="75"/>
  <c r="AP337" i="76" s="1"/>
  <c r="AP172" i="75"/>
  <c r="AP177" i="75"/>
  <c r="AP90" i="75"/>
  <c r="AP78" i="75"/>
  <c r="AP70" i="75"/>
  <c r="AP64" i="75"/>
  <c r="AP46" i="75"/>
  <c r="AP45" i="76" s="1"/>
  <c r="AP155" i="76" s="1"/>
  <c r="AP53" i="75"/>
  <c r="AP52" i="76" s="1"/>
  <c r="AP162" i="76" s="1"/>
  <c r="AP37" i="75"/>
  <c r="AP36" i="76" s="1"/>
  <c r="AP146" i="76" s="1"/>
  <c r="AP23" i="75"/>
  <c r="AP22" i="76" s="1"/>
  <c r="AP132" i="76" s="1"/>
  <c r="AP34" i="75"/>
  <c r="AP33" i="76" s="1"/>
  <c r="AP143" i="76" s="1"/>
  <c r="AP18" i="75"/>
  <c r="AP17" i="76" s="1"/>
  <c r="AP127" i="76" s="1"/>
  <c r="AP9" i="75"/>
  <c r="AP400" i="75"/>
  <c r="AP12" i="75"/>
  <c r="AP11" i="76" s="1"/>
  <c r="AP121" i="76" s="1"/>
  <c r="AP404" i="75"/>
  <c r="AP326" i="75"/>
  <c r="AP389" i="76" s="1"/>
  <c r="AP314" i="75"/>
  <c r="AP377" i="76" s="1"/>
  <c r="AP307" i="75"/>
  <c r="AP294" i="75"/>
  <c r="AP293" i="75"/>
  <c r="AP277" i="75"/>
  <c r="AP271" i="75"/>
  <c r="AP270" i="75"/>
  <c r="AP214" i="75"/>
  <c r="AP211" i="75"/>
  <c r="AP204" i="75"/>
  <c r="AP205" i="75"/>
  <c r="AP185" i="75"/>
  <c r="AP335" i="76" s="1"/>
  <c r="AP195" i="75"/>
  <c r="AP175" i="75"/>
  <c r="AP84" i="75"/>
  <c r="AP77" i="75"/>
  <c r="AP68" i="75"/>
  <c r="AP62" i="75"/>
  <c r="AP44" i="75"/>
  <c r="AP43" i="76" s="1"/>
  <c r="AP153" i="76" s="1"/>
  <c r="AP51" i="75"/>
  <c r="AP50" i="76" s="1"/>
  <c r="AP160" i="76" s="1"/>
  <c r="AP60" i="75"/>
  <c r="AP21" i="75"/>
  <c r="AP20" i="76" s="1"/>
  <c r="AP130" i="76" s="1"/>
  <c r="AP32" i="75"/>
  <c r="AP31" i="76" s="1"/>
  <c r="AP141" i="76" s="1"/>
  <c r="AP16" i="75"/>
  <c r="AP15" i="76" s="1"/>
  <c r="AP125" i="76" s="1"/>
  <c r="AP335" i="75"/>
  <c r="AP398" i="76" s="1"/>
  <c r="AP303" i="75"/>
  <c r="AP267" i="75"/>
  <c r="AP261" i="75"/>
  <c r="AP200" i="75"/>
  <c r="AP182" i="75"/>
  <c r="AP86" i="75"/>
  <c r="AP67" i="75"/>
  <c r="AP33" i="75"/>
  <c r="AP32" i="76" s="1"/>
  <c r="AP142" i="76" s="1"/>
  <c r="AP402" i="75"/>
  <c r="AP322" i="75"/>
  <c r="AP312" i="75"/>
  <c r="AP375" i="76" s="1"/>
  <c r="AP305" i="75"/>
  <c r="AP306" i="75"/>
  <c r="AP295" i="75"/>
  <c r="AP286" i="75"/>
  <c r="AP269" i="75"/>
  <c r="AP268" i="75"/>
  <c r="AP212" i="75"/>
  <c r="AP209" i="75"/>
  <c r="AP202" i="75"/>
  <c r="AP208" i="75"/>
  <c r="AP184" i="75"/>
  <c r="AP191" i="75"/>
  <c r="AP173" i="75"/>
  <c r="AP88" i="75"/>
  <c r="AP74" i="75"/>
  <c r="AP66" i="75"/>
  <c r="AP69" i="75"/>
  <c r="AP71" i="75"/>
  <c r="AP49" i="75"/>
  <c r="AP48" i="76" s="1"/>
  <c r="AP158" i="76" s="1"/>
  <c r="AP35" i="75"/>
  <c r="AP34" i="76" s="1"/>
  <c r="AP144" i="76" s="1"/>
  <c r="AP19" i="75"/>
  <c r="AP18" i="76" s="1"/>
  <c r="AP128" i="76" s="1"/>
  <c r="AP30" i="75"/>
  <c r="AP29" i="76" s="1"/>
  <c r="AP139" i="76" s="1"/>
  <c r="AP14" i="75"/>
  <c r="AP13" i="76" s="1"/>
  <c r="AP123" i="76" s="1"/>
  <c r="AP310" i="75"/>
  <c r="AP373" i="76" s="1"/>
  <c r="AP304" i="75"/>
  <c r="AP291" i="75"/>
  <c r="AP287" i="75"/>
  <c r="AP266" i="75"/>
  <c r="AP260" i="75"/>
  <c r="AP203" i="75"/>
  <c r="AP171" i="75"/>
  <c r="AP65" i="75"/>
  <c r="AP80" i="75"/>
  <c r="AP58" i="75"/>
  <c r="AP47" i="75"/>
  <c r="AP46" i="76" s="1"/>
  <c r="AP156" i="76" s="1"/>
  <c r="AP17" i="75"/>
  <c r="AP16" i="76" s="1"/>
  <c r="AP126" i="76" s="1"/>
  <c r="AP405" i="75"/>
  <c r="AP395" i="75"/>
  <c r="AP332" i="75"/>
  <c r="AP395" i="76" s="1"/>
  <c r="AP324" i="75"/>
  <c r="AP387" i="76" s="1"/>
  <c r="AP309" i="75"/>
  <c r="AP301" i="75"/>
  <c r="AP297" i="75"/>
  <c r="AP284" i="75"/>
  <c r="AP265" i="75"/>
  <c r="AP264" i="75"/>
  <c r="AP259" i="75"/>
  <c r="AP258" i="75"/>
  <c r="AP198" i="75"/>
  <c r="AP201" i="75"/>
  <c r="AP180" i="75"/>
  <c r="AP186" i="75"/>
  <c r="AP104" i="75"/>
  <c r="AP85" i="75"/>
  <c r="AP63" i="75"/>
  <c r="AP79" i="75"/>
  <c r="AP54" i="75"/>
  <c r="AP53" i="76" s="1"/>
  <c r="AP163" i="76" s="1"/>
  <c r="AP61" i="75"/>
  <c r="AP45" i="75"/>
  <c r="AP44" i="76" s="1"/>
  <c r="AP31" i="75"/>
  <c r="AP30" i="76" s="1"/>
  <c r="AP140" i="76" s="1"/>
  <c r="AP42" i="75"/>
  <c r="AP41" i="76" s="1"/>
  <c r="AP151" i="76" s="1"/>
  <c r="AP26" i="75"/>
  <c r="AP25" i="76" s="1"/>
  <c r="AP135" i="76" s="1"/>
  <c r="AP10" i="75"/>
  <c r="AP9" i="76" s="1"/>
  <c r="AP119" i="76" s="1"/>
  <c r="AP28" i="75"/>
  <c r="AP27" i="76" s="1"/>
  <c r="AP137" i="76" s="1"/>
  <c r="AP1" i="76"/>
  <c r="H288" i="70"/>
  <c r="IH13" i="70"/>
  <c r="IA13" i="70"/>
  <c r="IB13" i="70"/>
  <c r="E266" i="70"/>
  <c r="E267" i="70"/>
  <c r="E269" i="70"/>
  <c r="E268" i="70"/>
  <c r="E313" i="70"/>
  <c r="AL251" i="75"/>
  <c r="AL254" i="75" s="1"/>
  <c r="AL255" i="75" s="1"/>
  <c r="AL321" i="76"/>
  <c r="AL342" i="76"/>
  <c r="AL93" i="75"/>
  <c r="AL361" i="76"/>
  <c r="AL71" i="76"/>
  <c r="AL181" i="76"/>
  <c r="AL170" i="76"/>
  <c r="AL60" i="76"/>
  <c r="AL353" i="76"/>
  <c r="J262" i="70" a="1"/>
  <c r="J262" i="70" s="1"/>
  <c r="H263" i="70"/>
  <c r="HR13" i="70" s="1"/>
  <c r="Y102" i="75"/>
  <c r="K297" i="69"/>
  <c r="Y104" i="75" s="1"/>
  <c r="Y105" i="75" s="1"/>
  <c r="I297" i="69"/>
  <c r="Y103" i="75" s="1"/>
  <c r="AL341" i="76"/>
  <c r="AL328" i="76"/>
  <c r="AL358" i="76"/>
  <c r="AL332" i="76"/>
  <c r="AL176" i="76"/>
  <c r="AL66" i="76"/>
  <c r="G264" i="70"/>
  <c r="HS12" i="70"/>
  <c r="IF12" i="70"/>
  <c r="HT12" i="70"/>
  <c r="H300" i="70"/>
  <c r="H308" i="70" s="1"/>
  <c r="H304" i="71"/>
  <c r="HY12" i="71"/>
  <c r="G289" i="70"/>
  <c r="G285" i="71"/>
  <c r="E310" i="70"/>
  <c r="AL360" i="76"/>
  <c r="AL342" i="75"/>
  <c r="AL385" i="76"/>
  <c r="AL346" i="76"/>
  <c r="AL68" i="76"/>
  <c r="AL178" i="76"/>
  <c r="AL323" i="76"/>
  <c r="AL70" i="76"/>
  <c r="AL180" i="76"/>
  <c r="AL92" i="75"/>
  <c r="AL56" i="76"/>
  <c r="AL166" i="76"/>
  <c r="AL327" i="76"/>
  <c r="AL337" i="76"/>
  <c r="AL363" i="76"/>
  <c r="HZ14" i="70"/>
  <c r="HZ15" i="70" s="1"/>
  <c r="G306" i="71"/>
  <c r="G302" i="70"/>
  <c r="G310" i="70" s="1"/>
  <c r="AL65" i="76"/>
  <c r="AL175" i="76"/>
  <c r="AL334" i="76"/>
  <c r="HR14" i="70"/>
  <c r="G282" i="70"/>
  <c r="G283" i="70" s="1"/>
  <c r="F294" i="70"/>
  <c r="F295" i="70" s="1"/>
  <c r="I312" i="70"/>
  <c r="I257" i="70"/>
  <c r="I255" i="70"/>
  <c r="I299" i="70"/>
  <c r="AT1" i="75"/>
  <c r="I256" i="70"/>
  <c r="I254" i="70"/>
  <c r="F306" i="71"/>
  <c r="F302" i="70"/>
  <c r="F310" i="70" s="1"/>
  <c r="AL428" i="75"/>
  <c r="AL430" i="75" s="1"/>
  <c r="AL431" i="75" s="1"/>
  <c r="AL98" i="75" s="1"/>
  <c r="AL347" i="76"/>
  <c r="AL69" i="76"/>
  <c r="AL179" i="76"/>
  <c r="AL339" i="76"/>
  <c r="F303" i="70"/>
  <c r="F311" i="70" s="1"/>
  <c r="F307" i="71"/>
  <c r="E303" i="70"/>
  <c r="E311" i="70" s="1"/>
  <c r="E307" i="71"/>
  <c r="AL357" i="76"/>
  <c r="AL330" i="76"/>
  <c r="AL367" i="76"/>
  <c r="AL352" i="76"/>
  <c r="AL341" i="75"/>
  <c r="AL369" i="76"/>
  <c r="AL335" i="76"/>
  <c r="AL348" i="76"/>
  <c r="AL58" i="76"/>
  <c r="AL404" i="76"/>
  <c r="AL169" i="76"/>
  <c r="AL57" i="76"/>
  <c r="AL67" i="76"/>
  <c r="AL59" i="76"/>
  <c r="AL405" i="76"/>
  <c r="AL403" i="76"/>
  <c r="AL167" i="76"/>
  <c r="AL372" i="76"/>
  <c r="AL145" i="76"/>
  <c r="AL371" i="76"/>
  <c r="AL370" i="76"/>
  <c r="AL402" i="76"/>
  <c r="AL168" i="76"/>
  <c r="AL177" i="76"/>
  <c r="AL35" i="76"/>
  <c r="AL322" i="76"/>
  <c r="AL362" i="76"/>
  <c r="AL366" i="76"/>
  <c r="AL91" i="75"/>
  <c r="AL8" i="76"/>
  <c r="AL118" i="76" s="1"/>
  <c r="AL340" i="75"/>
  <c r="HM15" i="71" l="1"/>
  <c r="L286" i="70" a="1"/>
  <c r="L286" i="70" s="1"/>
  <c r="M286" i="70" s="1" a="1"/>
  <c r="M286" i="70" s="1"/>
  <c r="M287" i="70" s="1"/>
  <c r="J249" i="71"/>
  <c r="HZ16" i="70"/>
  <c r="AL343" i="75"/>
  <c r="AL344" i="75" s="1"/>
  <c r="AL97" i="75" s="1"/>
  <c r="AD94" i="75"/>
  <c r="AP351" i="76"/>
  <c r="AL94" i="75"/>
  <c r="AP345" i="76"/>
  <c r="AP362" i="76"/>
  <c r="AP366" i="76"/>
  <c r="AD198" i="76"/>
  <c r="AD201" i="76"/>
  <c r="E270" i="70"/>
  <c r="E271" i="70" s="1"/>
  <c r="AP350" i="76"/>
  <c r="AP347" i="76"/>
  <c r="F270" i="70"/>
  <c r="F271" i="70" s="1"/>
  <c r="AP342" i="76"/>
  <c r="AH91" i="76"/>
  <c r="AH94" i="75"/>
  <c r="AD200" i="76"/>
  <c r="AP358" i="76"/>
  <c r="AP325" i="76"/>
  <c r="AD91" i="76"/>
  <c r="AD90" i="76"/>
  <c r="AP352" i="76"/>
  <c r="AP349" i="76"/>
  <c r="AH200" i="76"/>
  <c r="AH343" i="75"/>
  <c r="AH344" i="75" s="1"/>
  <c r="AH97" i="75" s="1"/>
  <c r="AD88" i="76"/>
  <c r="AP363" i="76"/>
  <c r="AH90" i="76"/>
  <c r="AH201" i="76"/>
  <c r="AP353" i="76"/>
  <c r="AP326" i="76"/>
  <c r="IE16" i="70"/>
  <c r="HP16" i="70"/>
  <c r="HO16" i="70"/>
  <c r="K252" i="70"/>
  <c r="AD406" i="76"/>
  <c r="AD202" i="76" s="1"/>
  <c r="AD401" i="76"/>
  <c r="AD92" i="76" s="1"/>
  <c r="AH406" i="76"/>
  <c r="AH202" i="76" s="1"/>
  <c r="AH401" i="76"/>
  <c r="AH92" i="76" s="1"/>
  <c r="L251" i="70"/>
  <c r="HN17" i="70" s="1"/>
  <c r="M250" i="70" a="1"/>
  <c r="M250" i="70" s="1"/>
  <c r="AP336" i="76"/>
  <c r="AH118" i="76"/>
  <c r="AH198" i="76" s="1"/>
  <c r="AH88" i="76"/>
  <c r="AD343" i="75"/>
  <c r="AD344" i="75" s="1"/>
  <c r="AD97" i="75" s="1"/>
  <c r="K275" i="70"/>
  <c r="AP324" i="76"/>
  <c r="HW14" i="70"/>
  <c r="IG14" i="70"/>
  <c r="HX14" i="70"/>
  <c r="I276" i="70"/>
  <c r="L274" i="70" a="1"/>
  <c r="L274" i="70" s="1"/>
  <c r="L275" i="70" s="1"/>
  <c r="J275" i="70"/>
  <c r="HV15" i="70" s="1"/>
  <c r="AP365" i="76"/>
  <c r="H273" i="71"/>
  <c r="HU13" i="71"/>
  <c r="H277" i="70"/>
  <c r="AP332" i="76"/>
  <c r="AP329" i="76"/>
  <c r="IB16" i="70"/>
  <c r="K288" i="70"/>
  <c r="IH16" i="70"/>
  <c r="IA16" i="70"/>
  <c r="AL201" i="76"/>
  <c r="AL200" i="76"/>
  <c r="AP428" i="75"/>
  <c r="AP430" i="75" s="1"/>
  <c r="AP431" i="75" s="1"/>
  <c r="AP98" i="75" s="1"/>
  <c r="AP354" i="76"/>
  <c r="AP181" i="76"/>
  <c r="AP71" i="76"/>
  <c r="AP356" i="76"/>
  <c r="AP367" i="76"/>
  <c r="G293" i="70"/>
  <c r="G315" i="70"/>
  <c r="G290" i="70"/>
  <c r="G292" i="70"/>
  <c r="G291" i="70"/>
  <c r="I258" i="70"/>
  <c r="I259" i="70" s="1"/>
  <c r="AL90" i="76"/>
  <c r="H264" i="70"/>
  <c r="HS13" i="70"/>
  <c r="HT13" i="70"/>
  <c r="IF13" i="70"/>
  <c r="AP323" i="76"/>
  <c r="AP93" i="75"/>
  <c r="AP361" i="76"/>
  <c r="AP327" i="76"/>
  <c r="AP343" i="76"/>
  <c r="F301" i="70"/>
  <c r="F309" i="70" s="1"/>
  <c r="F305" i="71"/>
  <c r="AT398" i="75"/>
  <c r="AT332" i="75"/>
  <c r="AT395" i="76" s="1"/>
  <c r="AT335" i="75"/>
  <c r="AT398" i="76" s="1"/>
  <c r="AT309" i="75"/>
  <c r="AT305" i="75"/>
  <c r="AT298" i="75"/>
  <c r="AT282" i="75"/>
  <c r="AT272" i="75"/>
  <c r="AT273" i="75"/>
  <c r="AT218" i="75"/>
  <c r="AT212" i="75"/>
  <c r="AT205" i="75"/>
  <c r="AT191" i="75"/>
  <c r="AT186" i="75"/>
  <c r="AT187" i="75"/>
  <c r="AT199" i="75"/>
  <c r="AT89" i="75"/>
  <c r="AT76" i="75"/>
  <c r="AT58" i="75"/>
  <c r="AT61" i="75"/>
  <c r="AT51" i="75"/>
  <c r="AT50" i="76" s="1"/>
  <c r="AT160" i="76" s="1"/>
  <c r="AT50" i="75"/>
  <c r="AT49" i="76" s="1"/>
  <c r="AT159" i="76" s="1"/>
  <c r="AT57" i="75"/>
  <c r="AT24" i="75"/>
  <c r="AT23" i="76" s="1"/>
  <c r="AT133" i="76" s="1"/>
  <c r="AT33" i="75"/>
  <c r="AT32" i="76" s="1"/>
  <c r="AT142" i="76" s="1"/>
  <c r="AT17" i="75"/>
  <c r="AT16" i="76" s="1"/>
  <c r="AT126" i="76" s="1"/>
  <c r="AT36" i="75"/>
  <c r="AT277" i="75"/>
  <c r="AT80" i="75"/>
  <c r="AT40" i="75"/>
  <c r="AT39" i="76" s="1"/>
  <c r="AT149" i="76" s="1"/>
  <c r="AT396" i="75"/>
  <c r="AT328" i="75"/>
  <c r="AT391" i="76" s="1"/>
  <c r="AT311" i="75"/>
  <c r="AT374" i="76" s="1"/>
  <c r="AT306" i="75"/>
  <c r="AT304" i="75"/>
  <c r="AT296" i="75"/>
  <c r="AT280" i="75"/>
  <c r="AT270" i="75"/>
  <c r="AT271" i="75"/>
  <c r="AT215" i="75"/>
  <c r="AT210" i="75"/>
  <c r="AT203" i="75"/>
  <c r="AT207" i="75"/>
  <c r="AT183" i="75"/>
  <c r="AT184" i="75"/>
  <c r="AT192" i="75"/>
  <c r="AT87" i="75"/>
  <c r="AT75" i="75"/>
  <c r="AT69" i="75"/>
  <c r="AT82" i="75"/>
  <c r="AT49" i="75"/>
  <c r="AT48" i="76" s="1"/>
  <c r="AT158" i="76" s="1"/>
  <c r="AT48" i="75"/>
  <c r="AT47" i="76" s="1"/>
  <c r="AT157" i="76" s="1"/>
  <c r="AT55" i="75"/>
  <c r="AT54" i="76" s="1"/>
  <c r="AT164" i="76" s="1"/>
  <c r="AT22" i="75"/>
  <c r="AT21" i="76" s="1"/>
  <c r="AT131" i="76" s="1"/>
  <c r="AT31" i="75"/>
  <c r="AT30" i="76" s="1"/>
  <c r="AT140" i="76" s="1"/>
  <c r="AT15" i="75"/>
  <c r="AT14" i="76" s="1"/>
  <c r="AT124" i="76" s="1"/>
  <c r="AT10" i="75"/>
  <c r="AT9" i="76" s="1"/>
  <c r="AT119" i="76" s="1"/>
  <c r="AT216" i="75"/>
  <c r="AT405" i="75"/>
  <c r="AT324" i="75"/>
  <c r="AT387" i="76" s="1"/>
  <c r="AT315" i="75"/>
  <c r="AT378" i="76" s="1"/>
  <c r="AT303" i="75"/>
  <c r="AT308" i="75"/>
  <c r="AT292" i="75"/>
  <c r="AT278" i="75"/>
  <c r="AT268" i="75"/>
  <c r="AT269" i="75"/>
  <c r="AT213" i="75"/>
  <c r="AT261" i="75"/>
  <c r="AT201" i="75"/>
  <c r="AT204" i="75"/>
  <c r="AT181" i="75"/>
  <c r="AT182" i="75"/>
  <c r="AT185" i="75"/>
  <c r="AT90" i="75"/>
  <c r="AT73" i="75"/>
  <c r="AT67" i="75"/>
  <c r="AT86" i="75"/>
  <c r="AT47" i="75"/>
  <c r="AT46" i="76" s="1"/>
  <c r="AT156" i="76" s="1"/>
  <c r="AT46" i="75"/>
  <c r="AT45" i="76" s="1"/>
  <c r="AT155" i="76" s="1"/>
  <c r="AT39" i="75"/>
  <c r="AT38" i="76" s="1"/>
  <c r="AT148" i="76" s="1"/>
  <c r="AT20" i="75"/>
  <c r="AT19" i="76" s="1"/>
  <c r="AT129" i="76" s="1"/>
  <c r="AT29" i="75"/>
  <c r="AT28" i="76" s="1"/>
  <c r="AT138" i="76" s="1"/>
  <c r="AT13" i="75"/>
  <c r="AT12" i="76" s="1"/>
  <c r="AT122" i="76" s="1"/>
  <c r="AT337" i="75"/>
  <c r="AT400" i="76" s="1"/>
  <c r="AT403" i="75"/>
  <c r="AT334" i="75"/>
  <c r="AT397" i="76" s="1"/>
  <c r="AT313" i="75"/>
  <c r="AT376" i="76" s="1"/>
  <c r="AT301" i="75"/>
  <c r="AT307" i="75"/>
  <c r="AT294" i="75"/>
  <c r="AT290" i="75"/>
  <c r="AT266" i="75"/>
  <c r="AT267" i="75"/>
  <c r="AT260" i="75"/>
  <c r="AT259" i="75"/>
  <c r="AT208" i="75"/>
  <c r="AT202" i="75"/>
  <c r="AT179" i="75"/>
  <c r="AT180" i="75"/>
  <c r="AT104" i="75"/>
  <c r="AT88" i="75"/>
  <c r="AT64" i="75"/>
  <c r="AT78" i="75"/>
  <c r="AT83" i="75"/>
  <c r="AT45" i="75"/>
  <c r="AT44" i="76" s="1"/>
  <c r="AT44" i="75"/>
  <c r="AT43" i="76" s="1"/>
  <c r="AT153" i="76" s="1"/>
  <c r="AT34" i="75"/>
  <c r="AT33" i="76" s="1"/>
  <c r="AT143" i="76" s="1"/>
  <c r="AT18" i="75"/>
  <c r="AT17" i="76" s="1"/>
  <c r="AT127" i="76" s="1"/>
  <c r="AT27" i="75"/>
  <c r="AT26" i="76" s="1"/>
  <c r="AT136" i="76" s="1"/>
  <c r="AT11" i="75"/>
  <c r="AT10" i="76" s="1"/>
  <c r="AT120" i="76" s="1"/>
  <c r="AT195" i="75"/>
  <c r="AT65" i="75"/>
  <c r="AT28" i="75"/>
  <c r="AT27" i="76" s="1"/>
  <c r="AT137" i="76" s="1"/>
  <c r="AT401" i="75"/>
  <c r="AT316" i="75"/>
  <c r="AT379" i="76" s="1"/>
  <c r="AT326" i="75"/>
  <c r="AT389" i="76" s="1"/>
  <c r="AT299" i="75"/>
  <c r="AT302" i="75"/>
  <c r="AT293" i="75"/>
  <c r="AT285" i="75"/>
  <c r="AT264" i="75"/>
  <c r="AT265" i="75"/>
  <c r="AT258" i="75"/>
  <c r="AT217" i="75"/>
  <c r="AT206" i="75"/>
  <c r="AT200" i="75"/>
  <c r="AT177" i="75"/>
  <c r="AT178" i="75"/>
  <c r="AT103" i="75"/>
  <c r="AT85" i="75"/>
  <c r="AT84" i="75"/>
  <c r="AT77" i="75"/>
  <c r="AT70" i="75"/>
  <c r="AT59" i="75"/>
  <c r="AT72" i="75"/>
  <c r="AT32" i="75"/>
  <c r="AT31" i="76" s="1"/>
  <c r="AT141" i="76" s="1"/>
  <c r="AT14" i="75"/>
  <c r="AT13" i="76" s="1"/>
  <c r="AT123" i="76" s="1"/>
  <c r="AT25" i="75"/>
  <c r="AT24" i="76" s="1"/>
  <c r="AT134" i="76" s="1"/>
  <c r="AT9" i="75"/>
  <c r="AT402" i="75"/>
  <c r="AT322" i="75"/>
  <c r="AT289" i="75"/>
  <c r="AT288" i="75"/>
  <c r="AT198" i="75"/>
  <c r="AT173" i="75"/>
  <c r="AT71" i="75"/>
  <c r="AT54" i="75"/>
  <c r="AT53" i="76" s="1"/>
  <c r="AT163" i="76" s="1"/>
  <c r="AT37" i="75"/>
  <c r="AT36" i="76" s="1"/>
  <c r="AT146" i="76" s="1"/>
  <c r="AT404" i="75"/>
  <c r="AT397" i="75"/>
  <c r="AT330" i="75"/>
  <c r="AT393" i="76" s="1"/>
  <c r="AT312" i="75"/>
  <c r="AT375" i="76" s="1"/>
  <c r="AT297" i="75"/>
  <c r="AT291" i="75"/>
  <c r="AT286" i="75"/>
  <c r="AT283" i="75"/>
  <c r="AT279" i="75"/>
  <c r="AT263" i="75"/>
  <c r="AT262" i="75"/>
  <c r="AT209" i="75"/>
  <c r="AT197" i="75"/>
  <c r="AT194" i="75"/>
  <c r="AT175" i="75"/>
  <c r="AT176" i="75"/>
  <c r="AT102" i="75"/>
  <c r="AT66" i="75"/>
  <c r="AT81" i="75"/>
  <c r="AT74" i="75"/>
  <c r="AT68" i="75"/>
  <c r="AT62" i="75"/>
  <c r="AT42" i="75"/>
  <c r="AT41" i="76" s="1"/>
  <c r="AT151" i="76" s="1"/>
  <c r="AT30" i="75"/>
  <c r="AT29" i="76" s="1"/>
  <c r="AT139" i="76" s="1"/>
  <c r="AT43" i="75"/>
  <c r="AT42" i="76" s="1"/>
  <c r="AT152" i="76" s="1"/>
  <c r="AT23" i="75"/>
  <c r="AT22" i="76" s="1"/>
  <c r="AT132" i="76" s="1"/>
  <c r="AT16" i="75"/>
  <c r="AT15" i="76" s="1"/>
  <c r="AT125" i="76" s="1"/>
  <c r="AT395" i="75"/>
  <c r="AT295" i="75"/>
  <c r="AT287" i="75"/>
  <c r="AT275" i="75"/>
  <c r="AT190" i="75"/>
  <c r="AT340" i="76" s="1"/>
  <c r="AT188" i="75"/>
  <c r="AT56" i="75"/>
  <c r="AT55" i="76" s="1"/>
  <c r="AT165" i="76" s="1"/>
  <c r="AT12" i="75"/>
  <c r="AT11" i="76" s="1"/>
  <c r="AT121" i="76" s="1"/>
  <c r="AT400" i="75"/>
  <c r="AT399" i="75"/>
  <c r="AT336" i="75"/>
  <c r="AT399" i="76" s="1"/>
  <c r="AT314" i="75"/>
  <c r="AT377" i="76" s="1"/>
  <c r="AT310" i="75"/>
  <c r="AT373" i="76" s="1"/>
  <c r="AT300" i="75"/>
  <c r="AT284" i="75"/>
  <c r="AT274" i="75"/>
  <c r="AT276" i="75"/>
  <c r="AT281" i="75"/>
  <c r="AT214" i="75"/>
  <c r="AT211" i="75"/>
  <c r="AT193" i="75"/>
  <c r="AT343" i="76" s="1"/>
  <c r="AT189" i="75"/>
  <c r="AT196" i="75"/>
  <c r="AT172" i="75"/>
  <c r="AT322" i="76" s="1"/>
  <c r="AT171" i="75"/>
  <c r="AT79" i="75"/>
  <c r="AT60" i="75"/>
  <c r="AT63" i="75"/>
  <c r="AT53" i="75"/>
  <c r="AT52" i="76" s="1"/>
  <c r="AT162" i="76" s="1"/>
  <c r="AT52" i="75"/>
  <c r="AT51" i="76" s="1"/>
  <c r="AT161" i="76" s="1"/>
  <c r="AT38" i="75"/>
  <c r="AT37" i="76" s="1"/>
  <c r="AT147" i="76" s="1"/>
  <c r="AT26" i="75"/>
  <c r="AT25" i="76" s="1"/>
  <c r="AT135" i="76" s="1"/>
  <c r="AT35" i="75"/>
  <c r="AT34" i="76" s="1"/>
  <c r="AT144" i="76" s="1"/>
  <c r="AT19" i="75"/>
  <c r="AT18" i="76" s="1"/>
  <c r="AT128" i="76" s="1"/>
  <c r="AT41" i="75"/>
  <c r="AT40" i="76" s="1"/>
  <c r="AT150" i="76" s="1"/>
  <c r="AT174" i="75"/>
  <c r="AT21" i="75"/>
  <c r="AT20" i="76" s="1"/>
  <c r="AT130" i="76" s="1"/>
  <c r="AT1" i="76"/>
  <c r="HS14" i="70"/>
  <c r="I264" i="70"/>
  <c r="IF14" i="70"/>
  <c r="HT14" i="70"/>
  <c r="K262" i="70" a="1"/>
  <c r="K262" i="70" s="1"/>
  <c r="L262" i="70" s="1" a="1"/>
  <c r="L262" i="70" s="1"/>
  <c r="L263" i="70" s="1"/>
  <c r="J263" i="70"/>
  <c r="HR15" i="70" s="1"/>
  <c r="E301" i="70"/>
  <c r="E305" i="71"/>
  <c r="AP341" i="76"/>
  <c r="AP176" i="76"/>
  <c r="AP66" i="76"/>
  <c r="AP364" i="76"/>
  <c r="AP322" i="76"/>
  <c r="AP344" i="76"/>
  <c r="AL198" i="76"/>
  <c r="AL95" i="75"/>
  <c r="AL96" i="75"/>
  <c r="AL99" i="75" s="1"/>
  <c r="AL105" i="75" s="1"/>
  <c r="AL91" i="76"/>
  <c r="IB14" i="70"/>
  <c r="I288" i="70"/>
  <c r="IH14" i="70"/>
  <c r="IA14" i="70"/>
  <c r="HQ12" i="71"/>
  <c r="G265" i="70"/>
  <c r="G261" i="71"/>
  <c r="AP89" i="76"/>
  <c r="AP154" i="76"/>
  <c r="AP330" i="76"/>
  <c r="AP334" i="76"/>
  <c r="AP357" i="76"/>
  <c r="AP333" i="76"/>
  <c r="AL88" i="76"/>
  <c r="I300" i="70"/>
  <c r="I308" i="70" s="1"/>
  <c r="I304" i="71"/>
  <c r="H289" i="70"/>
  <c r="H285" i="71"/>
  <c r="HY13" i="71"/>
  <c r="AP170" i="76"/>
  <c r="AP60" i="76"/>
  <c r="AP70" i="76"/>
  <c r="AP180" i="76"/>
  <c r="AP341" i="75"/>
  <c r="AP369" i="76"/>
  <c r="AP340" i="76"/>
  <c r="AP368" i="76"/>
  <c r="AP328" i="76"/>
  <c r="IH15" i="70"/>
  <c r="IB15" i="70"/>
  <c r="J288" i="70"/>
  <c r="IA15" i="70"/>
  <c r="L287" i="70"/>
  <c r="HZ17" i="70" s="1"/>
  <c r="AL406" i="76"/>
  <c r="AL202" i="76" s="1"/>
  <c r="AL401" i="76"/>
  <c r="AL92" i="76" s="1"/>
  <c r="AP403" i="76"/>
  <c r="AP169" i="76"/>
  <c r="AP372" i="76"/>
  <c r="AP59" i="76"/>
  <c r="AP370" i="76"/>
  <c r="AP58" i="76"/>
  <c r="AP348" i="76"/>
  <c r="AP404" i="76"/>
  <c r="AP168" i="76"/>
  <c r="AP67" i="76"/>
  <c r="AP371" i="76"/>
  <c r="AP145" i="76"/>
  <c r="AP57" i="76"/>
  <c r="AP405" i="76"/>
  <c r="AP177" i="76"/>
  <c r="AP35" i="76"/>
  <c r="AP402" i="76"/>
  <c r="AP167" i="76"/>
  <c r="AP178" i="76"/>
  <c r="AP68" i="76"/>
  <c r="AP92" i="75"/>
  <c r="AP56" i="76"/>
  <c r="AP166" i="76"/>
  <c r="AP340" i="75"/>
  <c r="AP65" i="76"/>
  <c r="AP175" i="76"/>
  <c r="AP359" i="76"/>
  <c r="AP91" i="75"/>
  <c r="AP8" i="76"/>
  <c r="AP118" i="76" s="1"/>
  <c r="AP69" i="76"/>
  <c r="AP179" i="76"/>
  <c r="AP346" i="76"/>
  <c r="J255" i="70"/>
  <c r="AX1" i="75"/>
  <c r="J299" i="70"/>
  <c r="J312" i="70"/>
  <c r="J256" i="70"/>
  <c r="J257" i="70"/>
  <c r="J254" i="70"/>
  <c r="AP251" i="75"/>
  <c r="AP254" i="75" s="1"/>
  <c r="AP255" i="75" s="1"/>
  <c r="AP321" i="76"/>
  <c r="AP342" i="75"/>
  <c r="AP385" i="76"/>
  <c r="AP355" i="76"/>
  <c r="AP331" i="76"/>
  <c r="AP339" i="76"/>
  <c r="AP360" i="76"/>
  <c r="W1" i="50"/>
  <c r="P1" i="50"/>
  <c r="Q1" i="51"/>
  <c r="T1" i="51"/>
  <c r="AF3" i="51" s="1"/>
  <c r="T1" i="48"/>
  <c r="O3" i="48" s="1"/>
  <c r="Q1" i="48"/>
  <c r="AU6" i="52"/>
  <c r="R11" i="48"/>
  <c r="R10" i="48"/>
  <c r="R6" i="51"/>
  <c r="G158" i="77" a="1"/>
  <c r="H158" i="77" a="1"/>
  <c r="I158" i="77" a="1"/>
  <c r="J158" i="77" a="1"/>
  <c r="K158" i="77" a="1"/>
  <c r="L158" i="77" a="1"/>
  <c r="M158" i="77" a="1"/>
  <c r="N158" i="77" a="1"/>
  <c r="O158" i="77" a="1"/>
  <c r="P158" i="77" a="1"/>
  <c r="E18" i="52"/>
  <c r="E20" i="52"/>
  <c r="E22" i="52"/>
  <c r="E17" i="52"/>
  <c r="E16" i="52"/>
  <c r="P158" i="77" l="1"/>
  <c r="O158" i="77"/>
  <c r="N158" i="77"/>
  <c r="M158" i="77"/>
  <c r="L158" i="77"/>
  <c r="K158" i="77"/>
  <c r="J158" i="77"/>
  <c r="I158" i="77"/>
  <c r="H158" i="77"/>
  <c r="G158" i="77"/>
  <c r="AT327" i="76"/>
  <c r="AT331" i="76"/>
  <c r="AT324" i="76"/>
  <c r="AT329" i="76"/>
  <c r="AT359" i="76"/>
  <c r="AD95" i="75"/>
  <c r="AD96" i="75"/>
  <c r="AD99" i="75" s="1"/>
  <c r="AD105" i="75" s="1"/>
  <c r="AT345" i="76"/>
  <c r="AT326" i="76"/>
  <c r="AT334" i="76"/>
  <c r="AT361" i="76"/>
  <c r="AH116" i="76"/>
  <c r="AT323" i="76"/>
  <c r="AT335" i="76"/>
  <c r="G294" i="70"/>
  <c r="G295" i="70" s="1"/>
  <c r="AH227" i="76"/>
  <c r="AS317" i="71"/>
  <c r="HM16" i="71"/>
  <c r="K249" i="71"/>
  <c r="K253" i="70"/>
  <c r="AD116" i="76"/>
  <c r="M251" i="70"/>
  <c r="HN18" i="70" s="1"/>
  <c r="N250" i="70" a="1"/>
  <c r="N250" i="70" s="1"/>
  <c r="AD227" i="76"/>
  <c r="L252" i="70"/>
  <c r="HP17" i="70"/>
  <c r="HO17" i="70"/>
  <c r="IE17" i="70"/>
  <c r="AH95" i="75"/>
  <c r="AH96" i="75"/>
  <c r="AH99" i="75" s="1"/>
  <c r="AH105" i="75" s="1"/>
  <c r="AT330" i="76"/>
  <c r="AT364" i="76"/>
  <c r="AP201" i="76"/>
  <c r="AT347" i="76"/>
  <c r="AT368" i="76"/>
  <c r="HU14" i="71"/>
  <c r="I277" i="70"/>
  <c r="I273" i="71"/>
  <c r="AP94" i="75"/>
  <c r="AT332" i="76"/>
  <c r="H281" i="70"/>
  <c r="H278" i="70"/>
  <c r="H314" i="70"/>
  <c r="H279" i="70"/>
  <c r="H280" i="70"/>
  <c r="N286" i="70" a="1"/>
  <c r="N286" i="70" s="1"/>
  <c r="N287" i="70" s="1"/>
  <c r="HZ19" i="70" s="1"/>
  <c r="IA19" i="70" s="1"/>
  <c r="AT346" i="76"/>
  <c r="HZ18" i="70"/>
  <c r="AT336" i="76"/>
  <c r="AT367" i="76"/>
  <c r="M274" i="70" a="1"/>
  <c r="M274" i="70" s="1"/>
  <c r="M275" i="70" s="1"/>
  <c r="AT333" i="76"/>
  <c r="IG15" i="70"/>
  <c r="HW15" i="70"/>
  <c r="J276" i="70"/>
  <c r="HX15" i="70"/>
  <c r="HV16" i="70"/>
  <c r="HV17" i="70" s="1"/>
  <c r="J258" i="70"/>
  <c r="J259" i="70" s="1"/>
  <c r="I261" i="71"/>
  <c r="HQ14" i="71"/>
  <c r="I265" i="70"/>
  <c r="AT365" i="76"/>
  <c r="AT349" i="76"/>
  <c r="AP343" i="75"/>
  <c r="AP344" i="75" s="1"/>
  <c r="AP97" i="75" s="1"/>
  <c r="AT175" i="76"/>
  <c r="AT65" i="76"/>
  <c r="AT350" i="76"/>
  <c r="AT354" i="76"/>
  <c r="AT92" i="75"/>
  <c r="AT56" i="76"/>
  <c r="AT166" i="76"/>
  <c r="AT337" i="76"/>
  <c r="AP91" i="76"/>
  <c r="H292" i="70"/>
  <c r="H293" i="70"/>
  <c r="H315" i="70"/>
  <c r="H290" i="70"/>
  <c r="H291" i="70"/>
  <c r="AP88" i="76"/>
  <c r="I289" i="70"/>
  <c r="I285" i="71"/>
  <c r="HY14" i="71"/>
  <c r="AT403" i="76"/>
  <c r="AT168" i="76"/>
  <c r="AT402" i="76"/>
  <c r="AT167" i="76"/>
  <c r="AT67" i="76"/>
  <c r="AT370" i="76"/>
  <c r="AT59" i="76"/>
  <c r="AT348" i="76"/>
  <c r="AT58" i="76"/>
  <c r="AT405" i="76"/>
  <c r="AT177" i="76"/>
  <c r="AT57" i="76"/>
  <c r="AT404" i="76"/>
  <c r="AT169" i="76"/>
  <c r="AT35" i="76"/>
  <c r="AT372" i="76"/>
  <c r="AT145" i="76"/>
  <c r="AT371" i="76"/>
  <c r="AT339" i="76"/>
  <c r="AT338" i="76"/>
  <c r="AT342" i="75"/>
  <c r="AT385" i="76"/>
  <c r="AT69" i="76"/>
  <c r="AT179" i="76"/>
  <c r="AT356" i="76"/>
  <c r="AT351" i="76"/>
  <c r="AT342" i="76"/>
  <c r="G303" i="70"/>
  <c r="G311" i="70" s="1"/>
  <c r="G307" i="71"/>
  <c r="AX405" i="75"/>
  <c r="AX395" i="75"/>
  <c r="AX332" i="75"/>
  <c r="AX395" i="76" s="1"/>
  <c r="AX310" i="75"/>
  <c r="AX373" i="76" s="1"/>
  <c r="AX302" i="75"/>
  <c r="AX292" i="75"/>
  <c r="AX303" i="75"/>
  <c r="AX289" i="75"/>
  <c r="AX263" i="75"/>
  <c r="AX264" i="75"/>
  <c r="AX259" i="75"/>
  <c r="AX258" i="75"/>
  <c r="AX200" i="75"/>
  <c r="AX201" i="75"/>
  <c r="AX180" i="75"/>
  <c r="AX183" i="75"/>
  <c r="AX104" i="75"/>
  <c r="AX85" i="75"/>
  <c r="AX63" i="75"/>
  <c r="AX79" i="75"/>
  <c r="AX71" i="75"/>
  <c r="AX55" i="75"/>
  <c r="AX54" i="76" s="1"/>
  <c r="AX164" i="76" s="1"/>
  <c r="AX45" i="75"/>
  <c r="AX44" i="76" s="1"/>
  <c r="AX31" i="75"/>
  <c r="AX30" i="76" s="1"/>
  <c r="AX140" i="76" s="1"/>
  <c r="AX38" i="75"/>
  <c r="AX37" i="76" s="1"/>
  <c r="AX147" i="76" s="1"/>
  <c r="AX24" i="75"/>
  <c r="AX23" i="76" s="1"/>
  <c r="AX133" i="76" s="1"/>
  <c r="AX15" i="75"/>
  <c r="AX14" i="76" s="1"/>
  <c r="AX124" i="76" s="1"/>
  <c r="AX88" i="75"/>
  <c r="AX403" i="75"/>
  <c r="AX336" i="75"/>
  <c r="AX399" i="76" s="1"/>
  <c r="AX337" i="75"/>
  <c r="AX400" i="76" s="1"/>
  <c r="AX314" i="75"/>
  <c r="AX377" i="76" s="1"/>
  <c r="AX300" i="75"/>
  <c r="AX290" i="75"/>
  <c r="AX287" i="75"/>
  <c r="AX284" i="75"/>
  <c r="AX276" i="75"/>
  <c r="AX262" i="75"/>
  <c r="AX217" i="75"/>
  <c r="AX205" i="75"/>
  <c r="AX210" i="75"/>
  <c r="AX199" i="75"/>
  <c r="AX178" i="75"/>
  <c r="AX181" i="75"/>
  <c r="AX103" i="75"/>
  <c r="AX89" i="75"/>
  <c r="AX72" i="75"/>
  <c r="AX76" i="75"/>
  <c r="AX54" i="75"/>
  <c r="AX53" i="76" s="1"/>
  <c r="AX163" i="76" s="1"/>
  <c r="AX57" i="75"/>
  <c r="AX43" i="75"/>
  <c r="AX42" i="76" s="1"/>
  <c r="AX152" i="76" s="1"/>
  <c r="AX29" i="75"/>
  <c r="AX28" i="76" s="1"/>
  <c r="AX138" i="76" s="1"/>
  <c r="AX13" i="75"/>
  <c r="AX12" i="76" s="1"/>
  <c r="AX122" i="76" s="1"/>
  <c r="AX22" i="75"/>
  <c r="AX21" i="76" s="1"/>
  <c r="AX131" i="76" s="1"/>
  <c r="AX11" i="75"/>
  <c r="AX10" i="76" s="1"/>
  <c r="AX120" i="76" s="1"/>
  <c r="AX204" i="75"/>
  <c r="AX401" i="75"/>
  <c r="AX398" i="75"/>
  <c r="AX315" i="75"/>
  <c r="AX378" i="76" s="1"/>
  <c r="AX311" i="75"/>
  <c r="AX374" i="76" s="1"/>
  <c r="AX298" i="75"/>
  <c r="AX288" i="75"/>
  <c r="AX285" i="75"/>
  <c r="AX282" i="75"/>
  <c r="AX275" i="75"/>
  <c r="AX280" i="75"/>
  <c r="AX218" i="75"/>
  <c r="AX197" i="75"/>
  <c r="AX347" i="76" s="1"/>
  <c r="AX198" i="75"/>
  <c r="AX186" i="75"/>
  <c r="AX176" i="75"/>
  <c r="AX179" i="75"/>
  <c r="AX102" i="75"/>
  <c r="AX82" i="75"/>
  <c r="AX59" i="75"/>
  <c r="AX75" i="75"/>
  <c r="AX52" i="75"/>
  <c r="AX51" i="76" s="1"/>
  <c r="AX161" i="76" s="1"/>
  <c r="AX58" i="75"/>
  <c r="AX41" i="75"/>
  <c r="AX40" i="76" s="1"/>
  <c r="AX150" i="76" s="1"/>
  <c r="AX27" i="75"/>
  <c r="AX26" i="76" s="1"/>
  <c r="AX136" i="76" s="1"/>
  <c r="AX36" i="75"/>
  <c r="AX20" i="75"/>
  <c r="AX19" i="76" s="1"/>
  <c r="AX129" i="76" s="1"/>
  <c r="AX40" i="75"/>
  <c r="AX39" i="76" s="1"/>
  <c r="AX149" i="76" s="1"/>
  <c r="AX402" i="75"/>
  <c r="AX171" i="75"/>
  <c r="AX28" i="75"/>
  <c r="AX27" i="76" s="1"/>
  <c r="AX137" i="76" s="1"/>
  <c r="AX399" i="75"/>
  <c r="AX396" i="75"/>
  <c r="AX334" i="75"/>
  <c r="AX397" i="76" s="1"/>
  <c r="AX328" i="75"/>
  <c r="AX391" i="76" s="1"/>
  <c r="AX296" i="75"/>
  <c r="AX297" i="75"/>
  <c r="AX283" i="75"/>
  <c r="AX273" i="75"/>
  <c r="AX274" i="75"/>
  <c r="AX278" i="75"/>
  <c r="AX215" i="75"/>
  <c r="AX208" i="75"/>
  <c r="AX196" i="75"/>
  <c r="AX195" i="75"/>
  <c r="AX174" i="75"/>
  <c r="AX177" i="75"/>
  <c r="AX87" i="75"/>
  <c r="AX81" i="75"/>
  <c r="AX70" i="75"/>
  <c r="AX73" i="75"/>
  <c r="AX50" i="75"/>
  <c r="AX49" i="76" s="1"/>
  <c r="AX159" i="76" s="1"/>
  <c r="AX56" i="75"/>
  <c r="AX55" i="76" s="1"/>
  <c r="AX165" i="76" s="1"/>
  <c r="AX39" i="75"/>
  <c r="AX38" i="76" s="1"/>
  <c r="AX148" i="76" s="1"/>
  <c r="AX25" i="75"/>
  <c r="AX24" i="76" s="1"/>
  <c r="AX134" i="76" s="1"/>
  <c r="AX34" i="75"/>
  <c r="AX33" i="76" s="1"/>
  <c r="AX143" i="76" s="1"/>
  <c r="AX18" i="75"/>
  <c r="AX17" i="76" s="1"/>
  <c r="AX127" i="76" s="1"/>
  <c r="AX42" i="75"/>
  <c r="AX41" i="76" s="1"/>
  <c r="AX151" i="76" s="1"/>
  <c r="AX330" i="75"/>
  <c r="AX393" i="76" s="1"/>
  <c r="AX295" i="75"/>
  <c r="AX277" i="75"/>
  <c r="AX268" i="75"/>
  <c r="AX209" i="75"/>
  <c r="AX359" i="76" s="1"/>
  <c r="AX193" i="75"/>
  <c r="AX74" i="75"/>
  <c r="AX44" i="75"/>
  <c r="AX43" i="76" s="1"/>
  <c r="AX153" i="76" s="1"/>
  <c r="AX19" i="75"/>
  <c r="AX18" i="76" s="1"/>
  <c r="AX128" i="76" s="1"/>
  <c r="AX397" i="75"/>
  <c r="AX316" i="75"/>
  <c r="AX379" i="76" s="1"/>
  <c r="AX324" i="75"/>
  <c r="AX387" i="76" s="1"/>
  <c r="AX309" i="75"/>
  <c r="AX294" i="75"/>
  <c r="AX293" i="75"/>
  <c r="AX281" i="75"/>
  <c r="AX271" i="75"/>
  <c r="AX272" i="75"/>
  <c r="AX216" i="75"/>
  <c r="AX213" i="75"/>
  <c r="AX363" i="76" s="1"/>
  <c r="AX207" i="75"/>
  <c r="AX194" i="75"/>
  <c r="AX188" i="75"/>
  <c r="AX338" i="76" s="1"/>
  <c r="AX172" i="75"/>
  <c r="AX175" i="75"/>
  <c r="AX90" i="75"/>
  <c r="AX78" i="75"/>
  <c r="AX68" i="75"/>
  <c r="AX64" i="75"/>
  <c r="AX48" i="75"/>
  <c r="AX47" i="76" s="1"/>
  <c r="AX157" i="76" s="1"/>
  <c r="AX53" i="75"/>
  <c r="AX52" i="76" s="1"/>
  <c r="AX162" i="76" s="1"/>
  <c r="AX37" i="75"/>
  <c r="AX36" i="76" s="1"/>
  <c r="AX146" i="76" s="1"/>
  <c r="AX23" i="75"/>
  <c r="AX22" i="76" s="1"/>
  <c r="AX132" i="76" s="1"/>
  <c r="AX32" i="75"/>
  <c r="AX31" i="76" s="1"/>
  <c r="AX141" i="76" s="1"/>
  <c r="AX16" i="75"/>
  <c r="AX15" i="76" s="1"/>
  <c r="AX125" i="76" s="1"/>
  <c r="AX9" i="75"/>
  <c r="AX306" i="75"/>
  <c r="AX190" i="75"/>
  <c r="AX340" i="76" s="1"/>
  <c r="AX69" i="75"/>
  <c r="AX35" i="75"/>
  <c r="AX34" i="76" s="1"/>
  <c r="AX144" i="76" s="1"/>
  <c r="AX12" i="75"/>
  <c r="AX11" i="76" s="1"/>
  <c r="AX121" i="76" s="1"/>
  <c r="AX404" i="75"/>
  <c r="AX326" i="75"/>
  <c r="AX389" i="76" s="1"/>
  <c r="AX313" i="75"/>
  <c r="AX376" i="76" s="1"/>
  <c r="AX305" i="75"/>
  <c r="AX308" i="75"/>
  <c r="AX291" i="75"/>
  <c r="AX279" i="75"/>
  <c r="AX269" i="75"/>
  <c r="AX270" i="75"/>
  <c r="AX214" i="75"/>
  <c r="AX211" i="75"/>
  <c r="AX361" i="76" s="1"/>
  <c r="AX206" i="75"/>
  <c r="AX192" i="75"/>
  <c r="AX187" i="75"/>
  <c r="AX185" i="75"/>
  <c r="AX173" i="75"/>
  <c r="AX84" i="75"/>
  <c r="AX77" i="75"/>
  <c r="AX66" i="75"/>
  <c r="AX62" i="75"/>
  <c r="AX46" i="75"/>
  <c r="AX45" i="76" s="1"/>
  <c r="AX155" i="76" s="1"/>
  <c r="AX51" i="75"/>
  <c r="AX50" i="76" s="1"/>
  <c r="AX160" i="76" s="1"/>
  <c r="AX61" i="75"/>
  <c r="AX21" i="75"/>
  <c r="AX20" i="76" s="1"/>
  <c r="AX130" i="76" s="1"/>
  <c r="AX30" i="75"/>
  <c r="AX29" i="76" s="1"/>
  <c r="AX139" i="76" s="1"/>
  <c r="AX14" i="75"/>
  <c r="AX13" i="76" s="1"/>
  <c r="AX123" i="76" s="1"/>
  <c r="AX322" i="75"/>
  <c r="AX400" i="75"/>
  <c r="AX335" i="75"/>
  <c r="AX398" i="76" s="1"/>
  <c r="AX312" i="75"/>
  <c r="AX375" i="76" s="1"/>
  <c r="AX307" i="75"/>
  <c r="AX299" i="75"/>
  <c r="AX301" i="75"/>
  <c r="AX286" i="75"/>
  <c r="AX265" i="75"/>
  <c r="AX266" i="75"/>
  <c r="AX261" i="75"/>
  <c r="AX260" i="75"/>
  <c r="AX202" i="75"/>
  <c r="AX203" i="75"/>
  <c r="AX353" i="76" s="1"/>
  <c r="AX182" i="75"/>
  <c r="AX189" i="75"/>
  <c r="AX191" i="75"/>
  <c r="AX86" i="75"/>
  <c r="AX65" i="75"/>
  <c r="AX80" i="75"/>
  <c r="AX67" i="75"/>
  <c r="AX60" i="75"/>
  <c r="AX47" i="75"/>
  <c r="AX46" i="76" s="1"/>
  <c r="AX156" i="76" s="1"/>
  <c r="AX33" i="75"/>
  <c r="AX32" i="76" s="1"/>
  <c r="AX142" i="76" s="1"/>
  <c r="AX17" i="75"/>
  <c r="AX16" i="76" s="1"/>
  <c r="AX126" i="76" s="1"/>
  <c r="AX26" i="75"/>
  <c r="AX25" i="76" s="1"/>
  <c r="AX135" i="76" s="1"/>
  <c r="AX10" i="75"/>
  <c r="AX9" i="76" s="1"/>
  <c r="AX119" i="76" s="1"/>
  <c r="AX304" i="75"/>
  <c r="AX267" i="75"/>
  <c r="AX212" i="75"/>
  <c r="AX362" i="76" s="1"/>
  <c r="AX184" i="75"/>
  <c r="AX83" i="75"/>
  <c r="AX49" i="75"/>
  <c r="AX48" i="76" s="1"/>
  <c r="AX158" i="76" s="1"/>
  <c r="AX1" i="76"/>
  <c r="AT66" i="76"/>
  <c r="AT176" i="76"/>
  <c r="AT341" i="76"/>
  <c r="J300" i="70"/>
  <c r="J308" i="70" s="1"/>
  <c r="J304" i="71"/>
  <c r="AP198" i="76"/>
  <c r="AL116" i="76"/>
  <c r="M262" i="70" a="1"/>
  <c r="M262" i="70" s="1"/>
  <c r="J264" i="70"/>
  <c r="IF15" i="70"/>
  <c r="HT15" i="70"/>
  <c r="HS15" i="70"/>
  <c r="AT325" i="76"/>
  <c r="AT91" i="75"/>
  <c r="AT8" i="76"/>
  <c r="AT118" i="76" s="1"/>
  <c r="AT340" i="75"/>
  <c r="AT71" i="76"/>
  <c r="AT181" i="76"/>
  <c r="AT363" i="76"/>
  <c r="AT60" i="76"/>
  <c r="AT170" i="76"/>
  <c r="AT355" i="76"/>
  <c r="AP200" i="76"/>
  <c r="HY15" i="71"/>
  <c r="J285" i="71"/>
  <c r="J289" i="70"/>
  <c r="AM106" i="75"/>
  <c r="AL107" i="75"/>
  <c r="K263" i="70"/>
  <c r="HR16" i="70" s="1"/>
  <c r="AT344" i="76"/>
  <c r="AT70" i="76"/>
  <c r="AT180" i="76"/>
  <c r="AT357" i="76"/>
  <c r="AT362" i="76"/>
  <c r="HQ13" i="71"/>
  <c r="H265" i="70"/>
  <c r="H261" i="71"/>
  <c r="HY16" i="71"/>
  <c r="K289" i="70"/>
  <c r="K285" i="71"/>
  <c r="AP96" i="75"/>
  <c r="AP99" i="75" s="1"/>
  <c r="AP105" i="75" s="1"/>
  <c r="AP95" i="75"/>
  <c r="AP406" i="76"/>
  <c r="AP202" i="76" s="1"/>
  <c r="AP401" i="76"/>
  <c r="AP92" i="76" s="1"/>
  <c r="AP90" i="76"/>
  <c r="M288" i="70"/>
  <c r="IH18" i="70"/>
  <c r="IA18" i="70"/>
  <c r="IB18" i="70"/>
  <c r="G267" i="70"/>
  <c r="G268" i="70"/>
  <c r="G266" i="70"/>
  <c r="G269" i="70"/>
  <c r="G313" i="70"/>
  <c r="AT93" i="75"/>
  <c r="AT89" i="76"/>
  <c r="AT154" i="76"/>
  <c r="AT352" i="76"/>
  <c r="AT366" i="76"/>
  <c r="AT353" i="76"/>
  <c r="AT341" i="75"/>
  <c r="AT369" i="76"/>
  <c r="L288" i="70"/>
  <c r="IA17" i="70"/>
  <c r="IB17" i="70"/>
  <c r="IH17" i="70"/>
  <c r="AL227" i="76"/>
  <c r="E309" i="70"/>
  <c r="AT251" i="75"/>
  <c r="AT254" i="75" s="1"/>
  <c r="AT255" i="75" s="1"/>
  <c r="AT321" i="76"/>
  <c r="AT428" i="75"/>
  <c r="AT430" i="75" s="1"/>
  <c r="AT431" i="75" s="1"/>
  <c r="AT98" i="75" s="1"/>
  <c r="AT328" i="76"/>
  <c r="AT358" i="76"/>
  <c r="AT68" i="76"/>
  <c r="AT178" i="76"/>
  <c r="AT360" i="76"/>
  <c r="U23" i="52"/>
  <c r="T22" i="52"/>
  <c r="U21" i="52"/>
  <c r="T20" i="52"/>
  <c r="U19" i="52"/>
  <c r="T18" i="52"/>
  <c r="AM3" i="48"/>
  <c r="AE3" i="48"/>
  <c r="AB3" i="48"/>
  <c r="AF6" i="48" s="1"/>
  <c r="X6" i="50"/>
  <c r="N288" i="70" l="1"/>
  <c r="AD107" i="75"/>
  <c r="AE106" i="75"/>
  <c r="IH19" i="70"/>
  <c r="H282" i="70"/>
  <c r="H283" i="70" s="1"/>
  <c r="IB19" i="70"/>
  <c r="AX352" i="76"/>
  <c r="N251" i="70"/>
  <c r="HN19" i="70" s="1"/>
  <c r="O250" i="70" a="1"/>
  <c r="O250" i="70" s="1"/>
  <c r="AH107" i="75"/>
  <c r="AI106" i="75"/>
  <c r="M252" i="70"/>
  <c r="HO18" i="70"/>
  <c r="IE18" i="70"/>
  <c r="HP18" i="70"/>
  <c r="O286" i="70" a="1"/>
  <c r="O286" i="70" s="1"/>
  <c r="P286" i="70" s="1" a="1"/>
  <c r="P286" i="70" s="1"/>
  <c r="HV18" i="70"/>
  <c r="K256" i="70"/>
  <c r="K257" i="70"/>
  <c r="K255" i="70"/>
  <c r="K299" i="70"/>
  <c r="K312" i="70"/>
  <c r="K254" i="70"/>
  <c r="BB1" i="75"/>
  <c r="L249" i="71"/>
  <c r="L253" i="70"/>
  <c r="HM17" i="71"/>
  <c r="AX342" i="76"/>
  <c r="AX344" i="76"/>
  <c r="AX343" i="76"/>
  <c r="AX326" i="76"/>
  <c r="AX367" i="76"/>
  <c r="AX330" i="76"/>
  <c r="AT94" i="75"/>
  <c r="AX356" i="76"/>
  <c r="AX327" i="76"/>
  <c r="H302" i="70"/>
  <c r="H310" i="70" s="1"/>
  <c r="H306" i="71"/>
  <c r="I279" i="70"/>
  <c r="I281" i="70"/>
  <c r="I280" i="70"/>
  <c r="I314" i="70"/>
  <c r="I278" i="70"/>
  <c r="AX339" i="76"/>
  <c r="AX334" i="76"/>
  <c r="AX332" i="76"/>
  <c r="AX346" i="76"/>
  <c r="AX328" i="76"/>
  <c r="K276" i="70"/>
  <c r="HX16" i="70"/>
  <c r="IG16" i="70"/>
  <c r="HW16" i="70"/>
  <c r="HX17" i="70"/>
  <c r="L276" i="70"/>
  <c r="HW17" i="70"/>
  <c r="IG17" i="70"/>
  <c r="N274" i="70" a="1"/>
  <c r="N274" i="70" s="1"/>
  <c r="AX365" i="76"/>
  <c r="J277" i="70"/>
  <c r="J273" i="71"/>
  <c r="HU15" i="71"/>
  <c r="HT16" i="70"/>
  <c r="IF16" i="70"/>
  <c r="K264" i="70"/>
  <c r="HS16" i="70"/>
  <c r="HR17" i="70"/>
  <c r="I269" i="70"/>
  <c r="I266" i="70"/>
  <c r="I267" i="70"/>
  <c r="I268" i="70"/>
  <c r="I313" i="70"/>
  <c r="N289" i="70"/>
  <c r="N285" i="71"/>
  <c r="HY19" i="71"/>
  <c r="H313" i="70"/>
  <c r="H267" i="70"/>
  <c r="H269" i="70"/>
  <c r="H268" i="70"/>
  <c r="H266" i="70"/>
  <c r="AX341" i="76"/>
  <c r="AX342" i="75"/>
  <c r="AX385" i="76"/>
  <c r="AX175" i="76"/>
  <c r="AX65" i="76"/>
  <c r="AX91" i="75"/>
  <c r="AX8" i="76"/>
  <c r="AX118" i="76" s="1"/>
  <c r="AX93" i="75"/>
  <c r="AX324" i="76"/>
  <c r="AX251" i="75"/>
  <c r="AX254" i="75" s="1"/>
  <c r="AX255" i="75" s="1"/>
  <c r="AX321" i="76"/>
  <c r="AX70" i="76"/>
  <c r="AX180" i="76"/>
  <c r="AX350" i="76"/>
  <c r="AX154" i="76"/>
  <c r="AX89" i="76"/>
  <c r="H303" i="70"/>
  <c r="H311" i="70" s="1"/>
  <c r="H307" i="71"/>
  <c r="AX336" i="76"/>
  <c r="AX364" i="76"/>
  <c r="AX366" i="76"/>
  <c r="AX345" i="76"/>
  <c r="AX331" i="76"/>
  <c r="AX340" i="75"/>
  <c r="H294" i="70"/>
  <c r="H295" i="70" s="1"/>
  <c r="AX351" i="76"/>
  <c r="AX368" i="76"/>
  <c r="I291" i="70"/>
  <c r="I293" i="70"/>
  <c r="I290" i="70"/>
  <c r="I292" i="70"/>
  <c r="I315" i="70"/>
  <c r="M289" i="70"/>
  <c r="M285" i="71"/>
  <c r="HY18" i="71"/>
  <c r="G270" i="70"/>
  <c r="G271" i="70" s="1"/>
  <c r="AP107" i="75"/>
  <c r="AQ106" i="75"/>
  <c r="AT343" i="75"/>
  <c r="AT344" i="75" s="1"/>
  <c r="AT97" i="75" s="1"/>
  <c r="J261" i="71"/>
  <c r="J265" i="70"/>
  <c r="HQ15" i="71"/>
  <c r="AP227" i="76"/>
  <c r="AX323" i="76"/>
  <c r="AX325" i="76"/>
  <c r="AX71" i="76"/>
  <c r="AX181" i="76"/>
  <c r="AX358" i="76"/>
  <c r="AX92" i="75"/>
  <c r="AX56" i="76"/>
  <c r="AX166" i="76"/>
  <c r="AX349" i="76"/>
  <c r="AX428" i="75"/>
  <c r="AX430" i="75" s="1"/>
  <c r="AX431" i="75" s="1"/>
  <c r="AX98" i="75" s="1"/>
  <c r="AT91" i="76"/>
  <c r="AP116" i="76"/>
  <c r="AT96" i="75"/>
  <c r="AT99" i="75" s="1"/>
  <c r="AT105" i="75" s="1"/>
  <c r="AT95" i="75"/>
  <c r="AX341" i="75"/>
  <c r="AX369" i="76"/>
  <c r="AT88" i="76"/>
  <c r="G301" i="70"/>
  <c r="G305" i="71"/>
  <c r="AX66" i="76"/>
  <c r="AX176" i="76"/>
  <c r="AX170" i="76"/>
  <c r="AX60" i="76"/>
  <c r="AX335" i="76"/>
  <c r="AX322" i="76"/>
  <c r="AX69" i="76"/>
  <c r="AX179" i="76"/>
  <c r="AX360" i="76"/>
  <c r="AT200" i="76"/>
  <c r="AX402" i="76"/>
  <c r="AX67" i="76"/>
  <c r="AX168" i="76"/>
  <c r="AX403" i="76"/>
  <c r="AX167" i="76"/>
  <c r="AX169" i="76"/>
  <c r="AX371" i="76"/>
  <c r="AX145" i="76"/>
  <c r="AX372" i="76"/>
  <c r="AX370" i="76"/>
  <c r="AX59" i="76"/>
  <c r="AX348" i="76"/>
  <c r="AX58" i="76"/>
  <c r="AX405" i="76"/>
  <c r="AX177" i="76"/>
  <c r="AX57" i="76"/>
  <c r="AX404" i="76"/>
  <c r="AX35" i="76"/>
  <c r="AX357" i="76"/>
  <c r="AT406" i="76"/>
  <c r="AT202" i="76" s="1"/>
  <c r="AT401" i="76"/>
  <c r="AT92" i="76" s="1"/>
  <c r="HY17" i="71"/>
  <c r="L289" i="70"/>
  <c r="L285" i="71"/>
  <c r="K293" i="70"/>
  <c r="K291" i="70"/>
  <c r="K315" i="70"/>
  <c r="K290" i="70"/>
  <c r="K292" i="70"/>
  <c r="J315" i="70"/>
  <c r="J292" i="70"/>
  <c r="J291" i="70"/>
  <c r="J293" i="70"/>
  <c r="J290" i="70"/>
  <c r="AT198" i="76"/>
  <c r="N262" i="70" a="1"/>
  <c r="N262" i="70" s="1"/>
  <c r="M263" i="70"/>
  <c r="HR18" i="70" s="1"/>
  <c r="AX337" i="76"/>
  <c r="AX68" i="76"/>
  <c r="AX178" i="76"/>
  <c r="AX329" i="76"/>
  <c r="AX354" i="76"/>
  <c r="AX355" i="76"/>
  <c r="AX333" i="76"/>
  <c r="AT201" i="76"/>
  <c r="AT90" i="76"/>
  <c r="J12" i="51"/>
  <c r="H6" i="48"/>
  <c r="O287" i="70" l="1"/>
  <c r="HZ20" i="70" s="1"/>
  <c r="I294" i="70"/>
  <c r="I295" i="70" s="1"/>
  <c r="K304" i="71"/>
  <c r="K300" i="70"/>
  <c r="K308" i="70" s="1"/>
  <c r="HM18" i="71"/>
  <c r="M253" i="70"/>
  <c r="M249" i="71"/>
  <c r="I282" i="70"/>
  <c r="I283" i="70" s="1"/>
  <c r="L299" i="70"/>
  <c r="L255" i="70"/>
  <c r="L312" i="70"/>
  <c r="BF1" i="75"/>
  <c r="L256" i="70"/>
  <c r="L257" i="70"/>
  <c r="L254" i="70"/>
  <c r="K258" i="70"/>
  <c r="K259" i="70" s="1"/>
  <c r="M276" i="70"/>
  <c r="HX18" i="70"/>
  <c r="IG18" i="70"/>
  <c r="HW18" i="70"/>
  <c r="O251" i="70"/>
  <c r="HN20" i="70" s="1"/>
  <c r="P250" i="70" a="1"/>
  <c r="P250" i="70" s="1"/>
  <c r="BB303" i="75"/>
  <c r="BB195" i="75"/>
  <c r="BB70" i="75"/>
  <c r="BB399" i="75"/>
  <c r="BB263" i="75"/>
  <c r="BB66" i="75"/>
  <c r="BB27" i="75"/>
  <c r="BB26" i="76" s="1"/>
  <c r="BB136" i="76" s="1"/>
  <c r="BB397" i="75"/>
  <c r="BB281" i="75"/>
  <c r="BB80" i="75"/>
  <c r="BB25" i="75"/>
  <c r="BB24" i="76" s="1"/>
  <c r="BB134" i="76" s="1"/>
  <c r="BB395" i="75"/>
  <c r="BB275" i="75"/>
  <c r="BB79" i="75"/>
  <c r="BB23" i="75"/>
  <c r="BB22" i="76" s="1"/>
  <c r="BB132" i="76" s="1"/>
  <c r="BB307" i="75"/>
  <c r="BB203" i="75"/>
  <c r="BB65" i="75"/>
  <c r="BB396" i="75"/>
  <c r="BB271" i="75"/>
  <c r="BB87" i="75"/>
  <c r="BB35" i="75"/>
  <c r="BB34" i="76" s="1"/>
  <c r="BB144" i="76" s="1"/>
  <c r="BB269" i="75"/>
  <c r="BB328" i="75"/>
  <c r="BB391" i="76" s="1"/>
  <c r="BB260" i="75"/>
  <c r="BB64" i="75"/>
  <c r="BB15" i="75"/>
  <c r="BB14" i="76" s="1"/>
  <c r="BB124" i="76" s="1"/>
  <c r="BB300" i="75"/>
  <c r="BB200" i="75"/>
  <c r="BB45" i="75"/>
  <c r="BB44" i="76" s="1"/>
  <c r="BB334" i="75"/>
  <c r="BB397" i="76" s="1"/>
  <c r="BB262" i="75"/>
  <c r="BB71" i="75"/>
  <c r="BB11" i="75"/>
  <c r="BB10" i="76" s="1"/>
  <c r="BB120" i="76" s="1"/>
  <c r="BB337" i="75"/>
  <c r="BB400" i="76" s="1"/>
  <c r="BB216" i="75"/>
  <c r="BB60" i="75"/>
  <c r="BB9" i="75"/>
  <c r="BB316" i="75"/>
  <c r="BB379" i="76" s="1"/>
  <c r="BB214" i="75"/>
  <c r="BB364" i="76" s="1"/>
  <c r="BB58" i="75"/>
  <c r="BB16" i="75"/>
  <c r="BB15" i="76" s="1"/>
  <c r="BB125" i="76" s="1"/>
  <c r="BB295" i="75"/>
  <c r="BB211" i="75"/>
  <c r="BB53" i="75"/>
  <c r="BB52" i="76" s="1"/>
  <c r="BB162" i="76" s="1"/>
  <c r="BB332" i="75"/>
  <c r="BB395" i="76" s="1"/>
  <c r="BB215" i="75"/>
  <c r="BB75" i="75"/>
  <c r="BB19" i="75"/>
  <c r="BB18" i="76" s="1"/>
  <c r="BB128" i="76" s="1"/>
  <c r="BB261" i="75"/>
  <c r="BB314" i="75"/>
  <c r="BB377" i="76" s="1"/>
  <c r="BB259" i="75"/>
  <c r="BB86" i="75"/>
  <c r="BB37" i="75"/>
  <c r="BB36" i="76" s="1"/>
  <c r="BB146" i="76" s="1"/>
  <c r="BB20" i="75"/>
  <c r="BB19" i="76" s="1"/>
  <c r="BB129" i="76" s="1"/>
  <c r="BB309" i="75"/>
  <c r="BB81" i="75"/>
  <c r="BB44" i="75"/>
  <c r="BB43" i="76" s="1"/>
  <c r="BB153" i="76" s="1"/>
  <c r="BB293" i="75"/>
  <c r="BB175" i="75"/>
  <c r="BB42" i="75"/>
  <c r="BB41" i="76" s="1"/>
  <c r="BB151" i="76" s="1"/>
  <c r="BB313" i="75"/>
  <c r="BB376" i="76" s="1"/>
  <c r="BB206" i="75"/>
  <c r="BB78" i="75"/>
  <c r="BB304" i="75"/>
  <c r="BB312" i="75"/>
  <c r="BB375" i="76" s="1"/>
  <c r="BB207" i="75"/>
  <c r="BB77" i="75"/>
  <c r="BB405" i="75"/>
  <c r="BB315" i="75"/>
  <c r="BB378" i="76" s="1"/>
  <c r="BB198" i="75"/>
  <c r="BB74" i="75"/>
  <c r="BB268" i="75"/>
  <c r="BB302" i="75"/>
  <c r="BB183" i="75"/>
  <c r="BB50" i="75"/>
  <c r="BB49" i="76" s="1"/>
  <c r="BB159" i="76" s="1"/>
  <c r="BB311" i="75"/>
  <c r="BB374" i="76" s="1"/>
  <c r="BB210" i="75"/>
  <c r="BB67" i="75"/>
  <c r="BB10" i="75"/>
  <c r="BB9" i="76" s="1"/>
  <c r="BB119" i="76" s="1"/>
  <c r="BB204" i="75"/>
  <c r="BB310" i="75"/>
  <c r="BB373" i="76" s="1"/>
  <c r="BB197" i="75"/>
  <c r="BB84" i="75"/>
  <c r="BB1" i="76"/>
  <c r="BB199" i="75"/>
  <c r="BB176" i="75"/>
  <c r="BB326" i="76" s="1"/>
  <c r="BB51" i="75"/>
  <c r="BB50" i="76" s="1"/>
  <c r="BB160" i="76" s="1"/>
  <c r="BB298" i="75"/>
  <c r="BB287" i="75"/>
  <c r="BB184" i="75"/>
  <c r="BB334" i="76" s="1"/>
  <c r="BB43" i="75"/>
  <c r="BB42" i="76" s="1"/>
  <c r="BB152" i="76" s="1"/>
  <c r="BB301" i="75"/>
  <c r="BB193" i="75"/>
  <c r="BB68" i="75"/>
  <c r="BB205" i="75"/>
  <c r="BB355" i="76" s="1"/>
  <c r="BB299" i="75"/>
  <c r="BB191" i="75"/>
  <c r="BB62" i="75"/>
  <c r="BB213" i="75"/>
  <c r="BB363" i="76" s="1"/>
  <c r="BB297" i="75"/>
  <c r="BB209" i="75"/>
  <c r="BB56" i="75"/>
  <c r="BB55" i="76" s="1"/>
  <c r="BB165" i="76" s="1"/>
  <c r="BB90" i="75"/>
  <c r="BB282" i="75"/>
  <c r="BB190" i="75"/>
  <c r="BB55" i="75"/>
  <c r="BB54" i="76" s="1"/>
  <c r="BB164" i="76" s="1"/>
  <c r="BB308" i="75"/>
  <c r="BB201" i="75"/>
  <c r="BB63" i="75"/>
  <c r="BB336" i="75"/>
  <c r="BB399" i="76" s="1"/>
  <c r="BB172" i="75"/>
  <c r="BB322" i="76" s="1"/>
  <c r="BB305" i="75"/>
  <c r="BB202" i="75"/>
  <c r="BB47" i="75"/>
  <c r="BB46" i="76" s="1"/>
  <c r="BB156" i="76" s="1"/>
  <c r="BB103" i="75"/>
  <c r="BB208" i="75"/>
  <c r="BB177" i="75"/>
  <c r="BB264" i="75"/>
  <c r="BB291" i="75"/>
  <c r="BB187" i="75"/>
  <c r="BB72" i="75"/>
  <c r="BB289" i="75"/>
  <c r="BB185" i="75"/>
  <c r="BB54" i="75"/>
  <c r="BB53" i="76" s="1"/>
  <c r="BB163" i="76" s="1"/>
  <c r="BB179" i="75"/>
  <c r="BB292" i="75"/>
  <c r="BB196" i="75"/>
  <c r="BB52" i="75"/>
  <c r="BB51" i="76" s="1"/>
  <c r="BB161" i="76" s="1"/>
  <c r="BB24" i="75"/>
  <c r="BB23" i="76" s="1"/>
  <c r="BB133" i="76" s="1"/>
  <c r="BB272" i="75"/>
  <c r="BB28" i="75"/>
  <c r="BB27" i="76" s="1"/>
  <c r="BB137" i="76" s="1"/>
  <c r="BB326" i="75"/>
  <c r="BB389" i="76" s="1"/>
  <c r="BB401" i="75"/>
  <c r="BB265" i="75"/>
  <c r="BB82" i="75"/>
  <c r="BB29" i="75"/>
  <c r="BB28" i="76" s="1"/>
  <c r="BB138" i="76" s="1"/>
  <c r="BB286" i="75"/>
  <c r="BB173" i="75"/>
  <c r="BB40" i="75"/>
  <c r="BB39" i="76" s="1"/>
  <c r="BB149" i="76" s="1"/>
  <c r="BB61" i="75"/>
  <c r="BB290" i="75"/>
  <c r="BB192" i="75"/>
  <c r="BB38" i="75"/>
  <c r="BB37" i="76" s="1"/>
  <c r="BB147" i="76" s="1"/>
  <c r="BB73" i="75"/>
  <c r="BB284" i="75"/>
  <c r="BB194" i="75"/>
  <c r="BB59" i="75"/>
  <c r="BB398" i="75"/>
  <c r="BB273" i="75"/>
  <c r="BB89" i="75"/>
  <c r="BB39" i="75"/>
  <c r="BB38" i="76" s="1"/>
  <c r="BB148" i="76" s="1"/>
  <c r="BB296" i="75"/>
  <c r="BB181" i="75"/>
  <c r="BB48" i="75"/>
  <c r="BB47" i="76" s="1"/>
  <c r="BB157" i="76" s="1"/>
  <c r="BB306" i="75"/>
  <c r="BB46" i="75"/>
  <c r="BB45" i="76" s="1"/>
  <c r="BB155" i="76" s="1"/>
  <c r="BB288" i="75"/>
  <c r="BB188" i="75"/>
  <c r="BB338" i="76" s="1"/>
  <c r="BB36" i="75"/>
  <c r="BB324" i="75"/>
  <c r="BB387" i="76" s="1"/>
  <c r="BB258" i="75"/>
  <c r="BB83" i="75"/>
  <c r="BB13" i="75"/>
  <c r="BB12" i="76" s="1"/>
  <c r="BB122" i="76" s="1"/>
  <c r="BB285" i="75"/>
  <c r="BB182" i="75"/>
  <c r="BB332" i="76" s="1"/>
  <c r="BB34" i="75"/>
  <c r="BB33" i="76" s="1"/>
  <c r="BB143" i="76" s="1"/>
  <c r="BB33" i="75"/>
  <c r="BB32" i="76" s="1"/>
  <c r="BB142" i="76" s="1"/>
  <c r="BB283" i="75"/>
  <c r="BB180" i="75"/>
  <c r="BB32" i="75"/>
  <c r="BB31" i="76" s="1"/>
  <c r="BB141" i="76" s="1"/>
  <c r="BB49" i="75"/>
  <c r="BB48" i="76" s="1"/>
  <c r="BB158" i="76" s="1"/>
  <c r="BB274" i="75"/>
  <c r="BB178" i="75"/>
  <c r="BB30" i="75"/>
  <c r="BB29" i="76" s="1"/>
  <c r="BB139" i="76" s="1"/>
  <c r="BB335" i="75"/>
  <c r="BB398" i="76" s="1"/>
  <c r="BB218" i="75"/>
  <c r="BB368" i="76" s="1"/>
  <c r="BB76" i="75"/>
  <c r="BB21" i="75"/>
  <c r="BB20" i="76" s="1"/>
  <c r="BB130" i="76" s="1"/>
  <c r="BB280" i="75"/>
  <c r="BB189" i="75"/>
  <c r="BB57" i="75"/>
  <c r="BB294" i="75"/>
  <c r="BB17" i="75"/>
  <c r="BB16" i="76" s="1"/>
  <c r="BB126" i="76" s="1"/>
  <c r="BB266" i="75"/>
  <c r="BB104" i="75"/>
  <c r="BB22" i="75"/>
  <c r="BB21" i="76" s="1"/>
  <c r="BB131" i="76" s="1"/>
  <c r="BB322" i="75"/>
  <c r="BB217" i="75"/>
  <c r="BB85" i="75"/>
  <c r="BB404" i="75"/>
  <c r="BB276" i="75"/>
  <c r="BB102" i="75"/>
  <c r="BB18" i="75"/>
  <c r="BB17" i="76" s="1"/>
  <c r="BB127" i="76" s="1"/>
  <c r="BB402" i="75"/>
  <c r="BB277" i="75"/>
  <c r="BB186" i="75"/>
  <c r="BB14" i="75"/>
  <c r="BB13" i="76" s="1"/>
  <c r="BB123" i="76" s="1"/>
  <c r="BB400" i="75"/>
  <c r="BB279" i="75"/>
  <c r="BB171" i="75"/>
  <c r="BB41" i="75"/>
  <c r="BB40" i="76" s="1"/>
  <c r="BB150" i="76" s="1"/>
  <c r="BB330" i="75"/>
  <c r="BB393" i="76" s="1"/>
  <c r="BB212" i="75"/>
  <c r="BB69" i="75"/>
  <c r="BB12" i="75"/>
  <c r="BB11" i="76" s="1"/>
  <c r="BB121" i="76" s="1"/>
  <c r="BB270" i="75"/>
  <c r="BB174" i="75"/>
  <c r="BB324" i="76" s="1"/>
  <c r="BB26" i="75"/>
  <c r="BB25" i="76" s="1"/>
  <c r="BB135" i="76" s="1"/>
  <c r="BB278" i="75"/>
  <c r="BB403" i="75"/>
  <c r="BB267" i="75"/>
  <c r="BB88" i="75"/>
  <c r="BB31" i="75"/>
  <c r="BB30" i="76" s="1"/>
  <c r="BB140" i="76" s="1"/>
  <c r="HP19" i="70"/>
  <c r="HO19" i="70"/>
  <c r="N252" i="70"/>
  <c r="IE19" i="70"/>
  <c r="O274" i="70" a="1"/>
  <c r="O274" i="70" s="1"/>
  <c r="N275" i="70"/>
  <c r="HV19" i="70" s="1"/>
  <c r="K273" i="71"/>
  <c r="HU16" i="71"/>
  <c r="K277" i="70"/>
  <c r="K294" i="70"/>
  <c r="K295" i="70" s="1"/>
  <c r="I302" i="70"/>
  <c r="I310" i="70" s="1"/>
  <c r="I306" i="71"/>
  <c r="L273" i="71"/>
  <c r="HU17" i="71"/>
  <c r="L277" i="70"/>
  <c r="J278" i="70"/>
  <c r="J314" i="70"/>
  <c r="J280" i="70"/>
  <c r="J279" i="70"/>
  <c r="J281" i="70"/>
  <c r="H270" i="70"/>
  <c r="H271" i="70" s="1"/>
  <c r="I270" i="70"/>
  <c r="I271" i="70" s="1"/>
  <c r="AX200" i="76"/>
  <c r="AX90" i="76"/>
  <c r="N315" i="70"/>
  <c r="N292" i="70"/>
  <c r="N291" i="70"/>
  <c r="N293" i="70"/>
  <c r="N290" i="70"/>
  <c r="AX401" i="76"/>
  <c r="AX92" i="76" s="1"/>
  <c r="AX406" i="76"/>
  <c r="AX202" i="76" s="1"/>
  <c r="AT227" i="76"/>
  <c r="AX343" i="75"/>
  <c r="AX344" i="75" s="1"/>
  <c r="AX97" i="75" s="1"/>
  <c r="AX88" i="76"/>
  <c r="HT17" i="70"/>
  <c r="IF17" i="70"/>
  <c r="HS17" i="70"/>
  <c r="L264" i="70"/>
  <c r="N263" i="70"/>
  <c r="O262" i="70" a="1"/>
  <c r="O262" i="70" s="1"/>
  <c r="K303" i="70"/>
  <c r="K311" i="70" s="1"/>
  <c r="K307" i="71"/>
  <c r="AX91" i="76"/>
  <c r="J268" i="70"/>
  <c r="J313" i="70"/>
  <c r="J267" i="70"/>
  <c r="J269" i="70"/>
  <c r="J266" i="70"/>
  <c r="M291" i="70"/>
  <c r="M290" i="70"/>
  <c r="M315" i="70"/>
  <c r="M292" i="70"/>
  <c r="M293" i="70"/>
  <c r="I301" i="70"/>
  <c r="I309" i="70" s="1"/>
  <c r="I305" i="71"/>
  <c r="P287" i="70"/>
  <c r="HZ21" i="70" s="1"/>
  <c r="Q286" i="70" a="1"/>
  <c r="Q286" i="70" s="1"/>
  <c r="I307" i="71"/>
  <c r="I303" i="70"/>
  <c r="I311" i="70" s="1"/>
  <c r="H305" i="71"/>
  <c r="H301" i="70"/>
  <c r="H309" i="70" s="1"/>
  <c r="K265" i="70"/>
  <c r="K261" i="71"/>
  <c r="HQ16" i="71"/>
  <c r="HR19" i="70"/>
  <c r="IF18" i="70"/>
  <c r="HS18" i="70"/>
  <c r="HT18" i="70"/>
  <c r="M264" i="70"/>
  <c r="AU106" i="75"/>
  <c r="AT107" i="75"/>
  <c r="J303" i="70"/>
  <c r="J311" i="70" s="1"/>
  <c r="J307" i="71"/>
  <c r="G309" i="70"/>
  <c r="IA20" i="70"/>
  <c r="IB20" i="70"/>
  <c r="O288" i="70"/>
  <c r="IH20" i="70"/>
  <c r="AX198" i="76"/>
  <c r="J294" i="70"/>
  <c r="J295" i="70" s="1"/>
  <c r="L293" i="70"/>
  <c r="L290" i="70"/>
  <c r="L291" i="70"/>
  <c r="L315" i="70"/>
  <c r="L292" i="70"/>
  <c r="AX201" i="76"/>
  <c r="AT116" i="76"/>
  <c r="AX94" i="75"/>
  <c r="T1" i="50"/>
  <c r="BB323" i="76" l="1"/>
  <c r="BB331" i="76"/>
  <c r="BB346" i="76"/>
  <c r="BB367" i="76"/>
  <c r="BB362" i="76"/>
  <c r="BB344" i="76"/>
  <c r="BB328" i="76"/>
  <c r="BB360" i="76"/>
  <c r="BB366" i="76"/>
  <c r="L258" i="70"/>
  <c r="L259" i="70" s="1"/>
  <c r="BB330" i="76"/>
  <c r="BB359" i="76"/>
  <c r="BB342" i="75"/>
  <c r="BB385" i="76"/>
  <c r="BB369" i="76"/>
  <c r="BB341" i="75"/>
  <c r="BB335" i="76"/>
  <c r="BB325" i="76"/>
  <c r="BB361" i="76"/>
  <c r="BB428" i="75"/>
  <c r="BB430" i="75" s="1"/>
  <c r="BB431" i="75" s="1"/>
  <c r="BB98" i="75" s="1"/>
  <c r="L304" i="71"/>
  <c r="L300" i="70"/>
  <c r="L308" i="70" s="1"/>
  <c r="BB347" i="76"/>
  <c r="BB333" i="76"/>
  <c r="BB357" i="76"/>
  <c r="BB179" i="76"/>
  <c r="BB69" i="76"/>
  <c r="HU18" i="71"/>
  <c r="M273" i="71"/>
  <c r="M277" i="70"/>
  <c r="BB340" i="75"/>
  <c r="BB352" i="76"/>
  <c r="BB340" i="76"/>
  <c r="BB341" i="76"/>
  <c r="BB345" i="76"/>
  <c r="HM19" i="71"/>
  <c r="N253" i="70"/>
  <c r="N249" i="71"/>
  <c r="BB251" i="75"/>
  <c r="BB254" i="75" s="1"/>
  <c r="BB255" i="75" s="1"/>
  <c r="BB321" i="76"/>
  <c r="BB71" i="76"/>
  <c r="BB181" i="76"/>
  <c r="BB337" i="76"/>
  <c r="BB354" i="76"/>
  <c r="BB70" i="76"/>
  <c r="BB180" i="76"/>
  <c r="BB353" i="76"/>
  <c r="Q250" i="70" a="1"/>
  <c r="Q250" i="70" s="1"/>
  <c r="P251" i="70"/>
  <c r="HN21" i="70" s="1"/>
  <c r="M256" i="70"/>
  <c r="BJ1" i="75"/>
  <c r="M299" i="70"/>
  <c r="M312" i="70"/>
  <c r="M254" i="70"/>
  <c r="M255" i="70"/>
  <c r="M257" i="70"/>
  <c r="BB342" i="76"/>
  <c r="BB93" i="75"/>
  <c r="BB176" i="76"/>
  <c r="BB66" i="76"/>
  <c r="BB356" i="76"/>
  <c r="BB365" i="76"/>
  <c r="HP20" i="70"/>
  <c r="HO20" i="70"/>
  <c r="O252" i="70"/>
  <c r="IE20" i="70"/>
  <c r="BB92" i="75"/>
  <c r="BB56" i="76"/>
  <c r="BB166" i="76"/>
  <c r="BB329" i="76"/>
  <c r="BB327" i="76"/>
  <c r="BB343" i="76"/>
  <c r="BB349" i="76"/>
  <c r="BB91" i="75"/>
  <c r="BB8" i="76"/>
  <c r="BB154" i="76"/>
  <c r="BB89" i="76"/>
  <c r="BB65" i="76"/>
  <c r="BB175" i="76"/>
  <c r="BF11" i="75"/>
  <c r="BF10" i="76" s="1"/>
  <c r="BF120" i="76" s="1"/>
  <c r="BF291" i="75"/>
  <c r="BF186" i="75"/>
  <c r="BF49" i="75"/>
  <c r="BF48" i="76" s="1"/>
  <c r="BF158" i="76" s="1"/>
  <c r="BF72" i="75"/>
  <c r="BF277" i="75"/>
  <c r="BF183" i="75"/>
  <c r="BF58" i="75"/>
  <c r="BF304" i="75"/>
  <c r="BF200" i="75"/>
  <c r="BF69" i="75"/>
  <c r="BF189" i="75"/>
  <c r="BF299" i="75"/>
  <c r="BF180" i="75"/>
  <c r="BF43" i="75"/>
  <c r="BF42" i="76" s="1"/>
  <c r="BF152" i="76" s="1"/>
  <c r="BF311" i="75"/>
  <c r="BF374" i="76" s="1"/>
  <c r="BF258" i="75"/>
  <c r="BF79" i="75"/>
  <c r="BF401" i="75"/>
  <c r="BF174" i="75"/>
  <c r="BF300" i="75"/>
  <c r="BF196" i="75"/>
  <c r="BF52" i="75"/>
  <c r="BF51" i="76" s="1"/>
  <c r="BF161" i="76" s="1"/>
  <c r="BF218" i="75"/>
  <c r="BF314" i="75"/>
  <c r="BF377" i="76" s="1"/>
  <c r="BF205" i="75"/>
  <c r="BF73" i="75"/>
  <c r="BF1" i="76"/>
  <c r="BF279" i="75"/>
  <c r="BF191" i="75"/>
  <c r="BF71" i="75"/>
  <c r="BF29" i="75"/>
  <c r="BF28" i="76" s="1"/>
  <c r="BF138" i="76" s="1"/>
  <c r="BF271" i="75"/>
  <c r="BF104" i="75"/>
  <c r="BF23" i="75"/>
  <c r="BF22" i="76" s="1"/>
  <c r="BF132" i="76" s="1"/>
  <c r="BF307" i="75"/>
  <c r="BF206" i="75"/>
  <c r="BF61" i="75"/>
  <c r="BF50" i="75"/>
  <c r="BF49" i="76" s="1"/>
  <c r="BF159" i="76" s="1"/>
  <c r="BF287" i="75"/>
  <c r="BF179" i="75"/>
  <c r="BF35" i="75"/>
  <c r="BF34" i="76" s="1"/>
  <c r="BF144" i="76" s="1"/>
  <c r="BF302" i="75"/>
  <c r="BF198" i="75"/>
  <c r="BF54" i="75"/>
  <c r="BF53" i="76" s="1"/>
  <c r="BF163" i="76" s="1"/>
  <c r="BF336" i="75"/>
  <c r="BF399" i="76" s="1"/>
  <c r="BF188" i="75"/>
  <c r="BF288" i="75"/>
  <c r="BF199" i="75"/>
  <c r="BF56" i="75"/>
  <c r="BF55" i="76" s="1"/>
  <c r="BF165" i="76" s="1"/>
  <c r="BF173" i="75"/>
  <c r="BF296" i="75"/>
  <c r="BF192" i="75"/>
  <c r="BF342" i="76" s="1"/>
  <c r="BF48" i="75"/>
  <c r="BF47" i="76" s="1"/>
  <c r="BF157" i="76" s="1"/>
  <c r="BF193" i="75"/>
  <c r="BF273" i="75"/>
  <c r="BF195" i="75"/>
  <c r="BF345" i="76" s="1"/>
  <c r="BF25" i="75"/>
  <c r="BF24" i="76" s="1"/>
  <c r="BF134" i="76" s="1"/>
  <c r="BF404" i="75"/>
  <c r="BF272" i="75"/>
  <c r="BF84" i="75"/>
  <c r="BF34" i="75"/>
  <c r="BF33" i="76" s="1"/>
  <c r="BF143" i="76" s="1"/>
  <c r="BF303" i="75"/>
  <c r="BF182" i="75"/>
  <c r="BF45" i="75"/>
  <c r="BF44" i="76" s="1"/>
  <c r="BF24" i="75"/>
  <c r="BF23" i="76" s="1"/>
  <c r="BF133" i="76" s="1"/>
  <c r="BF267" i="75"/>
  <c r="BF102" i="75"/>
  <c r="BF19" i="75"/>
  <c r="BF18" i="76" s="1"/>
  <c r="BF128" i="76" s="1"/>
  <c r="BF290" i="75"/>
  <c r="BF201" i="75"/>
  <c r="BF57" i="75"/>
  <c r="BF330" i="75"/>
  <c r="BF393" i="76" s="1"/>
  <c r="BF53" i="75"/>
  <c r="BF52" i="76" s="1"/>
  <c r="BF162" i="76" s="1"/>
  <c r="BF285" i="75"/>
  <c r="BF176" i="75"/>
  <c r="BF39" i="75"/>
  <c r="BF38" i="76" s="1"/>
  <c r="BF148" i="76" s="1"/>
  <c r="BF82" i="75"/>
  <c r="BF301" i="75"/>
  <c r="BF51" i="75"/>
  <c r="BF50" i="76" s="1"/>
  <c r="BF160" i="76" s="1"/>
  <c r="BF397" i="75"/>
  <c r="BF274" i="75"/>
  <c r="BF90" i="75"/>
  <c r="BF38" i="75"/>
  <c r="BF37" i="76" s="1"/>
  <c r="BF147" i="76" s="1"/>
  <c r="BF326" i="75"/>
  <c r="BF389" i="76" s="1"/>
  <c r="BF214" i="75"/>
  <c r="BF78" i="75"/>
  <c r="BF18" i="75"/>
  <c r="BF17" i="76" s="1"/>
  <c r="BF127" i="76" s="1"/>
  <c r="BF289" i="75"/>
  <c r="BF181" i="75"/>
  <c r="BF40" i="75"/>
  <c r="BF39" i="76" s="1"/>
  <c r="BF149" i="76" s="1"/>
  <c r="BF400" i="75"/>
  <c r="BF268" i="75"/>
  <c r="BF86" i="75"/>
  <c r="BF30" i="75"/>
  <c r="BF29" i="76" s="1"/>
  <c r="BF139" i="76" s="1"/>
  <c r="BF295" i="75"/>
  <c r="BF178" i="75"/>
  <c r="BF328" i="76" s="1"/>
  <c r="BF41" i="75"/>
  <c r="BF40" i="76" s="1"/>
  <c r="BF150" i="76" s="1"/>
  <c r="BF293" i="75"/>
  <c r="BF42" i="75"/>
  <c r="BF41" i="76" s="1"/>
  <c r="BF151" i="76" s="1"/>
  <c r="BF284" i="75"/>
  <c r="BF175" i="75"/>
  <c r="BF31" i="75"/>
  <c r="BF30" i="76" s="1"/>
  <c r="BF140" i="76" s="1"/>
  <c r="BF37" i="75"/>
  <c r="BF36" i="76" s="1"/>
  <c r="BF146" i="76" s="1"/>
  <c r="BF281" i="75"/>
  <c r="BF172" i="75"/>
  <c r="BF60" i="75"/>
  <c r="BF66" i="75"/>
  <c r="BF12" i="75"/>
  <c r="BF11" i="76" s="1"/>
  <c r="BF121" i="76" s="1"/>
  <c r="BF76" i="75"/>
  <c r="BF215" i="75"/>
  <c r="BF316" i="75"/>
  <c r="BF379" i="76" s="1"/>
  <c r="BF216" i="75"/>
  <c r="BF83" i="75"/>
  <c r="BF20" i="75"/>
  <c r="BF19" i="76" s="1"/>
  <c r="BF129" i="76" s="1"/>
  <c r="BF312" i="75"/>
  <c r="BF375" i="76" s="1"/>
  <c r="BF211" i="75"/>
  <c r="BF68" i="75"/>
  <c r="BF75" i="75"/>
  <c r="BF269" i="75"/>
  <c r="BF103" i="75"/>
  <c r="BF21" i="75"/>
  <c r="BF20" i="76" s="1"/>
  <c r="BF130" i="76" s="1"/>
  <c r="BF337" i="75"/>
  <c r="BF400" i="76" s="1"/>
  <c r="BF261" i="75"/>
  <c r="BF74" i="75"/>
  <c r="BF14" i="75"/>
  <c r="BF13" i="76" s="1"/>
  <c r="BF123" i="76" s="1"/>
  <c r="BF286" i="75"/>
  <c r="BF177" i="75"/>
  <c r="BF33" i="75"/>
  <c r="BF32" i="76" s="1"/>
  <c r="BF142" i="76" s="1"/>
  <c r="BF282" i="75"/>
  <c r="BF403" i="75"/>
  <c r="BF263" i="75"/>
  <c r="BF185" i="75"/>
  <c r="BF13" i="75"/>
  <c r="BF12" i="76" s="1"/>
  <c r="BF122" i="76" s="1"/>
  <c r="BF15" i="75"/>
  <c r="BF14" i="76" s="1"/>
  <c r="BF124" i="76" s="1"/>
  <c r="BF276" i="75"/>
  <c r="BF171" i="75"/>
  <c r="BF27" i="75"/>
  <c r="BF26" i="76" s="1"/>
  <c r="BF136" i="76" s="1"/>
  <c r="BF294" i="75"/>
  <c r="BF46" i="75"/>
  <c r="BF45" i="76" s="1"/>
  <c r="BF155" i="76" s="1"/>
  <c r="BF194" i="75"/>
  <c r="BF184" i="75"/>
  <c r="BF310" i="75"/>
  <c r="BF373" i="76" s="1"/>
  <c r="BF283" i="75"/>
  <c r="BF203" i="75"/>
  <c r="BF353" i="76" s="1"/>
  <c r="BF332" i="75"/>
  <c r="BF395" i="76" s="1"/>
  <c r="BF210" i="75"/>
  <c r="BF197" i="75"/>
  <c r="BF347" i="76" s="1"/>
  <c r="BF334" i="75"/>
  <c r="BF397" i="76" s="1"/>
  <c r="BF313" i="75"/>
  <c r="BF376" i="76" s="1"/>
  <c r="BF213" i="75"/>
  <c r="BF363" i="76" s="1"/>
  <c r="BF70" i="75"/>
  <c r="BF9" i="75"/>
  <c r="BF306" i="75"/>
  <c r="BF202" i="75"/>
  <c r="BF62" i="75"/>
  <c r="BF402" i="75"/>
  <c r="BF270" i="75"/>
  <c r="BF88" i="75"/>
  <c r="BF32" i="75"/>
  <c r="BF31" i="76" s="1"/>
  <c r="BF141" i="76" s="1"/>
  <c r="BF328" i="75"/>
  <c r="BF391" i="76" s="1"/>
  <c r="BF260" i="75"/>
  <c r="BF80" i="75"/>
  <c r="BF405" i="75"/>
  <c r="BF265" i="75"/>
  <c r="BF187" i="75"/>
  <c r="BF337" i="76" s="1"/>
  <c r="BF17" i="75"/>
  <c r="BF16" i="76" s="1"/>
  <c r="BF126" i="76" s="1"/>
  <c r="BF278" i="75"/>
  <c r="BF395" i="75"/>
  <c r="BF264" i="75"/>
  <c r="BF89" i="75"/>
  <c r="BF26" i="75"/>
  <c r="BF25" i="76" s="1"/>
  <c r="BF135" i="76" s="1"/>
  <c r="BF399" i="75"/>
  <c r="BF275" i="75"/>
  <c r="BF87" i="75"/>
  <c r="BF36" i="75"/>
  <c r="BF190" i="75"/>
  <c r="BF340" i="76" s="1"/>
  <c r="BF297" i="75"/>
  <c r="BF47" i="75"/>
  <c r="BF46" i="76" s="1"/>
  <c r="BF156" i="76" s="1"/>
  <c r="BF209" i="75"/>
  <c r="BF359" i="76" s="1"/>
  <c r="BF292" i="75"/>
  <c r="BF55" i="75"/>
  <c r="BF54" i="76" s="1"/>
  <c r="BF164" i="76" s="1"/>
  <c r="BF259" i="75"/>
  <c r="BF65" i="75"/>
  <c r="BF324" i="75"/>
  <c r="BF387" i="76" s="1"/>
  <c r="BF298" i="75"/>
  <c r="BF59" i="75"/>
  <c r="BF308" i="75"/>
  <c r="BF204" i="75"/>
  <c r="BF354" i="76" s="1"/>
  <c r="BF64" i="75"/>
  <c r="BF315" i="75"/>
  <c r="BF378" i="76" s="1"/>
  <c r="BF309" i="75"/>
  <c r="BF207" i="75"/>
  <c r="BF44" i="75"/>
  <c r="BF43" i="76" s="1"/>
  <c r="BF153" i="76" s="1"/>
  <c r="BF322" i="75"/>
  <c r="BF212" i="75"/>
  <c r="BF362" i="76" s="1"/>
  <c r="BF77" i="75"/>
  <c r="BF16" i="75"/>
  <c r="BF15" i="76" s="1"/>
  <c r="BF125" i="76" s="1"/>
  <c r="BF305" i="75"/>
  <c r="BF208" i="75"/>
  <c r="BF358" i="76" s="1"/>
  <c r="BF67" i="75"/>
  <c r="BF398" i="75"/>
  <c r="BF266" i="75"/>
  <c r="BF85" i="75"/>
  <c r="BF28" i="75"/>
  <c r="BF27" i="76" s="1"/>
  <c r="BF137" i="76" s="1"/>
  <c r="BF262" i="75"/>
  <c r="BF335" i="75"/>
  <c r="BF398" i="76" s="1"/>
  <c r="BF217" i="75"/>
  <c r="BF63" i="75"/>
  <c r="BF10" i="75"/>
  <c r="BF9" i="76" s="1"/>
  <c r="BF119" i="76" s="1"/>
  <c r="BF396" i="75"/>
  <c r="BF280" i="75"/>
  <c r="BF81" i="75"/>
  <c r="BF22" i="75"/>
  <c r="BF21" i="76" s="1"/>
  <c r="BF131" i="76" s="1"/>
  <c r="BB178" i="76"/>
  <c r="BB68" i="76"/>
  <c r="BB336" i="76"/>
  <c r="BB339" i="76"/>
  <c r="BB170" i="76"/>
  <c r="BB60" i="76"/>
  <c r="BB358" i="76"/>
  <c r="BB351" i="76"/>
  <c r="BB35" i="76"/>
  <c r="BB371" i="76"/>
  <c r="BB402" i="76"/>
  <c r="BB67" i="76"/>
  <c r="BB403" i="76"/>
  <c r="BB370" i="76"/>
  <c r="BB167" i="76"/>
  <c r="BB59" i="76"/>
  <c r="BB145" i="76"/>
  <c r="BB405" i="76"/>
  <c r="BB169" i="76"/>
  <c r="BB348" i="76"/>
  <c r="BB404" i="76"/>
  <c r="BB177" i="76"/>
  <c r="BB168" i="76"/>
  <c r="BB58" i="76"/>
  <c r="BB57" i="76"/>
  <c r="BB372" i="76"/>
  <c r="BB350" i="76"/>
  <c r="K278" i="70"/>
  <c r="K281" i="70"/>
  <c r="K279" i="70"/>
  <c r="K314" i="70"/>
  <c r="K280" i="70"/>
  <c r="J302" i="70"/>
  <c r="J310" i="70" s="1"/>
  <c r="J306" i="71"/>
  <c r="L314" i="70"/>
  <c r="L281" i="70"/>
  <c r="L280" i="70"/>
  <c r="L279" i="70"/>
  <c r="L278" i="70"/>
  <c r="J282" i="70"/>
  <c r="J283" i="70" s="1"/>
  <c r="HW19" i="70"/>
  <c r="HX19" i="70"/>
  <c r="IG19" i="70"/>
  <c r="N276" i="70"/>
  <c r="O275" i="70"/>
  <c r="HV20" i="70" s="1"/>
  <c r="P274" i="70" a="1"/>
  <c r="P274" i="70" s="1"/>
  <c r="P275" i="70" s="1"/>
  <c r="HV21" i="70" s="1"/>
  <c r="P276" i="70" s="1"/>
  <c r="IF19" i="70"/>
  <c r="HT19" i="70"/>
  <c r="N264" i="70"/>
  <c r="HS19" i="70"/>
  <c r="Q287" i="70"/>
  <c r="HZ22" i="70" s="1"/>
  <c r="R286" i="70" a="1"/>
  <c r="R286" i="70" s="1"/>
  <c r="J305" i="71"/>
  <c r="J301" i="70"/>
  <c r="J309" i="70" s="1"/>
  <c r="AX227" i="76"/>
  <c r="K313" i="70"/>
  <c r="K269" i="70"/>
  <c r="K267" i="70"/>
  <c r="K266" i="70"/>
  <c r="K268" i="70"/>
  <c r="P288" i="70"/>
  <c r="IH21" i="70"/>
  <c r="IA21" i="70"/>
  <c r="IB21" i="70"/>
  <c r="L265" i="70"/>
  <c r="L261" i="71"/>
  <c r="HQ17" i="71"/>
  <c r="N303" i="70"/>
  <c r="N311" i="70" s="1"/>
  <c r="N307" i="71"/>
  <c r="HY20" i="71"/>
  <c r="O285" i="71"/>
  <c r="O289" i="70"/>
  <c r="M265" i="70"/>
  <c r="HQ18" i="71"/>
  <c r="M261" i="71"/>
  <c r="M294" i="70"/>
  <c r="M295" i="70" s="1"/>
  <c r="J270" i="70"/>
  <c r="J271" i="70" s="1"/>
  <c r="N294" i="70"/>
  <c r="N295" i="70" s="1"/>
  <c r="O263" i="70"/>
  <c r="HR20" i="70" s="1"/>
  <c r="P262" i="70" a="1"/>
  <c r="P262" i="70" s="1"/>
  <c r="L294" i="70"/>
  <c r="L295" i="70" s="1"/>
  <c r="AX96" i="75"/>
  <c r="AX99" i="75" s="1"/>
  <c r="AX105" i="75" s="1"/>
  <c r="AX95" i="75"/>
  <c r="L307" i="71"/>
  <c r="L303" i="70"/>
  <c r="L311" i="70" s="1"/>
  <c r="M307" i="71"/>
  <c r="M303" i="70"/>
  <c r="M311" i="70" s="1"/>
  <c r="AX116" i="76"/>
  <c r="S9" i="51"/>
  <c r="S6" i="51"/>
  <c r="S10" i="48"/>
  <c r="S16" i="48"/>
  <c r="S15" i="48"/>
  <c r="S11" i="48"/>
  <c r="BF367" i="76" l="1"/>
  <c r="BB343" i="75"/>
  <c r="BB344" i="75" s="1"/>
  <c r="BB97" i="75" s="1"/>
  <c r="BB201" i="76"/>
  <c r="BB94" i="75"/>
  <c r="BF366" i="76"/>
  <c r="BF349" i="76"/>
  <c r="BF357" i="76"/>
  <c r="BF329" i="76"/>
  <c r="M258" i="70"/>
  <c r="M259" i="70" s="1"/>
  <c r="IG21" i="70"/>
  <c r="BF428" i="75"/>
  <c r="BF430" i="75" s="1"/>
  <c r="BF431" i="75" s="1"/>
  <c r="BF98" i="75" s="1"/>
  <c r="HW21" i="70"/>
  <c r="BF365" i="76"/>
  <c r="BF364" i="76"/>
  <c r="HX21" i="70"/>
  <c r="BF335" i="76"/>
  <c r="BF344" i="76"/>
  <c r="BF361" i="76"/>
  <c r="BF356" i="76"/>
  <c r="BB90" i="76"/>
  <c r="BF65" i="76"/>
  <c r="BF175" i="76"/>
  <c r="BF326" i="76"/>
  <c r="BF35" i="76"/>
  <c r="BF371" i="76"/>
  <c r="BF59" i="76"/>
  <c r="BF169" i="76"/>
  <c r="BF372" i="76"/>
  <c r="BF168" i="76"/>
  <c r="BF57" i="76"/>
  <c r="BF145" i="76"/>
  <c r="BF67" i="76"/>
  <c r="BF348" i="76"/>
  <c r="BF403" i="76"/>
  <c r="BF404" i="76"/>
  <c r="BF405" i="76"/>
  <c r="BF177" i="76"/>
  <c r="BF167" i="76"/>
  <c r="BF370" i="76"/>
  <c r="BF402" i="76"/>
  <c r="BF58" i="76"/>
  <c r="BF324" i="76"/>
  <c r="BF339" i="76"/>
  <c r="BB118" i="76"/>
  <c r="BB198" i="76" s="1"/>
  <c r="BB88" i="76"/>
  <c r="BJ311" i="75"/>
  <c r="BJ374" i="76" s="1"/>
  <c r="BJ261" i="75"/>
  <c r="BJ69" i="75"/>
  <c r="BJ302" i="75"/>
  <c r="BJ296" i="75"/>
  <c r="BJ202" i="75"/>
  <c r="BJ47" i="75"/>
  <c r="BJ46" i="76" s="1"/>
  <c r="BJ156" i="76" s="1"/>
  <c r="BJ315" i="75"/>
  <c r="BJ378" i="76" s="1"/>
  <c r="BJ217" i="75"/>
  <c r="BJ83" i="75"/>
  <c r="BJ404" i="75"/>
  <c r="BJ266" i="75"/>
  <c r="BJ103" i="75"/>
  <c r="BJ37" i="75"/>
  <c r="BJ36" i="76" s="1"/>
  <c r="BJ146" i="76" s="1"/>
  <c r="BJ295" i="75"/>
  <c r="BJ195" i="75"/>
  <c r="BJ57" i="75"/>
  <c r="BJ191" i="75"/>
  <c r="BJ312" i="75"/>
  <c r="BJ375" i="76" s="1"/>
  <c r="BJ209" i="75"/>
  <c r="BJ74" i="75"/>
  <c r="BJ273" i="75"/>
  <c r="BJ284" i="75"/>
  <c r="BJ173" i="75"/>
  <c r="BJ55" i="75"/>
  <c r="BJ54" i="76" s="1"/>
  <c r="BJ164" i="76" s="1"/>
  <c r="BJ310" i="75"/>
  <c r="BJ373" i="76" s="1"/>
  <c r="BJ58" i="75"/>
  <c r="BJ303" i="75"/>
  <c r="BJ201" i="75"/>
  <c r="BJ61" i="75"/>
  <c r="BJ176" i="75"/>
  <c r="BJ294" i="75"/>
  <c r="BJ187" i="75"/>
  <c r="BJ48" i="75"/>
  <c r="BJ47" i="76" s="1"/>
  <c r="BJ157" i="76" s="1"/>
  <c r="BJ299" i="75"/>
  <c r="BJ207" i="75"/>
  <c r="BJ70" i="75"/>
  <c r="BJ399" i="75"/>
  <c r="BJ263" i="75"/>
  <c r="BJ80" i="75"/>
  <c r="BJ21" i="75"/>
  <c r="BJ20" i="76" s="1"/>
  <c r="BJ130" i="76" s="1"/>
  <c r="BJ305" i="75"/>
  <c r="BJ188" i="75"/>
  <c r="BJ72" i="75"/>
  <c r="BJ89" i="75"/>
  <c r="BJ307" i="75"/>
  <c r="BJ193" i="75"/>
  <c r="BJ56" i="75"/>
  <c r="BJ55" i="76" s="1"/>
  <c r="BJ165" i="76" s="1"/>
  <c r="BJ31" i="75"/>
  <c r="BJ30" i="76" s="1"/>
  <c r="BJ140" i="76" s="1"/>
  <c r="BJ274" i="75"/>
  <c r="BJ174" i="75"/>
  <c r="BJ22" i="75"/>
  <c r="BJ21" i="76" s="1"/>
  <c r="BJ131" i="76" s="1"/>
  <c r="BJ306" i="75"/>
  <c r="BJ53" i="75"/>
  <c r="BJ52" i="76" s="1"/>
  <c r="BJ162" i="76" s="1"/>
  <c r="BJ42" i="75"/>
  <c r="BJ41" i="76" s="1"/>
  <c r="BJ151" i="76" s="1"/>
  <c r="BJ271" i="75"/>
  <c r="BJ288" i="75"/>
  <c r="BJ50" i="75"/>
  <c r="BJ49" i="76" s="1"/>
  <c r="BJ159" i="76" s="1"/>
  <c r="BJ270" i="75"/>
  <c r="BJ196" i="75"/>
  <c r="BJ314" i="75"/>
  <c r="BJ377" i="76" s="1"/>
  <c r="BJ218" i="75"/>
  <c r="BJ28" i="75"/>
  <c r="BJ27" i="76" s="1"/>
  <c r="BJ137" i="76" s="1"/>
  <c r="BJ40" i="75"/>
  <c r="BJ39" i="76" s="1"/>
  <c r="BJ149" i="76" s="1"/>
  <c r="BJ13" i="75"/>
  <c r="BJ12" i="76" s="1"/>
  <c r="BJ122" i="76" s="1"/>
  <c r="BJ192" i="75"/>
  <c r="BJ15" i="75"/>
  <c r="BJ14" i="76" s="1"/>
  <c r="BJ124" i="76" s="1"/>
  <c r="BJ18" i="75"/>
  <c r="BJ17" i="76" s="1"/>
  <c r="BJ127" i="76" s="1"/>
  <c r="BJ198" i="75"/>
  <c r="BJ180" i="75"/>
  <c r="BJ330" i="76" s="1"/>
  <c r="BJ335" i="75"/>
  <c r="BJ398" i="76" s="1"/>
  <c r="BJ210" i="75"/>
  <c r="BJ282" i="75"/>
  <c r="BJ199" i="75"/>
  <c r="BJ36" i="75"/>
  <c r="BJ403" i="75"/>
  <c r="BJ267" i="75"/>
  <c r="BJ88" i="75"/>
  <c r="BJ25" i="75"/>
  <c r="BJ24" i="76" s="1"/>
  <c r="BJ134" i="76" s="1"/>
  <c r="BJ278" i="75"/>
  <c r="BJ184" i="75"/>
  <c r="BJ32" i="75"/>
  <c r="BJ31" i="76" s="1"/>
  <c r="BJ141" i="76" s="1"/>
  <c r="BJ297" i="75"/>
  <c r="BJ197" i="75"/>
  <c r="BJ68" i="75"/>
  <c r="BJ402" i="75"/>
  <c r="BJ264" i="75"/>
  <c r="BJ102" i="75"/>
  <c r="BJ35" i="75"/>
  <c r="BJ34" i="76" s="1"/>
  <c r="BJ144" i="76" s="1"/>
  <c r="BJ39" i="75"/>
  <c r="BJ38" i="76" s="1"/>
  <c r="BJ148" i="76" s="1"/>
  <c r="BJ277" i="75"/>
  <c r="BJ178" i="75"/>
  <c r="BJ26" i="75"/>
  <c r="BJ25" i="76" s="1"/>
  <c r="BJ135" i="76" s="1"/>
  <c r="BJ326" i="75"/>
  <c r="BJ389" i="76" s="1"/>
  <c r="BJ262" i="75"/>
  <c r="BJ86" i="75"/>
  <c r="BJ10" i="75"/>
  <c r="BJ9" i="76" s="1"/>
  <c r="BJ119" i="76" s="1"/>
  <c r="BJ206" i="75"/>
  <c r="BJ272" i="75"/>
  <c r="BJ172" i="75"/>
  <c r="BJ20" i="75"/>
  <c r="BJ19" i="76" s="1"/>
  <c r="BJ129" i="76" s="1"/>
  <c r="BJ328" i="75"/>
  <c r="BJ391" i="76" s="1"/>
  <c r="BJ260" i="75"/>
  <c r="BJ85" i="75"/>
  <c r="BJ9" i="75"/>
  <c r="BJ104" i="75"/>
  <c r="BJ14" i="75"/>
  <c r="BJ13" i="76" s="1"/>
  <c r="BJ123" i="76" s="1"/>
  <c r="BJ289" i="75"/>
  <c r="BJ189" i="75"/>
  <c r="BJ59" i="75"/>
  <c r="BJ281" i="75"/>
  <c r="BJ79" i="75"/>
  <c r="BJ19" i="75"/>
  <c r="BJ18" i="76" s="1"/>
  <c r="BJ128" i="76" s="1"/>
  <c r="BJ400" i="75"/>
  <c r="BJ171" i="75"/>
  <c r="BJ33" i="75"/>
  <c r="BJ32" i="76" s="1"/>
  <c r="BJ142" i="76" s="1"/>
  <c r="BJ203" i="75"/>
  <c r="BJ63" i="75"/>
  <c r="BJ190" i="75"/>
  <c r="BJ269" i="75"/>
  <c r="BJ322" i="75"/>
  <c r="BJ401" i="75"/>
  <c r="BJ66" i="75"/>
  <c r="BJ287" i="75"/>
  <c r="BJ44" i="75"/>
  <c r="BJ43" i="76" s="1"/>
  <c r="BJ153" i="76" s="1"/>
  <c r="BJ214" i="75"/>
  <c r="BJ43" i="75"/>
  <c r="BJ42" i="76" s="1"/>
  <c r="BJ152" i="76" s="1"/>
  <c r="BJ276" i="75"/>
  <c r="BJ17" i="75"/>
  <c r="BJ16" i="76" s="1"/>
  <c r="BJ126" i="76" s="1"/>
  <c r="BJ205" i="75"/>
  <c r="BJ332" i="75"/>
  <c r="BJ395" i="76" s="1"/>
  <c r="BJ268" i="75"/>
  <c r="BJ397" i="75"/>
  <c r="BJ279" i="75"/>
  <c r="BJ309" i="75"/>
  <c r="BJ398" i="75"/>
  <c r="BJ405" i="75"/>
  <c r="BJ90" i="75"/>
  <c r="BJ27" i="75"/>
  <c r="BJ26" i="76" s="1"/>
  <c r="BJ136" i="76" s="1"/>
  <c r="BJ259" i="75"/>
  <c r="BJ67" i="75"/>
  <c r="BJ265" i="75"/>
  <c r="BJ23" i="75"/>
  <c r="BJ22" i="76" s="1"/>
  <c r="BJ132" i="76" s="1"/>
  <c r="BJ181" i="75"/>
  <c r="BJ336" i="75"/>
  <c r="BJ399" i="76" s="1"/>
  <c r="BJ71" i="75"/>
  <c r="BJ395" i="75"/>
  <c r="BJ76" i="75"/>
  <c r="BJ304" i="75"/>
  <c r="BJ51" i="75"/>
  <c r="BJ50" i="76" s="1"/>
  <c r="BJ160" i="76" s="1"/>
  <c r="BJ175" i="75"/>
  <c r="BJ325" i="76" s="1"/>
  <c r="BJ300" i="75"/>
  <c r="BJ293" i="75"/>
  <c r="BJ78" i="75"/>
  <c r="BJ38" i="75"/>
  <c r="BJ37" i="76" s="1"/>
  <c r="BJ147" i="76" s="1"/>
  <c r="BJ73" i="75"/>
  <c r="BJ194" i="75"/>
  <c r="BJ46" i="75"/>
  <c r="BJ45" i="76" s="1"/>
  <c r="BJ155" i="76" s="1"/>
  <c r="BJ283" i="75"/>
  <c r="BJ290" i="75"/>
  <c r="BJ215" i="75"/>
  <c r="BJ365" i="76" s="1"/>
  <c r="BJ1" i="76"/>
  <c r="BJ337" i="75"/>
  <c r="BJ400" i="76" s="1"/>
  <c r="BJ213" i="75"/>
  <c r="BJ64" i="75"/>
  <c r="BJ11" i="75"/>
  <c r="BJ10" i="76" s="1"/>
  <c r="BJ120" i="76" s="1"/>
  <c r="BJ301" i="75"/>
  <c r="BJ211" i="75"/>
  <c r="BJ81" i="75"/>
  <c r="BJ324" i="75"/>
  <c r="BJ387" i="76" s="1"/>
  <c r="BJ258" i="75"/>
  <c r="BJ84" i="75"/>
  <c r="BJ16" i="75"/>
  <c r="BJ15" i="76" s="1"/>
  <c r="BJ125" i="76" s="1"/>
  <c r="BJ285" i="75"/>
  <c r="BJ182" i="75"/>
  <c r="BJ30" i="75"/>
  <c r="BJ29" i="76" s="1"/>
  <c r="BJ139" i="76" s="1"/>
  <c r="BJ313" i="75"/>
  <c r="BJ376" i="76" s="1"/>
  <c r="BJ208" i="75"/>
  <c r="BJ77" i="75"/>
  <c r="BJ275" i="75"/>
  <c r="BJ316" i="75"/>
  <c r="BJ379" i="76" s="1"/>
  <c r="BJ212" i="75"/>
  <c r="BJ60" i="75"/>
  <c r="BJ41" i="75"/>
  <c r="BJ40" i="76" s="1"/>
  <c r="BJ150" i="76" s="1"/>
  <c r="BJ292" i="75"/>
  <c r="BJ185" i="75"/>
  <c r="BJ52" i="75"/>
  <c r="BJ51" i="76" s="1"/>
  <c r="BJ161" i="76" s="1"/>
  <c r="BJ330" i="75"/>
  <c r="BJ393" i="76" s="1"/>
  <c r="BJ75" i="75"/>
  <c r="BJ308" i="75"/>
  <c r="BJ204" i="75"/>
  <c r="BJ354" i="76" s="1"/>
  <c r="BJ49" i="75"/>
  <c r="BJ48" i="76" s="1"/>
  <c r="BJ158" i="76" s="1"/>
  <c r="BJ54" i="75"/>
  <c r="BJ53" i="76" s="1"/>
  <c r="BJ163" i="76" s="1"/>
  <c r="BJ280" i="75"/>
  <c r="BJ186" i="75"/>
  <c r="BJ34" i="75"/>
  <c r="BJ33" i="76" s="1"/>
  <c r="BJ143" i="76" s="1"/>
  <c r="BJ291" i="75"/>
  <c r="BJ200" i="75"/>
  <c r="BJ350" i="76" s="1"/>
  <c r="BJ45" i="75"/>
  <c r="BJ44" i="76" s="1"/>
  <c r="BJ334" i="75"/>
  <c r="BJ397" i="76" s="1"/>
  <c r="BJ216" i="75"/>
  <c r="BJ366" i="76" s="1"/>
  <c r="BJ82" i="75"/>
  <c r="BJ12" i="75"/>
  <c r="BJ11" i="76" s="1"/>
  <c r="BJ121" i="76" s="1"/>
  <c r="BJ286" i="75"/>
  <c r="BJ179" i="75"/>
  <c r="BJ329" i="76" s="1"/>
  <c r="BJ65" i="75"/>
  <c r="BJ298" i="75"/>
  <c r="BJ62" i="75"/>
  <c r="BJ396" i="75"/>
  <c r="BJ87" i="75"/>
  <c r="BJ29" i="75"/>
  <c r="BJ28" i="76" s="1"/>
  <c r="BJ138" i="76" s="1"/>
  <c r="BJ24" i="75"/>
  <c r="BJ23" i="76" s="1"/>
  <c r="BJ133" i="76" s="1"/>
  <c r="BJ183" i="75"/>
  <c r="BJ177" i="75"/>
  <c r="BF342" i="75"/>
  <c r="BF385" i="76"/>
  <c r="BF352" i="76"/>
  <c r="BF360" i="76"/>
  <c r="BF323" i="76"/>
  <c r="BF71" i="76"/>
  <c r="BF181" i="76"/>
  <c r="BF68" i="76"/>
  <c r="BF178" i="76"/>
  <c r="BF336" i="76"/>
  <c r="BB96" i="75"/>
  <c r="BB95" i="75"/>
  <c r="BB91" i="76"/>
  <c r="BF341" i="75"/>
  <c r="BF369" i="76"/>
  <c r="BF322" i="76"/>
  <c r="BF331" i="76"/>
  <c r="BF355" i="76"/>
  <c r="BF350" i="76"/>
  <c r="HM20" i="71"/>
  <c r="O253" i="70"/>
  <c r="O249" i="71"/>
  <c r="HO21" i="70"/>
  <c r="P252" i="70"/>
  <c r="HP21" i="70"/>
  <c r="IE21" i="70"/>
  <c r="BF66" i="76"/>
  <c r="BF176" i="76"/>
  <c r="BF91" i="75"/>
  <c r="BF8" i="76"/>
  <c r="BF321" i="76"/>
  <c r="BF251" i="75"/>
  <c r="BF254" i="75" s="1"/>
  <c r="BF255" i="75" s="1"/>
  <c r="BF89" i="76"/>
  <c r="BF154" i="76"/>
  <c r="BF340" i="75"/>
  <c r="Q251" i="70"/>
  <c r="HN22" i="70" s="1"/>
  <c r="R250" i="70" a="1"/>
  <c r="R250" i="70" s="1"/>
  <c r="BB406" i="76"/>
  <c r="BB202" i="76" s="1"/>
  <c r="BB401" i="76"/>
  <c r="BB92" i="76" s="1"/>
  <c r="BF69" i="76"/>
  <c r="BF179" i="76"/>
  <c r="BF327" i="76"/>
  <c r="BF92" i="75"/>
  <c r="BF166" i="76"/>
  <c r="BF56" i="76"/>
  <c r="BF332" i="76"/>
  <c r="BF368" i="76"/>
  <c r="M300" i="70"/>
  <c r="M308" i="70" s="1"/>
  <c r="M304" i="71"/>
  <c r="BF351" i="76"/>
  <c r="BF343" i="76"/>
  <c r="BF338" i="76"/>
  <c r="BF180" i="76"/>
  <c r="BF70" i="76"/>
  <c r="BF333" i="76"/>
  <c r="M278" i="70"/>
  <c r="M281" i="70"/>
  <c r="M314" i="70"/>
  <c r="M280" i="70"/>
  <c r="M279" i="70"/>
  <c r="K270" i="70"/>
  <c r="K271" i="70" s="1"/>
  <c r="BF334" i="76"/>
  <c r="BF93" i="75"/>
  <c r="BF325" i="76"/>
  <c r="BF170" i="76"/>
  <c r="BF60" i="76"/>
  <c r="BF341" i="76"/>
  <c r="BF346" i="76"/>
  <c r="BF330" i="76"/>
  <c r="BB200" i="76"/>
  <c r="N256" i="70"/>
  <c r="N254" i="70"/>
  <c r="N255" i="70"/>
  <c r="BN1" i="75"/>
  <c r="N299" i="70"/>
  <c r="N312" i="70"/>
  <c r="N257" i="70"/>
  <c r="HW20" i="70"/>
  <c r="O276" i="70"/>
  <c r="HX20" i="70"/>
  <c r="IG20" i="70"/>
  <c r="HU19" i="71"/>
  <c r="N273" i="71"/>
  <c r="N277" i="70"/>
  <c r="K282" i="70"/>
  <c r="K283" i="70" s="1"/>
  <c r="L302" i="70"/>
  <c r="L310" i="70" s="1"/>
  <c r="L306" i="71"/>
  <c r="K306" i="71"/>
  <c r="K302" i="70"/>
  <c r="K310" i="70" s="1"/>
  <c r="L282" i="70"/>
  <c r="L283" i="70" s="1"/>
  <c r="Q274" i="70" a="1"/>
  <c r="Q274" i="70" s="1"/>
  <c r="O264" i="70"/>
  <c r="HT20" i="70"/>
  <c r="HS20" i="70"/>
  <c r="IF20" i="70"/>
  <c r="O290" i="70"/>
  <c r="O291" i="70"/>
  <c r="O293" i="70"/>
  <c r="O292" i="70"/>
  <c r="O294" i="70" s="1"/>
  <c r="O295" i="70" s="1"/>
  <c r="O315" i="70"/>
  <c r="L267" i="70"/>
  <c r="L269" i="70"/>
  <c r="L266" i="70"/>
  <c r="L268" i="70"/>
  <c r="L270" i="70" s="1"/>
  <c r="L271" i="70" s="1"/>
  <c r="L313" i="70"/>
  <c r="M313" i="70"/>
  <c r="M268" i="70"/>
  <c r="M269" i="70"/>
  <c r="M266" i="70"/>
  <c r="M267" i="70"/>
  <c r="K305" i="71"/>
  <c r="K301" i="70"/>
  <c r="P277" i="70"/>
  <c r="P273" i="71"/>
  <c r="HU21" i="71"/>
  <c r="R287" i="70"/>
  <c r="HZ23" i="70" s="1"/>
  <c r="S286" i="70" a="1"/>
  <c r="S286" i="70" s="1"/>
  <c r="IB22" i="70"/>
  <c r="Q288" i="70"/>
  <c r="IH22" i="70"/>
  <c r="IA22" i="70"/>
  <c r="P289" i="70"/>
  <c r="P285" i="71"/>
  <c r="HY21" i="71"/>
  <c r="N261" i="71"/>
  <c r="N265" i="70"/>
  <c r="HQ19" i="71"/>
  <c r="AX107" i="75"/>
  <c r="AY106" i="75"/>
  <c r="P263" i="70"/>
  <c r="HR21" i="70" s="1"/>
  <c r="Q262" i="70" a="1"/>
  <c r="Q262" i="70" s="1"/>
  <c r="AK16" i="51"/>
  <c r="AK15" i="51"/>
  <c r="AK14" i="51"/>
  <c r="AK13" i="51"/>
  <c r="BJ324" i="76" l="1"/>
  <c r="BJ335" i="76"/>
  <c r="BJ340" i="76"/>
  <c r="BJ362" i="76"/>
  <c r="BJ333" i="76"/>
  <c r="BJ336" i="76"/>
  <c r="BJ358" i="76"/>
  <c r="BF343" i="75"/>
  <c r="BF344" i="75" s="1"/>
  <c r="BF97" i="75" s="1"/>
  <c r="BB99" i="75"/>
  <c r="BB105" i="75" s="1"/>
  <c r="BJ327" i="76"/>
  <c r="M282" i="70"/>
  <c r="M283" i="70" s="1"/>
  <c r="BJ344" i="76"/>
  <c r="BJ347" i="76"/>
  <c r="BJ331" i="76"/>
  <c r="BJ360" i="76"/>
  <c r="BJ334" i="76"/>
  <c r="BJ332" i="76"/>
  <c r="BJ359" i="76"/>
  <c r="BF90" i="76"/>
  <c r="S250" i="70" a="1"/>
  <c r="S250" i="70" s="1"/>
  <c r="S251" i="70" s="1"/>
  <c r="HN24" i="70" s="1"/>
  <c r="S252" i="70" s="1"/>
  <c r="R251" i="70"/>
  <c r="HN23" i="70" s="1"/>
  <c r="BF94" i="75"/>
  <c r="O312" i="70"/>
  <c r="O299" i="70"/>
  <c r="O256" i="70"/>
  <c r="O254" i="70"/>
  <c r="O255" i="70"/>
  <c r="O257" i="70"/>
  <c r="BJ340" i="75"/>
  <c r="BJ428" i="75"/>
  <c r="BJ430" i="75" s="1"/>
  <c r="BJ431" i="75" s="1"/>
  <c r="BJ98" i="75" s="1"/>
  <c r="BJ65" i="76"/>
  <c r="BJ175" i="76"/>
  <c r="BJ321" i="76"/>
  <c r="BJ251" i="75"/>
  <c r="BJ254" i="75" s="1"/>
  <c r="BJ255" i="75" s="1"/>
  <c r="BJ338" i="76"/>
  <c r="BJ178" i="76"/>
  <c r="BJ68" i="76"/>
  <c r="BF91" i="76"/>
  <c r="M302" i="70"/>
  <c r="M310" i="70" s="1"/>
  <c r="M306" i="71"/>
  <c r="BF200" i="76"/>
  <c r="Q252" i="70"/>
  <c r="HO22" i="70"/>
  <c r="IE22" i="70"/>
  <c r="HP22" i="70"/>
  <c r="BJ67" i="76"/>
  <c r="BJ168" i="76"/>
  <c r="BJ372" i="76"/>
  <c r="BJ35" i="76"/>
  <c r="BJ169" i="76"/>
  <c r="BJ57" i="76"/>
  <c r="BJ58" i="76"/>
  <c r="BJ59" i="76"/>
  <c r="BJ370" i="76"/>
  <c r="BJ405" i="76"/>
  <c r="BJ177" i="76"/>
  <c r="BJ402" i="76"/>
  <c r="BJ403" i="76"/>
  <c r="BJ371" i="76"/>
  <c r="BJ167" i="76"/>
  <c r="BJ348" i="76"/>
  <c r="BJ404" i="76"/>
  <c r="BJ145" i="76"/>
  <c r="BJ180" i="76"/>
  <c r="BJ70" i="76"/>
  <c r="BJ355" i="76"/>
  <c r="BJ356" i="76"/>
  <c r="BJ349" i="76"/>
  <c r="BJ342" i="76"/>
  <c r="BJ341" i="76"/>
  <c r="BJ385" i="76"/>
  <c r="BJ342" i="75"/>
  <c r="BJ91" i="75"/>
  <c r="BJ8" i="76"/>
  <c r="BJ118" i="76" s="1"/>
  <c r="BJ337" i="76"/>
  <c r="BJ92" i="75"/>
  <c r="BJ56" i="76"/>
  <c r="BJ166" i="76"/>
  <c r="BJ367" i="76"/>
  <c r="BN296" i="75"/>
  <c r="V296" i="75" s="1"/>
  <c r="N296" i="75" s="1"/>
  <c r="BN192" i="75"/>
  <c r="BN46" i="75"/>
  <c r="BN337" i="75"/>
  <c r="BN214" i="75"/>
  <c r="BN77" i="75"/>
  <c r="V77" i="75" s="1"/>
  <c r="N77" i="75" s="1"/>
  <c r="BN18" i="75"/>
  <c r="BN267" i="75"/>
  <c r="V267" i="75" s="1"/>
  <c r="N267" i="75" s="1"/>
  <c r="BN189" i="75"/>
  <c r="BN23" i="75"/>
  <c r="BN303" i="75"/>
  <c r="V303" i="75" s="1"/>
  <c r="N303" i="75" s="1"/>
  <c r="BN174" i="75"/>
  <c r="BN57" i="75"/>
  <c r="V57" i="75" s="1"/>
  <c r="BN285" i="75"/>
  <c r="V285" i="75" s="1"/>
  <c r="N285" i="75" s="1"/>
  <c r="BN405" i="75"/>
  <c r="V405" i="75" s="1"/>
  <c r="N405" i="75" s="1"/>
  <c r="BN263" i="75"/>
  <c r="V263" i="75" s="1"/>
  <c r="N263" i="75" s="1"/>
  <c r="BN103" i="75"/>
  <c r="BN19" i="75"/>
  <c r="BN53" i="75"/>
  <c r="BN290" i="75"/>
  <c r="V290" i="75" s="1"/>
  <c r="N290" i="75" s="1"/>
  <c r="BN199" i="75"/>
  <c r="BN56" i="75"/>
  <c r="BN282" i="75"/>
  <c r="V282" i="75" s="1"/>
  <c r="N282" i="75" s="1"/>
  <c r="BN334" i="75"/>
  <c r="BN215" i="75"/>
  <c r="BN83" i="75"/>
  <c r="V83" i="75" s="1"/>
  <c r="N83" i="75" s="1"/>
  <c r="BN11" i="75"/>
  <c r="BN402" i="75"/>
  <c r="V402" i="75" s="1"/>
  <c r="N402" i="75" s="1"/>
  <c r="BN264" i="75"/>
  <c r="V264" i="75" s="1"/>
  <c r="N264" i="75" s="1"/>
  <c r="BN41" i="75"/>
  <c r="BN27" i="75"/>
  <c r="BN335" i="75"/>
  <c r="BN51" i="75"/>
  <c r="BN281" i="75"/>
  <c r="V281" i="75" s="1"/>
  <c r="N281" i="75" s="1"/>
  <c r="BN187" i="75"/>
  <c r="BN71" i="75"/>
  <c r="BN307" i="75"/>
  <c r="V307" i="75" s="1"/>
  <c r="N307" i="75" s="1"/>
  <c r="BN202" i="75"/>
  <c r="BN62" i="75"/>
  <c r="V62" i="75" s="1"/>
  <c r="N62" i="75" s="1"/>
  <c r="BN326" i="75"/>
  <c r="BN212" i="75"/>
  <c r="BN74" i="75"/>
  <c r="V74" i="75" s="1"/>
  <c r="N74" i="75" s="1"/>
  <c r="BN16" i="75"/>
  <c r="BN265" i="75"/>
  <c r="V265" i="75" s="1"/>
  <c r="N265" i="75" s="1"/>
  <c r="BN104" i="75"/>
  <c r="BN21" i="75"/>
  <c r="BN207" i="75"/>
  <c r="BN332" i="75"/>
  <c r="BN259" i="75"/>
  <c r="V259" i="75" s="1"/>
  <c r="N259" i="75" s="1"/>
  <c r="BN63" i="75"/>
  <c r="V63" i="75" s="1"/>
  <c r="N63" i="75" s="1"/>
  <c r="BN12" i="75"/>
  <c r="BN24" i="75"/>
  <c r="BN284" i="75"/>
  <c r="V284" i="75" s="1"/>
  <c r="N284" i="75" s="1"/>
  <c r="BN175" i="75"/>
  <c r="BN33" i="75"/>
  <c r="BN184" i="75"/>
  <c r="BN298" i="75"/>
  <c r="V298" i="75" s="1"/>
  <c r="N298" i="75" s="1"/>
  <c r="BN194" i="75"/>
  <c r="BN48" i="75"/>
  <c r="BN271" i="75"/>
  <c r="V271" i="75" s="1"/>
  <c r="N271" i="75" s="1"/>
  <c r="BN190" i="75"/>
  <c r="BN328" i="75"/>
  <c r="BN86" i="75"/>
  <c r="V86" i="75" s="1"/>
  <c r="N86" i="75" s="1"/>
  <c r="BN313" i="75"/>
  <c r="BN278" i="75"/>
  <c r="V278" i="75" s="1"/>
  <c r="N278" i="75" s="1"/>
  <c r="BN186" i="75"/>
  <c r="BN193" i="75"/>
  <c r="BN44" i="75"/>
  <c r="BN400" i="75"/>
  <c r="V400" i="75" s="1"/>
  <c r="N400" i="75" s="1"/>
  <c r="BN185" i="75"/>
  <c r="BN403" i="75"/>
  <c r="V403" i="75" s="1"/>
  <c r="N403" i="75" s="1"/>
  <c r="BN301" i="75"/>
  <c r="V301" i="75" s="1"/>
  <c r="N301" i="75" s="1"/>
  <c r="BN397" i="75"/>
  <c r="V397" i="75" s="1"/>
  <c r="N397" i="75" s="1"/>
  <c r="BN272" i="75"/>
  <c r="V272" i="75" s="1"/>
  <c r="N272" i="75" s="1"/>
  <c r="BN90" i="75"/>
  <c r="V90" i="75" s="1"/>
  <c r="N90" i="75" s="1"/>
  <c r="BN36" i="75"/>
  <c r="V36" i="75" s="1"/>
  <c r="N36" i="75" s="1"/>
  <c r="BN299" i="75"/>
  <c r="V299" i="75" s="1"/>
  <c r="N299" i="75" s="1"/>
  <c r="BN178" i="75"/>
  <c r="BN47" i="75"/>
  <c r="BN304" i="75"/>
  <c r="V304" i="75" s="1"/>
  <c r="N304" i="75" s="1"/>
  <c r="BN200" i="75"/>
  <c r="BN69" i="75"/>
  <c r="BN322" i="75"/>
  <c r="V322" i="75" s="1"/>
  <c r="BN261" i="75"/>
  <c r="V261" i="75" s="1"/>
  <c r="N261" i="75" s="1"/>
  <c r="BN65" i="75"/>
  <c r="V65" i="75" s="1"/>
  <c r="N65" i="75" s="1"/>
  <c r="BN14" i="75"/>
  <c r="BN82" i="75"/>
  <c r="V82" i="75" s="1"/>
  <c r="N82" i="75" s="1"/>
  <c r="BN305" i="75"/>
  <c r="V305" i="75" s="1"/>
  <c r="N305" i="75" s="1"/>
  <c r="BN204" i="75"/>
  <c r="BN54" i="75"/>
  <c r="BN280" i="75"/>
  <c r="V280" i="75" s="1"/>
  <c r="N280" i="75" s="1"/>
  <c r="BN395" i="75"/>
  <c r="BN262" i="75"/>
  <c r="V262" i="75" s="1"/>
  <c r="N262" i="75" s="1"/>
  <c r="BN89" i="75"/>
  <c r="V89" i="75" s="1"/>
  <c r="N89" i="75" s="1"/>
  <c r="BN26" i="75"/>
  <c r="BN75" i="75"/>
  <c r="V75" i="75" s="1"/>
  <c r="N75" i="75" s="1"/>
  <c r="BN283" i="75"/>
  <c r="V283" i="75" s="1"/>
  <c r="N283" i="75" s="1"/>
  <c r="BN188" i="75"/>
  <c r="BN37" i="75"/>
  <c r="BN73" i="75"/>
  <c r="BN294" i="75"/>
  <c r="V294" i="75" s="1"/>
  <c r="N294" i="75" s="1"/>
  <c r="BN209" i="75"/>
  <c r="BN266" i="75"/>
  <c r="V266" i="75" s="1"/>
  <c r="N266" i="75" s="1"/>
  <c r="BN30" i="75"/>
  <c r="BN79" i="75"/>
  <c r="V79" i="75" s="1"/>
  <c r="N79" i="75" s="1"/>
  <c r="BN17" i="75"/>
  <c r="BN316" i="75"/>
  <c r="BN216" i="75"/>
  <c r="BN78" i="75"/>
  <c r="V78" i="75" s="1"/>
  <c r="N78" i="75" s="1"/>
  <c r="BN20" i="75"/>
  <c r="BN279" i="75"/>
  <c r="V279" i="75" s="1"/>
  <c r="N279" i="75" s="1"/>
  <c r="BN183" i="75"/>
  <c r="BN61" i="75"/>
  <c r="BN308" i="75"/>
  <c r="V308" i="75" s="1"/>
  <c r="N308" i="75" s="1"/>
  <c r="BN210" i="75"/>
  <c r="BN60" i="75"/>
  <c r="V60" i="75" s="1"/>
  <c r="N60" i="75" s="1"/>
  <c r="BN314" i="75"/>
  <c r="BN260" i="75"/>
  <c r="V260" i="75" s="1"/>
  <c r="N260" i="75" s="1"/>
  <c r="BN80" i="75"/>
  <c r="V80" i="75" s="1"/>
  <c r="N80" i="75" s="1"/>
  <c r="BN401" i="75"/>
  <c r="V401" i="75" s="1"/>
  <c r="N401" i="75" s="1"/>
  <c r="BN50" i="75"/>
  <c r="BN292" i="75"/>
  <c r="V292" i="75" s="1"/>
  <c r="N292" i="75" s="1"/>
  <c r="BN201" i="75"/>
  <c r="BN55" i="75"/>
  <c r="BN196" i="75"/>
  <c r="BN315" i="75"/>
  <c r="BN217" i="75"/>
  <c r="BN72" i="75"/>
  <c r="V72" i="75" s="1"/>
  <c r="N72" i="75" s="1"/>
  <c r="BN10" i="75"/>
  <c r="BN39" i="75"/>
  <c r="BN273" i="75"/>
  <c r="V273" i="75" s="1"/>
  <c r="N273" i="75" s="1"/>
  <c r="BN171" i="75"/>
  <c r="BN29" i="75"/>
  <c r="BN312" i="75"/>
  <c r="BN213" i="75"/>
  <c r="BN70" i="75"/>
  <c r="BN9" i="75"/>
  <c r="BN269" i="75"/>
  <c r="V269" i="75" s="1"/>
  <c r="N269" i="75" s="1"/>
  <c r="BN191" i="75"/>
  <c r="BN25" i="75"/>
  <c r="BN291" i="75"/>
  <c r="V291" i="75" s="1"/>
  <c r="N291" i="75" s="1"/>
  <c r="BN176" i="75"/>
  <c r="BN45" i="75"/>
  <c r="BN306" i="75"/>
  <c r="BN205" i="75"/>
  <c r="BN67" i="75"/>
  <c r="BN330" i="75"/>
  <c r="BN31" i="75"/>
  <c r="BN295" i="75"/>
  <c r="V295" i="75" s="1"/>
  <c r="N295" i="75" s="1"/>
  <c r="BN172" i="75"/>
  <c r="BN43" i="75"/>
  <c r="BN173" i="75"/>
  <c r="BN324" i="75"/>
  <c r="BN208" i="75"/>
  <c r="BN76" i="75"/>
  <c r="V76" i="75" s="1"/>
  <c r="N76" i="75" s="1"/>
  <c r="BN336" i="75"/>
  <c r="BN399" i="75"/>
  <c r="V399" i="75" s="1"/>
  <c r="N399" i="75" s="1"/>
  <c r="BN274" i="75"/>
  <c r="V274" i="75" s="1"/>
  <c r="N274" i="75" s="1"/>
  <c r="BN87" i="75"/>
  <c r="V87" i="75" s="1"/>
  <c r="N87" i="75" s="1"/>
  <c r="BN40" i="75"/>
  <c r="BN309" i="75"/>
  <c r="V309" i="75" s="1"/>
  <c r="N309" i="75" s="1"/>
  <c r="BN197" i="75"/>
  <c r="BN64" i="75"/>
  <c r="V64" i="75" s="1"/>
  <c r="N64" i="75" s="1"/>
  <c r="BN404" i="75"/>
  <c r="V404" i="75" s="1"/>
  <c r="N404" i="75" s="1"/>
  <c r="BN270" i="75"/>
  <c r="V270" i="75" s="1"/>
  <c r="N270" i="75" s="1"/>
  <c r="BN84" i="75"/>
  <c r="V84" i="75" s="1"/>
  <c r="N84" i="75" s="1"/>
  <c r="BN34" i="75"/>
  <c r="BN277" i="75"/>
  <c r="V277" i="75" s="1"/>
  <c r="N277" i="75" s="1"/>
  <c r="BN181" i="75"/>
  <c r="BN38" i="75"/>
  <c r="BN297" i="75"/>
  <c r="V297" i="75" s="1"/>
  <c r="N297" i="75" s="1"/>
  <c r="BN203" i="75"/>
  <c r="BN58" i="75"/>
  <c r="V58" i="75" s="1"/>
  <c r="N58" i="75" s="1"/>
  <c r="BN288" i="75"/>
  <c r="V288" i="75" s="1"/>
  <c r="N288" i="75" s="1"/>
  <c r="BN15" i="75"/>
  <c r="BN287" i="75"/>
  <c r="V287" i="75" s="1"/>
  <c r="N287" i="75" s="1"/>
  <c r="BN177" i="75"/>
  <c r="BN35" i="75"/>
  <c r="BN59" i="75"/>
  <c r="V59" i="75" s="1"/>
  <c r="N59" i="75" s="1"/>
  <c r="BN302" i="75"/>
  <c r="V302" i="75" s="1"/>
  <c r="N302" i="75" s="1"/>
  <c r="BN198" i="75"/>
  <c r="V198" i="75" s="1"/>
  <c r="N198" i="75" s="1"/>
  <c r="BN52" i="75"/>
  <c r="BN300" i="75"/>
  <c r="V300" i="75" s="1"/>
  <c r="N300" i="75" s="1"/>
  <c r="BN398" i="75"/>
  <c r="V398" i="75" s="1"/>
  <c r="N398" i="75" s="1"/>
  <c r="BN275" i="75"/>
  <c r="V275" i="75" s="1"/>
  <c r="N275" i="75" s="1"/>
  <c r="BN81" i="75"/>
  <c r="V81" i="75" s="1"/>
  <c r="N81" i="75" s="1"/>
  <c r="BN22" i="75"/>
  <c r="BN293" i="75"/>
  <c r="V293" i="75" s="1"/>
  <c r="N293" i="75" s="1"/>
  <c r="BN180" i="75"/>
  <c r="BN49" i="75"/>
  <c r="BN310" i="75"/>
  <c r="BN211" i="75"/>
  <c r="BN68" i="75"/>
  <c r="BN268" i="75"/>
  <c r="V268" i="75" s="1"/>
  <c r="N268" i="75" s="1"/>
  <c r="BN88" i="75"/>
  <c r="V88" i="75" s="1"/>
  <c r="N88" i="75" s="1"/>
  <c r="BN32" i="75"/>
  <c r="BN286" i="75"/>
  <c r="V286" i="75" s="1"/>
  <c r="N286" i="75" s="1"/>
  <c r="BN179" i="75"/>
  <c r="BN42" i="75"/>
  <c r="BN276" i="75"/>
  <c r="V276" i="75" s="1"/>
  <c r="N276" i="75" s="1"/>
  <c r="BN396" i="75"/>
  <c r="V396" i="75" s="1"/>
  <c r="N396" i="75" s="1"/>
  <c r="BN85" i="75"/>
  <c r="V85" i="75" s="1"/>
  <c r="N85" i="75" s="1"/>
  <c r="BN28" i="75"/>
  <c r="BN13" i="75"/>
  <c r="BN289" i="75"/>
  <c r="V289" i="75" s="1"/>
  <c r="N289" i="75" s="1"/>
  <c r="BN195" i="75"/>
  <c r="BN218" i="75"/>
  <c r="BN311" i="75"/>
  <c r="BN206" i="75"/>
  <c r="BN1" i="76"/>
  <c r="BN66" i="75"/>
  <c r="BN258" i="75"/>
  <c r="BN102" i="75"/>
  <c r="BN182" i="75"/>
  <c r="BJ361" i="76"/>
  <c r="BJ323" i="76"/>
  <c r="BJ345" i="76"/>
  <c r="BB116" i="76"/>
  <c r="BF201" i="76"/>
  <c r="N300" i="70"/>
  <c r="N308" i="70" s="1"/>
  <c r="N304" i="71"/>
  <c r="BJ154" i="76"/>
  <c r="BJ89" i="76"/>
  <c r="BJ343" i="76"/>
  <c r="BJ326" i="76"/>
  <c r="BB227" i="76"/>
  <c r="P249" i="71"/>
  <c r="P253" i="70"/>
  <c r="HM21" i="71"/>
  <c r="BJ364" i="76"/>
  <c r="BJ368" i="76"/>
  <c r="BJ60" i="76"/>
  <c r="BJ170" i="76"/>
  <c r="BJ352" i="76"/>
  <c r="N258" i="70"/>
  <c r="N259" i="70" s="1"/>
  <c r="BF406" i="76"/>
  <c r="BF202" i="76" s="1"/>
  <c r="BF401" i="76"/>
  <c r="BF92" i="76" s="1"/>
  <c r="BJ66" i="76"/>
  <c r="BJ176" i="76"/>
  <c r="BJ353" i="76"/>
  <c r="BJ339" i="76"/>
  <c r="BJ93" i="75"/>
  <c r="BJ341" i="75"/>
  <c r="BJ369" i="76"/>
  <c r="BJ179" i="76"/>
  <c r="BJ69" i="76"/>
  <c r="BJ351" i="76"/>
  <c r="BF118" i="76"/>
  <c r="BF198" i="76" s="1"/>
  <c r="BF88" i="76"/>
  <c r="BJ363" i="76"/>
  <c r="BJ181" i="76"/>
  <c r="BJ71" i="76"/>
  <c r="BJ322" i="76"/>
  <c r="BJ328" i="76"/>
  <c r="BJ346" i="76"/>
  <c r="BJ357" i="76"/>
  <c r="N314" i="70"/>
  <c r="N280" i="70"/>
  <c r="N279" i="70"/>
  <c r="N278" i="70"/>
  <c r="N281" i="70"/>
  <c r="Q275" i="70"/>
  <c r="HV22" i="70" s="1"/>
  <c r="R274" i="70" a="1"/>
  <c r="R274" i="70" s="1"/>
  <c r="R275" i="70" s="1"/>
  <c r="O277" i="70"/>
  <c r="HU20" i="71"/>
  <c r="O273" i="71"/>
  <c r="R262" i="70" a="1"/>
  <c r="R262" i="70" s="1"/>
  <c r="Q263" i="70"/>
  <c r="HR22" i="70" s="1"/>
  <c r="O303" i="70"/>
  <c r="O311" i="70" s="1"/>
  <c r="O307" i="71"/>
  <c r="N313" i="70"/>
  <c r="N267" i="70"/>
  <c r="N268" i="70"/>
  <c r="N269" i="70"/>
  <c r="N266" i="70"/>
  <c r="HS21" i="70"/>
  <c r="IF21" i="70"/>
  <c r="P264" i="70"/>
  <c r="HT21" i="70"/>
  <c r="M270" i="70"/>
  <c r="M271" i="70" s="1"/>
  <c r="P291" i="70"/>
  <c r="P292" i="70"/>
  <c r="P315" i="70"/>
  <c r="P290" i="70"/>
  <c r="P293" i="70"/>
  <c r="P314" i="70"/>
  <c r="P279" i="70"/>
  <c r="P280" i="70"/>
  <c r="P281" i="70"/>
  <c r="P278" i="70"/>
  <c r="S287" i="70"/>
  <c r="HZ24" i="70" s="1"/>
  <c r="T286" i="70" a="1"/>
  <c r="T286" i="70" s="1"/>
  <c r="K309" i="70"/>
  <c r="L301" i="70"/>
  <c r="L309" i="70" s="1"/>
  <c r="L305" i="71"/>
  <c r="IA23" i="70"/>
  <c r="R288" i="70"/>
  <c r="IH23" i="70"/>
  <c r="IB23" i="70"/>
  <c r="O265" i="70"/>
  <c r="O261" i="71"/>
  <c r="HQ20" i="71"/>
  <c r="Q289" i="70"/>
  <c r="Q285" i="71"/>
  <c r="HY22" i="71"/>
  <c r="M305" i="71"/>
  <c r="M301" i="70"/>
  <c r="M309" i="70" s="1"/>
  <c r="AQ16" i="50"/>
  <c r="AL17" i="50" s="1"/>
  <c r="AL20" i="51"/>
  <c r="AH22" i="51" s="1"/>
  <c r="AK7" i="51"/>
  <c r="AG9" i="51" s="1"/>
  <c r="AL23" i="48"/>
  <c r="AH26" i="48" s="1"/>
  <c r="AK12" i="48"/>
  <c r="AG15" i="48" s="1"/>
  <c r="M7" i="51"/>
  <c r="I9" i="51" s="1"/>
  <c r="M13" i="51"/>
  <c r="M14" i="51"/>
  <c r="M15" i="51"/>
  <c r="M16" i="51"/>
  <c r="N20" i="51"/>
  <c r="J22" i="51" s="1"/>
  <c r="P16" i="50"/>
  <c r="K17" i="50" s="1"/>
  <c r="N23" i="48"/>
  <c r="J24" i="48" s="1"/>
  <c r="M12" i="48"/>
  <c r="I15" i="48" s="1"/>
  <c r="AH24" i="48"/>
  <c r="AN24" i="48"/>
  <c r="AN21" i="51"/>
  <c r="AH21" i="51"/>
  <c r="BB107" i="75" l="1"/>
  <c r="BC106" i="75"/>
  <c r="IE24" i="70"/>
  <c r="HP24" i="70"/>
  <c r="HO24" i="70"/>
  <c r="HV23" i="70"/>
  <c r="R276" i="70" s="1"/>
  <c r="HU23" i="71" s="1"/>
  <c r="P294" i="70"/>
  <c r="P295" i="70" s="1"/>
  <c r="BF116" i="76"/>
  <c r="BJ198" i="76"/>
  <c r="P282" i="70"/>
  <c r="P283" i="70" s="1"/>
  <c r="T250" i="70" a="1"/>
  <c r="T250" i="70" s="1"/>
  <c r="U250" i="70" s="1" a="1"/>
  <c r="U250" i="70" s="1"/>
  <c r="V250" i="70" s="1" a="1"/>
  <c r="V250" i="70" s="1"/>
  <c r="N322" i="75"/>
  <c r="N385" i="76" s="1"/>
  <c r="V385" i="76"/>
  <c r="BF227" i="76"/>
  <c r="V206" i="75"/>
  <c r="BN356" i="76"/>
  <c r="BN93" i="75"/>
  <c r="V68" i="75"/>
  <c r="V177" i="75"/>
  <c r="BN327" i="76"/>
  <c r="V181" i="75"/>
  <c r="BN331" i="76"/>
  <c r="BN387" i="76"/>
  <c r="V324" i="75"/>
  <c r="V205" i="75"/>
  <c r="BN355" i="76"/>
  <c r="BN91" i="75"/>
  <c r="BN8" i="76"/>
  <c r="BN118" i="76" s="1"/>
  <c r="V10" i="75"/>
  <c r="BN9" i="76"/>
  <c r="BN119" i="76" s="1"/>
  <c r="V50" i="75"/>
  <c r="BN49" i="76"/>
  <c r="BN159" i="76" s="1"/>
  <c r="V61" i="75"/>
  <c r="BN170" i="76"/>
  <c r="BN60" i="76"/>
  <c r="V204" i="75"/>
  <c r="BN354" i="76"/>
  <c r="V200" i="75"/>
  <c r="BN350" i="76"/>
  <c r="BN362" i="76"/>
  <c r="V212" i="75"/>
  <c r="BN50" i="76"/>
  <c r="BN160" i="76" s="1"/>
  <c r="V51" i="75"/>
  <c r="V215" i="75"/>
  <c r="BN365" i="76"/>
  <c r="V189" i="75"/>
  <c r="BN339" i="76"/>
  <c r="V9" i="75"/>
  <c r="O300" i="70"/>
  <c r="O308" i="70" s="1"/>
  <c r="O304" i="71"/>
  <c r="V311" i="75"/>
  <c r="BN374" i="76"/>
  <c r="V211" i="75"/>
  <c r="BN361" i="76"/>
  <c r="BN39" i="76"/>
  <c r="BN149" i="76" s="1"/>
  <c r="V40" i="75"/>
  <c r="BN323" i="76"/>
  <c r="V173" i="75"/>
  <c r="V306" i="75"/>
  <c r="BN369" i="76"/>
  <c r="BN341" i="75"/>
  <c r="V70" i="75"/>
  <c r="BN69" i="76"/>
  <c r="BN179" i="76"/>
  <c r="BN333" i="76"/>
  <c r="V183" i="75"/>
  <c r="V30" i="75"/>
  <c r="BN29" i="76"/>
  <c r="BN139" i="76" s="1"/>
  <c r="BN376" i="76"/>
  <c r="V313" i="75"/>
  <c r="V184" i="75"/>
  <c r="BN334" i="76"/>
  <c r="BN395" i="76"/>
  <c r="V332" i="75"/>
  <c r="V326" i="75"/>
  <c r="BN389" i="76"/>
  <c r="V335" i="75"/>
  <c r="BN398" i="76"/>
  <c r="V334" i="75"/>
  <c r="BN397" i="76"/>
  <c r="BJ94" i="75"/>
  <c r="HM22" i="71"/>
  <c r="Q253" i="70"/>
  <c r="Q249" i="71"/>
  <c r="BJ88" i="76"/>
  <c r="BN368" i="76"/>
  <c r="V218" i="75"/>
  <c r="BN41" i="76"/>
  <c r="BN151" i="76" s="1"/>
  <c r="V42" i="75"/>
  <c r="BN373" i="76"/>
  <c r="V310" i="75"/>
  <c r="BN14" i="76"/>
  <c r="BN124" i="76" s="1"/>
  <c r="V15" i="75"/>
  <c r="BN33" i="76"/>
  <c r="BN143" i="76" s="1"/>
  <c r="V34" i="75"/>
  <c r="V43" i="75"/>
  <c r="BN42" i="76"/>
  <c r="BN152" i="76" s="1"/>
  <c r="V45" i="75"/>
  <c r="BN44" i="76"/>
  <c r="V213" i="75"/>
  <c r="BN363" i="76"/>
  <c r="V217" i="75"/>
  <c r="BN367" i="76"/>
  <c r="V26" i="75"/>
  <c r="BN25" i="76"/>
  <c r="BN135" i="76" s="1"/>
  <c r="V47" i="75"/>
  <c r="BN46" i="76"/>
  <c r="BN156" i="76" s="1"/>
  <c r="BN32" i="76"/>
  <c r="BN142" i="76" s="1"/>
  <c r="V33" i="75"/>
  <c r="BN357" i="76"/>
  <c r="V207" i="75"/>
  <c r="V27" i="75"/>
  <c r="BN26" i="76"/>
  <c r="BN136" i="76" s="1"/>
  <c r="V18" i="75"/>
  <c r="BN17" i="76"/>
  <c r="BN127" i="76" s="1"/>
  <c r="BJ200" i="76"/>
  <c r="BJ401" i="76"/>
  <c r="BJ92" i="76" s="1"/>
  <c r="BJ406" i="76"/>
  <c r="BJ202" i="76" s="1"/>
  <c r="O258" i="70"/>
  <c r="O259" i="70" s="1"/>
  <c r="V182" i="75"/>
  <c r="BN332" i="76"/>
  <c r="V195" i="75"/>
  <c r="BN345" i="76"/>
  <c r="V179" i="75"/>
  <c r="BN329" i="76"/>
  <c r="BN48" i="76"/>
  <c r="BN158" i="76" s="1"/>
  <c r="V49" i="75"/>
  <c r="V52" i="75"/>
  <c r="BN51" i="76"/>
  <c r="BN161" i="76" s="1"/>
  <c r="V172" i="75"/>
  <c r="BN322" i="76"/>
  <c r="V176" i="75"/>
  <c r="BN326" i="76"/>
  <c r="BN375" i="76"/>
  <c r="V312" i="75"/>
  <c r="V315" i="75"/>
  <c r="BN378" i="76"/>
  <c r="V20" i="75"/>
  <c r="BN19" i="76"/>
  <c r="BN129" i="76" s="1"/>
  <c r="V209" i="75"/>
  <c r="BN359" i="76"/>
  <c r="V14" i="75"/>
  <c r="BN13" i="76"/>
  <c r="BN123" i="76" s="1"/>
  <c r="BN328" i="76"/>
  <c r="V178" i="75"/>
  <c r="BN335" i="76"/>
  <c r="V185" i="75"/>
  <c r="V328" i="75"/>
  <c r="BN391" i="76"/>
  <c r="V175" i="75"/>
  <c r="BN325" i="76"/>
  <c r="V21" i="75"/>
  <c r="BN20" i="76"/>
  <c r="BN130" i="76" s="1"/>
  <c r="V202" i="75"/>
  <c r="BN352" i="76"/>
  <c r="BN40" i="76"/>
  <c r="BN150" i="76" s="1"/>
  <c r="V41" i="75"/>
  <c r="V56" i="75"/>
  <c r="BN55" i="76"/>
  <c r="BN165" i="76" s="1"/>
  <c r="V56" i="76"/>
  <c r="V166" i="76"/>
  <c r="N57" i="75"/>
  <c r="BJ201" i="76"/>
  <c r="V180" i="75"/>
  <c r="BN330" i="76"/>
  <c r="V29" i="75"/>
  <c r="BN28" i="76"/>
  <c r="BN138" i="76" s="1"/>
  <c r="BN346" i="76"/>
  <c r="V196" i="75"/>
  <c r="BN377" i="76"/>
  <c r="V314" i="75"/>
  <c r="V190" i="75"/>
  <c r="BN340" i="76"/>
  <c r="BN349" i="76"/>
  <c r="V199" i="75"/>
  <c r="BN92" i="75"/>
  <c r="BN56" i="76"/>
  <c r="BN166" i="76"/>
  <c r="V214" i="75"/>
  <c r="BN364" i="76"/>
  <c r="BJ90" i="76"/>
  <c r="P312" i="70"/>
  <c r="P299" i="70"/>
  <c r="P257" i="70"/>
  <c r="P256" i="70"/>
  <c r="P254" i="70"/>
  <c r="P255" i="70"/>
  <c r="V258" i="75"/>
  <c r="BN340" i="75"/>
  <c r="V13" i="75"/>
  <c r="BN12" i="76"/>
  <c r="BN122" i="76" s="1"/>
  <c r="V32" i="75"/>
  <c r="BN31" i="76"/>
  <c r="BN141" i="76" s="1"/>
  <c r="V203" i="75"/>
  <c r="BN353" i="76"/>
  <c r="V336" i="75"/>
  <c r="BN399" i="76"/>
  <c r="BN30" i="76"/>
  <c r="BN140" i="76" s="1"/>
  <c r="V31" i="75"/>
  <c r="BN24" i="76"/>
  <c r="BN134" i="76" s="1"/>
  <c r="V25" i="75"/>
  <c r="BN251" i="75"/>
  <c r="BN254" i="75" s="1"/>
  <c r="BN255" i="75" s="1"/>
  <c r="V171" i="75"/>
  <c r="BN321" i="76"/>
  <c r="V55" i="75"/>
  <c r="BN54" i="76"/>
  <c r="BN164" i="76" s="1"/>
  <c r="V216" i="75"/>
  <c r="BN366" i="76"/>
  <c r="V73" i="75"/>
  <c r="BN181" i="76"/>
  <c r="BN71" i="76"/>
  <c r="V395" i="75"/>
  <c r="BN428" i="75"/>
  <c r="BN430" i="75" s="1"/>
  <c r="BN431" i="75" s="1"/>
  <c r="BN98" i="75" s="1"/>
  <c r="V44" i="75"/>
  <c r="BN43" i="76"/>
  <c r="BN153" i="76" s="1"/>
  <c r="V24" i="75"/>
  <c r="BN23" i="76"/>
  <c r="BN133" i="76" s="1"/>
  <c r="V71" i="75"/>
  <c r="BN180" i="76"/>
  <c r="BN70" i="76"/>
  <c r="V174" i="75"/>
  <c r="BN324" i="76"/>
  <c r="BN400" i="76"/>
  <c r="V337" i="75"/>
  <c r="BJ91" i="76"/>
  <c r="BF95" i="75"/>
  <c r="BF96" i="75"/>
  <c r="BF99" i="75" s="1"/>
  <c r="BF105" i="75" s="1"/>
  <c r="V66" i="75"/>
  <c r="BN65" i="76"/>
  <c r="BN175" i="76"/>
  <c r="BN27" i="76"/>
  <c r="BN137" i="76" s="1"/>
  <c r="V28" i="75"/>
  <c r="V22" i="75"/>
  <c r="BN21" i="76"/>
  <c r="BN131" i="76" s="1"/>
  <c r="V330" i="75"/>
  <c r="BN393" i="76"/>
  <c r="BN341" i="76"/>
  <c r="V191" i="75"/>
  <c r="V201" i="75"/>
  <c r="BN351" i="76"/>
  <c r="V210" i="75"/>
  <c r="BN360" i="76"/>
  <c r="BN379" i="76"/>
  <c r="V316" i="75"/>
  <c r="V37" i="75"/>
  <c r="BN36" i="76"/>
  <c r="BN146" i="76" s="1"/>
  <c r="BN342" i="75"/>
  <c r="BN385" i="76"/>
  <c r="V193" i="75"/>
  <c r="BN343" i="76"/>
  <c r="BN47" i="76"/>
  <c r="BN157" i="76" s="1"/>
  <c r="V48" i="75"/>
  <c r="V12" i="75"/>
  <c r="BN11" i="76"/>
  <c r="BN121" i="76" s="1"/>
  <c r="V16" i="75"/>
  <c r="BN15" i="76"/>
  <c r="BN125" i="76" s="1"/>
  <c r="V187" i="75"/>
  <c r="BN337" i="76"/>
  <c r="BN10" i="76"/>
  <c r="BN120" i="76" s="1"/>
  <c r="V11" i="75"/>
  <c r="BN52" i="76"/>
  <c r="BN162" i="76" s="1"/>
  <c r="V53" i="75"/>
  <c r="V46" i="75"/>
  <c r="BN45" i="76"/>
  <c r="BN155" i="76" s="1"/>
  <c r="BJ343" i="75"/>
  <c r="BJ344" i="75" s="1"/>
  <c r="BJ97" i="75" s="1"/>
  <c r="HP23" i="70"/>
  <c r="R252" i="70"/>
  <c r="IE23" i="70"/>
  <c r="HO23" i="70"/>
  <c r="BN58" i="76"/>
  <c r="BN177" i="76"/>
  <c r="BN372" i="76"/>
  <c r="BN35" i="76"/>
  <c r="BN404" i="76"/>
  <c r="BN145" i="76"/>
  <c r="BN167" i="76"/>
  <c r="BN370" i="76"/>
  <c r="BN168" i="76"/>
  <c r="BN403" i="76"/>
  <c r="BN169" i="76"/>
  <c r="BN371" i="76"/>
  <c r="BN59" i="76"/>
  <c r="BN67" i="76"/>
  <c r="BN57" i="76"/>
  <c r="BN402" i="76"/>
  <c r="BN348" i="76"/>
  <c r="BN405" i="76"/>
  <c r="V35" i="75"/>
  <c r="BN34" i="76"/>
  <c r="BN144" i="76" s="1"/>
  <c r="V38" i="75"/>
  <c r="BN37" i="76"/>
  <c r="BN147" i="76" s="1"/>
  <c r="V197" i="75"/>
  <c r="BN347" i="76"/>
  <c r="V208" i="75"/>
  <c r="BN358" i="76"/>
  <c r="V67" i="75"/>
  <c r="BN66" i="76"/>
  <c r="BN176" i="76"/>
  <c r="BN38" i="76"/>
  <c r="BN148" i="76" s="1"/>
  <c r="V39" i="75"/>
  <c r="V17" i="75"/>
  <c r="BN16" i="76"/>
  <c r="BN126" i="76" s="1"/>
  <c r="V188" i="75"/>
  <c r="BN338" i="76"/>
  <c r="V54" i="75"/>
  <c r="BN53" i="76"/>
  <c r="BN163" i="76" s="1"/>
  <c r="V69" i="75"/>
  <c r="BN68" i="76"/>
  <c r="BN178" i="76"/>
  <c r="V186" i="75"/>
  <c r="BN336" i="76"/>
  <c r="V194" i="75"/>
  <c r="BN344" i="76"/>
  <c r="V19" i="75"/>
  <c r="BN18" i="76"/>
  <c r="BN128" i="76" s="1"/>
  <c r="BN22" i="76"/>
  <c r="BN132" i="76" s="1"/>
  <c r="V23" i="75"/>
  <c r="V192" i="75"/>
  <c r="BN342" i="76"/>
  <c r="Q276" i="70"/>
  <c r="HX22" i="70"/>
  <c r="HW22" i="70"/>
  <c r="IG22" i="70"/>
  <c r="N306" i="71"/>
  <c r="N302" i="70"/>
  <c r="N310" i="70" s="1"/>
  <c r="HW23" i="70"/>
  <c r="HX23" i="70"/>
  <c r="N282" i="70"/>
  <c r="N283" i="70" s="1"/>
  <c r="O281" i="70"/>
  <c r="O314" i="70"/>
  <c r="O280" i="70"/>
  <c r="O278" i="70"/>
  <c r="O279" i="70"/>
  <c r="S274" i="70" a="1"/>
  <c r="S274" i="70" s="1"/>
  <c r="Q292" i="70"/>
  <c r="Q291" i="70"/>
  <c r="Q290" i="70"/>
  <c r="Q293" i="70"/>
  <c r="Q315" i="70"/>
  <c r="R285" i="71"/>
  <c r="R289" i="70"/>
  <c r="HY23" i="71"/>
  <c r="P302" i="70"/>
  <c r="P310" i="70" s="1"/>
  <c r="P306" i="71"/>
  <c r="O267" i="70"/>
  <c r="O268" i="70"/>
  <c r="O313" i="70"/>
  <c r="O266" i="70"/>
  <c r="O269" i="70"/>
  <c r="P303" i="70"/>
  <c r="P311" i="70" s="1"/>
  <c r="P307" i="71"/>
  <c r="P265" i="70"/>
  <c r="P261" i="71"/>
  <c r="HQ21" i="71"/>
  <c r="T287" i="70"/>
  <c r="HZ25" i="70" s="1"/>
  <c r="U286" i="70" a="1"/>
  <c r="U286" i="70" s="1"/>
  <c r="N270" i="70"/>
  <c r="N271" i="70" s="1"/>
  <c r="IH24" i="70"/>
  <c r="IA24" i="70"/>
  <c r="IB24" i="70"/>
  <c r="S288" i="70"/>
  <c r="N305" i="71"/>
  <c r="N301" i="70"/>
  <c r="N309" i="70" s="1"/>
  <c r="HS22" i="70"/>
  <c r="Q264" i="70"/>
  <c r="IF22" i="70"/>
  <c r="HT22" i="70"/>
  <c r="R263" i="70"/>
  <c r="HR23" i="70" s="1"/>
  <c r="S262" i="70" a="1"/>
  <c r="S262" i="70" s="1"/>
  <c r="HM24" i="71"/>
  <c r="S253" i="70"/>
  <c r="S249" i="71"/>
  <c r="AG13" i="48"/>
  <c r="AN13" i="48"/>
  <c r="P21" i="51"/>
  <c r="J21" i="51"/>
  <c r="P24" i="48"/>
  <c r="J26" i="48"/>
  <c r="AN8" i="51"/>
  <c r="AG8" i="51"/>
  <c r="P8" i="51"/>
  <c r="I8" i="51"/>
  <c r="P13" i="48"/>
  <c r="I13" i="48"/>
  <c r="K18" i="50"/>
  <c r="S17" i="50"/>
  <c r="AL18" i="50"/>
  <c r="AT17" i="50"/>
  <c r="R277" i="70" l="1"/>
  <c r="R273" i="71"/>
  <c r="BN91" i="76"/>
  <c r="IG23" i="70"/>
  <c r="BJ227" i="76"/>
  <c r="T251" i="70"/>
  <c r="HN25" i="70" s="1"/>
  <c r="U251" i="70"/>
  <c r="P258" i="70"/>
  <c r="P259" i="70" s="1"/>
  <c r="V338" i="76"/>
  <c r="N188" i="75"/>
  <c r="N338" i="76" s="1"/>
  <c r="BN201" i="76"/>
  <c r="N46" i="75"/>
  <c r="N45" i="76" s="1"/>
  <c r="N155" i="76" s="1"/>
  <c r="V45" i="76"/>
  <c r="V155" i="76" s="1"/>
  <c r="N16" i="75"/>
  <c r="N15" i="76" s="1"/>
  <c r="N125" i="76" s="1"/>
  <c r="V15" i="76"/>
  <c r="V125" i="76" s="1"/>
  <c r="N201" i="75"/>
  <c r="N351" i="76" s="1"/>
  <c r="V351" i="76"/>
  <c r="V366" i="76"/>
  <c r="N216" i="75"/>
  <c r="N366" i="76" s="1"/>
  <c r="N31" i="75"/>
  <c r="N30" i="76" s="1"/>
  <c r="N140" i="76" s="1"/>
  <c r="V30" i="76"/>
  <c r="V140" i="76" s="1"/>
  <c r="N199" i="75"/>
  <c r="N349" i="76" s="1"/>
  <c r="V349" i="76"/>
  <c r="N312" i="75"/>
  <c r="N375" i="76" s="1"/>
  <c r="V375" i="76"/>
  <c r="V48" i="76"/>
  <c r="V158" i="76" s="1"/>
  <c r="N49" i="75"/>
  <c r="N48" i="76" s="1"/>
  <c r="N158" i="76" s="1"/>
  <c r="V357" i="76"/>
  <c r="N207" i="75"/>
  <c r="N357" i="76" s="1"/>
  <c r="N34" i="75"/>
  <c r="N33" i="76" s="1"/>
  <c r="N143" i="76" s="1"/>
  <c r="V33" i="76"/>
  <c r="V143" i="76" s="1"/>
  <c r="V368" i="76"/>
  <c r="N218" i="75"/>
  <c r="N368" i="76" s="1"/>
  <c r="V39" i="76"/>
  <c r="V149" i="76" s="1"/>
  <c r="N40" i="75"/>
  <c r="N39" i="76" s="1"/>
  <c r="N149" i="76" s="1"/>
  <c r="N9" i="75"/>
  <c r="V8" i="76"/>
  <c r="V118" i="76" s="1"/>
  <c r="V91" i="75"/>
  <c r="N324" i="75"/>
  <c r="V387" i="76"/>
  <c r="N44" i="75"/>
  <c r="N43" i="76" s="1"/>
  <c r="N153" i="76" s="1"/>
  <c r="V43" i="76"/>
  <c r="V153" i="76" s="1"/>
  <c r="N13" i="75"/>
  <c r="N12" i="76" s="1"/>
  <c r="N122" i="76" s="1"/>
  <c r="V12" i="76"/>
  <c r="V122" i="76" s="1"/>
  <c r="V28" i="76"/>
  <c r="V138" i="76" s="1"/>
  <c r="N29" i="75"/>
  <c r="N28" i="76" s="1"/>
  <c r="N138" i="76" s="1"/>
  <c r="N56" i="75"/>
  <c r="N55" i="76" s="1"/>
  <c r="N165" i="76" s="1"/>
  <c r="V55" i="76"/>
  <c r="V165" i="76" s="1"/>
  <c r="N175" i="75"/>
  <c r="N325" i="76" s="1"/>
  <c r="V325" i="76"/>
  <c r="N14" i="75"/>
  <c r="N13" i="76" s="1"/>
  <c r="N123" i="76" s="1"/>
  <c r="V13" i="76"/>
  <c r="V123" i="76" s="1"/>
  <c r="N217" i="75"/>
  <c r="N367" i="76" s="1"/>
  <c r="V367" i="76"/>
  <c r="N334" i="75"/>
  <c r="N397" i="76" s="1"/>
  <c r="V397" i="76"/>
  <c r="N184" i="75"/>
  <c r="N334" i="76" s="1"/>
  <c r="V334" i="76"/>
  <c r="N50" i="75"/>
  <c r="N49" i="76" s="1"/>
  <c r="N159" i="76" s="1"/>
  <c r="V49" i="76"/>
  <c r="V159" i="76" s="1"/>
  <c r="N206" i="75"/>
  <c r="N356" i="76" s="1"/>
  <c r="V356" i="76"/>
  <c r="V22" i="76"/>
  <c r="V132" i="76" s="1"/>
  <c r="N23" i="75"/>
  <c r="N22" i="76" s="1"/>
  <c r="N132" i="76" s="1"/>
  <c r="V16" i="76"/>
  <c r="V126" i="76" s="1"/>
  <c r="N17" i="75"/>
  <c r="N16" i="76" s="1"/>
  <c r="N126" i="76" s="1"/>
  <c r="N12" i="75"/>
  <c r="N11" i="76" s="1"/>
  <c r="N121" i="76" s="1"/>
  <c r="V11" i="76"/>
  <c r="V121" i="76" s="1"/>
  <c r="N37" i="75"/>
  <c r="N36" i="76" s="1"/>
  <c r="N146" i="76" s="1"/>
  <c r="V36" i="76"/>
  <c r="V146" i="76" s="1"/>
  <c r="N174" i="75"/>
  <c r="N324" i="76" s="1"/>
  <c r="V324" i="76"/>
  <c r="N55" i="75"/>
  <c r="N54" i="76" s="1"/>
  <c r="N164" i="76" s="1"/>
  <c r="V54" i="76"/>
  <c r="V164" i="76" s="1"/>
  <c r="BN343" i="75"/>
  <c r="BN344" i="75" s="1"/>
  <c r="BN97" i="75" s="1"/>
  <c r="BJ116" i="76"/>
  <c r="N41" i="75"/>
  <c r="N40" i="76" s="1"/>
  <c r="N150" i="76" s="1"/>
  <c r="V40" i="76"/>
  <c r="V150" i="76" s="1"/>
  <c r="N33" i="75"/>
  <c r="N32" i="76" s="1"/>
  <c r="N142" i="76" s="1"/>
  <c r="V32" i="76"/>
  <c r="V142" i="76" s="1"/>
  <c r="V14" i="76"/>
  <c r="V124" i="76" s="1"/>
  <c r="N15" i="75"/>
  <c r="N14" i="76" s="1"/>
  <c r="N124" i="76" s="1"/>
  <c r="N313" i="75"/>
  <c r="N376" i="76" s="1"/>
  <c r="V376" i="76"/>
  <c r="N70" i="75"/>
  <c r="V179" i="76"/>
  <c r="V69" i="76"/>
  <c r="V339" i="76"/>
  <c r="N189" i="75"/>
  <c r="N339" i="76" s="1"/>
  <c r="N200" i="75"/>
  <c r="N350" i="76" s="1"/>
  <c r="V350" i="76"/>
  <c r="N192" i="75"/>
  <c r="N342" i="76" s="1"/>
  <c r="V342" i="76"/>
  <c r="N208" i="75"/>
  <c r="N358" i="76" s="1"/>
  <c r="V358" i="76"/>
  <c r="N39" i="75"/>
  <c r="N38" i="76" s="1"/>
  <c r="N148" i="76" s="1"/>
  <c r="V38" i="76"/>
  <c r="V148" i="76" s="1"/>
  <c r="V347" i="76"/>
  <c r="N197" i="75"/>
  <c r="N347" i="76" s="1"/>
  <c r="N11" i="75"/>
  <c r="N10" i="76" s="1"/>
  <c r="N120" i="76" s="1"/>
  <c r="V10" i="76"/>
  <c r="V120" i="76" s="1"/>
  <c r="N48" i="75"/>
  <c r="N47" i="76" s="1"/>
  <c r="N157" i="76" s="1"/>
  <c r="V47" i="76"/>
  <c r="V157" i="76" s="1"/>
  <c r="V379" i="76"/>
  <c r="N316" i="75"/>
  <c r="N379" i="76" s="1"/>
  <c r="V65" i="76"/>
  <c r="V175" i="76"/>
  <c r="N66" i="75"/>
  <c r="V428" i="75"/>
  <c r="V430" i="75" s="1"/>
  <c r="V431" i="75" s="1"/>
  <c r="V98" i="75" s="1"/>
  <c r="N395" i="75"/>
  <c r="N428" i="75" s="1"/>
  <c r="N430" i="75" s="1"/>
  <c r="N431" i="75" s="1"/>
  <c r="N98" i="75" s="1"/>
  <c r="BN406" i="76"/>
  <c r="BN202" i="76" s="1"/>
  <c r="BN401" i="76"/>
  <c r="BN92" i="76" s="1"/>
  <c r="N336" i="75"/>
  <c r="N399" i="76" s="1"/>
  <c r="V399" i="76"/>
  <c r="N258" i="75"/>
  <c r="N340" i="75" s="1"/>
  <c r="V340" i="75"/>
  <c r="N190" i="75"/>
  <c r="N340" i="76" s="1"/>
  <c r="V340" i="76"/>
  <c r="N180" i="75"/>
  <c r="N330" i="76" s="1"/>
  <c r="V330" i="76"/>
  <c r="V391" i="76"/>
  <c r="N328" i="75"/>
  <c r="N391" i="76" s="1"/>
  <c r="N209" i="75"/>
  <c r="N359" i="76" s="1"/>
  <c r="V359" i="76"/>
  <c r="N176" i="75"/>
  <c r="N326" i="76" s="1"/>
  <c r="V326" i="76"/>
  <c r="N179" i="75"/>
  <c r="N329" i="76" s="1"/>
  <c r="V329" i="76"/>
  <c r="V363" i="76"/>
  <c r="N213" i="75"/>
  <c r="N363" i="76" s="1"/>
  <c r="N335" i="75"/>
  <c r="N398" i="76" s="1"/>
  <c r="V398" i="76"/>
  <c r="N211" i="75"/>
  <c r="N361" i="76" s="1"/>
  <c r="V361" i="76"/>
  <c r="N10" i="75"/>
  <c r="N9" i="76" s="1"/>
  <c r="N119" i="76" s="1"/>
  <c r="V9" i="76"/>
  <c r="V119" i="76" s="1"/>
  <c r="N181" i="75"/>
  <c r="N331" i="76" s="1"/>
  <c r="V331" i="76"/>
  <c r="V339" i="75"/>
  <c r="V112" i="75"/>
  <c r="N69" i="75"/>
  <c r="V178" i="76"/>
  <c r="V68" i="76"/>
  <c r="R249" i="71"/>
  <c r="R253" i="70"/>
  <c r="HM23" i="71"/>
  <c r="N330" i="75"/>
  <c r="N393" i="76" s="1"/>
  <c r="V393" i="76"/>
  <c r="BF107" i="75"/>
  <c r="BG106" i="75"/>
  <c r="V321" i="76"/>
  <c r="N171" i="75"/>
  <c r="V251" i="75"/>
  <c r="V254" i="75" s="1"/>
  <c r="V255" i="75" s="1"/>
  <c r="P304" i="71"/>
  <c r="P300" i="70"/>
  <c r="P308" i="70" s="1"/>
  <c r="V364" i="76"/>
  <c r="N214" i="75"/>
  <c r="N364" i="76" s="1"/>
  <c r="N314" i="75"/>
  <c r="N377" i="76" s="1"/>
  <c r="V377" i="76"/>
  <c r="V335" i="76"/>
  <c r="N185" i="75"/>
  <c r="N335" i="76" s="1"/>
  <c r="BN89" i="76"/>
  <c r="BN88" i="76" s="1"/>
  <c r="BN154" i="76"/>
  <c r="N310" i="75"/>
  <c r="N373" i="76" s="1"/>
  <c r="V373" i="76"/>
  <c r="N215" i="75"/>
  <c r="N365" i="76" s="1"/>
  <c r="V365" i="76"/>
  <c r="N204" i="75"/>
  <c r="N354" i="76" s="1"/>
  <c r="V354" i="76"/>
  <c r="BN198" i="76"/>
  <c r="V342" i="75"/>
  <c r="N186" i="75"/>
  <c r="N336" i="76" s="1"/>
  <c r="V336" i="76"/>
  <c r="V52" i="76"/>
  <c r="V162" i="76" s="1"/>
  <c r="N53" i="75"/>
  <c r="N52" i="76" s="1"/>
  <c r="N162" i="76" s="1"/>
  <c r="N191" i="75"/>
  <c r="N341" i="76" s="1"/>
  <c r="V341" i="76"/>
  <c r="N19" i="75"/>
  <c r="N18" i="76" s="1"/>
  <c r="N128" i="76" s="1"/>
  <c r="V18" i="76"/>
  <c r="V128" i="76" s="1"/>
  <c r="N38" i="75"/>
  <c r="N37" i="76" s="1"/>
  <c r="N147" i="76" s="1"/>
  <c r="V37" i="76"/>
  <c r="V147" i="76" s="1"/>
  <c r="N71" i="75"/>
  <c r="V180" i="76"/>
  <c r="V70" i="76"/>
  <c r="N203" i="75"/>
  <c r="N353" i="76" s="1"/>
  <c r="V353" i="76"/>
  <c r="BN200" i="76"/>
  <c r="N166" i="76"/>
  <c r="N56" i="76"/>
  <c r="V352" i="76"/>
  <c r="N202" i="75"/>
  <c r="N352" i="76" s="1"/>
  <c r="V19" i="76"/>
  <c r="V129" i="76" s="1"/>
  <c r="N20" i="75"/>
  <c r="N19" i="76" s="1"/>
  <c r="N129" i="76" s="1"/>
  <c r="N172" i="75"/>
  <c r="N322" i="76" s="1"/>
  <c r="V322" i="76"/>
  <c r="N195" i="75"/>
  <c r="N345" i="76" s="1"/>
  <c r="V345" i="76"/>
  <c r="N18" i="75"/>
  <c r="N17" i="76" s="1"/>
  <c r="N127" i="76" s="1"/>
  <c r="V17" i="76"/>
  <c r="V127" i="76" s="1"/>
  <c r="V46" i="76"/>
  <c r="V156" i="76" s="1"/>
  <c r="N47" i="75"/>
  <c r="N46" i="76" s="1"/>
  <c r="N156" i="76" s="1"/>
  <c r="N45" i="75"/>
  <c r="N44" i="76" s="1"/>
  <c r="V44" i="76"/>
  <c r="Q255" i="70"/>
  <c r="Q257" i="70"/>
  <c r="Q312" i="70"/>
  <c r="Q299" i="70"/>
  <c r="Q254" i="70"/>
  <c r="Q256" i="70"/>
  <c r="Q258" i="70" s="1"/>
  <c r="Q259" i="70" s="1"/>
  <c r="N326" i="75"/>
  <c r="N389" i="76" s="1"/>
  <c r="V389" i="76"/>
  <c r="N30" i="75"/>
  <c r="N29" i="76" s="1"/>
  <c r="N139" i="76" s="1"/>
  <c r="V29" i="76"/>
  <c r="V139" i="76" s="1"/>
  <c r="V341" i="75"/>
  <c r="V369" i="76"/>
  <c r="N306" i="75"/>
  <c r="N311" i="75"/>
  <c r="N374" i="76" s="1"/>
  <c r="V374" i="76"/>
  <c r="V50" i="76"/>
  <c r="V160" i="76" s="1"/>
  <c r="N51" i="75"/>
  <c r="N50" i="76" s="1"/>
  <c r="N160" i="76" s="1"/>
  <c r="BN94" i="75"/>
  <c r="V327" i="76"/>
  <c r="N177" i="75"/>
  <c r="N327" i="76" s="1"/>
  <c r="V338" i="75"/>
  <c r="V53" i="76"/>
  <c r="V163" i="76" s="1"/>
  <c r="N54" i="75"/>
  <c r="N53" i="76" s="1"/>
  <c r="N163" i="76" s="1"/>
  <c r="N187" i="75"/>
  <c r="N337" i="76" s="1"/>
  <c r="V337" i="76"/>
  <c r="N193" i="75"/>
  <c r="N343" i="76" s="1"/>
  <c r="V343" i="76"/>
  <c r="N210" i="75"/>
  <c r="N360" i="76" s="1"/>
  <c r="V360" i="76"/>
  <c r="N22" i="75"/>
  <c r="N21" i="76" s="1"/>
  <c r="N131" i="76" s="1"/>
  <c r="V21" i="76"/>
  <c r="V131" i="76" s="1"/>
  <c r="V71" i="76"/>
  <c r="V181" i="76"/>
  <c r="N73" i="75"/>
  <c r="N25" i="75"/>
  <c r="N24" i="76" s="1"/>
  <c r="N134" i="76" s="1"/>
  <c r="V24" i="76"/>
  <c r="V134" i="76" s="1"/>
  <c r="BN90" i="76"/>
  <c r="N196" i="75"/>
  <c r="N346" i="76" s="1"/>
  <c r="V346" i="76"/>
  <c r="V328" i="76"/>
  <c r="N178" i="75"/>
  <c r="N328" i="76" s="1"/>
  <c r="N42" i="75"/>
  <c r="N41" i="76" s="1"/>
  <c r="N151" i="76" s="1"/>
  <c r="V41" i="76"/>
  <c r="V151" i="76" s="1"/>
  <c r="N332" i="75"/>
  <c r="N395" i="76" s="1"/>
  <c r="V395" i="76"/>
  <c r="V333" i="76"/>
  <c r="N183" i="75"/>
  <c r="N333" i="76" s="1"/>
  <c r="V323" i="76"/>
  <c r="N173" i="75"/>
  <c r="N323" i="76" s="1"/>
  <c r="V93" i="75"/>
  <c r="V114" i="75"/>
  <c r="N68" i="75"/>
  <c r="V344" i="76"/>
  <c r="N194" i="75"/>
  <c r="N344" i="76" s="1"/>
  <c r="V66" i="76"/>
  <c r="V176" i="76"/>
  <c r="N67" i="75"/>
  <c r="N35" i="75"/>
  <c r="N34" i="76" s="1"/>
  <c r="N144" i="76" s="1"/>
  <c r="V34" i="76"/>
  <c r="V144" i="76" s="1"/>
  <c r="N28" i="75"/>
  <c r="N27" i="76" s="1"/>
  <c r="N137" i="76" s="1"/>
  <c r="V27" i="76"/>
  <c r="V137" i="76" s="1"/>
  <c r="N337" i="75"/>
  <c r="N400" i="76" s="1"/>
  <c r="V400" i="76"/>
  <c r="N24" i="75"/>
  <c r="N23" i="76" s="1"/>
  <c r="N133" i="76" s="1"/>
  <c r="V23" i="76"/>
  <c r="V133" i="76" s="1"/>
  <c r="V31" i="76"/>
  <c r="V141" i="76" s="1"/>
  <c r="N32" i="75"/>
  <c r="N31" i="76" s="1"/>
  <c r="N141" i="76" s="1"/>
  <c r="V20" i="76"/>
  <c r="V130" i="76" s="1"/>
  <c r="N21" i="75"/>
  <c r="N20" i="76" s="1"/>
  <c r="N130" i="76" s="1"/>
  <c r="N315" i="75"/>
  <c r="N378" i="76" s="1"/>
  <c r="V378" i="76"/>
  <c r="N52" i="75"/>
  <c r="N51" i="76" s="1"/>
  <c r="N161" i="76" s="1"/>
  <c r="V51" i="76"/>
  <c r="V161" i="76" s="1"/>
  <c r="N182" i="75"/>
  <c r="N332" i="76" s="1"/>
  <c r="V332" i="76"/>
  <c r="N27" i="75"/>
  <c r="N26" i="76" s="1"/>
  <c r="N136" i="76" s="1"/>
  <c r="V26" i="76"/>
  <c r="V136" i="76" s="1"/>
  <c r="N26" i="75"/>
  <c r="N25" i="76" s="1"/>
  <c r="N135" i="76" s="1"/>
  <c r="V25" i="76"/>
  <c r="V135" i="76" s="1"/>
  <c r="N43" i="75"/>
  <c r="N42" i="76" s="1"/>
  <c r="N152" i="76" s="1"/>
  <c r="V42" i="76"/>
  <c r="V152" i="76" s="1"/>
  <c r="BJ95" i="75"/>
  <c r="V94" i="75"/>
  <c r="BJ96" i="75"/>
  <c r="BJ99" i="75" s="1"/>
  <c r="BJ105" i="75" s="1"/>
  <c r="N212" i="75"/>
  <c r="N362" i="76" s="1"/>
  <c r="V362" i="76"/>
  <c r="V92" i="75"/>
  <c r="N61" i="75"/>
  <c r="V60" i="76"/>
  <c r="V170" i="76"/>
  <c r="V355" i="76"/>
  <c r="N205" i="75"/>
  <c r="N355" i="76" s="1"/>
  <c r="T274" i="70" a="1"/>
  <c r="T274" i="70" s="1"/>
  <c r="T275" i="70" s="1"/>
  <c r="S275" i="70"/>
  <c r="HV24" i="70" s="1"/>
  <c r="O302" i="70"/>
  <c r="O310" i="70" s="1"/>
  <c r="O306" i="71"/>
  <c r="O282" i="70"/>
  <c r="O283" i="70" s="1"/>
  <c r="HU22" i="71"/>
  <c r="Q277" i="70"/>
  <c r="Q273" i="71"/>
  <c r="O270" i="70"/>
  <c r="O271" i="70" s="1"/>
  <c r="S263" i="70"/>
  <c r="HR24" i="70" s="1"/>
  <c r="T262" i="70" a="1"/>
  <c r="T262" i="70" s="1"/>
  <c r="O305" i="71"/>
  <c r="O301" i="70"/>
  <c r="O309" i="70" s="1"/>
  <c r="R315" i="70"/>
  <c r="R293" i="70"/>
  <c r="R292" i="70"/>
  <c r="R291" i="70"/>
  <c r="R290" i="70"/>
  <c r="V251" i="70"/>
  <c r="W250" i="70" a="1"/>
  <c r="W250" i="70" s="1"/>
  <c r="R314" i="70"/>
  <c r="R279" i="70"/>
  <c r="R280" i="70"/>
  <c r="R281" i="70"/>
  <c r="R278" i="70"/>
  <c r="Q307" i="71"/>
  <c r="Q303" i="70"/>
  <c r="Q311" i="70" s="1"/>
  <c r="S289" i="70"/>
  <c r="HY24" i="71"/>
  <c r="S285" i="71"/>
  <c r="Q265" i="70"/>
  <c r="Q261" i="71"/>
  <c r="HQ22" i="71"/>
  <c r="Q294" i="70"/>
  <c r="Q295" i="70" s="1"/>
  <c r="U287" i="70"/>
  <c r="HZ26" i="70" s="1"/>
  <c r="V286" i="70" a="1"/>
  <c r="V286" i="70" s="1"/>
  <c r="P266" i="70"/>
  <c r="P267" i="70"/>
  <c r="P313" i="70"/>
  <c r="P268" i="70"/>
  <c r="P269" i="70"/>
  <c r="S256" i="70"/>
  <c r="S312" i="70"/>
  <c r="S299" i="70"/>
  <c r="S257" i="70"/>
  <c r="S255" i="70"/>
  <c r="S254" i="70"/>
  <c r="R264" i="70"/>
  <c r="IF23" i="70"/>
  <c r="HS23" i="70"/>
  <c r="HT23" i="70"/>
  <c r="T288" i="70"/>
  <c r="IB25" i="70"/>
  <c r="IH25" i="70"/>
  <c r="IA25" i="70"/>
  <c r="HV25" i="70" l="1"/>
  <c r="IG25" i="70" s="1"/>
  <c r="R282" i="70"/>
  <c r="R283" i="70" s="1"/>
  <c r="HN26" i="70"/>
  <c r="V90" i="76"/>
  <c r="V115" i="76" s="1"/>
  <c r="R294" i="70"/>
  <c r="R295" i="70" s="1"/>
  <c r="HX25" i="70"/>
  <c r="HO25" i="70"/>
  <c r="IE25" i="70"/>
  <c r="T252" i="70"/>
  <c r="HP25" i="70"/>
  <c r="N369" i="76"/>
  <c r="N341" i="75"/>
  <c r="N321" i="76"/>
  <c r="N251" i="75"/>
  <c r="N254" i="75" s="1"/>
  <c r="N255" i="75" s="1"/>
  <c r="BJ107" i="75"/>
  <c r="BK106" i="75"/>
  <c r="N93" i="75"/>
  <c r="N114" i="75"/>
  <c r="V406" i="76"/>
  <c r="V202" i="76" s="1"/>
  <c r="V401" i="76"/>
  <c r="V92" i="76" s="1"/>
  <c r="V91" i="76"/>
  <c r="V114" i="76" s="1"/>
  <c r="N387" i="76"/>
  <c r="N339" i="75"/>
  <c r="N338" i="75"/>
  <c r="N342" i="75"/>
  <c r="V95" i="75"/>
  <c r="HI14" i="70" s="1"/>
  <c r="V96" i="75"/>
  <c r="V115" i="75"/>
  <c r="N180" i="76"/>
  <c r="N70" i="76"/>
  <c r="V201" i="76"/>
  <c r="V225" i="76" s="1"/>
  <c r="HW25" i="70"/>
  <c r="V200" i="76"/>
  <c r="V226" i="76" s="1"/>
  <c r="N71" i="76"/>
  <c r="N181" i="76"/>
  <c r="BN95" i="75"/>
  <c r="BN96" i="75"/>
  <c r="BN99" i="75" s="1"/>
  <c r="BN105" i="75" s="1"/>
  <c r="N90" i="76"/>
  <c r="N115" i="76" s="1"/>
  <c r="N68" i="76"/>
  <c r="N178" i="76"/>
  <c r="N179" i="76"/>
  <c r="N69" i="76"/>
  <c r="V198" i="76"/>
  <c r="N66" i="76"/>
  <c r="N176" i="76"/>
  <c r="Q304" i="71"/>
  <c r="Q300" i="70"/>
  <c r="Q308" i="70" s="1"/>
  <c r="N112" i="75"/>
  <c r="V113" i="75"/>
  <c r="N113" i="75" s="1"/>
  <c r="V116" i="75"/>
  <c r="V343" i="75"/>
  <c r="V344" i="75" s="1"/>
  <c r="V97" i="75" s="1"/>
  <c r="N65" i="76"/>
  <c r="N175" i="76"/>
  <c r="N8" i="76"/>
  <c r="N118" i="76" s="1"/>
  <c r="N198" i="76" s="1"/>
  <c r="N91" i="75" a="1"/>
  <c r="N91" i="75" s="1"/>
  <c r="N94" i="75" s="1"/>
  <c r="N96" i="75" s="1"/>
  <c r="N92" i="75"/>
  <c r="N60" i="76"/>
  <c r="N170" i="76"/>
  <c r="V154" i="76"/>
  <c r="V89" i="76"/>
  <c r="V88" i="76" s="1"/>
  <c r="N89" i="76"/>
  <c r="N154" i="76"/>
  <c r="BN227" i="76"/>
  <c r="BN116" i="76"/>
  <c r="R255" i="70"/>
  <c r="R256" i="70"/>
  <c r="R254" i="70"/>
  <c r="R257" i="70"/>
  <c r="R299" i="70"/>
  <c r="R312" i="70"/>
  <c r="Q314" i="70"/>
  <c r="Q278" i="70"/>
  <c r="Q279" i="70"/>
  <c r="Q280" i="70"/>
  <c r="Q281" i="70"/>
  <c r="U274" i="70" a="1"/>
  <c r="U274" i="70" s="1"/>
  <c r="T276" i="70"/>
  <c r="HX24" i="70"/>
  <c r="S276" i="70"/>
  <c r="HW24" i="70"/>
  <c r="IG24" i="70"/>
  <c r="S258" i="70"/>
  <c r="S259" i="70" s="1"/>
  <c r="P301" i="70"/>
  <c r="P309" i="70" s="1"/>
  <c r="P305" i="71"/>
  <c r="V287" i="70"/>
  <c r="HZ27" i="70" s="1"/>
  <c r="W286" i="70" a="1"/>
  <c r="W286" i="70" s="1"/>
  <c r="Q313" i="70"/>
  <c r="Q268" i="70"/>
  <c r="Q269" i="70"/>
  <c r="Q266" i="70"/>
  <c r="Q267" i="70"/>
  <c r="R307" i="71"/>
  <c r="R303" i="70"/>
  <c r="R311" i="70" s="1"/>
  <c r="T263" i="70"/>
  <c r="HR25" i="70" s="1"/>
  <c r="U262" i="70" a="1"/>
  <c r="U262" i="70" s="1"/>
  <c r="R261" i="71"/>
  <c r="HQ23" i="71"/>
  <c r="R265" i="70"/>
  <c r="R306" i="71"/>
  <c r="R302" i="70"/>
  <c r="R310" i="70" s="1"/>
  <c r="S264" i="70"/>
  <c r="HS24" i="70"/>
  <c r="IF24" i="70"/>
  <c r="HT24" i="70"/>
  <c r="U288" i="70"/>
  <c r="IA26" i="70"/>
  <c r="IB26" i="70"/>
  <c r="IH26" i="70"/>
  <c r="T277" i="70"/>
  <c r="T273" i="71"/>
  <c r="HU25" i="71"/>
  <c r="T289" i="70"/>
  <c r="HY25" i="71"/>
  <c r="T285" i="71"/>
  <c r="S300" i="70"/>
  <c r="S308" i="70" s="1"/>
  <c r="S304" i="71"/>
  <c r="P270" i="70"/>
  <c r="P271" i="70" s="1"/>
  <c r="S290" i="70"/>
  <c r="S293" i="70"/>
  <c r="S292" i="70"/>
  <c r="S291" i="70"/>
  <c r="S315" i="70"/>
  <c r="W251" i="70"/>
  <c r="X250" i="70" a="1"/>
  <c r="X250" i="70" s="1"/>
  <c r="V116" i="76" l="1"/>
  <c r="HI15" i="70" s="1"/>
  <c r="HP26" i="70"/>
  <c r="U252" i="70"/>
  <c r="HO26" i="70"/>
  <c r="IE26" i="70"/>
  <c r="Q282" i="70"/>
  <c r="Q283" i="70" s="1"/>
  <c r="R258" i="70"/>
  <c r="R259" i="70" s="1"/>
  <c r="N200" i="76"/>
  <c r="N226" i="76" s="1"/>
  <c r="N115" i="75"/>
  <c r="HN27" i="70"/>
  <c r="T249" i="71"/>
  <c r="T253" i="70"/>
  <c r="HM25" i="71"/>
  <c r="R304" i="71"/>
  <c r="R300" i="70"/>
  <c r="R308" i="70" s="1"/>
  <c r="N116" i="75"/>
  <c r="N201" i="76"/>
  <c r="N225" i="76" s="1"/>
  <c r="N91" i="76"/>
  <c r="N114" i="76" s="1"/>
  <c r="Q270" i="70"/>
  <c r="Q271" i="70" s="1"/>
  <c r="N88" i="76"/>
  <c r="BO106" i="75"/>
  <c r="BN107" i="75"/>
  <c r="N401" i="76"/>
  <c r="N92" i="76" s="1"/>
  <c r="N406" i="76"/>
  <c r="N202" i="76" s="1"/>
  <c r="N343" i="75"/>
  <c r="N344" i="75" s="1"/>
  <c r="N97" i="75" s="1"/>
  <c r="N99" i="75" s="1"/>
  <c r="N95" i="75"/>
  <c r="HE14" i="70" s="1"/>
  <c r="V99" i="75"/>
  <c r="V227" i="76"/>
  <c r="U275" i="70"/>
  <c r="HV26" i="70" s="1"/>
  <c r="V274" i="70" a="1"/>
  <c r="V274" i="70" s="1"/>
  <c r="V275" i="70" s="1"/>
  <c r="HV27" i="70" s="1"/>
  <c r="HX27" i="70" s="1"/>
  <c r="Q306" i="71"/>
  <c r="Q302" i="70"/>
  <c r="Q310" i="70" s="1"/>
  <c r="S277" i="70"/>
  <c r="HU24" i="71"/>
  <c r="S273" i="71"/>
  <c r="W287" i="70"/>
  <c r="HZ28" i="70" s="1"/>
  <c r="X286" i="70" a="1"/>
  <c r="X286" i="70" s="1"/>
  <c r="T278" i="70"/>
  <c r="T279" i="70"/>
  <c r="T314" i="70"/>
  <c r="T280" i="70"/>
  <c r="T281" i="70"/>
  <c r="IF25" i="70"/>
  <c r="T264" i="70"/>
  <c r="HT25" i="70"/>
  <c r="HS25" i="70"/>
  <c r="V288" i="70"/>
  <c r="IA27" i="70"/>
  <c r="IH27" i="70"/>
  <c r="IB27" i="70"/>
  <c r="U263" i="70"/>
  <c r="HR26" i="70" s="1"/>
  <c r="V262" i="70" a="1"/>
  <c r="V262" i="70" s="1"/>
  <c r="Q301" i="70"/>
  <c r="Q309" i="70" s="1"/>
  <c r="Q305" i="71"/>
  <c r="U285" i="71"/>
  <c r="HY26" i="71"/>
  <c r="U289" i="70"/>
  <c r="S303" i="70"/>
  <c r="S311" i="70" s="1"/>
  <c r="S307" i="71"/>
  <c r="R266" i="70"/>
  <c r="R269" i="70"/>
  <c r="R267" i="70"/>
  <c r="R313" i="70"/>
  <c r="R268" i="70"/>
  <c r="X251" i="70"/>
  <c r="Y250" i="70" a="1"/>
  <c r="Y250" i="70" s="1"/>
  <c r="S294" i="70"/>
  <c r="S295" i="70" s="1"/>
  <c r="T290" i="70"/>
  <c r="T292" i="70"/>
  <c r="T291" i="70"/>
  <c r="T293" i="70"/>
  <c r="T315" i="70"/>
  <c r="HQ24" i="71"/>
  <c r="S265" i="70"/>
  <c r="S261" i="71"/>
  <c r="HM26" i="71" l="1"/>
  <c r="U249" i="71"/>
  <c r="U253" i="70"/>
  <c r="V252" i="70"/>
  <c r="IE27" i="70"/>
  <c r="HP27" i="70"/>
  <c r="HO27" i="70"/>
  <c r="HN28" i="70"/>
  <c r="T257" i="70"/>
  <c r="T312" i="70"/>
  <c r="T299" i="70"/>
  <c r="T255" i="70"/>
  <c r="T256" i="70"/>
  <c r="T254" i="70"/>
  <c r="BN101" i="75"/>
  <c r="BN109" i="75" s="1"/>
  <c r="N101" i="75"/>
  <c r="BF101" i="75"/>
  <c r="BF109" i="75" s="1"/>
  <c r="BB101" i="75"/>
  <c r="BB109" i="75" s="1"/>
  <c r="AT101" i="75"/>
  <c r="AT109" i="75" s="1"/>
  <c r="Z101" i="75"/>
  <c r="AX101" i="75"/>
  <c r="AX109" i="75" s="1"/>
  <c r="AH101" i="75"/>
  <c r="AH109" i="75" s="1"/>
  <c r="R101" i="75"/>
  <c r="AL101" i="75"/>
  <c r="AL109" i="75" s="1"/>
  <c r="BJ101" i="75"/>
  <c r="BJ109" i="75" s="1"/>
  <c r="AP101" i="75"/>
  <c r="AP109" i="75" s="1"/>
  <c r="AD101" i="75"/>
  <c r="AD109" i="75" s="1"/>
  <c r="N227" i="76"/>
  <c r="N116" i="76"/>
  <c r="HE15" i="70" s="1"/>
  <c r="T294" i="70"/>
  <c r="T295" i="70" s="1"/>
  <c r="AT100" i="75"/>
  <c r="AT108" i="75" s="1"/>
  <c r="Z100" i="75"/>
  <c r="BF100" i="75"/>
  <c r="BF108" i="75" s="1"/>
  <c r="BB100" i="75"/>
  <c r="BB108" i="75" s="1"/>
  <c r="AX100" i="75"/>
  <c r="AX108" i="75" s="1"/>
  <c r="AH100" i="75"/>
  <c r="AH108" i="75" s="1"/>
  <c r="AL100" i="75"/>
  <c r="AL108" i="75" s="1"/>
  <c r="BJ100" i="75"/>
  <c r="BJ108" i="75" s="1"/>
  <c r="AP100" i="75"/>
  <c r="AP108" i="75" s="1"/>
  <c r="BN100" i="75"/>
  <c r="BN108" i="75" s="1"/>
  <c r="V100" i="75"/>
  <c r="AD100" i="75"/>
  <c r="AD108" i="75" s="1"/>
  <c r="V276" i="70"/>
  <c r="V273" i="71" s="1"/>
  <c r="T282" i="70"/>
  <c r="T283" i="70" s="1"/>
  <c r="HW27" i="70"/>
  <c r="IG27" i="70"/>
  <c r="S280" i="70"/>
  <c r="S278" i="70"/>
  <c r="S281" i="70"/>
  <c r="S279" i="70"/>
  <c r="S314" i="70"/>
  <c r="HX26" i="70"/>
  <c r="U276" i="70"/>
  <c r="IG26" i="70"/>
  <c r="HW26" i="70"/>
  <c r="W274" i="70" a="1"/>
  <c r="W274" i="70" s="1"/>
  <c r="W275" i="70" s="1"/>
  <c r="HV28" i="70" s="1"/>
  <c r="IG28" i="70" s="1"/>
  <c r="S269" i="70"/>
  <c r="S267" i="70"/>
  <c r="S268" i="70"/>
  <c r="S266" i="70"/>
  <c r="S313" i="70"/>
  <c r="V277" i="70"/>
  <c r="HU27" i="71"/>
  <c r="Y251" i="70"/>
  <c r="Z250" i="70" a="1"/>
  <c r="Z250" i="70" s="1"/>
  <c r="R270" i="70"/>
  <c r="R271" i="70" s="1"/>
  <c r="HY27" i="71"/>
  <c r="V289" i="70"/>
  <c r="V285" i="71"/>
  <c r="T306" i="71"/>
  <c r="T302" i="70"/>
  <c r="T310" i="70" s="1"/>
  <c r="V263" i="70"/>
  <c r="HR27" i="70" s="1"/>
  <c r="W262" i="70" a="1"/>
  <c r="W262" i="70" s="1"/>
  <c r="T303" i="70"/>
  <c r="T311" i="70" s="1"/>
  <c r="T307" i="71"/>
  <c r="R301" i="70"/>
  <c r="R309" i="70" s="1"/>
  <c r="R305" i="71"/>
  <c r="U293" i="70"/>
  <c r="U291" i="70"/>
  <c r="U315" i="70"/>
  <c r="U292" i="70"/>
  <c r="U290" i="70"/>
  <c r="U264" i="70"/>
  <c r="IF26" i="70"/>
  <c r="HT26" i="70"/>
  <c r="HS26" i="70"/>
  <c r="T265" i="70"/>
  <c r="T261" i="71"/>
  <c r="HQ25" i="71"/>
  <c r="X287" i="70"/>
  <c r="HZ29" i="70" s="1"/>
  <c r="Y286" i="70" a="1"/>
  <c r="Y286" i="70" s="1"/>
  <c r="IA28" i="70"/>
  <c r="W288" i="70"/>
  <c r="IB28" i="70"/>
  <c r="IH28" i="70"/>
  <c r="T258" i="70" l="1"/>
  <c r="T259" i="70" s="1"/>
  <c r="S270" i="70"/>
  <c r="S271" i="70" s="1"/>
  <c r="V249" i="71"/>
  <c r="HM27" i="71"/>
  <c r="V253" i="70"/>
  <c r="U299" i="70"/>
  <c r="U254" i="70"/>
  <c r="U257" i="70"/>
  <c r="U255" i="70"/>
  <c r="U256" i="70"/>
  <c r="U312" i="70"/>
  <c r="HP28" i="70"/>
  <c r="HO28" i="70"/>
  <c r="IE28" i="70"/>
  <c r="W252" i="70"/>
  <c r="HN29" i="70"/>
  <c r="T304" i="71"/>
  <c r="T300" i="70"/>
  <c r="T308" i="70" s="1"/>
  <c r="HX28" i="70"/>
  <c r="S302" i="70"/>
  <c r="S310" i="70" s="1"/>
  <c r="S306" i="71"/>
  <c r="U294" i="70"/>
  <c r="U295" i="70" s="1"/>
  <c r="S282" i="70"/>
  <c r="S283" i="70" s="1"/>
  <c r="U273" i="71"/>
  <c r="HU26" i="71"/>
  <c r="U277" i="70"/>
  <c r="W276" i="70"/>
  <c r="HW28" i="70"/>
  <c r="X274" i="70" a="1"/>
  <c r="X274" i="70" s="1"/>
  <c r="X275" i="70" s="1"/>
  <c r="HV29" i="70" s="1"/>
  <c r="HW29" i="70" s="1"/>
  <c r="W285" i="71"/>
  <c r="W289" i="70"/>
  <c r="HY28" i="71"/>
  <c r="HQ26" i="71"/>
  <c r="U265" i="70"/>
  <c r="U261" i="71"/>
  <c r="HS27" i="70"/>
  <c r="HT27" i="70"/>
  <c r="IF27" i="70"/>
  <c r="V264" i="70"/>
  <c r="V314" i="70"/>
  <c r="V278" i="70"/>
  <c r="V280" i="70"/>
  <c r="V279" i="70"/>
  <c r="V281" i="70"/>
  <c r="W277" i="70"/>
  <c r="W273" i="71"/>
  <c r="HU28" i="71"/>
  <c r="T267" i="70"/>
  <c r="T266" i="70"/>
  <c r="T269" i="70"/>
  <c r="T268" i="70"/>
  <c r="T313" i="70"/>
  <c r="U307" i="71"/>
  <c r="U303" i="70"/>
  <c r="U311" i="70" s="1"/>
  <c r="Z251" i="70"/>
  <c r="AA250" i="70" a="1"/>
  <c r="AA250" i="70" s="1"/>
  <c r="Y287" i="70"/>
  <c r="HZ30" i="70" s="1"/>
  <c r="Z286" i="70" a="1"/>
  <c r="Z286" i="70" s="1"/>
  <c r="V293" i="70"/>
  <c r="V292" i="70"/>
  <c r="V291" i="70"/>
  <c r="V290" i="70"/>
  <c r="V315" i="70"/>
  <c r="IA29" i="70"/>
  <c r="IH29" i="70"/>
  <c r="IB29" i="70"/>
  <c r="X288" i="70"/>
  <c r="S301" i="70"/>
  <c r="S309" i="70" s="1"/>
  <c r="S305" i="71"/>
  <c r="W263" i="70"/>
  <c r="HR28" i="70" s="1"/>
  <c r="X262" i="70" a="1"/>
  <c r="X262" i="70" s="1"/>
  <c r="W253" i="70" l="1"/>
  <c r="W249" i="71"/>
  <c r="HM28" i="71"/>
  <c r="U304" i="71"/>
  <c r="U300" i="70"/>
  <c r="U308" i="70" s="1"/>
  <c r="IE29" i="70"/>
  <c r="X252" i="70"/>
  <c r="HP29" i="70"/>
  <c r="HO29" i="70"/>
  <c r="V299" i="70"/>
  <c r="V257" i="70"/>
  <c r="V254" i="70"/>
  <c r="V255" i="70"/>
  <c r="V312" i="70"/>
  <c r="V256" i="70"/>
  <c r="V258" i="70" s="1"/>
  <c r="V259" i="70" s="1"/>
  <c r="U258" i="70"/>
  <c r="U259" i="70" s="1"/>
  <c r="HN30" i="70"/>
  <c r="HN31" i="70" s="1"/>
  <c r="IG29" i="70"/>
  <c r="Y274" i="70" a="1"/>
  <c r="Y274" i="70" s="1"/>
  <c r="Y275" i="70" s="1"/>
  <c r="HV30" i="70" s="1"/>
  <c r="IG30" i="70" s="1"/>
  <c r="V282" i="70"/>
  <c r="V283" i="70" s="1"/>
  <c r="X276" i="70"/>
  <c r="X273" i="71" s="1"/>
  <c r="U279" i="70"/>
  <c r="U281" i="70"/>
  <c r="U280" i="70"/>
  <c r="U314" i="70"/>
  <c r="U278" i="70"/>
  <c r="HX29" i="70"/>
  <c r="W280" i="70"/>
  <c r="W314" i="70"/>
  <c r="W281" i="70"/>
  <c r="W279" i="70"/>
  <c r="W278" i="70"/>
  <c r="IF28" i="70"/>
  <c r="HS28" i="70"/>
  <c r="W264" i="70"/>
  <c r="HT28" i="70"/>
  <c r="T270" i="70"/>
  <c r="T271" i="70" s="1"/>
  <c r="V302" i="70"/>
  <c r="V310" i="70" s="1"/>
  <c r="V306" i="71"/>
  <c r="V303" i="70"/>
  <c r="V311" i="70" s="1"/>
  <c r="V307" i="71"/>
  <c r="V294" i="70"/>
  <c r="V295" i="70" s="1"/>
  <c r="Z287" i="70"/>
  <c r="HZ31" i="70" s="1"/>
  <c r="AA286" i="70" a="1"/>
  <c r="AA286" i="70" s="1"/>
  <c r="T305" i="71"/>
  <c r="T301" i="70"/>
  <c r="T309" i="70" s="1"/>
  <c r="U266" i="70"/>
  <c r="U268" i="70"/>
  <c r="U313" i="70"/>
  <c r="U267" i="70"/>
  <c r="U269" i="70"/>
  <c r="X289" i="70"/>
  <c r="X285" i="71"/>
  <c r="HY29" i="71"/>
  <c r="IH30" i="70"/>
  <c r="IB30" i="70"/>
  <c r="IA30" i="70"/>
  <c r="Y288" i="70"/>
  <c r="AA251" i="70"/>
  <c r="AB250" i="70" a="1"/>
  <c r="AB250" i="70" s="1"/>
  <c r="V265" i="70"/>
  <c r="HQ27" i="71"/>
  <c r="V261" i="71"/>
  <c r="W291" i="70"/>
  <c r="W290" i="70"/>
  <c r="W293" i="70"/>
  <c r="W315" i="70"/>
  <c r="W292" i="70"/>
  <c r="X263" i="70"/>
  <c r="HR29" i="70" s="1"/>
  <c r="Y262" i="70" a="1"/>
  <c r="Y262" i="70" s="1"/>
  <c r="Z252" i="70" l="1"/>
  <c r="Z253" i="70" s="1"/>
  <c r="HP31" i="70"/>
  <c r="IE31" i="70"/>
  <c r="HO31" i="70"/>
  <c r="HN32" i="70"/>
  <c r="AA252" i="70" s="1"/>
  <c r="X249" i="71"/>
  <c r="X253" i="70"/>
  <c r="HM29" i="71"/>
  <c r="V300" i="70"/>
  <c r="V308" i="70" s="1"/>
  <c r="V304" i="71"/>
  <c r="X277" i="70"/>
  <c r="X278" i="70" s="1"/>
  <c r="Y252" i="70"/>
  <c r="HO30" i="70"/>
  <c r="IE30" i="70"/>
  <c r="HP30" i="70"/>
  <c r="W254" i="70"/>
  <c r="W299" i="70"/>
  <c r="W312" i="70"/>
  <c r="W256" i="70"/>
  <c r="W257" i="70"/>
  <c r="W255" i="70"/>
  <c r="HU29" i="71"/>
  <c r="W294" i="70"/>
  <c r="W295" i="70" s="1"/>
  <c r="U302" i="70"/>
  <c r="U310" i="70" s="1"/>
  <c r="U306" i="71"/>
  <c r="HX30" i="70"/>
  <c r="HW30" i="70"/>
  <c r="Y276" i="70"/>
  <c r="HU30" i="71" s="1"/>
  <c r="Z274" i="70" a="1"/>
  <c r="Z274" i="70" s="1"/>
  <c r="Z275" i="70" s="1"/>
  <c r="HV31" i="70" s="1"/>
  <c r="IG31" i="70" s="1"/>
  <c r="U270" i="70"/>
  <c r="U271" i="70" s="1"/>
  <c r="U282" i="70"/>
  <c r="U283" i="70" s="1"/>
  <c r="U305" i="71"/>
  <c r="U301" i="70"/>
  <c r="U309" i="70" s="1"/>
  <c r="X281" i="70"/>
  <c r="X314" i="70"/>
  <c r="W303" i="70"/>
  <c r="W311" i="70" s="1"/>
  <c r="W307" i="71"/>
  <c r="AA287" i="70"/>
  <c r="HZ32" i="70" s="1"/>
  <c r="AB286" i="70" a="1"/>
  <c r="AB286" i="70" s="1"/>
  <c r="W306" i="71"/>
  <c r="W302" i="70"/>
  <c r="W310" i="70" s="1"/>
  <c r="HM31" i="71"/>
  <c r="V269" i="70"/>
  <c r="V268" i="70"/>
  <c r="V267" i="70"/>
  <c r="V313" i="70"/>
  <c r="V266" i="70"/>
  <c r="Z288" i="70"/>
  <c r="IB31" i="70"/>
  <c r="IH31" i="70"/>
  <c r="IA31" i="70"/>
  <c r="Y285" i="71"/>
  <c r="Y289" i="70"/>
  <c r="HY30" i="71"/>
  <c r="Y263" i="70"/>
  <c r="HR30" i="70" s="1"/>
  <c r="Z262" i="70" a="1"/>
  <c r="Z262" i="70" s="1"/>
  <c r="X264" i="70"/>
  <c r="HS29" i="70"/>
  <c r="HT29" i="70"/>
  <c r="IF29" i="70"/>
  <c r="W282" i="70"/>
  <c r="W283" i="70" s="1"/>
  <c r="W265" i="70"/>
  <c r="HQ28" i="71"/>
  <c r="W261" i="71"/>
  <c r="AB251" i="70"/>
  <c r="HN33" i="70" s="1"/>
  <c r="AC250" i="70" a="1"/>
  <c r="AC250" i="70" s="1"/>
  <c r="X315" i="70"/>
  <c r="X290" i="70"/>
  <c r="X293" i="70"/>
  <c r="X292" i="70"/>
  <c r="X291" i="70"/>
  <c r="Z249" i="71" l="1"/>
  <c r="X280" i="70"/>
  <c r="X282" i="70" s="1"/>
  <c r="X283" i="70" s="1"/>
  <c r="X279" i="70"/>
  <c r="HO32" i="70"/>
  <c r="HP32" i="70"/>
  <c r="IE32" i="70"/>
  <c r="Y253" i="70"/>
  <c r="Y249" i="71"/>
  <c r="HM30" i="71"/>
  <c r="W258" i="70"/>
  <c r="W259" i="70" s="1"/>
  <c r="W300" i="70"/>
  <c r="W308" i="70" s="1"/>
  <c r="W304" i="71"/>
  <c r="X299" i="70"/>
  <c r="X312" i="70"/>
  <c r="X254" i="70"/>
  <c r="X255" i="70"/>
  <c r="X256" i="70"/>
  <c r="X257" i="70"/>
  <c r="Y277" i="70"/>
  <c r="Y281" i="70" s="1"/>
  <c r="V270" i="70"/>
  <c r="V271" i="70" s="1"/>
  <c r="Y273" i="71"/>
  <c r="AA274" i="70" a="1"/>
  <c r="AA274" i="70" s="1"/>
  <c r="AA275" i="70" s="1"/>
  <c r="HV32" i="70" s="1"/>
  <c r="HX32" i="70" s="1"/>
  <c r="HX31" i="70"/>
  <c r="Z276" i="70"/>
  <c r="Z277" i="70" s="1"/>
  <c r="HW31" i="70"/>
  <c r="X265" i="70"/>
  <c r="HQ29" i="71"/>
  <c r="X261" i="71"/>
  <c r="Y264" i="70"/>
  <c r="HS30" i="70"/>
  <c r="IF30" i="70"/>
  <c r="HT30" i="70"/>
  <c r="Z312" i="70"/>
  <c r="Z254" i="70"/>
  <c r="Z255" i="70"/>
  <c r="Z257" i="70"/>
  <c r="Z256" i="70"/>
  <c r="Z299" i="70"/>
  <c r="AC251" i="70"/>
  <c r="HN34" i="70" s="1"/>
  <c r="AD250" i="70" a="1"/>
  <c r="AD250" i="70" s="1"/>
  <c r="Z289" i="70"/>
  <c r="Z285" i="71"/>
  <c r="HY31" i="71"/>
  <c r="HM32" i="71"/>
  <c r="AA253" i="70"/>
  <c r="AA249" i="71"/>
  <c r="X306" i="71"/>
  <c r="X302" i="70"/>
  <c r="X310" i="70" s="1"/>
  <c r="Z263" i="70"/>
  <c r="HR31" i="70" s="1"/>
  <c r="AA262" i="70" a="1"/>
  <c r="AA262" i="70" s="1"/>
  <c r="HP33" i="70"/>
  <c r="HO33" i="70"/>
  <c r="AB252" i="70"/>
  <c r="IE33" i="70"/>
  <c r="AB287" i="70"/>
  <c r="HZ33" i="70" s="1"/>
  <c r="AC286" i="70" a="1"/>
  <c r="AC286" i="70" s="1"/>
  <c r="Y278" i="70"/>
  <c r="X303" i="70"/>
  <c r="X311" i="70" s="1"/>
  <c r="X307" i="71"/>
  <c r="Y291" i="70"/>
  <c r="Y315" i="70"/>
  <c r="Y290" i="70"/>
  <c r="Y293" i="70"/>
  <c r="Y292" i="70"/>
  <c r="V305" i="71"/>
  <c r="V301" i="70"/>
  <c r="V309" i="70" s="1"/>
  <c r="X294" i="70"/>
  <c r="X295" i="70" s="1"/>
  <c r="W313" i="70"/>
  <c r="W268" i="70"/>
  <c r="W267" i="70"/>
  <c r="W269" i="70"/>
  <c r="W266" i="70"/>
  <c r="IH32" i="70"/>
  <c r="AA288" i="70"/>
  <c r="IA32" i="70"/>
  <c r="IB32" i="70"/>
  <c r="Y280" i="70" l="1"/>
  <c r="Y282" i="70" s="1"/>
  <c r="Y283" i="70" s="1"/>
  <c r="X258" i="70"/>
  <c r="X259" i="70" s="1"/>
  <c r="Y314" i="70"/>
  <c r="X304" i="71"/>
  <c r="X300" i="70"/>
  <c r="X308" i="70" s="1"/>
  <c r="Y279" i="70"/>
  <c r="Y306" i="71" s="1"/>
  <c r="Z258" i="70"/>
  <c r="Z259" i="70" s="1"/>
  <c r="Y256" i="70"/>
  <c r="Y257" i="70"/>
  <c r="Y299" i="70"/>
  <c r="Y255" i="70"/>
  <c r="Y254" i="70"/>
  <c r="Y312" i="70"/>
  <c r="HU31" i="71"/>
  <c r="Z273" i="71"/>
  <c r="IG32" i="70"/>
  <c r="AB274" i="70" a="1"/>
  <c r="AB274" i="70" s="1"/>
  <c r="AB275" i="70" s="1"/>
  <c r="HV33" i="70" s="1"/>
  <c r="HX33" i="70" s="1"/>
  <c r="HW32" i="70"/>
  <c r="AA276" i="70"/>
  <c r="HU32" i="71" s="1"/>
  <c r="Y303" i="70"/>
  <c r="Y311" i="70" s="1"/>
  <c r="Y307" i="71"/>
  <c r="Z279" i="70"/>
  <c r="Z280" i="70"/>
  <c r="Z278" i="70"/>
  <c r="Z314" i="70"/>
  <c r="Z281" i="70"/>
  <c r="Z292" i="70"/>
  <c r="Z293" i="70"/>
  <c r="Z291" i="70"/>
  <c r="Z315" i="70"/>
  <c r="Z290" i="70"/>
  <c r="Z304" i="71"/>
  <c r="Z300" i="70"/>
  <c r="Z308" i="70" s="1"/>
  <c r="AA273" i="71"/>
  <c r="AB249" i="71"/>
  <c r="HM33" i="71"/>
  <c r="AB253" i="70"/>
  <c r="HY32" i="71"/>
  <c r="AA289" i="70"/>
  <c r="AA285" i="71"/>
  <c r="Y294" i="70"/>
  <c r="Y295" i="70" s="1"/>
  <c r="AD251" i="70"/>
  <c r="HN35" i="70" s="1"/>
  <c r="AE250" i="70" a="1"/>
  <c r="AE250" i="70" s="1"/>
  <c r="AA263" i="70"/>
  <c r="HR32" i="70" s="1"/>
  <c r="AB262" i="70" a="1"/>
  <c r="AB262" i="70" s="1"/>
  <c r="AA255" i="70"/>
  <c r="AA254" i="70"/>
  <c r="AA312" i="70"/>
  <c r="AA299" i="70"/>
  <c r="AA256" i="70"/>
  <c r="AA257" i="70"/>
  <c r="HO34" i="70"/>
  <c r="AC252" i="70"/>
  <c r="IE34" i="70"/>
  <c r="HP34" i="70"/>
  <c r="W301" i="70"/>
  <c r="W309" i="70" s="1"/>
  <c r="W305" i="71"/>
  <c r="W270" i="70"/>
  <c r="W271" i="70" s="1"/>
  <c r="HS31" i="70"/>
  <c r="HT31" i="70"/>
  <c r="Z264" i="70"/>
  <c r="IF31" i="70"/>
  <c r="X268" i="70"/>
  <c r="X313" i="70"/>
  <c r="X269" i="70"/>
  <c r="X267" i="70"/>
  <c r="X266" i="70"/>
  <c r="AC287" i="70"/>
  <c r="HZ34" i="70" s="1"/>
  <c r="AD286" i="70" a="1"/>
  <c r="AD286" i="70" s="1"/>
  <c r="Y265" i="70"/>
  <c r="HQ30" i="71"/>
  <c r="Y261" i="71"/>
  <c r="IB33" i="70"/>
  <c r="IA33" i="70"/>
  <c r="AB288" i="70"/>
  <c r="IH33" i="70"/>
  <c r="Y302" i="70" l="1"/>
  <c r="Y310" i="70" s="1"/>
  <c r="AA277" i="70"/>
  <c r="AA281" i="70" s="1"/>
  <c r="X270" i="70"/>
  <c r="X271" i="70" s="1"/>
  <c r="Y258" i="70"/>
  <c r="Y259" i="70" s="1"/>
  <c r="Y300" i="70"/>
  <c r="Y308" i="70" s="1"/>
  <c r="Y304" i="71"/>
  <c r="IG33" i="70"/>
  <c r="AB276" i="70"/>
  <c r="HW33" i="70"/>
  <c r="AC274" i="70" a="1"/>
  <c r="AC274" i="70" s="1"/>
  <c r="AC275" i="70" s="1"/>
  <c r="HV34" i="70" s="1"/>
  <c r="AC276" i="70" s="1"/>
  <c r="AD287" i="70"/>
  <c r="HZ35" i="70" s="1"/>
  <c r="AE286" i="70" a="1"/>
  <c r="AE286" i="70" s="1"/>
  <c r="AA314" i="70"/>
  <c r="AA278" i="70"/>
  <c r="AA279" i="70"/>
  <c r="AA280" i="70"/>
  <c r="AB263" i="70"/>
  <c r="HR33" i="70" s="1"/>
  <c r="AC262" i="70" a="1"/>
  <c r="AC262" i="70" s="1"/>
  <c r="AA291" i="70"/>
  <c r="AA292" i="70"/>
  <c r="AA293" i="70"/>
  <c r="AA315" i="70"/>
  <c r="AA290" i="70"/>
  <c r="IA34" i="70"/>
  <c r="IH34" i="70"/>
  <c r="AC288" i="70"/>
  <c r="IB34" i="70"/>
  <c r="AA300" i="70"/>
  <c r="AA308" i="70" s="1"/>
  <c r="AA304" i="71"/>
  <c r="AB289" i="70"/>
  <c r="HY33" i="71"/>
  <c r="AB285" i="71"/>
  <c r="HQ31" i="71"/>
  <c r="Z265" i="70"/>
  <c r="Z261" i="71"/>
  <c r="AC253" i="70"/>
  <c r="AC249" i="71"/>
  <c r="HM34" i="71"/>
  <c r="AA264" i="70"/>
  <c r="HT32" i="70"/>
  <c r="IF32" i="70"/>
  <c r="HS32" i="70"/>
  <c r="AE251" i="70"/>
  <c r="HN36" i="70" s="1"/>
  <c r="AF250" i="70" a="1"/>
  <c r="AF250" i="70" s="1"/>
  <c r="AB254" i="70"/>
  <c r="AB299" i="70"/>
  <c r="AB312" i="70"/>
  <c r="AB257" i="70"/>
  <c r="AB255" i="70"/>
  <c r="AB256" i="70"/>
  <c r="Z282" i="70"/>
  <c r="Z283" i="70" s="1"/>
  <c r="X301" i="70"/>
  <c r="X309" i="70" s="1"/>
  <c r="X305" i="71"/>
  <c r="AA258" i="70"/>
  <c r="AA259" i="70" s="1"/>
  <c r="AD252" i="70"/>
  <c r="IE35" i="70"/>
  <c r="HP35" i="70"/>
  <c r="HO35" i="70"/>
  <c r="Z302" i="70"/>
  <c r="Z310" i="70" s="1"/>
  <c r="Z306" i="71"/>
  <c r="AB277" i="70"/>
  <c r="HU33" i="71"/>
  <c r="AB273" i="71"/>
  <c r="Z303" i="70"/>
  <c r="Z311" i="70" s="1"/>
  <c r="Z307" i="71"/>
  <c r="Y313" i="70"/>
  <c r="Y266" i="70"/>
  <c r="Y267" i="70"/>
  <c r="Y268" i="70"/>
  <c r="Y269" i="70"/>
  <c r="Z294" i="70"/>
  <c r="Z295" i="70" s="1"/>
  <c r="Y270" i="70" l="1"/>
  <c r="Y271" i="70" s="1"/>
  <c r="HX34" i="70"/>
  <c r="HW34" i="70"/>
  <c r="IG34" i="70"/>
  <c r="AB258" i="70"/>
  <c r="AB259" i="70" s="1"/>
  <c r="AD274" i="70" a="1"/>
  <c r="AD274" i="70" s="1"/>
  <c r="AD275" i="70" s="1"/>
  <c r="HV35" i="70" s="1"/>
  <c r="HX35" i="70" s="1"/>
  <c r="AC273" i="71"/>
  <c r="HU34" i="71"/>
  <c r="AC277" i="70"/>
  <c r="HT33" i="70"/>
  <c r="IF33" i="70"/>
  <c r="AB264" i="70"/>
  <c r="HS33" i="70"/>
  <c r="AB279" i="70"/>
  <c r="AB314" i="70"/>
  <c r="AB278" i="70"/>
  <c r="AB281" i="70"/>
  <c r="AB280" i="70"/>
  <c r="AA307" i="71"/>
  <c r="AA303" i="70"/>
  <c r="AA311" i="70" s="1"/>
  <c r="AE252" i="70"/>
  <c r="IE36" i="70"/>
  <c r="HP36" i="70"/>
  <c r="HO36" i="70"/>
  <c r="AA282" i="70"/>
  <c r="AA283" i="70" s="1"/>
  <c r="Y301" i="70"/>
  <c r="Y309" i="70" s="1"/>
  <c r="Y305" i="71"/>
  <c r="Z313" i="70"/>
  <c r="Z266" i="70"/>
  <c r="Z267" i="70"/>
  <c r="Z268" i="70"/>
  <c r="Z269" i="70"/>
  <c r="AB293" i="70"/>
  <c r="AB290" i="70"/>
  <c r="AB291" i="70"/>
  <c r="AB315" i="70"/>
  <c r="AB292" i="70"/>
  <c r="AA302" i="70"/>
  <c r="AA310" i="70" s="1"/>
  <c r="AA306" i="71"/>
  <c r="AA265" i="70"/>
  <c r="AA261" i="71"/>
  <c r="HQ32" i="71"/>
  <c r="AC289" i="70"/>
  <c r="HY34" i="71"/>
  <c r="AC285" i="71"/>
  <c r="HM35" i="71"/>
  <c r="AD253" i="70"/>
  <c r="AD249" i="71"/>
  <c r="AB300" i="70"/>
  <c r="AB308" i="70" s="1"/>
  <c r="AB304" i="71"/>
  <c r="AF251" i="70"/>
  <c r="HN37" i="70" s="1"/>
  <c r="AG250" i="70" a="1"/>
  <c r="AG250" i="70" s="1"/>
  <c r="AC255" i="70"/>
  <c r="AC299" i="70"/>
  <c r="AC257" i="70"/>
  <c r="AC256" i="70"/>
  <c r="AC312" i="70"/>
  <c r="AC254" i="70"/>
  <c r="AA294" i="70"/>
  <c r="AA295" i="70" s="1"/>
  <c r="AE287" i="70"/>
  <c r="HZ36" i="70" s="1"/>
  <c r="AF286" i="70" a="1"/>
  <c r="AF286" i="70" s="1"/>
  <c r="AC263" i="70"/>
  <c r="HR34" i="70" s="1"/>
  <c r="AD262" i="70" a="1"/>
  <c r="AD262" i="70" s="1"/>
  <c r="IA35" i="70"/>
  <c r="IH35" i="70"/>
  <c r="IB35" i="70"/>
  <c r="AD288" i="70"/>
  <c r="AB282" i="70" l="1"/>
  <c r="AB283" i="70" s="1"/>
  <c r="AE274" i="70" a="1"/>
  <c r="AE274" i="70" s="1"/>
  <c r="AE275" i="70" s="1"/>
  <c r="HV36" i="70" s="1"/>
  <c r="HX36" i="70" s="1"/>
  <c r="AD276" i="70"/>
  <c r="AD277" i="70" s="1"/>
  <c r="IG35" i="70"/>
  <c r="Z270" i="70"/>
  <c r="Z271" i="70" s="1"/>
  <c r="HW35" i="70"/>
  <c r="AD263" i="70"/>
  <c r="HR35" i="70" s="1"/>
  <c r="AE262" i="70" a="1"/>
  <c r="AE262" i="70" s="1"/>
  <c r="AD312" i="70"/>
  <c r="AD257" i="70"/>
  <c r="AD299" i="70"/>
  <c r="AD255" i="70"/>
  <c r="AD256" i="70"/>
  <c r="AD254" i="70"/>
  <c r="AC258" i="70"/>
  <c r="AC259" i="70" s="1"/>
  <c r="AB265" i="70"/>
  <c r="HQ33" i="71"/>
  <c r="AB261" i="71"/>
  <c r="AB303" i="70"/>
  <c r="AB311" i="70" s="1"/>
  <c r="AB307" i="71"/>
  <c r="AF287" i="70"/>
  <c r="HZ37" i="70" s="1"/>
  <c r="AG286" i="70" a="1"/>
  <c r="AG286" i="70" s="1"/>
  <c r="AC300" i="70"/>
  <c r="AC308" i="70" s="1"/>
  <c r="AC304" i="71"/>
  <c r="AC314" i="70"/>
  <c r="AC278" i="70"/>
  <c r="AC281" i="70"/>
  <c r="AC280" i="70"/>
  <c r="AC279" i="70"/>
  <c r="AG251" i="70"/>
  <c r="HN38" i="70" s="1"/>
  <c r="AH250" i="70" a="1"/>
  <c r="AH250" i="70" s="1"/>
  <c r="AA313" i="70"/>
  <c r="AA267" i="70"/>
  <c r="AA268" i="70"/>
  <c r="AA269" i="70"/>
  <c r="AA266" i="70"/>
  <c r="AC292" i="70"/>
  <c r="AC315" i="70"/>
  <c r="AC293" i="70"/>
  <c r="AC290" i="70"/>
  <c r="AC291" i="70"/>
  <c r="IA36" i="70"/>
  <c r="AE288" i="70"/>
  <c r="IH36" i="70"/>
  <c r="IB36" i="70"/>
  <c r="AD289" i="70"/>
  <c r="AD285" i="71"/>
  <c r="HY35" i="71"/>
  <c r="HO37" i="70"/>
  <c r="IE37" i="70"/>
  <c r="AF252" i="70"/>
  <c r="HP37" i="70"/>
  <c r="HT34" i="70"/>
  <c r="AC264" i="70"/>
  <c r="IF34" i="70"/>
  <c r="HS34" i="70"/>
  <c r="Z301" i="70"/>
  <c r="Z309" i="70" s="1"/>
  <c r="Z305" i="71"/>
  <c r="AB302" i="70"/>
  <c r="AB310" i="70" s="1"/>
  <c r="AB306" i="71"/>
  <c r="AB294" i="70"/>
  <c r="AB295" i="70" s="1"/>
  <c r="HM36" i="71"/>
  <c r="AE253" i="70"/>
  <c r="AE249" i="71"/>
  <c r="HU35" i="71" l="1"/>
  <c r="AD273" i="71"/>
  <c r="AE276" i="70"/>
  <c r="IG36" i="70"/>
  <c r="AD258" i="70"/>
  <c r="AD259" i="70" s="1"/>
  <c r="HW36" i="70"/>
  <c r="AF274" i="70" a="1"/>
  <c r="AF274" i="70" s="1"/>
  <c r="AF275" i="70" s="1"/>
  <c r="HV37" i="70" s="1"/>
  <c r="HX37" i="70" s="1"/>
  <c r="HM37" i="71"/>
  <c r="AF253" i="70"/>
  <c r="AF249" i="71"/>
  <c r="AE289" i="70"/>
  <c r="HY36" i="71"/>
  <c r="AE285" i="71"/>
  <c r="AG287" i="70"/>
  <c r="HZ38" i="70" s="1"/>
  <c r="AH286" i="70" a="1"/>
  <c r="AH286" i="70" s="1"/>
  <c r="AA270" i="70"/>
  <c r="AA271" i="70" s="1"/>
  <c r="AC307" i="71"/>
  <c r="AC303" i="70"/>
  <c r="AC311" i="70" s="1"/>
  <c r="AD304" i="71"/>
  <c r="AD300" i="70"/>
  <c r="AD308" i="70" s="1"/>
  <c r="IB37" i="70"/>
  <c r="IH37" i="70"/>
  <c r="IA37" i="70"/>
  <c r="AF288" i="70"/>
  <c r="AE255" i="70"/>
  <c r="AE312" i="70"/>
  <c r="AE256" i="70"/>
  <c r="AE299" i="70"/>
  <c r="AE257" i="70"/>
  <c r="AE254" i="70"/>
  <c r="AA301" i="70"/>
  <c r="AA309" i="70" s="1"/>
  <c r="AA305" i="71"/>
  <c r="AC265" i="70"/>
  <c r="AC261" i="71"/>
  <c r="HQ34" i="71"/>
  <c r="AH251" i="70"/>
  <c r="HN39" i="70" s="1"/>
  <c r="AI250" i="70" a="1"/>
  <c r="AI250" i="70" s="1"/>
  <c r="AD292" i="70"/>
  <c r="AD315" i="70"/>
  <c r="AD293" i="70"/>
  <c r="AD290" i="70"/>
  <c r="AD291" i="70"/>
  <c r="HO38" i="70"/>
  <c r="IE38" i="70"/>
  <c r="HP38" i="70"/>
  <c r="AG252" i="70"/>
  <c r="AD281" i="70"/>
  <c r="AD278" i="70"/>
  <c r="AD279" i="70"/>
  <c r="AD280" i="70"/>
  <c r="AD314" i="70"/>
  <c r="AE263" i="70"/>
  <c r="HR36" i="70" s="1"/>
  <c r="AF262" i="70" a="1"/>
  <c r="AF262" i="70" s="1"/>
  <c r="AC294" i="70"/>
  <c r="AC295" i="70" s="1"/>
  <c r="AC302" i="70"/>
  <c r="AC310" i="70" s="1"/>
  <c r="AC306" i="71"/>
  <c r="AB267" i="70"/>
  <c r="AB266" i="70"/>
  <c r="AB269" i="70"/>
  <c r="AB268" i="70"/>
  <c r="AB313" i="70"/>
  <c r="AE273" i="71"/>
  <c r="HU36" i="71"/>
  <c r="AE277" i="70"/>
  <c r="AC282" i="70"/>
  <c r="AC283" i="70" s="1"/>
  <c r="HT35" i="70"/>
  <c r="IF35" i="70"/>
  <c r="AD264" i="70"/>
  <c r="HS35" i="70"/>
  <c r="AB270" i="70" l="1"/>
  <c r="AB271" i="70" s="1"/>
  <c r="HW37" i="70"/>
  <c r="IG37" i="70"/>
  <c r="AF276" i="70"/>
  <c r="AF277" i="70" s="1"/>
  <c r="AD294" i="70"/>
  <c r="AD295" i="70" s="1"/>
  <c r="AD282" i="70"/>
  <c r="AD283" i="70" s="1"/>
  <c r="AG274" i="70" a="1"/>
  <c r="AG274" i="70" s="1"/>
  <c r="AG275" i="70" s="1"/>
  <c r="HV38" i="70" s="1"/>
  <c r="AG276" i="70" s="1"/>
  <c r="AH287" i="70"/>
  <c r="HZ39" i="70" s="1"/>
  <c r="AI286" i="70" a="1"/>
  <c r="AI286" i="70" s="1"/>
  <c r="AB301" i="70"/>
  <c r="AB309" i="70" s="1"/>
  <c r="AB305" i="71"/>
  <c r="IH38" i="70"/>
  <c r="IA38" i="70"/>
  <c r="IB38" i="70"/>
  <c r="AG288" i="70"/>
  <c r="AI251" i="70"/>
  <c r="HN40" i="70" s="1"/>
  <c r="AJ250" i="70" a="1"/>
  <c r="AJ250" i="70" s="1"/>
  <c r="AE278" i="70"/>
  <c r="AE314" i="70"/>
  <c r="AE281" i="70"/>
  <c r="AE280" i="70"/>
  <c r="AE279" i="70"/>
  <c r="AD303" i="70"/>
  <c r="AD311" i="70" s="1"/>
  <c r="AD307" i="71"/>
  <c r="HP39" i="70"/>
  <c r="IE39" i="70"/>
  <c r="AH252" i="70"/>
  <c r="HO39" i="70"/>
  <c r="AD302" i="70"/>
  <c r="AD310" i="70" s="1"/>
  <c r="AD306" i="71"/>
  <c r="AE258" i="70"/>
  <c r="AE259" i="70" s="1"/>
  <c r="AE290" i="70"/>
  <c r="AE292" i="70"/>
  <c r="AE315" i="70"/>
  <c r="AE293" i="70"/>
  <c r="AE291" i="70"/>
  <c r="AE264" i="70"/>
  <c r="HT36" i="70"/>
  <c r="IF36" i="70"/>
  <c r="HS36" i="70"/>
  <c r="HQ35" i="71"/>
  <c r="AD265" i="70"/>
  <c r="AD261" i="71"/>
  <c r="AC269" i="70"/>
  <c r="AC268" i="70"/>
  <c r="AC266" i="70"/>
  <c r="AC313" i="70"/>
  <c r="AC267" i="70"/>
  <c r="AE300" i="70"/>
  <c r="AE308" i="70" s="1"/>
  <c r="AE304" i="71"/>
  <c r="AF312" i="70"/>
  <c r="AF257" i="70"/>
  <c r="AF254" i="70"/>
  <c r="AF256" i="70"/>
  <c r="AF255" i="70"/>
  <c r="AF299" i="70"/>
  <c r="AF263" i="70"/>
  <c r="HR37" i="70" s="1"/>
  <c r="AG262" i="70" a="1"/>
  <c r="AG262" i="70" s="1"/>
  <c r="HU37" i="71"/>
  <c r="HM38" i="71"/>
  <c r="AG249" i="71"/>
  <c r="AG253" i="70"/>
  <c r="AF289" i="70"/>
  <c r="AF285" i="71"/>
  <c r="HY37" i="71"/>
  <c r="AF273" i="71" l="1"/>
  <c r="AC270" i="70"/>
  <c r="AC271" i="70" s="1"/>
  <c r="HX38" i="70"/>
  <c r="AH274" i="70" a="1"/>
  <c r="AH274" i="70" s="1"/>
  <c r="AH275" i="70" s="1"/>
  <c r="HV39" i="70" s="1"/>
  <c r="AH276" i="70" s="1"/>
  <c r="AE282" i="70"/>
  <c r="AE283" i="70" s="1"/>
  <c r="IG38" i="70"/>
  <c r="HW38" i="70"/>
  <c r="AF292" i="70"/>
  <c r="AF290" i="70"/>
  <c r="AF315" i="70"/>
  <c r="AF293" i="70"/>
  <c r="AF291" i="70"/>
  <c r="AF264" i="70"/>
  <c r="IF37" i="70"/>
  <c r="HS37" i="70"/>
  <c r="HT37" i="70"/>
  <c r="AG289" i="70"/>
  <c r="AG285" i="71"/>
  <c r="HY38" i="71"/>
  <c r="AE302" i="70"/>
  <c r="AE310" i="70" s="1"/>
  <c r="AE306" i="71"/>
  <c r="AE307" i="71"/>
  <c r="AE303" i="70"/>
  <c r="AE311" i="70" s="1"/>
  <c r="AJ251" i="70"/>
  <c r="HN41" i="70" s="1"/>
  <c r="AK250" i="70" a="1"/>
  <c r="AK250" i="70" s="1"/>
  <c r="AG257" i="70"/>
  <c r="AG255" i="70"/>
  <c r="AG254" i="70"/>
  <c r="AG299" i="70"/>
  <c r="AG312" i="70"/>
  <c r="AG256" i="70"/>
  <c r="AF300" i="70"/>
  <c r="AF308" i="70" s="1"/>
  <c r="AF304" i="71"/>
  <c r="AF258" i="70"/>
  <c r="AF259" i="70" s="1"/>
  <c r="AE265" i="70"/>
  <c r="AE261" i="71"/>
  <c r="HQ36" i="71"/>
  <c r="AE294" i="70"/>
  <c r="AE295" i="70" s="1"/>
  <c r="HM39" i="71"/>
  <c r="AH253" i="70"/>
  <c r="AH249" i="71"/>
  <c r="AF314" i="70"/>
  <c r="AF279" i="70"/>
  <c r="AF281" i="70"/>
  <c r="AF280" i="70"/>
  <c r="AF278" i="70"/>
  <c r="AC305" i="71"/>
  <c r="AC301" i="70"/>
  <c r="AC309" i="70" s="1"/>
  <c r="AG277" i="70"/>
  <c r="AG273" i="71"/>
  <c r="HU38" i="71"/>
  <c r="AI287" i="70"/>
  <c r="HZ40" i="70" s="1"/>
  <c r="AJ286" i="70" a="1"/>
  <c r="AJ286" i="70" s="1"/>
  <c r="AG263" i="70"/>
  <c r="HR38" i="70" s="1"/>
  <c r="AH262" i="70" a="1"/>
  <c r="AH262" i="70" s="1"/>
  <c r="AD268" i="70"/>
  <c r="AD267" i="70"/>
  <c r="AD269" i="70"/>
  <c r="AD313" i="70"/>
  <c r="AD266" i="70"/>
  <c r="AI252" i="70"/>
  <c r="IE40" i="70"/>
  <c r="HO40" i="70"/>
  <c r="HP40" i="70"/>
  <c r="IH39" i="70"/>
  <c r="IB39" i="70"/>
  <c r="AH288" i="70"/>
  <c r="IA39" i="70"/>
  <c r="AG258" i="70" l="1"/>
  <c r="AG259" i="70" s="1"/>
  <c r="HX39" i="70"/>
  <c r="AI274" i="70" a="1"/>
  <c r="AI274" i="70" s="1"/>
  <c r="AI275" i="70" s="1"/>
  <c r="HV40" i="70" s="1"/>
  <c r="HW40" i="70" s="1"/>
  <c r="IG39" i="70"/>
  <c r="HW39" i="70"/>
  <c r="AK251" i="70"/>
  <c r="HN42" i="70" s="1"/>
  <c r="AL250" i="70" a="1"/>
  <c r="AL250" i="70" s="1"/>
  <c r="AH254" i="70"/>
  <c r="AH257" i="70"/>
  <c r="AH255" i="70"/>
  <c r="AH256" i="70"/>
  <c r="AH312" i="70"/>
  <c r="AH299" i="70"/>
  <c r="AJ252" i="70"/>
  <c r="IE41" i="70"/>
  <c r="HO41" i="70"/>
  <c r="HP41" i="70"/>
  <c r="AF265" i="70"/>
  <c r="AF261" i="71"/>
  <c r="HQ37" i="71"/>
  <c r="AD301" i="70"/>
  <c r="AD309" i="70" s="1"/>
  <c r="AD305" i="71"/>
  <c r="AG280" i="70"/>
  <c r="AG314" i="70"/>
  <c r="AG281" i="70"/>
  <c r="AG278" i="70"/>
  <c r="AG279" i="70"/>
  <c r="AF303" i="70"/>
  <c r="AF311" i="70" s="1"/>
  <c r="AF307" i="71"/>
  <c r="AJ287" i="70"/>
  <c r="HZ41" i="70" s="1"/>
  <c r="AK286" i="70" a="1"/>
  <c r="AK286" i="70" s="1"/>
  <c r="AF282" i="70"/>
  <c r="AF283" i="70" s="1"/>
  <c r="AI288" i="70"/>
  <c r="IH40" i="70"/>
  <c r="IB40" i="70"/>
  <c r="IA40" i="70"/>
  <c r="AH273" i="71"/>
  <c r="AH277" i="70"/>
  <c r="HU39" i="71"/>
  <c r="AG264" i="70"/>
  <c r="HS38" i="70"/>
  <c r="HT38" i="70"/>
  <c r="IF38" i="70"/>
  <c r="AI253" i="70"/>
  <c r="AI249" i="71"/>
  <c r="HM40" i="71"/>
  <c r="AH285" i="71"/>
  <c r="AH289" i="70"/>
  <c r="HY39" i="71"/>
  <c r="AF306" i="71"/>
  <c r="AF302" i="70"/>
  <c r="AF310" i="70" s="1"/>
  <c r="AE269" i="70"/>
  <c r="AE267" i="70"/>
  <c r="AE266" i="70"/>
  <c r="AE268" i="70"/>
  <c r="AE313" i="70"/>
  <c r="AG300" i="70"/>
  <c r="AG308" i="70" s="1"/>
  <c r="AG304" i="71"/>
  <c r="AG293" i="70"/>
  <c r="AG292" i="70"/>
  <c r="AG291" i="70"/>
  <c r="AG290" i="70"/>
  <c r="AG315" i="70"/>
  <c r="AH263" i="70"/>
  <c r="HR39" i="70" s="1"/>
  <c r="AI262" i="70" a="1"/>
  <c r="AI262" i="70" s="1"/>
  <c r="AD270" i="70"/>
  <c r="AD271" i="70" s="1"/>
  <c r="AF294" i="70"/>
  <c r="AF295" i="70" s="1"/>
  <c r="AH258" i="70" l="1"/>
  <c r="AH259" i="70" s="1"/>
  <c r="AE270" i="70"/>
  <c r="AE271" i="70" s="1"/>
  <c r="AG294" i="70"/>
  <c r="AG295" i="70" s="1"/>
  <c r="IG40" i="70"/>
  <c r="AI276" i="70"/>
  <c r="HU40" i="71" s="1"/>
  <c r="HX40" i="70"/>
  <c r="AJ274" i="70" a="1"/>
  <c r="AJ274" i="70" s="1"/>
  <c r="AJ275" i="70" s="1"/>
  <c r="HV41" i="70" s="1"/>
  <c r="AJ276" i="70" s="1"/>
  <c r="AK287" i="70"/>
  <c r="HZ42" i="70" s="1"/>
  <c r="AL286" i="70" a="1"/>
  <c r="AL286" i="70" s="1"/>
  <c r="AG306" i="71"/>
  <c r="AG302" i="70"/>
  <c r="AG310" i="70" s="1"/>
  <c r="AH314" i="70"/>
  <c r="AH281" i="70"/>
  <c r="AH279" i="70"/>
  <c r="AH278" i="70"/>
  <c r="AH280" i="70"/>
  <c r="IA41" i="70"/>
  <c r="IH41" i="70"/>
  <c r="IB41" i="70"/>
  <c r="AJ288" i="70"/>
  <c r="AF267" i="70"/>
  <c r="AF268" i="70"/>
  <c r="AF266" i="70"/>
  <c r="AF313" i="70"/>
  <c r="AF269" i="70"/>
  <c r="AI257" i="70"/>
  <c r="AI255" i="70"/>
  <c r="AI299" i="70"/>
  <c r="AI256" i="70"/>
  <c r="AI312" i="70"/>
  <c r="AI254" i="70"/>
  <c r="AH300" i="70"/>
  <c r="AH308" i="70" s="1"/>
  <c r="AH304" i="71"/>
  <c r="AG303" i="70"/>
  <c r="AG311" i="70" s="1"/>
  <c r="AG307" i="71"/>
  <c r="AG282" i="70"/>
  <c r="AG283" i="70" s="1"/>
  <c r="AE305" i="71"/>
  <c r="AE301" i="70"/>
  <c r="AE309" i="70" s="1"/>
  <c r="AL251" i="70"/>
  <c r="HN43" i="70" s="1"/>
  <c r="AM250" i="70" a="1"/>
  <c r="AM250" i="70" s="1"/>
  <c r="AI263" i="70"/>
  <c r="HR40" i="70" s="1"/>
  <c r="AJ262" i="70" a="1"/>
  <c r="AJ262" i="70" s="1"/>
  <c r="AI289" i="70"/>
  <c r="HY40" i="71"/>
  <c r="AI285" i="71"/>
  <c r="AH264" i="70"/>
  <c r="HS39" i="70"/>
  <c r="IF39" i="70"/>
  <c r="HT39" i="70"/>
  <c r="AH315" i="70"/>
  <c r="AH292" i="70"/>
  <c r="AH293" i="70"/>
  <c r="AH291" i="70"/>
  <c r="AH290" i="70"/>
  <c r="AG261" i="71"/>
  <c r="HQ38" i="71"/>
  <c r="AG265" i="70"/>
  <c r="AI277" i="70"/>
  <c r="AJ253" i="70"/>
  <c r="AJ249" i="71"/>
  <c r="HM41" i="71"/>
  <c r="HO42" i="70"/>
  <c r="IE42" i="70"/>
  <c r="HP42" i="70"/>
  <c r="AK252" i="70"/>
  <c r="AI273" i="71" l="1"/>
  <c r="AI258" i="70"/>
  <c r="AI259" i="70" s="1"/>
  <c r="AH294" i="70"/>
  <c r="AH295" i="70" s="1"/>
  <c r="HW41" i="70"/>
  <c r="IG41" i="70"/>
  <c r="HX41" i="70"/>
  <c r="AK274" i="70" a="1"/>
  <c r="AK274" i="70" s="1"/>
  <c r="AK275" i="70" s="1"/>
  <c r="HV42" i="70" s="1"/>
  <c r="AK276" i="70" s="1"/>
  <c r="HM42" i="71"/>
  <c r="AK253" i="70"/>
  <c r="AK249" i="71"/>
  <c r="AG267" i="70"/>
  <c r="AG269" i="70"/>
  <c r="AG268" i="70"/>
  <c r="AG270" i="70" s="1"/>
  <c r="AG271" i="70" s="1"/>
  <c r="AG266" i="70"/>
  <c r="AG313" i="70"/>
  <c r="AI264" i="70"/>
  <c r="HS40" i="70"/>
  <c r="IF40" i="70"/>
  <c r="HT40" i="70"/>
  <c r="AM251" i="70"/>
  <c r="HN44" i="70" s="1"/>
  <c r="AN250" i="70" a="1"/>
  <c r="AN250" i="70" s="1"/>
  <c r="AF270" i="70"/>
  <c r="AF271" i="70" s="1"/>
  <c r="AH302" i="70"/>
  <c r="AH310" i="70" s="1"/>
  <c r="AH306" i="71"/>
  <c r="AL252" i="70"/>
  <c r="HO43" i="70"/>
  <c r="IE43" i="70"/>
  <c r="HP43" i="70"/>
  <c r="AI300" i="70"/>
  <c r="AI308" i="70" s="1"/>
  <c r="AI304" i="71"/>
  <c r="AF301" i="70"/>
  <c r="AF309" i="70" s="1"/>
  <c r="AF305" i="71"/>
  <c r="AI315" i="70"/>
  <c r="AI293" i="70"/>
  <c r="AI290" i="70"/>
  <c r="AI291" i="70"/>
  <c r="AI292" i="70"/>
  <c r="AI294" i="70" s="1"/>
  <c r="AI295" i="70" s="1"/>
  <c r="AI314" i="70"/>
  <c r="AI280" i="70"/>
  <c r="AI282" i="70" s="1"/>
  <c r="AI283" i="70" s="1"/>
  <c r="AI278" i="70"/>
  <c r="AI279" i="70"/>
  <c r="AI281" i="70"/>
  <c r="AH265" i="70"/>
  <c r="AH261" i="71"/>
  <c r="HQ39" i="71"/>
  <c r="AJ277" i="70"/>
  <c r="AJ273" i="71"/>
  <c r="HU41" i="71"/>
  <c r="HY41" i="71"/>
  <c r="AJ285" i="71"/>
  <c r="AJ289" i="70"/>
  <c r="AJ312" i="70"/>
  <c r="AJ256" i="70"/>
  <c r="AJ257" i="70"/>
  <c r="AJ255" i="70"/>
  <c r="AJ254" i="70"/>
  <c r="AJ299" i="70"/>
  <c r="AH303" i="70"/>
  <c r="AH311" i="70" s="1"/>
  <c r="AH307" i="71"/>
  <c r="AL287" i="70"/>
  <c r="HZ43" i="70" s="1"/>
  <c r="AM286" i="70" a="1"/>
  <c r="AM286" i="70" s="1"/>
  <c r="AJ263" i="70"/>
  <c r="HR41" i="70" s="1"/>
  <c r="AK262" i="70" a="1"/>
  <c r="AK262" i="70" s="1"/>
  <c r="AH282" i="70"/>
  <c r="AH283" i="70" s="1"/>
  <c r="IH42" i="70"/>
  <c r="IA42" i="70"/>
  <c r="IB42" i="70"/>
  <c r="AK288" i="70"/>
  <c r="AJ258" i="70" l="1"/>
  <c r="AJ259" i="70" s="1"/>
  <c r="IG42" i="70"/>
  <c r="HW42" i="70"/>
  <c r="HX42" i="70"/>
  <c r="AL274" i="70" a="1"/>
  <c r="AL274" i="70" s="1"/>
  <c r="AL275" i="70" s="1"/>
  <c r="HV43" i="70" s="1"/>
  <c r="HW43" i="70" s="1"/>
  <c r="AJ314" i="70"/>
  <c r="AJ281" i="70"/>
  <c r="AJ278" i="70"/>
  <c r="AJ280" i="70"/>
  <c r="AJ279" i="70"/>
  <c r="AN251" i="70"/>
  <c r="HN45" i="70" s="1"/>
  <c r="AO250" i="70" a="1"/>
  <c r="AO250" i="70" s="1"/>
  <c r="AI303" i="70"/>
  <c r="AI311" i="70" s="1"/>
  <c r="AI307" i="71"/>
  <c r="AM252" i="70"/>
  <c r="IE44" i="70"/>
  <c r="HP44" i="70"/>
  <c r="HO44" i="70"/>
  <c r="AM287" i="70"/>
  <c r="HZ44" i="70" s="1"/>
  <c r="AN286" i="70" a="1"/>
  <c r="AN286" i="70" s="1"/>
  <c r="AJ290" i="70"/>
  <c r="AJ315" i="70"/>
  <c r="AJ292" i="70"/>
  <c r="AJ293" i="70"/>
  <c r="AJ291" i="70"/>
  <c r="AH313" i="70"/>
  <c r="AH268" i="70"/>
  <c r="AH266" i="70"/>
  <c r="AH267" i="70"/>
  <c r="AH269" i="70"/>
  <c r="AG301" i="70"/>
  <c r="AG309" i="70" s="1"/>
  <c r="AG305" i="71"/>
  <c r="AK263" i="70"/>
  <c r="HR42" i="70" s="1"/>
  <c r="AL262" i="70" a="1"/>
  <c r="AL262" i="70" s="1"/>
  <c r="HS41" i="70"/>
  <c r="AJ264" i="70"/>
  <c r="HT41" i="70"/>
  <c r="IF41" i="70"/>
  <c r="AK277" i="70"/>
  <c r="AK273" i="71"/>
  <c r="HU42" i="71"/>
  <c r="AK289" i="70"/>
  <c r="HY42" i="71"/>
  <c r="AK285" i="71"/>
  <c r="AJ300" i="70"/>
  <c r="AJ308" i="70" s="1"/>
  <c r="AJ304" i="71"/>
  <c r="AI302" i="70"/>
  <c r="AI310" i="70" s="1"/>
  <c r="AI306" i="71"/>
  <c r="AL253" i="70"/>
  <c r="AL249" i="71"/>
  <c r="HM43" i="71"/>
  <c r="AK256" i="70"/>
  <c r="AK299" i="70"/>
  <c r="AK257" i="70"/>
  <c r="AK254" i="70"/>
  <c r="AK255" i="70"/>
  <c r="AK312" i="70"/>
  <c r="AL288" i="70"/>
  <c r="IH43" i="70"/>
  <c r="IA43" i="70"/>
  <c r="IB43" i="70"/>
  <c r="AI265" i="70"/>
  <c r="AI261" i="71"/>
  <c r="HQ40" i="71"/>
  <c r="HX43" i="70" l="1"/>
  <c r="AL276" i="70"/>
  <c r="AM274" i="70" a="1"/>
  <c r="AM274" i="70" s="1"/>
  <c r="AM275" i="70" s="1"/>
  <c r="HV44" i="70" s="1"/>
  <c r="IG44" i="70" s="1"/>
  <c r="IG43" i="70"/>
  <c r="AH270" i="70"/>
  <c r="AH271" i="70" s="1"/>
  <c r="AK258" i="70"/>
  <c r="AK259" i="70" s="1"/>
  <c r="AJ282" i="70"/>
  <c r="AJ283" i="70" s="1"/>
  <c r="AI313" i="70"/>
  <c r="AI269" i="70"/>
  <c r="AI266" i="70"/>
  <c r="AI268" i="70"/>
  <c r="AI267" i="70"/>
  <c r="AL257" i="70"/>
  <c r="AL312" i="70"/>
  <c r="AL256" i="70"/>
  <c r="AL254" i="70"/>
  <c r="AL299" i="70"/>
  <c r="AL255" i="70"/>
  <c r="AH301" i="70"/>
  <c r="AH309" i="70" s="1"/>
  <c r="AH305" i="71"/>
  <c r="AO251" i="70"/>
  <c r="HN46" i="70" s="1"/>
  <c r="AP250" i="70" a="1"/>
  <c r="AP250" i="70" s="1"/>
  <c r="AK300" i="70"/>
  <c r="AK308" i="70" s="1"/>
  <c r="AK304" i="71"/>
  <c r="AL273" i="71"/>
  <c r="HU43" i="71"/>
  <c r="AL277" i="70"/>
  <c r="AM288" i="70"/>
  <c r="IB44" i="70"/>
  <c r="IA44" i="70"/>
  <c r="IH44" i="70"/>
  <c r="HP45" i="70"/>
  <c r="HO45" i="70"/>
  <c r="AN252" i="70"/>
  <c r="IE45" i="70"/>
  <c r="AL263" i="70"/>
  <c r="HR43" i="70" s="1"/>
  <c r="AM262" i="70" a="1"/>
  <c r="AM262" i="70" s="1"/>
  <c r="AJ306" i="71"/>
  <c r="AJ302" i="70"/>
  <c r="AJ310" i="70" s="1"/>
  <c r="IF42" i="70"/>
  <c r="AK264" i="70"/>
  <c r="HS42" i="70"/>
  <c r="HT42" i="70"/>
  <c r="AJ303" i="70"/>
  <c r="AJ311" i="70" s="1"/>
  <c r="AJ307" i="71"/>
  <c r="AN287" i="70"/>
  <c r="HZ45" i="70" s="1"/>
  <c r="AO286" i="70" a="1"/>
  <c r="AO286" i="70" s="1"/>
  <c r="AL285" i="71"/>
  <c r="AL289" i="70"/>
  <c r="HY43" i="71"/>
  <c r="AK278" i="70"/>
  <c r="AK314" i="70"/>
  <c r="AK280" i="70"/>
  <c r="AK281" i="70"/>
  <c r="AK279" i="70"/>
  <c r="AJ294" i="70"/>
  <c r="AJ295" i="70" s="1"/>
  <c r="AM253" i="70"/>
  <c r="AM249" i="71"/>
  <c r="HM44" i="71"/>
  <c r="AJ265" i="70"/>
  <c r="HQ41" i="71"/>
  <c r="AJ261" i="71"/>
  <c r="AK315" i="70"/>
  <c r="AK290" i="70"/>
  <c r="AK292" i="70"/>
  <c r="AK291" i="70"/>
  <c r="AK293" i="70"/>
  <c r="AI270" i="70" l="1"/>
  <c r="AI271" i="70" s="1"/>
  <c r="AK294" i="70"/>
  <c r="AK295" i="70" s="1"/>
  <c r="AL258" i="70"/>
  <c r="AL259" i="70" s="1"/>
  <c r="AK282" i="70"/>
  <c r="AK283" i="70" s="1"/>
  <c r="HX44" i="70"/>
  <c r="AM276" i="70"/>
  <c r="AM277" i="70" s="1"/>
  <c r="HW44" i="70"/>
  <c r="AN274" i="70" a="1"/>
  <c r="AN274" i="70" s="1"/>
  <c r="AN275" i="70" s="1"/>
  <c r="HV45" i="70" s="1"/>
  <c r="AN276" i="70" s="1"/>
  <c r="AO287" i="70"/>
  <c r="HZ46" i="70" s="1"/>
  <c r="AP286" i="70" a="1"/>
  <c r="AP286" i="70" s="1"/>
  <c r="AP251" i="70"/>
  <c r="HN47" i="70" s="1"/>
  <c r="AQ250" i="70" a="1"/>
  <c r="AQ250" i="70" s="1"/>
  <c r="AM263" i="70"/>
  <c r="HR44" i="70" s="1"/>
  <c r="AN262" i="70" a="1"/>
  <c r="AN262" i="70" s="1"/>
  <c r="HO46" i="70"/>
  <c r="AO252" i="70"/>
  <c r="HP46" i="70"/>
  <c r="IE46" i="70"/>
  <c r="IF43" i="70"/>
  <c r="HS43" i="70"/>
  <c r="HT43" i="70"/>
  <c r="AL264" i="70"/>
  <c r="HY44" i="71"/>
  <c r="AM289" i="70"/>
  <c r="AM285" i="71"/>
  <c r="AI301" i="70"/>
  <c r="AI309" i="70" s="1"/>
  <c r="AI305" i="71"/>
  <c r="AM273" i="71"/>
  <c r="AM312" i="70"/>
  <c r="AM255" i="70"/>
  <c r="AM256" i="70"/>
  <c r="AM254" i="70"/>
  <c r="AM299" i="70"/>
  <c r="AM257" i="70"/>
  <c r="AL281" i="70"/>
  <c r="AL279" i="70"/>
  <c r="AL278" i="70"/>
  <c r="AL314" i="70"/>
  <c r="AL280" i="70"/>
  <c r="AN288" i="70"/>
  <c r="IH45" i="70"/>
  <c r="IB45" i="70"/>
  <c r="IA45" i="70"/>
  <c r="AN253" i="70"/>
  <c r="AN249" i="71"/>
  <c r="HM45" i="71"/>
  <c r="AL300" i="70"/>
  <c r="AL308" i="70" s="1"/>
  <c r="AL304" i="71"/>
  <c r="AK302" i="70"/>
  <c r="AK310" i="70" s="1"/>
  <c r="AK306" i="71"/>
  <c r="AL315" i="70"/>
  <c r="AL290" i="70"/>
  <c r="AL292" i="70"/>
  <c r="AL293" i="70"/>
  <c r="AL291" i="70"/>
  <c r="AK265" i="70"/>
  <c r="HQ42" i="71"/>
  <c r="AK261" i="71"/>
  <c r="AJ313" i="70"/>
  <c r="AJ269" i="70"/>
  <c r="AJ266" i="70"/>
  <c r="AJ267" i="70"/>
  <c r="AJ268" i="70"/>
  <c r="AK307" i="71"/>
  <c r="AK303" i="70"/>
  <c r="AK311" i="70" s="1"/>
  <c r="HU44" i="71" l="1"/>
  <c r="IG45" i="70"/>
  <c r="HW45" i="70"/>
  <c r="HX45" i="70"/>
  <c r="AO274" i="70" a="1"/>
  <c r="AO274" i="70" s="1"/>
  <c r="AO275" i="70" s="1"/>
  <c r="HV46" i="70" s="1"/>
  <c r="HW46" i="70" s="1"/>
  <c r="AK266" i="70"/>
  <c r="AK269" i="70"/>
  <c r="AK268" i="70"/>
  <c r="AK267" i="70"/>
  <c r="AK313" i="70"/>
  <c r="AN289" i="70"/>
  <c r="AN285" i="71"/>
  <c r="HY45" i="71"/>
  <c r="AL261" i="71"/>
  <c r="AL265" i="70"/>
  <c r="HQ43" i="71"/>
  <c r="AO253" i="70"/>
  <c r="AO249" i="71"/>
  <c r="HM46" i="71"/>
  <c r="AJ301" i="70"/>
  <c r="AJ309" i="70" s="1"/>
  <c r="AJ305" i="71"/>
  <c r="AJ270" i="70"/>
  <c r="AJ271" i="70" s="1"/>
  <c r="AL307" i="71"/>
  <c r="AL303" i="70"/>
  <c r="AL311" i="70" s="1"/>
  <c r="AL282" i="70"/>
  <c r="AL283" i="70" s="1"/>
  <c r="AN273" i="71"/>
  <c r="HU45" i="71"/>
  <c r="AN277" i="70"/>
  <c r="AM281" i="70"/>
  <c r="AM314" i="70"/>
  <c r="AM279" i="70"/>
  <c r="AM280" i="70"/>
  <c r="AM278" i="70"/>
  <c r="AN263" i="70"/>
  <c r="HR45" i="70" s="1"/>
  <c r="AO262" i="70" a="1"/>
  <c r="AO262" i="70" s="1"/>
  <c r="AL294" i="70"/>
  <c r="AL295" i="70" s="1"/>
  <c r="AM264" i="70"/>
  <c r="IF44" i="70"/>
  <c r="HT44" i="70"/>
  <c r="HS44" i="70"/>
  <c r="AQ251" i="70"/>
  <c r="HN48" i="70" s="1"/>
  <c r="AR250" i="70" a="1"/>
  <c r="AR250" i="70" s="1"/>
  <c r="AL306" i="71"/>
  <c r="AL302" i="70"/>
  <c r="AL310" i="70" s="1"/>
  <c r="AM258" i="70"/>
  <c r="AM259" i="70" s="1"/>
  <c r="HP47" i="70"/>
  <c r="HO47" i="70"/>
  <c r="IE47" i="70"/>
  <c r="AP252" i="70"/>
  <c r="AP287" i="70"/>
  <c r="HZ47" i="70" s="1"/>
  <c r="AQ286" i="70" a="1"/>
  <c r="AQ286" i="70" s="1"/>
  <c r="AN312" i="70"/>
  <c r="AN299" i="70"/>
  <c r="AN255" i="70"/>
  <c r="AN256" i="70"/>
  <c r="AN257" i="70"/>
  <c r="AN254" i="70"/>
  <c r="AM300" i="70"/>
  <c r="AM308" i="70" s="1"/>
  <c r="AM304" i="71"/>
  <c r="AM290" i="70"/>
  <c r="AM291" i="70"/>
  <c r="AM293" i="70"/>
  <c r="AM292" i="70"/>
  <c r="AM315" i="70"/>
  <c r="AO288" i="70"/>
  <c r="IH46" i="70"/>
  <c r="IA46" i="70"/>
  <c r="IB46" i="70"/>
  <c r="AK270" i="70" l="1"/>
  <c r="AK271" i="70" s="1"/>
  <c r="AM294" i="70"/>
  <c r="AM295" i="70" s="1"/>
  <c r="AN258" i="70"/>
  <c r="AN259" i="70" s="1"/>
  <c r="AO276" i="70"/>
  <c r="IG46" i="70"/>
  <c r="HX46" i="70"/>
  <c r="AP274" i="70" a="1"/>
  <c r="AP274" i="70" s="1"/>
  <c r="AP275" i="70" s="1"/>
  <c r="HV47" i="70" s="1"/>
  <c r="HX47" i="70" s="1"/>
  <c r="AO263" i="70"/>
  <c r="HR46" i="70" s="1"/>
  <c r="AP262" i="70" a="1"/>
  <c r="AP262" i="70" s="1"/>
  <c r="AN315" i="70"/>
  <c r="AN292" i="70"/>
  <c r="AN291" i="70"/>
  <c r="AN290" i="70"/>
  <c r="AN293" i="70"/>
  <c r="AR251" i="70"/>
  <c r="HN49" i="70" s="1"/>
  <c r="AS250" i="70" a="1"/>
  <c r="AS250" i="70" s="1"/>
  <c r="AN264" i="70"/>
  <c r="HS45" i="70"/>
  <c r="HT45" i="70"/>
  <c r="IF45" i="70"/>
  <c r="AM303" i="70"/>
  <c r="AM311" i="70" s="1"/>
  <c r="AM307" i="71"/>
  <c r="IE48" i="70"/>
  <c r="AQ252" i="70"/>
  <c r="HO48" i="70"/>
  <c r="HP48" i="70"/>
  <c r="AO299" i="70"/>
  <c r="AO255" i="70"/>
  <c r="AO256" i="70"/>
  <c r="AO312" i="70"/>
  <c r="AO257" i="70"/>
  <c r="AO254" i="70"/>
  <c r="AK305" i="71"/>
  <c r="AK301" i="70"/>
  <c r="AK309" i="70" s="1"/>
  <c r="AO285" i="71"/>
  <c r="HY46" i="71"/>
  <c r="AO289" i="70"/>
  <c r="AP253" i="70"/>
  <c r="AP249" i="71"/>
  <c r="HM47" i="71"/>
  <c r="AN300" i="70"/>
  <c r="AN308" i="70" s="1"/>
  <c r="AN304" i="71"/>
  <c r="AM282" i="70"/>
  <c r="AM283" i="70" s="1"/>
  <c r="AQ287" i="70"/>
  <c r="HZ48" i="70" s="1"/>
  <c r="AR286" i="70" a="1"/>
  <c r="AR286" i="70" s="1"/>
  <c r="AM306" i="71"/>
  <c r="AM302" i="70"/>
  <c r="AM310" i="70" s="1"/>
  <c r="AL313" i="70"/>
  <c r="AL267" i="70"/>
  <c r="AL269" i="70"/>
  <c r="AL266" i="70"/>
  <c r="AL268" i="70"/>
  <c r="AL270" i="70" s="1"/>
  <c r="AL271" i="70" s="1"/>
  <c r="IH47" i="70"/>
  <c r="IB47" i="70"/>
  <c r="AP288" i="70"/>
  <c r="IA47" i="70"/>
  <c r="AO273" i="71"/>
  <c r="AO277" i="70"/>
  <c r="HU46" i="71"/>
  <c r="AM265" i="70"/>
  <c r="AM261" i="71"/>
  <c r="HQ44" i="71"/>
  <c r="AN281" i="70"/>
  <c r="AN279" i="70"/>
  <c r="AN278" i="70"/>
  <c r="AN280" i="70"/>
  <c r="AN314" i="70"/>
  <c r="IG47" i="70" l="1"/>
  <c r="HW47" i="70"/>
  <c r="AP276" i="70"/>
  <c r="AP273" i="71" s="1"/>
  <c r="AQ274" i="70" a="1"/>
  <c r="AQ274" i="70" s="1"/>
  <c r="AQ275" i="70" s="1"/>
  <c r="HV48" i="70" s="1"/>
  <c r="HW48" i="70" s="1"/>
  <c r="AL301" i="70"/>
  <c r="AL309" i="70" s="1"/>
  <c r="AL305" i="71"/>
  <c r="AN261" i="71"/>
  <c r="HQ45" i="71"/>
  <c r="AN265" i="70"/>
  <c r="AR252" i="70"/>
  <c r="IE49" i="70"/>
  <c r="HP49" i="70"/>
  <c r="HO49" i="70"/>
  <c r="AQ253" i="70"/>
  <c r="AQ249" i="71"/>
  <c r="HM48" i="71"/>
  <c r="AP289" i="70"/>
  <c r="HY47" i="71"/>
  <c r="AP285" i="71"/>
  <c r="HU47" i="71"/>
  <c r="AM266" i="70"/>
  <c r="AM313" i="70"/>
  <c r="AM267" i="70"/>
  <c r="AM269" i="70"/>
  <c r="AM268" i="70"/>
  <c r="AP312" i="70"/>
  <c r="AP299" i="70"/>
  <c r="AP254" i="70"/>
  <c r="AP255" i="70"/>
  <c r="AP256" i="70"/>
  <c r="AP257" i="70"/>
  <c r="AS286" i="70" a="1"/>
  <c r="AS286" i="70" s="1"/>
  <c r="AR287" i="70"/>
  <c r="HZ49" i="70" s="1"/>
  <c r="AO290" i="70"/>
  <c r="AO291" i="70"/>
  <c r="AO293" i="70"/>
  <c r="AO292" i="70"/>
  <c r="AO315" i="70"/>
  <c r="AO258" i="70"/>
  <c r="AO259" i="70" s="1"/>
  <c r="AQ288" i="70"/>
  <c r="IH48" i="70"/>
  <c r="IA48" i="70"/>
  <c r="IB48" i="70"/>
  <c r="AO300" i="70"/>
  <c r="AO308" i="70" s="1"/>
  <c r="AO304" i="71"/>
  <c r="AN303" i="70"/>
  <c r="AN311" i="70" s="1"/>
  <c r="AN307" i="71"/>
  <c r="AN282" i="70"/>
  <c r="AN283" i="70" s="1"/>
  <c r="AN294" i="70"/>
  <c r="AN295" i="70" s="1"/>
  <c r="AN302" i="70"/>
  <c r="AN310" i="70" s="1"/>
  <c r="AN306" i="71"/>
  <c r="AO314" i="70"/>
  <c r="AO280" i="70"/>
  <c r="AO279" i="70"/>
  <c r="AO278" i="70"/>
  <c r="AO281" i="70"/>
  <c r="AP263" i="70"/>
  <c r="HR47" i="70" s="1"/>
  <c r="AQ262" i="70" a="1"/>
  <c r="AQ262" i="70" s="1"/>
  <c r="AS251" i="70"/>
  <c r="HN50" i="70" s="1"/>
  <c r="AT250" i="70" a="1"/>
  <c r="AT250" i="70" s="1"/>
  <c r="AO264" i="70"/>
  <c r="HS46" i="70"/>
  <c r="HT46" i="70"/>
  <c r="IF46" i="70"/>
  <c r="AP277" i="70" l="1"/>
  <c r="AM270" i="70"/>
  <c r="AM271" i="70" s="1"/>
  <c r="AP258" i="70"/>
  <c r="AP259" i="70" s="1"/>
  <c r="HX48" i="70"/>
  <c r="AO294" i="70"/>
  <c r="AO295" i="70" s="1"/>
  <c r="IG48" i="70"/>
  <c r="AQ276" i="70"/>
  <c r="AQ277" i="70" s="1"/>
  <c r="AR274" i="70" a="1"/>
  <c r="AR274" i="70" s="1"/>
  <c r="AR275" i="70" s="1"/>
  <c r="HV49" i="70" s="1"/>
  <c r="HX49" i="70" s="1"/>
  <c r="AT251" i="70"/>
  <c r="HN51" i="70" s="1"/>
  <c r="AU250" i="70" a="1"/>
  <c r="AU250" i="70" s="1"/>
  <c r="IA49" i="70"/>
  <c r="IB49" i="70"/>
  <c r="IH49" i="70"/>
  <c r="AR288" i="70"/>
  <c r="AS287" i="70"/>
  <c r="HZ50" i="70" s="1"/>
  <c r="AT286" i="70" a="1"/>
  <c r="AT286" i="70" s="1"/>
  <c r="AR253" i="70"/>
  <c r="HM49" i="71"/>
  <c r="AR249" i="71"/>
  <c r="AP264" i="70"/>
  <c r="HS47" i="70"/>
  <c r="IF47" i="70"/>
  <c r="HT47" i="70"/>
  <c r="AM301" i="70"/>
  <c r="AM309" i="70" s="1"/>
  <c r="AM305" i="71"/>
  <c r="AP315" i="70"/>
  <c r="AP291" i="70"/>
  <c r="AP292" i="70"/>
  <c r="AP293" i="70"/>
  <c r="AP290" i="70"/>
  <c r="AN267" i="70"/>
  <c r="AN268" i="70"/>
  <c r="AN313" i="70"/>
  <c r="AN269" i="70"/>
  <c r="AN266" i="70"/>
  <c r="AQ263" i="70"/>
  <c r="HR48" i="70" s="1"/>
  <c r="AR262" i="70" a="1"/>
  <c r="AR262" i="70" s="1"/>
  <c r="HO50" i="70"/>
  <c r="IE50" i="70"/>
  <c r="AS252" i="70"/>
  <c r="HP50" i="70"/>
  <c r="HY48" i="71"/>
  <c r="AQ289" i="70"/>
  <c r="AQ285" i="71"/>
  <c r="AP300" i="70"/>
  <c r="AP308" i="70" s="1"/>
  <c r="AP304" i="71"/>
  <c r="AO306" i="71"/>
  <c r="AO302" i="70"/>
  <c r="AO310" i="70" s="1"/>
  <c r="AQ273" i="71"/>
  <c r="HU48" i="71"/>
  <c r="AQ299" i="70"/>
  <c r="AQ254" i="70"/>
  <c r="AQ256" i="70"/>
  <c r="AQ255" i="70"/>
  <c r="AQ312" i="70"/>
  <c r="AQ257" i="70"/>
  <c r="AO265" i="70"/>
  <c r="AO261" i="71"/>
  <c r="HQ46" i="71"/>
  <c r="AO282" i="70"/>
  <c r="AO283" i="70" s="1"/>
  <c r="AO307" i="71"/>
  <c r="AO303" i="70"/>
  <c r="AO311" i="70" s="1"/>
  <c r="AP314" i="70"/>
  <c r="AP280" i="70"/>
  <c r="AP281" i="70"/>
  <c r="AP278" i="70"/>
  <c r="AP279" i="70"/>
  <c r="AQ258" i="70" l="1"/>
  <c r="AQ259" i="70" s="1"/>
  <c r="HW49" i="70"/>
  <c r="AS274" i="70" a="1"/>
  <c r="AS274" i="70" s="1"/>
  <c r="AS275" i="70" s="1"/>
  <c r="HV50" i="70" s="1"/>
  <c r="HX50" i="70" s="1"/>
  <c r="IG49" i="70"/>
  <c r="AR276" i="70"/>
  <c r="AN270" i="70"/>
  <c r="AN271" i="70" s="1"/>
  <c r="AT287" i="70"/>
  <c r="HZ51" i="70" s="1"/>
  <c r="AU286" i="70" a="1"/>
  <c r="AU286" i="70" s="1"/>
  <c r="AN301" i="70"/>
  <c r="AN309" i="70" s="1"/>
  <c r="AN305" i="71"/>
  <c r="IA50" i="70"/>
  <c r="IH50" i="70"/>
  <c r="AS288" i="70"/>
  <c r="IB50" i="70"/>
  <c r="AP302" i="70"/>
  <c r="AP310" i="70" s="1"/>
  <c r="AP306" i="71"/>
  <c r="AO269" i="70"/>
  <c r="AO267" i="70"/>
  <c r="AO266" i="70"/>
  <c r="AO268" i="70"/>
  <c r="AO313" i="70"/>
  <c r="AR289" i="70"/>
  <c r="AR285" i="71"/>
  <c r="HY49" i="71"/>
  <c r="AR263" i="70"/>
  <c r="HR49" i="70" s="1"/>
  <c r="AS262" i="70" a="1"/>
  <c r="AS262" i="70" s="1"/>
  <c r="AS249" i="71"/>
  <c r="AS253" i="70"/>
  <c r="HM50" i="71"/>
  <c r="IF48" i="70"/>
  <c r="HT48" i="70"/>
  <c r="HS48" i="70"/>
  <c r="AQ264" i="70"/>
  <c r="AP294" i="70"/>
  <c r="AP295" i="70" s="1"/>
  <c r="AP261" i="71"/>
  <c r="HQ47" i="71"/>
  <c r="AP265" i="70"/>
  <c r="AP282" i="70"/>
  <c r="AP283" i="70" s="1"/>
  <c r="AQ281" i="70"/>
  <c r="AQ279" i="70"/>
  <c r="AQ280" i="70"/>
  <c r="AQ314" i="70"/>
  <c r="AQ278" i="70"/>
  <c r="AQ304" i="71"/>
  <c r="AQ300" i="70"/>
  <c r="AQ308" i="70" s="1"/>
  <c r="AQ293" i="70"/>
  <c r="AQ292" i="70"/>
  <c r="AQ315" i="70"/>
  <c r="AQ290" i="70"/>
  <c r="AQ291" i="70"/>
  <c r="AP307" i="71"/>
  <c r="AP303" i="70"/>
  <c r="AP311" i="70" s="1"/>
  <c r="AU251" i="70"/>
  <c r="HN52" i="70" s="1"/>
  <c r="AV250" i="70" a="1"/>
  <c r="AV250" i="70" s="1"/>
  <c r="AR273" i="71"/>
  <c r="HU49" i="71"/>
  <c r="AR277" i="70"/>
  <c r="AR255" i="70"/>
  <c r="AR299" i="70"/>
  <c r="AR254" i="70"/>
  <c r="AR257" i="70"/>
  <c r="AR256" i="70"/>
  <c r="AR258" i="70" s="1"/>
  <c r="AR259" i="70" s="1"/>
  <c r="AR312" i="70"/>
  <c r="AT252" i="70"/>
  <c r="HO51" i="70"/>
  <c r="IE51" i="70"/>
  <c r="HP51" i="70"/>
  <c r="AO270" i="70" l="1"/>
  <c r="AO271" i="70" s="1"/>
  <c r="HW50" i="70"/>
  <c r="AS276" i="70"/>
  <c r="HU50" i="71" s="1"/>
  <c r="AQ294" i="70"/>
  <c r="AQ295" i="70" s="1"/>
  <c r="AT274" i="70" a="1"/>
  <c r="AT274" i="70" s="1"/>
  <c r="AT275" i="70" s="1"/>
  <c r="HV51" i="70" s="1"/>
  <c r="AT276" i="70" s="1"/>
  <c r="IG50" i="70"/>
  <c r="AT253" i="70"/>
  <c r="AT249" i="71"/>
  <c r="HM51" i="71"/>
  <c r="AQ302" i="70"/>
  <c r="AQ310" i="70" s="1"/>
  <c r="AQ306" i="71"/>
  <c r="AQ303" i="70"/>
  <c r="AQ311" i="70" s="1"/>
  <c r="AQ307" i="71"/>
  <c r="AV251" i="70"/>
  <c r="HN53" i="70" s="1"/>
  <c r="AW250" i="70" a="1"/>
  <c r="AW250" i="70" s="1"/>
  <c r="AR293" i="70"/>
  <c r="AR290" i="70"/>
  <c r="AR292" i="70"/>
  <c r="AR315" i="70"/>
  <c r="AR291" i="70"/>
  <c r="AO305" i="71"/>
  <c r="AO301" i="70"/>
  <c r="AO309" i="70" s="1"/>
  <c r="AR300" i="70"/>
  <c r="AR308" i="70" s="1"/>
  <c r="AR304" i="71"/>
  <c r="AU252" i="70"/>
  <c r="IE52" i="70"/>
  <c r="HP52" i="70"/>
  <c r="HO52" i="70"/>
  <c r="AP313" i="70"/>
  <c r="AP268" i="70"/>
  <c r="AP269" i="70"/>
  <c r="AP266" i="70"/>
  <c r="AP267" i="70"/>
  <c r="AS312" i="70"/>
  <c r="AS299" i="70"/>
  <c r="AS254" i="70"/>
  <c r="AS257" i="70"/>
  <c r="AS255" i="70"/>
  <c r="AS256" i="70"/>
  <c r="AV286" i="70" a="1"/>
  <c r="AV286" i="70" s="1"/>
  <c r="AU287" i="70"/>
  <c r="HZ52" i="70" s="1"/>
  <c r="AS263" i="70"/>
  <c r="HR50" i="70" s="1"/>
  <c r="AT262" i="70" a="1"/>
  <c r="AT262" i="70" s="1"/>
  <c r="AR314" i="70"/>
  <c r="AR279" i="70"/>
  <c r="AR280" i="70"/>
  <c r="AR278" i="70"/>
  <c r="AR281" i="70"/>
  <c r="AQ282" i="70"/>
  <c r="AQ283" i="70" s="1"/>
  <c r="HQ48" i="71"/>
  <c r="AQ265" i="70"/>
  <c r="AQ261" i="71"/>
  <c r="AR264" i="70"/>
  <c r="HT49" i="70"/>
  <c r="HS49" i="70"/>
  <c r="IF49" i="70"/>
  <c r="AS285" i="71"/>
  <c r="AS289" i="70"/>
  <c r="HY50" i="71"/>
  <c r="IB51" i="70"/>
  <c r="AT288" i="70"/>
  <c r="IH51" i="70"/>
  <c r="IA51" i="70"/>
  <c r="AS273" i="71" l="1"/>
  <c r="AS277" i="70"/>
  <c r="AS281" i="70" s="1"/>
  <c r="AR282" i="70"/>
  <c r="AR283" i="70" s="1"/>
  <c r="HX51" i="70"/>
  <c r="HW51" i="70"/>
  <c r="AU274" i="70" a="1"/>
  <c r="AU274" i="70" s="1"/>
  <c r="AU275" i="70" s="1"/>
  <c r="HV52" i="70" s="1"/>
  <c r="IG52" i="70" s="1"/>
  <c r="IG51" i="70"/>
  <c r="AR294" i="70"/>
  <c r="AR295" i="70" s="1"/>
  <c r="AQ269" i="70"/>
  <c r="AQ267" i="70"/>
  <c r="AQ313" i="70"/>
  <c r="AQ268" i="70"/>
  <c r="AQ266" i="70"/>
  <c r="AR265" i="70"/>
  <c r="AR261" i="71"/>
  <c r="HQ49" i="71"/>
  <c r="AR302" i="70"/>
  <c r="AR310" i="70" s="1"/>
  <c r="AR306" i="71"/>
  <c r="AP270" i="70"/>
  <c r="AP271" i="70" s="1"/>
  <c r="HO53" i="70"/>
  <c r="AV252" i="70"/>
  <c r="IE53" i="70"/>
  <c r="HP53" i="70"/>
  <c r="AT285" i="71"/>
  <c r="AT289" i="70"/>
  <c r="HY51" i="71"/>
  <c r="AT277" i="70"/>
  <c r="AT273" i="71"/>
  <c r="HU51" i="71"/>
  <c r="AT263" i="70"/>
  <c r="HR51" i="70" s="1"/>
  <c r="AU262" i="70" a="1"/>
  <c r="AU262" i="70" s="1"/>
  <c r="AR303" i="70"/>
  <c r="AR311" i="70" s="1"/>
  <c r="AR307" i="71"/>
  <c r="AS264" i="70"/>
  <c r="HS50" i="70"/>
  <c r="HT50" i="70"/>
  <c r="IF50" i="70"/>
  <c r="AS279" i="70"/>
  <c r="AS314" i="70"/>
  <c r="AV287" i="70"/>
  <c r="HZ53" i="70" s="1"/>
  <c r="AW286" i="70" a="1"/>
  <c r="AW286" i="70" s="1"/>
  <c r="AS258" i="70"/>
  <c r="AS259" i="70" s="1"/>
  <c r="AP301" i="70"/>
  <c r="AP309" i="70" s="1"/>
  <c r="AP305" i="71"/>
  <c r="AU249" i="71"/>
  <c r="HM52" i="71"/>
  <c r="AU253" i="70"/>
  <c r="AS290" i="70"/>
  <c r="AS315" i="70"/>
  <c r="AS292" i="70"/>
  <c r="AS291" i="70"/>
  <c r="AS293" i="70"/>
  <c r="IA52" i="70"/>
  <c r="IB52" i="70"/>
  <c r="AU288" i="70"/>
  <c r="IH52" i="70"/>
  <c r="AS300" i="70"/>
  <c r="AS308" i="70" s="1"/>
  <c r="AS304" i="71"/>
  <c r="AW251" i="70"/>
  <c r="HN54" i="70" s="1"/>
  <c r="AX250" i="70" a="1"/>
  <c r="AX250" i="70" s="1"/>
  <c r="AT254" i="70"/>
  <c r="AT299" i="70"/>
  <c r="AT312" i="70"/>
  <c r="AT257" i="70"/>
  <c r="AT255" i="70"/>
  <c r="AT256" i="70"/>
  <c r="AS280" i="70" l="1"/>
  <c r="AS278" i="70"/>
  <c r="AT258" i="70"/>
  <c r="AT259" i="70" s="1"/>
  <c r="AS294" i="70"/>
  <c r="AS295" i="70" s="1"/>
  <c r="AU276" i="70"/>
  <c r="HX52" i="70"/>
  <c r="AV274" i="70" a="1"/>
  <c r="AV274" i="70" s="1"/>
  <c r="AV275" i="70" s="1"/>
  <c r="HV53" i="70" s="1"/>
  <c r="HX53" i="70" s="1"/>
  <c r="HW52" i="70"/>
  <c r="AS282" i="70"/>
  <c r="AS283" i="70" s="1"/>
  <c r="AQ270" i="70"/>
  <c r="AQ271" i="70" s="1"/>
  <c r="AU289" i="70"/>
  <c r="HY52" i="71"/>
  <c r="AU285" i="71"/>
  <c r="AU312" i="70"/>
  <c r="AU257" i="70"/>
  <c r="AU256" i="70"/>
  <c r="AU299" i="70"/>
  <c r="AU255" i="70"/>
  <c r="AU254" i="70"/>
  <c r="AS306" i="71"/>
  <c r="AS302" i="70"/>
  <c r="AS310" i="70" s="1"/>
  <c r="AU263" i="70"/>
  <c r="HR52" i="70" s="1"/>
  <c r="AV262" i="70" a="1"/>
  <c r="AV262" i="70" s="1"/>
  <c r="AU273" i="71"/>
  <c r="HU52" i="71"/>
  <c r="AU277" i="70"/>
  <c r="IF51" i="70"/>
  <c r="HT51" i="70"/>
  <c r="AT264" i="70"/>
  <c r="HS51" i="70"/>
  <c r="AR313" i="70"/>
  <c r="AR268" i="70"/>
  <c r="AR270" i="70" s="1"/>
  <c r="AR271" i="70" s="1"/>
  <c r="AR267" i="70"/>
  <c r="AR266" i="70"/>
  <c r="AR269" i="70"/>
  <c r="AX251" i="70"/>
  <c r="HN55" i="70" s="1"/>
  <c r="AY250" i="70" a="1"/>
  <c r="AY250" i="70" s="1"/>
  <c r="AV253" i="70"/>
  <c r="AV249" i="71"/>
  <c r="HM53" i="71"/>
  <c r="IE54" i="70"/>
  <c r="AW252" i="70"/>
  <c r="HO54" i="70"/>
  <c r="HP54" i="70"/>
  <c r="AS303" i="70"/>
  <c r="AS311" i="70" s="1"/>
  <c r="AS307" i="71"/>
  <c r="AS265" i="70"/>
  <c r="AS261" i="71"/>
  <c r="HQ50" i="71"/>
  <c r="AT280" i="70"/>
  <c r="AT314" i="70"/>
  <c r="AT279" i="70"/>
  <c r="AT278" i="70"/>
  <c r="AT281" i="70"/>
  <c r="AW287" i="70"/>
  <c r="HZ54" i="70" s="1"/>
  <c r="AX286" i="70" a="1"/>
  <c r="AX286" i="70" s="1"/>
  <c r="AQ301" i="70"/>
  <c r="AQ309" i="70" s="1"/>
  <c r="AQ305" i="71"/>
  <c r="AT304" i="71"/>
  <c r="AT300" i="70"/>
  <c r="AT308" i="70" s="1"/>
  <c r="IA53" i="70"/>
  <c r="IH53" i="70"/>
  <c r="IB53" i="70"/>
  <c r="AV288" i="70"/>
  <c r="AT315" i="70"/>
  <c r="AT291" i="70"/>
  <c r="AT292" i="70"/>
  <c r="AT290" i="70"/>
  <c r="AT293" i="70"/>
  <c r="AU258" i="70" l="1"/>
  <c r="AU259" i="70" s="1"/>
  <c r="AW274" i="70" a="1"/>
  <c r="AW274" i="70" s="1"/>
  <c r="AW275" i="70" s="1"/>
  <c r="HV54" i="70" s="1"/>
  <c r="HX54" i="70" s="1"/>
  <c r="AV276" i="70"/>
  <c r="HU53" i="71" s="1"/>
  <c r="IG53" i="70"/>
  <c r="HW53" i="70"/>
  <c r="AX287" i="70"/>
  <c r="HZ55" i="70" s="1"/>
  <c r="AY286" i="70" a="1"/>
  <c r="AY286" i="70" s="1"/>
  <c r="HM54" i="71"/>
  <c r="AW253" i="70"/>
  <c r="AW249" i="71"/>
  <c r="AU281" i="70"/>
  <c r="AU314" i="70"/>
  <c r="AU280" i="70"/>
  <c r="AU278" i="70"/>
  <c r="AU279" i="70"/>
  <c r="AU300" i="70"/>
  <c r="AU308" i="70" s="1"/>
  <c r="AU304" i="71"/>
  <c r="AT294" i="70"/>
  <c r="AT295" i="70" s="1"/>
  <c r="IH54" i="70"/>
  <c r="IA54" i="70"/>
  <c r="AW288" i="70"/>
  <c r="IB54" i="70"/>
  <c r="AR305" i="71"/>
  <c r="AR301" i="70"/>
  <c r="AR309" i="70" s="1"/>
  <c r="AV273" i="71"/>
  <c r="AV263" i="70"/>
  <c r="HR53" i="70" s="1"/>
  <c r="AW262" i="70" a="1"/>
  <c r="AW262" i="70" s="1"/>
  <c r="AT307" i="71"/>
  <c r="AT303" i="70"/>
  <c r="AT311" i="70" s="1"/>
  <c r="AS313" i="70"/>
  <c r="AS268" i="70"/>
  <c r="AS266" i="70"/>
  <c r="AS269" i="70"/>
  <c r="AS267" i="70"/>
  <c r="AV289" i="70"/>
  <c r="HY53" i="71"/>
  <c r="AV285" i="71"/>
  <c r="AT306" i="71"/>
  <c r="AT302" i="70"/>
  <c r="AT310" i="70" s="1"/>
  <c r="AV257" i="70"/>
  <c r="AV256" i="70"/>
  <c r="AV254" i="70"/>
  <c r="AV255" i="70"/>
  <c r="AV312" i="70"/>
  <c r="AV299" i="70"/>
  <c r="AU264" i="70"/>
  <c r="IF52" i="70"/>
  <c r="HT52" i="70"/>
  <c r="HS52" i="70"/>
  <c r="AY251" i="70"/>
  <c r="HN56" i="70" s="1"/>
  <c r="AZ250" i="70" a="1"/>
  <c r="AZ250" i="70" s="1"/>
  <c r="AT265" i="70"/>
  <c r="AT261" i="71"/>
  <c r="HQ51" i="71"/>
  <c r="AT282" i="70"/>
  <c r="AT283" i="70" s="1"/>
  <c r="HP55" i="70"/>
  <c r="HO55" i="70"/>
  <c r="AX252" i="70"/>
  <c r="IE55" i="70"/>
  <c r="AU293" i="70"/>
  <c r="AU315" i="70"/>
  <c r="AU292" i="70"/>
  <c r="AU290" i="70"/>
  <c r="AU291" i="70"/>
  <c r="AV277" i="70" l="1"/>
  <c r="AV314" i="70" s="1"/>
  <c r="AV258" i="70"/>
  <c r="AV259" i="70" s="1"/>
  <c r="AW276" i="70"/>
  <c r="AW277" i="70" s="1"/>
  <c r="HW54" i="70"/>
  <c r="IG54" i="70"/>
  <c r="AX274" i="70" a="1"/>
  <c r="AX274" i="70" s="1"/>
  <c r="AX275" i="70" s="1"/>
  <c r="HV55" i="70" s="1"/>
  <c r="AX276" i="70" s="1"/>
  <c r="AS270" i="70"/>
  <c r="AS271" i="70" s="1"/>
  <c r="AW312" i="70"/>
  <c r="AW256" i="70"/>
  <c r="AW257" i="70"/>
  <c r="AW255" i="70"/>
  <c r="AW254" i="70"/>
  <c r="AW299" i="70"/>
  <c r="AU265" i="70"/>
  <c r="AU261" i="71"/>
  <c r="HQ52" i="71"/>
  <c r="AU302" i="70"/>
  <c r="AU310" i="70" s="1"/>
  <c r="AU306" i="71"/>
  <c r="AT268" i="70"/>
  <c r="AT266" i="70"/>
  <c r="AT267" i="70"/>
  <c r="AT313" i="70"/>
  <c r="AT269" i="70"/>
  <c r="AT270" i="70" s="1"/>
  <c r="AT271" i="70" s="1"/>
  <c r="AW263" i="70"/>
  <c r="HR54" i="70" s="1"/>
  <c r="AX262" i="70" a="1"/>
  <c r="AX262" i="70" s="1"/>
  <c r="AW289" i="70"/>
  <c r="AW285" i="71"/>
  <c r="HY54" i="71"/>
  <c r="AU282" i="70"/>
  <c r="AU283" i="70" s="1"/>
  <c r="AV300" i="70"/>
  <c r="AV308" i="70" s="1"/>
  <c r="AV304" i="71"/>
  <c r="AV290" i="70"/>
  <c r="AV293" i="70"/>
  <c r="AV292" i="70"/>
  <c r="AV291" i="70"/>
  <c r="AV315" i="70"/>
  <c r="AU303" i="70"/>
  <c r="AU311" i="70" s="1"/>
  <c r="AU307" i="71"/>
  <c r="AX253" i="70"/>
  <c r="HM55" i="71"/>
  <c r="AX249" i="71"/>
  <c r="AY252" i="70"/>
  <c r="IE56" i="70"/>
  <c r="HO56" i="70"/>
  <c r="HP56" i="70"/>
  <c r="AS301" i="70"/>
  <c r="AS309" i="70" s="1"/>
  <c r="AS305" i="71"/>
  <c r="IF53" i="70"/>
  <c r="HT53" i="70"/>
  <c r="HS53" i="70"/>
  <c r="AV264" i="70"/>
  <c r="HU54" i="71"/>
  <c r="AY287" i="70"/>
  <c r="HZ56" i="70" s="1"/>
  <c r="AZ286" i="70" a="1"/>
  <c r="AZ286" i="70" s="1"/>
  <c r="AZ251" i="70"/>
  <c r="HN57" i="70" s="1"/>
  <c r="BA250" i="70" a="1"/>
  <c r="BA250" i="70" s="1"/>
  <c r="AU294" i="70"/>
  <c r="AU295" i="70" s="1"/>
  <c r="AX288" i="70"/>
  <c r="IB55" i="70"/>
  <c r="IH55" i="70"/>
  <c r="IA55" i="70"/>
  <c r="AV280" i="70" l="1"/>
  <c r="AV279" i="70"/>
  <c r="AV278" i="70"/>
  <c r="AV281" i="70"/>
  <c r="AV282" i="70" s="1"/>
  <c r="AV283" i="70" s="1"/>
  <c r="AW273" i="71"/>
  <c r="IG55" i="70"/>
  <c r="HW55" i="70"/>
  <c r="HX55" i="70"/>
  <c r="AY274" i="70" a="1"/>
  <c r="AY274" i="70" s="1"/>
  <c r="AY275" i="70" s="1"/>
  <c r="HV56" i="70" s="1"/>
  <c r="HX56" i="70" s="1"/>
  <c r="AZ287" i="70"/>
  <c r="HZ57" i="70" s="1"/>
  <c r="BA286" i="70" a="1"/>
  <c r="BA286" i="70" s="1"/>
  <c r="AW264" i="70"/>
  <c r="HS54" i="70"/>
  <c r="HT54" i="70"/>
  <c r="IF54" i="70"/>
  <c r="AU268" i="70"/>
  <c r="AU313" i="70"/>
  <c r="AU269" i="70"/>
  <c r="AU266" i="70"/>
  <c r="AU267" i="70"/>
  <c r="AV302" i="70"/>
  <c r="AV310" i="70" s="1"/>
  <c r="AV306" i="71"/>
  <c r="IH56" i="70"/>
  <c r="AY288" i="70"/>
  <c r="IA56" i="70"/>
  <c r="IB56" i="70"/>
  <c r="AX257" i="70"/>
  <c r="AX256" i="70"/>
  <c r="AX299" i="70"/>
  <c r="AX312" i="70"/>
  <c r="AX255" i="70"/>
  <c r="AX254" i="70"/>
  <c r="HU55" i="71"/>
  <c r="AX277" i="70"/>
  <c r="AX273" i="71"/>
  <c r="HY55" i="71"/>
  <c r="AX285" i="71"/>
  <c r="AX289" i="70"/>
  <c r="AW280" i="70"/>
  <c r="AW279" i="70"/>
  <c r="AW281" i="70"/>
  <c r="AW282" i="70" s="1"/>
  <c r="AW283" i="70" s="1"/>
  <c r="AW278" i="70"/>
  <c r="AW314" i="70"/>
  <c r="AZ252" i="70"/>
  <c r="IE57" i="70"/>
  <c r="HP57" i="70"/>
  <c r="HO57" i="70"/>
  <c r="AT301" i="70"/>
  <c r="AT309" i="70" s="1"/>
  <c r="AT305" i="71"/>
  <c r="AW300" i="70"/>
  <c r="AW308" i="70" s="1"/>
  <c r="AW304" i="71"/>
  <c r="AV265" i="70"/>
  <c r="AV261" i="71"/>
  <c r="HQ53" i="71"/>
  <c r="AV303" i="70"/>
  <c r="AV311" i="70" s="1"/>
  <c r="AV307" i="71"/>
  <c r="AW258" i="70"/>
  <c r="AW259" i="70" s="1"/>
  <c r="BA251" i="70"/>
  <c r="HN58" i="70" s="1"/>
  <c r="BB250" i="70" a="1"/>
  <c r="BB250" i="70" s="1"/>
  <c r="BB251" i="70" s="1"/>
  <c r="HN59" i="70" s="1"/>
  <c r="HM56" i="71"/>
  <c r="AY249" i="71"/>
  <c r="AY253" i="70"/>
  <c r="AV294" i="70"/>
  <c r="AV295" i="70" s="1"/>
  <c r="AW292" i="70"/>
  <c r="AW290" i="70"/>
  <c r="AW315" i="70"/>
  <c r="AW293" i="70"/>
  <c r="AW291" i="70"/>
  <c r="AX263" i="70"/>
  <c r="HR55" i="70" s="1"/>
  <c r="AY262" i="70" a="1"/>
  <c r="AY262" i="70" s="1"/>
  <c r="AU270" i="70" l="1"/>
  <c r="AU271" i="70" s="1"/>
  <c r="AZ274" i="70" a="1"/>
  <c r="AZ274" i="70" s="1"/>
  <c r="AZ275" i="70" s="1"/>
  <c r="HV57" i="70" s="1"/>
  <c r="HW57" i="70" s="1"/>
  <c r="IG56" i="70"/>
  <c r="HW56" i="70"/>
  <c r="AY276" i="70"/>
  <c r="AY277" i="70" s="1"/>
  <c r="BB252" i="70"/>
  <c r="HO59" i="70"/>
  <c r="IE59" i="70"/>
  <c r="HP59" i="70"/>
  <c r="AX264" i="70"/>
  <c r="HS55" i="70"/>
  <c r="IF55" i="70"/>
  <c r="HT55" i="70"/>
  <c r="HU56" i="71"/>
  <c r="AY273" i="71"/>
  <c r="HO58" i="70"/>
  <c r="IE58" i="70"/>
  <c r="HP58" i="70"/>
  <c r="BA252" i="70"/>
  <c r="AW306" i="71"/>
  <c r="AW302" i="70"/>
  <c r="AW310" i="70" s="1"/>
  <c r="AY285" i="71"/>
  <c r="AY289" i="70"/>
  <c r="HY56" i="71"/>
  <c r="AX300" i="70"/>
  <c r="AX308" i="70" s="1"/>
  <c r="AX304" i="71"/>
  <c r="AW294" i="70"/>
  <c r="AW295" i="70" s="1"/>
  <c r="AV267" i="70"/>
  <c r="AV313" i="70"/>
  <c r="AV269" i="70"/>
  <c r="AV266" i="70"/>
  <c r="AV268" i="70"/>
  <c r="AX315" i="70"/>
  <c r="AX290" i="70"/>
  <c r="AX291" i="70"/>
  <c r="AX293" i="70"/>
  <c r="AX292" i="70"/>
  <c r="AY263" i="70"/>
  <c r="HR56" i="70" s="1"/>
  <c r="AZ262" i="70" a="1"/>
  <c r="AZ262" i="70" s="1"/>
  <c r="AY257" i="70"/>
  <c r="AY255" i="70"/>
  <c r="AY299" i="70"/>
  <c r="AY254" i="70"/>
  <c r="AY256" i="70"/>
  <c r="AY312" i="70"/>
  <c r="HM57" i="71"/>
  <c r="AZ249" i="71"/>
  <c r="AZ253" i="70"/>
  <c r="AX258" i="70"/>
  <c r="AX259" i="70" s="1"/>
  <c r="AU301" i="70"/>
  <c r="AU309" i="70" s="1"/>
  <c r="AU305" i="71"/>
  <c r="AW265" i="70"/>
  <c r="AW261" i="71"/>
  <c r="HQ54" i="71"/>
  <c r="BA287" i="70"/>
  <c r="HZ58" i="70" s="1"/>
  <c r="BB286" i="70" a="1"/>
  <c r="BB286" i="70" s="1"/>
  <c r="BB287" i="70" s="1"/>
  <c r="HZ59" i="70" s="1"/>
  <c r="AW303" i="70"/>
  <c r="AW311" i="70" s="1"/>
  <c r="AW307" i="71"/>
  <c r="AX280" i="70"/>
  <c r="AX279" i="70"/>
  <c r="AX281" i="70"/>
  <c r="AX314" i="70"/>
  <c r="AX278" i="70"/>
  <c r="IB57" i="70"/>
  <c r="IH57" i="70"/>
  <c r="AZ288" i="70"/>
  <c r="IA57" i="70"/>
  <c r="AV270" i="70" l="1"/>
  <c r="AV271" i="70" s="1"/>
  <c r="AY258" i="70"/>
  <c r="AY259" i="70" s="1"/>
  <c r="BA274" i="70" a="1"/>
  <c r="BA274" i="70" s="1"/>
  <c r="BA275" i="70" s="1"/>
  <c r="HV58" i="70" s="1"/>
  <c r="BA276" i="70" s="1"/>
  <c r="IG57" i="70"/>
  <c r="HX57" i="70"/>
  <c r="AZ276" i="70"/>
  <c r="AZ277" i="70" s="1"/>
  <c r="AV301" i="70"/>
  <c r="AV309" i="70" s="1"/>
  <c r="AV305" i="71"/>
  <c r="AX282" i="70"/>
  <c r="AX283" i="70" s="1"/>
  <c r="AY300" i="70"/>
  <c r="AY308" i="70" s="1"/>
  <c r="AY304" i="71"/>
  <c r="AX303" i="70"/>
  <c r="AX311" i="70" s="1"/>
  <c r="AX307" i="71"/>
  <c r="HM58" i="71"/>
  <c r="BA253" i="70"/>
  <c r="BA249" i="71"/>
  <c r="AX302" i="70"/>
  <c r="AX310" i="70" s="1"/>
  <c r="AX306" i="71"/>
  <c r="AW269" i="70"/>
  <c r="AW266" i="70"/>
  <c r="AW267" i="70"/>
  <c r="AW268" i="70"/>
  <c r="AW313" i="70"/>
  <c r="AZ263" i="70"/>
  <c r="HR57" i="70" s="1"/>
  <c r="BA262" i="70" a="1"/>
  <c r="BA262" i="70" s="1"/>
  <c r="AX265" i="70"/>
  <c r="AX261" i="71"/>
  <c r="HQ55" i="71"/>
  <c r="AZ289" i="70"/>
  <c r="AZ285" i="71"/>
  <c r="HY57" i="71"/>
  <c r="HS56" i="70"/>
  <c r="AY264" i="70"/>
  <c r="HT56" i="70"/>
  <c r="IF56" i="70"/>
  <c r="AY292" i="70"/>
  <c r="AY293" i="70"/>
  <c r="AY315" i="70"/>
  <c r="AY291" i="70"/>
  <c r="AY290" i="70"/>
  <c r="AY279" i="70"/>
  <c r="AY281" i="70"/>
  <c r="AY278" i="70"/>
  <c r="AY314" i="70"/>
  <c r="AY280" i="70"/>
  <c r="IA59" i="70"/>
  <c r="IB59" i="70"/>
  <c r="IH59" i="70"/>
  <c r="BB288" i="70"/>
  <c r="AZ256" i="70"/>
  <c r="AZ254" i="70"/>
  <c r="AZ257" i="70"/>
  <c r="AZ299" i="70"/>
  <c r="AZ255" i="70"/>
  <c r="AZ312" i="70"/>
  <c r="IA58" i="70"/>
  <c r="BA288" i="70"/>
  <c r="IB58" i="70"/>
  <c r="IH58" i="70"/>
  <c r="AX294" i="70"/>
  <c r="AX295" i="70" s="1"/>
  <c r="BB249" i="71"/>
  <c r="BB253" i="70"/>
  <c r="HM59" i="71"/>
  <c r="E250" i="71" l="1" a="1"/>
  <c r="E250" i="71" s="1"/>
  <c r="E251" i="71" s="1"/>
  <c r="HN10" i="71" s="1"/>
  <c r="AY282" i="70"/>
  <c r="AY283" i="70" s="1"/>
  <c r="AZ258" i="70"/>
  <c r="AZ259" i="70" s="1"/>
  <c r="AZ273" i="71"/>
  <c r="HU57" i="71"/>
  <c r="IG58" i="70"/>
  <c r="HX58" i="70"/>
  <c r="AW270" i="70"/>
  <c r="AW271" i="70" s="1"/>
  <c r="HW58" i="70"/>
  <c r="BB274" i="70" a="1"/>
  <c r="BB274" i="70" s="1"/>
  <c r="BB275" i="70" s="1"/>
  <c r="HV59" i="70" s="1"/>
  <c r="AY307" i="71"/>
  <c r="AY303" i="70"/>
  <c r="AY311" i="70" s="1"/>
  <c r="AZ300" i="70"/>
  <c r="AZ308" i="70" s="1"/>
  <c r="AZ304" i="71"/>
  <c r="AX313" i="70"/>
  <c r="AX268" i="70"/>
  <c r="AX267" i="70"/>
  <c r="AX266" i="70"/>
  <c r="AX269" i="70"/>
  <c r="BA263" i="70"/>
  <c r="HR58" i="70" s="1"/>
  <c r="BB262" i="70" a="1"/>
  <c r="BB262" i="70" s="1"/>
  <c r="BB263" i="70" s="1"/>
  <c r="HR59" i="70" s="1"/>
  <c r="AY294" i="70"/>
  <c r="AY295" i="70" s="1"/>
  <c r="HS57" i="70"/>
  <c r="IF57" i="70"/>
  <c r="AZ264" i="70"/>
  <c r="HT57" i="70"/>
  <c r="AZ278" i="70"/>
  <c r="AZ314" i="70"/>
  <c r="AZ280" i="70"/>
  <c r="AZ279" i="70"/>
  <c r="AZ281" i="70"/>
  <c r="AY261" i="71"/>
  <c r="HQ56" i="71"/>
  <c r="AY265" i="70"/>
  <c r="BA257" i="70"/>
  <c r="BA312" i="70"/>
  <c r="BA255" i="70"/>
  <c r="BA256" i="70"/>
  <c r="BA254" i="70"/>
  <c r="BA299" i="70"/>
  <c r="BB299" i="70"/>
  <c r="BB256" i="70"/>
  <c r="BB258" i="70" s="1"/>
  <c r="BB259" i="70" s="1"/>
  <c r="BB255" i="70"/>
  <c r="BB257" i="70"/>
  <c r="BB254" i="70"/>
  <c r="BB312" i="70"/>
  <c r="BB285" i="71"/>
  <c r="BB289" i="70"/>
  <c r="HY59" i="71"/>
  <c r="AY306" i="71"/>
  <c r="AY302" i="70"/>
  <c r="AY310" i="70" s="1"/>
  <c r="AZ315" i="70"/>
  <c r="AZ292" i="70"/>
  <c r="AZ293" i="70"/>
  <c r="AZ290" i="70"/>
  <c r="AZ291" i="70"/>
  <c r="AW301" i="70"/>
  <c r="AW309" i="70" s="1"/>
  <c r="AW305" i="71"/>
  <c r="HY58" i="71"/>
  <c r="BA289" i="70"/>
  <c r="BA285" i="71"/>
  <c r="BA273" i="71"/>
  <c r="BA277" i="70"/>
  <c r="HU58" i="71"/>
  <c r="AZ282" i="70" l="1"/>
  <c r="AZ283" i="70" s="1"/>
  <c r="F250" i="71" a="1"/>
  <c r="F250" i="71" s="1"/>
  <c r="F251" i="71" s="1"/>
  <c r="HN11" i="71" s="1"/>
  <c r="BA258" i="70"/>
  <c r="BA259" i="70" s="1"/>
  <c r="HW59" i="70"/>
  <c r="IG59" i="70"/>
  <c r="HX59" i="70"/>
  <c r="BB276" i="70"/>
  <c r="AX270" i="70"/>
  <c r="AX271" i="70" s="1"/>
  <c r="HO10" i="71"/>
  <c r="HP10" i="71"/>
  <c r="E252" i="71"/>
  <c r="IE10" i="71"/>
  <c r="AY266" i="70"/>
  <c r="AY269" i="70"/>
  <c r="AY268" i="70"/>
  <c r="AY267" i="70"/>
  <c r="AY313" i="70"/>
  <c r="AZ303" i="70"/>
  <c r="AZ311" i="70" s="1"/>
  <c r="AZ307" i="71"/>
  <c r="BB293" i="70"/>
  <c r="BB290" i="70"/>
  <c r="BB292" i="70"/>
  <c r="BB315" i="70"/>
  <c r="BB291" i="70"/>
  <c r="HQ57" i="71"/>
  <c r="AZ261" i="71"/>
  <c r="AZ265" i="70"/>
  <c r="AX301" i="70"/>
  <c r="AX309" i="70" s="1"/>
  <c r="AX305" i="71"/>
  <c r="BA315" i="70"/>
  <c r="BA292" i="70"/>
  <c r="BA290" i="70"/>
  <c r="BA291" i="70"/>
  <c r="BA293" i="70"/>
  <c r="E286" i="71" a="1"/>
  <c r="E286" i="71" s="1"/>
  <c r="BA304" i="71"/>
  <c r="BA300" i="70"/>
  <c r="BA308" i="70" s="1"/>
  <c r="BA314" i="70"/>
  <c r="BA278" i="70"/>
  <c r="BA281" i="70"/>
  <c r="BA279" i="70"/>
  <c r="BA280" i="70"/>
  <c r="AZ294" i="70"/>
  <c r="AZ295" i="70" s="1"/>
  <c r="BB300" i="70"/>
  <c r="BB308" i="70" s="1"/>
  <c r="BB304" i="71"/>
  <c r="AZ302" i="70"/>
  <c r="AZ310" i="70" s="1"/>
  <c r="AZ306" i="71"/>
  <c r="HS59" i="70"/>
  <c r="BB264" i="70"/>
  <c r="HT59" i="70"/>
  <c r="IF59" i="70"/>
  <c r="BA264" i="70"/>
  <c r="HS58" i="70"/>
  <c r="IF58" i="70"/>
  <c r="HT58" i="70"/>
  <c r="BA282" i="70" l="1"/>
  <c r="BA283" i="70" s="1"/>
  <c r="F252" i="71"/>
  <c r="IE11" i="71"/>
  <c r="G250" i="71" a="1"/>
  <c r="G250" i="71" s="1"/>
  <c r="H250" i="71" s="1" a="1"/>
  <c r="H250" i="71" s="1"/>
  <c r="HP11" i="71"/>
  <c r="HO11" i="71"/>
  <c r="BB294" i="70"/>
  <c r="BB295" i="70" s="1"/>
  <c r="BB273" i="71"/>
  <c r="E274" i="71" s="1" a="1"/>
  <c r="E274" i="71" s="1"/>
  <c r="F274" i="71" s="1" a="1"/>
  <c r="F274" i="71" s="1"/>
  <c r="F275" i="71" s="1"/>
  <c r="BB277" i="70"/>
  <c r="HU59" i="71"/>
  <c r="BB261" i="71"/>
  <c r="HQ59" i="71"/>
  <c r="BB265" i="70"/>
  <c r="BA302" i="70"/>
  <c r="BA310" i="70" s="1"/>
  <c r="BA306" i="71"/>
  <c r="BA294" i="70"/>
  <c r="BA295" i="70" s="1"/>
  <c r="E298" i="71"/>
  <c r="AC4" i="75" s="1"/>
  <c r="AC4" i="76" s="1"/>
  <c r="E253" i="71"/>
  <c r="BA265" i="70"/>
  <c r="BA261" i="71"/>
  <c r="HQ58" i="71"/>
  <c r="F298" i="71"/>
  <c r="AG4" i="75" s="1"/>
  <c r="AG4" i="76" s="1"/>
  <c r="F253" i="71"/>
  <c r="BB307" i="71"/>
  <c r="BB303" i="70"/>
  <c r="AY301" i="70"/>
  <c r="AY309" i="70" s="1"/>
  <c r="AY305" i="71"/>
  <c r="E287" i="71"/>
  <c r="HZ10" i="71" s="1"/>
  <c r="F286" i="71" a="1"/>
  <c r="F286" i="71" s="1"/>
  <c r="F287" i="71" s="1"/>
  <c r="HZ11" i="71" s="1"/>
  <c r="AZ267" i="70"/>
  <c r="AZ268" i="70"/>
  <c r="AZ266" i="70"/>
  <c r="AZ313" i="70"/>
  <c r="AZ269" i="70"/>
  <c r="AY270" i="70"/>
  <c r="AY271" i="70" s="1"/>
  <c r="BA303" i="70"/>
  <c r="BA311" i="70" s="1"/>
  <c r="BA307" i="71"/>
  <c r="G251" i="71" l="1"/>
  <c r="HN12" i="71" s="1"/>
  <c r="G252" i="71" s="1"/>
  <c r="E275" i="71"/>
  <c r="HV10" i="71" s="1"/>
  <c r="HV11" i="71" s="1"/>
  <c r="BB280" i="70"/>
  <c r="BB281" i="70"/>
  <c r="BB279" i="70"/>
  <c r="BB278" i="70"/>
  <c r="BB314" i="70"/>
  <c r="BB313" i="70"/>
  <c r="BB267" i="70"/>
  <c r="BB266" i="70"/>
  <c r="BB268" i="70"/>
  <c r="BB269" i="70"/>
  <c r="AZ270" i="70"/>
  <c r="AZ271" i="70" s="1"/>
  <c r="AI1" i="75"/>
  <c r="F257" i="71"/>
  <c r="F256" i="71"/>
  <c r="F312" i="71"/>
  <c r="F299" i="71"/>
  <c r="AG5" i="75" s="1"/>
  <c r="F255" i="71"/>
  <c r="F300" i="71" s="1"/>
  <c r="F308" i="71" s="1"/>
  <c r="F254" i="71"/>
  <c r="G274" i="71" a="1"/>
  <c r="G274" i="71" s="1"/>
  <c r="H274" i="71" s="1" a="1"/>
  <c r="H274" i="71" s="1"/>
  <c r="H275" i="71" s="1"/>
  <c r="AZ301" i="70"/>
  <c r="AZ309" i="70" s="1"/>
  <c r="AZ305" i="71"/>
  <c r="E288" i="71"/>
  <c r="E289" i="71" s="1"/>
  <c r="IA10" i="71"/>
  <c r="IB10" i="71"/>
  <c r="IH10" i="71"/>
  <c r="AE1" i="75"/>
  <c r="E312" i="71"/>
  <c r="E299" i="71"/>
  <c r="AC5" i="75" s="1"/>
  <c r="E257" i="71"/>
  <c r="E255" i="71"/>
  <c r="E300" i="71" s="1"/>
  <c r="E308" i="71" s="1"/>
  <c r="E256" i="71"/>
  <c r="E254" i="71"/>
  <c r="E262" i="71" a="1"/>
  <c r="E262" i="71" s="1"/>
  <c r="IB11" i="71"/>
  <c r="IA11" i="71"/>
  <c r="F288" i="71"/>
  <c r="F289" i="71" s="1"/>
  <c r="IH11" i="71"/>
  <c r="G286" i="71" a="1"/>
  <c r="G286" i="71" s="1"/>
  <c r="I250" i="71" a="1"/>
  <c r="I250" i="71" s="1"/>
  <c r="H251" i="71"/>
  <c r="BA266" i="70"/>
  <c r="BA269" i="70"/>
  <c r="BA268" i="70"/>
  <c r="BA313" i="70"/>
  <c r="BA267" i="70"/>
  <c r="BB311" i="70"/>
  <c r="HO12" i="71" l="1"/>
  <c r="IE12" i="71"/>
  <c r="HP12" i="71"/>
  <c r="HN13" i="71"/>
  <c r="BA270" i="70"/>
  <c r="BA271" i="70" s="1"/>
  <c r="IG10" i="71"/>
  <c r="E276" i="71"/>
  <c r="E277" i="71" s="1"/>
  <c r="E278" i="71" s="1"/>
  <c r="HW10" i="71"/>
  <c r="HX10" i="71"/>
  <c r="HW11" i="71"/>
  <c r="HX11" i="71"/>
  <c r="F276" i="71"/>
  <c r="F277" i="71" s="1"/>
  <c r="IG11" i="71"/>
  <c r="F258" i="71"/>
  <c r="F259" i="71" s="1"/>
  <c r="I274" i="71" a="1"/>
  <c r="I274" i="71" s="1"/>
  <c r="I275" i="71" s="1"/>
  <c r="BB302" i="70"/>
  <c r="BB306" i="71"/>
  <c r="BB282" i="70"/>
  <c r="BB283" i="70" s="1"/>
  <c r="E296" i="70" s="1"/>
  <c r="R107" i="75" s="1"/>
  <c r="R109" i="75" s="1"/>
  <c r="E258" i="71"/>
  <c r="E259" i="71" s="1"/>
  <c r="H252" i="71"/>
  <c r="HO13" i="71"/>
  <c r="IE13" i="71"/>
  <c r="HP13" i="71"/>
  <c r="G287" i="71"/>
  <c r="HZ12" i="71" s="1"/>
  <c r="I251" i="71"/>
  <c r="J250" i="71" a="1"/>
  <c r="J250" i="71" s="1"/>
  <c r="E290" i="71"/>
  <c r="E292" i="71"/>
  <c r="E315" i="71"/>
  <c r="E293" i="71"/>
  <c r="E291" i="71"/>
  <c r="E303" i="71" s="1"/>
  <c r="E311" i="71" s="1"/>
  <c r="AI401" i="75"/>
  <c r="AI337" i="75"/>
  <c r="AI400" i="76" s="1"/>
  <c r="AI324" i="75"/>
  <c r="AI387" i="76" s="1"/>
  <c r="AI314" i="75"/>
  <c r="AI377" i="76" s="1"/>
  <c r="AI296" i="75"/>
  <c r="AI293" i="75"/>
  <c r="AI285" i="75"/>
  <c r="AI282" i="75"/>
  <c r="AI268" i="75"/>
  <c r="AI261" i="75"/>
  <c r="AI209" i="75"/>
  <c r="AI359" i="76" s="1"/>
  <c r="AI210" i="75"/>
  <c r="AI204" i="75"/>
  <c r="AI203" i="75"/>
  <c r="AI178" i="75"/>
  <c r="AI175" i="75"/>
  <c r="AI103" i="75"/>
  <c r="AI78" i="75"/>
  <c r="AI70" i="75"/>
  <c r="AI64" i="75"/>
  <c r="AI67" i="75"/>
  <c r="AI45" i="75"/>
  <c r="AI44" i="76" s="1"/>
  <c r="AI46" i="75"/>
  <c r="AI45" i="76" s="1"/>
  <c r="AI155" i="76" s="1"/>
  <c r="AI25" i="75"/>
  <c r="AI24" i="76" s="1"/>
  <c r="AI134" i="76" s="1"/>
  <c r="AI9" i="75"/>
  <c r="AI26" i="75"/>
  <c r="AI25" i="76" s="1"/>
  <c r="AI135" i="76" s="1"/>
  <c r="AI10" i="75"/>
  <c r="AI9" i="76" s="1"/>
  <c r="AI119" i="76" s="1"/>
  <c r="AI336" i="75"/>
  <c r="AI399" i="76" s="1"/>
  <c r="AI194" i="75"/>
  <c r="AI50" i="75"/>
  <c r="AI49" i="76" s="1"/>
  <c r="AI159" i="76" s="1"/>
  <c r="AI399" i="75"/>
  <c r="AI396" i="75"/>
  <c r="AI334" i="75"/>
  <c r="AI397" i="76" s="1"/>
  <c r="AI313" i="75"/>
  <c r="AI376" i="76" s="1"/>
  <c r="AI309" i="75"/>
  <c r="AI297" i="75"/>
  <c r="AI283" i="75"/>
  <c r="AI280" i="75"/>
  <c r="AI266" i="75"/>
  <c r="AI259" i="75"/>
  <c r="AI207" i="75"/>
  <c r="AI208" i="75"/>
  <c r="AI202" i="75"/>
  <c r="AI201" i="75"/>
  <c r="AI176" i="75"/>
  <c r="AI181" i="75"/>
  <c r="AI86" i="75"/>
  <c r="AI77" i="75"/>
  <c r="AI68" i="75"/>
  <c r="AI62" i="75"/>
  <c r="AI59" i="75"/>
  <c r="AI43" i="75"/>
  <c r="AI42" i="76" s="1"/>
  <c r="AI152" i="76" s="1"/>
  <c r="AI44" i="75"/>
  <c r="AI43" i="76" s="1"/>
  <c r="AI153" i="76" s="1"/>
  <c r="AI23" i="75"/>
  <c r="AI22" i="76" s="1"/>
  <c r="AI132" i="76" s="1"/>
  <c r="AI38" i="75"/>
  <c r="AI37" i="76" s="1"/>
  <c r="AI147" i="76" s="1"/>
  <c r="AI24" i="75"/>
  <c r="AI23" i="76" s="1"/>
  <c r="AI133" i="76" s="1"/>
  <c r="AI41" i="75"/>
  <c r="AI40" i="76" s="1"/>
  <c r="AI150" i="76" s="1"/>
  <c r="AI405" i="75"/>
  <c r="AI182" i="75"/>
  <c r="AI29" i="75"/>
  <c r="AI28" i="76" s="1"/>
  <c r="AI138" i="76" s="1"/>
  <c r="AI397" i="75"/>
  <c r="AI330" i="75"/>
  <c r="AI393" i="76" s="1"/>
  <c r="AI316" i="75"/>
  <c r="AI379" i="76" s="1"/>
  <c r="AI326" i="75"/>
  <c r="AI389" i="76" s="1"/>
  <c r="AI307" i="75"/>
  <c r="AI291" i="75"/>
  <c r="AI281" i="75"/>
  <c r="AI278" i="75"/>
  <c r="AI273" i="75"/>
  <c r="AI217" i="75"/>
  <c r="AI260" i="75"/>
  <c r="AI206" i="75"/>
  <c r="AI200" i="75"/>
  <c r="AI199" i="75"/>
  <c r="AI174" i="75"/>
  <c r="AI324" i="76" s="1"/>
  <c r="AI173" i="75"/>
  <c r="AI85" i="75"/>
  <c r="AI74" i="75"/>
  <c r="AI66" i="75"/>
  <c r="AI71" i="75"/>
  <c r="AI36" i="75"/>
  <c r="AI58" i="75"/>
  <c r="AI39" i="75"/>
  <c r="AI38" i="76" s="1"/>
  <c r="AI148" i="76" s="1"/>
  <c r="AI21" i="75"/>
  <c r="AI20" i="76" s="1"/>
  <c r="AI130" i="76" s="1"/>
  <c r="AI42" i="75"/>
  <c r="AI41" i="76" s="1"/>
  <c r="AI151" i="76" s="1"/>
  <c r="AI22" i="75"/>
  <c r="AI21" i="76" s="1"/>
  <c r="AI131" i="76" s="1"/>
  <c r="AI40" i="75"/>
  <c r="AI39" i="76" s="1"/>
  <c r="AI149" i="76" s="1"/>
  <c r="AI75" i="75"/>
  <c r="AI404" i="75"/>
  <c r="AI335" i="75"/>
  <c r="AI398" i="76" s="1"/>
  <c r="AI312" i="75"/>
  <c r="AI375" i="76" s="1"/>
  <c r="AI304" i="75"/>
  <c r="AI305" i="75"/>
  <c r="AI289" i="75"/>
  <c r="AI279" i="75"/>
  <c r="AI276" i="75"/>
  <c r="AI271" i="75"/>
  <c r="AI264" i="75"/>
  <c r="AI258" i="75"/>
  <c r="AI197" i="75"/>
  <c r="AI205" i="75"/>
  <c r="AI190" i="75"/>
  <c r="AI172" i="75"/>
  <c r="AI179" i="75"/>
  <c r="AI104" i="75"/>
  <c r="AI65" i="75"/>
  <c r="AI80" i="75"/>
  <c r="AI60" i="75"/>
  <c r="AI56" i="75"/>
  <c r="AI55" i="76" s="1"/>
  <c r="AI165" i="76" s="1"/>
  <c r="AI69" i="75"/>
  <c r="AI35" i="75"/>
  <c r="AI34" i="76" s="1"/>
  <c r="AI144" i="76" s="1"/>
  <c r="AI19" i="75"/>
  <c r="AI18" i="76" s="1"/>
  <c r="AI128" i="76" s="1"/>
  <c r="AI37" i="75"/>
  <c r="AI36" i="76" s="1"/>
  <c r="AI146" i="76" s="1"/>
  <c r="AI20" i="75"/>
  <c r="AI19" i="76" s="1"/>
  <c r="AI129" i="76" s="1"/>
  <c r="AI402" i="75"/>
  <c r="AI332" i="75"/>
  <c r="AI395" i="76" s="1"/>
  <c r="AI310" i="75"/>
  <c r="AI373" i="76" s="1"/>
  <c r="AI306" i="75"/>
  <c r="AI303" i="75"/>
  <c r="AI294" i="75"/>
  <c r="AI277" i="75"/>
  <c r="AI275" i="75"/>
  <c r="AI269" i="75"/>
  <c r="AI218" i="75"/>
  <c r="AI368" i="76" s="1"/>
  <c r="AI262" i="75"/>
  <c r="AI195" i="75"/>
  <c r="AI198" i="75"/>
  <c r="AI185" i="75"/>
  <c r="AI186" i="75"/>
  <c r="AI336" i="76" s="1"/>
  <c r="AI177" i="75"/>
  <c r="AI327" i="76" s="1"/>
  <c r="AI89" i="75"/>
  <c r="AI63" i="75"/>
  <c r="AI79" i="75"/>
  <c r="AI83" i="75"/>
  <c r="AI53" i="75"/>
  <c r="AI52" i="76" s="1"/>
  <c r="AI162" i="76" s="1"/>
  <c r="AI54" i="75"/>
  <c r="AI53" i="76" s="1"/>
  <c r="AI163" i="76" s="1"/>
  <c r="AI33" i="75"/>
  <c r="AI32" i="76" s="1"/>
  <c r="AI142" i="76" s="1"/>
  <c r="AI17" i="75"/>
  <c r="AI16" i="76" s="1"/>
  <c r="AI126" i="76" s="1"/>
  <c r="AI34" i="75"/>
  <c r="AI33" i="76" s="1"/>
  <c r="AI143" i="76" s="1"/>
  <c r="AI18" i="75"/>
  <c r="AI17" i="76" s="1"/>
  <c r="AI127" i="76" s="1"/>
  <c r="AI300" i="75"/>
  <c r="AI265" i="75"/>
  <c r="AI214" i="75"/>
  <c r="AI187" i="75"/>
  <c r="AI87" i="75"/>
  <c r="AI57" i="75"/>
  <c r="AI13" i="75"/>
  <c r="AI12" i="76" s="1"/>
  <c r="AI122" i="76" s="1"/>
  <c r="AI14" i="75"/>
  <c r="AI13" i="76" s="1"/>
  <c r="AI123" i="76" s="1"/>
  <c r="AI400" i="75"/>
  <c r="AI315" i="75"/>
  <c r="AI378" i="76" s="1"/>
  <c r="AI322" i="75"/>
  <c r="AI302" i="75"/>
  <c r="AI301" i="75"/>
  <c r="AI292" i="75"/>
  <c r="AI288" i="75"/>
  <c r="AI274" i="75"/>
  <c r="AI267" i="75"/>
  <c r="AI215" i="75"/>
  <c r="AI216" i="75"/>
  <c r="AI366" i="76" s="1"/>
  <c r="AI193" i="75"/>
  <c r="AI196" i="75"/>
  <c r="AI346" i="76" s="1"/>
  <c r="AI184" i="75"/>
  <c r="AI188" i="75"/>
  <c r="AI338" i="76" s="1"/>
  <c r="AI90" i="75"/>
  <c r="AI102" i="75"/>
  <c r="AI61" i="75"/>
  <c r="AI76" i="75"/>
  <c r="AI82" i="75"/>
  <c r="AI51" i="75"/>
  <c r="AI50" i="76" s="1"/>
  <c r="AI160" i="76" s="1"/>
  <c r="AI52" i="75"/>
  <c r="AI51" i="76" s="1"/>
  <c r="AI161" i="76" s="1"/>
  <c r="AI31" i="75"/>
  <c r="AI30" i="76" s="1"/>
  <c r="AI140" i="76" s="1"/>
  <c r="AI15" i="75"/>
  <c r="AI14" i="76" s="1"/>
  <c r="AI124" i="76" s="1"/>
  <c r="AI32" i="75"/>
  <c r="AI31" i="76" s="1"/>
  <c r="AI141" i="76" s="1"/>
  <c r="AI16" i="75"/>
  <c r="AI15" i="76" s="1"/>
  <c r="AI125" i="76" s="1"/>
  <c r="AI395" i="75"/>
  <c r="AI308" i="75"/>
  <c r="AI299" i="75"/>
  <c r="AI290" i="75"/>
  <c r="AI286" i="75"/>
  <c r="AI272" i="75"/>
  <c r="AI213" i="75"/>
  <c r="AI363" i="76" s="1"/>
  <c r="AI191" i="75"/>
  <c r="AI341" i="76" s="1"/>
  <c r="AI88" i="75"/>
  <c r="AI72" i="75"/>
  <c r="AI49" i="75"/>
  <c r="AI48" i="76" s="1"/>
  <c r="AI158" i="76" s="1"/>
  <c r="AI30" i="75"/>
  <c r="AI29" i="76" s="1"/>
  <c r="AI139" i="76" s="1"/>
  <c r="AI403" i="75"/>
  <c r="AI398" i="75"/>
  <c r="AI328" i="75"/>
  <c r="AI391" i="76" s="1"/>
  <c r="AI311" i="75"/>
  <c r="AI374" i="76" s="1"/>
  <c r="AI298" i="75"/>
  <c r="AI295" i="75"/>
  <c r="AI287" i="75"/>
  <c r="AI284" i="75"/>
  <c r="AI270" i="75"/>
  <c r="AI263" i="75"/>
  <c r="AI211" i="75"/>
  <c r="AI212" i="75"/>
  <c r="AI189" i="75"/>
  <c r="AI192" i="75"/>
  <c r="AI180" i="75"/>
  <c r="AI330" i="76" s="1"/>
  <c r="AI183" i="75"/>
  <c r="AI171" i="75"/>
  <c r="AI84" i="75"/>
  <c r="AI81" i="75"/>
  <c r="AI73" i="75"/>
  <c r="AI55" i="75"/>
  <c r="AI54" i="76" s="1"/>
  <c r="AI164" i="76" s="1"/>
  <c r="AI47" i="75"/>
  <c r="AI46" i="76" s="1"/>
  <c r="AI156" i="76" s="1"/>
  <c r="AI48" i="75"/>
  <c r="AI47" i="76" s="1"/>
  <c r="AI157" i="76" s="1"/>
  <c r="AI27" i="75"/>
  <c r="AI26" i="76" s="1"/>
  <c r="AI136" i="76" s="1"/>
  <c r="AI11" i="75"/>
  <c r="AI10" i="76" s="1"/>
  <c r="AI120" i="76" s="1"/>
  <c r="AI28" i="75"/>
  <c r="AI27" i="76" s="1"/>
  <c r="AI137" i="76" s="1"/>
  <c r="AI12" i="75"/>
  <c r="AI11" i="76" s="1"/>
  <c r="AI121" i="76" s="1"/>
  <c r="AI1" i="76"/>
  <c r="F291" i="71"/>
  <c r="F303" i="71" s="1"/>
  <c r="F311" i="71" s="1"/>
  <c r="F292" i="71"/>
  <c r="F293" i="71"/>
  <c r="F315" i="71"/>
  <c r="F290" i="71"/>
  <c r="F314" i="71"/>
  <c r="F279" i="71"/>
  <c r="F302" i="71" s="1"/>
  <c r="F310" i="71" s="1"/>
  <c r="F280" i="71"/>
  <c r="F281" i="71"/>
  <c r="F278" i="71"/>
  <c r="H286" i="71" a="1"/>
  <c r="H286" i="71" s="1"/>
  <c r="I286" i="71" s="1" a="1"/>
  <c r="I286" i="71" s="1"/>
  <c r="I287" i="71" s="1"/>
  <c r="BB270" i="70"/>
  <c r="BB271" i="70" s="1"/>
  <c r="E297" i="70" s="1"/>
  <c r="Z107" i="75" s="1"/>
  <c r="M296" i="70"/>
  <c r="N109" i="75" s="1"/>
  <c r="N105" i="75" s="1"/>
  <c r="AE403" i="75"/>
  <c r="AE334" i="75"/>
  <c r="AE397" i="76" s="1"/>
  <c r="AE314" i="75"/>
  <c r="AE377" i="76" s="1"/>
  <c r="AE307" i="75"/>
  <c r="AE308" i="75"/>
  <c r="AE293" i="75"/>
  <c r="AE289" i="75"/>
  <c r="AE286" i="75"/>
  <c r="AE270" i="75"/>
  <c r="AE216" i="75"/>
  <c r="AE259" i="75"/>
  <c r="AE198" i="75"/>
  <c r="AE197" i="75"/>
  <c r="AE183" i="75"/>
  <c r="AE189" i="75"/>
  <c r="AE182" i="75"/>
  <c r="AE88" i="75"/>
  <c r="AE64" i="75"/>
  <c r="AE78" i="75"/>
  <c r="AE72" i="75"/>
  <c r="AE48" i="75"/>
  <c r="AE47" i="76" s="1"/>
  <c r="AE157" i="76" s="1"/>
  <c r="AE53" i="75"/>
  <c r="AE52" i="76" s="1"/>
  <c r="AE162" i="76" s="1"/>
  <c r="AE28" i="75"/>
  <c r="AE27" i="76" s="1"/>
  <c r="AE137" i="76" s="1"/>
  <c r="AE12" i="75"/>
  <c r="AE11" i="76" s="1"/>
  <c r="AE121" i="76" s="1"/>
  <c r="AE29" i="75"/>
  <c r="AE28" i="76" s="1"/>
  <c r="AE138" i="76" s="1"/>
  <c r="AE13" i="75"/>
  <c r="AE12" i="76" s="1"/>
  <c r="AE122" i="76" s="1"/>
  <c r="AE184" i="75"/>
  <c r="AE401" i="75"/>
  <c r="AE316" i="75"/>
  <c r="AE379" i="76" s="1"/>
  <c r="AE313" i="75"/>
  <c r="AE376" i="76" s="1"/>
  <c r="AE305" i="75"/>
  <c r="AE302" i="75"/>
  <c r="AE296" i="75"/>
  <c r="AE287" i="75"/>
  <c r="AE275" i="75"/>
  <c r="AE268" i="75"/>
  <c r="AE214" i="75"/>
  <c r="AE217" i="75"/>
  <c r="AE196" i="75"/>
  <c r="AE195" i="75"/>
  <c r="AE181" i="75"/>
  <c r="AE186" i="75"/>
  <c r="AE174" i="75"/>
  <c r="AE103" i="75"/>
  <c r="AE62" i="75"/>
  <c r="AE77" i="75"/>
  <c r="AE66" i="75"/>
  <c r="AE46" i="75"/>
  <c r="AE45" i="76" s="1"/>
  <c r="AE155" i="76" s="1"/>
  <c r="AE51" i="75"/>
  <c r="AE50" i="76" s="1"/>
  <c r="AE160" i="76" s="1"/>
  <c r="AE26" i="75"/>
  <c r="AE25" i="76" s="1"/>
  <c r="AE135" i="76" s="1"/>
  <c r="AE10" i="75"/>
  <c r="AE9" i="76" s="1"/>
  <c r="AE119" i="76" s="1"/>
  <c r="AE27" i="75"/>
  <c r="AE26" i="76" s="1"/>
  <c r="AE136" i="76" s="1"/>
  <c r="AE11" i="75"/>
  <c r="AE10" i="76" s="1"/>
  <c r="AE120" i="76" s="1"/>
  <c r="AE399" i="75"/>
  <c r="AE330" i="75"/>
  <c r="AE393" i="76" s="1"/>
  <c r="AE311" i="75"/>
  <c r="AE374" i="76" s="1"/>
  <c r="AE303" i="75"/>
  <c r="AE300" i="75"/>
  <c r="AE291" i="75"/>
  <c r="AE288" i="75"/>
  <c r="AE273" i="75"/>
  <c r="AE266" i="75"/>
  <c r="AE212" i="75"/>
  <c r="AE194" i="75"/>
  <c r="AE193" i="75"/>
  <c r="AE104" i="75"/>
  <c r="AE74" i="75"/>
  <c r="AE49" i="75"/>
  <c r="AE48" i="76" s="1"/>
  <c r="AE158" i="76" s="1"/>
  <c r="AE40" i="75"/>
  <c r="AE39" i="76" s="1"/>
  <c r="AE149" i="76" s="1"/>
  <c r="AE404" i="75"/>
  <c r="AE397" i="75"/>
  <c r="AE335" i="75"/>
  <c r="AE398" i="76" s="1"/>
  <c r="AE309" i="75"/>
  <c r="AE301" i="75"/>
  <c r="AE298" i="75"/>
  <c r="AE284" i="75"/>
  <c r="AE285" i="75"/>
  <c r="AE271" i="75"/>
  <c r="AE264" i="75"/>
  <c r="AE210" i="75"/>
  <c r="AE215" i="75"/>
  <c r="AE192" i="75"/>
  <c r="AE205" i="75"/>
  <c r="AE177" i="75"/>
  <c r="AE188" i="75"/>
  <c r="AE89" i="75"/>
  <c r="AE80" i="75"/>
  <c r="AE82" i="75"/>
  <c r="AE65" i="75"/>
  <c r="AE70" i="75"/>
  <c r="AE60" i="75"/>
  <c r="AE47" i="75"/>
  <c r="AE46" i="76" s="1"/>
  <c r="AE156" i="76" s="1"/>
  <c r="AE22" i="75"/>
  <c r="AE21" i="76" s="1"/>
  <c r="AE131" i="76" s="1"/>
  <c r="AE39" i="75"/>
  <c r="AE38" i="76" s="1"/>
  <c r="AE148" i="76" s="1"/>
  <c r="AE23" i="75"/>
  <c r="AE22" i="76" s="1"/>
  <c r="AE132" i="76" s="1"/>
  <c r="AE43" i="75"/>
  <c r="AE42" i="76" s="1"/>
  <c r="AE152" i="76" s="1"/>
  <c r="AE90" i="75"/>
  <c r="AE37" i="75"/>
  <c r="AE36" i="76" s="1"/>
  <c r="AE146" i="76" s="1"/>
  <c r="AE218" i="75"/>
  <c r="AE83" i="75"/>
  <c r="AE58" i="75"/>
  <c r="AE24" i="75"/>
  <c r="AE23" i="76" s="1"/>
  <c r="AE133" i="76" s="1"/>
  <c r="AE9" i="75"/>
  <c r="AE402" i="75"/>
  <c r="AE396" i="75"/>
  <c r="AE326" i="75"/>
  <c r="AE389" i="76" s="1"/>
  <c r="AE328" i="75"/>
  <c r="AE391" i="76" s="1"/>
  <c r="AE299" i="75"/>
  <c r="AE294" i="75"/>
  <c r="AE282" i="75"/>
  <c r="AE283" i="75"/>
  <c r="AE269" i="75"/>
  <c r="AE262" i="75"/>
  <c r="AE208" i="75"/>
  <c r="AE213" i="75"/>
  <c r="AE363" i="76" s="1"/>
  <c r="AE190" i="75"/>
  <c r="AE204" i="75"/>
  <c r="AE175" i="75"/>
  <c r="AE180" i="75"/>
  <c r="AE172" i="75"/>
  <c r="AE322" i="76" s="1"/>
  <c r="AE79" i="75"/>
  <c r="AE71" i="75"/>
  <c r="AE63" i="75"/>
  <c r="AE57" i="75"/>
  <c r="AE59" i="75"/>
  <c r="AE45" i="75"/>
  <c r="AE44" i="76" s="1"/>
  <c r="AE20" i="75"/>
  <c r="AE19" i="76" s="1"/>
  <c r="AE129" i="76" s="1"/>
  <c r="AE36" i="75"/>
  <c r="AE21" i="75"/>
  <c r="AE20" i="76" s="1"/>
  <c r="AE130" i="76" s="1"/>
  <c r="AE42" i="75"/>
  <c r="AE41" i="76" s="1"/>
  <c r="AE151" i="76" s="1"/>
  <c r="AE81" i="75"/>
  <c r="AE400" i="75"/>
  <c r="AE395" i="75"/>
  <c r="AE322" i="75"/>
  <c r="AE312" i="75"/>
  <c r="AE375" i="76" s="1"/>
  <c r="AE297" i="75"/>
  <c r="AE292" i="75"/>
  <c r="AE280" i="75"/>
  <c r="AE281" i="75"/>
  <c r="AE267" i="75"/>
  <c r="AE260" i="75"/>
  <c r="AE206" i="75"/>
  <c r="AE356" i="76" s="1"/>
  <c r="AE211" i="75"/>
  <c r="AE203" i="75"/>
  <c r="AE353" i="76" s="1"/>
  <c r="AE202" i="75"/>
  <c r="AE173" i="75"/>
  <c r="AE178" i="75"/>
  <c r="AE102" i="75"/>
  <c r="AE76" i="75"/>
  <c r="AE86" i="75"/>
  <c r="AE61" i="75"/>
  <c r="AE54" i="75"/>
  <c r="AE53" i="76" s="1"/>
  <c r="AE163" i="76" s="1"/>
  <c r="AE55" i="75"/>
  <c r="AE54" i="76" s="1"/>
  <c r="AE164" i="76" s="1"/>
  <c r="AE34" i="75"/>
  <c r="AE33" i="76" s="1"/>
  <c r="AE143" i="76" s="1"/>
  <c r="AE18" i="75"/>
  <c r="AE17" i="76" s="1"/>
  <c r="AE127" i="76" s="1"/>
  <c r="AE35" i="75"/>
  <c r="AE34" i="76" s="1"/>
  <c r="AE144" i="76" s="1"/>
  <c r="AE19" i="75"/>
  <c r="AE18" i="76" s="1"/>
  <c r="AE128" i="76" s="1"/>
  <c r="AE41" i="75"/>
  <c r="AE40" i="76" s="1"/>
  <c r="AE150" i="76" s="1"/>
  <c r="AE405" i="75"/>
  <c r="AE332" i="75"/>
  <c r="AE395" i="76" s="1"/>
  <c r="AE304" i="75"/>
  <c r="AE276" i="75"/>
  <c r="AE272" i="75"/>
  <c r="AE261" i="75"/>
  <c r="AE187" i="75"/>
  <c r="AE176" i="75"/>
  <c r="AE67" i="75"/>
  <c r="AE56" i="75"/>
  <c r="AE55" i="76" s="1"/>
  <c r="AE165" i="76" s="1"/>
  <c r="AE14" i="75"/>
  <c r="AE13" i="76" s="1"/>
  <c r="AE123" i="76" s="1"/>
  <c r="AE15" i="75"/>
  <c r="AE14" i="76" s="1"/>
  <c r="AE124" i="76" s="1"/>
  <c r="AE179" i="75"/>
  <c r="AE44" i="75"/>
  <c r="AE43" i="76" s="1"/>
  <c r="AE153" i="76" s="1"/>
  <c r="AE25" i="75"/>
  <c r="AE24" i="76" s="1"/>
  <c r="AE134" i="76" s="1"/>
  <c r="AE398" i="75"/>
  <c r="AE337" i="75"/>
  <c r="AE400" i="76" s="1"/>
  <c r="AE336" i="75"/>
  <c r="AE399" i="76" s="1"/>
  <c r="AE310" i="75"/>
  <c r="AE373" i="76" s="1"/>
  <c r="AE306" i="75"/>
  <c r="AE290" i="75"/>
  <c r="AE278" i="75"/>
  <c r="AE279" i="75"/>
  <c r="AE274" i="75"/>
  <c r="AE258" i="75"/>
  <c r="AE263" i="75"/>
  <c r="AE209" i="75"/>
  <c r="AE359" i="76" s="1"/>
  <c r="AE201" i="75"/>
  <c r="AE351" i="76" s="1"/>
  <c r="AE200" i="75"/>
  <c r="AE350" i="76" s="1"/>
  <c r="AE171" i="75"/>
  <c r="AE185" i="75"/>
  <c r="AE87" i="75"/>
  <c r="AE75" i="75"/>
  <c r="AE69" i="75"/>
  <c r="AE85" i="75"/>
  <c r="AE52" i="75"/>
  <c r="AE51" i="76" s="1"/>
  <c r="AE161" i="76" s="1"/>
  <c r="AE68" i="75"/>
  <c r="AE32" i="75"/>
  <c r="AE31" i="76" s="1"/>
  <c r="AE141" i="76" s="1"/>
  <c r="AE16" i="75"/>
  <c r="AE15" i="76" s="1"/>
  <c r="AE125" i="76" s="1"/>
  <c r="AE33" i="75"/>
  <c r="AE32" i="76" s="1"/>
  <c r="AE142" i="76" s="1"/>
  <c r="AE17" i="75"/>
  <c r="AE16" i="76" s="1"/>
  <c r="AE126" i="76" s="1"/>
  <c r="AE38" i="75"/>
  <c r="AE37" i="76" s="1"/>
  <c r="AE147" i="76" s="1"/>
  <c r="AE315" i="75"/>
  <c r="AE378" i="76" s="1"/>
  <c r="AE324" i="75"/>
  <c r="AE387" i="76" s="1"/>
  <c r="AE295" i="75"/>
  <c r="AE277" i="75"/>
  <c r="AE265" i="75"/>
  <c r="AE207" i="75"/>
  <c r="AE199" i="75"/>
  <c r="AE191" i="75"/>
  <c r="AE341" i="76" s="1"/>
  <c r="AE73" i="75"/>
  <c r="AE50" i="75"/>
  <c r="AE49" i="76" s="1"/>
  <c r="AE159" i="76" s="1"/>
  <c r="AE30" i="75"/>
  <c r="AE29" i="76" s="1"/>
  <c r="AE139" i="76" s="1"/>
  <c r="AE31" i="75"/>
  <c r="AE30" i="76" s="1"/>
  <c r="AE140" i="76" s="1"/>
  <c r="AE84" i="75"/>
  <c r="AE1" i="76"/>
  <c r="G298" i="71"/>
  <c r="AK4" i="75" s="1"/>
  <c r="AK4" i="76" s="1"/>
  <c r="G253" i="71"/>
  <c r="BA301" i="70"/>
  <c r="BA309" i="70" s="1"/>
  <c r="BA305" i="71"/>
  <c r="F262" i="71" a="1"/>
  <c r="F262" i="71" s="1"/>
  <c r="F263" i="71" s="1"/>
  <c r="HR11" i="71" s="1"/>
  <c r="E263" i="71"/>
  <c r="HR10" i="71" s="1"/>
  <c r="BB301" i="70"/>
  <c r="BB305" i="71"/>
  <c r="G275" i="71"/>
  <c r="HV12" i="71" s="1"/>
  <c r="J274" i="71" l="1" a="1"/>
  <c r="J274" i="71" s="1"/>
  <c r="AI339" i="76"/>
  <c r="AI364" i="76"/>
  <c r="AI322" i="76"/>
  <c r="F282" i="71"/>
  <c r="F283" i="71" s="1"/>
  <c r="AI362" i="76"/>
  <c r="AI365" i="76"/>
  <c r="AI345" i="76"/>
  <c r="AI340" i="76"/>
  <c r="AI331" i="76"/>
  <c r="AE331" i="76"/>
  <c r="AI334" i="76"/>
  <c r="HN14" i="71"/>
  <c r="E279" i="71"/>
  <c r="E302" i="71" s="1"/>
  <c r="E280" i="71"/>
  <c r="E281" i="71"/>
  <c r="E314" i="71"/>
  <c r="AI367" i="76"/>
  <c r="AE349" i="76"/>
  <c r="AE335" i="76"/>
  <c r="AE354" i="76"/>
  <c r="AE338" i="76"/>
  <c r="AE364" i="76"/>
  <c r="AE361" i="76"/>
  <c r="AE330" i="76"/>
  <c r="AE362" i="76"/>
  <c r="AE339" i="76"/>
  <c r="AE357" i="76"/>
  <c r="AE326" i="76"/>
  <c r="AE325" i="76"/>
  <c r="AE367" i="76"/>
  <c r="AE333" i="76"/>
  <c r="BB310" i="70"/>
  <c r="G296" i="70"/>
  <c r="F294" i="71"/>
  <c r="F295" i="71" s="1"/>
  <c r="AI337" i="76"/>
  <c r="AI335" i="76"/>
  <c r="AI325" i="76"/>
  <c r="AE365" i="76"/>
  <c r="AE343" i="76"/>
  <c r="AI428" i="75"/>
  <c r="AI430" i="75" s="1"/>
  <c r="AI431" i="75" s="1"/>
  <c r="AI98" i="75" s="1"/>
  <c r="AE344" i="76"/>
  <c r="AI353" i="76"/>
  <c r="AE337" i="76"/>
  <c r="AE428" i="75"/>
  <c r="AE430" i="75" s="1"/>
  <c r="AE431" i="75" s="1"/>
  <c r="AE98" i="75" s="1"/>
  <c r="AE347" i="76"/>
  <c r="AI361" i="76"/>
  <c r="AI355" i="76"/>
  <c r="AI326" i="76"/>
  <c r="AI344" i="76"/>
  <c r="AI66" i="76"/>
  <c r="AI176" i="76"/>
  <c r="AI354" i="76"/>
  <c r="E294" i="71"/>
  <c r="E295" i="71" s="1"/>
  <c r="E310" i="71"/>
  <c r="IA12" i="71"/>
  <c r="IH12" i="71"/>
  <c r="IB12" i="71"/>
  <c r="G288" i="71"/>
  <c r="G289" i="71" s="1"/>
  <c r="AE251" i="75"/>
  <c r="AE254" i="75" s="1"/>
  <c r="AE255" i="75" s="1"/>
  <c r="AE321" i="76"/>
  <c r="AE92" i="75"/>
  <c r="AE166" i="76"/>
  <c r="AE56" i="76"/>
  <c r="AE340" i="76"/>
  <c r="AE327" i="76"/>
  <c r="AI347" i="76"/>
  <c r="AI323" i="76"/>
  <c r="AI351" i="76"/>
  <c r="AI360" i="76"/>
  <c r="J251" i="71"/>
  <c r="HN15" i="71" s="1"/>
  <c r="K250" i="71" a="1"/>
  <c r="K250" i="71" s="1"/>
  <c r="BB309" i="70"/>
  <c r="G297" i="70"/>
  <c r="G262" i="71" a="1"/>
  <c r="G262" i="71" s="1"/>
  <c r="AE93" i="75"/>
  <c r="AE329" i="76"/>
  <c r="AE328" i="76"/>
  <c r="AE368" i="76"/>
  <c r="AE355" i="76"/>
  <c r="AE324" i="76"/>
  <c r="AE334" i="76"/>
  <c r="AI251" i="75"/>
  <c r="AI254" i="75" s="1"/>
  <c r="AI255" i="75" s="1"/>
  <c r="AI321" i="76"/>
  <c r="AI340" i="75"/>
  <c r="AI332" i="76"/>
  <c r="AI352" i="76"/>
  <c r="AI69" i="76"/>
  <c r="AI179" i="76"/>
  <c r="HS10" i="71"/>
  <c r="E264" i="71"/>
  <c r="E265" i="71" s="1"/>
  <c r="IF10" i="71"/>
  <c r="HT10" i="71"/>
  <c r="AM1" i="75"/>
  <c r="G256" i="71"/>
  <c r="G254" i="71"/>
  <c r="G255" i="71"/>
  <c r="G300" i="71" s="1"/>
  <c r="G308" i="71" s="1"/>
  <c r="G257" i="71"/>
  <c r="G312" i="71"/>
  <c r="G299" i="71"/>
  <c r="AK5" i="75" s="1"/>
  <c r="AE341" i="75"/>
  <c r="AE369" i="76"/>
  <c r="AE323" i="76"/>
  <c r="AE70" i="76"/>
  <c r="AE180" i="76"/>
  <c r="AE358" i="76"/>
  <c r="AE179" i="76"/>
  <c r="AE69" i="76"/>
  <c r="AE342" i="76"/>
  <c r="AE336" i="76"/>
  <c r="AE366" i="76"/>
  <c r="AI333" i="76"/>
  <c r="AI92" i="75"/>
  <c r="AI56" i="76"/>
  <c r="AI166" i="76"/>
  <c r="AI349" i="76"/>
  <c r="AI358" i="76"/>
  <c r="K274" i="71" a="1"/>
  <c r="K274" i="71" s="1"/>
  <c r="J275" i="71"/>
  <c r="G276" i="71"/>
  <c r="G277" i="71" s="1"/>
  <c r="HX12" i="71"/>
  <c r="IG12" i="71"/>
  <c r="HW12" i="71"/>
  <c r="F264" i="71"/>
  <c r="F265" i="71" s="1"/>
  <c r="IF11" i="71"/>
  <c r="HS11" i="71"/>
  <c r="HT11" i="71"/>
  <c r="AE71" i="76"/>
  <c r="AE181" i="76"/>
  <c r="AE352" i="76"/>
  <c r="AI350" i="76"/>
  <c r="AI93" i="75"/>
  <c r="AI357" i="76"/>
  <c r="AI91" i="75"/>
  <c r="AI8" i="76"/>
  <c r="AI118" i="76" s="1"/>
  <c r="H298" i="71"/>
  <c r="AO4" i="75" s="1"/>
  <c r="AO4" i="76" s="1"/>
  <c r="H253" i="71"/>
  <c r="AE68" i="76"/>
  <c r="AE178" i="76"/>
  <c r="AE360" i="76"/>
  <c r="AE345" i="76"/>
  <c r="AE332" i="76"/>
  <c r="N107" i="75"/>
  <c r="O106" i="75"/>
  <c r="Z108" i="75"/>
  <c r="Z109" i="75"/>
  <c r="AI342" i="76"/>
  <c r="AI343" i="76"/>
  <c r="AI329" i="76"/>
  <c r="AI70" i="76"/>
  <c r="AI180" i="76"/>
  <c r="AI356" i="76"/>
  <c r="I252" i="71"/>
  <c r="HO14" i="71"/>
  <c r="HP14" i="71"/>
  <c r="IE14" i="71"/>
  <c r="M297" i="70"/>
  <c r="V108" i="75" s="1"/>
  <c r="V105" i="75" s="1"/>
  <c r="AE340" i="75"/>
  <c r="AE176" i="76"/>
  <c r="AE66" i="76"/>
  <c r="AE170" i="76"/>
  <c r="AE60" i="76"/>
  <c r="AE91" i="75"/>
  <c r="AE94" i="75" s="1"/>
  <c r="AE8" i="76"/>
  <c r="AE118" i="76" s="1"/>
  <c r="AE65" i="76"/>
  <c r="AE175" i="76"/>
  <c r="AE346" i="76"/>
  <c r="HV13" i="71"/>
  <c r="H287" i="71"/>
  <c r="HZ13" i="71" s="1"/>
  <c r="HZ14" i="71" s="1"/>
  <c r="J286" i="71" a="1"/>
  <c r="J286" i="71" s="1"/>
  <c r="AI342" i="75"/>
  <c r="AI385" i="76"/>
  <c r="AI175" i="76"/>
  <c r="AI65" i="76"/>
  <c r="AI328" i="76"/>
  <c r="AE371" i="76"/>
  <c r="AE67" i="76"/>
  <c r="AE370" i="76"/>
  <c r="AE59" i="76"/>
  <c r="AE348" i="76"/>
  <c r="AE58" i="76"/>
  <c r="AE405" i="76"/>
  <c r="AE177" i="76"/>
  <c r="AE404" i="76"/>
  <c r="AE35" i="76"/>
  <c r="AE403" i="76"/>
  <c r="AE169" i="76"/>
  <c r="AE145" i="76"/>
  <c r="AE57" i="76"/>
  <c r="AE402" i="76"/>
  <c r="AE167" i="76"/>
  <c r="AE372" i="76"/>
  <c r="AE168" i="76"/>
  <c r="AE342" i="75"/>
  <c r="AE385" i="76"/>
  <c r="AE154" i="76"/>
  <c r="AE89" i="76"/>
  <c r="AI371" i="76"/>
  <c r="AI58" i="76"/>
  <c r="AI405" i="76"/>
  <c r="AI177" i="76"/>
  <c r="AI35" i="76"/>
  <c r="AI404" i="76"/>
  <c r="AI168" i="76"/>
  <c r="AI403" i="76"/>
  <c r="AI167" i="76"/>
  <c r="AI402" i="76"/>
  <c r="AI169" i="76"/>
  <c r="AI372" i="76"/>
  <c r="AI145" i="76"/>
  <c r="AI57" i="76"/>
  <c r="AI370" i="76"/>
  <c r="AI67" i="76"/>
  <c r="AI348" i="76"/>
  <c r="AI59" i="76"/>
  <c r="AI181" i="76"/>
  <c r="AI71" i="76"/>
  <c r="AI170" i="76"/>
  <c r="AI60" i="76"/>
  <c r="AI341" i="75"/>
  <c r="AI369" i="76"/>
  <c r="AI68" i="76"/>
  <c r="AI178" i="76"/>
  <c r="AI89" i="76"/>
  <c r="AI154" i="76"/>
  <c r="E282" i="71" l="1"/>
  <c r="E283" i="71" s="1"/>
  <c r="AI94" i="75"/>
  <c r="AE91" i="76"/>
  <c r="AE198" i="76"/>
  <c r="K296" i="70"/>
  <c r="R104" i="75" s="1"/>
  <c r="R105" i="75" s="1"/>
  <c r="R102" i="75"/>
  <c r="I296" i="70"/>
  <c r="R103" i="75" s="1"/>
  <c r="AE201" i="76"/>
  <c r="G258" i="71"/>
  <c r="G259" i="71" s="1"/>
  <c r="IB13" i="71"/>
  <c r="IH13" i="71"/>
  <c r="IA13" i="71"/>
  <c r="H288" i="71"/>
  <c r="H289" i="71" s="1"/>
  <c r="HW13" i="71"/>
  <c r="IG13" i="71"/>
  <c r="H276" i="71"/>
  <c r="H277" i="71" s="1"/>
  <c r="HX13" i="71"/>
  <c r="AI96" i="75"/>
  <c r="AI95" i="75"/>
  <c r="G281" i="71"/>
  <c r="G278" i="71"/>
  <c r="G279" i="71"/>
  <c r="G302" i="71" s="1"/>
  <c r="G280" i="71"/>
  <c r="G314" i="71"/>
  <c r="G263" i="71"/>
  <c r="HR12" i="71" s="1"/>
  <c r="H262" i="71" a="1"/>
  <c r="H262" i="71" s="1"/>
  <c r="AI91" i="76"/>
  <c r="AE88" i="76"/>
  <c r="AM401" i="75"/>
  <c r="AM334" i="75"/>
  <c r="AM397" i="76" s="1"/>
  <c r="AM328" i="75"/>
  <c r="AM391" i="76" s="1"/>
  <c r="AM307" i="75"/>
  <c r="AM302" i="75"/>
  <c r="AM295" i="75"/>
  <c r="AM276" i="75"/>
  <c r="AM273" i="75"/>
  <c r="AM268" i="75"/>
  <c r="AM214" i="75"/>
  <c r="AM263" i="75"/>
  <c r="AM198" i="75"/>
  <c r="AM197" i="75"/>
  <c r="AM181" i="75"/>
  <c r="AM331" i="76" s="1"/>
  <c r="AM184" i="75"/>
  <c r="AM174" i="75"/>
  <c r="AM88" i="75"/>
  <c r="AM62" i="75"/>
  <c r="AM77" i="75"/>
  <c r="AM66" i="75"/>
  <c r="AM46" i="75"/>
  <c r="AM45" i="76" s="1"/>
  <c r="AM155" i="76" s="1"/>
  <c r="AM51" i="75"/>
  <c r="AM50" i="76" s="1"/>
  <c r="AM160" i="76" s="1"/>
  <c r="AM26" i="75"/>
  <c r="AM25" i="76" s="1"/>
  <c r="AM135" i="76" s="1"/>
  <c r="AM10" i="75"/>
  <c r="AM9" i="76" s="1"/>
  <c r="AM119" i="76" s="1"/>
  <c r="AM31" i="75"/>
  <c r="AM30" i="76" s="1"/>
  <c r="AM140" i="76" s="1"/>
  <c r="AM15" i="75"/>
  <c r="AM14" i="76" s="1"/>
  <c r="AM124" i="76" s="1"/>
  <c r="AM55" i="75"/>
  <c r="AM54" i="76" s="1"/>
  <c r="AM164" i="76" s="1"/>
  <c r="AM9" i="75"/>
  <c r="AM207" i="75"/>
  <c r="AM73" i="75"/>
  <c r="AM50" i="75"/>
  <c r="AM49" i="76" s="1"/>
  <c r="AM159" i="76" s="1"/>
  <c r="AM35" i="75"/>
  <c r="AM34" i="76" s="1"/>
  <c r="AM144" i="76" s="1"/>
  <c r="AM399" i="75"/>
  <c r="AM316" i="75"/>
  <c r="AM379" i="76" s="1"/>
  <c r="AM313" i="75"/>
  <c r="AM376" i="76" s="1"/>
  <c r="AM303" i="75"/>
  <c r="AM300" i="75"/>
  <c r="AM291" i="75"/>
  <c r="AM285" i="75"/>
  <c r="AM271" i="75"/>
  <c r="AM266" i="75"/>
  <c r="AM212" i="75"/>
  <c r="AM218" i="75"/>
  <c r="AM196" i="75"/>
  <c r="AM195" i="75"/>
  <c r="AM179" i="75"/>
  <c r="AM329" i="76" s="1"/>
  <c r="AM191" i="75"/>
  <c r="AM180" i="75"/>
  <c r="AM86" i="75"/>
  <c r="AM71" i="75"/>
  <c r="AM74" i="75"/>
  <c r="AM60" i="75"/>
  <c r="AM44" i="75"/>
  <c r="AM43" i="76" s="1"/>
  <c r="AM153" i="76" s="1"/>
  <c r="AM49" i="75"/>
  <c r="AM48" i="76" s="1"/>
  <c r="AM158" i="76" s="1"/>
  <c r="AM24" i="75"/>
  <c r="AM23" i="76" s="1"/>
  <c r="AM133" i="76" s="1"/>
  <c r="AM38" i="75"/>
  <c r="AM37" i="76" s="1"/>
  <c r="AM147" i="76" s="1"/>
  <c r="AM29" i="75"/>
  <c r="AM28" i="76" s="1"/>
  <c r="AM138" i="76" s="1"/>
  <c r="AM13" i="75"/>
  <c r="AM12" i="76" s="1"/>
  <c r="AM122" i="76" s="1"/>
  <c r="AM20" i="75"/>
  <c r="AM19" i="76" s="1"/>
  <c r="AM129" i="76" s="1"/>
  <c r="AM25" i="75"/>
  <c r="AM24" i="76" s="1"/>
  <c r="AM134" i="76" s="1"/>
  <c r="AM405" i="75"/>
  <c r="AM259" i="75"/>
  <c r="AM172" i="75"/>
  <c r="AM82" i="75"/>
  <c r="AM56" i="75"/>
  <c r="AM55" i="76" s="1"/>
  <c r="AM165" i="76" s="1"/>
  <c r="AM19" i="75"/>
  <c r="AM18" i="76" s="1"/>
  <c r="AM128" i="76" s="1"/>
  <c r="AM404" i="75"/>
  <c r="AM396" i="75"/>
  <c r="AM330" i="75"/>
  <c r="AM393" i="76" s="1"/>
  <c r="AM309" i="75"/>
  <c r="AM301" i="75"/>
  <c r="AM296" i="75"/>
  <c r="AM289" i="75"/>
  <c r="AM283" i="75"/>
  <c r="AM269" i="75"/>
  <c r="AM264" i="75"/>
  <c r="AM210" i="75"/>
  <c r="AM215" i="75"/>
  <c r="AM194" i="75"/>
  <c r="AM193" i="75"/>
  <c r="AM177" i="75"/>
  <c r="AM189" i="75"/>
  <c r="AM89" i="75"/>
  <c r="AM80" i="75"/>
  <c r="AM85" i="75"/>
  <c r="AM65" i="75"/>
  <c r="AM70" i="75"/>
  <c r="AM57" i="75"/>
  <c r="AM47" i="75"/>
  <c r="AM46" i="76" s="1"/>
  <c r="AM156" i="76" s="1"/>
  <c r="AM22" i="75"/>
  <c r="AM21" i="76" s="1"/>
  <c r="AM131" i="76" s="1"/>
  <c r="AM37" i="75"/>
  <c r="AM36" i="76" s="1"/>
  <c r="AM146" i="76" s="1"/>
  <c r="AM27" i="75"/>
  <c r="AM26" i="76" s="1"/>
  <c r="AM136" i="76" s="1"/>
  <c r="AM11" i="75"/>
  <c r="AM10" i="76" s="1"/>
  <c r="AM120" i="76" s="1"/>
  <c r="AM58" i="75"/>
  <c r="AM402" i="75"/>
  <c r="AM397" i="75"/>
  <c r="AM335" i="75"/>
  <c r="AM398" i="76" s="1"/>
  <c r="AM324" i="75"/>
  <c r="AM387" i="76" s="1"/>
  <c r="AM299" i="75"/>
  <c r="AM294" i="75"/>
  <c r="AM288" i="75"/>
  <c r="AM281" i="75"/>
  <c r="AM267" i="75"/>
  <c r="AM265" i="75"/>
  <c r="AM208" i="75"/>
  <c r="AM213" i="75"/>
  <c r="AM192" i="75"/>
  <c r="AM204" i="75"/>
  <c r="AM175" i="75"/>
  <c r="AM186" i="75"/>
  <c r="AM336" i="76" s="1"/>
  <c r="AM103" i="75"/>
  <c r="AM79" i="75"/>
  <c r="AM69" i="75"/>
  <c r="AM63" i="75"/>
  <c r="AM45" i="75"/>
  <c r="AM44" i="76" s="1"/>
  <c r="AM41" i="75"/>
  <c r="AM40" i="76" s="1"/>
  <c r="AM150" i="76" s="1"/>
  <c r="AM315" i="75"/>
  <c r="AM378" i="76" s="1"/>
  <c r="AM332" i="75"/>
  <c r="AM395" i="76" s="1"/>
  <c r="AM304" i="75"/>
  <c r="AM298" i="75"/>
  <c r="AM280" i="75"/>
  <c r="AM287" i="75"/>
  <c r="AM272" i="75"/>
  <c r="AM262" i="75"/>
  <c r="AM188" i="75"/>
  <c r="AM187" i="75"/>
  <c r="AM90" i="75"/>
  <c r="AM72" i="75"/>
  <c r="AM30" i="75"/>
  <c r="AM29" i="76" s="1"/>
  <c r="AM139" i="76" s="1"/>
  <c r="AM36" i="75"/>
  <c r="AM400" i="75"/>
  <c r="AM395" i="75"/>
  <c r="AM326" i="75"/>
  <c r="AM389" i="76" s="1"/>
  <c r="AM314" i="75"/>
  <c r="AM377" i="76" s="1"/>
  <c r="AM297" i="75"/>
  <c r="AM292" i="75"/>
  <c r="AM284" i="75"/>
  <c r="AM279" i="75"/>
  <c r="AM275" i="75"/>
  <c r="AM260" i="75"/>
  <c r="AM206" i="75"/>
  <c r="AM211" i="75"/>
  <c r="AM361" i="76" s="1"/>
  <c r="AM190" i="75"/>
  <c r="AM202" i="75"/>
  <c r="AM352" i="76" s="1"/>
  <c r="AM173" i="75"/>
  <c r="AM178" i="75"/>
  <c r="AM104" i="75"/>
  <c r="AM76" i="75"/>
  <c r="AM67" i="75"/>
  <c r="AM61" i="75"/>
  <c r="AM54" i="75"/>
  <c r="AM53" i="76" s="1"/>
  <c r="AM163" i="76" s="1"/>
  <c r="AM68" i="75"/>
  <c r="AM34" i="75"/>
  <c r="AM33" i="76" s="1"/>
  <c r="AM143" i="76" s="1"/>
  <c r="AM18" i="75"/>
  <c r="AM17" i="76" s="1"/>
  <c r="AM127" i="76" s="1"/>
  <c r="AM42" i="75"/>
  <c r="AM41" i="76" s="1"/>
  <c r="AM151" i="76" s="1"/>
  <c r="AM23" i="75"/>
  <c r="AM22" i="76" s="1"/>
  <c r="AM132" i="76" s="1"/>
  <c r="AM40" i="75"/>
  <c r="AM39" i="76" s="1"/>
  <c r="AM149" i="76" s="1"/>
  <c r="AM310" i="75"/>
  <c r="AM373" i="76" s="1"/>
  <c r="AM398" i="75"/>
  <c r="AM337" i="75"/>
  <c r="AM400" i="76" s="1"/>
  <c r="AM322" i="75"/>
  <c r="AM312" i="75"/>
  <c r="AM375" i="76" s="1"/>
  <c r="AM305" i="75"/>
  <c r="AM290" i="75"/>
  <c r="AM282" i="75"/>
  <c r="AM277" i="75"/>
  <c r="AM274" i="75"/>
  <c r="AM258" i="75"/>
  <c r="AM261" i="75"/>
  <c r="AM209" i="75"/>
  <c r="AM203" i="75"/>
  <c r="AM200" i="75"/>
  <c r="AM171" i="75"/>
  <c r="AM176" i="75"/>
  <c r="AM326" i="76" s="1"/>
  <c r="AM87" i="75"/>
  <c r="AM75" i="75"/>
  <c r="AM83" i="75"/>
  <c r="AM84" i="75"/>
  <c r="AM52" i="75"/>
  <c r="AM51" i="76" s="1"/>
  <c r="AM161" i="76" s="1"/>
  <c r="AM59" i="75"/>
  <c r="AM32" i="75"/>
  <c r="AM31" i="76" s="1"/>
  <c r="AM141" i="76" s="1"/>
  <c r="AM16" i="75"/>
  <c r="AM15" i="76" s="1"/>
  <c r="AM125" i="76" s="1"/>
  <c r="AM43" i="75"/>
  <c r="AM42" i="76" s="1"/>
  <c r="AM152" i="76" s="1"/>
  <c r="AM21" i="75"/>
  <c r="AM20" i="76" s="1"/>
  <c r="AM130" i="76" s="1"/>
  <c r="AM39" i="75"/>
  <c r="AM38" i="76" s="1"/>
  <c r="AM148" i="76" s="1"/>
  <c r="AM201" i="75"/>
  <c r="AM14" i="75"/>
  <c r="AM13" i="76" s="1"/>
  <c r="AM123" i="76" s="1"/>
  <c r="AM403" i="75"/>
  <c r="AM336" i="75"/>
  <c r="AM399" i="76" s="1"/>
  <c r="AM311" i="75"/>
  <c r="AM374" i="76" s="1"/>
  <c r="AM308" i="75"/>
  <c r="AM306" i="75"/>
  <c r="AM293" i="75"/>
  <c r="AM278" i="75"/>
  <c r="AM286" i="75"/>
  <c r="AM270" i="75"/>
  <c r="AM216" i="75"/>
  <c r="AM217" i="75"/>
  <c r="AM205" i="75"/>
  <c r="AM355" i="76" s="1"/>
  <c r="AM199" i="75"/>
  <c r="AM183" i="75"/>
  <c r="AM185" i="75"/>
  <c r="AM182" i="75"/>
  <c r="AM332" i="76" s="1"/>
  <c r="AM102" i="75"/>
  <c r="AM64" i="75"/>
  <c r="AM78" i="75"/>
  <c r="AM81" i="75"/>
  <c r="AM48" i="75"/>
  <c r="AM47" i="76" s="1"/>
  <c r="AM157" i="76" s="1"/>
  <c r="AM53" i="75"/>
  <c r="AM52" i="76" s="1"/>
  <c r="AM162" i="76" s="1"/>
  <c r="AM28" i="75"/>
  <c r="AM27" i="76" s="1"/>
  <c r="AM137" i="76" s="1"/>
  <c r="AM12" i="75"/>
  <c r="AM11" i="76" s="1"/>
  <c r="AM121" i="76" s="1"/>
  <c r="AM33" i="75"/>
  <c r="AM32" i="76" s="1"/>
  <c r="AM142" i="76" s="1"/>
  <c r="AM17" i="75"/>
  <c r="AM16" i="76" s="1"/>
  <c r="AM126" i="76" s="1"/>
  <c r="AM1" i="76"/>
  <c r="K297" i="70"/>
  <c r="Z104" i="75" s="1"/>
  <c r="Z105" i="75" s="1"/>
  <c r="Z102" i="75"/>
  <c r="I297" i="70"/>
  <c r="Z103" i="75" s="1"/>
  <c r="J252" i="71"/>
  <c r="HO15" i="71"/>
  <c r="HP15" i="71"/>
  <c r="IE15" i="71"/>
  <c r="AQ1" i="75"/>
  <c r="H299" i="71"/>
  <c r="AO5" i="75" s="1"/>
  <c r="H312" i="71"/>
  <c r="H256" i="71"/>
  <c r="H255" i="71"/>
  <c r="H300" i="71" s="1"/>
  <c r="H308" i="71" s="1"/>
  <c r="H254" i="71"/>
  <c r="H257" i="71"/>
  <c r="AE90" i="76"/>
  <c r="I288" i="71"/>
  <c r="I289" i="71" s="1"/>
  <c r="IA14" i="71"/>
  <c r="IH14" i="71"/>
  <c r="IB14" i="71"/>
  <c r="AI201" i="76"/>
  <c r="AI88" i="76"/>
  <c r="AE343" i="75"/>
  <c r="AE344" i="75" s="1"/>
  <c r="AE97" i="75" s="1"/>
  <c r="I298" i="71"/>
  <c r="AS4" i="75" s="1"/>
  <c r="AS4" i="76" s="1"/>
  <c r="I253" i="71"/>
  <c r="AI200" i="76"/>
  <c r="AE200" i="76"/>
  <c r="HV14" i="71"/>
  <c r="HV15" i="71" s="1"/>
  <c r="F267" i="71"/>
  <c r="F301" i="71" s="1"/>
  <c r="F309" i="71" s="1"/>
  <c r="F268" i="71"/>
  <c r="F266" i="71"/>
  <c r="F269" i="71"/>
  <c r="F313" i="71"/>
  <c r="K275" i="71"/>
  <c r="L274" i="71" a="1"/>
  <c r="L274" i="71" s="1"/>
  <c r="AI90" i="76"/>
  <c r="E267" i="71"/>
  <c r="E301" i="71" s="1"/>
  <c r="E266" i="71"/>
  <c r="E268" i="71"/>
  <c r="E269" i="71"/>
  <c r="E313" i="71"/>
  <c r="G291" i="71"/>
  <c r="G303" i="71" s="1"/>
  <c r="G311" i="71" s="1"/>
  <c r="G315" i="71"/>
  <c r="G292" i="71"/>
  <c r="G293" i="71"/>
  <c r="G290" i="71"/>
  <c r="K286" i="71" a="1"/>
  <c r="K286" i="71" s="1"/>
  <c r="J287" i="71"/>
  <c r="HZ15" i="71" s="1"/>
  <c r="AI343" i="75"/>
  <c r="AI344" i="75" s="1"/>
  <c r="AI97" i="75" s="1"/>
  <c r="AE95" i="75"/>
  <c r="AE96" i="75"/>
  <c r="V107" i="75"/>
  <c r="V109" i="75" s="1"/>
  <c r="W106" i="75"/>
  <c r="AI406" i="76"/>
  <c r="AI202" i="76" s="1"/>
  <c r="AI401" i="76"/>
  <c r="AI92" i="76" s="1"/>
  <c r="AE401" i="76"/>
  <c r="AE92" i="76" s="1"/>
  <c r="AE406" i="76"/>
  <c r="AE202" i="76" s="1"/>
  <c r="AI198" i="76"/>
  <c r="K251" i="71"/>
  <c r="HN16" i="71" s="1"/>
  <c r="L250" i="71" a="1"/>
  <c r="L250" i="71" s="1"/>
  <c r="AM366" i="76" l="1"/>
  <c r="AM353" i="76"/>
  <c r="H258" i="71"/>
  <c r="H259" i="71" s="1"/>
  <c r="AM333" i="76"/>
  <c r="AM351" i="76"/>
  <c r="AM363" i="76"/>
  <c r="AM365" i="76"/>
  <c r="AM335" i="76"/>
  <c r="AM323" i="76"/>
  <c r="AM327" i="76"/>
  <c r="G294" i="71"/>
  <c r="G295" i="71" s="1"/>
  <c r="AM325" i="76"/>
  <c r="E270" i="71"/>
  <c r="E271" i="71" s="1"/>
  <c r="AE227" i="76"/>
  <c r="AI227" i="76"/>
  <c r="AM340" i="76"/>
  <c r="AM344" i="76"/>
  <c r="AM322" i="76"/>
  <c r="AM341" i="76"/>
  <c r="AM334" i="76"/>
  <c r="AM356" i="76"/>
  <c r="AM357" i="76"/>
  <c r="AM349" i="76"/>
  <c r="AM343" i="76"/>
  <c r="AM324" i="76"/>
  <c r="AM179" i="76"/>
  <c r="AM69" i="76"/>
  <c r="K252" i="71"/>
  <c r="HP16" i="71"/>
  <c r="HO16" i="71"/>
  <c r="IE16" i="71"/>
  <c r="E309" i="71"/>
  <c r="I276" i="71"/>
  <c r="I277" i="71" s="1"/>
  <c r="HX14" i="71"/>
  <c r="IG14" i="71"/>
  <c r="HW14" i="71"/>
  <c r="AU1" i="75"/>
  <c r="I299" i="71"/>
  <c r="AS5" i="75" s="1"/>
  <c r="I312" i="71"/>
  <c r="I257" i="71"/>
  <c r="I254" i="71"/>
  <c r="I256" i="71"/>
  <c r="I255" i="71"/>
  <c r="I300" i="71" s="1"/>
  <c r="I308" i="71" s="1"/>
  <c r="AM341" i="75"/>
  <c r="AM369" i="76"/>
  <c r="AM340" i="75"/>
  <c r="AM93" i="75"/>
  <c r="AM92" i="75"/>
  <c r="AM56" i="76"/>
  <c r="AM166" i="76"/>
  <c r="AM330" i="76"/>
  <c r="AM337" i="76"/>
  <c r="H291" i="71"/>
  <c r="H303" i="71" s="1"/>
  <c r="H311" i="71" s="1"/>
  <c r="H293" i="71"/>
  <c r="H315" i="71"/>
  <c r="H292" i="71"/>
  <c r="H290" i="71"/>
  <c r="AM370" i="76"/>
  <c r="AM58" i="76"/>
  <c r="AM405" i="76"/>
  <c r="AM177" i="76"/>
  <c r="AM35" i="76"/>
  <c r="AM404" i="76"/>
  <c r="AM169" i="76"/>
  <c r="AM57" i="76"/>
  <c r="AM348" i="76"/>
  <c r="AM403" i="76"/>
  <c r="AM167" i="76"/>
  <c r="AM402" i="76"/>
  <c r="AM168" i="76"/>
  <c r="AM67" i="76"/>
  <c r="AM372" i="76"/>
  <c r="AM145" i="76"/>
  <c r="AM371" i="76"/>
  <c r="AM59" i="76"/>
  <c r="AM367" i="76"/>
  <c r="AM60" i="76"/>
  <c r="AM170" i="76"/>
  <c r="AM181" i="76"/>
  <c r="AM71" i="76"/>
  <c r="AM251" i="75"/>
  <c r="AM254" i="75" s="1"/>
  <c r="AM255" i="75" s="1"/>
  <c r="AM321" i="76"/>
  <c r="AM176" i="76"/>
  <c r="AM66" i="76"/>
  <c r="AM338" i="76"/>
  <c r="AM360" i="76"/>
  <c r="AM345" i="76"/>
  <c r="AM347" i="76"/>
  <c r="AE116" i="76"/>
  <c r="AI99" i="75"/>
  <c r="AI105" i="75" s="1"/>
  <c r="AI107" i="75" s="1"/>
  <c r="I291" i="71"/>
  <c r="I303" i="71" s="1"/>
  <c r="I311" i="71" s="1"/>
  <c r="I292" i="71"/>
  <c r="I315" i="71"/>
  <c r="I293" i="71"/>
  <c r="I290" i="71"/>
  <c r="AE99" i="75"/>
  <c r="AE105" i="75" s="1"/>
  <c r="AE107" i="75" s="1"/>
  <c r="IA15" i="71"/>
  <c r="IB15" i="71"/>
  <c r="IH15" i="71"/>
  <c r="J288" i="71"/>
  <c r="J289" i="71" s="1"/>
  <c r="M274" i="71" a="1"/>
  <c r="M274" i="71" s="1"/>
  <c r="L275" i="71"/>
  <c r="AM350" i="76"/>
  <c r="AM428" i="75"/>
  <c r="AM430" i="75" s="1"/>
  <c r="AM431" i="75" s="1"/>
  <c r="AM98" i="75" s="1"/>
  <c r="AM354" i="76"/>
  <c r="AM346" i="76"/>
  <c r="AM91" i="75"/>
  <c r="AM8" i="76"/>
  <c r="AM118" i="76" s="1"/>
  <c r="AM65" i="76"/>
  <c r="AM175" i="76"/>
  <c r="HS12" i="71"/>
  <c r="IF12" i="71"/>
  <c r="G264" i="71"/>
  <c r="G265" i="71" s="1"/>
  <c r="HT12" i="71"/>
  <c r="K287" i="71"/>
  <c r="HZ16" i="71" s="1"/>
  <c r="F270" i="71"/>
  <c r="F271" i="71" s="1"/>
  <c r="AI116" i="76"/>
  <c r="AQ405" i="75"/>
  <c r="AQ395" i="75"/>
  <c r="AQ315" i="75"/>
  <c r="AQ378" i="76" s="1"/>
  <c r="AQ308" i="75"/>
  <c r="AQ302" i="75"/>
  <c r="AQ294" i="75"/>
  <c r="AQ290" i="75"/>
  <c r="AQ287" i="75"/>
  <c r="AQ272" i="75"/>
  <c r="AQ265" i="75"/>
  <c r="AQ211" i="75"/>
  <c r="AQ214" i="75"/>
  <c r="AQ191" i="75"/>
  <c r="AQ192" i="75"/>
  <c r="AQ180" i="75"/>
  <c r="AQ188" i="75"/>
  <c r="AQ90" i="75"/>
  <c r="AQ87" i="75"/>
  <c r="AQ83" i="75"/>
  <c r="AQ79" i="75"/>
  <c r="AQ58" i="75"/>
  <c r="AQ49" i="75"/>
  <c r="AQ48" i="76" s="1"/>
  <c r="AQ158" i="76" s="1"/>
  <c r="AQ50" i="75"/>
  <c r="AQ49" i="76" s="1"/>
  <c r="AQ159" i="76" s="1"/>
  <c r="AQ27" i="75"/>
  <c r="AQ26" i="76" s="1"/>
  <c r="AQ136" i="76" s="1"/>
  <c r="AQ11" i="75"/>
  <c r="AQ10" i="76" s="1"/>
  <c r="AQ120" i="76" s="1"/>
  <c r="AQ30" i="75"/>
  <c r="AQ29" i="76" s="1"/>
  <c r="AQ139" i="76" s="1"/>
  <c r="AQ14" i="75"/>
  <c r="AQ13" i="76" s="1"/>
  <c r="AQ123" i="76" s="1"/>
  <c r="AQ403" i="75"/>
  <c r="AQ337" i="75"/>
  <c r="AQ400" i="76" s="1"/>
  <c r="AQ328" i="75"/>
  <c r="AQ391" i="76" s="1"/>
  <c r="AQ311" i="75"/>
  <c r="AQ374" i="76" s="1"/>
  <c r="AQ300" i="75"/>
  <c r="AQ293" i="75"/>
  <c r="AQ288" i="75"/>
  <c r="AQ284" i="75"/>
  <c r="AQ270" i="75"/>
  <c r="AQ263" i="75"/>
  <c r="AQ209" i="75"/>
  <c r="AQ212" i="75"/>
  <c r="AQ189" i="75"/>
  <c r="AQ205" i="75"/>
  <c r="AQ178" i="75"/>
  <c r="AQ328" i="76" s="1"/>
  <c r="AQ187" i="75"/>
  <c r="AQ171" i="75"/>
  <c r="AQ82" i="75"/>
  <c r="AQ72" i="75"/>
  <c r="AQ76" i="75"/>
  <c r="AQ67" i="75"/>
  <c r="AQ47" i="75"/>
  <c r="AQ46" i="76" s="1"/>
  <c r="AQ156" i="76" s="1"/>
  <c r="AQ48" i="75"/>
  <c r="AQ47" i="76" s="1"/>
  <c r="AQ157" i="76" s="1"/>
  <c r="AQ25" i="75"/>
  <c r="AQ24" i="76" s="1"/>
  <c r="AQ134" i="76" s="1"/>
  <c r="AQ9" i="75"/>
  <c r="AQ28" i="75"/>
  <c r="AQ27" i="76" s="1"/>
  <c r="AQ137" i="76" s="1"/>
  <c r="AQ12" i="75"/>
  <c r="AQ11" i="76" s="1"/>
  <c r="AQ121" i="76" s="1"/>
  <c r="AQ402" i="75"/>
  <c r="AQ196" i="75"/>
  <c r="AQ71" i="75"/>
  <c r="AQ18" i="75"/>
  <c r="AQ17" i="76" s="1"/>
  <c r="AQ127" i="76" s="1"/>
  <c r="AQ401" i="75"/>
  <c r="AQ396" i="75"/>
  <c r="AQ324" i="75"/>
  <c r="AQ387" i="76" s="1"/>
  <c r="AQ326" i="75"/>
  <c r="AQ389" i="76" s="1"/>
  <c r="AQ298" i="75"/>
  <c r="AQ305" i="75"/>
  <c r="AQ285" i="75"/>
  <c r="AQ282" i="75"/>
  <c r="AQ268" i="75"/>
  <c r="AQ261" i="75"/>
  <c r="AQ207" i="75"/>
  <c r="AQ210" i="75"/>
  <c r="AQ204" i="75"/>
  <c r="AQ203" i="75"/>
  <c r="AQ176" i="75"/>
  <c r="AQ326" i="76" s="1"/>
  <c r="AQ181" i="75"/>
  <c r="AQ102" i="75"/>
  <c r="AQ78" i="75"/>
  <c r="AQ70" i="75"/>
  <c r="AQ75" i="75"/>
  <c r="AQ57" i="75"/>
  <c r="AQ45" i="75"/>
  <c r="AQ44" i="76" s="1"/>
  <c r="AQ46" i="75"/>
  <c r="AQ45" i="76" s="1"/>
  <c r="AQ155" i="76" s="1"/>
  <c r="AQ23" i="75"/>
  <c r="AQ22" i="76" s="1"/>
  <c r="AQ132" i="76" s="1"/>
  <c r="AQ42" i="75"/>
  <c r="AQ41" i="76" s="1"/>
  <c r="AQ151" i="76" s="1"/>
  <c r="AQ26" i="75"/>
  <c r="AQ25" i="76" s="1"/>
  <c r="AQ135" i="76" s="1"/>
  <c r="AQ10" i="75"/>
  <c r="AQ9" i="76" s="1"/>
  <c r="AQ119" i="76" s="1"/>
  <c r="AQ335" i="75"/>
  <c r="AQ398" i="76" s="1"/>
  <c r="AQ312" i="75"/>
  <c r="AQ375" i="76" s="1"/>
  <c r="AQ304" i="75"/>
  <c r="AQ297" i="75"/>
  <c r="AQ277" i="75"/>
  <c r="AQ269" i="75"/>
  <c r="AQ215" i="75"/>
  <c r="AQ184" i="75"/>
  <c r="AQ175" i="75"/>
  <c r="AQ63" i="75"/>
  <c r="AQ53" i="75"/>
  <c r="AQ52" i="76" s="1"/>
  <c r="AQ162" i="76" s="1"/>
  <c r="AQ15" i="75"/>
  <c r="AQ14" i="76" s="1"/>
  <c r="AQ124" i="76" s="1"/>
  <c r="AQ399" i="75"/>
  <c r="AQ398" i="75"/>
  <c r="AQ334" i="75"/>
  <c r="AQ397" i="76" s="1"/>
  <c r="AQ313" i="75"/>
  <c r="AQ376" i="76" s="1"/>
  <c r="AQ296" i="75"/>
  <c r="AQ295" i="75"/>
  <c r="AQ283" i="75"/>
  <c r="AQ280" i="75"/>
  <c r="AQ266" i="75"/>
  <c r="AQ259" i="75"/>
  <c r="AQ260" i="75"/>
  <c r="AQ208" i="75"/>
  <c r="AQ202" i="75"/>
  <c r="AQ201" i="75"/>
  <c r="AQ174" i="75"/>
  <c r="AQ173" i="75"/>
  <c r="AQ88" i="75"/>
  <c r="AQ77" i="75"/>
  <c r="AQ68" i="75"/>
  <c r="AQ73" i="75"/>
  <c r="AQ55" i="75"/>
  <c r="AQ54" i="76" s="1"/>
  <c r="AQ164" i="76" s="1"/>
  <c r="AQ43" i="75"/>
  <c r="AQ42" i="76" s="1"/>
  <c r="AQ152" i="76" s="1"/>
  <c r="AQ44" i="75"/>
  <c r="AQ43" i="76" s="1"/>
  <c r="AQ153" i="76" s="1"/>
  <c r="AQ21" i="75"/>
  <c r="AQ20" i="76" s="1"/>
  <c r="AQ130" i="76" s="1"/>
  <c r="AQ41" i="75"/>
  <c r="AQ40" i="76" s="1"/>
  <c r="AQ150" i="76" s="1"/>
  <c r="AQ24" i="75"/>
  <c r="AQ23" i="76" s="1"/>
  <c r="AQ133" i="76" s="1"/>
  <c r="AQ38" i="75"/>
  <c r="AQ37" i="76" s="1"/>
  <c r="AQ147" i="76" s="1"/>
  <c r="AQ195" i="75"/>
  <c r="AQ31" i="75"/>
  <c r="AQ30" i="76" s="1"/>
  <c r="AQ140" i="76" s="1"/>
  <c r="AQ397" i="75"/>
  <c r="AQ336" i="75"/>
  <c r="AQ399" i="76" s="1"/>
  <c r="AQ316" i="75"/>
  <c r="AQ379" i="76" s="1"/>
  <c r="AQ322" i="75"/>
  <c r="AQ306" i="75"/>
  <c r="AQ291" i="75"/>
  <c r="AQ281" i="75"/>
  <c r="AQ278" i="75"/>
  <c r="AQ273" i="75"/>
  <c r="AQ217" i="75"/>
  <c r="AQ367" i="76" s="1"/>
  <c r="AQ258" i="75"/>
  <c r="AQ206" i="75"/>
  <c r="AQ200" i="75"/>
  <c r="AQ199" i="75"/>
  <c r="AQ172" i="75"/>
  <c r="AQ322" i="76" s="1"/>
  <c r="AQ179" i="75"/>
  <c r="AQ86" i="75"/>
  <c r="AQ74" i="75"/>
  <c r="AQ66" i="75"/>
  <c r="AQ64" i="75"/>
  <c r="AQ36" i="75"/>
  <c r="AQ69" i="75"/>
  <c r="AQ35" i="75"/>
  <c r="AQ34" i="76" s="1"/>
  <c r="AQ144" i="76" s="1"/>
  <c r="AQ19" i="75"/>
  <c r="AQ18" i="76" s="1"/>
  <c r="AQ128" i="76" s="1"/>
  <c r="AQ40" i="75"/>
  <c r="AQ39" i="76" s="1"/>
  <c r="AQ149" i="76" s="1"/>
  <c r="AQ22" i="75"/>
  <c r="AQ21" i="76" s="1"/>
  <c r="AQ131" i="76" s="1"/>
  <c r="AQ37" i="75"/>
  <c r="AQ36" i="76" s="1"/>
  <c r="AQ146" i="76" s="1"/>
  <c r="AQ404" i="75"/>
  <c r="AQ330" i="75"/>
  <c r="AQ393" i="76" s="1"/>
  <c r="AQ314" i="75"/>
  <c r="AQ377" i="76" s="1"/>
  <c r="AQ307" i="75"/>
  <c r="AQ303" i="75"/>
  <c r="AQ289" i="75"/>
  <c r="AQ279" i="75"/>
  <c r="AQ276" i="75"/>
  <c r="AQ271" i="75"/>
  <c r="AQ218" i="75"/>
  <c r="AQ262" i="75"/>
  <c r="AQ197" i="75"/>
  <c r="AQ347" i="76" s="1"/>
  <c r="AQ198" i="75"/>
  <c r="AQ185" i="75"/>
  <c r="AQ190" i="75"/>
  <c r="AQ177" i="75"/>
  <c r="AQ85" i="75"/>
  <c r="AQ65" i="75"/>
  <c r="AQ84" i="75"/>
  <c r="AQ62" i="75"/>
  <c r="AQ56" i="75"/>
  <c r="AQ55" i="76" s="1"/>
  <c r="AQ165" i="76" s="1"/>
  <c r="AQ59" i="75"/>
  <c r="AQ33" i="75"/>
  <c r="AQ32" i="76" s="1"/>
  <c r="AQ142" i="76" s="1"/>
  <c r="AQ17" i="75"/>
  <c r="AQ16" i="76" s="1"/>
  <c r="AQ126" i="76" s="1"/>
  <c r="AQ39" i="75"/>
  <c r="AQ38" i="76" s="1"/>
  <c r="AQ148" i="76" s="1"/>
  <c r="AQ20" i="75"/>
  <c r="AQ19" i="76" s="1"/>
  <c r="AQ129" i="76" s="1"/>
  <c r="AQ301" i="75"/>
  <c r="AQ275" i="75"/>
  <c r="AQ264" i="75"/>
  <c r="AQ186" i="75"/>
  <c r="AQ336" i="76" s="1"/>
  <c r="AQ89" i="75"/>
  <c r="AQ81" i="75"/>
  <c r="AQ54" i="75"/>
  <c r="AQ53" i="76" s="1"/>
  <c r="AQ163" i="76" s="1"/>
  <c r="AQ34" i="75"/>
  <c r="AQ33" i="76" s="1"/>
  <c r="AQ143" i="76" s="1"/>
  <c r="AQ400" i="75"/>
  <c r="AQ332" i="75"/>
  <c r="AQ395" i="76" s="1"/>
  <c r="AQ310" i="75"/>
  <c r="AQ373" i="76" s="1"/>
  <c r="AQ309" i="75"/>
  <c r="AQ299" i="75"/>
  <c r="AQ292" i="75"/>
  <c r="AQ286" i="75"/>
  <c r="AQ274" i="75"/>
  <c r="AQ267" i="75"/>
  <c r="AQ213" i="75"/>
  <c r="AQ216" i="75"/>
  <c r="AQ366" i="76" s="1"/>
  <c r="AQ193" i="75"/>
  <c r="AQ194" i="75"/>
  <c r="AQ344" i="76" s="1"/>
  <c r="AQ182" i="75"/>
  <c r="AQ332" i="76" s="1"/>
  <c r="AQ183" i="75"/>
  <c r="AQ104" i="75"/>
  <c r="AQ103" i="75"/>
  <c r="AQ61" i="75"/>
  <c r="AQ80" i="75"/>
  <c r="AQ60" i="75"/>
  <c r="AQ51" i="75"/>
  <c r="AQ50" i="76" s="1"/>
  <c r="AQ160" i="76" s="1"/>
  <c r="AQ52" i="75"/>
  <c r="AQ51" i="76" s="1"/>
  <c r="AQ161" i="76" s="1"/>
  <c r="AQ29" i="75"/>
  <c r="AQ28" i="76" s="1"/>
  <c r="AQ138" i="76" s="1"/>
  <c r="AQ13" i="75"/>
  <c r="AQ12" i="76" s="1"/>
  <c r="AQ122" i="76" s="1"/>
  <c r="AQ32" i="75"/>
  <c r="AQ31" i="76" s="1"/>
  <c r="AQ141" i="76" s="1"/>
  <c r="AQ16" i="75"/>
  <c r="AQ15" i="76" s="1"/>
  <c r="AQ125" i="76" s="1"/>
  <c r="AQ1" i="76"/>
  <c r="AM89" i="76"/>
  <c r="AM154" i="76"/>
  <c r="AM342" i="76"/>
  <c r="AM368" i="76"/>
  <c r="H279" i="71"/>
  <c r="H302" i="71" s="1"/>
  <c r="H310" i="71" s="1"/>
  <c r="H281" i="71"/>
  <c r="H280" i="71"/>
  <c r="H314" i="71"/>
  <c r="H278" i="71"/>
  <c r="HV16" i="71"/>
  <c r="HX15" i="71"/>
  <c r="IG15" i="71"/>
  <c r="J276" i="71"/>
  <c r="J277" i="71" s="1"/>
  <c r="HW15" i="71"/>
  <c r="J298" i="71"/>
  <c r="AW4" i="75" s="1"/>
  <c r="AW4" i="76" s="1"/>
  <c r="J253" i="71"/>
  <c r="AM359" i="76"/>
  <c r="AM328" i="76"/>
  <c r="AM339" i="76"/>
  <c r="AM180" i="76"/>
  <c r="AM70" i="76"/>
  <c r="AM362" i="76"/>
  <c r="AM364" i="76"/>
  <c r="G282" i="71"/>
  <c r="G283" i="71" s="1"/>
  <c r="L251" i="71"/>
  <c r="HN17" i="71" s="1"/>
  <c r="M250" i="71" a="1"/>
  <c r="M250" i="71" s="1"/>
  <c r="AM342" i="75"/>
  <c r="AM385" i="76"/>
  <c r="AM68" i="76"/>
  <c r="AM178" i="76"/>
  <c r="AM358" i="76"/>
  <c r="I262" i="71" a="1"/>
  <c r="I262" i="71" s="1"/>
  <c r="J262" i="71" s="1" a="1"/>
  <c r="J262" i="71" s="1"/>
  <c r="J263" i="71" s="1"/>
  <c r="H263" i="71"/>
  <c r="HR13" i="71" s="1"/>
  <c r="G310" i="71"/>
  <c r="L286" i="71" a="1"/>
  <c r="L286" i="71" s="1"/>
  <c r="AQ351" i="76" l="1"/>
  <c r="AQ329" i="76"/>
  <c r="AQ340" i="76"/>
  <c r="AQ345" i="76"/>
  <c r="AM88" i="76"/>
  <c r="AQ343" i="76"/>
  <c r="AQ335" i="76"/>
  <c r="AM94" i="75"/>
  <c r="AQ363" i="76"/>
  <c r="H282" i="71"/>
  <c r="H283" i="71" s="1"/>
  <c r="AQ333" i="76"/>
  <c r="AQ323" i="76"/>
  <c r="AQ324" i="76"/>
  <c r="AQ360" i="76"/>
  <c r="AQ331" i="76"/>
  <c r="AQ327" i="76"/>
  <c r="HV17" i="71"/>
  <c r="L276" i="71" s="1"/>
  <c r="L277" i="71" s="1"/>
  <c r="AQ354" i="76"/>
  <c r="AQ362" i="76"/>
  <c r="AQ330" i="76"/>
  <c r="AQ325" i="76"/>
  <c r="H294" i="71"/>
  <c r="H295" i="71" s="1"/>
  <c r="AQ89" i="76"/>
  <c r="AQ154" i="76"/>
  <c r="AQ353" i="76"/>
  <c r="AQ346" i="76"/>
  <c r="AQ66" i="76"/>
  <c r="AQ176" i="76"/>
  <c r="AQ339" i="76"/>
  <c r="AQ338" i="76"/>
  <c r="AM198" i="76"/>
  <c r="AM406" i="76"/>
  <c r="AM202" i="76" s="1"/>
  <c r="AM401" i="76"/>
  <c r="AM92" i="76" s="1"/>
  <c r="AM343" i="75"/>
  <c r="AM344" i="75" s="1"/>
  <c r="AM97" i="75" s="1"/>
  <c r="HX17" i="71"/>
  <c r="AQ352" i="76"/>
  <c r="AQ359" i="76"/>
  <c r="AQ342" i="76"/>
  <c r="N274" i="71" a="1"/>
  <c r="N274" i="71" s="1"/>
  <c r="M275" i="71"/>
  <c r="HV18" i="71" s="1"/>
  <c r="AU403" i="75"/>
  <c r="AU334" i="75"/>
  <c r="AU397" i="76" s="1"/>
  <c r="AU311" i="75"/>
  <c r="AU374" i="76" s="1"/>
  <c r="AU306" i="75"/>
  <c r="AU307" i="75"/>
  <c r="AU294" i="75"/>
  <c r="AU276" i="75"/>
  <c r="AU286" i="75"/>
  <c r="AU270" i="75"/>
  <c r="AU216" i="75"/>
  <c r="AU265" i="75"/>
  <c r="AU198" i="75"/>
  <c r="AU199" i="75"/>
  <c r="AU186" i="75"/>
  <c r="AU191" i="75"/>
  <c r="AU180" i="75"/>
  <c r="AU104" i="75"/>
  <c r="AU62" i="75"/>
  <c r="AU74" i="75"/>
  <c r="AU85" i="75"/>
  <c r="AU46" i="75"/>
  <c r="AU45" i="76" s="1"/>
  <c r="AU155" i="76" s="1"/>
  <c r="AU53" i="75"/>
  <c r="AU52" i="76" s="1"/>
  <c r="AU162" i="76" s="1"/>
  <c r="AU34" i="75"/>
  <c r="AU33" i="76" s="1"/>
  <c r="AU143" i="76" s="1"/>
  <c r="AU18" i="75"/>
  <c r="AU17" i="76" s="1"/>
  <c r="AU127" i="76" s="1"/>
  <c r="AU35" i="75"/>
  <c r="AU34" i="76" s="1"/>
  <c r="AU144" i="76" s="1"/>
  <c r="AU19" i="75"/>
  <c r="AU18" i="76" s="1"/>
  <c r="AU128" i="76" s="1"/>
  <c r="AU324" i="75"/>
  <c r="AU387" i="76" s="1"/>
  <c r="AU285" i="75"/>
  <c r="AU214" i="75"/>
  <c r="AU196" i="75"/>
  <c r="AU188" i="75"/>
  <c r="AU338" i="76" s="1"/>
  <c r="AU88" i="75"/>
  <c r="AU65" i="75"/>
  <c r="AU51" i="75"/>
  <c r="AU50" i="76" s="1"/>
  <c r="AU160" i="76" s="1"/>
  <c r="AU33" i="75"/>
  <c r="AU32" i="76" s="1"/>
  <c r="AU142" i="76" s="1"/>
  <c r="AU195" i="75"/>
  <c r="AU31" i="75"/>
  <c r="AU30" i="76" s="1"/>
  <c r="AU140" i="76" s="1"/>
  <c r="AU404" i="75"/>
  <c r="AU397" i="75"/>
  <c r="AU336" i="75"/>
  <c r="AU399" i="76" s="1"/>
  <c r="AU313" i="75"/>
  <c r="AU376" i="76" s="1"/>
  <c r="AU299" i="75"/>
  <c r="AU295" i="75"/>
  <c r="AU287" i="75"/>
  <c r="AU281" i="75"/>
  <c r="AU269" i="75"/>
  <c r="AU264" i="75"/>
  <c r="AU210" i="75"/>
  <c r="AU215" i="75"/>
  <c r="AU192" i="75"/>
  <c r="AU193" i="75"/>
  <c r="AU179" i="75"/>
  <c r="AU184" i="75"/>
  <c r="AU102" i="75"/>
  <c r="AU79" i="75"/>
  <c r="AU71" i="75"/>
  <c r="AU61" i="75"/>
  <c r="AU59" i="75"/>
  <c r="AU68" i="75"/>
  <c r="AU47" i="75"/>
  <c r="AU46" i="76" s="1"/>
  <c r="AU156" i="76" s="1"/>
  <c r="AU28" i="75"/>
  <c r="AU27" i="76" s="1"/>
  <c r="AU137" i="76" s="1"/>
  <c r="AU12" i="75"/>
  <c r="AU11" i="76" s="1"/>
  <c r="AU121" i="76" s="1"/>
  <c r="AU29" i="75"/>
  <c r="AU28" i="76" s="1"/>
  <c r="AU138" i="76" s="1"/>
  <c r="AU13" i="75"/>
  <c r="AU12" i="76" s="1"/>
  <c r="AU122" i="76" s="1"/>
  <c r="AU398" i="75"/>
  <c r="AU335" i="75"/>
  <c r="AU398" i="76" s="1"/>
  <c r="AU304" i="75"/>
  <c r="AU280" i="75"/>
  <c r="AU263" i="75"/>
  <c r="AU209" i="75"/>
  <c r="AU200" i="75"/>
  <c r="AU350" i="76" s="1"/>
  <c r="AU182" i="75"/>
  <c r="AU78" i="75"/>
  <c r="AU50" i="75"/>
  <c r="AU49" i="76" s="1"/>
  <c r="AU159" i="76" s="1"/>
  <c r="AU22" i="75"/>
  <c r="AU21" i="76" s="1"/>
  <c r="AU131" i="76" s="1"/>
  <c r="AU41" i="75"/>
  <c r="AU40" i="76" s="1"/>
  <c r="AU150" i="76" s="1"/>
  <c r="AU316" i="75"/>
  <c r="AU379" i="76" s="1"/>
  <c r="AU303" i="75"/>
  <c r="AU302" i="75"/>
  <c r="AU293" i="75"/>
  <c r="AU273" i="75"/>
  <c r="AU268" i="75"/>
  <c r="AU217" i="75"/>
  <c r="AU367" i="76" s="1"/>
  <c r="AU197" i="75"/>
  <c r="AU178" i="75"/>
  <c r="AU84" i="75"/>
  <c r="AU44" i="75"/>
  <c r="AU43" i="76" s="1"/>
  <c r="AU153" i="76" s="1"/>
  <c r="AU32" i="75"/>
  <c r="AU31" i="76" s="1"/>
  <c r="AU141" i="76" s="1"/>
  <c r="AU17" i="75"/>
  <c r="AU16" i="76" s="1"/>
  <c r="AU126" i="76" s="1"/>
  <c r="AU330" i="75"/>
  <c r="AU393" i="76" s="1"/>
  <c r="AU309" i="75"/>
  <c r="AU301" i="75"/>
  <c r="AU300" i="75"/>
  <c r="AU291" i="75"/>
  <c r="AU271" i="75"/>
  <c r="AU212" i="75"/>
  <c r="AU362" i="76" s="1"/>
  <c r="AU194" i="75"/>
  <c r="AU181" i="75"/>
  <c r="AU331" i="76" s="1"/>
  <c r="AU172" i="75"/>
  <c r="AU81" i="75"/>
  <c r="AU60" i="75"/>
  <c r="AU30" i="75"/>
  <c r="AU29" i="76" s="1"/>
  <c r="AU139" i="76" s="1"/>
  <c r="AU402" i="75"/>
  <c r="AU396" i="75"/>
  <c r="AU326" i="75"/>
  <c r="AU389" i="76" s="1"/>
  <c r="AU312" i="75"/>
  <c r="AU375" i="76" s="1"/>
  <c r="AU297" i="75"/>
  <c r="AU298" i="75"/>
  <c r="AU284" i="75"/>
  <c r="AU279" i="75"/>
  <c r="AU267" i="75"/>
  <c r="AU260" i="75"/>
  <c r="AU208" i="75"/>
  <c r="AU358" i="76" s="1"/>
  <c r="AU213" i="75"/>
  <c r="AU190" i="75"/>
  <c r="AU204" i="75"/>
  <c r="AU177" i="75"/>
  <c r="AU185" i="75"/>
  <c r="AU89" i="75"/>
  <c r="AU76" i="75"/>
  <c r="AU69" i="75"/>
  <c r="AU82" i="75"/>
  <c r="AU54" i="75"/>
  <c r="AU53" i="76" s="1"/>
  <c r="AU163" i="76" s="1"/>
  <c r="AU57" i="75"/>
  <c r="AU45" i="75"/>
  <c r="AU44" i="76" s="1"/>
  <c r="AU26" i="75"/>
  <c r="AU25" i="76" s="1"/>
  <c r="AU135" i="76" s="1"/>
  <c r="AU10" i="75"/>
  <c r="AU9" i="76" s="1"/>
  <c r="AU119" i="76" s="1"/>
  <c r="AU27" i="75"/>
  <c r="AU26" i="76" s="1"/>
  <c r="AU136" i="76" s="1"/>
  <c r="AU11" i="75"/>
  <c r="AU10" i="76" s="1"/>
  <c r="AU120" i="76" s="1"/>
  <c r="AU337" i="75"/>
  <c r="AU400" i="76" s="1"/>
  <c r="AU314" i="75"/>
  <c r="AU377" i="76" s="1"/>
  <c r="AU292" i="75"/>
  <c r="AU274" i="75"/>
  <c r="AU261" i="75"/>
  <c r="AU203" i="75"/>
  <c r="AU353" i="76" s="1"/>
  <c r="AU173" i="75"/>
  <c r="AU323" i="76" s="1"/>
  <c r="AU90" i="75"/>
  <c r="AU86" i="75"/>
  <c r="AU40" i="75"/>
  <c r="AU39" i="76" s="1"/>
  <c r="AU149" i="76" s="1"/>
  <c r="AU23" i="75"/>
  <c r="AU22" i="76" s="1"/>
  <c r="AU132" i="76" s="1"/>
  <c r="AU400" i="75"/>
  <c r="AU395" i="75"/>
  <c r="AU322" i="75"/>
  <c r="AU310" i="75"/>
  <c r="AU373" i="76" s="1"/>
  <c r="AU305" i="75"/>
  <c r="AU296" i="75"/>
  <c r="AU282" i="75"/>
  <c r="AU277" i="75"/>
  <c r="AU275" i="75"/>
  <c r="AU258" i="75"/>
  <c r="AU206" i="75"/>
  <c r="AU356" i="76" s="1"/>
  <c r="AU211" i="75"/>
  <c r="AU205" i="75"/>
  <c r="AU355" i="76" s="1"/>
  <c r="AU202" i="75"/>
  <c r="AU175" i="75"/>
  <c r="AU176" i="75"/>
  <c r="AU87" i="75"/>
  <c r="AU75" i="75"/>
  <c r="AU67" i="75"/>
  <c r="AU72" i="75"/>
  <c r="AU52" i="75"/>
  <c r="AU51" i="76" s="1"/>
  <c r="AU161" i="76" s="1"/>
  <c r="AU55" i="75"/>
  <c r="AU54" i="76" s="1"/>
  <c r="AU164" i="76" s="1"/>
  <c r="AU42" i="75"/>
  <c r="AU41" i="76" s="1"/>
  <c r="AU151" i="76" s="1"/>
  <c r="AU24" i="75"/>
  <c r="AU23" i="76" s="1"/>
  <c r="AU133" i="76" s="1"/>
  <c r="AU43" i="75"/>
  <c r="AU42" i="76" s="1"/>
  <c r="AU152" i="76" s="1"/>
  <c r="AU25" i="75"/>
  <c r="AU24" i="76" s="1"/>
  <c r="AU134" i="76" s="1"/>
  <c r="AU9" i="75"/>
  <c r="AU289" i="75"/>
  <c r="AU73" i="75"/>
  <c r="AU58" i="75"/>
  <c r="AU38" i="75"/>
  <c r="AU37" i="76" s="1"/>
  <c r="AU147" i="76" s="1"/>
  <c r="AU401" i="75"/>
  <c r="AU183" i="75"/>
  <c r="AU66" i="75"/>
  <c r="AU16" i="75"/>
  <c r="AU15" i="76" s="1"/>
  <c r="AU125" i="76" s="1"/>
  <c r="AU266" i="75"/>
  <c r="AU63" i="75"/>
  <c r="AU14" i="75"/>
  <c r="AU13" i="76" s="1"/>
  <c r="AU123" i="76" s="1"/>
  <c r="AU405" i="75"/>
  <c r="AU315" i="75"/>
  <c r="AU378" i="76" s="1"/>
  <c r="AU332" i="75"/>
  <c r="AU395" i="76" s="1"/>
  <c r="AU328" i="75"/>
  <c r="AU391" i="76" s="1"/>
  <c r="AU308" i="75"/>
  <c r="AU290" i="75"/>
  <c r="AU278" i="75"/>
  <c r="AU288" i="75"/>
  <c r="AU272" i="75"/>
  <c r="AU262" i="75"/>
  <c r="AU259" i="75"/>
  <c r="AU207" i="75"/>
  <c r="AU357" i="76" s="1"/>
  <c r="AU201" i="75"/>
  <c r="AU351" i="76" s="1"/>
  <c r="AU189" i="75"/>
  <c r="AU171" i="75"/>
  <c r="AU174" i="75"/>
  <c r="AU103" i="75"/>
  <c r="AU64" i="75"/>
  <c r="AU77" i="75"/>
  <c r="AU83" i="75"/>
  <c r="AU48" i="75"/>
  <c r="AU47" i="76" s="1"/>
  <c r="AU157" i="76" s="1"/>
  <c r="AU56" i="75"/>
  <c r="AU55" i="76" s="1"/>
  <c r="AU165" i="76" s="1"/>
  <c r="AU39" i="75"/>
  <c r="AU38" i="76" s="1"/>
  <c r="AU148" i="76" s="1"/>
  <c r="AU20" i="75"/>
  <c r="AU19" i="76" s="1"/>
  <c r="AU129" i="76" s="1"/>
  <c r="AU37" i="75"/>
  <c r="AU36" i="76" s="1"/>
  <c r="AU146" i="76" s="1"/>
  <c r="AU21" i="75"/>
  <c r="AU20" i="76" s="1"/>
  <c r="AU130" i="76" s="1"/>
  <c r="AU36" i="75"/>
  <c r="AU399" i="75"/>
  <c r="AU283" i="75"/>
  <c r="AU218" i="75"/>
  <c r="AU187" i="75"/>
  <c r="AU337" i="76" s="1"/>
  <c r="AU80" i="75"/>
  <c r="AU70" i="75"/>
  <c r="AU49" i="75"/>
  <c r="AU48" i="76" s="1"/>
  <c r="AU158" i="76" s="1"/>
  <c r="AU15" i="75"/>
  <c r="AU14" i="76" s="1"/>
  <c r="AU124" i="76" s="1"/>
  <c r="AU1" i="76"/>
  <c r="J314" i="71"/>
  <c r="J279" i="71"/>
  <c r="J302" i="71" s="1"/>
  <c r="J310" i="71" s="1"/>
  <c r="J278" i="71"/>
  <c r="J281" i="71"/>
  <c r="J280" i="71"/>
  <c r="AQ92" i="75"/>
  <c r="AQ166" i="76"/>
  <c r="AQ56" i="76"/>
  <c r="N250" i="71" a="1"/>
  <c r="N250" i="71" s="1"/>
  <c r="M251" i="71"/>
  <c r="HN18" i="71" s="1"/>
  <c r="AQ71" i="76"/>
  <c r="AQ181" i="76"/>
  <c r="AQ358" i="76"/>
  <c r="AQ334" i="76"/>
  <c r="AQ179" i="76"/>
  <c r="AQ69" i="76"/>
  <c r="AQ357" i="76"/>
  <c r="AQ341" i="76"/>
  <c r="J292" i="71"/>
  <c r="J315" i="71"/>
  <c r="J293" i="71"/>
  <c r="J291" i="71"/>
  <c r="J303" i="71" s="1"/>
  <c r="J311" i="71" s="1"/>
  <c r="J290" i="71"/>
  <c r="I294" i="71"/>
  <c r="I295" i="71" s="1"/>
  <c r="AM91" i="76"/>
  <c r="AQ372" i="76"/>
  <c r="AQ67" i="76"/>
  <c r="AQ370" i="76"/>
  <c r="AQ59" i="76"/>
  <c r="AQ348" i="76"/>
  <c r="AQ58" i="76"/>
  <c r="AQ405" i="76"/>
  <c r="AQ177" i="76"/>
  <c r="AQ57" i="76"/>
  <c r="AQ404" i="76"/>
  <c r="AQ168" i="76"/>
  <c r="AQ35" i="76"/>
  <c r="AQ403" i="76"/>
  <c r="AQ167" i="76"/>
  <c r="AQ402" i="76"/>
  <c r="AQ169" i="76"/>
  <c r="AQ371" i="76"/>
  <c r="AQ145" i="76"/>
  <c r="H264" i="71"/>
  <c r="H265" i="71" s="1"/>
  <c r="HT13" i="71"/>
  <c r="IF13" i="71"/>
  <c r="HS13" i="71"/>
  <c r="I263" i="71"/>
  <c r="HR14" i="71" s="1"/>
  <c r="K262" i="71" a="1"/>
  <c r="K262" i="71" s="1"/>
  <c r="K263" i="71" s="1"/>
  <c r="HO17" i="71"/>
  <c r="L252" i="71"/>
  <c r="IE17" i="71"/>
  <c r="HP17" i="71"/>
  <c r="IG16" i="71"/>
  <c r="HW16" i="71"/>
  <c r="HX16" i="71"/>
  <c r="K276" i="71"/>
  <c r="K277" i="71" s="1"/>
  <c r="AQ68" i="76"/>
  <c r="AQ178" i="76"/>
  <c r="AQ349" i="76"/>
  <c r="AQ93" i="75"/>
  <c r="AQ365" i="76"/>
  <c r="AQ91" i="75"/>
  <c r="AQ8" i="76"/>
  <c r="AQ118" i="76" s="1"/>
  <c r="AQ251" i="75"/>
  <c r="AQ254" i="75" s="1"/>
  <c r="AQ255" i="75" s="1"/>
  <c r="AQ321" i="76"/>
  <c r="AQ364" i="76"/>
  <c r="IA16" i="71"/>
  <c r="IB16" i="71"/>
  <c r="K288" i="71"/>
  <c r="K289" i="71" s="1"/>
  <c r="IH16" i="71"/>
  <c r="AM200" i="76"/>
  <c r="K253" i="71"/>
  <c r="K298" i="71"/>
  <c r="BA4" i="75" s="1"/>
  <c r="BA4" i="76" s="1"/>
  <c r="AY1" i="75"/>
  <c r="J299" i="71"/>
  <c r="AW5" i="75" s="1"/>
  <c r="J254" i="71"/>
  <c r="J312" i="71"/>
  <c r="J257" i="71"/>
  <c r="J255" i="71"/>
  <c r="J300" i="71" s="1"/>
  <c r="J308" i="71" s="1"/>
  <c r="J256" i="71"/>
  <c r="J258" i="71" s="1"/>
  <c r="J259" i="71" s="1"/>
  <c r="AM96" i="75"/>
  <c r="AM99" i="75" s="1"/>
  <c r="AM105" i="75" s="1"/>
  <c r="AM107" i="75" s="1"/>
  <c r="AM95" i="75"/>
  <c r="AQ170" i="76"/>
  <c r="AQ60" i="76"/>
  <c r="L287" i="71"/>
  <c r="HZ17" i="71" s="1"/>
  <c r="M286" i="71" a="1"/>
  <c r="M286" i="71" s="1"/>
  <c r="AQ368" i="76"/>
  <c r="AQ350" i="76"/>
  <c r="AQ341" i="75"/>
  <c r="AQ369" i="76"/>
  <c r="AQ337" i="76"/>
  <c r="AQ361" i="76"/>
  <c r="AM201" i="76"/>
  <c r="AM90" i="76"/>
  <c r="I258" i="71"/>
  <c r="I259" i="71" s="1"/>
  <c r="AQ356" i="76"/>
  <c r="AQ342" i="75"/>
  <c r="AQ385" i="76"/>
  <c r="AQ428" i="75"/>
  <c r="AQ430" i="75" s="1"/>
  <c r="AQ431" i="75" s="1"/>
  <c r="AQ98" i="75" s="1"/>
  <c r="G313" i="71"/>
  <c r="G267" i="71"/>
  <c r="G301" i="71" s="1"/>
  <c r="G268" i="71"/>
  <c r="G269" i="71"/>
  <c r="G266" i="71"/>
  <c r="I314" i="71"/>
  <c r="I280" i="71"/>
  <c r="I279" i="71"/>
  <c r="I302" i="71" s="1"/>
  <c r="I278" i="71"/>
  <c r="I281" i="71"/>
  <c r="AQ65" i="76"/>
  <c r="AQ175" i="76"/>
  <c r="AQ340" i="75"/>
  <c r="AQ343" i="75" s="1"/>
  <c r="AQ344" i="75" s="1"/>
  <c r="AQ97" i="75" s="1"/>
  <c r="AQ70" i="76"/>
  <c r="AQ180" i="76"/>
  <c r="AQ355" i="76"/>
  <c r="AU326" i="76" l="1"/>
  <c r="AU363" i="76"/>
  <c r="AU344" i="76"/>
  <c r="AU339" i="76"/>
  <c r="AU325" i="76"/>
  <c r="AU340" i="76"/>
  <c r="AU343" i="76"/>
  <c r="HW17" i="71"/>
  <c r="IG17" i="71"/>
  <c r="AQ198" i="76"/>
  <c r="G270" i="71"/>
  <c r="G271" i="71" s="1"/>
  <c r="AM116" i="76"/>
  <c r="AU347" i="76"/>
  <c r="AU322" i="76"/>
  <c r="AU340" i="75"/>
  <c r="AU335" i="76"/>
  <c r="AU359" i="76"/>
  <c r="AU346" i="76"/>
  <c r="AU336" i="76"/>
  <c r="AQ94" i="75"/>
  <c r="AQ90" i="76"/>
  <c r="AU91" i="75"/>
  <c r="AU8" i="76"/>
  <c r="AU118" i="76" s="1"/>
  <c r="AU66" i="76"/>
  <c r="AU176" i="76"/>
  <c r="AU342" i="75"/>
  <c r="AU385" i="76"/>
  <c r="AU341" i="76"/>
  <c r="I310" i="71"/>
  <c r="M287" i="71"/>
  <c r="HZ18" i="71" s="1"/>
  <c r="N286" i="71" a="1"/>
  <c r="N286" i="71" s="1"/>
  <c r="AQ91" i="76"/>
  <c r="AU333" i="76"/>
  <c r="AU154" i="76"/>
  <c r="AU89" i="76"/>
  <c r="AU327" i="76"/>
  <c r="AU328" i="76"/>
  <c r="AU334" i="76"/>
  <c r="AU364" i="76"/>
  <c r="AU349" i="76"/>
  <c r="HX18" i="71"/>
  <c r="HW18" i="71"/>
  <c r="IG18" i="71"/>
  <c r="M276" i="71"/>
  <c r="M277" i="71" s="1"/>
  <c r="AU175" i="76"/>
  <c r="AU65" i="76"/>
  <c r="K280" i="71"/>
  <c r="K314" i="71"/>
  <c r="K278" i="71"/>
  <c r="K281" i="71"/>
  <c r="K279" i="71"/>
  <c r="K302" i="71" s="1"/>
  <c r="K310" i="71" s="1"/>
  <c r="J282" i="71"/>
  <c r="J283" i="71" s="1"/>
  <c r="AU92" i="75"/>
  <c r="AU56" i="76"/>
  <c r="AU166" i="76"/>
  <c r="AU354" i="76"/>
  <c r="AU329" i="76"/>
  <c r="AU345" i="76"/>
  <c r="AU341" i="75"/>
  <c r="AU369" i="76"/>
  <c r="N275" i="71"/>
  <c r="HV19" i="71" s="1"/>
  <c r="O274" i="71" a="1"/>
  <c r="O274" i="71" s="1"/>
  <c r="L278" i="71"/>
  <c r="L280" i="71"/>
  <c r="L281" i="71"/>
  <c r="L314" i="71"/>
  <c r="L279" i="71"/>
  <c r="L302" i="71" s="1"/>
  <c r="L310" i="71" s="1"/>
  <c r="G309" i="71"/>
  <c r="L262" i="71" a="1"/>
  <c r="L262" i="71" s="1"/>
  <c r="AQ201" i="76"/>
  <c r="AU69" i="76"/>
  <c r="AU179" i="76"/>
  <c r="AU93" i="75"/>
  <c r="AM227" i="76"/>
  <c r="AQ88" i="76"/>
  <c r="H268" i="71"/>
  <c r="H313" i="71"/>
  <c r="H269" i="71"/>
  <c r="H266" i="71"/>
  <c r="H267" i="71"/>
  <c r="H301" i="71" s="1"/>
  <c r="H309" i="71" s="1"/>
  <c r="AU370" i="76"/>
  <c r="AU59" i="76"/>
  <c r="AU58" i="76"/>
  <c r="AU57" i="76"/>
  <c r="AU168" i="76"/>
  <c r="AU402" i="76"/>
  <c r="AU167" i="76"/>
  <c r="AU372" i="76"/>
  <c r="AU145" i="76"/>
  <c r="AU371" i="76"/>
  <c r="AU67" i="76"/>
  <c r="AU348" i="76"/>
  <c r="AU405" i="76"/>
  <c r="AU177" i="76"/>
  <c r="AU404" i="76"/>
  <c r="AU169" i="76"/>
  <c r="AU35" i="76"/>
  <c r="AU403" i="76"/>
  <c r="IB17" i="71"/>
  <c r="IH17" i="71"/>
  <c r="L288" i="71"/>
  <c r="L289" i="71" s="1"/>
  <c r="IA17" i="71"/>
  <c r="AQ96" i="75"/>
  <c r="AQ99" i="75" s="1"/>
  <c r="AQ105" i="75" s="1"/>
  <c r="AQ107" i="75" s="1"/>
  <c r="AQ95" i="75"/>
  <c r="K291" i="71"/>
  <c r="K303" i="71" s="1"/>
  <c r="K311" i="71" s="1"/>
  <c r="K292" i="71"/>
  <c r="K290" i="71"/>
  <c r="K293" i="71"/>
  <c r="K315" i="71"/>
  <c r="IF14" i="71"/>
  <c r="HS14" i="71"/>
  <c r="HT14" i="71"/>
  <c r="I264" i="71"/>
  <c r="I265" i="71" s="1"/>
  <c r="J294" i="71"/>
  <c r="J295" i="71" s="1"/>
  <c r="AU324" i="76"/>
  <c r="AU352" i="76"/>
  <c r="AU342" i="76"/>
  <c r="AU366" i="76"/>
  <c r="HR15" i="71"/>
  <c r="HR16" i="71" s="1"/>
  <c r="HP18" i="71"/>
  <c r="HO18" i="71"/>
  <c r="M252" i="71"/>
  <c r="IE18" i="71"/>
  <c r="AU251" i="75"/>
  <c r="AU254" i="75" s="1"/>
  <c r="AU255" i="75" s="1"/>
  <c r="AU321" i="76"/>
  <c r="AU181" i="76"/>
  <c r="AU71" i="76"/>
  <c r="AU68" i="76"/>
  <c r="AU178" i="76"/>
  <c r="AU170" i="76"/>
  <c r="AU60" i="76"/>
  <c r="AU365" i="76"/>
  <c r="BC1" i="75"/>
  <c r="K312" i="71"/>
  <c r="K254" i="71"/>
  <c r="K257" i="71"/>
  <c r="K299" i="71"/>
  <c r="BA5" i="75" s="1"/>
  <c r="K255" i="71"/>
  <c r="K300" i="71" s="1"/>
  <c r="K308" i="71" s="1"/>
  <c r="K256" i="71"/>
  <c r="AQ406" i="76"/>
  <c r="AQ202" i="76" s="1"/>
  <c r="AQ401" i="76"/>
  <c r="AQ92" i="76" s="1"/>
  <c r="L253" i="71"/>
  <c r="L298" i="71"/>
  <c r="BE4" i="75" s="1"/>
  <c r="BE4" i="76" s="1"/>
  <c r="AQ200" i="76"/>
  <c r="AU428" i="75"/>
  <c r="AU430" i="75" s="1"/>
  <c r="AU431" i="75" s="1"/>
  <c r="AU98" i="75" s="1"/>
  <c r="I282" i="71"/>
  <c r="I283" i="71" s="1"/>
  <c r="AY401" i="75"/>
  <c r="AY337" i="75"/>
  <c r="AY400" i="76" s="1"/>
  <c r="AY324" i="75"/>
  <c r="AY387" i="76" s="1"/>
  <c r="AY311" i="75"/>
  <c r="AY374" i="76" s="1"/>
  <c r="AY298" i="75"/>
  <c r="AY294" i="75"/>
  <c r="AY283" i="75"/>
  <c r="AY280" i="75"/>
  <c r="AY268" i="75"/>
  <c r="AY261" i="75"/>
  <c r="AY209" i="75"/>
  <c r="AY210" i="75"/>
  <c r="AY204" i="75"/>
  <c r="AY201" i="75"/>
  <c r="AY180" i="75"/>
  <c r="AY179" i="75"/>
  <c r="AY88" i="75"/>
  <c r="AY78" i="75"/>
  <c r="AY70" i="75"/>
  <c r="AY73" i="75"/>
  <c r="AY55" i="75"/>
  <c r="AY54" i="76" s="1"/>
  <c r="AY164" i="76" s="1"/>
  <c r="AY47" i="75"/>
  <c r="AY46" i="76" s="1"/>
  <c r="AY156" i="76" s="1"/>
  <c r="AY46" i="75"/>
  <c r="AY45" i="76" s="1"/>
  <c r="AY155" i="76" s="1"/>
  <c r="AY23" i="75"/>
  <c r="AY22" i="76" s="1"/>
  <c r="AY132" i="76" s="1"/>
  <c r="AY38" i="75"/>
  <c r="AY37" i="76" s="1"/>
  <c r="AY147" i="76" s="1"/>
  <c r="AY22" i="75"/>
  <c r="AY21" i="76" s="1"/>
  <c r="AY131" i="76" s="1"/>
  <c r="AY40" i="75"/>
  <c r="AY39" i="76" s="1"/>
  <c r="AY149" i="76" s="1"/>
  <c r="AY293" i="75"/>
  <c r="AY208" i="75"/>
  <c r="AY68" i="75"/>
  <c r="AY21" i="75"/>
  <c r="AY20" i="76" s="1"/>
  <c r="AY130" i="76" s="1"/>
  <c r="AY334" i="75"/>
  <c r="AY397" i="76" s="1"/>
  <c r="AY37" i="75"/>
  <c r="AY36" i="76" s="1"/>
  <c r="AY146" i="76" s="1"/>
  <c r="AY397" i="75"/>
  <c r="AY330" i="75"/>
  <c r="AY393" i="76" s="1"/>
  <c r="AY316" i="75"/>
  <c r="AY379" i="76" s="1"/>
  <c r="AY313" i="75"/>
  <c r="AY376" i="76" s="1"/>
  <c r="AY306" i="75"/>
  <c r="AY291" i="75"/>
  <c r="AY279" i="75"/>
  <c r="AY276" i="75"/>
  <c r="AY273" i="75"/>
  <c r="AY217" i="75"/>
  <c r="AY260" i="75"/>
  <c r="AY206" i="75"/>
  <c r="AY200" i="75"/>
  <c r="AY205" i="75"/>
  <c r="AY176" i="75"/>
  <c r="AY175" i="75"/>
  <c r="AY86" i="75"/>
  <c r="AY74" i="75"/>
  <c r="AY66" i="75"/>
  <c r="AY62" i="75"/>
  <c r="AY36" i="75"/>
  <c r="AY69" i="75"/>
  <c r="AY35" i="75"/>
  <c r="AY34" i="76" s="1"/>
  <c r="AY144" i="76" s="1"/>
  <c r="AY19" i="75"/>
  <c r="AY18" i="76" s="1"/>
  <c r="AY128" i="76" s="1"/>
  <c r="AY34" i="75"/>
  <c r="AY33" i="76" s="1"/>
  <c r="AY143" i="76" s="1"/>
  <c r="AY18" i="75"/>
  <c r="AY17" i="76" s="1"/>
  <c r="AY127" i="76" s="1"/>
  <c r="AY39" i="75"/>
  <c r="AY38" i="76" s="1"/>
  <c r="AY148" i="76" s="1"/>
  <c r="AY332" i="75"/>
  <c r="AY395" i="76" s="1"/>
  <c r="AY292" i="75"/>
  <c r="AY274" i="75"/>
  <c r="AY215" i="75"/>
  <c r="AY193" i="75"/>
  <c r="AY187" i="75"/>
  <c r="AY90" i="75"/>
  <c r="AY61" i="75"/>
  <c r="AY81" i="75"/>
  <c r="AY52" i="75"/>
  <c r="AY51" i="76" s="1"/>
  <c r="AY161" i="76" s="1"/>
  <c r="AY13" i="75"/>
  <c r="AY12" i="76" s="1"/>
  <c r="AY122" i="76" s="1"/>
  <c r="AY12" i="75"/>
  <c r="AY11" i="76" s="1"/>
  <c r="AY121" i="76" s="1"/>
  <c r="AY263" i="75"/>
  <c r="AY103" i="75"/>
  <c r="AY59" i="75"/>
  <c r="AY41" i="75"/>
  <c r="AY40" i="76" s="1"/>
  <c r="AY150" i="76" s="1"/>
  <c r="AY399" i="75"/>
  <c r="AY278" i="75"/>
  <c r="AY202" i="75"/>
  <c r="AY104" i="75"/>
  <c r="AY64" i="75"/>
  <c r="AY20" i="75"/>
  <c r="AY19" i="76" s="1"/>
  <c r="AY129" i="76" s="1"/>
  <c r="AY404" i="75"/>
  <c r="AY336" i="75"/>
  <c r="AY399" i="76" s="1"/>
  <c r="AY312" i="75"/>
  <c r="AY375" i="76" s="1"/>
  <c r="AY305" i="75"/>
  <c r="AY309" i="75"/>
  <c r="AY289" i="75"/>
  <c r="AY277" i="75"/>
  <c r="AY287" i="75"/>
  <c r="AY271" i="75"/>
  <c r="AY264" i="75"/>
  <c r="AY258" i="75"/>
  <c r="AY197" i="75"/>
  <c r="AY198" i="75"/>
  <c r="AY190" i="75"/>
  <c r="AY340" i="76" s="1"/>
  <c r="AY174" i="75"/>
  <c r="AY181" i="75"/>
  <c r="AY331" i="76" s="1"/>
  <c r="AY85" i="75"/>
  <c r="AY65" i="75"/>
  <c r="AY83" i="75"/>
  <c r="AY71" i="75"/>
  <c r="AY58" i="75"/>
  <c r="AY43" i="75"/>
  <c r="AY42" i="76" s="1"/>
  <c r="AY152" i="76" s="1"/>
  <c r="AY33" i="75"/>
  <c r="AY32" i="76" s="1"/>
  <c r="AY142" i="76" s="1"/>
  <c r="AY17" i="75"/>
  <c r="AY16" i="76" s="1"/>
  <c r="AY126" i="76" s="1"/>
  <c r="AY32" i="75"/>
  <c r="AY31" i="76" s="1"/>
  <c r="AY141" i="76" s="1"/>
  <c r="AY16" i="75"/>
  <c r="AY15" i="76" s="1"/>
  <c r="AY125" i="76" s="1"/>
  <c r="AY314" i="75"/>
  <c r="AY377" i="76" s="1"/>
  <c r="AY270" i="75"/>
  <c r="AY212" i="75"/>
  <c r="AY203" i="75"/>
  <c r="AY84" i="75"/>
  <c r="AY75" i="75"/>
  <c r="AY25" i="75"/>
  <c r="AY24" i="76" s="1"/>
  <c r="AY134" i="76" s="1"/>
  <c r="AY9" i="75"/>
  <c r="AY396" i="75"/>
  <c r="AY281" i="75"/>
  <c r="AY266" i="75"/>
  <c r="AY207" i="75"/>
  <c r="AY199" i="75"/>
  <c r="AY77" i="75"/>
  <c r="AY57" i="75"/>
  <c r="AY42" i="75"/>
  <c r="AY41" i="76" s="1"/>
  <c r="AY151" i="76" s="1"/>
  <c r="AY402" i="75"/>
  <c r="AY335" i="75"/>
  <c r="AY398" i="76" s="1"/>
  <c r="AY310" i="75"/>
  <c r="AY373" i="76" s="1"/>
  <c r="AY304" i="75"/>
  <c r="AY303" i="75"/>
  <c r="AY295" i="75"/>
  <c r="AY286" i="75"/>
  <c r="AY275" i="75"/>
  <c r="AY269" i="75"/>
  <c r="AY218" i="75"/>
  <c r="AY368" i="76" s="1"/>
  <c r="AY262" i="75"/>
  <c r="AY195" i="75"/>
  <c r="AY196" i="75"/>
  <c r="AY188" i="75"/>
  <c r="AY172" i="75"/>
  <c r="AY322" i="76" s="1"/>
  <c r="AY173" i="75"/>
  <c r="AY323" i="76" s="1"/>
  <c r="AY102" i="75"/>
  <c r="AY63" i="75"/>
  <c r="AY80" i="75"/>
  <c r="AY60" i="75"/>
  <c r="AY56" i="75"/>
  <c r="AY55" i="76" s="1"/>
  <c r="AY165" i="76" s="1"/>
  <c r="AY54" i="75"/>
  <c r="AY53" i="76" s="1"/>
  <c r="AY163" i="76" s="1"/>
  <c r="AY31" i="75"/>
  <c r="AY30" i="76" s="1"/>
  <c r="AY140" i="76" s="1"/>
  <c r="AY15" i="75"/>
  <c r="AY14" i="76" s="1"/>
  <c r="AY124" i="76" s="1"/>
  <c r="AY30" i="75"/>
  <c r="AY29" i="76" s="1"/>
  <c r="AY139" i="76" s="1"/>
  <c r="AY14" i="75"/>
  <c r="AY13" i="76" s="1"/>
  <c r="AY123" i="76" s="1"/>
  <c r="AY400" i="75"/>
  <c r="AY308" i="75"/>
  <c r="AY307" i="75"/>
  <c r="AY301" i="75"/>
  <c r="AY288" i="75"/>
  <c r="AY267" i="75"/>
  <c r="AY216" i="75"/>
  <c r="AY366" i="76" s="1"/>
  <c r="AY194" i="75"/>
  <c r="AY344" i="76" s="1"/>
  <c r="AY185" i="75"/>
  <c r="AY89" i="75"/>
  <c r="AY79" i="75"/>
  <c r="AY53" i="75"/>
  <c r="AY52" i="76" s="1"/>
  <c r="AY162" i="76" s="1"/>
  <c r="AY29" i="75"/>
  <c r="AY28" i="76" s="1"/>
  <c r="AY138" i="76" s="1"/>
  <c r="AY28" i="75"/>
  <c r="AY27" i="76" s="1"/>
  <c r="AY137" i="76" s="1"/>
  <c r="AY328" i="75"/>
  <c r="AY391" i="76" s="1"/>
  <c r="AY182" i="75"/>
  <c r="AY49" i="75"/>
  <c r="AY48" i="76" s="1"/>
  <c r="AY158" i="76" s="1"/>
  <c r="AY322" i="75"/>
  <c r="AY259" i="75"/>
  <c r="AY177" i="75"/>
  <c r="AY44" i="75"/>
  <c r="AY43" i="76" s="1"/>
  <c r="AY153" i="76" s="1"/>
  <c r="AY405" i="75"/>
  <c r="AY395" i="75"/>
  <c r="AY315" i="75"/>
  <c r="AY378" i="76" s="1"/>
  <c r="AY326" i="75"/>
  <c r="AY389" i="76" s="1"/>
  <c r="AY302" i="75"/>
  <c r="AY299" i="75"/>
  <c r="AY290" i="75"/>
  <c r="AY284" i="75"/>
  <c r="AY272" i="75"/>
  <c r="AY265" i="75"/>
  <c r="AY213" i="75"/>
  <c r="AY214" i="75"/>
  <c r="AY191" i="75"/>
  <c r="AY192" i="75"/>
  <c r="AY184" i="75"/>
  <c r="AY183" i="75"/>
  <c r="AY171" i="75"/>
  <c r="AY87" i="75"/>
  <c r="AY72" i="75"/>
  <c r="AY76" i="75"/>
  <c r="AY67" i="75"/>
  <c r="AY51" i="75"/>
  <c r="AY50" i="76" s="1"/>
  <c r="AY160" i="76" s="1"/>
  <c r="AY50" i="75"/>
  <c r="AY49" i="76" s="1"/>
  <c r="AY159" i="76" s="1"/>
  <c r="AY27" i="75"/>
  <c r="AY26" i="76" s="1"/>
  <c r="AY136" i="76" s="1"/>
  <c r="AY11" i="75"/>
  <c r="AY10" i="76" s="1"/>
  <c r="AY120" i="76" s="1"/>
  <c r="AY26" i="75"/>
  <c r="AY25" i="76" s="1"/>
  <c r="AY135" i="76" s="1"/>
  <c r="AY10" i="75"/>
  <c r="AY9" i="76" s="1"/>
  <c r="AY119" i="76" s="1"/>
  <c r="AY403" i="75"/>
  <c r="AY398" i="75"/>
  <c r="AY300" i="75"/>
  <c r="AY297" i="75"/>
  <c r="AY285" i="75"/>
  <c r="AY282" i="75"/>
  <c r="AY211" i="75"/>
  <c r="AY361" i="76" s="1"/>
  <c r="AY189" i="75"/>
  <c r="AY339" i="76" s="1"/>
  <c r="AY186" i="75"/>
  <c r="AY336" i="76" s="1"/>
  <c r="AY82" i="75"/>
  <c r="AY48" i="75"/>
  <c r="AY47" i="76" s="1"/>
  <c r="AY157" i="76" s="1"/>
  <c r="AY24" i="75"/>
  <c r="AY23" i="76" s="1"/>
  <c r="AY133" i="76" s="1"/>
  <c r="AY296" i="75"/>
  <c r="AY178" i="75"/>
  <c r="AY45" i="75"/>
  <c r="AY44" i="76" s="1"/>
  <c r="AY1" i="76"/>
  <c r="N251" i="71"/>
  <c r="HN19" i="71" s="1"/>
  <c r="O250" i="71" a="1"/>
  <c r="O250" i="71" s="1"/>
  <c r="AU368" i="76"/>
  <c r="AU361" i="76"/>
  <c r="AU332" i="76"/>
  <c r="AU70" i="76"/>
  <c r="AU180" i="76"/>
  <c r="AU360" i="76"/>
  <c r="AU330" i="76"/>
  <c r="AY337" i="76" l="1"/>
  <c r="AY352" i="76"/>
  <c r="AU343" i="75"/>
  <c r="AU344" i="75" s="1"/>
  <c r="AU97" i="75" s="1"/>
  <c r="AY363" i="76"/>
  <c r="AY362" i="76"/>
  <c r="AY332" i="76"/>
  <c r="AY347" i="76"/>
  <c r="AY350" i="76"/>
  <c r="AY351" i="76"/>
  <c r="AQ227" i="76"/>
  <c r="AY428" i="75"/>
  <c r="AY430" i="75" s="1"/>
  <c r="AY431" i="75" s="1"/>
  <c r="AY98" i="75" s="1"/>
  <c r="AY356" i="76"/>
  <c r="AY358" i="76"/>
  <c r="AY354" i="76"/>
  <c r="L282" i="71"/>
  <c r="L283" i="71" s="1"/>
  <c r="AY334" i="76"/>
  <c r="AY338" i="76"/>
  <c r="H270" i="71"/>
  <c r="H271" i="71" s="1"/>
  <c r="AQ116" i="76"/>
  <c r="AY327" i="76"/>
  <c r="AY326" i="76"/>
  <c r="AY340" i="75"/>
  <c r="AY328" i="76"/>
  <c r="AY251" i="75"/>
  <c r="AY254" i="75" s="1"/>
  <c r="AY255" i="75" s="1"/>
  <c r="AY321" i="76"/>
  <c r="P250" i="71" a="1"/>
  <c r="P250" i="71" s="1"/>
  <c r="O251" i="71"/>
  <c r="HN20" i="71" s="1"/>
  <c r="AY333" i="76"/>
  <c r="AY92" i="75"/>
  <c r="AY56" i="76"/>
  <c r="AY166" i="76"/>
  <c r="AY367" i="76"/>
  <c r="AY69" i="76"/>
  <c r="AY179" i="76"/>
  <c r="AY359" i="76"/>
  <c r="BC398" i="75"/>
  <c r="BC337" i="75"/>
  <c r="BC400" i="76" s="1"/>
  <c r="BC335" i="75"/>
  <c r="BC398" i="76" s="1"/>
  <c r="BC328" i="75"/>
  <c r="BC391" i="76" s="1"/>
  <c r="BC297" i="75"/>
  <c r="BC296" i="75"/>
  <c r="BC278" i="75"/>
  <c r="BC279" i="75"/>
  <c r="BC274" i="75"/>
  <c r="BC265" i="75"/>
  <c r="BC261" i="75"/>
  <c r="BC209" i="75"/>
  <c r="BC201" i="75"/>
  <c r="BC200" i="75"/>
  <c r="BC186" i="75"/>
  <c r="BC189" i="75"/>
  <c r="BC102" i="75"/>
  <c r="BC73" i="75"/>
  <c r="BC86" i="75"/>
  <c r="BC84" i="75"/>
  <c r="BC52" i="75"/>
  <c r="BC51" i="76" s="1"/>
  <c r="BC161" i="76" s="1"/>
  <c r="BC57" i="75"/>
  <c r="BC34" i="75"/>
  <c r="BC33" i="76" s="1"/>
  <c r="BC143" i="76" s="1"/>
  <c r="BC18" i="75"/>
  <c r="BC17" i="76" s="1"/>
  <c r="BC127" i="76" s="1"/>
  <c r="BC35" i="75"/>
  <c r="BC34" i="76" s="1"/>
  <c r="BC144" i="76" s="1"/>
  <c r="BC19" i="75"/>
  <c r="BC18" i="76" s="1"/>
  <c r="BC128" i="76" s="1"/>
  <c r="BC37" i="75"/>
  <c r="BC36" i="76" s="1"/>
  <c r="BC146" i="76" s="1"/>
  <c r="BC397" i="75"/>
  <c r="BC173" i="75"/>
  <c r="BC58" i="75"/>
  <c r="BC23" i="75"/>
  <c r="BC22" i="76" s="1"/>
  <c r="BC132" i="76" s="1"/>
  <c r="BC405" i="75"/>
  <c r="BC336" i="75"/>
  <c r="BC399" i="76" s="1"/>
  <c r="BC332" i="75"/>
  <c r="BC395" i="76" s="1"/>
  <c r="BC324" i="75"/>
  <c r="BC387" i="76" s="1"/>
  <c r="BC304" i="75"/>
  <c r="BC294" i="75"/>
  <c r="BC276" i="75"/>
  <c r="BC277" i="75"/>
  <c r="BC272" i="75"/>
  <c r="BC262" i="75"/>
  <c r="BC259" i="75"/>
  <c r="BC207" i="75"/>
  <c r="BC199" i="75"/>
  <c r="BC183" i="75"/>
  <c r="BC188" i="75"/>
  <c r="BC180" i="75"/>
  <c r="BC87" i="75"/>
  <c r="BC64" i="75"/>
  <c r="BC85" i="75"/>
  <c r="BC72" i="75"/>
  <c r="BC50" i="75"/>
  <c r="BC49" i="76" s="1"/>
  <c r="BC159" i="76" s="1"/>
  <c r="BC56" i="75"/>
  <c r="BC55" i="76" s="1"/>
  <c r="BC165" i="76" s="1"/>
  <c r="BC32" i="75"/>
  <c r="BC31" i="76" s="1"/>
  <c r="BC141" i="76" s="1"/>
  <c r="BC16" i="75"/>
  <c r="BC15" i="76" s="1"/>
  <c r="BC125" i="76" s="1"/>
  <c r="BC33" i="75"/>
  <c r="BC32" i="76" s="1"/>
  <c r="BC142" i="76" s="1"/>
  <c r="BC17" i="75"/>
  <c r="BC16" i="76" s="1"/>
  <c r="BC126" i="76" s="1"/>
  <c r="BC36" i="75"/>
  <c r="BC103" i="75"/>
  <c r="BC326" i="75"/>
  <c r="BC389" i="76" s="1"/>
  <c r="BC213" i="75"/>
  <c r="BC67" i="75"/>
  <c r="BC22" i="75"/>
  <c r="BC21" i="76" s="1"/>
  <c r="BC131" i="76" s="1"/>
  <c r="BC403" i="75"/>
  <c r="BC315" i="75"/>
  <c r="BC378" i="76" s="1"/>
  <c r="BC311" i="75"/>
  <c r="BC374" i="76" s="1"/>
  <c r="BC307" i="75"/>
  <c r="BC305" i="75"/>
  <c r="BC298" i="75"/>
  <c r="BC288" i="75"/>
  <c r="BC286" i="75"/>
  <c r="BC270" i="75"/>
  <c r="BC216" i="75"/>
  <c r="BC263" i="75"/>
  <c r="BC198" i="75"/>
  <c r="BC205" i="75"/>
  <c r="BC181" i="75"/>
  <c r="BC184" i="75"/>
  <c r="BC178" i="75"/>
  <c r="BC328" i="76" s="1"/>
  <c r="BC90" i="75"/>
  <c r="BC62" i="75"/>
  <c r="BC78" i="75"/>
  <c r="BC82" i="75"/>
  <c r="BC48" i="75"/>
  <c r="BC47" i="76" s="1"/>
  <c r="BC157" i="76" s="1"/>
  <c r="BC53" i="75"/>
  <c r="BC52" i="76" s="1"/>
  <c r="BC162" i="76" s="1"/>
  <c r="BC30" i="75"/>
  <c r="BC29" i="76" s="1"/>
  <c r="BC139" i="76" s="1"/>
  <c r="BC14" i="75"/>
  <c r="BC13" i="76" s="1"/>
  <c r="BC123" i="76" s="1"/>
  <c r="BC31" i="75"/>
  <c r="BC30" i="76" s="1"/>
  <c r="BC140" i="76" s="1"/>
  <c r="BC15" i="75"/>
  <c r="BC14" i="76" s="1"/>
  <c r="BC124" i="76" s="1"/>
  <c r="BC79" i="75"/>
  <c r="BC68" i="75"/>
  <c r="BC25" i="75"/>
  <c r="BC24" i="76" s="1"/>
  <c r="BC134" i="76" s="1"/>
  <c r="BC402" i="75"/>
  <c r="BC301" i="75"/>
  <c r="BC292" i="75"/>
  <c r="BC282" i="75"/>
  <c r="BC283" i="75"/>
  <c r="BC267" i="75"/>
  <c r="BC260" i="75"/>
  <c r="BC208" i="75"/>
  <c r="BC190" i="75"/>
  <c r="BC182" i="75"/>
  <c r="BC76" i="75"/>
  <c r="BC63" i="75"/>
  <c r="BC45" i="75"/>
  <c r="BC44" i="76" s="1"/>
  <c r="BC42" i="75"/>
  <c r="BC41" i="76" s="1"/>
  <c r="BC151" i="76" s="1"/>
  <c r="BC401" i="75"/>
  <c r="BC334" i="75"/>
  <c r="BC397" i="76" s="1"/>
  <c r="BC314" i="75"/>
  <c r="BC377" i="76" s="1"/>
  <c r="BC308" i="75"/>
  <c r="BC302" i="75"/>
  <c r="BC293" i="75"/>
  <c r="BC289" i="75"/>
  <c r="BC273" i="75"/>
  <c r="BC268" i="75"/>
  <c r="BC214" i="75"/>
  <c r="BC217" i="75"/>
  <c r="BC196" i="75"/>
  <c r="BC197" i="75"/>
  <c r="BC179" i="75"/>
  <c r="BC191" i="75"/>
  <c r="BC172" i="75"/>
  <c r="BC322" i="76" s="1"/>
  <c r="BC88" i="75"/>
  <c r="BC83" i="75"/>
  <c r="BC77" i="75"/>
  <c r="BC66" i="75"/>
  <c r="BC46" i="75"/>
  <c r="BC45" i="76" s="1"/>
  <c r="BC155" i="76" s="1"/>
  <c r="BC51" i="75"/>
  <c r="BC50" i="76" s="1"/>
  <c r="BC160" i="76" s="1"/>
  <c r="BC28" i="75"/>
  <c r="BC27" i="76" s="1"/>
  <c r="BC137" i="76" s="1"/>
  <c r="BC12" i="75"/>
  <c r="BC11" i="76" s="1"/>
  <c r="BC121" i="76" s="1"/>
  <c r="BC29" i="75"/>
  <c r="BC28" i="76" s="1"/>
  <c r="BC138" i="76" s="1"/>
  <c r="BC13" i="75"/>
  <c r="BC12" i="76" s="1"/>
  <c r="BC122" i="76" s="1"/>
  <c r="BC185" i="75"/>
  <c r="BC312" i="75"/>
  <c r="BC375" i="76" s="1"/>
  <c r="BC104" i="75"/>
  <c r="BC40" i="75"/>
  <c r="BC39" i="76" s="1"/>
  <c r="BC149" i="76" s="1"/>
  <c r="BC399" i="75"/>
  <c r="BC316" i="75"/>
  <c r="BC379" i="76" s="1"/>
  <c r="BC309" i="75"/>
  <c r="BC306" i="75"/>
  <c r="BC300" i="75"/>
  <c r="BC291" i="75"/>
  <c r="BC287" i="75"/>
  <c r="BC271" i="75"/>
  <c r="BC266" i="75"/>
  <c r="BC212" i="75"/>
  <c r="BC218" i="75"/>
  <c r="BC194" i="75"/>
  <c r="BC195" i="75"/>
  <c r="BC177" i="75"/>
  <c r="BC187" i="75"/>
  <c r="BC337" i="76" s="1"/>
  <c r="BC176" i="75"/>
  <c r="BC326" i="76" s="1"/>
  <c r="BC80" i="75"/>
  <c r="BC71" i="75"/>
  <c r="BC74" i="75"/>
  <c r="BC70" i="75"/>
  <c r="BC44" i="75"/>
  <c r="BC43" i="76" s="1"/>
  <c r="BC153" i="76" s="1"/>
  <c r="BC49" i="75"/>
  <c r="BC48" i="76" s="1"/>
  <c r="BC158" i="76" s="1"/>
  <c r="BC26" i="75"/>
  <c r="BC25" i="76" s="1"/>
  <c r="BC135" i="76" s="1"/>
  <c r="BC10" i="75"/>
  <c r="BC9" i="76" s="1"/>
  <c r="BC119" i="76" s="1"/>
  <c r="BC27" i="75"/>
  <c r="BC26" i="76" s="1"/>
  <c r="BC136" i="76" s="1"/>
  <c r="BC11" i="75"/>
  <c r="BC10" i="76" s="1"/>
  <c r="BC120" i="76" s="1"/>
  <c r="BC65" i="75"/>
  <c r="BC24" i="75"/>
  <c r="BC23" i="76" s="1"/>
  <c r="BC133" i="76" s="1"/>
  <c r="BC9" i="75"/>
  <c r="BC204" i="75"/>
  <c r="BC354" i="76" s="1"/>
  <c r="BC59" i="75"/>
  <c r="BC404" i="75"/>
  <c r="BC396" i="75"/>
  <c r="BC330" i="75"/>
  <c r="BC393" i="76" s="1"/>
  <c r="BC313" i="75"/>
  <c r="BC376" i="76" s="1"/>
  <c r="BC303" i="75"/>
  <c r="BC295" i="75"/>
  <c r="BC284" i="75"/>
  <c r="BC285" i="75"/>
  <c r="BC269" i="75"/>
  <c r="BC264" i="75"/>
  <c r="BC210" i="75"/>
  <c r="BC360" i="76" s="1"/>
  <c r="BC215" i="75"/>
  <c r="BC192" i="75"/>
  <c r="BC193" i="75"/>
  <c r="BC175" i="75"/>
  <c r="BC325" i="76" s="1"/>
  <c r="BC69" i="75"/>
  <c r="BC60" i="75"/>
  <c r="BC47" i="75"/>
  <c r="BC46" i="76" s="1"/>
  <c r="BC156" i="76" s="1"/>
  <c r="BC41" i="75"/>
  <c r="BC40" i="76" s="1"/>
  <c r="BC150" i="76" s="1"/>
  <c r="BC400" i="75"/>
  <c r="BC395" i="75"/>
  <c r="BC322" i="75"/>
  <c r="BC310" i="75"/>
  <c r="BC373" i="76" s="1"/>
  <c r="BC299" i="75"/>
  <c r="BC290" i="75"/>
  <c r="BC280" i="75"/>
  <c r="BC281" i="75"/>
  <c r="BC275" i="75"/>
  <c r="BC258" i="75"/>
  <c r="BC206" i="75"/>
  <c r="BC211" i="75"/>
  <c r="BC361" i="76" s="1"/>
  <c r="BC203" i="75"/>
  <c r="BC202" i="75"/>
  <c r="BC352" i="76" s="1"/>
  <c r="BC171" i="75"/>
  <c r="BC174" i="75"/>
  <c r="BC324" i="76" s="1"/>
  <c r="BC89" i="75"/>
  <c r="BC75" i="75"/>
  <c r="BC81" i="75"/>
  <c r="BC61" i="75"/>
  <c r="BC54" i="75"/>
  <c r="BC53" i="76" s="1"/>
  <c r="BC163" i="76" s="1"/>
  <c r="BC55" i="75"/>
  <c r="BC54" i="76" s="1"/>
  <c r="BC164" i="76" s="1"/>
  <c r="BC43" i="75"/>
  <c r="BC42" i="76" s="1"/>
  <c r="BC152" i="76" s="1"/>
  <c r="BC20" i="75"/>
  <c r="BC19" i="76" s="1"/>
  <c r="BC129" i="76" s="1"/>
  <c r="BC39" i="75"/>
  <c r="BC38" i="76" s="1"/>
  <c r="BC148" i="76" s="1"/>
  <c r="BC21" i="75"/>
  <c r="BC20" i="76" s="1"/>
  <c r="BC130" i="76" s="1"/>
  <c r="BC38" i="75"/>
  <c r="BC37" i="76" s="1"/>
  <c r="BC147" i="76" s="1"/>
  <c r="BC1" i="76"/>
  <c r="AU401" i="76"/>
  <c r="AU92" i="76" s="1"/>
  <c r="AU406" i="76"/>
  <c r="AU202" i="76" s="1"/>
  <c r="O275" i="71"/>
  <c r="HV20" i="71" s="1"/>
  <c r="P274" i="71" a="1"/>
  <c r="P274" i="71" s="1"/>
  <c r="AU200" i="76"/>
  <c r="K282" i="71"/>
  <c r="K283" i="71" s="1"/>
  <c r="AU88" i="76"/>
  <c r="M288" i="71"/>
  <c r="M289" i="71" s="1"/>
  <c r="IH18" i="71"/>
  <c r="IB18" i="71"/>
  <c r="IA18" i="71"/>
  <c r="AY154" i="76"/>
  <c r="AY89" i="76"/>
  <c r="J264" i="71"/>
  <c r="J265" i="71" s="1"/>
  <c r="IF15" i="71"/>
  <c r="HT15" i="71"/>
  <c r="HS15" i="71"/>
  <c r="HW19" i="71"/>
  <c r="HX19" i="71"/>
  <c r="IG19" i="71"/>
  <c r="N276" i="71"/>
  <c r="N277" i="71" s="1"/>
  <c r="AU90" i="76"/>
  <c r="AY342" i="76"/>
  <c r="AY346" i="76"/>
  <c r="AY349" i="76"/>
  <c r="AY324" i="76"/>
  <c r="AY343" i="76"/>
  <c r="AY325" i="76"/>
  <c r="K258" i="71"/>
  <c r="K259" i="71" s="1"/>
  <c r="AU198" i="76"/>
  <c r="HO19" i="71"/>
  <c r="IE19" i="71"/>
  <c r="HP19" i="71"/>
  <c r="N252" i="71"/>
  <c r="AY176" i="76"/>
  <c r="AY66" i="76"/>
  <c r="AY341" i="76"/>
  <c r="AY342" i="75"/>
  <c r="AY385" i="76"/>
  <c r="AY345" i="76"/>
  <c r="AY357" i="76"/>
  <c r="AY353" i="76"/>
  <c r="AY365" i="76"/>
  <c r="AY329" i="76"/>
  <c r="M298" i="71"/>
  <c r="BI4" i="75" s="1"/>
  <c r="BI4" i="76" s="1"/>
  <c r="M253" i="71"/>
  <c r="AU201" i="76"/>
  <c r="AU94" i="75"/>
  <c r="K264" i="71"/>
  <c r="K265" i="71" s="1"/>
  <c r="HS16" i="71"/>
  <c r="IF16" i="71"/>
  <c r="HT16" i="71"/>
  <c r="AY364" i="76"/>
  <c r="AY335" i="76"/>
  <c r="AY68" i="76"/>
  <c r="AY178" i="76"/>
  <c r="AY355" i="76"/>
  <c r="AY330" i="76"/>
  <c r="L315" i="71"/>
  <c r="L290" i="71"/>
  <c r="L292" i="71"/>
  <c r="L293" i="71"/>
  <c r="L291" i="71"/>
  <c r="L303" i="71" s="1"/>
  <c r="L311" i="71" s="1"/>
  <c r="AY371" i="76"/>
  <c r="AY145" i="76"/>
  <c r="AY405" i="76"/>
  <c r="AY35" i="76"/>
  <c r="AY167" i="76"/>
  <c r="AY402" i="76"/>
  <c r="AY169" i="76"/>
  <c r="AY372" i="76"/>
  <c r="AY67" i="76"/>
  <c r="AY370" i="76"/>
  <c r="AY59" i="76"/>
  <c r="AY348" i="76"/>
  <c r="AY177" i="76"/>
  <c r="AY58" i="76"/>
  <c r="AY404" i="76"/>
  <c r="AY168" i="76"/>
  <c r="AY57" i="76"/>
  <c r="AY403" i="76"/>
  <c r="AY70" i="76"/>
  <c r="AY180" i="76"/>
  <c r="AY341" i="75"/>
  <c r="AY369" i="76"/>
  <c r="AY93" i="75"/>
  <c r="L263" i="71"/>
  <c r="HR17" i="71" s="1"/>
  <c r="M262" i="71" a="1"/>
  <c r="M262" i="71" s="1"/>
  <c r="AU91" i="76"/>
  <c r="AY91" i="75"/>
  <c r="AY8" i="76"/>
  <c r="AY118" i="76" s="1"/>
  <c r="AY170" i="76"/>
  <c r="AY60" i="76"/>
  <c r="AY175" i="76"/>
  <c r="AY65" i="76"/>
  <c r="AY181" i="76"/>
  <c r="AY71" i="76"/>
  <c r="AY360" i="76"/>
  <c r="BG1" i="75"/>
  <c r="L312" i="71"/>
  <c r="L299" i="71"/>
  <c r="BE5" i="75" s="1"/>
  <c r="L254" i="71"/>
  <c r="L257" i="71"/>
  <c r="L256" i="71"/>
  <c r="L258" i="71" s="1"/>
  <c r="L259" i="71" s="1"/>
  <c r="L255" i="71"/>
  <c r="L300" i="71" s="1"/>
  <c r="L308" i="71" s="1"/>
  <c r="I313" i="71"/>
  <c r="I268" i="71"/>
  <c r="I267" i="71"/>
  <c r="I301" i="71" s="1"/>
  <c r="I309" i="71" s="1"/>
  <c r="I269" i="71"/>
  <c r="I266" i="71"/>
  <c r="K294" i="71"/>
  <c r="K295" i="71" s="1"/>
  <c r="M280" i="71"/>
  <c r="M279" i="71"/>
  <c r="M302" i="71" s="1"/>
  <c r="M281" i="71"/>
  <c r="M278" i="71"/>
  <c r="M314" i="71"/>
  <c r="N287" i="71"/>
  <c r="HZ19" i="71" s="1"/>
  <c r="O286" i="71" a="1"/>
  <c r="O286" i="71" s="1"/>
  <c r="BC367" i="76" l="1"/>
  <c r="BC368" i="76"/>
  <c r="BC346" i="76"/>
  <c r="BC356" i="76"/>
  <c r="BC345" i="76"/>
  <c r="BC335" i="76"/>
  <c r="BC342" i="76"/>
  <c r="BC353" i="76"/>
  <c r="BC327" i="76"/>
  <c r="M282" i="71"/>
  <c r="M283" i="71" s="1"/>
  <c r="BC428" i="75"/>
  <c r="BC430" i="75" s="1"/>
  <c r="BC431" i="75" s="1"/>
  <c r="BC98" i="75" s="1"/>
  <c r="AY201" i="76"/>
  <c r="BC341" i="76"/>
  <c r="AY94" i="75"/>
  <c r="BC332" i="76"/>
  <c r="BC334" i="76"/>
  <c r="BC338" i="76"/>
  <c r="BC350" i="76"/>
  <c r="BC340" i="76"/>
  <c r="BC355" i="76"/>
  <c r="BC349" i="76"/>
  <c r="L294" i="71"/>
  <c r="L295" i="71" s="1"/>
  <c r="AY88" i="76"/>
  <c r="BC365" i="76"/>
  <c r="BC357" i="76"/>
  <c r="HT17" i="71"/>
  <c r="L264" i="71"/>
  <c r="L265" i="71" s="1"/>
  <c r="HS17" i="71"/>
  <c r="IF17" i="71"/>
  <c r="BK1" i="75"/>
  <c r="M312" i="71"/>
  <c r="M256" i="71"/>
  <c r="M299" i="71"/>
  <c r="BI5" i="75" s="1"/>
  <c r="M257" i="71"/>
  <c r="M255" i="71"/>
  <c r="M300" i="71" s="1"/>
  <c r="M308" i="71" s="1"/>
  <c r="M254" i="71"/>
  <c r="AU116" i="76"/>
  <c r="BC66" i="76"/>
  <c r="BC176" i="76"/>
  <c r="AU227" i="76"/>
  <c r="J269" i="71"/>
  <c r="J266" i="71"/>
  <c r="J268" i="71"/>
  <c r="J267" i="71"/>
  <c r="J301" i="71" s="1"/>
  <c r="J309" i="71" s="1"/>
  <c r="J313" i="71"/>
  <c r="BC342" i="75"/>
  <c r="BC385" i="76"/>
  <c r="BC343" i="76"/>
  <c r="BC91" i="75"/>
  <c r="BC8" i="76"/>
  <c r="BC118" i="76" s="1"/>
  <c r="BC331" i="76"/>
  <c r="BC363" i="76"/>
  <c r="BC333" i="76"/>
  <c r="BC323" i="76"/>
  <c r="BC351" i="76"/>
  <c r="AY406" i="76"/>
  <c r="AY202" i="76" s="1"/>
  <c r="AY401" i="76"/>
  <c r="AY92" i="76" s="1"/>
  <c r="BC60" i="76"/>
  <c r="BC170" i="76"/>
  <c r="BC92" i="75"/>
  <c r="BC56" i="76"/>
  <c r="BC166" i="76"/>
  <c r="N314" i="71"/>
  <c r="N280" i="71"/>
  <c r="N279" i="71"/>
  <c r="N302" i="71" s="1"/>
  <c r="N310" i="71" s="1"/>
  <c r="N278" i="71"/>
  <c r="N281" i="71"/>
  <c r="BC340" i="75"/>
  <c r="BC179" i="76"/>
  <c r="BC69" i="76"/>
  <c r="BC344" i="76"/>
  <c r="BC341" i="75"/>
  <c r="BC369" i="76"/>
  <c r="BC364" i="76"/>
  <c r="BC358" i="76"/>
  <c r="BC359" i="76"/>
  <c r="P286" i="71" a="1"/>
  <c r="P286" i="71" s="1"/>
  <c r="O287" i="71"/>
  <c r="HZ20" i="71" s="1"/>
  <c r="P275" i="71"/>
  <c r="HV21" i="71" s="1"/>
  <c r="Q274" i="71" a="1"/>
  <c r="Q274" i="71" s="1"/>
  <c r="BC93" i="75"/>
  <c r="AY200" i="76"/>
  <c r="M310" i="71"/>
  <c r="BC348" i="76"/>
  <c r="BC58" i="76"/>
  <c r="BC402" i="76"/>
  <c r="BC403" i="76"/>
  <c r="BC370" i="76"/>
  <c r="BC59" i="76"/>
  <c r="BC405" i="76"/>
  <c r="BC177" i="76"/>
  <c r="BC57" i="76"/>
  <c r="BC404" i="76"/>
  <c r="BC169" i="76"/>
  <c r="BC35" i="76"/>
  <c r="BC167" i="76"/>
  <c r="BC168" i="76"/>
  <c r="BC371" i="76"/>
  <c r="BC372" i="76"/>
  <c r="BC145" i="76"/>
  <c r="BC67" i="76"/>
  <c r="BC175" i="76"/>
  <c r="BC65" i="76"/>
  <c r="AY91" i="76"/>
  <c r="K269" i="71"/>
  <c r="K266" i="71"/>
  <c r="K313" i="71"/>
  <c r="K267" i="71"/>
  <c r="K301" i="71" s="1"/>
  <c r="K309" i="71" s="1"/>
  <c r="K268" i="71"/>
  <c r="IG20" i="71"/>
  <c r="O276" i="71"/>
  <c r="O277" i="71" s="1"/>
  <c r="HW20" i="71"/>
  <c r="HX20" i="71"/>
  <c r="BC70" i="76"/>
  <c r="BC180" i="76"/>
  <c r="BC362" i="76"/>
  <c r="BC181" i="76"/>
  <c r="BC71" i="76"/>
  <c r="AY90" i="76"/>
  <c r="AY343" i="75"/>
  <c r="AY344" i="75" s="1"/>
  <c r="AY97" i="75" s="1"/>
  <c r="N288" i="71"/>
  <c r="N289" i="71" s="1"/>
  <c r="IH19" i="71"/>
  <c r="IB19" i="71"/>
  <c r="IA19" i="71"/>
  <c r="N298" i="71"/>
  <c r="BM4" i="75" s="1"/>
  <c r="BM4" i="76" s="1"/>
  <c r="G15" i="50" s="1"/>
  <c r="N253" i="71"/>
  <c r="BC251" i="75"/>
  <c r="BC254" i="75" s="1"/>
  <c r="BC255" i="75" s="1"/>
  <c r="BC321" i="76"/>
  <c r="BC154" i="76"/>
  <c r="BC89" i="76"/>
  <c r="BC366" i="76"/>
  <c r="P251" i="71"/>
  <c r="HN21" i="71" s="1"/>
  <c r="Q250" i="71" a="1"/>
  <c r="Q250" i="71" s="1"/>
  <c r="I270" i="71"/>
  <c r="I271" i="71" s="1"/>
  <c r="BG400" i="75"/>
  <c r="BG315" i="75"/>
  <c r="BG378" i="76" s="1"/>
  <c r="BG310" i="75"/>
  <c r="BG373" i="76" s="1"/>
  <c r="BG305" i="75"/>
  <c r="BG301" i="75"/>
  <c r="BG292" i="75"/>
  <c r="BG287" i="75"/>
  <c r="BG274" i="75"/>
  <c r="BG267" i="75"/>
  <c r="BG215" i="75"/>
  <c r="BG216" i="75"/>
  <c r="BG193" i="75"/>
  <c r="BG196" i="75"/>
  <c r="BG182" i="75"/>
  <c r="BG185" i="75"/>
  <c r="BG102" i="75"/>
  <c r="BG171" i="75"/>
  <c r="BG61" i="75"/>
  <c r="BG79" i="75"/>
  <c r="BG83" i="75"/>
  <c r="BG51" i="75"/>
  <c r="BG50" i="76" s="1"/>
  <c r="BG160" i="76" s="1"/>
  <c r="BG52" i="75"/>
  <c r="BG51" i="76" s="1"/>
  <c r="BG161" i="76" s="1"/>
  <c r="BG31" i="75"/>
  <c r="BG30" i="76" s="1"/>
  <c r="BG140" i="76" s="1"/>
  <c r="BG15" i="75"/>
  <c r="BG14" i="76" s="1"/>
  <c r="BG124" i="76" s="1"/>
  <c r="BG34" i="75"/>
  <c r="BG33" i="76" s="1"/>
  <c r="BG143" i="76" s="1"/>
  <c r="BG18" i="75"/>
  <c r="BG17" i="76" s="1"/>
  <c r="BG127" i="76" s="1"/>
  <c r="BG398" i="75"/>
  <c r="BG286" i="75"/>
  <c r="BG213" i="75"/>
  <c r="BG180" i="75"/>
  <c r="BG72" i="75"/>
  <c r="BG49" i="75"/>
  <c r="BG48" i="76" s="1"/>
  <c r="BG158" i="76" s="1"/>
  <c r="BG13" i="75"/>
  <c r="BG12" i="76" s="1"/>
  <c r="BG122" i="76" s="1"/>
  <c r="BG324" i="75"/>
  <c r="BG387" i="76" s="1"/>
  <c r="BG270" i="75"/>
  <c r="BG211" i="75"/>
  <c r="BG189" i="75"/>
  <c r="BG88" i="75"/>
  <c r="BG75" i="75"/>
  <c r="BG47" i="75"/>
  <c r="BG46" i="76" s="1"/>
  <c r="BG156" i="76" s="1"/>
  <c r="BG14" i="75"/>
  <c r="BG13" i="76" s="1"/>
  <c r="BG123" i="76" s="1"/>
  <c r="BG401" i="75"/>
  <c r="BG337" i="75"/>
  <c r="BG400" i="76" s="1"/>
  <c r="BG336" i="75"/>
  <c r="BG399" i="76" s="1"/>
  <c r="BG322" i="75"/>
  <c r="BG298" i="75"/>
  <c r="BG293" i="75"/>
  <c r="BG283" i="75"/>
  <c r="BG282" i="75"/>
  <c r="BG268" i="75"/>
  <c r="BG262" i="75"/>
  <c r="BG209" i="75"/>
  <c r="BG210" i="75"/>
  <c r="BG205" i="75"/>
  <c r="BG355" i="76" s="1"/>
  <c r="BG203" i="75"/>
  <c r="BG353" i="76" s="1"/>
  <c r="BG176" i="75"/>
  <c r="BG177" i="75"/>
  <c r="BG86" i="75"/>
  <c r="BG78" i="75"/>
  <c r="BG68" i="75"/>
  <c r="BG73" i="75"/>
  <c r="BG69" i="75"/>
  <c r="BG45" i="75"/>
  <c r="BG44" i="76" s="1"/>
  <c r="BG46" i="75"/>
  <c r="BG45" i="76" s="1"/>
  <c r="BG155" i="76" s="1"/>
  <c r="BG25" i="75"/>
  <c r="BG24" i="76" s="1"/>
  <c r="BG134" i="76" s="1"/>
  <c r="BG9" i="75"/>
  <c r="BG28" i="75"/>
  <c r="BG27" i="76" s="1"/>
  <c r="BG137" i="76" s="1"/>
  <c r="BG12" i="75"/>
  <c r="BG11" i="76" s="1"/>
  <c r="BG121" i="76" s="1"/>
  <c r="BG70" i="75"/>
  <c r="BG399" i="75"/>
  <c r="BG396" i="75"/>
  <c r="BG334" i="75"/>
  <c r="BG397" i="76" s="1"/>
  <c r="BG311" i="75"/>
  <c r="BG374" i="76" s="1"/>
  <c r="BG296" i="75"/>
  <c r="BG291" i="75"/>
  <c r="BG281" i="75"/>
  <c r="BG280" i="75"/>
  <c r="BG266" i="75"/>
  <c r="BG261" i="75"/>
  <c r="BG207" i="75"/>
  <c r="BG208" i="75"/>
  <c r="BG204" i="75"/>
  <c r="BG201" i="75"/>
  <c r="BG174" i="75"/>
  <c r="BG175" i="75"/>
  <c r="BG85" i="75"/>
  <c r="BG77" i="75"/>
  <c r="BG66" i="75"/>
  <c r="BG64" i="75"/>
  <c r="BG59" i="75"/>
  <c r="BG43" i="75"/>
  <c r="BG42" i="76" s="1"/>
  <c r="BG152" i="76" s="1"/>
  <c r="BG44" i="75"/>
  <c r="BG43" i="76" s="1"/>
  <c r="BG153" i="76" s="1"/>
  <c r="BG23" i="75"/>
  <c r="BG22" i="76" s="1"/>
  <c r="BG132" i="76" s="1"/>
  <c r="BG41" i="75"/>
  <c r="BG40" i="76" s="1"/>
  <c r="BG150" i="76" s="1"/>
  <c r="BG26" i="75"/>
  <c r="BG25" i="76" s="1"/>
  <c r="BG135" i="76" s="1"/>
  <c r="BG10" i="75"/>
  <c r="BG9" i="76" s="1"/>
  <c r="BG119" i="76" s="1"/>
  <c r="BG40" i="75"/>
  <c r="BG39" i="76" s="1"/>
  <c r="BG149" i="76" s="1"/>
  <c r="BG37" i="75"/>
  <c r="BG36" i="76" s="1"/>
  <c r="BG146" i="76" s="1"/>
  <c r="BG326" i="75"/>
  <c r="BG389" i="76" s="1"/>
  <c r="BG90" i="75"/>
  <c r="BG55" i="75"/>
  <c r="BG54" i="76" s="1"/>
  <c r="BG164" i="76" s="1"/>
  <c r="BG32" i="75"/>
  <c r="BG31" i="76" s="1"/>
  <c r="BG141" i="76" s="1"/>
  <c r="BG403" i="75"/>
  <c r="BG308" i="75"/>
  <c r="BG294" i="75"/>
  <c r="BG285" i="75"/>
  <c r="BG284" i="75"/>
  <c r="BG263" i="75"/>
  <c r="BG212" i="75"/>
  <c r="BG192" i="75"/>
  <c r="BG81" i="75"/>
  <c r="BG36" i="75"/>
  <c r="BG48" i="75"/>
  <c r="BG47" i="76" s="1"/>
  <c r="BG157" i="76" s="1"/>
  <c r="BG30" i="75"/>
  <c r="BG29" i="76" s="1"/>
  <c r="BG139" i="76" s="1"/>
  <c r="BG397" i="75"/>
  <c r="BG330" i="75"/>
  <c r="BG393" i="76" s="1"/>
  <c r="BG316" i="75"/>
  <c r="BG379" i="76" s="1"/>
  <c r="BG314" i="75"/>
  <c r="BG377" i="76" s="1"/>
  <c r="BG309" i="75"/>
  <c r="BG289" i="75"/>
  <c r="BG279" i="75"/>
  <c r="BG278" i="75"/>
  <c r="BG273" i="75"/>
  <c r="BG259" i="75"/>
  <c r="BG260" i="75"/>
  <c r="BG206" i="75"/>
  <c r="BG202" i="75"/>
  <c r="BG352" i="76" s="1"/>
  <c r="BG199" i="75"/>
  <c r="BG172" i="75"/>
  <c r="BG181" i="75"/>
  <c r="BG331" i="76" s="1"/>
  <c r="BG103" i="75"/>
  <c r="BG74" i="75"/>
  <c r="BG84" i="75"/>
  <c r="BG62" i="75"/>
  <c r="BG57" i="75"/>
  <c r="BG58" i="75"/>
  <c r="BG21" i="75"/>
  <c r="BG20" i="76" s="1"/>
  <c r="BG130" i="76" s="1"/>
  <c r="BG39" i="75"/>
  <c r="BG38" i="76" s="1"/>
  <c r="BG148" i="76" s="1"/>
  <c r="BG24" i="75"/>
  <c r="BG23" i="76" s="1"/>
  <c r="BG133" i="76" s="1"/>
  <c r="BG194" i="75"/>
  <c r="BG344" i="76" s="1"/>
  <c r="BG300" i="75"/>
  <c r="BG178" i="75"/>
  <c r="BG27" i="75"/>
  <c r="BG26" i="76" s="1"/>
  <c r="BG136" i="76" s="1"/>
  <c r="BG404" i="75"/>
  <c r="BG332" i="75"/>
  <c r="BG395" i="76" s="1"/>
  <c r="BG313" i="75"/>
  <c r="BG376" i="76" s="1"/>
  <c r="BG306" i="75"/>
  <c r="BG307" i="75"/>
  <c r="BG297" i="75"/>
  <c r="BG277" i="75"/>
  <c r="BG276" i="75"/>
  <c r="BG271" i="75"/>
  <c r="BG217" i="75"/>
  <c r="BG258" i="75"/>
  <c r="BG197" i="75"/>
  <c r="BG347" i="76" s="1"/>
  <c r="BG200" i="75"/>
  <c r="BG186" i="75"/>
  <c r="BG188" i="75"/>
  <c r="BG173" i="75"/>
  <c r="BG323" i="76" s="1"/>
  <c r="BG89" i="75"/>
  <c r="BG65" i="75"/>
  <c r="BG82" i="75"/>
  <c r="BG71" i="75"/>
  <c r="BG56" i="75"/>
  <c r="BG55" i="76" s="1"/>
  <c r="BG165" i="76" s="1"/>
  <c r="BG67" i="75"/>
  <c r="BG35" i="75"/>
  <c r="BG34" i="76" s="1"/>
  <c r="BG144" i="76" s="1"/>
  <c r="BG19" i="75"/>
  <c r="BG18" i="76" s="1"/>
  <c r="BG128" i="76" s="1"/>
  <c r="BG42" i="75"/>
  <c r="BG41" i="76" s="1"/>
  <c r="BG151" i="76" s="1"/>
  <c r="BG22" i="75"/>
  <c r="BG21" i="76" s="1"/>
  <c r="BG131" i="76" s="1"/>
  <c r="BG405" i="75"/>
  <c r="BG328" i="75"/>
  <c r="BG391" i="76" s="1"/>
  <c r="BG302" i="75"/>
  <c r="BG290" i="75"/>
  <c r="BG265" i="75"/>
  <c r="BG191" i="75"/>
  <c r="BG87" i="75"/>
  <c r="BG50" i="75"/>
  <c r="BG49" i="76" s="1"/>
  <c r="BG159" i="76" s="1"/>
  <c r="BG402" i="75"/>
  <c r="BG335" i="75"/>
  <c r="BG398" i="76" s="1"/>
  <c r="BG312" i="75"/>
  <c r="BG375" i="76" s="1"/>
  <c r="BG304" i="75"/>
  <c r="BG303" i="75"/>
  <c r="BG295" i="75"/>
  <c r="BG288" i="75"/>
  <c r="BG275" i="75"/>
  <c r="BG269" i="75"/>
  <c r="BG218" i="75"/>
  <c r="BG264" i="75"/>
  <c r="BG195" i="75"/>
  <c r="BG198" i="75"/>
  <c r="BG184" i="75"/>
  <c r="BG334" i="76" s="1"/>
  <c r="BG187" i="75"/>
  <c r="BG337" i="76" s="1"/>
  <c r="BG179" i="75"/>
  <c r="BG104" i="75"/>
  <c r="BG63" i="75"/>
  <c r="BG80" i="75"/>
  <c r="BG60" i="75"/>
  <c r="BG53" i="75"/>
  <c r="BG52" i="76" s="1"/>
  <c r="BG162" i="76" s="1"/>
  <c r="BG54" i="75"/>
  <c r="BG53" i="76" s="1"/>
  <c r="BG163" i="76" s="1"/>
  <c r="BG33" i="75"/>
  <c r="BG32" i="76" s="1"/>
  <c r="BG142" i="76" s="1"/>
  <c r="BG17" i="75"/>
  <c r="BG16" i="76" s="1"/>
  <c r="BG126" i="76" s="1"/>
  <c r="BG38" i="75"/>
  <c r="BG37" i="76" s="1"/>
  <c r="BG147" i="76" s="1"/>
  <c r="BG20" i="75"/>
  <c r="BG19" i="76" s="1"/>
  <c r="BG129" i="76" s="1"/>
  <c r="BG299" i="75"/>
  <c r="BG272" i="75"/>
  <c r="BG214" i="75"/>
  <c r="BG364" i="76" s="1"/>
  <c r="BG190" i="75"/>
  <c r="BG340" i="76" s="1"/>
  <c r="BG76" i="75"/>
  <c r="BG29" i="75"/>
  <c r="BG28" i="76" s="1"/>
  <c r="BG138" i="76" s="1"/>
  <c r="BG16" i="75"/>
  <c r="BG15" i="76" s="1"/>
  <c r="BG125" i="76" s="1"/>
  <c r="BG395" i="75"/>
  <c r="BG183" i="75"/>
  <c r="BG11" i="75"/>
  <c r="BG10" i="76" s="1"/>
  <c r="BG120" i="76" s="1"/>
  <c r="BG1" i="76"/>
  <c r="AY198" i="76"/>
  <c r="AY227" i="76" s="1"/>
  <c r="AU95" i="75"/>
  <c r="AU96" i="75"/>
  <c r="AU99" i="75" s="1"/>
  <c r="AU105" i="75" s="1"/>
  <c r="AU107" i="75" s="1"/>
  <c r="BC329" i="76"/>
  <c r="BC339" i="76"/>
  <c r="M263" i="71"/>
  <c r="HR18" i="71" s="1"/>
  <c r="N262" i="71" a="1"/>
  <c r="N262" i="71" s="1"/>
  <c r="AY95" i="75"/>
  <c r="AY96" i="75"/>
  <c r="M292" i="71"/>
  <c r="M315" i="71"/>
  <c r="M291" i="71"/>
  <c r="M303" i="71" s="1"/>
  <c r="M311" i="71" s="1"/>
  <c r="M290" i="71"/>
  <c r="M293" i="71"/>
  <c r="BC68" i="76"/>
  <c r="BC178" i="76"/>
  <c r="BC347" i="76"/>
  <c r="BC330" i="76"/>
  <c r="BC336" i="76"/>
  <c r="HP20" i="71"/>
  <c r="O252" i="71"/>
  <c r="HO20" i="71"/>
  <c r="IE20" i="71"/>
  <c r="AY99" i="75" l="1"/>
  <c r="AY105" i="75" s="1"/>
  <c r="AY107" i="75" s="1"/>
  <c r="BG330" i="76"/>
  <c r="BG345" i="76"/>
  <c r="BG341" i="76"/>
  <c r="BG333" i="76"/>
  <c r="K270" i="71"/>
  <c r="K271" i="71" s="1"/>
  <c r="N282" i="71"/>
  <c r="N283" i="71" s="1"/>
  <c r="BG359" i="76"/>
  <c r="BG336" i="76"/>
  <c r="BG362" i="76"/>
  <c r="BG325" i="76"/>
  <c r="BG368" i="76"/>
  <c r="BC94" i="75"/>
  <c r="M258" i="71"/>
  <c r="M259" i="71" s="1"/>
  <c r="BG322" i="76"/>
  <c r="AY116" i="76"/>
  <c r="BG349" i="76"/>
  <c r="BG357" i="76"/>
  <c r="BG326" i="76"/>
  <c r="BG338" i="76"/>
  <c r="BG356" i="76"/>
  <c r="BG342" i="76"/>
  <c r="BG332" i="76"/>
  <c r="BG92" i="75"/>
  <c r="BG56" i="76"/>
  <c r="BG166" i="76"/>
  <c r="BG154" i="76"/>
  <c r="BG89" i="76"/>
  <c r="BG335" i="76"/>
  <c r="Q251" i="71"/>
  <c r="HN22" i="71" s="1"/>
  <c r="R250" i="71" a="1"/>
  <c r="R250" i="71" s="1"/>
  <c r="BO1" i="75"/>
  <c r="N312" i="71"/>
  <c r="N256" i="71"/>
  <c r="N255" i="71"/>
  <c r="N300" i="71" s="1"/>
  <c r="N308" i="71" s="1"/>
  <c r="N254" i="71"/>
  <c r="N257" i="71"/>
  <c r="N299" i="71"/>
  <c r="BM5" i="75" s="1"/>
  <c r="HW21" i="71"/>
  <c r="P276" i="71"/>
  <c r="P277" i="71" s="1"/>
  <c r="IG21" i="71"/>
  <c r="HX21" i="71"/>
  <c r="BC96" i="75"/>
  <c r="BC95" i="75"/>
  <c r="IF18" i="71"/>
  <c r="HT18" i="71"/>
  <c r="M264" i="71"/>
  <c r="M265" i="71" s="1"/>
  <c r="HS18" i="71"/>
  <c r="BG68" i="76"/>
  <c r="BG178" i="76"/>
  <c r="P252" i="71"/>
  <c r="IE21" i="71"/>
  <c r="HO21" i="71"/>
  <c r="HP21" i="71"/>
  <c r="IB20" i="71"/>
  <c r="IA20" i="71"/>
  <c r="IH20" i="71"/>
  <c r="O288" i="71"/>
  <c r="O289" i="71" s="1"/>
  <c r="O253" i="71"/>
  <c r="O298" i="71"/>
  <c r="BG69" i="76"/>
  <c r="BG179" i="76"/>
  <c r="BG181" i="76"/>
  <c r="BG71" i="76"/>
  <c r="BG360" i="76"/>
  <c r="BG342" i="75"/>
  <c r="BG385" i="76"/>
  <c r="BG339" i="76"/>
  <c r="BG363" i="76"/>
  <c r="BG346" i="76"/>
  <c r="P287" i="71"/>
  <c r="HZ21" i="71" s="1"/>
  <c r="Q286" i="71" a="1"/>
  <c r="Q286" i="71" s="1"/>
  <c r="BG370" i="76"/>
  <c r="BG59" i="76"/>
  <c r="BG348" i="76"/>
  <c r="BG58" i="76"/>
  <c r="BG167" i="76"/>
  <c r="BG169" i="76"/>
  <c r="BG371" i="76"/>
  <c r="BG372" i="76"/>
  <c r="BG67" i="76"/>
  <c r="BG405" i="76"/>
  <c r="BG177" i="76"/>
  <c r="BG57" i="76"/>
  <c r="BG404" i="76"/>
  <c r="BG168" i="76"/>
  <c r="BG35" i="76"/>
  <c r="BG403" i="76"/>
  <c r="BG402" i="76"/>
  <c r="BG145" i="76"/>
  <c r="BG328" i="76"/>
  <c r="BG66" i="76"/>
  <c r="BG176" i="76"/>
  <c r="BG350" i="76"/>
  <c r="BG324" i="76"/>
  <c r="BG93" i="75"/>
  <c r="BG361" i="76"/>
  <c r="BG343" i="76"/>
  <c r="BC88" i="76"/>
  <c r="BC201" i="76"/>
  <c r="BC200" i="76"/>
  <c r="BK402" i="75"/>
  <c r="BK396" i="75"/>
  <c r="BK330" i="75"/>
  <c r="BK393" i="76" s="1"/>
  <c r="BK313" i="75"/>
  <c r="BK376" i="76" s="1"/>
  <c r="BK307" i="75"/>
  <c r="BK295" i="75"/>
  <c r="BK284" i="75"/>
  <c r="BK281" i="75"/>
  <c r="BK267" i="75"/>
  <c r="BK263" i="75"/>
  <c r="BK206" i="75"/>
  <c r="BK213" i="75"/>
  <c r="BK190" i="75"/>
  <c r="BK204" i="75"/>
  <c r="BK177" i="75"/>
  <c r="BK188" i="75"/>
  <c r="BK87" i="75"/>
  <c r="BK76" i="75"/>
  <c r="BK71" i="75"/>
  <c r="BK65" i="75"/>
  <c r="BK54" i="75"/>
  <c r="BK53" i="76" s="1"/>
  <c r="BK163" i="76" s="1"/>
  <c r="BK55" i="75"/>
  <c r="BK54" i="76" s="1"/>
  <c r="BK164" i="76" s="1"/>
  <c r="BK45" i="75"/>
  <c r="BK44" i="76" s="1"/>
  <c r="BK22" i="75"/>
  <c r="BK21" i="76" s="1"/>
  <c r="BK131" i="76" s="1"/>
  <c r="BK38" i="75"/>
  <c r="BK37" i="76" s="1"/>
  <c r="BK147" i="76" s="1"/>
  <c r="BK23" i="75"/>
  <c r="BK22" i="76" s="1"/>
  <c r="BK132" i="76" s="1"/>
  <c r="BK43" i="75"/>
  <c r="BK42" i="76" s="1"/>
  <c r="BK152" i="76" s="1"/>
  <c r="BK398" i="75"/>
  <c r="BK337" i="75"/>
  <c r="BK400" i="76" s="1"/>
  <c r="BK322" i="75"/>
  <c r="BK310" i="75"/>
  <c r="BK373" i="76" s="1"/>
  <c r="BK304" i="75"/>
  <c r="BK290" i="75"/>
  <c r="BK280" i="75"/>
  <c r="BK277" i="75"/>
  <c r="BK274" i="75"/>
  <c r="BK258" i="75"/>
  <c r="BK261" i="75"/>
  <c r="BK209" i="75"/>
  <c r="BK201" i="75"/>
  <c r="BK200" i="75"/>
  <c r="BK173" i="75"/>
  <c r="BK178" i="75"/>
  <c r="BK90" i="75"/>
  <c r="BK73" i="75"/>
  <c r="BK69" i="75"/>
  <c r="BK61" i="75"/>
  <c r="BK50" i="75"/>
  <c r="BK49" i="76" s="1"/>
  <c r="BK159" i="76" s="1"/>
  <c r="BK57" i="75"/>
  <c r="BK34" i="75"/>
  <c r="BK33" i="76" s="1"/>
  <c r="BK143" i="76" s="1"/>
  <c r="BK18" i="75"/>
  <c r="BK17" i="76" s="1"/>
  <c r="BK127" i="76" s="1"/>
  <c r="BK35" i="75"/>
  <c r="BK34" i="76" s="1"/>
  <c r="BK144" i="76" s="1"/>
  <c r="BK19" i="75"/>
  <c r="BK18" i="76" s="1"/>
  <c r="BK128" i="76" s="1"/>
  <c r="BK40" i="75"/>
  <c r="BK39" i="76" s="1"/>
  <c r="BK149" i="76" s="1"/>
  <c r="BK175" i="75"/>
  <c r="BK405" i="75"/>
  <c r="BK335" i="75"/>
  <c r="BK398" i="76" s="1"/>
  <c r="BK332" i="75"/>
  <c r="BK395" i="76" s="1"/>
  <c r="BK324" i="75"/>
  <c r="BK387" i="76" s="1"/>
  <c r="BK308" i="75"/>
  <c r="BK294" i="75"/>
  <c r="BK278" i="75"/>
  <c r="BK287" i="75"/>
  <c r="BK272" i="75"/>
  <c r="BK216" i="75"/>
  <c r="BK259" i="75"/>
  <c r="BK207" i="75"/>
  <c r="BK357" i="76" s="1"/>
  <c r="BK199" i="75"/>
  <c r="BK185" i="75"/>
  <c r="BK335" i="76" s="1"/>
  <c r="BK171" i="75"/>
  <c r="BK176" i="75"/>
  <c r="BK172" i="75"/>
  <c r="BK64" i="75"/>
  <c r="BK67" i="75"/>
  <c r="BK81" i="75"/>
  <c r="BK48" i="75"/>
  <c r="BK47" i="76" s="1"/>
  <c r="BK157" i="76" s="1"/>
  <c r="BK56" i="75"/>
  <c r="BK55" i="76" s="1"/>
  <c r="BK165" i="76" s="1"/>
  <c r="BK32" i="75"/>
  <c r="BK31" i="76" s="1"/>
  <c r="BK141" i="76" s="1"/>
  <c r="BK16" i="75"/>
  <c r="BK15" i="76" s="1"/>
  <c r="BK125" i="76" s="1"/>
  <c r="BK33" i="75"/>
  <c r="BK32" i="76" s="1"/>
  <c r="BK142" i="76" s="1"/>
  <c r="BK17" i="75"/>
  <c r="BK16" i="76" s="1"/>
  <c r="BK126" i="76" s="1"/>
  <c r="BK39" i="75"/>
  <c r="BK38" i="76" s="1"/>
  <c r="BK148" i="76" s="1"/>
  <c r="BK326" i="75"/>
  <c r="BK389" i="76" s="1"/>
  <c r="BK211" i="75"/>
  <c r="BK86" i="75"/>
  <c r="BK37" i="75"/>
  <c r="BK36" i="76" s="1"/>
  <c r="BK146" i="76" s="1"/>
  <c r="BK403" i="75"/>
  <c r="BK315" i="75"/>
  <c r="BK378" i="76" s="1"/>
  <c r="BK311" i="75"/>
  <c r="BK374" i="76" s="1"/>
  <c r="BK303" i="75"/>
  <c r="BK305" i="75"/>
  <c r="BK293" i="75"/>
  <c r="BK276" i="75"/>
  <c r="BK286" i="75"/>
  <c r="BK270" i="75"/>
  <c r="BK214" i="75"/>
  <c r="BK217" i="75"/>
  <c r="BK367" i="76" s="1"/>
  <c r="BK198" i="75"/>
  <c r="BK197" i="75"/>
  <c r="BK187" i="75"/>
  <c r="BK337" i="76" s="1"/>
  <c r="BK191" i="75"/>
  <c r="BK341" i="76" s="1"/>
  <c r="BK182" i="75"/>
  <c r="BK102" i="75"/>
  <c r="BK62" i="75"/>
  <c r="BK83" i="75"/>
  <c r="BK72" i="75"/>
  <c r="BK46" i="75"/>
  <c r="BK45" i="76" s="1"/>
  <c r="BK155" i="76" s="1"/>
  <c r="BK53" i="75"/>
  <c r="BK52" i="76" s="1"/>
  <c r="BK162" i="76" s="1"/>
  <c r="BK30" i="75"/>
  <c r="BK29" i="76" s="1"/>
  <c r="BK139" i="76" s="1"/>
  <c r="BK14" i="75"/>
  <c r="BK13" i="76" s="1"/>
  <c r="BK123" i="76" s="1"/>
  <c r="BK31" i="75"/>
  <c r="BK30" i="76" s="1"/>
  <c r="BK140" i="76" s="1"/>
  <c r="BK15" i="75"/>
  <c r="BK14" i="76" s="1"/>
  <c r="BK124" i="76" s="1"/>
  <c r="BK397" i="75"/>
  <c r="BK208" i="75"/>
  <c r="BK358" i="76" s="1"/>
  <c r="BK179" i="75"/>
  <c r="BK79" i="75"/>
  <c r="BK68" i="75"/>
  <c r="BK47" i="75"/>
  <c r="BK46" i="76" s="1"/>
  <c r="BK156" i="76" s="1"/>
  <c r="BK25" i="75"/>
  <c r="BK24" i="76" s="1"/>
  <c r="BK134" i="76" s="1"/>
  <c r="BK395" i="75"/>
  <c r="BK306" i="75"/>
  <c r="BK279" i="75"/>
  <c r="BK262" i="75"/>
  <c r="BK202" i="75"/>
  <c r="BK104" i="75"/>
  <c r="BK52" i="75"/>
  <c r="BK51" i="76" s="1"/>
  <c r="BK161" i="76" s="1"/>
  <c r="BK20" i="75"/>
  <c r="BK19" i="76" s="1"/>
  <c r="BK129" i="76" s="1"/>
  <c r="BK41" i="75"/>
  <c r="BK40" i="76" s="1"/>
  <c r="BK150" i="76" s="1"/>
  <c r="BK401" i="75"/>
  <c r="BK334" i="75"/>
  <c r="BK397" i="76" s="1"/>
  <c r="BK309" i="75"/>
  <c r="BK301" i="75"/>
  <c r="BK302" i="75"/>
  <c r="BK296" i="75"/>
  <c r="BK289" i="75"/>
  <c r="BK273" i="75"/>
  <c r="BK268" i="75"/>
  <c r="BK212" i="75"/>
  <c r="BK265" i="75"/>
  <c r="BK196" i="75"/>
  <c r="BK195" i="75"/>
  <c r="BK183" i="75"/>
  <c r="BK186" i="75"/>
  <c r="BK336" i="76" s="1"/>
  <c r="BK174" i="75"/>
  <c r="BK324" i="76" s="1"/>
  <c r="BK88" i="75"/>
  <c r="BK85" i="75"/>
  <c r="BK78" i="75"/>
  <c r="BK66" i="75"/>
  <c r="BK44" i="75"/>
  <c r="BK43" i="76" s="1"/>
  <c r="BK153" i="76" s="1"/>
  <c r="BK51" i="75"/>
  <c r="BK50" i="76" s="1"/>
  <c r="BK160" i="76" s="1"/>
  <c r="BK28" i="75"/>
  <c r="BK27" i="76" s="1"/>
  <c r="BK137" i="76" s="1"/>
  <c r="BK12" i="75"/>
  <c r="BK11" i="76" s="1"/>
  <c r="BK121" i="76" s="1"/>
  <c r="BK29" i="75"/>
  <c r="BK28" i="76" s="1"/>
  <c r="BK138" i="76" s="1"/>
  <c r="BK13" i="75"/>
  <c r="BK12" i="76" s="1"/>
  <c r="BK122" i="76" s="1"/>
  <c r="BK316" i="75"/>
  <c r="BK379" i="76" s="1"/>
  <c r="BK288" i="75"/>
  <c r="BK264" i="75"/>
  <c r="BK192" i="75"/>
  <c r="BK103" i="75"/>
  <c r="BK74" i="75"/>
  <c r="BK24" i="75"/>
  <c r="BK23" i="76" s="1"/>
  <c r="BK133" i="76" s="1"/>
  <c r="BK9" i="75"/>
  <c r="BK400" i="75"/>
  <c r="BK312" i="75"/>
  <c r="BK375" i="76" s="1"/>
  <c r="BK292" i="75"/>
  <c r="BK282" i="75"/>
  <c r="BK275" i="75"/>
  <c r="BK203" i="75"/>
  <c r="BK180" i="75"/>
  <c r="BK330" i="76" s="1"/>
  <c r="BK63" i="75"/>
  <c r="BK70" i="75"/>
  <c r="BK21" i="75"/>
  <c r="BK20" i="76" s="1"/>
  <c r="BK130" i="76" s="1"/>
  <c r="BK399" i="75"/>
  <c r="BK336" i="75"/>
  <c r="BK399" i="76" s="1"/>
  <c r="BK328" i="75"/>
  <c r="BK391" i="76" s="1"/>
  <c r="BK299" i="75"/>
  <c r="BK300" i="75"/>
  <c r="BK291" i="75"/>
  <c r="BK285" i="75"/>
  <c r="BK271" i="75"/>
  <c r="BK266" i="75"/>
  <c r="BK210" i="75"/>
  <c r="BK218" i="75"/>
  <c r="BK194" i="75"/>
  <c r="BK344" i="76" s="1"/>
  <c r="BK193" i="75"/>
  <c r="BK181" i="75"/>
  <c r="BK184" i="75"/>
  <c r="BK334" i="76" s="1"/>
  <c r="BK89" i="75"/>
  <c r="BK80" i="75"/>
  <c r="BK84" i="75"/>
  <c r="BK77" i="75"/>
  <c r="BK59" i="75"/>
  <c r="BK60" i="75"/>
  <c r="BK49" i="75"/>
  <c r="BK48" i="76" s="1"/>
  <c r="BK158" i="76" s="1"/>
  <c r="BK26" i="75"/>
  <c r="BK25" i="76" s="1"/>
  <c r="BK135" i="76" s="1"/>
  <c r="BK10" i="75"/>
  <c r="BK9" i="76" s="1"/>
  <c r="BK119" i="76" s="1"/>
  <c r="BK27" i="75"/>
  <c r="BK26" i="76" s="1"/>
  <c r="BK136" i="76" s="1"/>
  <c r="BK11" i="75"/>
  <c r="BK10" i="76" s="1"/>
  <c r="BK120" i="76" s="1"/>
  <c r="BK404" i="75"/>
  <c r="BK314" i="75"/>
  <c r="BK377" i="76" s="1"/>
  <c r="BK297" i="75"/>
  <c r="BK298" i="75"/>
  <c r="BK283" i="75"/>
  <c r="BK269" i="75"/>
  <c r="BK215" i="75"/>
  <c r="BK365" i="76" s="1"/>
  <c r="BK205" i="75"/>
  <c r="BK355" i="76" s="1"/>
  <c r="BK189" i="75"/>
  <c r="BK339" i="76" s="1"/>
  <c r="BK82" i="75"/>
  <c r="BK58" i="75"/>
  <c r="BK42" i="75"/>
  <c r="BK41" i="76" s="1"/>
  <c r="BK151" i="76" s="1"/>
  <c r="BK260" i="75"/>
  <c r="BK75" i="75"/>
  <c r="BK36" i="75"/>
  <c r="BK1" i="76"/>
  <c r="G18" i="50"/>
  <c r="V18" i="50" s="1"/>
  <c r="V15" i="50"/>
  <c r="BC91" i="76"/>
  <c r="BG428" i="75"/>
  <c r="BG430" i="75" s="1"/>
  <c r="BG431" i="75" s="1"/>
  <c r="BG98" i="75" s="1"/>
  <c r="BG70" i="76"/>
  <c r="BG180" i="76"/>
  <c r="BG341" i="75"/>
  <c r="BG369" i="76"/>
  <c r="BG351" i="76"/>
  <c r="BG366" i="76"/>
  <c r="BC343" i="75"/>
  <c r="BC344" i="75" s="1"/>
  <c r="BC97" i="75" s="1"/>
  <c r="BC90" i="76"/>
  <c r="N263" i="71"/>
  <c r="HR19" i="71" s="1"/>
  <c r="O262" i="71" a="1"/>
  <c r="O262" i="71" s="1"/>
  <c r="M294" i="71"/>
  <c r="M295" i="71" s="1"/>
  <c r="BG340" i="75"/>
  <c r="BG343" i="75" s="1"/>
  <c r="BG344" i="75" s="1"/>
  <c r="BG97" i="75" s="1"/>
  <c r="BG354" i="76"/>
  <c r="BG91" i="75"/>
  <c r="BG94" i="75" s="1"/>
  <c r="BG8" i="76"/>
  <c r="BG118" i="76" s="1"/>
  <c r="BG198" i="76" s="1"/>
  <c r="BG170" i="76"/>
  <c r="BG60" i="76"/>
  <c r="BG365" i="76"/>
  <c r="BC406" i="76"/>
  <c r="BC202" i="76" s="1"/>
  <c r="BC401" i="76"/>
  <c r="BC92" i="76" s="1"/>
  <c r="N315" i="71"/>
  <c r="N290" i="71"/>
  <c r="N291" i="71"/>
  <c r="N303" i="71" s="1"/>
  <c r="N311" i="71" s="1"/>
  <c r="N293" i="71"/>
  <c r="N292" i="71"/>
  <c r="N294" i="71" s="1"/>
  <c r="N295" i="71" s="1"/>
  <c r="BG329" i="76"/>
  <c r="BG367" i="76"/>
  <c r="BG358" i="76"/>
  <c r="BG327" i="76"/>
  <c r="BG251" i="75"/>
  <c r="BG254" i="75" s="1"/>
  <c r="BG255" i="75" s="1"/>
  <c r="BG321" i="76"/>
  <c r="J270" i="71"/>
  <c r="J271" i="71" s="1"/>
  <c r="L269" i="71"/>
  <c r="L268" i="71"/>
  <c r="L267" i="71"/>
  <c r="L301" i="71" s="1"/>
  <c r="L266" i="71"/>
  <c r="L313" i="71"/>
  <c r="BG175" i="76"/>
  <c r="BG65" i="76"/>
  <c r="O281" i="71"/>
  <c r="O279" i="71"/>
  <c r="O302" i="71" s="1"/>
  <c r="O310" i="71" s="1"/>
  <c r="O278" i="71"/>
  <c r="O280" i="71"/>
  <c r="O314" i="71"/>
  <c r="Q275" i="71"/>
  <c r="HV22" i="71" s="1"/>
  <c r="R274" i="71" a="1"/>
  <c r="R274" i="71" s="1"/>
  <c r="BC198" i="76"/>
  <c r="L270" i="71" l="1"/>
  <c r="L271" i="71" s="1"/>
  <c r="BK343" i="76"/>
  <c r="BK366" i="76"/>
  <c r="BK368" i="76"/>
  <c r="BK326" i="76"/>
  <c r="BK325" i="76"/>
  <c r="BK359" i="76"/>
  <c r="BK327" i="76"/>
  <c r="BK342" i="76"/>
  <c r="O282" i="71"/>
  <c r="O283" i="71" s="1"/>
  <c r="M269" i="71"/>
  <c r="M268" i="71"/>
  <c r="M270" i="71" s="1"/>
  <c r="M271" i="71" s="1"/>
  <c r="M267" i="71"/>
  <c r="M301" i="71" s="1"/>
  <c r="M309" i="71" s="1"/>
  <c r="M313" i="71"/>
  <c r="M266" i="71"/>
  <c r="BK405" i="76"/>
  <c r="BK177" i="76"/>
  <c r="BK57" i="76"/>
  <c r="BK404" i="76"/>
  <c r="BK35" i="76"/>
  <c r="BK403" i="76"/>
  <c r="BK145" i="76"/>
  <c r="BK168" i="76"/>
  <c r="BK169" i="76"/>
  <c r="BK370" i="76"/>
  <c r="BK67" i="76"/>
  <c r="BK371" i="76"/>
  <c r="BK59" i="76"/>
  <c r="BK348" i="76"/>
  <c r="BK58" i="76"/>
  <c r="BK402" i="76"/>
  <c r="BK167" i="76"/>
  <c r="BK372" i="76"/>
  <c r="BK360" i="76"/>
  <c r="BK333" i="76"/>
  <c r="BK332" i="76"/>
  <c r="BK251" i="75"/>
  <c r="BK254" i="75" s="1"/>
  <c r="BK255" i="75" s="1"/>
  <c r="BK321" i="76"/>
  <c r="BK68" i="76"/>
  <c r="BK178" i="76"/>
  <c r="BK342" i="75"/>
  <c r="BK385" i="76"/>
  <c r="BK354" i="76"/>
  <c r="IE22" i="71"/>
  <c r="HO22" i="71"/>
  <c r="Q252" i="71"/>
  <c r="HP22" i="71"/>
  <c r="R251" i="71"/>
  <c r="HN23" i="71" s="1"/>
  <c r="S250" i="71" a="1"/>
  <c r="S250" i="71" s="1"/>
  <c r="L309" i="71"/>
  <c r="BK345" i="76"/>
  <c r="BK93" i="75"/>
  <c r="BK181" i="76"/>
  <c r="BK71" i="76"/>
  <c r="BK340" i="75"/>
  <c r="BK340" i="76"/>
  <c r="O263" i="71"/>
  <c r="HR20" i="71" s="1"/>
  <c r="P262" i="71" a="1"/>
  <c r="P262" i="71" s="1"/>
  <c r="BK65" i="76"/>
  <c r="BK175" i="76"/>
  <c r="BK346" i="76"/>
  <c r="BK352" i="76"/>
  <c r="BK361" i="76"/>
  <c r="BK349" i="76"/>
  <c r="BK363" i="76"/>
  <c r="BC116" i="76"/>
  <c r="BG201" i="76"/>
  <c r="BG88" i="76"/>
  <c r="N264" i="71"/>
  <c r="N265" i="71" s="1"/>
  <c r="HS19" i="71"/>
  <c r="IF19" i="71"/>
  <c r="HT19" i="71"/>
  <c r="BK179" i="76"/>
  <c r="BK69" i="76"/>
  <c r="BK329" i="76"/>
  <c r="BK347" i="76"/>
  <c r="BK328" i="76"/>
  <c r="BK70" i="76"/>
  <c r="BK180" i="76"/>
  <c r="BK356" i="76"/>
  <c r="O299" i="71"/>
  <c r="O254" i="71"/>
  <c r="O255" i="71"/>
  <c r="O300" i="71" s="1"/>
  <c r="O308" i="71" s="1"/>
  <c r="O257" i="71"/>
  <c r="O312" i="71"/>
  <c r="O256" i="71"/>
  <c r="P298" i="71"/>
  <c r="P253" i="71"/>
  <c r="BC99" i="75"/>
  <c r="BC105" i="75" s="1"/>
  <c r="BC107" i="75" s="1"/>
  <c r="BK170" i="76"/>
  <c r="BK60" i="76"/>
  <c r="BK154" i="76"/>
  <c r="BK89" i="76"/>
  <c r="BC227" i="76"/>
  <c r="BK331" i="76"/>
  <c r="BK91" i="75"/>
  <c r="BK8" i="76"/>
  <c r="BK118" i="76" s="1"/>
  <c r="BK198" i="76" s="1"/>
  <c r="BK362" i="76"/>
  <c r="BK176" i="76"/>
  <c r="BK66" i="76"/>
  <c r="BK323" i="76"/>
  <c r="BG91" i="76"/>
  <c r="O291" i="71"/>
  <c r="O303" i="71" s="1"/>
  <c r="O311" i="71" s="1"/>
  <c r="O315" i="71"/>
  <c r="O293" i="71"/>
  <c r="O292" i="71"/>
  <c r="O290" i="71"/>
  <c r="N258" i="71"/>
  <c r="N259" i="71" s="1"/>
  <c r="BG200" i="76"/>
  <c r="BK341" i="75"/>
  <c r="BK369" i="76"/>
  <c r="BK92" i="75"/>
  <c r="BK166" i="76"/>
  <c r="BK56" i="76"/>
  <c r="BK350" i="76"/>
  <c r="Q287" i="71"/>
  <c r="HZ22" i="71" s="1"/>
  <c r="R286" i="71" a="1"/>
  <c r="R286" i="71" s="1"/>
  <c r="BG90" i="76"/>
  <c r="R275" i="71"/>
  <c r="HV23" i="71" s="1"/>
  <c r="S274" i="71" a="1"/>
  <c r="S274" i="71" s="1"/>
  <c r="BG406" i="76"/>
  <c r="BG202" i="76" s="1"/>
  <c r="BG401" i="76"/>
  <c r="BG92" i="76" s="1"/>
  <c r="HX22" i="71"/>
  <c r="HW22" i="71"/>
  <c r="IG22" i="71"/>
  <c r="Q276" i="71"/>
  <c r="Q277" i="71" s="1"/>
  <c r="BG95" i="75"/>
  <c r="BG96" i="75"/>
  <c r="BG99" i="75" s="1"/>
  <c r="BG105" i="75" s="1"/>
  <c r="BG107" i="75" s="1"/>
  <c r="BK353" i="76"/>
  <c r="BK428" i="75"/>
  <c r="BK430" i="75" s="1"/>
  <c r="BK431" i="75" s="1"/>
  <c r="BK98" i="75" s="1"/>
  <c r="BK364" i="76"/>
  <c r="BK322" i="76"/>
  <c r="BK351" i="76"/>
  <c r="BK338" i="76"/>
  <c r="IB21" i="71"/>
  <c r="IA21" i="71"/>
  <c r="IH21" i="71"/>
  <c r="P288" i="71"/>
  <c r="P289" i="71" s="1"/>
  <c r="P278" i="71"/>
  <c r="P281" i="71"/>
  <c r="P280" i="71"/>
  <c r="P282" i="71" s="1"/>
  <c r="P283" i="71" s="1"/>
  <c r="P314" i="71"/>
  <c r="P279" i="71"/>
  <c r="P302" i="71" s="1"/>
  <c r="P310" i="71" s="1"/>
  <c r="BO405" i="75"/>
  <c r="W405" i="75" s="1"/>
  <c r="O405" i="75" s="1"/>
  <c r="BO395" i="75"/>
  <c r="BO335" i="75"/>
  <c r="BO314" i="75"/>
  <c r="BO306" i="75"/>
  <c r="W306" i="75" s="1"/>
  <c r="BO299" i="75"/>
  <c r="W299" i="75" s="1"/>
  <c r="O299" i="75" s="1"/>
  <c r="BO290" i="75"/>
  <c r="W290" i="75" s="1"/>
  <c r="O290" i="75" s="1"/>
  <c r="BO284" i="75"/>
  <c r="W284" i="75" s="1"/>
  <c r="O284" i="75" s="1"/>
  <c r="BO270" i="75"/>
  <c r="W270" i="75" s="1"/>
  <c r="O270" i="75" s="1"/>
  <c r="BO265" i="75"/>
  <c r="W265" i="75" s="1"/>
  <c r="O265" i="75" s="1"/>
  <c r="BO215" i="75"/>
  <c r="BO214" i="75"/>
  <c r="BO191" i="75"/>
  <c r="BO194" i="75"/>
  <c r="BO180" i="75"/>
  <c r="BO183" i="75"/>
  <c r="BO90" i="75"/>
  <c r="W90" i="75" s="1"/>
  <c r="O90" i="75" s="1"/>
  <c r="BO87" i="75"/>
  <c r="W87" i="75" s="1"/>
  <c r="O87" i="75" s="1"/>
  <c r="BO72" i="75"/>
  <c r="W72" i="75" s="1"/>
  <c r="O72" i="75" s="1"/>
  <c r="BO76" i="75"/>
  <c r="W76" i="75" s="1"/>
  <c r="O76" i="75" s="1"/>
  <c r="BO58" i="75"/>
  <c r="W58" i="75" s="1"/>
  <c r="O58" i="75" s="1"/>
  <c r="BO47" i="75"/>
  <c r="BO50" i="75"/>
  <c r="BO31" i="75"/>
  <c r="BO15" i="75"/>
  <c r="BO30" i="75"/>
  <c r="BO14" i="75"/>
  <c r="BO285" i="75"/>
  <c r="W285" i="75" s="1"/>
  <c r="O285" i="75" s="1"/>
  <c r="BO104" i="75"/>
  <c r="BO29" i="75"/>
  <c r="BO401" i="75"/>
  <c r="W401" i="75" s="1"/>
  <c r="O401" i="75" s="1"/>
  <c r="BO78" i="75"/>
  <c r="W78" i="75" s="1"/>
  <c r="O78" i="75" s="1"/>
  <c r="BO26" i="75"/>
  <c r="BO399" i="75"/>
  <c r="W399" i="75" s="1"/>
  <c r="O399" i="75" s="1"/>
  <c r="BO396" i="75"/>
  <c r="W396" i="75" s="1"/>
  <c r="O396" i="75" s="1"/>
  <c r="BO334" i="75"/>
  <c r="BO304" i="75"/>
  <c r="W304" i="75" s="1"/>
  <c r="O304" i="75" s="1"/>
  <c r="BO300" i="75"/>
  <c r="W300" i="75" s="1"/>
  <c r="O300" i="75" s="1"/>
  <c r="BO291" i="75"/>
  <c r="W291" i="75" s="1"/>
  <c r="O291" i="75" s="1"/>
  <c r="BO281" i="75"/>
  <c r="W281" i="75" s="1"/>
  <c r="O281" i="75" s="1"/>
  <c r="BO278" i="75"/>
  <c r="W278" i="75" s="1"/>
  <c r="O278" i="75" s="1"/>
  <c r="BO275" i="75"/>
  <c r="W275" i="75" s="1"/>
  <c r="O275" i="75" s="1"/>
  <c r="BO259" i="75"/>
  <c r="W259" i="75" s="1"/>
  <c r="O259" i="75" s="1"/>
  <c r="BO209" i="75"/>
  <c r="BO208" i="75"/>
  <c r="BO200" i="75"/>
  <c r="BO201" i="75"/>
  <c r="BO174" i="75"/>
  <c r="BO181" i="75"/>
  <c r="BO102" i="75"/>
  <c r="BO77" i="75"/>
  <c r="W77" i="75" s="1"/>
  <c r="O77" i="75" s="1"/>
  <c r="BO70" i="75"/>
  <c r="BO64" i="75"/>
  <c r="W64" i="75" s="1"/>
  <c r="O64" i="75" s="1"/>
  <c r="BO36" i="75"/>
  <c r="W36" i="75" s="1"/>
  <c r="O36" i="75" s="1"/>
  <c r="BO43" i="75"/>
  <c r="BO44" i="75"/>
  <c r="BO25" i="75"/>
  <c r="BO9" i="75"/>
  <c r="BO24" i="75"/>
  <c r="BO41" i="75"/>
  <c r="BO337" i="75"/>
  <c r="BO293" i="75"/>
  <c r="W293" i="75" s="1"/>
  <c r="O293" i="75" s="1"/>
  <c r="BO213" i="75"/>
  <c r="BO178" i="75"/>
  <c r="BO75" i="75"/>
  <c r="W75" i="75" s="1"/>
  <c r="O75" i="75" s="1"/>
  <c r="BO13" i="75"/>
  <c r="BO324" i="75"/>
  <c r="BO261" i="75"/>
  <c r="W261" i="75" s="1"/>
  <c r="O261" i="75" s="1"/>
  <c r="BO202" i="75"/>
  <c r="BO175" i="75"/>
  <c r="BO81" i="75"/>
  <c r="W81" i="75" s="1"/>
  <c r="O81" i="75" s="1"/>
  <c r="BO57" i="75"/>
  <c r="BO11" i="75"/>
  <c r="BO397" i="75"/>
  <c r="W397" i="75" s="1"/>
  <c r="O397" i="75" s="1"/>
  <c r="BO330" i="75"/>
  <c r="BO316" i="75"/>
  <c r="BO311" i="75"/>
  <c r="BO298" i="75"/>
  <c r="W298" i="75" s="1"/>
  <c r="O298" i="75" s="1"/>
  <c r="BO289" i="75"/>
  <c r="W289" i="75" s="1"/>
  <c r="O289" i="75" s="1"/>
  <c r="BO279" i="75"/>
  <c r="W279" i="75" s="1"/>
  <c r="O279" i="75" s="1"/>
  <c r="BO276" i="75"/>
  <c r="W276" i="75" s="1"/>
  <c r="O276" i="75" s="1"/>
  <c r="BO273" i="75"/>
  <c r="W273" i="75" s="1"/>
  <c r="O273" i="75" s="1"/>
  <c r="BO262" i="75"/>
  <c r="W262" i="75" s="1"/>
  <c r="O262" i="75" s="1"/>
  <c r="BO207" i="75"/>
  <c r="BO206" i="75"/>
  <c r="BO205" i="75"/>
  <c r="BO199" i="75"/>
  <c r="BO172" i="75"/>
  <c r="BO173" i="75"/>
  <c r="BO86" i="75"/>
  <c r="W86" i="75" s="1"/>
  <c r="O86" i="75" s="1"/>
  <c r="BO74" i="75"/>
  <c r="W74" i="75" s="1"/>
  <c r="O74" i="75" s="1"/>
  <c r="BO68" i="75"/>
  <c r="BO62" i="75"/>
  <c r="W62" i="75" s="1"/>
  <c r="O62" i="75" s="1"/>
  <c r="BO56" i="75"/>
  <c r="BO67" i="75"/>
  <c r="BO42" i="75"/>
  <c r="BO23" i="75"/>
  <c r="BO40" i="75"/>
  <c r="BO22" i="75"/>
  <c r="BO38" i="75"/>
  <c r="BO328" i="75"/>
  <c r="BO268" i="75"/>
  <c r="W268" i="75" s="1"/>
  <c r="O268" i="75" s="1"/>
  <c r="BO189" i="75"/>
  <c r="BO84" i="75"/>
  <c r="W84" i="75" s="1"/>
  <c r="O84" i="75" s="1"/>
  <c r="BO45" i="75"/>
  <c r="BO12" i="75"/>
  <c r="BO302" i="75"/>
  <c r="W302" i="75" s="1"/>
  <c r="O302" i="75" s="1"/>
  <c r="BO203" i="75"/>
  <c r="BO73" i="75"/>
  <c r="BO46" i="75"/>
  <c r="BO10" i="75"/>
  <c r="BO404" i="75"/>
  <c r="W404" i="75" s="1"/>
  <c r="O404" i="75" s="1"/>
  <c r="BO336" i="75"/>
  <c r="BO312" i="75"/>
  <c r="BO326" i="75"/>
  <c r="BO296" i="75"/>
  <c r="W296" i="75" s="1"/>
  <c r="O296" i="75" s="1"/>
  <c r="BO295" i="75"/>
  <c r="W295" i="75" s="1"/>
  <c r="O295" i="75" s="1"/>
  <c r="BO277" i="75"/>
  <c r="W277" i="75" s="1"/>
  <c r="O277" i="75" s="1"/>
  <c r="BO288" i="75"/>
  <c r="W288" i="75" s="1"/>
  <c r="O288" i="75" s="1"/>
  <c r="BO271" i="75"/>
  <c r="W271" i="75" s="1"/>
  <c r="O271" i="75" s="1"/>
  <c r="BO217" i="75"/>
  <c r="BO260" i="75"/>
  <c r="W260" i="75" s="1"/>
  <c r="O260" i="75" s="1"/>
  <c r="BO197" i="75"/>
  <c r="BO204" i="75"/>
  <c r="BO190" i="75"/>
  <c r="BO186" i="75"/>
  <c r="BO179" i="75"/>
  <c r="BO85" i="75"/>
  <c r="W85" i="75" s="1"/>
  <c r="O85" i="75" s="1"/>
  <c r="BO65" i="75"/>
  <c r="W65" i="75" s="1"/>
  <c r="O65" i="75" s="1"/>
  <c r="BO66" i="75"/>
  <c r="BO71" i="75"/>
  <c r="BO53" i="75"/>
  <c r="BO59" i="75"/>
  <c r="W59" i="75" s="1"/>
  <c r="O59" i="75" s="1"/>
  <c r="BO37" i="75"/>
  <c r="BO21" i="75"/>
  <c r="BO39" i="75"/>
  <c r="BO20" i="75"/>
  <c r="BO308" i="75"/>
  <c r="W308" i="75" s="1"/>
  <c r="O308" i="75" s="1"/>
  <c r="BO305" i="75"/>
  <c r="W305" i="75" s="1"/>
  <c r="O305" i="75" s="1"/>
  <c r="BO282" i="75"/>
  <c r="W282" i="75" s="1"/>
  <c r="O282" i="75" s="1"/>
  <c r="BO263" i="75"/>
  <c r="W263" i="75" s="1"/>
  <c r="O263" i="75" s="1"/>
  <c r="BO212" i="75"/>
  <c r="BO185" i="75"/>
  <c r="BO83" i="75"/>
  <c r="W83" i="75" s="1"/>
  <c r="O83" i="75" s="1"/>
  <c r="BO48" i="75"/>
  <c r="BO398" i="75"/>
  <c r="W398" i="75" s="1"/>
  <c r="O398" i="75" s="1"/>
  <c r="BO294" i="75"/>
  <c r="W294" i="75" s="1"/>
  <c r="O294" i="75" s="1"/>
  <c r="BO283" i="75"/>
  <c r="W283" i="75" s="1"/>
  <c r="O283" i="75" s="1"/>
  <c r="BO280" i="75"/>
  <c r="W280" i="75" s="1"/>
  <c r="O280" i="75" s="1"/>
  <c r="BO266" i="75"/>
  <c r="W266" i="75" s="1"/>
  <c r="O266" i="75" s="1"/>
  <c r="BO211" i="75"/>
  <c r="BO210" i="75"/>
  <c r="BO176" i="75"/>
  <c r="BO88" i="75"/>
  <c r="W88" i="75" s="1"/>
  <c r="O88" i="75" s="1"/>
  <c r="BO69" i="75"/>
  <c r="BO27" i="75"/>
  <c r="BO402" i="75"/>
  <c r="W402" i="75" s="1"/>
  <c r="O402" i="75" s="1"/>
  <c r="BO332" i="75"/>
  <c r="BO310" i="75"/>
  <c r="BO309" i="75"/>
  <c r="W309" i="75" s="1"/>
  <c r="O309" i="75" s="1"/>
  <c r="BO303" i="75"/>
  <c r="W303" i="75" s="1"/>
  <c r="O303" i="75" s="1"/>
  <c r="BO297" i="75"/>
  <c r="W297" i="75" s="1"/>
  <c r="O297" i="75" s="1"/>
  <c r="BO286" i="75"/>
  <c r="W286" i="75" s="1"/>
  <c r="O286" i="75" s="1"/>
  <c r="BO274" i="75"/>
  <c r="W274" i="75" s="1"/>
  <c r="O274" i="75" s="1"/>
  <c r="BO269" i="75"/>
  <c r="W269" i="75" s="1"/>
  <c r="O269" i="75" s="1"/>
  <c r="BO264" i="75"/>
  <c r="W264" i="75" s="1"/>
  <c r="O264" i="75" s="1"/>
  <c r="BO258" i="75"/>
  <c r="BO195" i="75"/>
  <c r="BO198" i="75"/>
  <c r="W198" i="75" s="1"/>
  <c r="O198" i="75" s="1"/>
  <c r="BO184" i="75"/>
  <c r="BO188" i="75"/>
  <c r="BO177" i="75"/>
  <c r="BO89" i="75"/>
  <c r="W89" i="75" s="1"/>
  <c r="O89" i="75" s="1"/>
  <c r="BO63" i="75"/>
  <c r="W63" i="75" s="1"/>
  <c r="O63" i="75" s="1"/>
  <c r="BO80" i="75"/>
  <c r="W80" i="75" s="1"/>
  <c r="O80" i="75" s="1"/>
  <c r="BO60" i="75"/>
  <c r="W60" i="75" s="1"/>
  <c r="O60" i="75" s="1"/>
  <c r="BO51" i="75"/>
  <c r="BO54" i="75"/>
  <c r="BO35" i="75"/>
  <c r="BO19" i="75"/>
  <c r="BO34" i="75"/>
  <c r="BO18" i="75"/>
  <c r="BO403" i="75"/>
  <c r="W403" i="75" s="1"/>
  <c r="O403" i="75" s="1"/>
  <c r="BO192" i="75"/>
  <c r="BO55" i="75"/>
  <c r="BO28" i="75"/>
  <c r="BO400" i="75"/>
  <c r="W400" i="75" s="1"/>
  <c r="O400" i="75" s="1"/>
  <c r="BO315" i="75"/>
  <c r="BO322" i="75"/>
  <c r="BO307" i="75"/>
  <c r="W307" i="75" s="1"/>
  <c r="O307" i="75" s="1"/>
  <c r="BO301" i="75"/>
  <c r="W301" i="75" s="1"/>
  <c r="O301" i="75" s="1"/>
  <c r="BO292" i="75"/>
  <c r="W292" i="75" s="1"/>
  <c r="O292" i="75" s="1"/>
  <c r="BO287" i="75"/>
  <c r="W287" i="75" s="1"/>
  <c r="O287" i="75" s="1"/>
  <c r="BO272" i="75"/>
  <c r="W272" i="75" s="1"/>
  <c r="O272" i="75" s="1"/>
  <c r="BO267" i="75"/>
  <c r="W267" i="75" s="1"/>
  <c r="O267" i="75" s="1"/>
  <c r="BO218" i="75"/>
  <c r="BO216" i="75"/>
  <c r="BO193" i="75"/>
  <c r="BO196" i="75"/>
  <c r="BO182" i="75"/>
  <c r="BO187" i="75"/>
  <c r="BO103" i="75"/>
  <c r="BO171" i="75"/>
  <c r="BO61" i="75"/>
  <c r="BO79" i="75"/>
  <c r="W79" i="75" s="1"/>
  <c r="O79" i="75" s="1"/>
  <c r="BO82" i="75"/>
  <c r="W82" i="75" s="1"/>
  <c r="O82" i="75" s="1"/>
  <c r="BO49" i="75"/>
  <c r="BO52" i="75"/>
  <c r="BO33" i="75"/>
  <c r="BO17" i="75"/>
  <c r="BO32" i="75"/>
  <c r="BO16" i="75"/>
  <c r="BO313" i="75"/>
  <c r="BO1" i="76"/>
  <c r="BK94" i="75" l="1"/>
  <c r="O294" i="71"/>
  <c r="O295" i="71" s="1"/>
  <c r="O258" i="71"/>
  <c r="O259" i="71" s="1"/>
  <c r="BG227" i="76"/>
  <c r="BK200" i="76"/>
  <c r="W218" i="75"/>
  <c r="BO368" i="76"/>
  <c r="W177" i="75"/>
  <c r="BO327" i="76"/>
  <c r="W53" i="75"/>
  <c r="BO52" i="76"/>
  <c r="BO162" i="76" s="1"/>
  <c r="W258" i="75"/>
  <c r="BO340" i="75"/>
  <c r="W185" i="75"/>
  <c r="BO335" i="76"/>
  <c r="W179" i="75"/>
  <c r="BO329" i="76"/>
  <c r="W37" i="75"/>
  <c r="BO36" i="76"/>
  <c r="BO146" i="76" s="1"/>
  <c r="W46" i="75"/>
  <c r="BO45" i="76"/>
  <c r="BO155" i="76" s="1"/>
  <c r="W56" i="75"/>
  <c r="BO55" i="76"/>
  <c r="BO165" i="76" s="1"/>
  <c r="W205" i="75"/>
  <c r="BO355" i="76"/>
  <c r="W175" i="75"/>
  <c r="BO325" i="76"/>
  <c r="W200" i="75"/>
  <c r="BO350" i="76"/>
  <c r="W29" i="75"/>
  <c r="BO28" i="76"/>
  <c r="BO138" i="76" s="1"/>
  <c r="W194" i="75"/>
  <c r="BO344" i="76"/>
  <c r="W313" i="75"/>
  <c r="BO376" i="76"/>
  <c r="W216" i="75"/>
  <c r="BO366" i="76"/>
  <c r="BO342" i="75"/>
  <c r="BO385" i="76"/>
  <c r="W34" i="75"/>
  <c r="BO33" i="76"/>
  <c r="BO143" i="76" s="1"/>
  <c r="W190" i="75"/>
  <c r="BO340" i="76"/>
  <c r="W73" i="75"/>
  <c r="BO181" i="76"/>
  <c r="BO71" i="76"/>
  <c r="W328" i="75"/>
  <c r="BO391" i="76"/>
  <c r="W206" i="75"/>
  <c r="BO356" i="76"/>
  <c r="W311" i="75"/>
  <c r="BO374" i="76"/>
  <c r="W202" i="75"/>
  <c r="BO352" i="76"/>
  <c r="W337" i="75"/>
  <c r="BO400" i="76"/>
  <c r="W208" i="75"/>
  <c r="BO358" i="76"/>
  <c r="W191" i="75"/>
  <c r="BO341" i="76"/>
  <c r="BO341" i="75"/>
  <c r="BO369" i="76"/>
  <c r="BK95" i="75"/>
  <c r="BK96" i="75"/>
  <c r="BK99" i="75" s="1"/>
  <c r="BK105" i="75" s="1"/>
  <c r="BK107" i="75" s="1"/>
  <c r="P256" i="71"/>
  <c r="P255" i="71"/>
  <c r="P300" i="71" s="1"/>
  <c r="P308" i="71" s="1"/>
  <c r="P299" i="71"/>
  <c r="P312" i="71"/>
  <c r="P254" i="71"/>
  <c r="P257" i="71"/>
  <c r="HT20" i="71"/>
  <c r="IF20" i="71"/>
  <c r="HS20" i="71"/>
  <c r="O264" i="71"/>
  <c r="O265" i="71" s="1"/>
  <c r="BK91" i="76"/>
  <c r="R287" i="71"/>
  <c r="S286" i="71" a="1"/>
  <c r="S286" i="71" s="1"/>
  <c r="BK201" i="76"/>
  <c r="W171" i="75"/>
  <c r="BO251" i="75"/>
  <c r="BO254" i="75" s="1"/>
  <c r="BO255" i="75" s="1"/>
  <c r="BO321" i="76"/>
  <c r="W69" i="75"/>
  <c r="BO178" i="76"/>
  <c r="BO68" i="76"/>
  <c r="W71" i="75"/>
  <c r="BO70" i="76"/>
  <c r="BO180" i="76"/>
  <c r="W326" i="75"/>
  <c r="BO389" i="76"/>
  <c r="W22" i="75"/>
  <c r="BO21" i="76"/>
  <c r="BO131" i="76" s="1"/>
  <c r="W330" i="75"/>
  <c r="BO393" i="76"/>
  <c r="W324" i="75"/>
  <c r="BO387" i="76"/>
  <c r="W24" i="75"/>
  <c r="BO23" i="76"/>
  <c r="BO133" i="76" s="1"/>
  <c r="W14" i="75"/>
  <c r="BO13" i="76"/>
  <c r="BO123" i="76" s="1"/>
  <c r="W215" i="75"/>
  <c r="BO365" i="76"/>
  <c r="W335" i="75"/>
  <c r="BO398" i="76"/>
  <c r="P291" i="71"/>
  <c r="P303" i="71" s="1"/>
  <c r="P311" i="71" s="1"/>
  <c r="P315" i="71"/>
  <c r="P293" i="71"/>
  <c r="P292" i="71"/>
  <c r="P290" i="71"/>
  <c r="HZ23" i="71"/>
  <c r="IH22" i="71"/>
  <c r="IB22" i="71"/>
  <c r="Q288" i="71"/>
  <c r="Q289" i="71" s="1"/>
  <c r="IA22" i="71"/>
  <c r="BK343" i="75"/>
  <c r="BK344" i="75" s="1"/>
  <c r="BK97" i="75" s="1"/>
  <c r="HP23" i="71"/>
  <c r="IE23" i="71"/>
  <c r="R252" i="71"/>
  <c r="HO23" i="71"/>
  <c r="S251" i="71"/>
  <c r="HN24" i="71" s="1"/>
  <c r="T250" i="71" a="1"/>
  <c r="T250" i="71" s="1"/>
  <c r="W35" i="75"/>
  <c r="BO34" i="76"/>
  <c r="BO144" i="76" s="1"/>
  <c r="W28" i="75"/>
  <c r="BO27" i="76"/>
  <c r="BO137" i="76" s="1"/>
  <c r="W54" i="75"/>
  <c r="BO53" i="76"/>
  <c r="BO163" i="76" s="1"/>
  <c r="W184" i="75"/>
  <c r="BO334" i="76"/>
  <c r="W66" i="75"/>
  <c r="BO175" i="76"/>
  <c r="BO65" i="76"/>
  <c r="W312" i="75"/>
  <c r="BO375" i="76"/>
  <c r="W12" i="75"/>
  <c r="BO11" i="76"/>
  <c r="BO121" i="76" s="1"/>
  <c r="W40" i="75"/>
  <c r="BO39" i="76"/>
  <c r="BO149" i="76" s="1"/>
  <c r="W13" i="75"/>
  <c r="BO12" i="76"/>
  <c r="BO122" i="76" s="1"/>
  <c r="BO91" i="75"/>
  <c r="BO8" i="76"/>
  <c r="BO118" i="76" s="1"/>
  <c r="W30" i="75"/>
  <c r="BO29" i="76"/>
  <c r="BO139" i="76" s="1"/>
  <c r="W395" i="75"/>
  <c r="BO428" i="75"/>
  <c r="BO430" i="75" s="1"/>
  <c r="BO431" i="75" s="1"/>
  <c r="BO98" i="75" s="1"/>
  <c r="BK88" i="76"/>
  <c r="N313" i="71"/>
  <c r="N268" i="71"/>
  <c r="N269" i="71"/>
  <c r="N266" i="71"/>
  <c r="N267" i="71"/>
  <c r="N301" i="71" s="1"/>
  <c r="N309" i="71" s="1"/>
  <c r="W315" i="75"/>
  <c r="BO378" i="76"/>
  <c r="W204" i="75"/>
  <c r="BO354" i="76"/>
  <c r="W203" i="75"/>
  <c r="BO353" i="76"/>
  <c r="W68" i="75"/>
  <c r="BO93" i="75"/>
  <c r="W41" i="75"/>
  <c r="BO40" i="76"/>
  <c r="BO150" i="76" s="1"/>
  <c r="W209" i="75"/>
  <c r="BO359" i="76"/>
  <c r="W334" i="75"/>
  <c r="BO397" i="76"/>
  <c r="W214" i="75"/>
  <c r="BO364" i="76"/>
  <c r="W314" i="75"/>
  <c r="BO377" i="76"/>
  <c r="W32" i="75"/>
  <c r="BO31" i="76"/>
  <c r="BO141" i="76" s="1"/>
  <c r="W188" i="75"/>
  <c r="BO338" i="76"/>
  <c r="W197" i="75"/>
  <c r="BO347" i="76"/>
  <c r="W17" i="75"/>
  <c r="BO16" i="76"/>
  <c r="BO126" i="76" s="1"/>
  <c r="W33" i="75"/>
  <c r="BO32" i="76"/>
  <c r="BO142" i="76" s="1"/>
  <c r="W187" i="75"/>
  <c r="BO337" i="76"/>
  <c r="W55" i="75"/>
  <c r="BO54" i="76"/>
  <c r="BO164" i="76" s="1"/>
  <c r="W51" i="75"/>
  <c r="BO50" i="76"/>
  <c r="BO160" i="76" s="1"/>
  <c r="W176" i="75"/>
  <c r="BO326" i="76"/>
  <c r="W48" i="75"/>
  <c r="BO47" i="76"/>
  <c r="BO157" i="76" s="1"/>
  <c r="W20" i="75"/>
  <c r="BO19" i="76"/>
  <c r="BO129" i="76" s="1"/>
  <c r="W217" i="75"/>
  <c r="BO367" i="76"/>
  <c r="W336" i="75"/>
  <c r="BO399" i="76"/>
  <c r="W45" i="75"/>
  <c r="BO44" i="76"/>
  <c r="W23" i="75"/>
  <c r="BO22" i="76"/>
  <c r="BO132" i="76" s="1"/>
  <c r="W173" i="75"/>
  <c r="BO323" i="76"/>
  <c r="W11" i="75"/>
  <c r="BO10" i="76"/>
  <c r="BO120" i="76" s="1"/>
  <c r="W25" i="75"/>
  <c r="BO24" i="76"/>
  <c r="BO134" i="76" s="1"/>
  <c r="W181" i="75"/>
  <c r="BO331" i="76"/>
  <c r="W26" i="75"/>
  <c r="BO25" i="76"/>
  <c r="BO135" i="76" s="1"/>
  <c r="W15" i="75"/>
  <c r="BO14" i="76"/>
  <c r="BO124" i="76" s="1"/>
  <c r="BK90" i="76"/>
  <c r="BG116" i="76"/>
  <c r="Q298" i="71"/>
  <c r="Q253" i="71"/>
  <c r="BK401" i="76"/>
  <c r="BK92" i="76" s="1"/>
  <c r="BK406" i="76"/>
  <c r="BK202" i="76" s="1"/>
  <c r="BK227" i="76" s="1"/>
  <c r="W61" i="75"/>
  <c r="BO170" i="76"/>
  <c r="BO60" i="76"/>
  <c r="W38" i="75"/>
  <c r="BO37" i="76"/>
  <c r="BO147" i="76" s="1"/>
  <c r="W207" i="75"/>
  <c r="BO357" i="76"/>
  <c r="W316" i="75"/>
  <c r="BO379" i="76"/>
  <c r="W70" i="75"/>
  <c r="BO179" i="76"/>
  <c r="BO69" i="76"/>
  <c r="W52" i="75"/>
  <c r="BO51" i="76"/>
  <c r="BO161" i="76" s="1"/>
  <c r="W182" i="75"/>
  <c r="BO332" i="76"/>
  <c r="W192" i="75"/>
  <c r="BO342" i="76"/>
  <c r="W195" i="75"/>
  <c r="BO345" i="76"/>
  <c r="W210" i="75"/>
  <c r="BO360" i="76"/>
  <c r="W39" i="75"/>
  <c r="BO38" i="76"/>
  <c r="BO148" i="76" s="1"/>
  <c r="W42" i="75"/>
  <c r="BO41" i="76"/>
  <c r="BO151" i="76" s="1"/>
  <c r="W172" i="75"/>
  <c r="BO322" i="76"/>
  <c r="BO92" i="75"/>
  <c r="BO56" i="76"/>
  <c r="BO166" i="76"/>
  <c r="W57" i="75"/>
  <c r="W178" i="75"/>
  <c r="BO328" i="76"/>
  <c r="W44" i="75"/>
  <c r="BO43" i="76"/>
  <c r="BO153" i="76" s="1"/>
  <c r="W174" i="75"/>
  <c r="BO324" i="76"/>
  <c r="W31" i="75"/>
  <c r="BO30" i="76"/>
  <c r="BO140" i="76" s="1"/>
  <c r="W183" i="75"/>
  <c r="BO333" i="76"/>
  <c r="W322" i="75"/>
  <c r="W19" i="75"/>
  <c r="BO18" i="76"/>
  <c r="BO128" i="76" s="1"/>
  <c r="W27" i="75"/>
  <c r="BO26" i="76"/>
  <c r="BO136" i="76" s="1"/>
  <c r="W196" i="75"/>
  <c r="BO346" i="76"/>
  <c r="W211" i="75"/>
  <c r="BO361" i="76"/>
  <c r="W189" i="75"/>
  <c r="BO339" i="76"/>
  <c r="W67" i="75"/>
  <c r="BO176" i="76"/>
  <c r="BO66" i="76"/>
  <c r="W199" i="75"/>
  <c r="BO349" i="76"/>
  <c r="W213" i="75"/>
  <c r="BO363" i="76"/>
  <c r="W43" i="75"/>
  <c r="BO42" i="76"/>
  <c r="BO152" i="76" s="1"/>
  <c r="W201" i="75"/>
  <c r="BO351" i="76"/>
  <c r="W50" i="75"/>
  <c r="BO49" i="76"/>
  <c r="BO159" i="76" s="1"/>
  <c r="W180" i="75"/>
  <c r="BO330" i="76"/>
  <c r="S275" i="71"/>
  <c r="HV24" i="71" s="1"/>
  <c r="T274" i="71" a="1"/>
  <c r="T274" i="71" s="1"/>
  <c r="W9" i="75"/>
  <c r="W16" i="75"/>
  <c r="BO15" i="76"/>
  <c r="BO125" i="76" s="1"/>
  <c r="W49" i="75"/>
  <c r="BO48" i="76"/>
  <c r="BO158" i="76" s="1"/>
  <c r="W310" i="75"/>
  <c r="BO373" i="76"/>
  <c r="W21" i="75"/>
  <c r="BO20" i="76"/>
  <c r="BO130" i="76" s="1"/>
  <c r="W10" i="75"/>
  <c r="BO9" i="76"/>
  <c r="BO119" i="76" s="1"/>
  <c r="BO371" i="76"/>
  <c r="BO67" i="76"/>
  <c r="BO370" i="76"/>
  <c r="BO59" i="76"/>
  <c r="BO177" i="76"/>
  <c r="BO348" i="76"/>
  <c r="BO58" i="76"/>
  <c r="BO405" i="76"/>
  <c r="BO35" i="76"/>
  <c r="BO404" i="76"/>
  <c r="BO168" i="76"/>
  <c r="BO57" i="76"/>
  <c r="BO402" i="76"/>
  <c r="BO169" i="76"/>
  <c r="BO372" i="76"/>
  <c r="BO145" i="76"/>
  <c r="BO403" i="76"/>
  <c r="BO167" i="76"/>
  <c r="W193" i="75"/>
  <c r="BO343" i="76"/>
  <c r="W18" i="75"/>
  <c r="BO17" i="76"/>
  <c r="BO127" i="76" s="1"/>
  <c r="W332" i="75"/>
  <c r="BO395" i="76"/>
  <c r="W212" i="75"/>
  <c r="BO362" i="76"/>
  <c r="W186" i="75"/>
  <c r="BO336" i="76"/>
  <c r="W47" i="75"/>
  <c r="BO46" i="76"/>
  <c r="BO156" i="76" s="1"/>
  <c r="Q280" i="71"/>
  <c r="Q279" i="71"/>
  <c r="Q302" i="71" s="1"/>
  <c r="Q310" i="71" s="1"/>
  <c r="Q278" i="71"/>
  <c r="Q281" i="71"/>
  <c r="Q314" i="71"/>
  <c r="R276" i="71"/>
  <c r="R277" i="71" s="1"/>
  <c r="HW23" i="71"/>
  <c r="IG23" i="71"/>
  <c r="HX23" i="71"/>
  <c r="O306" i="75"/>
  <c r="W369" i="76"/>
  <c r="P263" i="71"/>
  <c r="HR21" i="71" s="1"/>
  <c r="Q262" i="71" a="1"/>
  <c r="Q262" i="71" s="1"/>
  <c r="P294" i="71" l="1"/>
  <c r="P295" i="71" s="1"/>
  <c r="BO343" i="75"/>
  <c r="BO344" i="75" s="1"/>
  <c r="BO97" i="75" s="1"/>
  <c r="BO91" i="76"/>
  <c r="W341" i="75"/>
  <c r="O44" i="75"/>
  <c r="O43" i="76" s="1"/>
  <c r="O153" i="76" s="1"/>
  <c r="W43" i="76"/>
  <c r="W153" i="76" s="1"/>
  <c r="O195" i="75"/>
  <c r="O345" i="76" s="1"/>
  <c r="W345" i="76"/>
  <c r="O54" i="75"/>
  <c r="O53" i="76" s="1"/>
  <c r="O163" i="76" s="1"/>
  <c r="W53" i="76"/>
  <c r="W163" i="76" s="1"/>
  <c r="R298" i="71"/>
  <c r="R253" i="71"/>
  <c r="O71" i="75"/>
  <c r="W180" i="76"/>
  <c r="W70" i="76"/>
  <c r="O202" i="75"/>
  <c r="O352" i="76" s="1"/>
  <c r="W352" i="76"/>
  <c r="O212" i="75"/>
  <c r="O362" i="76" s="1"/>
  <c r="W362" i="76"/>
  <c r="O49" i="75"/>
  <c r="O48" i="76" s="1"/>
  <c r="O158" i="76" s="1"/>
  <c r="W48" i="76"/>
  <c r="W158" i="76" s="1"/>
  <c r="O211" i="75"/>
  <c r="O361" i="76" s="1"/>
  <c r="W361" i="76"/>
  <c r="O70" i="75"/>
  <c r="W69" i="76"/>
  <c r="W179" i="76"/>
  <c r="O25" i="75"/>
  <c r="O24" i="76" s="1"/>
  <c r="O134" i="76" s="1"/>
  <c r="W24" i="76"/>
  <c r="W134" i="76" s="1"/>
  <c r="O45" i="75"/>
  <c r="O44" i="76" s="1"/>
  <c r="W44" i="76"/>
  <c r="O48" i="75"/>
  <c r="O47" i="76" s="1"/>
  <c r="O157" i="76" s="1"/>
  <c r="W47" i="76"/>
  <c r="W157" i="76" s="1"/>
  <c r="O187" i="75"/>
  <c r="O337" i="76" s="1"/>
  <c r="W337" i="76"/>
  <c r="O188" i="75"/>
  <c r="O338" i="76" s="1"/>
  <c r="W338" i="76"/>
  <c r="O334" i="75"/>
  <c r="O397" i="76" s="1"/>
  <c r="W397" i="76"/>
  <c r="O203" i="75"/>
  <c r="O353" i="76" s="1"/>
  <c r="W353" i="76"/>
  <c r="N270" i="71"/>
  <c r="N271" i="71" s="1"/>
  <c r="BO94" i="75"/>
  <c r="O312" i="75"/>
  <c r="O375" i="76" s="1"/>
  <c r="W375" i="76"/>
  <c r="O215" i="75"/>
  <c r="O365" i="76" s="1"/>
  <c r="W365" i="76"/>
  <c r="O330" i="75"/>
  <c r="O393" i="76" s="1"/>
  <c r="W393" i="76"/>
  <c r="O73" i="75"/>
  <c r="W71" i="76"/>
  <c r="W181" i="76"/>
  <c r="O216" i="75"/>
  <c r="O366" i="76" s="1"/>
  <c r="W366" i="76"/>
  <c r="O200" i="75"/>
  <c r="O350" i="76" s="1"/>
  <c r="W350" i="76"/>
  <c r="O46" i="75"/>
  <c r="O45" i="76" s="1"/>
  <c r="O155" i="76" s="1"/>
  <c r="W45" i="76"/>
  <c r="W155" i="76" s="1"/>
  <c r="W340" i="75"/>
  <c r="O258" i="75"/>
  <c r="O340" i="75" s="1"/>
  <c r="O213" i="75"/>
  <c r="O363" i="76" s="1"/>
  <c r="W363" i="76"/>
  <c r="O172" i="75"/>
  <c r="O322" i="76" s="1"/>
  <c r="W322" i="76"/>
  <c r="BO198" i="76"/>
  <c r="IH23" i="71"/>
  <c r="IA23" i="71"/>
  <c r="IB23" i="71"/>
  <c r="R288" i="71"/>
  <c r="R289" i="71" s="1"/>
  <c r="O183" i="75"/>
  <c r="O333" i="76" s="1"/>
  <c r="W333" i="76"/>
  <c r="O42" i="75"/>
  <c r="O41" i="76" s="1"/>
  <c r="O151" i="76" s="1"/>
  <c r="W41" i="76"/>
  <c r="W151" i="76" s="1"/>
  <c r="O192" i="75"/>
  <c r="O342" i="76" s="1"/>
  <c r="W342" i="76"/>
  <c r="O61" i="75"/>
  <c r="W170" i="76"/>
  <c r="W60" i="76"/>
  <c r="O28" i="75"/>
  <c r="O27" i="76" s="1"/>
  <c r="O137" i="76" s="1"/>
  <c r="W27" i="76"/>
  <c r="W137" i="76" s="1"/>
  <c r="O191" i="75"/>
  <c r="O341" i="76" s="1"/>
  <c r="W341" i="76"/>
  <c r="O311" i="75"/>
  <c r="O374" i="76" s="1"/>
  <c r="W374" i="76"/>
  <c r="S287" i="71"/>
  <c r="HZ24" i="71" s="1"/>
  <c r="T286" i="71" a="1"/>
  <c r="T286" i="71" s="1"/>
  <c r="O369" i="76"/>
  <c r="O50" i="75"/>
  <c r="O49" i="76" s="1"/>
  <c r="O159" i="76" s="1"/>
  <c r="W49" i="76"/>
  <c r="W159" i="76" s="1"/>
  <c r="O199" i="75"/>
  <c r="O349" i="76" s="1"/>
  <c r="W349" i="76"/>
  <c r="O178" i="75"/>
  <c r="O328" i="76" s="1"/>
  <c r="W328" i="76"/>
  <c r="Q282" i="71"/>
  <c r="Q283" i="71" s="1"/>
  <c r="O332" i="75"/>
  <c r="O395" i="76" s="1"/>
  <c r="W395" i="76"/>
  <c r="O10" i="75"/>
  <c r="O9" i="76" s="1"/>
  <c r="O119" i="76" s="1"/>
  <c r="W9" i="76"/>
  <c r="W119" i="76" s="1"/>
  <c r="O16" i="75"/>
  <c r="O15" i="76" s="1"/>
  <c r="O125" i="76" s="1"/>
  <c r="W15" i="76"/>
  <c r="W125" i="76" s="1"/>
  <c r="O196" i="75"/>
  <c r="O346" i="76" s="1"/>
  <c r="W346" i="76"/>
  <c r="W92" i="75"/>
  <c r="O57" i="75"/>
  <c r="W56" i="76"/>
  <c r="W166" i="76"/>
  <c r="O316" i="75"/>
  <c r="O379" i="76" s="1"/>
  <c r="W379" i="76"/>
  <c r="O15" i="75"/>
  <c r="O14" i="76" s="1"/>
  <c r="O124" i="76" s="1"/>
  <c r="W14" i="76"/>
  <c r="W124" i="76" s="1"/>
  <c r="O11" i="75"/>
  <c r="O10" i="76" s="1"/>
  <c r="O120" i="76" s="1"/>
  <c r="W10" i="76"/>
  <c r="W120" i="76" s="1"/>
  <c r="O336" i="75"/>
  <c r="O399" i="76" s="1"/>
  <c r="W399" i="76"/>
  <c r="O176" i="75"/>
  <c r="O326" i="76" s="1"/>
  <c r="W326" i="76"/>
  <c r="O33" i="75"/>
  <c r="O32" i="76" s="1"/>
  <c r="O142" i="76" s="1"/>
  <c r="W32" i="76"/>
  <c r="W142" i="76" s="1"/>
  <c r="O32" i="75"/>
  <c r="O31" i="76" s="1"/>
  <c r="O141" i="76" s="1"/>
  <c r="W31" i="76"/>
  <c r="W141" i="76" s="1"/>
  <c r="O209" i="75"/>
  <c r="O359" i="76" s="1"/>
  <c r="W359" i="76"/>
  <c r="O204" i="75"/>
  <c r="O354" i="76" s="1"/>
  <c r="W354" i="76"/>
  <c r="BK116" i="76"/>
  <c r="O13" i="75"/>
  <c r="O12" i="76" s="1"/>
  <c r="O122" i="76" s="1"/>
  <c r="W12" i="76"/>
  <c r="W122" i="76" s="1"/>
  <c r="O14" i="75"/>
  <c r="O13" i="76" s="1"/>
  <c r="O123" i="76" s="1"/>
  <c r="W13" i="76"/>
  <c r="W123" i="76" s="1"/>
  <c r="O22" i="75"/>
  <c r="O21" i="76" s="1"/>
  <c r="O131" i="76" s="1"/>
  <c r="W21" i="76"/>
  <c r="W131" i="76" s="1"/>
  <c r="W112" i="75"/>
  <c r="O69" i="75"/>
  <c r="W68" i="76"/>
  <c r="W91" i="76" s="1"/>
  <c r="W114" i="76" s="1"/>
  <c r="W178" i="76"/>
  <c r="O313" i="71"/>
  <c r="O266" i="71"/>
  <c r="O269" i="71"/>
  <c r="O268" i="71"/>
  <c r="O270" i="71" s="1"/>
  <c r="O271" i="71" s="1"/>
  <c r="O267" i="71"/>
  <c r="O301" i="71" s="1"/>
  <c r="O309" i="71" s="1"/>
  <c r="O190" i="75"/>
  <c r="O340" i="76" s="1"/>
  <c r="W340" i="76"/>
  <c r="O313" i="75"/>
  <c r="O376" i="76" s="1"/>
  <c r="W376" i="76"/>
  <c r="O175" i="75"/>
  <c r="O325" i="76" s="1"/>
  <c r="W325" i="76"/>
  <c r="O37" i="75"/>
  <c r="O36" i="76" s="1"/>
  <c r="O146" i="76" s="1"/>
  <c r="W36" i="76"/>
  <c r="W146" i="76" s="1"/>
  <c r="O53" i="75"/>
  <c r="O52" i="76" s="1"/>
  <c r="O162" i="76" s="1"/>
  <c r="W52" i="76"/>
  <c r="W162" i="76" s="1"/>
  <c r="O180" i="75"/>
  <c r="O330" i="76" s="1"/>
  <c r="W330" i="76"/>
  <c r="W338" i="75"/>
  <c r="O322" i="75"/>
  <c r="W339" i="75"/>
  <c r="W342" i="75"/>
  <c r="W385" i="76"/>
  <c r="BO154" i="76"/>
  <c r="BO89" i="76"/>
  <c r="BO88" i="76" s="1"/>
  <c r="W91" i="75"/>
  <c r="O9" i="75"/>
  <c r="W8" i="76"/>
  <c r="W118" i="76" s="1"/>
  <c r="O201" i="75"/>
  <c r="O351" i="76" s="1"/>
  <c r="W351" i="76"/>
  <c r="O31" i="75"/>
  <c r="O30" i="76" s="1"/>
  <c r="O140" i="76" s="1"/>
  <c r="W30" i="76"/>
  <c r="W140" i="76" s="1"/>
  <c r="BO200" i="76"/>
  <c r="O39" i="75"/>
  <c r="O38" i="76" s="1"/>
  <c r="O148" i="76" s="1"/>
  <c r="W38" i="76"/>
  <c r="W148" i="76" s="1"/>
  <c r="O182" i="75"/>
  <c r="O332" i="76" s="1"/>
  <c r="W332" i="76"/>
  <c r="O66" i="75"/>
  <c r="W175" i="76"/>
  <c r="W65" i="76"/>
  <c r="O35" i="75"/>
  <c r="O34" i="76" s="1"/>
  <c r="O144" i="76" s="1"/>
  <c r="W34" i="76"/>
  <c r="W144" i="76" s="1"/>
  <c r="BO406" i="76"/>
  <c r="BO202" i="76" s="1"/>
  <c r="BO401" i="76"/>
  <c r="BO92" i="76" s="1"/>
  <c r="P258" i="71"/>
  <c r="P259" i="71" s="1"/>
  <c r="O208" i="75"/>
  <c r="O358" i="76" s="1"/>
  <c r="W358" i="76"/>
  <c r="O206" i="75"/>
  <c r="O356" i="76" s="1"/>
  <c r="W356" i="76"/>
  <c r="T251" i="71"/>
  <c r="HN25" i="71" s="1"/>
  <c r="U250" i="71" a="1"/>
  <c r="U250" i="71" s="1"/>
  <c r="Q290" i="71"/>
  <c r="Q315" i="71"/>
  <c r="Q292" i="71"/>
  <c r="Q291" i="71"/>
  <c r="Q303" i="71" s="1"/>
  <c r="Q311" i="71" s="1"/>
  <c r="Q293" i="71"/>
  <c r="O24" i="75"/>
  <c r="O23" i="76" s="1"/>
  <c r="O133" i="76" s="1"/>
  <c r="W23" i="76"/>
  <c r="W133" i="76" s="1"/>
  <c r="O326" i="75"/>
  <c r="O389" i="76" s="1"/>
  <c r="W389" i="76"/>
  <c r="O34" i="75"/>
  <c r="O33" i="76" s="1"/>
  <c r="O143" i="76" s="1"/>
  <c r="W33" i="76"/>
  <c r="W143" i="76" s="1"/>
  <c r="O194" i="75"/>
  <c r="O344" i="76" s="1"/>
  <c r="W344" i="76"/>
  <c r="O205" i="75"/>
  <c r="O355" i="76" s="1"/>
  <c r="W355" i="76"/>
  <c r="O179" i="75"/>
  <c r="O329" i="76" s="1"/>
  <c r="W329" i="76"/>
  <c r="O177" i="75"/>
  <c r="O327" i="76" s="1"/>
  <c r="W327" i="76"/>
  <c r="Q263" i="71"/>
  <c r="HR22" i="71" s="1"/>
  <c r="R262" i="71" a="1"/>
  <c r="R262" i="71" s="1"/>
  <c r="O47" i="75"/>
  <c r="O46" i="76" s="1"/>
  <c r="O156" i="76" s="1"/>
  <c r="W46" i="76"/>
  <c r="W156" i="76" s="1"/>
  <c r="O18" i="75"/>
  <c r="O17" i="76" s="1"/>
  <c r="O127" i="76" s="1"/>
  <c r="W17" i="76"/>
  <c r="W127" i="76" s="1"/>
  <c r="BO201" i="76"/>
  <c r="O21" i="75"/>
  <c r="O20" i="76" s="1"/>
  <c r="O130" i="76" s="1"/>
  <c r="W20" i="76"/>
  <c r="W130" i="76" s="1"/>
  <c r="O27" i="75"/>
  <c r="O26" i="76" s="1"/>
  <c r="O136" i="76" s="1"/>
  <c r="W26" i="76"/>
  <c r="W136" i="76" s="1"/>
  <c r="Q256" i="71"/>
  <c r="Q254" i="71"/>
  <c r="Q312" i="71"/>
  <c r="Q255" i="71"/>
  <c r="Q300" i="71" s="1"/>
  <c r="Q308" i="71" s="1"/>
  <c r="Q299" i="71"/>
  <c r="Q257" i="71"/>
  <c r="O173" i="75"/>
  <c r="O323" i="76" s="1"/>
  <c r="W323" i="76"/>
  <c r="O51" i="75"/>
  <c r="O50" i="76" s="1"/>
  <c r="O160" i="76" s="1"/>
  <c r="W50" i="76"/>
  <c r="W160" i="76" s="1"/>
  <c r="O41" i="75"/>
  <c r="O40" i="76" s="1"/>
  <c r="O150" i="76" s="1"/>
  <c r="W40" i="76"/>
  <c r="W150" i="76" s="1"/>
  <c r="O40" i="75"/>
  <c r="O39" i="76" s="1"/>
  <c r="O149" i="76" s="1"/>
  <c r="W39" i="76"/>
  <c r="W149" i="76" s="1"/>
  <c r="HT21" i="71"/>
  <c r="HS21" i="71"/>
  <c r="IF21" i="71"/>
  <c r="P264" i="71"/>
  <c r="P265" i="71" s="1"/>
  <c r="O210" i="75"/>
  <c r="O360" i="76" s="1"/>
  <c r="W360" i="76"/>
  <c r="O52" i="75"/>
  <c r="O51" i="76" s="1"/>
  <c r="O161" i="76" s="1"/>
  <c r="W51" i="76"/>
  <c r="W161" i="76" s="1"/>
  <c r="O184" i="75"/>
  <c r="O334" i="76" s="1"/>
  <c r="W334" i="76"/>
  <c r="S252" i="71"/>
  <c r="HO24" i="71"/>
  <c r="IE24" i="71"/>
  <c r="HP24" i="71"/>
  <c r="O171" i="75"/>
  <c r="W251" i="75"/>
  <c r="W254" i="75" s="1"/>
  <c r="W255" i="75" s="1"/>
  <c r="W321" i="76"/>
  <c r="O337" i="75"/>
  <c r="O400" i="76" s="1"/>
  <c r="W400" i="76"/>
  <c r="O328" i="75"/>
  <c r="O391" i="76" s="1"/>
  <c r="W391" i="76"/>
  <c r="T275" i="71"/>
  <c r="HV25" i="71" s="1"/>
  <c r="U274" i="71" a="1"/>
  <c r="U274" i="71" s="1"/>
  <c r="O67" i="75"/>
  <c r="W66" i="76"/>
  <c r="W176" i="76"/>
  <c r="BO90" i="76"/>
  <c r="O207" i="75"/>
  <c r="O357" i="76" s="1"/>
  <c r="W357" i="76"/>
  <c r="O26" i="75"/>
  <c r="O25" i="76" s="1"/>
  <c r="O135" i="76" s="1"/>
  <c r="W25" i="76"/>
  <c r="W135" i="76" s="1"/>
  <c r="O217" i="75"/>
  <c r="O367" i="76" s="1"/>
  <c r="W367" i="76"/>
  <c r="O17" i="75"/>
  <c r="O16" i="76" s="1"/>
  <c r="O126" i="76" s="1"/>
  <c r="W16" i="76"/>
  <c r="W126" i="76" s="1"/>
  <c r="O314" i="75"/>
  <c r="O377" i="76" s="1"/>
  <c r="W377" i="76"/>
  <c r="O315" i="75"/>
  <c r="O378" i="76" s="1"/>
  <c r="W378" i="76"/>
  <c r="W428" i="75"/>
  <c r="W430" i="75" s="1"/>
  <c r="W431" i="75" s="1"/>
  <c r="W98" i="75" s="1"/>
  <c r="O395" i="75"/>
  <c r="O428" i="75" s="1"/>
  <c r="O430" i="75" s="1"/>
  <c r="O431" i="75" s="1"/>
  <c r="O98" i="75" s="1"/>
  <c r="R281" i="71"/>
  <c r="R314" i="71"/>
  <c r="R279" i="71"/>
  <c r="R302" i="71" s="1"/>
  <c r="R310" i="71" s="1"/>
  <c r="R278" i="71"/>
  <c r="R280" i="71"/>
  <c r="R282" i="71" s="1"/>
  <c r="R283" i="71" s="1"/>
  <c r="IG24" i="71"/>
  <c r="HX24" i="71"/>
  <c r="S276" i="71"/>
  <c r="S277" i="71" s="1"/>
  <c r="HW24" i="71"/>
  <c r="O43" i="75"/>
  <c r="O42" i="76" s="1"/>
  <c r="O152" i="76" s="1"/>
  <c r="W42" i="76"/>
  <c r="W152" i="76" s="1"/>
  <c r="O174" i="75"/>
  <c r="O324" i="76" s="1"/>
  <c r="W324" i="76"/>
  <c r="O186" i="75"/>
  <c r="O336" i="76" s="1"/>
  <c r="W336" i="76"/>
  <c r="O193" i="75"/>
  <c r="O343" i="76" s="1"/>
  <c r="W343" i="76"/>
  <c r="O310" i="75"/>
  <c r="O373" i="76" s="1"/>
  <c r="W373" i="76"/>
  <c r="O189" i="75"/>
  <c r="O339" i="76" s="1"/>
  <c r="W339" i="76"/>
  <c r="O19" i="75"/>
  <c r="O18" i="76" s="1"/>
  <c r="O128" i="76" s="1"/>
  <c r="W18" i="76"/>
  <c r="W128" i="76" s="1"/>
  <c r="O38" i="75"/>
  <c r="O37" i="76" s="1"/>
  <c r="O147" i="76" s="1"/>
  <c r="W37" i="76"/>
  <c r="W147" i="76" s="1"/>
  <c r="O181" i="75"/>
  <c r="O331" i="76" s="1"/>
  <c r="W331" i="76"/>
  <c r="O23" i="75"/>
  <c r="O22" i="76" s="1"/>
  <c r="O132" i="76" s="1"/>
  <c r="W22" i="76"/>
  <c r="W132" i="76" s="1"/>
  <c r="O20" i="75"/>
  <c r="O19" i="76" s="1"/>
  <c r="O129" i="76" s="1"/>
  <c r="W19" i="76"/>
  <c r="W129" i="76" s="1"/>
  <c r="O55" i="75"/>
  <c r="O54" i="76" s="1"/>
  <c r="O164" i="76" s="1"/>
  <c r="W54" i="76"/>
  <c r="W164" i="76" s="1"/>
  <c r="O197" i="75"/>
  <c r="O347" i="76" s="1"/>
  <c r="W347" i="76"/>
  <c r="O214" i="75"/>
  <c r="O364" i="76" s="1"/>
  <c r="W364" i="76"/>
  <c r="O68" i="75"/>
  <c r="W114" i="75"/>
  <c r="W93" i="75"/>
  <c r="O30" i="75"/>
  <c r="O29" i="76" s="1"/>
  <c r="O139" i="76" s="1"/>
  <c r="W29" i="76"/>
  <c r="W139" i="76" s="1"/>
  <c r="O12" i="75"/>
  <c r="O11" i="76" s="1"/>
  <c r="O121" i="76" s="1"/>
  <c r="W11" i="76"/>
  <c r="W121" i="76" s="1"/>
  <c r="O335" i="75"/>
  <c r="O398" i="76" s="1"/>
  <c r="W398" i="76"/>
  <c r="O324" i="75"/>
  <c r="O387" i="76" s="1"/>
  <c r="W387" i="76"/>
  <c r="O29" i="75"/>
  <c r="O28" i="76" s="1"/>
  <c r="O138" i="76" s="1"/>
  <c r="W28" i="76"/>
  <c r="W138" i="76" s="1"/>
  <c r="O56" i="75"/>
  <c r="O55" i="76" s="1"/>
  <c r="O165" i="76" s="1"/>
  <c r="W55" i="76"/>
  <c r="W165" i="76" s="1"/>
  <c r="O185" i="75"/>
  <c r="O335" i="76" s="1"/>
  <c r="W335" i="76"/>
  <c r="O218" i="75"/>
  <c r="O368" i="76" s="1"/>
  <c r="W368" i="76"/>
  <c r="W113" i="75" l="1"/>
  <c r="O113" i="75" s="1"/>
  <c r="Q294" i="71"/>
  <c r="Q295" i="71" s="1"/>
  <c r="W343" i="75"/>
  <c r="W344" i="75" s="1"/>
  <c r="W97" i="75" s="1"/>
  <c r="U275" i="71"/>
  <c r="HV26" i="71" s="1"/>
  <c r="V274" i="71" a="1"/>
  <c r="V274" i="71" s="1"/>
  <c r="O251" i="75"/>
  <c r="O254" i="75" s="1"/>
  <c r="O255" i="75" s="1"/>
  <c r="O321" i="76"/>
  <c r="O65" i="76"/>
  <c r="O175" i="76"/>
  <c r="O112" i="75"/>
  <c r="W116" i="75"/>
  <c r="S288" i="71"/>
  <c r="S289" i="71" s="1"/>
  <c r="IB24" i="71"/>
  <c r="IA24" i="71"/>
  <c r="IH24" i="71"/>
  <c r="R315" i="71"/>
  <c r="R292" i="71"/>
  <c r="R290" i="71"/>
  <c r="R293" i="71"/>
  <c r="R291" i="71"/>
  <c r="R303" i="71" s="1"/>
  <c r="R311" i="71" s="1"/>
  <c r="R255" i="71"/>
  <c r="R300" i="71" s="1"/>
  <c r="R308" i="71" s="1"/>
  <c r="R312" i="71"/>
  <c r="R254" i="71"/>
  <c r="R257" i="71"/>
  <c r="R256" i="71"/>
  <c r="R299" i="71"/>
  <c r="O66" i="76"/>
  <c r="O176" i="76"/>
  <c r="O170" i="76"/>
  <c r="O60" i="76"/>
  <c r="W198" i="76"/>
  <c r="O342" i="75"/>
  <c r="O339" i="75"/>
  <c r="O338" i="75"/>
  <c r="O385" i="76"/>
  <c r="W200" i="76"/>
  <c r="W226" i="76" s="1"/>
  <c r="BO96" i="75"/>
  <c r="BO99" i="75" s="1"/>
  <c r="BO105" i="75" s="1"/>
  <c r="BO107" i="75" s="1"/>
  <c r="BO95" i="75"/>
  <c r="W94" i="75"/>
  <c r="O114" i="75"/>
  <c r="O93" i="75"/>
  <c r="U251" i="71"/>
  <c r="HN26" i="71" s="1"/>
  <c r="V250" i="71" a="1"/>
  <c r="V250" i="71" s="1"/>
  <c r="O91" i="75"/>
  <c r="O8" i="76"/>
  <c r="O118" i="76" s="1"/>
  <c r="O198" i="76" s="1"/>
  <c r="W90" i="76"/>
  <c r="W115" i="76" s="1"/>
  <c r="O181" i="76"/>
  <c r="O71" i="76"/>
  <c r="P269" i="71"/>
  <c r="P267" i="71"/>
  <c r="P301" i="71" s="1"/>
  <c r="P309" i="71" s="1"/>
  <c r="P268" i="71"/>
  <c r="P313" i="71"/>
  <c r="P266" i="71"/>
  <c r="O92" i="75"/>
  <c r="O56" i="76"/>
  <c r="O166" i="76"/>
  <c r="BO227" i="76"/>
  <c r="O69" i="76"/>
  <c r="O179" i="76"/>
  <c r="IG25" i="71"/>
  <c r="T276" i="71"/>
  <c r="T277" i="71" s="1"/>
  <c r="HW25" i="71"/>
  <c r="HX25" i="71"/>
  <c r="W115" i="75"/>
  <c r="S253" i="71"/>
  <c r="S298" i="71"/>
  <c r="Q258" i="71"/>
  <c r="Q259" i="71" s="1"/>
  <c r="T252" i="71"/>
  <c r="IE25" i="71"/>
  <c r="HO25" i="71"/>
  <c r="HP25" i="71"/>
  <c r="BO116" i="76"/>
  <c r="W201" i="76"/>
  <c r="W225" i="76" s="1"/>
  <c r="S314" i="71"/>
  <c r="S278" i="71"/>
  <c r="S280" i="71"/>
  <c r="S279" i="71"/>
  <c r="S302" i="71" s="1"/>
  <c r="S310" i="71" s="1"/>
  <c r="S281" i="71"/>
  <c r="W406" i="76"/>
  <c r="W202" i="76" s="1"/>
  <c r="W401" i="76"/>
  <c r="W92" i="76" s="1"/>
  <c r="R263" i="71"/>
  <c r="HR23" i="71" s="1"/>
  <c r="S262" i="71" a="1"/>
  <c r="S262" i="71" s="1"/>
  <c r="O341" i="75"/>
  <c r="W154" i="76"/>
  <c r="W89" i="76"/>
  <c r="W88" i="76" s="1"/>
  <c r="Q264" i="71"/>
  <c r="Q265" i="71" s="1"/>
  <c r="HS22" i="71"/>
  <c r="IF22" i="71"/>
  <c r="HT22" i="71"/>
  <c r="O68" i="76"/>
  <c r="O178" i="76"/>
  <c r="T287" i="71"/>
  <c r="HZ25" i="71" s="1"/>
  <c r="U286" i="71" a="1"/>
  <c r="U286" i="71" s="1"/>
  <c r="O154" i="76"/>
  <c r="O89" i="76"/>
  <c r="O180" i="76"/>
  <c r="O70" i="76"/>
  <c r="W116" i="76" l="1"/>
  <c r="HI15" i="71" s="1"/>
  <c r="O201" i="76"/>
  <c r="O225" i="76" s="1"/>
  <c r="O115" i="75"/>
  <c r="R258" i="71"/>
  <c r="R259" i="71" s="1"/>
  <c r="R294" i="71"/>
  <c r="R295" i="71" s="1"/>
  <c r="O90" i="76"/>
  <c r="O115" i="76" s="1"/>
  <c r="S282" i="71"/>
  <c r="S283" i="71" s="1"/>
  <c r="O94" i="75"/>
  <c r="O95" i="75" s="1"/>
  <c r="HE14" i="71" s="1"/>
  <c r="O116" i="75"/>
  <c r="T288" i="71"/>
  <c r="T289" i="71" s="1"/>
  <c r="IH25" i="71"/>
  <c r="IB25" i="71"/>
  <c r="IA25" i="71"/>
  <c r="U287" i="71"/>
  <c r="HZ26" i="71" s="1"/>
  <c r="V286" i="71" a="1"/>
  <c r="V286" i="71" s="1"/>
  <c r="P270" i="71"/>
  <c r="P271" i="71" s="1"/>
  <c r="O91" i="76"/>
  <c r="O114" i="76" s="1"/>
  <c r="S263" i="71"/>
  <c r="HR24" i="71" s="1"/>
  <c r="T262" i="71" a="1"/>
  <c r="T262" i="71" s="1"/>
  <c r="HP26" i="71"/>
  <c r="HO26" i="71"/>
  <c r="IE26" i="71"/>
  <c r="U252" i="71"/>
  <c r="S254" i="71"/>
  <c r="S257" i="71"/>
  <c r="S256" i="71"/>
  <c r="S255" i="71"/>
  <c r="S300" i="71" s="1"/>
  <c r="S308" i="71" s="1"/>
  <c r="S312" i="71"/>
  <c r="S299" i="71"/>
  <c r="O200" i="76"/>
  <c r="O226" i="76" s="1"/>
  <c r="O343" i="75"/>
  <c r="O344" i="75" s="1"/>
  <c r="O97" i="75" s="1"/>
  <c r="T298" i="71"/>
  <c r="T253" i="71"/>
  <c r="O88" i="76"/>
  <c r="W95" i="75"/>
  <c r="HI14" i="71" s="1"/>
  <c r="W96" i="75"/>
  <c r="W99" i="75" s="1"/>
  <c r="W227" i="76"/>
  <c r="R264" i="71"/>
  <c r="R265" i="71" s="1"/>
  <c r="HS23" i="71"/>
  <c r="HT23" i="71"/>
  <c r="IF23" i="71"/>
  <c r="Q313" i="71"/>
  <c r="Q266" i="71"/>
  <c r="Q268" i="71"/>
  <c r="Q269" i="71"/>
  <c r="Q267" i="71"/>
  <c r="Q301" i="71" s="1"/>
  <c r="Q309" i="71" s="1"/>
  <c r="O406" i="76"/>
  <c r="O202" i="76" s="1"/>
  <c r="O227" i="76" s="1"/>
  <c r="O401" i="76"/>
  <c r="O92" i="76" s="1"/>
  <c r="T280" i="71"/>
  <c r="T279" i="71"/>
  <c r="T302" i="71" s="1"/>
  <c r="T310" i="71" s="1"/>
  <c r="T281" i="71"/>
  <c r="T314" i="71"/>
  <c r="T278" i="71"/>
  <c r="S291" i="71"/>
  <c r="S303" i="71" s="1"/>
  <c r="S311" i="71" s="1"/>
  <c r="S293" i="71"/>
  <c r="S290" i="71"/>
  <c r="S315" i="71"/>
  <c r="S292" i="71"/>
  <c r="V275" i="71"/>
  <c r="HV27" i="71" s="1"/>
  <c r="W274" i="71" a="1"/>
  <c r="W274" i="71" s="1"/>
  <c r="V251" i="71"/>
  <c r="HN27" i="71" s="1"/>
  <c r="W250" i="71" a="1"/>
  <c r="W250" i="71" s="1"/>
  <c r="IG26" i="71"/>
  <c r="HX26" i="71"/>
  <c r="HW26" i="71"/>
  <c r="U276" i="71"/>
  <c r="U277" i="71" s="1"/>
  <c r="O96" i="75" l="1"/>
  <c r="O99" i="75" s="1"/>
  <c r="Q270" i="71"/>
  <c r="Q271" i="71" s="1"/>
  <c r="W251" i="71"/>
  <c r="X250" i="71" a="1"/>
  <c r="X250" i="71" s="1"/>
  <c r="T282" i="71"/>
  <c r="T283" i="71" s="1"/>
  <c r="T256" i="71"/>
  <c r="T312" i="71"/>
  <c r="T299" i="71"/>
  <c r="T255" i="71"/>
  <c r="T300" i="71" s="1"/>
  <c r="T308" i="71" s="1"/>
  <c r="T254" i="71"/>
  <c r="T257" i="71"/>
  <c r="V287" i="71"/>
  <c r="HZ27" i="71" s="1"/>
  <c r="W286" i="71" a="1"/>
  <c r="W286" i="71" s="1"/>
  <c r="U298" i="71"/>
  <c r="U253" i="71"/>
  <c r="IG27" i="71"/>
  <c r="V276" i="71"/>
  <c r="V277" i="71" s="1"/>
  <c r="HW27" i="71"/>
  <c r="HX27" i="71"/>
  <c r="R266" i="71"/>
  <c r="R267" i="71"/>
  <c r="R301" i="71" s="1"/>
  <c r="R309" i="71" s="1"/>
  <c r="R313" i="71"/>
  <c r="R269" i="71"/>
  <c r="R268" i="71"/>
  <c r="IB26" i="71"/>
  <c r="U288" i="71"/>
  <c r="U289" i="71" s="1"/>
  <c r="IA26" i="71"/>
  <c r="IH26" i="71"/>
  <c r="U314" i="71"/>
  <c r="U278" i="71"/>
  <c r="U281" i="71"/>
  <c r="U280" i="71"/>
  <c r="U279" i="71"/>
  <c r="U302" i="71" s="1"/>
  <c r="U310" i="71" s="1"/>
  <c r="S294" i="71"/>
  <c r="S295" i="71" s="1"/>
  <c r="W275" i="71"/>
  <c r="HV28" i="71" s="1"/>
  <c r="X274" i="71" a="1"/>
  <c r="X274" i="71" s="1"/>
  <c r="AY100" i="75"/>
  <c r="AY108" i="75" s="1"/>
  <c r="AM100" i="75"/>
  <c r="AM108" i="75" s="1"/>
  <c r="AQ100" i="75"/>
  <c r="AQ108" i="75" s="1"/>
  <c r="AI100" i="75"/>
  <c r="AI108" i="75" s="1"/>
  <c r="BO100" i="75"/>
  <c r="BO108" i="75" s="1"/>
  <c r="BC100" i="75"/>
  <c r="BC108" i="75" s="1"/>
  <c r="AE100" i="75"/>
  <c r="AE108" i="75" s="1"/>
  <c r="W100" i="75"/>
  <c r="BG100" i="75"/>
  <c r="BG108" i="75" s="1"/>
  <c r="AU100" i="75"/>
  <c r="AU108" i="75" s="1"/>
  <c r="BK100" i="75"/>
  <c r="BK108" i="75" s="1"/>
  <c r="AA100" i="75"/>
  <c r="T263" i="71"/>
  <c r="HR25" i="71" s="1"/>
  <c r="U262" i="71" a="1"/>
  <c r="U262" i="71" s="1"/>
  <c r="HN28" i="71"/>
  <c r="IE27" i="71"/>
  <c r="HP27" i="71"/>
  <c r="V252" i="71"/>
  <c r="HO27" i="71"/>
  <c r="O116" i="76"/>
  <c r="HE15" i="71" s="1"/>
  <c r="S258" i="71"/>
  <c r="S259" i="71" s="1"/>
  <c r="S264" i="71"/>
  <c r="S265" i="71" s="1"/>
  <c r="HT24" i="71"/>
  <c r="IF24" i="71"/>
  <c r="HS24" i="71"/>
  <c r="T293" i="71"/>
  <c r="T291" i="71"/>
  <c r="T303" i="71" s="1"/>
  <c r="T311" i="71" s="1"/>
  <c r="T290" i="71"/>
  <c r="T292" i="71"/>
  <c r="T294" i="71" s="1"/>
  <c r="T295" i="71" s="1"/>
  <c r="T315" i="71"/>
  <c r="U282" i="71" l="1"/>
  <c r="U283" i="71" s="1"/>
  <c r="R270" i="71"/>
  <c r="R271" i="71" s="1"/>
  <c r="BG101" i="75"/>
  <c r="BG109" i="75" s="1"/>
  <c r="BK101" i="75"/>
  <c r="BK109" i="75" s="1"/>
  <c r="AM101" i="75"/>
  <c r="AM109" i="75" s="1"/>
  <c r="O101" i="75"/>
  <c r="BC101" i="75"/>
  <c r="BC109" i="75" s="1"/>
  <c r="S101" i="75"/>
  <c r="AI101" i="75"/>
  <c r="AI109" i="75" s="1"/>
  <c r="AQ101" i="75"/>
  <c r="AQ109" i="75" s="1"/>
  <c r="AA101" i="75"/>
  <c r="AY101" i="75"/>
  <c r="AY109" i="75" s="1"/>
  <c r="AU101" i="75"/>
  <c r="AU109" i="75" s="1"/>
  <c r="BO101" i="75"/>
  <c r="BO109" i="75" s="1"/>
  <c r="AE101" i="75"/>
  <c r="AE109" i="75" s="1"/>
  <c r="T258" i="71"/>
  <c r="T259" i="71" s="1"/>
  <c r="X275" i="71"/>
  <c r="HV29" i="71" s="1"/>
  <c r="Y274" i="71" a="1"/>
  <c r="Y274" i="71" s="1"/>
  <c r="W252" i="71"/>
  <c r="HO28" i="71"/>
  <c r="IE28" i="71"/>
  <c r="HP28" i="71"/>
  <c r="W276" i="71"/>
  <c r="W277" i="71" s="1"/>
  <c r="HW28" i="71"/>
  <c r="HX28" i="71"/>
  <c r="IG28" i="71"/>
  <c r="U263" i="71"/>
  <c r="HR26" i="71" s="1"/>
  <c r="V262" i="71" a="1"/>
  <c r="V262" i="71" s="1"/>
  <c r="U291" i="71"/>
  <c r="U303" i="71" s="1"/>
  <c r="U311" i="71" s="1"/>
  <c r="U293" i="71"/>
  <c r="U315" i="71"/>
  <c r="U292" i="71"/>
  <c r="U290" i="71"/>
  <c r="S266" i="71"/>
  <c r="S267" i="71"/>
  <c r="S301" i="71" s="1"/>
  <c r="S309" i="71" s="1"/>
  <c r="S268" i="71"/>
  <c r="S269" i="71"/>
  <c r="S313" i="71"/>
  <c r="T264" i="71"/>
  <c r="T265" i="71" s="1"/>
  <c r="HS25" i="71"/>
  <c r="IF25" i="71"/>
  <c r="HT25" i="71"/>
  <c r="V281" i="71"/>
  <c r="V279" i="71"/>
  <c r="V302" i="71" s="1"/>
  <c r="V310" i="71" s="1"/>
  <c r="V278" i="71"/>
  <c r="V314" i="71"/>
  <c r="V280" i="71"/>
  <c r="W287" i="71"/>
  <c r="HZ28" i="71" s="1"/>
  <c r="X286" i="71" a="1"/>
  <c r="X286" i="71" s="1"/>
  <c r="X251" i="71"/>
  <c r="HN29" i="71" s="1"/>
  <c r="Y250" i="71" a="1"/>
  <c r="Y250" i="71" s="1"/>
  <c r="U312" i="71"/>
  <c r="U299" i="71"/>
  <c r="U257" i="71"/>
  <c r="U255" i="71"/>
  <c r="U300" i="71" s="1"/>
  <c r="U308" i="71" s="1"/>
  <c r="U254" i="71"/>
  <c r="U256" i="71"/>
  <c r="IH27" i="71"/>
  <c r="V288" i="71"/>
  <c r="V289" i="71" s="1"/>
  <c r="IA27" i="71"/>
  <c r="IB27" i="71"/>
  <c r="V298" i="71"/>
  <c r="V253" i="71"/>
  <c r="U258" i="71" l="1"/>
  <c r="U259" i="71" s="1"/>
  <c r="S270" i="71"/>
  <c r="S271" i="71" s="1"/>
  <c r="X287" i="71"/>
  <c r="HZ29" i="71" s="1"/>
  <c r="Y286" i="71" a="1"/>
  <c r="Y286" i="71" s="1"/>
  <c r="V282" i="71"/>
  <c r="V283" i="71" s="1"/>
  <c r="T269" i="71"/>
  <c r="T266" i="71"/>
  <c r="T313" i="71"/>
  <c r="T268" i="71"/>
  <c r="T267" i="71"/>
  <c r="T301" i="71" s="1"/>
  <c r="T309" i="71" s="1"/>
  <c r="W278" i="71"/>
  <c r="W279" i="71"/>
  <c r="W302" i="71" s="1"/>
  <c r="W310" i="71" s="1"/>
  <c r="W314" i="71"/>
  <c r="W281" i="71"/>
  <c r="W280" i="71"/>
  <c r="X276" i="71"/>
  <c r="X277" i="71" s="1"/>
  <c r="IG29" i="71"/>
  <c r="HW29" i="71"/>
  <c r="HX29" i="71"/>
  <c r="V293" i="71"/>
  <c r="V290" i="71"/>
  <c r="V292" i="71"/>
  <c r="V291" i="71"/>
  <c r="V303" i="71" s="1"/>
  <c r="V311" i="71" s="1"/>
  <c r="V315" i="71"/>
  <c r="V263" i="71"/>
  <c r="HR27" i="71" s="1"/>
  <c r="W262" i="71" a="1"/>
  <c r="W262" i="71" s="1"/>
  <c r="Y251" i="71"/>
  <c r="HN30" i="71" s="1"/>
  <c r="Z250" i="71" a="1"/>
  <c r="Z250" i="71" s="1"/>
  <c r="HT26" i="71"/>
  <c r="HS26" i="71"/>
  <c r="U264" i="71"/>
  <c r="U265" i="71" s="1"/>
  <c r="IF26" i="71"/>
  <c r="X252" i="71"/>
  <c r="IE29" i="71"/>
  <c r="HO29" i="71"/>
  <c r="HP29" i="71"/>
  <c r="W298" i="71"/>
  <c r="W253" i="71"/>
  <c r="Y275" i="71"/>
  <c r="HV30" i="71" s="1"/>
  <c r="Z274" i="71" a="1"/>
  <c r="Z274" i="71" s="1"/>
  <c r="V312" i="71"/>
  <c r="V257" i="71"/>
  <c r="V256" i="71"/>
  <c r="V255" i="71"/>
  <c r="V300" i="71" s="1"/>
  <c r="V308" i="71" s="1"/>
  <c r="V254" i="71"/>
  <c r="V299" i="71"/>
  <c r="W288" i="71"/>
  <c r="W289" i="71" s="1"/>
  <c r="IA28" i="71"/>
  <c r="IB28" i="71"/>
  <c r="IH28" i="71"/>
  <c r="U294" i="71"/>
  <c r="U295" i="71" s="1"/>
  <c r="V258" i="71" l="1"/>
  <c r="V259" i="71" s="1"/>
  <c r="T270" i="71"/>
  <c r="T271" i="71" s="1"/>
  <c r="W282" i="71"/>
  <c r="W283" i="71" s="1"/>
  <c r="W263" i="71"/>
  <c r="HR28" i="71" s="1"/>
  <c r="X262" i="71" a="1"/>
  <c r="X262" i="71" s="1"/>
  <c r="V264" i="71"/>
  <c r="V265" i="71" s="1"/>
  <c r="HS27" i="71"/>
  <c r="HT27" i="71"/>
  <c r="IF27" i="71"/>
  <c r="X298" i="71"/>
  <c r="X253" i="71"/>
  <c r="W315" i="71"/>
  <c r="W291" i="71"/>
  <c r="W303" i="71" s="1"/>
  <c r="W311" i="71" s="1"/>
  <c r="W292" i="71"/>
  <c r="W290" i="71"/>
  <c r="W293" i="71"/>
  <c r="X314" i="71"/>
  <c r="X279" i="71"/>
  <c r="X302" i="71" s="1"/>
  <c r="X310" i="71" s="1"/>
  <c r="X278" i="71"/>
  <c r="X281" i="71"/>
  <c r="X280" i="71"/>
  <c r="X282" i="71" s="1"/>
  <c r="X283" i="71" s="1"/>
  <c r="AA274" i="71" a="1"/>
  <c r="AA274" i="71" s="1"/>
  <c r="Z275" i="71"/>
  <c r="HV31" i="71" s="1"/>
  <c r="Y276" i="71"/>
  <c r="Y277" i="71" s="1"/>
  <c r="HX30" i="71"/>
  <c r="IG30" i="71"/>
  <c r="HW30" i="71"/>
  <c r="U313" i="71"/>
  <c r="U266" i="71"/>
  <c r="U268" i="71"/>
  <c r="U269" i="71"/>
  <c r="U267" i="71"/>
  <c r="U301" i="71" s="1"/>
  <c r="U309" i="71" s="1"/>
  <c r="V294" i="71"/>
  <c r="V295" i="71" s="1"/>
  <c r="AA250" i="71" a="1"/>
  <c r="AA250" i="71" s="1"/>
  <c r="Z251" i="71"/>
  <c r="HN31" i="71" s="1"/>
  <c r="HP30" i="71"/>
  <c r="Y252" i="71"/>
  <c r="HO30" i="71"/>
  <c r="IE30" i="71"/>
  <c r="W256" i="71"/>
  <c r="W254" i="71"/>
  <c r="W312" i="71"/>
  <c r="W255" i="71"/>
  <c r="W300" i="71" s="1"/>
  <c r="W308" i="71" s="1"/>
  <c r="W299" i="71"/>
  <c r="W257" i="71"/>
  <c r="Y287" i="71"/>
  <c r="HZ30" i="71" s="1"/>
  <c r="Z286" i="71" a="1"/>
  <c r="Z286" i="71" s="1"/>
  <c r="IH29" i="71"/>
  <c r="IB29" i="71"/>
  <c r="X288" i="71"/>
  <c r="X289" i="71" s="1"/>
  <c r="IA29" i="71"/>
  <c r="U270" i="71" l="1"/>
  <c r="U271" i="71" s="1"/>
  <c r="IB30" i="71"/>
  <c r="IH30" i="71"/>
  <c r="IA30" i="71"/>
  <c r="Y288" i="71"/>
  <c r="Y289" i="71" s="1"/>
  <c r="HO31" i="71"/>
  <c r="Z252" i="71"/>
  <c r="IE31" i="71"/>
  <c r="HP31" i="71"/>
  <c r="X257" i="71"/>
  <c r="X299" i="71"/>
  <c r="X256" i="71"/>
  <c r="X312" i="71"/>
  <c r="X255" i="71"/>
  <c r="X300" i="71" s="1"/>
  <c r="X308" i="71" s="1"/>
  <c r="X254" i="71"/>
  <c r="AA251" i="71"/>
  <c r="HN32" i="71" s="1"/>
  <c r="AB250" i="71" a="1"/>
  <c r="AB250" i="71" s="1"/>
  <c r="X291" i="71"/>
  <c r="X303" i="71" s="1"/>
  <c r="X311" i="71" s="1"/>
  <c r="X315" i="71"/>
  <c r="X292" i="71"/>
  <c r="X293" i="71"/>
  <c r="X290" i="71"/>
  <c r="Y298" i="71"/>
  <c r="Y253" i="71"/>
  <c r="W258" i="71"/>
  <c r="W259" i="71" s="1"/>
  <c r="Y314" i="71"/>
  <c r="Y280" i="71"/>
  <c r="Y279" i="71"/>
  <c r="Y302" i="71" s="1"/>
  <c r="Y310" i="71" s="1"/>
  <c r="Y281" i="71"/>
  <c r="Y278" i="71"/>
  <c r="Z287" i="71"/>
  <c r="HZ31" i="71" s="1"/>
  <c r="AA286" i="71" a="1"/>
  <c r="AA286" i="71" s="1"/>
  <c r="HV32" i="71"/>
  <c r="IG31" i="71"/>
  <c r="HW31" i="71"/>
  <c r="Z276" i="71"/>
  <c r="Z277" i="71" s="1"/>
  <c r="HX31" i="71"/>
  <c r="AA275" i="71"/>
  <c r="AB274" i="71" a="1"/>
  <c r="AB274" i="71" s="1"/>
  <c r="W294" i="71"/>
  <c r="W295" i="71" s="1"/>
  <c r="V268" i="71"/>
  <c r="V269" i="71"/>
  <c r="V266" i="71"/>
  <c r="V267" i="71"/>
  <c r="V301" i="71" s="1"/>
  <c r="V309" i="71" s="1"/>
  <c r="V313" i="71"/>
  <c r="X263" i="71"/>
  <c r="HR29" i="71" s="1"/>
  <c r="Y262" i="71" a="1"/>
  <c r="Y262" i="71" s="1"/>
  <c r="IF28" i="71"/>
  <c r="W264" i="71"/>
  <c r="W265" i="71" s="1"/>
  <c r="HT28" i="71"/>
  <c r="HS28" i="71"/>
  <c r="X258" i="71" l="1"/>
  <c r="X259" i="71" s="1"/>
  <c r="V270" i="71"/>
  <c r="V271" i="71" s="1"/>
  <c r="X294" i="71"/>
  <c r="X295" i="71" s="1"/>
  <c r="AB251" i="71"/>
  <c r="HN33" i="71" s="1"/>
  <c r="AC250" i="71" a="1"/>
  <c r="AC250" i="71" s="1"/>
  <c r="AA287" i="71"/>
  <c r="HZ32" i="71" s="1"/>
  <c r="AB286" i="71" a="1"/>
  <c r="AB286" i="71" s="1"/>
  <c r="Y299" i="71"/>
  <c r="Y312" i="71"/>
  <c r="Y256" i="71"/>
  <c r="Y255" i="71"/>
  <c r="Y300" i="71" s="1"/>
  <c r="Y308" i="71" s="1"/>
  <c r="Y257" i="71"/>
  <c r="Y254" i="71"/>
  <c r="HO32" i="71"/>
  <c r="IE32" i="71"/>
  <c r="AA252" i="71"/>
  <c r="HP32" i="71"/>
  <c r="IG32" i="71"/>
  <c r="HX32" i="71"/>
  <c r="AA276" i="71"/>
  <c r="AA277" i="71" s="1"/>
  <c r="HW32" i="71"/>
  <c r="IB31" i="71"/>
  <c r="IA31" i="71"/>
  <c r="IH31" i="71"/>
  <c r="Z288" i="71"/>
  <c r="Z289" i="71" s="1"/>
  <c r="Z298" i="71"/>
  <c r="Z253" i="71"/>
  <c r="AB275" i="71"/>
  <c r="HV33" i="71" s="1"/>
  <c r="AC274" i="71" a="1"/>
  <c r="AC274" i="71" s="1"/>
  <c r="X264" i="71"/>
  <c r="X265" i="71" s="1"/>
  <c r="HT29" i="71"/>
  <c r="HS29" i="71"/>
  <c r="IF29" i="71"/>
  <c r="Y293" i="71"/>
  <c r="Y315" i="71"/>
  <c r="Y290" i="71"/>
  <c r="Y292" i="71"/>
  <c r="Y294" i="71" s="1"/>
  <c r="Y295" i="71" s="1"/>
  <c r="Y291" i="71"/>
  <c r="Y303" i="71" s="1"/>
  <c r="Y311" i="71" s="1"/>
  <c r="W269" i="71"/>
  <c r="W267" i="71"/>
  <c r="W301" i="71" s="1"/>
  <c r="W309" i="71" s="1"/>
  <c r="W313" i="71"/>
  <c r="W268" i="71"/>
  <c r="W266" i="71"/>
  <c r="Z262" i="71" a="1"/>
  <c r="Z262" i="71" s="1"/>
  <c r="Y263" i="71"/>
  <c r="HR30" i="71" s="1"/>
  <c r="Y282" i="71"/>
  <c r="Y283" i="71" s="1"/>
  <c r="Z281" i="71"/>
  <c r="Z279" i="71"/>
  <c r="Z302" i="71" s="1"/>
  <c r="Z310" i="71" s="1"/>
  <c r="Z314" i="71"/>
  <c r="Z278" i="71"/>
  <c r="Z280" i="71"/>
  <c r="Y258" i="71" l="1"/>
  <c r="Y259" i="71" s="1"/>
  <c r="AC275" i="71"/>
  <c r="HV34" i="71" s="1"/>
  <c r="AD274" i="71" a="1"/>
  <c r="AD274" i="71" s="1"/>
  <c r="Z282" i="71"/>
  <c r="Z283" i="71" s="1"/>
  <c r="Z254" i="71"/>
  <c r="Z257" i="71"/>
  <c r="Z256" i="71"/>
  <c r="Z255" i="71"/>
  <c r="Z300" i="71" s="1"/>
  <c r="Z308" i="71" s="1"/>
  <c r="Z312" i="71"/>
  <c r="Z299" i="71"/>
  <c r="W270" i="71"/>
  <c r="W271" i="71" s="1"/>
  <c r="Y264" i="71"/>
  <c r="Y265" i="71" s="1"/>
  <c r="HS30" i="71"/>
  <c r="IF30" i="71"/>
  <c r="HT30" i="71"/>
  <c r="Z291" i="71"/>
  <c r="Z303" i="71" s="1"/>
  <c r="Z311" i="71" s="1"/>
  <c r="Z290" i="71"/>
  <c r="Z292" i="71"/>
  <c r="Z315" i="71"/>
  <c r="Z293" i="71"/>
  <c r="AA298" i="71"/>
  <c r="AA253" i="71"/>
  <c r="AB287" i="71"/>
  <c r="HZ33" i="71" s="1"/>
  <c r="AC286" i="71" a="1"/>
  <c r="AC286" i="71" s="1"/>
  <c r="X268" i="71"/>
  <c r="X313" i="71"/>
  <c r="X266" i="71"/>
  <c r="X267" i="71"/>
  <c r="X301" i="71" s="1"/>
  <c r="X309" i="71" s="1"/>
  <c r="X269" i="71"/>
  <c r="AA288" i="71"/>
  <c r="AA289" i="71" s="1"/>
  <c r="IA32" i="71"/>
  <c r="IB32" i="71"/>
  <c r="IH32" i="71"/>
  <c r="AC251" i="71"/>
  <c r="HN34" i="71" s="1"/>
  <c r="AD250" i="71" a="1"/>
  <c r="AD250" i="71" s="1"/>
  <c r="Z263" i="71"/>
  <c r="HR31" i="71" s="1"/>
  <c r="AA262" i="71" a="1"/>
  <c r="AA262" i="71" s="1"/>
  <c r="HX33" i="71"/>
  <c r="AB276" i="71"/>
  <c r="AB277" i="71" s="1"/>
  <c r="IG33" i="71"/>
  <c r="HW33" i="71"/>
  <c r="AA281" i="71"/>
  <c r="AA278" i="71"/>
  <c r="AA279" i="71"/>
  <c r="AA302" i="71" s="1"/>
  <c r="AA310" i="71" s="1"/>
  <c r="AA314" i="71"/>
  <c r="AA280" i="71"/>
  <c r="HP33" i="71"/>
  <c r="IE33" i="71"/>
  <c r="HO33" i="71"/>
  <c r="AB252" i="71"/>
  <c r="X270" i="71" l="1"/>
  <c r="X271" i="71" s="1"/>
  <c r="Z258" i="71"/>
  <c r="Z259" i="71" s="1"/>
  <c r="Z294" i="71"/>
  <c r="Z295" i="71" s="1"/>
  <c r="Z264" i="71"/>
  <c r="Z265" i="71" s="1"/>
  <c r="IF31" i="71"/>
  <c r="HT31" i="71"/>
  <c r="HS31" i="71"/>
  <c r="AC287" i="71"/>
  <c r="HZ34" i="71" s="1"/>
  <c r="AD286" i="71" a="1"/>
  <c r="AD286" i="71" s="1"/>
  <c r="AB314" i="71"/>
  <c r="AB278" i="71"/>
  <c r="AB281" i="71"/>
  <c r="AB280" i="71"/>
  <c r="AB279" i="71"/>
  <c r="AB302" i="71" s="1"/>
  <c r="AB310" i="71" s="1"/>
  <c r="AB288" i="71"/>
  <c r="AB289" i="71" s="1"/>
  <c r="IH33" i="71"/>
  <c r="IA33" i="71"/>
  <c r="IB33" i="71"/>
  <c r="IE34" i="71"/>
  <c r="HP34" i="71"/>
  <c r="AC252" i="71"/>
  <c r="HO34" i="71"/>
  <c r="AA282" i="71"/>
  <c r="AA283" i="71" s="1"/>
  <c r="AA290" i="71"/>
  <c r="AA291" i="71"/>
  <c r="AA303" i="71" s="1"/>
  <c r="AA311" i="71" s="1"/>
  <c r="AA292" i="71"/>
  <c r="AA315" i="71"/>
  <c r="AA293" i="71"/>
  <c r="AA312" i="71"/>
  <c r="AA299" i="71"/>
  <c r="AA254" i="71"/>
  <c r="AA256" i="71"/>
  <c r="AA255" i="71"/>
  <c r="AA300" i="71" s="1"/>
  <c r="AA308" i="71" s="1"/>
  <c r="AA257" i="71"/>
  <c r="AA263" i="71"/>
  <c r="HR32" i="71" s="1"/>
  <c r="AB262" i="71" a="1"/>
  <c r="AB262" i="71" s="1"/>
  <c r="AB298" i="71"/>
  <c r="AB253" i="71"/>
  <c r="Y266" i="71"/>
  <c r="Y313" i="71"/>
  <c r="Y269" i="71"/>
  <c r="Y268" i="71"/>
  <c r="Y267" i="71"/>
  <c r="Y301" i="71" s="1"/>
  <c r="Y309" i="71" s="1"/>
  <c r="AD251" i="71"/>
  <c r="HN35" i="71" s="1"/>
  <c r="AE250" i="71" a="1"/>
  <c r="AE250" i="71" s="1"/>
  <c r="AD275" i="71"/>
  <c r="HV35" i="71" s="1"/>
  <c r="AE274" i="71" a="1"/>
  <c r="AE274" i="71" s="1"/>
  <c r="HX34" i="71"/>
  <c r="AC276" i="71"/>
  <c r="AC277" i="71" s="1"/>
  <c r="IG34" i="71"/>
  <c r="HW34" i="71"/>
  <c r="AB282" i="71" l="1"/>
  <c r="AB283" i="71" s="1"/>
  <c r="AA294" i="71"/>
  <c r="AA295" i="71" s="1"/>
  <c r="HO35" i="71"/>
  <c r="IE35" i="71"/>
  <c r="HP35" i="71"/>
  <c r="AD252" i="71"/>
  <c r="IF32" i="71"/>
  <c r="AA264" i="71"/>
  <c r="AA265" i="71" s="1"/>
  <c r="HT32" i="71"/>
  <c r="HS32" i="71"/>
  <c r="Y270" i="71"/>
  <c r="Y271" i="71" s="1"/>
  <c r="AD287" i="71"/>
  <c r="HZ35" i="71" s="1"/>
  <c r="AE286" i="71" a="1"/>
  <c r="AE286" i="71" s="1"/>
  <c r="AC314" i="71"/>
  <c r="AC278" i="71"/>
  <c r="AC281" i="71"/>
  <c r="AC280" i="71"/>
  <c r="AC279" i="71"/>
  <c r="AC302" i="71" s="1"/>
  <c r="AC310" i="71" s="1"/>
  <c r="AA258" i="71"/>
  <c r="AA259" i="71" s="1"/>
  <c r="IB34" i="71"/>
  <c r="IH34" i="71"/>
  <c r="IA34" i="71"/>
  <c r="AC288" i="71"/>
  <c r="AC289" i="71" s="1"/>
  <c r="AE275" i="71"/>
  <c r="HV36" i="71" s="1"/>
  <c r="AF274" i="71" a="1"/>
  <c r="AF274" i="71" s="1"/>
  <c r="AB293" i="71"/>
  <c r="AB290" i="71"/>
  <c r="AB291" i="71"/>
  <c r="AB303" i="71" s="1"/>
  <c r="AB311" i="71" s="1"/>
  <c r="AB292" i="71"/>
  <c r="AB315" i="71"/>
  <c r="AD276" i="71"/>
  <c r="AD277" i="71" s="1"/>
  <c r="HW35" i="71"/>
  <c r="HX35" i="71"/>
  <c r="IG35" i="71"/>
  <c r="AB255" i="71"/>
  <c r="AB300" i="71" s="1"/>
  <c r="AB308" i="71" s="1"/>
  <c r="AB312" i="71"/>
  <c r="AB299" i="71"/>
  <c r="AB254" i="71"/>
  <c r="AB257" i="71"/>
  <c r="AB256" i="71"/>
  <c r="AE251" i="71"/>
  <c r="HN36" i="71" s="1"/>
  <c r="AF250" i="71" a="1"/>
  <c r="AF250" i="71" s="1"/>
  <c r="AC298" i="71"/>
  <c r="AC253" i="71"/>
  <c r="AB263" i="71"/>
  <c r="HR33" i="71" s="1"/>
  <c r="AC262" i="71" a="1"/>
  <c r="AC262" i="71" s="1"/>
  <c r="Z269" i="71"/>
  <c r="Z268" i="71"/>
  <c r="Z266" i="71"/>
  <c r="Z267" i="71"/>
  <c r="Z301" i="71" s="1"/>
  <c r="Z309" i="71" s="1"/>
  <c r="Z313" i="71"/>
  <c r="Z270" i="71" l="1"/>
  <c r="Z271" i="71" s="1"/>
  <c r="AB258" i="71"/>
  <c r="AB259" i="71" s="1"/>
  <c r="AB294" i="71"/>
  <c r="AB295" i="71" s="1"/>
  <c r="AF251" i="71"/>
  <c r="HN37" i="71" s="1"/>
  <c r="AG250" i="71" a="1"/>
  <c r="AG250" i="71" s="1"/>
  <c r="AG274" i="71" a="1"/>
  <c r="AG274" i="71" s="1"/>
  <c r="AF275" i="71"/>
  <c r="HV37" i="71" s="1"/>
  <c r="AC282" i="71"/>
  <c r="AC283" i="71" s="1"/>
  <c r="HX36" i="71"/>
  <c r="IG36" i="71"/>
  <c r="AE276" i="71"/>
  <c r="AE277" i="71" s="1"/>
  <c r="HW36" i="71"/>
  <c r="AA313" i="71"/>
  <c r="AA266" i="71"/>
  <c r="AA268" i="71"/>
  <c r="AA269" i="71"/>
  <c r="AA267" i="71"/>
  <c r="AA301" i="71" s="1"/>
  <c r="AA309" i="71" s="1"/>
  <c r="AE252" i="71"/>
  <c r="HO36" i="71"/>
  <c r="IE36" i="71"/>
  <c r="HP36" i="71"/>
  <c r="AD280" i="71"/>
  <c r="AD279" i="71"/>
  <c r="AD302" i="71" s="1"/>
  <c r="AD310" i="71" s="1"/>
  <c r="AD278" i="71"/>
  <c r="AD314" i="71"/>
  <c r="AD281" i="71"/>
  <c r="AC315" i="71"/>
  <c r="AC292" i="71"/>
  <c r="AC293" i="71"/>
  <c r="AC290" i="71"/>
  <c r="AC291" i="71"/>
  <c r="AC303" i="71" s="1"/>
  <c r="AC311" i="71" s="1"/>
  <c r="AD298" i="71"/>
  <c r="AD253" i="71"/>
  <c r="AE287" i="71"/>
  <c r="HZ36" i="71" s="1"/>
  <c r="AF286" i="71" a="1"/>
  <c r="AF286" i="71" s="1"/>
  <c r="AC299" i="71"/>
  <c r="AC257" i="71"/>
  <c r="AC255" i="71"/>
  <c r="AC300" i="71" s="1"/>
  <c r="AC308" i="71" s="1"/>
  <c r="AC256" i="71"/>
  <c r="AC312" i="71"/>
  <c r="AC254" i="71"/>
  <c r="IA35" i="71"/>
  <c r="IH35" i="71"/>
  <c r="AD288" i="71"/>
  <c r="AD289" i="71" s="1"/>
  <c r="IB35" i="71"/>
  <c r="AC263" i="71"/>
  <c r="HR34" i="71" s="1"/>
  <c r="AD262" i="71" a="1"/>
  <c r="AD262" i="71" s="1"/>
  <c r="AB264" i="71"/>
  <c r="AB265" i="71" s="1"/>
  <c r="HT33" i="71"/>
  <c r="HS33" i="71"/>
  <c r="IF33" i="71"/>
  <c r="AC258" i="71" l="1"/>
  <c r="AC259" i="71" s="1"/>
  <c r="AD282" i="71"/>
  <c r="AD283" i="71" s="1"/>
  <c r="AF287" i="71"/>
  <c r="HZ37" i="71" s="1"/>
  <c r="AG286" i="71" a="1"/>
  <c r="AG286" i="71" s="1"/>
  <c r="AE278" i="71"/>
  <c r="AE314" i="71"/>
  <c r="AE280" i="71"/>
  <c r="AE281" i="71"/>
  <c r="AE279" i="71"/>
  <c r="AE302" i="71" s="1"/>
  <c r="AE310" i="71" s="1"/>
  <c r="AD263" i="71"/>
  <c r="HR35" i="71" s="1"/>
  <c r="AE262" i="71" a="1"/>
  <c r="AE262" i="71" s="1"/>
  <c r="IA36" i="71"/>
  <c r="IH36" i="71"/>
  <c r="IB36" i="71"/>
  <c r="AE288" i="71"/>
  <c r="AE289" i="71" s="1"/>
  <c r="AE298" i="71"/>
  <c r="AE253" i="71"/>
  <c r="AD312" i="71"/>
  <c r="AD299" i="71"/>
  <c r="AD255" i="71"/>
  <c r="AD300" i="71" s="1"/>
  <c r="AD308" i="71" s="1"/>
  <c r="AD257" i="71"/>
  <c r="AD254" i="71"/>
  <c r="AD256" i="71"/>
  <c r="HT34" i="71"/>
  <c r="HS34" i="71"/>
  <c r="IF34" i="71"/>
  <c r="AC264" i="71"/>
  <c r="AC265" i="71" s="1"/>
  <c r="AB313" i="71"/>
  <c r="AB269" i="71"/>
  <c r="AB268" i="71"/>
  <c r="AB267" i="71"/>
  <c r="AB301" i="71" s="1"/>
  <c r="AB309" i="71" s="1"/>
  <c r="AB266" i="71"/>
  <c r="AA270" i="71"/>
  <c r="AA271" i="71" s="1"/>
  <c r="HX37" i="71"/>
  <c r="AF276" i="71"/>
  <c r="AF277" i="71" s="1"/>
  <c r="HW37" i="71"/>
  <c r="IG37" i="71"/>
  <c r="AG275" i="71"/>
  <c r="HV38" i="71" s="1"/>
  <c r="AH274" i="71" a="1"/>
  <c r="AH274" i="71" s="1"/>
  <c r="AG251" i="71"/>
  <c r="HN38" i="71" s="1"/>
  <c r="AH250" i="71" a="1"/>
  <c r="AH250" i="71" s="1"/>
  <c r="AD315" i="71"/>
  <c r="AD291" i="71"/>
  <c r="AD303" i="71" s="1"/>
  <c r="AD311" i="71" s="1"/>
  <c r="AD292" i="71"/>
  <c r="AD294" i="71" s="1"/>
  <c r="AD295" i="71" s="1"/>
  <c r="AD290" i="71"/>
  <c r="AD293" i="71"/>
  <c r="AC294" i="71"/>
  <c r="AC295" i="71" s="1"/>
  <c r="HP37" i="71"/>
  <c r="HO37" i="71"/>
  <c r="IE37" i="71"/>
  <c r="AF252" i="71"/>
  <c r="HT35" i="71" l="1"/>
  <c r="AD264" i="71"/>
  <c r="AD265" i="71" s="1"/>
  <c r="HS35" i="71"/>
  <c r="IF35" i="71"/>
  <c r="AH251" i="71"/>
  <c r="HN39" i="71" s="1"/>
  <c r="AI250" i="71" a="1"/>
  <c r="AI250" i="71" s="1"/>
  <c r="AE312" i="71"/>
  <c r="AE299" i="71"/>
  <c r="AE256" i="71"/>
  <c r="AE254" i="71"/>
  <c r="AE257" i="71"/>
  <c r="AE255" i="71"/>
  <c r="AE300" i="71" s="1"/>
  <c r="AE308" i="71" s="1"/>
  <c r="AF298" i="71"/>
  <c r="AF253" i="71"/>
  <c r="AF279" i="71"/>
  <c r="AF302" i="71" s="1"/>
  <c r="AF310" i="71" s="1"/>
  <c r="AF281" i="71"/>
  <c r="AF280" i="71"/>
  <c r="AF278" i="71"/>
  <c r="AF314" i="71"/>
  <c r="AC269" i="71"/>
  <c r="AC313" i="71"/>
  <c r="AC266" i="71"/>
  <c r="AC267" i="71"/>
  <c r="AC301" i="71" s="1"/>
  <c r="AC309" i="71" s="1"/>
  <c r="AC268" i="71"/>
  <c r="AC270" i="71" s="1"/>
  <c r="AC271" i="71" s="1"/>
  <c r="AG252" i="71"/>
  <c r="HP38" i="71"/>
  <c r="HO38" i="71"/>
  <c r="IE38" i="71"/>
  <c r="AH275" i="71"/>
  <c r="AI274" i="71" a="1"/>
  <c r="AI274" i="71" s="1"/>
  <c r="AD258" i="71"/>
  <c r="AD259" i="71" s="1"/>
  <c r="AE291" i="71"/>
  <c r="AE303" i="71" s="1"/>
  <c r="AE311" i="71" s="1"/>
  <c r="AE315" i="71"/>
  <c r="AE293" i="71"/>
  <c r="AE290" i="71"/>
  <c r="AE292" i="71"/>
  <c r="AE294" i="71" s="1"/>
  <c r="AE295" i="71" s="1"/>
  <c r="AE282" i="71"/>
  <c r="AE283" i="71" s="1"/>
  <c r="HV39" i="71"/>
  <c r="AG276" i="71"/>
  <c r="AG277" i="71" s="1"/>
  <c r="HX38" i="71"/>
  <c r="HW38" i="71"/>
  <c r="IG38" i="71"/>
  <c r="AB270" i="71"/>
  <c r="AB271" i="71" s="1"/>
  <c r="AG287" i="71"/>
  <c r="HZ38" i="71" s="1"/>
  <c r="AH286" i="71" a="1"/>
  <c r="AH286" i="71" s="1"/>
  <c r="AE263" i="71"/>
  <c r="HR36" i="71" s="1"/>
  <c r="AF262" i="71" a="1"/>
  <c r="AF262" i="71" s="1"/>
  <c r="IH37" i="71"/>
  <c r="IA37" i="71"/>
  <c r="IB37" i="71"/>
  <c r="AF288" i="71"/>
  <c r="AF289" i="71" s="1"/>
  <c r="AI251" i="71" l="1"/>
  <c r="HN40" i="71" s="1"/>
  <c r="AJ250" i="71" a="1"/>
  <c r="AJ250" i="71" s="1"/>
  <c r="AG278" i="71"/>
  <c r="AG281" i="71"/>
  <c r="AG314" i="71"/>
  <c r="AG279" i="71"/>
  <c r="AG302" i="71" s="1"/>
  <c r="AG310" i="71" s="1"/>
  <c r="AG280" i="71"/>
  <c r="AG282" i="71" s="1"/>
  <c r="AG283" i="71" s="1"/>
  <c r="AH252" i="71"/>
  <c r="HP39" i="71"/>
  <c r="IE39" i="71"/>
  <c r="HO39" i="71"/>
  <c r="AI275" i="71"/>
  <c r="HV40" i="71" s="1"/>
  <c r="AJ274" i="71" a="1"/>
  <c r="AJ274" i="71" s="1"/>
  <c r="IF36" i="71"/>
  <c r="HT36" i="71"/>
  <c r="HS36" i="71"/>
  <c r="AE264" i="71"/>
  <c r="AE265" i="71" s="1"/>
  <c r="AF255" i="71"/>
  <c r="AF300" i="71" s="1"/>
  <c r="AF308" i="71" s="1"/>
  <c r="AF254" i="71"/>
  <c r="AF257" i="71"/>
  <c r="AF299" i="71"/>
  <c r="AF256" i="71"/>
  <c r="AF312" i="71"/>
  <c r="AF290" i="71"/>
  <c r="AF293" i="71"/>
  <c r="AF315" i="71"/>
  <c r="AF292" i="71"/>
  <c r="AF291" i="71"/>
  <c r="AF303" i="71" s="1"/>
  <c r="AF311" i="71" s="1"/>
  <c r="AF263" i="71"/>
  <c r="HR37" i="71" s="1"/>
  <c r="AG262" i="71" a="1"/>
  <c r="AG262" i="71" s="1"/>
  <c r="HX39" i="71"/>
  <c r="IG39" i="71"/>
  <c r="HW39" i="71"/>
  <c r="AH276" i="71"/>
  <c r="AH277" i="71" s="1"/>
  <c r="IA38" i="71"/>
  <c r="AG288" i="71"/>
  <c r="AG289" i="71" s="1"/>
  <c r="IB38" i="71"/>
  <c r="IH38" i="71"/>
  <c r="AD266" i="71"/>
  <c r="AD268" i="71"/>
  <c r="AD270" i="71" s="1"/>
  <c r="AD271" i="71" s="1"/>
  <c r="AD269" i="71"/>
  <c r="AD313" i="71"/>
  <c r="AD267" i="71"/>
  <c r="AD301" i="71" s="1"/>
  <c r="AD309" i="71" s="1"/>
  <c r="AH287" i="71"/>
  <c r="HZ39" i="71" s="1"/>
  <c r="AI286" i="71" a="1"/>
  <c r="AI286" i="71" s="1"/>
  <c r="AG298" i="71"/>
  <c r="AG253" i="71"/>
  <c r="AF282" i="71"/>
  <c r="AF283" i="71" s="1"/>
  <c r="AE258" i="71"/>
  <c r="AE259" i="71" s="1"/>
  <c r="AF258" i="71" l="1"/>
  <c r="AF259" i="71" s="1"/>
  <c r="AF294" i="71"/>
  <c r="AF295" i="71" s="1"/>
  <c r="AH253" i="71"/>
  <c r="AH298" i="71"/>
  <c r="AH279" i="71"/>
  <c r="AH302" i="71" s="1"/>
  <c r="AH310" i="71" s="1"/>
  <c r="AH278" i="71"/>
  <c r="AH281" i="71"/>
  <c r="AH280" i="71"/>
  <c r="AH314" i="71"/>
  <c r="AG299" i="71"/>
  <c r="AG312" i="71"/>
  <c r="AG255" i="71"/>
  <c r="AG300" i="71" s="1"/>
  <c r="AG308" i="71" s="1"/>
  <c r="AG257" i="71"/>
  <c r="AG254" i="71"/>
  <c r="AG256" i="71"/>
  <c r="AG263" i="71"/>
  <c r="HR38" i="71" s="1"/>
  <c r="AH262" i="71" a="1"/>
  <c r="AH262" i="71" s="1"/>
  <c r="AJ275" i="71"/>
  <c r="HV41" i="71" s="1"/>
  <c r="AK274" i="71" a="1"/>
  <c r="AK274" i="71" s="1"/>
  <c r="HT37" i="71"/>
  <c r="HS37" i="71"/>
  <c r="IF37" i="71"/>
  <c r="AF264" i="71"/>
  <c r="AF265" i="71" s="1"/>
  <c r="IB39" i="71"/>
  <c r="AH288" i="71"/>
  <c r="AH289" i="71" s="1"/>
  <c r="IH39" i="71"/>
  <c r="IA39" i="71"/>
  <c r="AG293" i="71"/>
  <c r="AG290" i="71"/>
  <c r="AG291" i="71"/>
  <c r="AG303" i="71" s="1"/>
  <c r="AG311" i="71" s="1"/>
  <c r="AG315" i="71"/>
  <c r="AG292" i="71"/>
  <c r="AI276" i="71"/>
  <c r="AI277" i="71" s="1"/>
  <c r="HW40" i="71"/>
  <c r="IG40" i="71"/>
  <c r="HX40" i="71"/>
  <c r="AI287" i="71"/>
  <c r="HZ40" i="71" s="1"/>
  <c r="AJ286" i="71" a="1"/>
  <c r="AJ286" i="71" s="1"/>
  <c r="AJ251" i="71"/>
  <c r="HN41" i="71" s="1"/>
  <c r="AK250" i="71" a="1"/>
  <c r="AK250" i="71" s="1"/>
  <c r="AE268" i="71"/>
  <c r="AE270" i="71" s="1"/>
  <c r="AE271" i="71" s="1"/>
  <c r="AE267" i="71"/>
  <c r="AE301" i="71" s="1"/>
  <c r="AE309" i="71" s="1"/>
  <c r="AE313" i="71"/>
  <c r="AE269" i="71"/>
  <c r="AE266" i="71"/>
  <c r="HP40" i="71"/>
  <c r="IE40" i="71"/>
  <c r="AI252" i="71"/>
  <c r="HO40" i="71"/>
  <c r="AG294" i="71" l="1"/>
  <c r="AG295" i="71" s="1"/>
  <c r="AH282" i="71"/>
  <c r="AH283" i="71" s="1"/>
  <c r="AJ276" i="71"/>
  <c r="AJ277" i="71" s="1"/>
  <c r="HX41" i="71"/>
  <c r="IG41" i="71"/>
  <c r="HW41" i="71"/>
  <c r="AH263" i="71"/>
  <c r="HR39" i="71" s="1"/>
  <c r="AI262" i="71" a="1"/>
  <c r="AI262" i="71" s="1"/>
  <c r="AI314" i="71"/>
  <c r="AI278" i="71"/>
  <c r="AI280" i="71"/>
  <c r="AI279" i="71"/>
  <c r="AI302" i="71" s="1"/>
  <c r="AI310" i="71" s="1"/>
  <c r="AI281" i="71"/>
  <c r="AI298" i="71"/>
  <c r="AI253" i="71"/>
  <c r="HT38" i="71"/>
  <c r="AG264" i="71"/>
  <c r="AG265" i="71" s="1"/>
  <c r="HS38" i="71"/>
  <c r="IF38" i="71"/>
  <c r="AH293" i="71"/>
  <c r="AH315" i="71"/>
  <c r="AH290" i="71"/>
  <c r="AH291" i="71"/>
  <c r="AH303" i="71" s="1"/>
  <c r="AH311" i="71" s="1"/>
  <c r="AH292" i="71"/>
  <c r="AH294" i="71" s="1"/>
  <c r="AH295" i="71" s="1"/>
  <c r="AJ252" i="71"/>
  <c r="IE41" i="71"/>
  <c r="HP41" i="71"/>
  <c r="HO41" i="71"/>
  <c r="AF268" i="71"/>
  <c r="AF313" i="71"/>
  <c r="AF266" i="71"/>
  <c r="AF269" i="71"/>
  <c r="AF267" i="71"/>
  <c r="AF301" i="71" s="1"/>
  <c r="AF309" i="71" s="1"/>
  <c r="AG258" i="71"/>
  <c r="AG259" i="71" s="1"/>
  <c r="AJ287" i="71"/>
  <c r="HZ41" i="71" s="1"/>
  <c r="AK286" i="71" a="1"/>
  <c r="AK286" i="71" s="1"/>
  <c r="AK251" i="71"/>
  <c r="HN42" i="71" s="1"/>
  <c r="AL250" i="71" a="1"/>
  <c r="AL250" i="71" s="1"/>
  <c r="AI288" i="71"/>
  <c r="AI289" i="71" s="1"/>
  <c r="IB40" i="71"/>
  <c r="IA40" i="71"/>
  <c r="IH40" i="71"/>
  <c r="AK275" i="71"/>
  <c r="HV42" i="71" s="1"/>
  <c r="AL274" i="71" a="1"/>
  <c r="AL274" i="71" s="1"/>
  <c r="AH257" i="71"/>
  <c r="AH256" i="71"/>
  <c r="AH258" i="71" s="1"/>
  <c r="AH259" i="71" s="1"/>
  <c r="AH312" i="71"/>
  <c r="AH299" i="71"/>
  <c r="AH255" i="71"/>
  <c r="AH300" i="71" s="1"/>
  <c r="AH308" i="71" s="1"/>
  <c r="AH254" i="71"/>
  <c r="AJ253" i="71" l="1"/>
  <c r="AJ298" i="71"/>
  <c r="AG267" i="71"/>
  <c r="AG301" i="71" s="1"/>
  <c r="AG309" i="71" s="1"/>
  <c r="AG269" i="71"/>
  <c r="AG313" i="71"/>
  <c r="AG266" i="71"/>
  <c r="AG268" i="71"/>
  <c r="AG270" i="71" s="1"/>
  <c r="AG271" i="71" s="1"/>
  <c r="AI263" i="71"/>
  <c r="HR40" i="71" s="1"/>
  <c r="AJ262" i="71" a="1"/>
  <c r="AJ262" i="71" s="1"/>
  <c r="AI315" i="71"/>
  <c r="AI291" i="71"/>
  <c r="AI303" i="71" s="1"/>
  <c r="AI311" i="71" s="1"/>
  <c r="AI293" i="71"/>
  <c r="AI292" i="71"/>
  <c r="AI290" i="71"/>
  <c r="AI312" i="71"/>
  <c r="AI299" i="71"/>
  <c r="AI256" i="71"/>
  <c r="AI258" i="71" s="1"/>
  <c r="AI259" i="71" s="1"/>
  <c r="AI254" i="71"/>
  <c r="AI255" i="71"/>
  <c r="AI300" i="71" s="1"/>
  <c r="AI308" i="71" s="1"/>
  <c r="AI257" i="71"/>
  <c r="AH264" i="71"/>
  <c r="AH265" i="71" s="1"/>
  <c r="IF39" i="71"/>
  <c r="HT39" i="71"/>
  <c r="HS39" i="71"/>
  <c r="AL251" i="71"/>
  <c r="HN43" i="71" s="1"/>
  <c r="AM250" i="71" a="1"/>
  <c r="AM250" i="71" s="1"/>
  <c r="AK252" i="71"/>
  <c r="HP42" i="71"/>
  <c r="IE42" i="71"/>
  <c r="HO42" i="71"/>
  <c r="AF270" i="71"/>
  <c r="AF271" i="71" s="1"/>
  <c r="AK287" i="71"/>
  <c r="HZ42" i="71" s="1"/>
  <c r="AL286" i="71" a="1"/>
  <c r="AL286" i="71" s="1"/>
  <c r="AL275" i="71"/>
  <c r="HV43" i="71" s="1"/>
  <c r="AM274" i="71" a="1"/>
  <c r="AM274" i="71" s="1"/>
  <c r="IG42" i="71"/>
  <c r="HX42" i="71"/>
  <c r="HW42" i="71"/>
  <c r="AK276" i="71"/>
  <c r="AK277" i="71" s="1"/>
  <c r="AJ288" i="71"/>
  <c r="AJ289" i="71" s="1"/>
  <c r="IA41" i="71"/>
  <c r="IB41" i="71"/>
  <c r="IH41" i="71"/>
  <c r="AI282" i="71"/>
  <c r="AI283" i="71" s="1"/>
  <c r="AJ281" i="71"/>
  <c r="AJ314" i="71"/>
  <c r="AJ278" i="71"/>
  <c r="AJ280" i="71"/>
  <c r="AJ282" i="71" s="1"/>
  <c r="AJ283" i="71" s="1"/>
  <c r="AJ279" i="71"/>
  <c r="AJ302" i="71" s="1"/>
  <c r="AJ310" i="71" s="1"/>
  <c r="AI294" i="71" l="1"/>
  <c r="AI295" i="71" s="1"/>
  <c r="AL276" i="71"/>
  <c r="AL277" i="71" s="1"/>
  <c r="HX43" i="71"/>
  <c r="IG43" i="71"/>
  <c r="HW43" i="71"/>
  <c r="IH42" i="71"/>
  <c r="IA42" i="71"/>
  <c r="AK288" i="71"/>
  <c r="AK289" i="71" s="1"/>
  <c r="IB42" i="71"/>
  <c r="HT40" i="71"/>
  <c r="IF40" i="71"/>
  <c r="AI264" i="71"/>
  <c r="AI265" i="71" s="1"/>
  <c r="HS40" i="71"/>
  <c r="AL287" i="71"/>
  <c r="HZ43" i="71" s="1"/>
  <c r="AM286" i="71" a="1"/>
  <c r="AM286" i="71" s="1"/>
  <c r="AK280" i="71"/>
  <c r="AK314" i="71"/>
  <c r="AK279" i="71"/>
  <c r="AK302" i="71" s="1"/>
  <c r="AK310" i="71" s="1"/>
  <c r="AK281" i="71"/>
  <c r="AK278" i="71"/>
  <c r="AL252" i="71"/>
  <c r="IE43" i="71"/>
  <c r="HP43" i="71"/>
  <c r="HO43" i="71"/>
  <c r="AJ293" i="71"/>
  <c r="AJ291" i="71"/>
  <c r="AJ303" i="71" s="1"/>
  <c r="AJ311" i="71" s="1"/>
  <c r="AJ290" i="71"/>
  <c r="AJ292" i="71"/>
  <c r="AJ315" i="71"/>
  <c r="AH269" i="71"/>
  <c r="AH268" i="71"/>
  <c r="AH270" i="71" s="1"/>
  <c r="AH271" i="71" s="1"/>
  <c r="AH267" i="71"/>
  <c r="AH301" i="71" s="1"/>
  <c r="AH309" i="71" s="1"/>
  <c r="AH313" i="71"/>
  <c r="AH266" i="71"/>
  <c r="AN274" i="71" a="1"/>
  <c r="AN274" i="71" s="1"/>
  <c r="AM275" i="71"/>
  <c r="HV44" i="71" s="1"/>
  <c r="AK298" i="71"/>
  <c r="AK253" i="71"/>
  <c r="AM251" i="71"/>
  <c r="HN44" i="71" s="1"/>
  <c r="AN250" i="71" a="1"/>
  <c r="AN250" i="71" s="1"/>
  <c r="AJ263" i="71"/>
  <c r="HR41" i="71" s="1"/>
  <c r="AK262" i="71" a="1"/>
  <c r="AK262" i="71" s="1"/>
  <c r="AJ312" i="71"/>
  <c r="AJ299" i="71"/>
  <c r="AJ254" i="71"/>
  <c r="AJ256" i="71"/>
  <c r="AJ255" i="71"/>
  <c r="AJ300" i="71" s="1"/>
  <c r="AJ308" i="71" s="1"/>
  <c r="AJ257" i="71"/>
  <c r="IF41" i="71" l="1"/>
  <c r="AJ264" i="71"/>
  <c r="AJ265" i="71" s="1"/>
  <c r="HS41" i="71"/>
  <c r="HT41" i="71"/>
  <c r="AN251" i="71"/>
  <c r="HN45" i="71" s="1"/>
  <c r="AO250" i="71" a="1"/>
  <c r="AO250" i="71" s="1"/>
  <c r="AK315" i="71"/>
  <c r="AK293" i="71"/>
  <c r="AK290" i="71"/>
  <c r="AK292" i="71"/>
  <c r="AK291" i="71"/>
  <c r="AK303" i="71" s="1"/>
  <c r="AK311" i="71" s="1"/>
  <c r="AM287" i="71"/>
  <c r="HZ44" i="71" s="1"/>
  <c r="AN286" i="71" a="1"/>
  <c r="AN286" i="71" s="1"/>
  <c r="HO44" i="71"/>
  <c r="IE44" i="71"/>
  <c r="HP44" i="71"/>
  <c r="AM252" i="71"/>
  <c r="AL288" i="71"/>
  <c r="AL289" i="71" s="1"/>
  <c r="IB43" i="71"/>
  <c r="IH43" i="71"/>
  <c r="IA43" i="71"/>
  <c r="AJ258" i="71"/>
  <c r="AJ259" i="71" s="1"/>
  <c r="AK312" i="71"/>
  <c r="AK257" i="71"/>
  <c r="AK299" i="71"/>
  <c r="AK256" i="71"/>
  <c r="AK254" i="71"/>
  <c r="AK255" i="71"/>
  <c r="AK300" i="71" s="1"/>
  <c r="AK308" i="71" s="1"/>
  <c r="AL298" i="71"/>
  <c r="AL253" i="71"/>
  <c r="AM276" i="71"/>
  <c r="AM277" i="71" s="1"/>
  <c r="IG44" i="71"/>
  <c r="HX44" i="71"/>
  <c r="HW44" i="71"/>
  <c r="AJ294" i="71"/>
  <c r="AJ295" i="71" s="1"/>
  <c r="AI266" i="71"/>
  <c r="AI267" i="71"/>
  <c r="AI301" i="71" s="1"/>
  <c r="AI309" i="71" s="1"/>
  <c r="AI269" i="71"/>
  <c r="AI313" i="71"/>
  <c r="AI268" i="71"/>
  <c r="AN275" i="71"/>
  <c r="HV45" i="71" s="1"/>
  <c r="AO274" i="71" a="1"/>
  <c r="AO274" i="71" s="1"/>
  <c r="AK282" i="71"/>
  <c r="AK283" i="71" s="1"/>
  <c r="AK263" i="71"/>
  <c r="HR42" i="71" s="1"/>
  <c r="AL262" i="71" a="1"/>
  <c r="AL262" i="71" s="1"/>
  <c r="AL281" i="71"/>
  <c r="AL280" i="71"/>
  <c r="AL278" i="71"/>
  <c r="AL279" i="71"/>
  <c r="AL302" i="71" s="1"/>
  <c r="AL310" i="71" s="1"/>
  <c r="AL314" i="71"/>
  <c r="AI270" i="71" l="1"/>
  <c r="AI271" i="71" s="1"/>
  <c r="AL282" i="71"/>
  <c r="AL283" i="71" s="1"/>
  <c r="AM279" i="71"/>
  <c r="AM302" i="71" s="1"/>
  <c r="AM310" i="71" s="1"/>
  <c r="AM314" i="71"/>
  <c r="AM281" i="71"/>
  <c r="AM278" i="71"/>
  <c r="AM280" i="71"/>
  <c r="AO251" i="71"/>
  <c r="HN46" i="71" s="1"/>
  <c r="AP250" i="71" a="1"/>
  <c r="AP250" i="71" s="1"/>
  <c r="AN287" i="71"/>
  <c r="HZ45" i="71" s="1"/>
  <c r="AO286" i="71" a="1"/>
  <c r="AO286" i="71" s="1"/>
  <c r="IE45" i="71"/>
  <c r="AN252" i="71"/>
  <c r="HO45" i="71"/>
  <c r="HP45" i="71"/>
  <c r="IF42" i="71"/>
  <c r="HT42" i="71"/>
  <c r="AK264" i="71"/>
  <c r="AK265" i="71" s="1"/>
  <c r="HS42" i="71"/>
  <c r="IA44" i="71"/>
  <c r="IB44" i="71"/>
  <c r="AM288" i="71"/>
  <c r="AM289" i="71" s="1"/>
  <c r="IH44" i="71"/>
  <c r="AM262" i="71" a="1"/>
  <c r="AM262" i="71" s="1"/>
  <c r="AL263" i="71"/>
  <c r="HR43" i="71" s="1"/>
  <c r="AO275" i="71"/>
  <c r="AP274" i="71" a="1"/>
  <c r="AP274" i="71" s="1"/>
  <c r="AK258" i="71"/>
  <c r="AK259" i="71" s="1"/>
  <c r="AL315" i="71"/>
  <c r="AL292" i="71"/>
  <c r="AL290" i="71"/>
  <c r="AL293" i="71"/>
  <c r="AL291" i="71"/>
  <c r="AL303" i="71" s="1"/>
  <c r="AL311" i="71" s="1"/>
  <c r="AK294" i="71"/>
  <c r="AK295" i="71" s="1"/>
  <c r="AJ268" i="71"/>
  <c r="AJ270" i="71" s="1"/>
  <c r="AJ271" i="71" s="1"/>
  <c r="AJ266" i="71"/>
  <c r="AJ267" i="71"/>
  <c r="AJ301" i="71" s="1"/>
  <c r="AJ309" i="71" s="1"/>
  <c r="AJ269" i="71"/>
  <c r="AJ313" i="71"/>
  <c r="AL299" i="71"/>
  <c r="AL257" i="71"/>
  <c r="AL256" i="71"/>
  <c r="AL255" i="71"/>
  <c r="AL300" i="71" s="1"/>
  <c r="AL308" i="71" s="1"/>
  <c r="AL254" i="71"/>
  <c r="AL312" i="71"/>
  <c r="HV46" i="71"/>
  <c r="HX45" i="71"/>
  <c r="AN276" i="71"/>
  <c r="AN277" i="71" s="1"/>
  <c r="HW45" i="71"/>
  <c r="IG45" i="71"/>
  <c r="AM298" i="71"/>
  <c r="AM253" i="71"/>
  <c r="AM282" i="71" l="1"/>
  <c r="AM283" i="71" s="1"/>
  <c r="AM263" i="71"/>
  <c r="HR44" i="71" s="1"/>
  <c r="AN262" i="71" a="1"/>
  <c r="AN262" i="71" s="1"/>
  <c r="HP46" i="71"/>
  <c r="HO46" i="71"/>
  <c r="IE46" i="71"/>
  <c r="AO252" i="71"/>
  <c r="AN314" i="71"/>
  <c r="AN279" i="71"/>
  <c r="AN302" i="71" s="1"/>
  <c r="AN310" i="71" s="1"/>
  <c r="AN278" i="71"/>
  <c r="AN280" i="71"/>
  <c r="AN282" i="71" s="1"/>
  <c r="AN283" i="71" s="1"/>
  <c r="AN281" i="71"/>
  <c r="IG46" i="71"/>
  <c r="HW46" i="71"/>
  <c r="HX46" i="71"/>
  <c r="AO276" i="71"/>
  <c r="AO277" i="71" s="1"/>
  <c r="AL294" i="71"/>
  <c r="AL295" i="71" s="1"/>
  <c r="AM292" i="71"/>
  <c r="AM293" i="71"/>
  <c r="AM290" i="71"/>
  <c r="AM291" i="71"/>
  <c r="AM303" i="71" s="1"/>
  <c r="AM311" i="71" s="1"/>
  <c r="AM315" i="71"/>
  <c r="AN298" i="71"/>
  <c r="AN253" i="71"/>
  <c r="AL264" i="71"/>
  <c r="AL265" i="71" s="1"/>
  <c r="IF43" i="71"/>
  <c r="HS43" i="71"/>
  <c r="HT43" i="71"/>
  <c r="AM256" i="71"/>
  <c r="AM254" i="71"/>
  <c r="AM255" i="71"/>
  <c r="AM300" i="71" s="1"/>
  <c r="AM308" i="71" s="1"/>
  <c r="AM257" i="71"/>
  <c r="AM312" i="71"/>
  <c r="AM299" i="71"/>
  <c r="AO287" i="71"/>
  <c r="HZ46" i="71" s="1"/>
  <c r="AP286" i="71" a="1"/>
  <c r="AP286" i="71" s="1"/>
  <c r="AP275" i="71"/>
  <c r="HV47" i="71" s="1"/>
  <c r="AQ274" i="71" a="1"/>
  <c r="AQ274" i="71" s="1"/>
  <c r="AL258" i="71"/>
  <c r="AL259" i="71" s="1"/>
  <c r="AK266" i="71"/>
  <c r="AK268" i="71"/>
  <c r="AK267" i="71"/>
  <c r="AK301" i="71" s="1"/>
  <c r="AK309" i="71" s="1"/>
  <c r="AK313" i="71"/>
  <c r="AK269" i="71"/>
  <c r="IB45" i="71"/>
  <c r="IH45" i="71"/>
  <c r="AN288" i="71"/>
  <c r="AN289" i="71" s="1"/>
  <c r="IA45" i="71"/>
  <c r="AP251" i="71"/>
  <c r="HN47" i="71" s="1"/>
  <c r="AQ250" i="71" a="1"/>
  <c r="AQ250" i="71" s="1"/>
  <c r="AP252" i="71" l="1"/>
  <c r="IE47" i="71"/>
  <c r="HO47" i="71"/>
  <c r="HP47" i="71"/>
  <c r="AK270" i="71"/>
  <c r="AK271" i="71" s="1"/>
  <c r="AL313" i="71"/>
  <c r="AL266" i="71"/>
  <c r="AL269" i="71"/>
  <c r="AL267" i="71"/>
  <c r="AL301" i="71" s="1"/>
  <c r="AL309" i="71" s="1"/>
  <c r="AL268" i="71"/>
  <c r="AN257" i="71"/>
  <c r="AN312" i="71"/>
  <c r="AN299" i="71"/>
  <c r="AN256" i="71"/>
  <c r="AN254" i="71"/>
  <c r="AN255" i="71"/>
  <c r="AN300" i="71" s="1"/>
  <c r="AN308" i="71" s="1"/>
  <c r="AO278" i="71"/>
  <c r="AO314" i="71"/>
  <c r="AO280" i="71"/>
  <c r="AO281" i="71"/>
  <c r="AO279" i="71"/>
  <c r="AO302" i="71" s="1"/>
  <c r="AO310" i="71" s="1"/>
  <c r="AN293" i="71"/>
  <c r="AN315" i="71"/>
  <c r="AN291" i="71"/>
  <c r="AN303" i="71" s="1"/>
  <c r="AN311" i="71" s="1"/>
  <c r="AN290" i="71"/>
  <c r="AN292" i="71"/>
  <c r="AO298" i="71"/>
  <c r="AO253" i="71"/>
  <c r="AQ275" i="71"/>
  <c r="HV48" i="71" s="1"/>
  <c r="AR274" i="71" a="1"/>
  <c r="AR274" i="71" s="1"/>
  <c r="HX47" i="71"/>
  <c r="HW47" i="71"/>
  <c r="IG47" i="71"/>
  <c r="AP276" i="71"/>
  <c r="AP277" i="71" s="1"/>
  <c r="AM258" i="71"/>
  <c r="AM259" i="71" s="1"/>
  <c r="AP287" i="71"/>
  <c r="HZ47" i="71" s="1"/>
  <c r="AQ286" i="71" a="1"/>
  <c r="AQ286" i="71" s="1"/>
  <c r="IA46" i="71"/>
  <c r="AO288" i="71"/>
  <c r="AO289" i="71" s="1"/>
  <c r="IB46" i="71"/>
  <c r="IH46" i="71"/>
  <c r="AN263" i="71"/>
  <c r="HR45" i="71" s="1"/>
  <c r="AO262" i="71" a="1"/>
  <c r="AO262" i="71" s="1"/>
  <c r="AQ251" i="71"/>
  <c r="HN48" i="71" s="1"/>
  <c r="AR250" i="71" a="1"/>
  <c r="AR250" i="71" s="1"/>
  <c r="AM294" i="71"/>
  <c r="AM295" i="71" s="1"/>
  <c r="HT44" i="71"/>
  <c r="AM264" i="71"/>
  <c r="AM265" i="71" s="1"/>
  <c r="IF44" i="71"/>
  <c r="HS44" i="71"/>
  <c r="AO282" i="71" l="1"/>
  <c r="AO283" i="71" s="1"/>
  <c r="AM267" i="71"/>
  <c r="AM301" i="71" s="1"/>
  <c r="AM309" i="71" s="1"/>
  <c r="AM268" i="71"/>
  <c r="AM269" i="71"/>
  <c r="AM313" i="71"/>
  <c r="AM266" i="71"/>
  <c r="AO315" i="71"/>
  <c r="AO290" i="71"/>
  <c r="AO292" i="71"/>
  <c r="AO291" i="71"/>
  <c r="AO303" i="71" s="1"/>
  <c r="AO311" i="71" s="1"/>
  <c r="AO293" i="71"/>
  <c r="AR275" i="71"/>
  <c r="HV49" i="71" s="1"/>
  <c r="AS274" i="71" a="1"/>
  <c r="AS274" i="71" s="1"/>
  <c r="AN258" i="71"/>
  <c r="AN259" i="71" s="1"/>
  <c r="AR251" i="71"/>
  <c r="HN49" i="71" s="1"/>
  <c r="AS250" i="71" a="1"/>
  <c r="AS250" i="71" s="1"/>
  <c r="AQ287" i="71"/>
  <c r="HZ48" i="71" s="1"/>
  <c r="AR286" i="71" a="1"/>
  <c r="AR286" i="71" s="1"/>
  <c r="AQ276" i="71"/>
  <c r="AQ277" i="71" s="1"/>
  <c r="IG48" i="71"/>
  <c r="HW48" i="71"/>
  <c r="HX48" i="71"/>
  <c r="AQ252" i="71"/>
  <c r="HO48" i="71"/>
  <c r="IE48" i="71"/>
  <c r="HP48" i="71"/>
  <c r="AP288" i="71"/>
  <c r="AP289" i="71" s="1"/>
  <c r="IA47" i="71"/>
  <c r="IB47" i="71"/>
  <c r="IH47" i="71"/>
  <c r="AO255" i="71"/>
  <c r="AO300" i="71" s="1"/>
  <c r="AO308" i="71" s="1"/>
  <c r="AO257" i="71"/>
  <c r="AO256" i="71"/>
  <c r="AO254" i="71"/>
  <c r="AO312" i="71"/>
  <c r="AO299" i="71"/>
  <c r="AO263" i="71"/>
  <c r="HR46" i="71" s="1"/>
  <c r="AP262" i="71" a="1"/>
  <c r="AP262" i="71" s="1"/>
  <c r="IF45" i="71"/>
  <c r="AN264" i="71"/>
  <c r="AN265" i="71" s="1"/>
  <c r="HT45" i="71"/>
  <c r="HS45" i="71"/>
  <c r="AP278" i="71"/>
  <c r="AP281" i="71"/>
  <c r="AP314" i="71"/>
  <c r="AP280" i="71"/>
  <c r="AP282" i="71" s="1"/>
  <c r="AP283" i="71" s="1"/>
  <c r="AP279" i="71"/>
  <c r="AP302" i="71" s="1"/>
  <c r="AP310" i="71" s="1"/>
  <c r="AN294" i="71"/>
  <c r="AN295" i="71" s="1"/>
  <c r="AL270" i="71"/>
  <c r="AL271" i="71" s="1"/>
  <c r="AP253" i="71"/>
  <c r="AP298" i="71"/>
  <c r="AO294" i="71" l="1"/>
  <c r="AO295" i="71" s="1"/>
  <c r="AO258" i="71"/>
  <c r="AO259" i="71" s="1"/>
  <c r="IH48" i="71"/>
  <c r="AQ288" i="71"/>
  <c r="AQ289" i="71" s="1"/>
  <c r="IA48" i="71"/>
  <c r="IB48" i="71"/>
  <c r="AS251" i="71"/>
  <c r="HN50" i="71" s="1"/>
  <c r="AT250" i="71" a="1"/>
  <c r="AT250" i="71" s="1"/>
  <c r="AN266" i="71"/>
  <c r="AN268" i="71"/>
  <c r="AN269" i="71"/>
  <c r="AN267" i="71"/>
  <c r="AN301" i="71" s="1"/>
  <c r="AN309" i="71" s="1"/>
  <c r="AN313" i="71"/>
  <c r="HT46" i="71"/>
  <c r="IF46" i="71"/>
  <c r="AO264" i="71"/>
  <c r="AO265" i="71" s="1"/>
  <c r="HS46" i="71"/>
  <c r="AQ298" i="71"/>
  <c r="AQ253" i="71"/>
  <c r="IE49" i="71"/>
  <c r="HP49" i="71"/>
  <c r="HO49" i="71"/>
  <c r="AR252" i="71"/>
  <c r="AP263" i="71"/>
  <c r="HR47" i="71" s="1"/>
  <c r="AQ262" i="71" a="1"/>
  <c r="AQ262" i="71" s="1"/>
  <c r="AS275" i="71"/>
  <c r="HV50" i="71" s="1"/>
  <c r="AT274" i="71" a="1"/>
  <c r="AT274" i="71" s="1"/>
  <c r="HW49" i="71"/>
  <c r="HX49" i="71"/>
  <c r="IG49" i="71"/>
  <c r="AR276" i="71"/>
  <c r="AR277" i="71" s="1"/>
  <c r="AP312" i="71"/>
  <c r="AP299" i="71"/>
  <c r="AP255" i="71"/>
  <c r="AP300" i="71" s="1"/>
  <c r="AP308" i="71" s="1"/>
  <c r="AP256" i="71"/>
  <c r="AP258" i="71" s="1"/>
  <c r="AP259" i="71" s="1"/>
  <c r="AP254" i="71"/>
  <c r="AP257" i="71"/>
  <c r="AP315" i="71"/>
  <c r="AP293" i="71"/>
  <c r="AP290" i="71"/>
  <c r="AP292" i="71"/>
  <c r="AP294" i="71" s="1"/>
  <c r="AP295" i="71" s="1"/>
  <c r="AP291" i="71"/>
  <c r="AP303" i="71" s="1"/>
  <c r="AP311" i="71" s="1"/>
  <c r="AQ280" i="71"/>
  <c r="AQ282" i="71" s="1"/>
  <c r="AQ283" i="71" s="1"/>
  <c r="AQ314" i="71"/>
  <c r="AQ279" i="71"/>
  <c r="AQ302" i="71" s="1"/>
  <c r="AQ310" i="71" s="1"/>
  <c r="AQ281" i="71"/>
  <c r="AQ278" i="71"/>
  <c r="AM270" i="71"/>
  <c r="AM271" i="71" s="1"/>
  <c r="AR287" i="71"/>
  <c r="HZ49" i="71" s="1"/>
  <c r="AS286" i="71" a="1"/>
  <c r="AS286" i="71" s="1"/>
  <c r="AN270" i="71" l="1"/>
  <c r="AN271" i="71" s="1"/>
  <c r="AS287" i="71"/>
  <c r="HZ50" i="71" s="1"/>
  <c r="AT286" i="71" a="1"/>
  <c r="AT286" i="71" s="1"/>
  <c r="IG50" i="71"/>
  <c r="HX50" i="71"/>
  <c r="HW50" i="71"/>
  <c r="AS276" i="71"/>
  <c r="AS277" i="71" s="1"/>
  <c r="AQ263" i="71"/>
  <c r="HR48" i="71" s="1"/>
  <c r="AR262" i="71" a="1"/>
  <c r="AR262" i="71" s="1"/>
  <c r="AT251" i="71"/>
  <c r="HN51" i="71" s="1"/>
  <c r="AU250" i="71" a="1"/>
  <c r="AU250" i="71" s="1"/>
  <c r="AR279" i="71"/>
  <c r="AR302" i="71" s="1"/>
  <c r="AR310" i="71" s="1"/>
  <c r="AR314" i="71"/>
  <c r="AR280" i="71"/>
  <c r="AR281" i="71"/>
  <c r="AR278" i="71"/>
  <c r="AR253" i="71"/>
  <c r="AR298" i="71"/>
  <c r="HP50" i="71"/>
  <c r="AS252" i="71"/>
  <c r="IE50" i="71"/>
  <c r="HO50" i="71"/>
  <c r="HT47" i="71"/>
  <c r="HS47" i="71"/>
  <c r="AP264" i="71"/>
  <c r="AP265" i="71" s="1"/>
  <c r="IF47" i="71"/>
  <c r="IA49" i="71"/>
  <c r="IB49" i="71"/>
  <c r="AR288" i="71"/>
  <c r="AR289" i="71" s="1"/>
  <c r="IH49" i="71"/>
  <c r="AO267" i="71"/>
  <c r="AO301" i="71" s="1"/>
  <c r="AO309" i="71" s="1"/>
  <c r="AO266" i="71"/>
  <c r="AO269" i="71"/>
  <c r="AO313" i="71"/>
  <c r="AO268" i="71"/>
  <c r="AO270" i="71" s="1"/>
  <c r="AO271" i="71" s="1"/>
  <c r="AQ293" i="71"/>
  <c r="AQ290" i="71"/>
  <c r="AQ315" i="71"/>
  <c r="AQ291" i="71"/>
  <c r="AQ303" i="71" s="1"/>
  <c r="AQ311" i="71" s="1"/>
  <c r="AQ292" i="71"/>
  <c r="AQ294" i="71" s="1"/>
  <c r="AQ295" i="71" s="1"/>
  <c r="AT275" i="71"/>
  <c r="HV51" i="71" s="1"/>
  <c r="AU274" i="71" a="1"/>
  <c r="AU274" i="71" s="1"/>
  <c r="AQ257" i="71"/>
  <c r="AQ254" i="71"/>
  <c r="AQ312" i="71"/>
  <c r="AQ256" i="71"/>
  <c r="AQ299" i="71"/>
  <c r="AQ255" i="71"/>
  <c r="AQ300" i="71" s="1"/>
  <c r="AQ308" i="71" s="1"/>
  <c r="AR282" i="71" l="1"/>
  <c r="AR283" i="71" s="1"/>
  <c r="AR263" i="71"/>
  <c r="HR49" i="71" s="1"/>
  <c r="AS262" i="71" a="1"/>
  <c r="AS262" i="71" s="1"/>
  <c r="AQ264" i="71"/>
  <c r="AQ265" i="71" s="1"/>
  <c r="HS48" i="71"/>
  <c r="IF48" i="71"/>
  <c r="HT48" i="71"/>
  <c r="HX51" i="71"/>
  <c r="HW51" i="71"/>
  <c r="IG51" i="71"/>
  <c r="AT276" i="71"/>
  <c r="AT277" i="71" s="1"/>
  <c r="AR312" i="71"/>
  <c r="AR254" i="71"/>
  <c r="AR257" i="71"/>
  <c r="AR256" i="71"/>
  <c r="AR255" i="71"/>
  <c r="AR300" i="71" s="1"/>
  <c r="AR308" i="71" s="1"/>
  <c r="AR299" i="71"/>
  <c r="AS279" i="71"/>
  <c r="AS302" i="71" s="1"/>
  <c r="AS310" i="71" s="1"/>
  <c r="AS314" i="71"/>
  <c r="AS280" i="71"/>
  <c r="AS281" i="71"/>
  <c r="AS278" i="71"/>
  <c r="AQ258" i="71"/>
  <c r="AQ259" i="71" s="1"/>
  <c r="AU251" i="71"/>
  <c r="HN52" i="71" s="1"/>
  <c r="AV250" i="71" a="1"/>
  <c r="AV250" i="71" s="1"/>
  <c r="AP313" i="71"/>
  <c r="AP269" i="71"/>
  <c r="AP268" i="71"/>
  <c r="AP267" i="71"/>
  <c r="AP301" i="71" s="1"/>
  <c r="AP309" i="71" s="1"/>
  <c r="AP266" i="71"/>
  <c r="AR315" i="71"/>
  <c r="AR290" i="71"/>
  <c r="AR291" i="71"/>
  <c r="AR303" i="71" s="1"/>
  <c r="AR311" i="71" s="1"/>
  <c r="AR292" i="71"/>
  <c r="AR293" i="71"/>
  <c r="AS253" i="71"/>
  <c r="AS298" i="71"/>
  <c r="AT287" i="71"/>
  <c r="HZ51" i="71" s="1"/>
  <c r="AU286" i="71" a="1"/>
  <c r="AU286" i="71" s="1"/>
  <c r="AU275" i="71"/>
  <c r="HV52" i="71" s="1"/>
  <c r="AV274" i="71" a="1"/>
  <c r="AV274" i="71" s="1"/>
  <c r="AT252" i="71"/>
  <c r="HO51" i="71"/>
  <c r="HP51" i="71"/>
  <c r="IE51" i="71"/>
  <c r="AS288" i="71"/>
  <c r="AS289" i="71" s="1"/>
  <c r="IB50" i="71"/>
  <c r="IA50" i="71"/>
  <c r="IH50" i="71"/>
  <c r="AS282" i="71" l="1"/>
  <c r="AS283" i="71" s="1"/>
  <c r="AV251" i="71"/>
  <c r="HN53" i="71" s="1"/>
  <c r="AW250" i="71" a="1"/>
  <c r="AW250" i="71" s="1"/>
  <c r="IE52" i="71"/>
  <c r="HP52" i="71"/>
  <c r="HO52" i="71"/>
  <c r="AU252" i="71"/>
  <c r="AR258" i="71"/>
  <c r="AR259" i="71" s="1"/>
  <c r="HW52" i="71"/>
  <c r="HX52" i="71"/>
  <c r="IG52" i="71"/>
  <c r="AU276" i="71"/>
  <c r="AU277" i="71" s="1"/>
  <c r="IA51" i="71"/>
  <c r="AT288" i="71"/>
  <c r="AT289" i="71" s="1"/>
  <c r="IB51" i="71"/>
  <c r="IH51" i="71"/>
  <c r="AU287" i="71"/>
  <c r="HZ52" i="71" s="1"/>
  <c r="AV286" i="71" a="1"/>
  <c r="AV286" i="71" s="1"/>
  <c r="AS315" i="71"/>
  <c r="AS292" i="71"/>
  <c r="AS291" i="71"/>
  <c r="AS303" i="71" s="1"/>
  <c r="AS311" i="71" s="1"/>
  <c r="AS290" i="71"/>
  <c r="AS293" i="71"/>
  <c r="AS312" i="71"/>
  <c r="AS299" i="71"/>
  <c r="AS257" i="71"/>
  <c r="AS255" i="71"/>
  <c r="AS300" i="71" s="1"/>
  <c r="AS308" i="71" s="1"/>
  <c r="AS254" i="71"/>
  <c r="AS256" i="71"/>
  <c r="AP270" i="71"/>
  <c r="AP271" i="71" s="1"/>
  <c r="AQ313" i="71"/>
  <c r="AQ267" i="71"/>
  <c r="AQ301" i="71" s="1"/>
  <c r="AQ309" i="71" s="1"/>
  <c r="AQ266" i="71"/>
  <c r="AQ268" i="71"/>
  <c r="AQ269" i="71"/>
  <c r="AS263" i="71"/>
  <c r="HR50" i="71" s="1"/>
  <c r="AT262" i="71" a="1"/>
  <c r="AT262" i="71" s="1"/>
  <c r="AV275" i="71"/>
  <c r="HV53" i="71" s="1"/>
  <c r="AW274" i="71" a="1"/>
  <c r="AW274" i="71" s="1"/>
  <c r="AT278" i="71"/>
  <c r="AT314" i="71"/>
  <c r="AT280" i="71"/>
  <c r="AT282" i="71" s="1"/>
  <c r="AT283" i="71" s="1"/>
  <c r="AT279" i="71"/>
  <c r="AT302" i="71" s="1"/>
  <c r="AT310" i="71" s="1"/>
  <c r="AT281" i="71"/>
  <c r="AT298" i="71"/>
  <c r="AT253" i="71"/>
  <c r="AR294" i="71"/>
  <c r="AR295" i="71" s="1"/>
  <c r="HS49" i="71"/>
  <c r="IF49" i="71"/>
  <c r="AR264" i="71"/>
  <c r="AR265" i="71" s="1"/>
  <c r="HT49" i="71"/>
  <c r="AR267" i="71" l="1"/>
  <c r="AR301" i="71" s="1"/>
  <c r="AR309" i="71" s="1"/>
  <c r="AR269" i="71"/>
  <c r="AR266" i="71"/>
  <c r="AR268" i="71"/>
  <c r="AR270" i="71" s="1"/>
  <c r="AR271" i="71" s="1"/>
  <c r="AR313" i="71"/>
  <c r="AU288" i="71"/>
  <c r="AU289" i="71" s="1"/>
  <c r="IA52" i="71"/>
  <c r="IH52" i="71"/>
  <c r="IB52" i="71"/>
  <c r="AQ270" i="71"/>
  <c r="AQ271" i="71" s="1"/>
  <c r="AW275" i="71"/>
  <c r="HV54" i="71" s="1"/>
  <c r="AX274" i="71" a="1"/>
  <c r="AX274" i="71" s="1"/>
  <c r="AU298" i="71"/>
  <c r="AU253" i="71"/>
  <c r="AT254" i="71"/>
  <c r="AT312" i="71"/>
  <c r="AT299" i="71"/>
  <c r="AT255" i="71"/>
  <c r="AT300" i="71" s="1"/>
  <c r="AT308" i="71" s="1"/>
  <c r="AT257" i="71"/>
  <c r="AT256" i="71"/>
  <c r="AT258" i="71" s="1"/>
  <c r="AT259" i="71" s="1"/>
  <c r="AV276" i="71"/>
  <c r="AV277" i="71" s="1"/>
  <c r="IG53" i="71"/>
  <c r="HW53" i="71"/>
  <c r="HX53" i="71"/>
  <c r="AT315" i="71"/>
  <c r="AT290" i="71"/>
  <c r="AT293" i="71"/>
  <c r="AT291" i="71"/>
  <c r="AT303" i="71" s="1"/>
  <c r="AT311" i="71" s="1"/>
  <c r="AT292" i="71"/>
  <c r="AT263" i="71"/>
  <c r="HR51" i="71" s="1"/>
  <c r="AU262" i="71" a="1"/>
  <c r="AU262" i="71" s="1"/>
  <c r="AS258" i="71"/>
  <c r="AS259" i="71" s="1"/>
  <c r="HT50" i="71"/>
  <c r="HS50" i="71"/>
  <c r="AS264" i="71"/>
  <c r="AS265" i="71" s="1"/>
  <c r="IF50" i="71"/>
  <c r="AS294" i="71"/>
  <c r="AS295" i="71" s="1"/>
  <c r="AU280" i="71"/>
  <c r="AU278" i="71"/>
  <c r="AU279" i="71"/>
  <c r="AU302" i="71" s="1"/>
  <c r="AU310" i="71" s="1"/>
  <c r="AU281" i="71"/>
  <c r="AU314" i="71"/>
  <c r="AW251" i="71"/>
  <c r="HN54" i="71" s="1"/>
  <c r="AX250" i="71" a="1"/>
  <c r="AX250" i="71" s="1"/>
  <c r="AV287" i="71"/>
  <c r="HZ53" i="71" s="1"/>
  <c r="AW286" i="71" a="1"/>
  <c r="AW286" i="71" s="1"/>
  <c r="HP53" i="71"/>
  <c r="AV252" i="71"/>
  <c r="IE53" i="71"/>
  <c r="HO53" i="71"/>
  <c r="AW287" i="71" l="1"/>
  <c r="HZ54" i="71" s="1"/>
  <c r="AX286" i="71" a="1"/>
  <c r="AX286" i="71" s="1"/>
  <c r="AV298" i="71"/>
  <c r="AV253" i="71"/>
  <c r="AU263" i="71"/>
  <c r="HR52" i="71" s="1"/>
  <c r="AV262" i="71" a="1"/>
  <c r="AV262" i="71" s="1"/>
  <c r="AT264" i="71"/>
  <c r="AT265" i="71" s="1"/>
  <c r="IF51" i="71"/>
  <c r="HS51" i="71"/>
  <c r="HT51" i="71"/>
  <c r="AU312" i="71"/>
  <c r="AU255" i="71"/>
  <c r="AU300" i="71" s="1"/>
  <c r="AU308" i="71" s="1"/>
  <c r="AU299" i="71"/>
  <c r="AU256" i="71"/>
  <c r="AU258" i="71" s="1"/>
  <c r="AU259" i="71" s="1"/>
  <c r="AU254" i="71"/>
  <c r="AU257" i="71"/>
  <c r="AU293" i="71"/>
  <c r="AU292" i="71"/>
  <c r="AU294" i="71" s="1"/>
  <c r="AU295" i="71" s="1"/>
  <c r="AU290" i="71"/>
  <c r="AU315" i="71"/>
  <c r="AU291" i="71"/>
  <c r="AU303" i="71" s="1"/>
  <c r="AU311" i="71" s="1"/>
  <c r="AV288" i="71"/>
  <c r="AV289" i="71" s="1"/>
  <c r="IB53" i="71"/>
  <c r="IH53" i="71"/>
  <c r="IA53" i="71"/>
  <c r="AT294" i="71"/>
  <c r="AT295" i="71" s="1"/>
  <c r="AV314" i="71"/>
  <c r="AV280" i="71"/>
  <c r="AV278" i="71"/>
  <c r="AV281" i="71"/>
  <c r="AV279" i="71"/>
  <c r="AV302" i="71" s="1"/>
  <c r="AV310" i="71" s="1"/>
  <c r="AX275" i="71"/>
  <c r="HV55" i="71" s="1"/>
  <c r="AY274" i="71" a="1"/>
  <c r="AY274" i="71" s="1"/>
  <c r="AX251" i="71"/>
  <c r="HN55" i="71" s="1"/>
  <c r="AY250" i="71" a="1"/>
  <c r="AY250" i="71" s="1"/>
  <c r="AW252" i="71"/>
  <c r="HP54" i="71"/>
  <c r="HO54" i="71"/>
  <c r="IE54" i="71"/>
  <c r="AS313" i="71"/>
  <c r="AS266" i="71"/>
  <c r="AS268" i="71"/>
  <c r="AS270" i="71" s="1"/>
  <c r="AS271" i="71" s="1"/>
  <c r="AS267" i="71"/>
  <c r="AS301" i="71" s="1"/>
  <c r="AS309" i="71" s="1"/>
  <c r="AS269" i="71"/>
  <c r="HW54" i="71"/>
  <c r="AW276" i="71"/>
  <c r="AW277" i="71" s="1"/>
  <c r="IG54" i="71"/>
  <c r="HX54" i="71"/>
  <c r="AU282" i="71"/>
  <c r="AU283" i="71" s="1"/>
  <c r="IG55" i="71" l="1"/>
  <c r="HX55" i="71"/>
  <c r="AX276" i="71"/>
  <c r="AX277" i="71" s="1"/>
  <c r="HW55" i="71"/>
  <c r="AV263" i="71"/>
  <c r="HR53" i="71" s="1"/>
  <c r="AW262" i="71" a="1"/>
  <c r="AW262" i="71" s="1"/>
  <c r="AT266" i="71"/>
  <c r="AT313" i="71"/>
  <c r="AT269" i="71"/>
  <c r="AT267" i="71"/>
  <c r="AT301" i="71" s="1"/>
  <c r="AT309" i="71" s="1"/>
  <c r="AT268" i="71"/>
  <c r="AT270" i="71" s="1"/>
  <c r="AT271" i="71" s="1"/>
  <c r="AW280" i="71"/>
  <c r="AW314" i="71"/>
  <c r="AW279" i="71"/>
  <c r="AW302" i="71" s="1"/>
  <c r="AW310" i="71" s="1"/>
  <c r="AW278" i="71"/>
  <c r="AW281" i="71"/>
  <c r="AW282" i="71" s="1"/>
  <c r="AW283" i="71" s="1"/>
  <c r="AV290" i="71"/>
  <c r="AV293" i="71"/>
  <c r="AV291" i="71"/>
  <c r="AV303" i="71" s="1"/>
  <c r="AV311" i="71" s="1"/>
  <c r="AV292" i="71"/>
  <c r="AV294" i="71" s="1"/>
  <c r="AV295" i="71" s="1"/>
  <c r="AV315" i="71"/>
  <c r="AU264" i="71"/>
  <c r="AU265" i="71" s="1"/>
  <c r="IF52" i="71"/>
  <c r="HT52" i="71"/>
  <c r="HS52" i="71"/>
  <c r="IE55" i="71"/>
  <c r="HP55" i="71"/>
  <c r="HO55" i="71"/>
  <c r="AX252" i="71"/>
  <c r="AW253" i="71"/>
  <c r="AW298" i="71"/>
  <c r="AV282" i="71"/>
  <c r="AV283" i="71" s="1"/>
  <c r="AV256" i="71"/>
  <c r="AV255" i="71"/>
  <c r="AV300" i="71" s="1"/>
  <c r="AV308" i="71" s="1"/>
  <c r="AV312" i="71"/>
  <c r="AV299" i="71"/>
  <c r="AV254" i="71"/>
  <c r="AV257" i="71"/>
  <c r="AY251" i="71"/>
  <c r="HN56" i="71" s="1"/>
  <c r="AZ250" i="71" a="1"/>
  <c r="AZ250" i="71" s="1"/>
  <c r="AX287" i="71"/>
  <c r="HZ55" i="71" s="1"/>
  <c r="AY286" i="71" a="1"/>
  <c r="AY286" i="71" s="1"/>
  <c r="AY275" i="71"/>
  <c r="HV56" i="71" s="1"/>
  <c r="AZ274" i="71" a="1"/>
  <c r="AZ274" i="71" s="1"/>
  <c r="IA54" i="71"/>
  <c r="AW288" i="71"/>
  <c r="AW289" i="71" s="1"/>
  <c r="IB54" i="71"/>
  <c r="IH54" i="71"/>
  <c r="AZ251" i="71" l="1"/>
  <c r="HN57" i="71" s="1"/>
  <c r="BA250" i="71" a="1"/>
  <c r="BA250" i="71" s="1"/>
  <c r="IE56" i="71"/>
  <c r="HP56" i="71"/>
  <c r="AY252" i="71"/>
  <c r="HO56" i="71"/>
  <c r="AW263" i="71"/>
  <c r="HR54" i="71" s="1"/>
  <c r="AX262" i="71" a="1"/>
  <c r="AX262" i="71" s="1"/>
  <c r="AW256" i="71"/>
  <c r="AW312" i="71"/>
  <c r="AW299" i="71"/>
  <c r="AW255" i="71"/>
  <c r="AW300" i="71" s="1"/>
  <c r="AW308" i="71" s="1"/>
  <c r="AW257" i="71"/>
  <c r="AW254" i="71"/>
  <c r="AX253" i="71"/>
  <c r="AX298" i="71"/>
  <c r="AV264" i="71"/>
  <c r="AV265" i="71" s="1"/>
  <c r="HT53" i="71"/>
  <c r="HS53" i="71"/>
  <c r="IF53" i="71"/>
  <c r="AZ275" i="71"/>
  <c r="HV57" i="71" s="1"/>
  <c r="BA274" i="71" a="1"/>
  <c r="BA274" i="71" s="1"/>
  <c r="AW293" i="71"/>
  <c r="AW291" i="71"/>
  <c r="AW303" i="71" s="1"/>
  <c r="AW311" i="71" s="1"/>
  <c r="AW290" i="71"/>
  <c r="AW315" i="71"/>
  <c r="AW292" i="71"/>
  <c r="AU269" i="71"/>
  <c r="AU268" i="71"/>
  <c r="AU270" i="71" s="1"/>
  <c r="AU271" i="71" s="1"/>
  <c r="AU266" i="71"/>
  <c r="AU313" i="71"/>
  <c r="AU267" i="71"/>
  <c r="AU301" i="71" s="1"/>
  <c r="AU309" i="71" s="1"/>
  <c r="IG56" i="71"/>
  <c r="HW56" i="71"/>
  <c r="AY276" i="71"/>
  <c r="AY277" i="71" s="1"/>
  <c r="HX56" i="71"/>
  <c r="AX280" i="71"/>
  <c r="AX282" i="71" s="1"/>
  <c r="AX283" i="71" s="1"/>
  <c r="AX279" i="71"/>
  <c r="AX302" i="71" s="1"/>
  <c r="AX310" i="71" s="1"/>
  <c r="AX314" i="71"/>
  <c r="AX278" i="71"/>
  <c r="AX281" i="71"/>
  <c r="AY287" i="71"/>
  <c r="HZ56" i="71" s="1"/>
  <c r="AZ286" i="71" a="1"/>
  <c r="AZ286" i="71" s="1"/>
  <c r="IH55" i="71"/>
  <c r="AX288" i="71"/>
  <c r="AX289" i="71" s="1"/>
  <c r="IA55" i="71"/>
  <c r="IB55" i="71"/>
  <c r="AV258" i="71"/>
  <c r="AV259" i="71" s="1"/>
  <c r="AY262" i="71" l="1" a="1"/>
  <c r="AY262" i="71" s="1"/>
  <c r="AX263" i="71"/>
  <c r="HR55" i="71" s="1"/>
  <c r="AX312" i="71"/>
  <c r="AX299" i="71"/>
  <c r="AX256" i="71"/>
  <c r="AX255" i="71"/>
  <c r="AX300" i="71" s="1"/>
  <c r="AX308" i="71" s="1"/>
  <c r="AX257" i="71"/>
  <c r="AX254" i="71"/>
  <c r="HT54" i="71"/>
  <c r="AW264" i="71"/>
  <c r="AW265" i="71" s="1"/>
  <c r="HS54" i="71"/>
  <c r="IF54" i="71"/>
  <c r="BA275" i="71"/>
  <c r="HV58" i="71" s="1"/>
  <c r="BB274" i="71" a="1"/>
  <c r="BB274" i="71" s="1"/>
  <c r="BB275" i="71" s="1"/>
  <c r="HV59" i="71" s="1"/>
  <c r="HX57" i="71"/>
  <c r="HW57" i="71"/>
  <c r="IG57" i="71"/>
  <c r="AZ276" i="71"/>
  <c r="AZ277" i="71" s="1"/>
  <c r="AY298" i="71"/>
  <c r="AY253" i="71"/>
  <c r="AX315" i="71"/>
  <c r="AX291" i="71"/>
  <c r="AX303" i="71" s="1"/>
  <c r="AX311" i="71" s="1"/>
  <c r="AX290" i="71"/>
  <c r="AX292" i="71"/>
  <c r="AX293" i="71"/>
  <c r="AZ287" i="71"/>
  <c r="HZ57" i="71" s="1"/>
  <c r="BA286" i="71" a="1"/>
  <c r="BA286" i="71" s="1"/>
  <c r="AY314" i="71"/>
  <c r="AY279" i="71"/>
  <c r="AY302" i="71" s="1"/>
  <c r="AY310" i="71" s="1"/>
  <c r="AY278" i="71"/>
  <c r="AY280" i="71"/>
  <c r="AY281" i="71"/>
  <c r="AW294" i="71"/>
  <c r="AW295" i="71" s="1"/>
  <c r="BA251" i="71"/>
  <c r="HN58" i="71" s="1"/>
  <c r="BB250" i="71" a="1"/>
  <c r="BB250" i="71" s="1"/>
  <c r="BB251" i="71" s="1"/>
  <c r="HN59" i="71" s="1"/>
  <c r="AY288" i="71"/>
  <c r="AY289" i="71" s="1"/>
  <c r="IA56" i="71"/>
  <c r="IB56" i="71"/>
  <c r="IH56" i="71"/>
  <c r="AV267" i="71"/>
  <c r="AV301" i="71" s="1"/>
  <c r="AV309" i="71" s="1"/>
  <c r="AV268" i="71"/>
  <c r="AV270" i="71" s="1"/>
  <c r="AV271" i="71" s="1"/>
  <c r="AV313" i="71"/>
  <c r="AV266" i="71"/>
  <c r="AV269" i="71"/>
  <c r="AW258" i="71"/>
  <c r="AW259" i="71" s="1"/>
  <c r="HP57" i="71"/>
  <c r="HO57" i="71"/>
  <c r="IE57" i="71"/>
  <c r="AZ252" i="71"/>
  <c r="AX294" i="71" l="1"/>
  <c r="AX295" i="71" s="1"/>
  <c r="AY282" i="71"/>
  <c r="AY283" i="71" s="1"/>
  <c r="BB276" i="71"/>
  <c r="BB277" i="71" s="1"/>
  <c r="HW59" i="71"/>
  <c r="IG59" i="71"/>
  <c r="HX59" i="71"/>
  <c r="BA276" i="71"/>
  <c r="BA277" i="71" s="1"/>
  <c r="HW58" i="71"/>
  <c r="IG58" i="71"/>
  <c r="HX58" i="71"/>
  <c r="AX258" i="71"/>
  <c r="AX259" i="71" s="1"/>
  <c r="AZ298" i="71"/>
  <c r="AZ253" i="71"/>
  <c r="AY315" i="71"/>
  <c r="AY291" i="71"/>
  <c r="AY303" i="71" s="1"/>
  <c r="AY311" i="71" s="1"/>
  <c r="AY290" i="71"/>
  <c r="AY293" i="71"/>
  <c r="AY292" i="71"/>
  <c r="AY257" i="71"/>
  <c r="AY254" i="71"/>
  <c r="AY255" i="71"/>
  <c r="AY300" i="71" s="1"/>
  <c r="AY308" i="71" s="1"/>
  <c r="AY312" i="71"/>
  <c r="AY299" i="71"/>
  <c r="AY256" i="71"/>
  <c r="AY258" i="71" s="1"/>
  <c r="AY259" i="71" s="1"/>
  <c r="BA287" i="71"/>
  <c r="HZ58" i="71" s="1"/>
  <c r="BB286" i="71" a="1"/>
  <c r="BB286" i="71" s="1"/>
  <c r="BB287" i="71" s="1"/>
  <c r="HZ59" i="71" s="1"/>
  <c r="HP59" i="71"/>
  <c r="IE59" i="71"/>
  <c r="BB252" i="71"/>
  <c r="HO59" i="71"/>
  <c r="BA252" i="71"/>
  <c r="HP58" i="71"/>
  <c r="HO58" i="71"/>
  <c r="IE58" i="71"/>
  <c r="IB57" i="71"/>
  <c r="AZ288" i="71"/>
  <c r="AZ289" i="71" s="1"/>
  <c r="IH57" i="71"/>
  <c r="IA57" i="71"/>
  <c r="AZ278" i="71"/>
  <c r="AZ281" i="71"/>
  <c r="AZ280" i="71"/>
  <c r="AZ314" i="71"/>
  <c r="AZ279" i="71"/>
  <c r="AZ302" i="71" s="1"/>
  <c r="AZ310" i="71" s="1"/>
  <c r="AW313" i="71"/>
  <c r="AW269" i="71"/>
  <c r="AW268" i="71"/>
  <c r="AW267" i="71"/>
  <c r="AW301" i="71" s="1"/>
  <c r="AW309" i="71" s="1"/>
  <c r="AW266" i="71"/>
  <c r="AX264" i="71"/>
  <c r="AX265" i="71" s="1"/>
  <c r="IF55" i="71"/>
  <c r="HT55" i="71"/>
  <c r="HS55" i="71"/>
  <c r="AY263" i="71"/>
  <c r="HR56" i="71" s="1"/>
  <c r="AZ262" i="71" a="1"/>
  <c r="AZ262" i="71" s="1"/>
  <c r="AY294" i="71" l="1"/>
  <c r="AY295" i="71" s="1"/>
  <c r="BA253" i="71"/>
  <c r="BA298" i="71"/>
  <c r="BA314" i="71"/>
  <c r="BA278" i="71"/>
  <c r="BA281" i="71"/>
  <c r="BA279" i="71"/>
  <c r="BA302" i="71" s="1"/>
  <c r="BA310" i="71" s="1"/>
  <c r="BA280" i="71"/>
  <c r="AZ263" i="71"/>
  <c r="HR57" i="71" s="1"/>
  <c r="BA262" i="71" a="1"/>
  <c r="BA262" i="71" s="1"/>
  <c r="AW270" i="71"/>
  <c r="AW271" i="71" s="1"/>
  <c r="IF56" i="71"/>
  <c r="HS56" i="71"/>
  <c r="HT56" i="71"/>
  <c r="AY264" i="71"/>
  <c r="AY265" i="71" s="1"/>
  <c r="AZ299" i="71"/>
  <c r="AZ254" i="71"/>
  <c r="AZ256" i="71"/>
  <c r="AZ258" i="71" s="1"/>
  <c r="AZ259" i="71" s="1"/>
  <c r="AZ255" i="71"/>
  <c r="AZ300" i="71" s="1"/>
  <c r="AZ308" i="71" s="1"/>
  <c r="AZ312" i="71"/>
  <c r="AZ257" i="71"/>
  <c r="BB298" i="71"/>
  <c r="BB253" i="71"/>
  <c r="AZ290" i="71"/>
  <c r="AZ315" i="71"/>
  <c r="AZ292" i="71"/>
  <c r="AZ294" i="71" s="1"/>
  <c r="AZ295" i="71" s="1"/>
  <c r="AZ291" i="71"/>
  <c r="AZ303" i="71" s="1"/>
  <c r="AZ311" i="71" s="1"/>
  <c r="AZ293" i="71"/>
  <c r="BB280" i="71"/>
  <c r="BB314" i="71"/>
  <c r="BB279" i="71"/>
  <c r="BB302" i="71" s="1"/>
  <c r="BB310" i="71" s="1"/>
  <c r="BB281" i="71"/>
  <c r="BB278" i="71"/>
  <c r="BB288" i="71"/>
  <c r="BB289" i="71" s="1"/>
  <c r="IH59" i="71"/>
  <c r="IB59" i="71"/>
  <c r="IA59" i="71"/>
  <c r="AX313" i="71"/>
  <c r="AX269" i="71"/>
  <c r="AX268" i="71"/>
  <c r="AX266" i="71"/>
  <c r="AX267" i="71"/>
  <c r="AX301" i="71" s="1"/>
  <c r="AX309" i="71" s="1"/>
  <c r="AZ282" i="71"/>
  <c r="AZ283" i="71" s="1"/>
  <c r="IA58" i="71"/>
  <c r="BA288" i="71"/>
  <c r="BA289" i="71" s="1"/>
  <c r="IB58" i="71"/>
  <c r="IH58" i="71"/>
  <c r="AX270" i="71" l="1"/>
  <c r="AX271" i="71" s="1"/>
  <c r="BA282" i="71"/>
  <c r="BA283" i="71" s="1"/>
  <c r="IF57" i="71"/>
  <c r="HS57" i="71"/>
  <c r="HT57" i="71"/>
  <c r="AZ264" i="71"/>
  <c r="AZ265" i="71" s="1"/>
  <c r="BB293" i="71"/>
  <c r="BB290" i="71"/>
  <c r="BB315" i="71"/>
  <c r="BB291" i="71"/>
  <c r="BB303" i="71" s="1"/>
  <c r="BB292" i="71"/>
  <c r="AY269" i="71"/>
  <c r="AY268" i="71"/>
  <c r="AY270" i="71" s="1"/>
  <c r="AY271" i="71" s="1"/>
  <c r="AY267" i="71"/>
  <c r="AY301" i="71" s="1"/>
  <c r="AY309" i="71" s="1"/>
  <c r="AY313" i="71"/>
  <c r="AY266" i="71"/>
  <c r="BB299" i="71"/>
  <c r="BB257" i="71"/>
  <c r="BB256" i="71"/>
  <c r="BB255" i="71"/>
  <c r="BB300" i="71" s="1"/>
  <c r="BB308" i="71" s="1"/>
  <c r="BB312" i="71"/>
  <c r="BB254" i="71"/>
  <c r="BA290" i="71"/>
  <c r="BA293" i="71"/>
  <c r="BA292" i="71"/>
  <c r="BA291" i="71"/>
  <c r="BA303" i="71" s="1"/>
  <c r="BA311" i="71" s="1"/>
  <c r="BA315" i="71"/>
  <c r="BB282" i="71"/>
  <c r="BB283" i="71" s="1"/>
  <c r="BA263" i="71"/>
  <c r="HR58" i="71" s="1"/>
  <c r="BB262" i="71" a="1"/>
  <c r="BB262" i="71" s="1"/>
  <c r="BB263" i="71" s="1"/>
  <c r="BA312" i="71"/>
  <c r="BA299" i="71"/>
  <c r="BA257" i="71"/>
  <c r="BA254" i="71"/>
  <c r="BA256" i="71"/>
  <c r="BA255" i="71"/>
  <c r="BA300" i="71" s="1"/>
  <c r="BA308" i="71" s="1"/>
  <c r="BA294" i="71" l="1"/>
  <c r="BA295" i="71" s="1"/>
  <c r="BB258" i="71"/>
  <c r="BB259" i="71" s="1"/>
  <c r="BA264" i="71"/>
  <c r="BA265" i="71" s="1"/>
  <c r="IF58" i="71"/>
  <c r="HS58" i="71"/>
  <c r="HT58" i="71"/>
  <c r="AZ269" i="71"/>
  <c r="AZ313" i="71"/>
  <c r="AZ268" i="71"/>
  <c r="AZ266" i="71"/>
  <c r="AZ267" i="71"/>
  <c r="AZ301" i="71" s="1"/>
  <c r="AZ309" i="71" s="1"/>
  <c r="BB294" i="71"/>
  <c r="BB295" i="71" s="1"/>
  <c r="HR59" i="71"/>
  <c r="BA258" i="71"/>
  <c r="BA259" i="71" s="1"/>
  <c r="BB311" i="71"/>
  <c r="G296" i="71"/>
  <c r="AZ270" i="71" l="1"/>
  <c r="AZ271" i="71" s="1"/>
  <c r="BB264" i="71"/>
  <c r="BB265" i="71" s="1"/>
  <c r="IF59" i="71"/>
  <c r="HS59" i="71"/>
  <c r="HT59" i="71"/>
  <c r="S102" i="75"/>
  <c r="I296" i="71"/>
  <c r="S103" i="75" s="1"/>
  <c r="K296" i="71"/>
  <c r="S104" i="75" s="1"/>
  <c r="S105" i="75" s="1"/>
  <c r="E296" i="71"/>
  <c r="S107" i="75" s="1"/>
  <c r="S109" i="75" s="1"/>
  <c r="BA269" i="71"/>
  <c r="BA268" i="71"/>
  <c r="BA313" i="71"/>
  <c r="BA266" i="71"/>
  <c r="BA267" i="71"/>
  <c r="BA301" i="71" s="1"/>
  <c r="BA309" i="71" s="1"/>
  <c r="BA270" i="71" l="1"/>
  <c r="BA271" i="71" s="1"/>
  <c r="BB267" i="71"/>
  <c r="BB301" i="71" s="1"/>
  <c r="BB266" i="71"/>
  <c r="BB269" i="71"/>
  <c r="BB268" i="71"/>
  <c r="BB313" i="71"/>
  <c r="BB270" i="71" l="1"/>
  <c r="BB271" i="71" s="1"/>
  <c r="E297" i="71" s="1"/>
  <c r="AA107" i="75" s="1"/>
  <c r="BB309" i="71"/>
  <c r="G297" i="71"/>
  <c r="M296" i="71"/>
  <c r="O109" i="75" s="1"/>
  <c r="O105" i="75" s="1"/>
  <c r="O107" i="75" s="1"/>
  <c r="M297" i="71" l="1"/>
  <c r="W108" i="75" s="1"/>
  <c r="W105" i="75" s="1"/>
  <c r="W107" i="75" s="1"/>
  <c r="W109" i="75" s="1"/>
  <c r="AA102" i="75"/>
  <c r="I297" i="71"/>
  <c r="AA103" i="75" s="1"/>
  <c r="K297" i="71"/>
  <c r="AA104" i="75" s="1"/>
  <c r="AA105" i="75" s="1"/>
  <c r="AA109" i="75"/>
  <c r="AA108" i="7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1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1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1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1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1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1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1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1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1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1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1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1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1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1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1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1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1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2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2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2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2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2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2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2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2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2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2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2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2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2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2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2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2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2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3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3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3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3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3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3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3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3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3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3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3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3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3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3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3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3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3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4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4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4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4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4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4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4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4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4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4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4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4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4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4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4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4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4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6" authorId="0" shapeId="0" xr:uid="{00000000-0006-0000-0500-000001000000}">
      <text>
        <r>
          <rPr>
            <b/>
            <sz val="9"/>
            <color indexed="81"/>
            <rFont val="ＭＳ Ｐゴシック"/>
            <family val="3"/>
            <charset val="128"/>
          </rPr>
          <t>西暦４ケタで入力してください</t>
        </r>
        <r>
          <rPr>
            <sz val="9"/>
            <color indexed="81"/>
            <rFont val="ＭＳ Ｐゴシック"/>
            <family val="3"/>
            <charset val="128"/>
          </rPr>
          <t xml:space="preserve">
</t>
        </r>
      </text>
    </comment>
    <comment ref="M9" authorId="0" shapeId="0" xr:uid="{00000000-0006-0000-0500-000002000000}">
      <text>
        <r>
          <rPr>
            <sz val="9"/>
            <color indexed="81"/>
            <rFont val="ＭＳ Ｐゴシック"/>
            <family val="3"/>
            <charset val="128"/>
          </rPr>
          <t>1行目に住所をご記入ください</t>
        </r>
      </text>
    </comment>
    <comment ref="AP9" authorId="0" shapeId="0" xr:uid="{00000000-0006-0000-0500-000003000000}">
      <text>
        <r>
          <rPr>
            <sz val="9"/>
            <color indexed="81"/>
            <rFont val="ＭＳ Ｐゴシック"/>
            <family val="3"/>
            <charset val="128"/>
          </rPr>
          <t>1行目に住所をご記入ください（全角の場合は22文字以内）。</t>
        </r>
      </text>
    </comment>
    <comment ref="M10" authorId="0" shapeId="0" xr:uid="{00000000-0006-0000-0500-000004000000}">
      <text>
        <r>
          <rPr>
            <sz val="9"/>
            <color indexed="81"/>
            <rFont val="ＭＳ Ｐゴシック"/>
            <family val="3"/>
            <charset val="128"/>
          </rPr>
          <t>ビル名がある場合は２行目に記載してください。</t>
        </r>
      </text>
    </comment>
    <comment ref="M11" authorId="0" shapeId="0" xr:uid="{00000000-0006-0000-0500-000005000000}">
      <text>
        <r>
          <rPr>
            <sz val="9"/>
            <color indexed="81"/>
            <rFont val="ＭＳ Ｐゴシック"/>
            <family val="3"/>
            <charset val="128"/>
          </rPr>
          <t>氏名欄は、
１行目に法人・団体名、２行目に代表者役職・氏名をご記入ください。</t>
        </r>
      </text>
    </comment>
    <comment ref="AP11" authorId="0" shapeId="0" xr:uid="{00000000-0006-0000-0500-000006000000}">
      <text>
        <r>
          <rPr>
            <sz val="9"/>
            <color indexed="81"/>
            <rFont val="ＭＳ Ｐゴシック"/>
            <family val="3"/>
            <charset val="128"/>
          </rPr>
          <t>法人の場合、1行目に法人名をご記入ください（全角の場合は22文字以内）。</t>
        </r>
      </text>
    </comment>
    <comment ref="M12" authorId="0" shapeId="0" xr:uid="{00000000-0006-0000-0500-000007000000}">
      <text>
        <r>
          <rPr>
            <sz val="9"/>
            <color indexed="81"/>
            <rFont val="ＭＳ Ｐゴシック"/>
            <family val="3"/>
            <charset val="128"/>
          </rPr>
          <t>氏名欄は、
１行目に法人・団体名、
２行目に代表者役職・氏名をご記入ください。</t>
        </r>
      </text>
    </comment>
    <comment ref="AP12" authorId="0" shapeId="0" xr:uid="{00000000-0006-0000-0500-000008000000}">
      <text>
        <r>
          <rPr>
            <sz val="9"/>
            <color indexed="81"/>
            <rFont val="ＭＳ Ｐゴシック"/>
            <family val="3"/>
            <charset val="128"/>
          </rPr>
          <t>法人の場合、2行目に代表者名をご記入ください（全角の場合は22文字以内）。</t>
        </r>
      </text>
    </comment>
    <comment ref="B18" authorId="0" shapeId="0" xr:uid="{00000000-0006-0000-0500-000009000000}">
      <text>
        <r>
          <rPr>
            <b/>
            <sz val="9"/>
            <color indexed="81"/>
            <rFont val="ＭＳ Ｐゴシック"/>
            <family val="3"/>
            <charset val="128"/>
          </rPr>
          <t xml:space="preserve">プルダウン選択
</t>
        </r>
        <r>
          <rPr>
            <sz val="9"/>
            <color indexed="81"/>
            <rFont val="ＭＳ Ｐゴシック"/>
            <family val="3"/>
            <charset val="128"/>
          </rPr>
          <t>該当する場合に■を選択してください。</t>
        </r>
      </text>
    </comment>
    <comment ref="Q18" authorId="0" shapeId="0" xr:uid="{00000000-0006-0000-0500-00000A000000}">
      <text>
        <r>
          <rPr>
            <b/>
            <sz val="9"/>
            <color indexed="81"/>
            <rFont val="ＭＳ Ｐゴシック"/>
            <family val="3"/>
            <charset val="128"/>
          </rPr>
          <t xml:space="preserve">上段
</t>
        </r>
        <r>
          <rPr>
            <sz val="9"/>
            <color indexed="81"/>
            <rFont val="ＭＳ Ｐゴシック"/>
            <family val="3"/>
            <charset val="128"/>
          </rPr>
          <t xml:space="preserve">別紙１で算出した全県（県内全域）の値を記入してください。
</t>
        </r>
        <r>
          <rPr>
            <b/>
            <sz val="9"/>
            <color indexed="81"/>
            <rFont val="ＭＳ Ｐゴシック"/>
            <family val="3"/>
            <charset val="128"/>
          </rPr>
          <t xml:space="preserve">下段
</t>
        </r>
        <r>
          <rPr>
            <sz val="9"/>
            <color indexed="81"/>
            <rFont val="ＭＳ Ｐゴシック"/>
            <family val="3"/>
            <charset val="128"/>
          </rPr>
          <t>別紙１で算出した県域（横浜・川崎市を除いた県の区域）の値を記入してください。</t>
        </r>
      </text>
    </comment>
    <comment ref="Q22" authorId="0" shapeId="0" xr:uid="{00000000-0006-0000-0500-00000B000000}">
      <text>
        <r>
          <rPr>
            <b/>
            <sz val="9"/>
            <color indexed="81"/>
            <rFont val="ＭＳ Ｐゴシック"/>
            <family val="3"/>
            <charset val="128"/>
          </rPr>
          <t xml:space="preserve">上段
</t>
        </r>
        <r>
          <rPr>
            <sz val="9"/>
            <color indexed="81"/>
            <rFont val="ＭＳ Ｐゴシック"/>
            <family val="3"/>
            <charset val="128"/>
          </rPr>
          <t xml:space="preserve">別紙２に記入した全県（県内全域）の台数を記入してください。
</t>
        </r>
        <r>
          <rPr>
            <b/>
            <sz val="9"/>
            <color indexed="81"/>
            <rFont val="ＭＳ Ｐゴシック"/>
            <family val="3"/>
            <charset val="128"/>
          </rPr>
          <t>下段</t>
        </r>
        <r>
          <rPr>
            <sz val="9"/>
            <color indexed="81"/>
            <rFont val="ＭＳ Ｐゴシック"/>
            <family val="3"/>
            <charset val="128"/>
          </rPr>
          <t xml:space="preserve">
別紙２に記入した県域（横浜・川崎市を除いた県の区域）の台数を記入してください。</t>
        </r>
      </text>
    </comment>
    <comment ref="C24" authorId="0" shapeId="0" xr:uid="{00000000-0006-0000-0500-00000C000000}">
      <text>
        <r>
          <rPr>
            <b/>
            <sz val="9"/>
            <color indexed="81"/>
            <rFont val="ＭＳ Ｐゴシック"/>
            <family val="3"/>
            <charset val="128"/>
          </rPr>
          <t xml:space="preserve">プルダウン選択
</t>
        </r>
        <r>
          <rPr>
            <sz val="9"/>
            <color indexed="81"/>
            <rFont val="ＭＳ Ｐゴシック"/>
            <family val="3"/>
            <charset val="128"/>
          </rPr>
          <t>該当する大分類を一つだけ選び、■を選択してください。</t>
        </r>
      </text>
    </comment>
    <comment ref="C34" authorId="0" shapeId="0" xr:uid="{00000000-0006-0000-0500-00000D000000}">
      <text>
        <r>
          <rPr>
            <b/>
            <sz val="9"/>
            <color indexed="81"/>
            <rFont val="ＭＳ Ｐゴシック"/>
            <family val="3"/>
            <charset val="128"/>
          </rPr>
          <t>プルダウン選択</t>
        </r>
        <r>
          <rPr>
            <sz val="9"/>
            <color indexed="81"/>
            <rFont val="ＭＳ Ｐゴシック"/>
            <family val="3"/>
            <charset val="128"/>
          </rPr>
          <t xml:space="preserve">
該当する中分類を選択してください。</t>
        </r>
      </text>
    </comment>
    <comment ref="E35" authorId="0" shapeId="0" xr:uid="{00000000-0006-0000-0500-00000E000000}">
      <text>
        <r>
          <rPr>
            <sz val="9"/>
            <color indexed="81"/>
            <rFont val="ＭＳ Ｐゴシック"/>
            <family val="3"/>
            <charset val="128"/>
          </rPr>
          <t>社として、本制度の問い合わせや本県からの案内を受け取られるところをご記入ください。（委託先はP40のセルに入力）</t>
        </r>
      </text>
    </comment>
    <comment ref="E36" authorId="0" shapeId="0" xr:uid="{00000000-0006-0000-0500-00000F000000}">
      <text>
        <r>
          <rPr>
            <sz val="9"/>
            <color indexed="81"/>
            <rFont val="ＭＳ Ｐゴシック"/>
            <family val="3"/>
            <charset val="128"/>
          </rPr>
          <t>半角数字で入力してください。</t>
        </r>
      </text>
    </comment>
    <comment ref="E37" authorId="0" shapeId="0" xr:uid="{00000000-0006-0000-0500-000010000000}">
      <text>
        <r>
          <rPr>
            <sz val="9"/>
            <color indexed="81"/>
            <rFont val="ＭＳ Ｐゴシック"/>
            <family val="3"/>
            <charset val="128"/>
          </rPr>
          <t>半角数字で入力してください。</t>
        </r>
      </text>
    </comment>
    <comment ref="E38" authorId="0" shapeId="0" xr:uid="{00000000-0006-0000-0500-000011000000}">
      <text>
        <r>
          <rPr>
            <sz val="9"/>
            <color indexed="81"/>
            <rFont val="ＭＳ Ｐゴシック"/>
            <family val="3"/>
            <charset val="128"/>
          </rPr>
          <t>半角英数字で入力してください。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89" authorId="0" shapeId="0" xr:uid="{00000000-0006-0000-0A00-000001000000}">
      <text>
        <r>
          <rPr>
            <b/>
            <sz val="9"/>
            <color indexed="81"/>
            <rFont val="MS P ゴシック"/>
            <family val="3"/>
            <charset val="128"/>
          </rPr>
          <t>作成者:</t>
        </r>
        <r>
          <rPr>
            <sz val="9"/>
            <color indexed="81"/>
            <rFont val="MS P ゴシック"/>
            <family val="3"/>
            <charset val="128"/>
          </rPr>
          <t xml:space="preserve">
非化石燃料のうち、排出係数の設定がある廃タイヤ、廃プラ（一廃・産廃）、廃油、ＲＤＦ、ＲＰＦの排出量の合計量</t>
        </r>
      </text>
    </comment>
    <comment ref="E199" authorId="0" shapeId="0" xr:uid="{00000000-0006-0000-0A00-000002000000}">
      <text>
        <r>
          <rPr>
            <b/>
            <sz val="9"/>
            <color indexed="81"/>
            <rFont val="MS P ゴシック"/>
            <family val="3"/>
            <charset val="128"/>
          </rPr>
          <t>作成者:</t>
        </r>
        <r>
          <rPr>
            <sz val="9"/>
            <color indexed="81"/>
            <rFont val="MS P ゴシック"/>
            <family val="3"/>
            <charset val="128"/>
          </rPr>
          <t xml:space="preserve">
非化石燃料のうち、排出係数の設定がある廃タイヤ、廃プラ（一廃・産廃）、廃油、ＲＤＦ、ＲＰＦの排出量の合計量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<sst xmlns="http://schemas.openxmlformats.org/spreadsheetml/2006/main" count="9318" uniqueCount="1535">
  <si>
    <t>中分類</t>
    <rPh sb="0" eb="1">
      <t>チュウ</t>
    </rPh>
    <rPh sb="1" eb="3">
      <t>ブンルイ</t>
    </rPh>
    <phoneticPr fontId="4"/>
  </si>
  <si>
    <t>部署名</t>
    <rPh sb="0" eb="2">
      <t>ブショ</t>
    </rPh>
    <rPh sb="2" eb="3">
      <t>メイ</t>
    </rPh>
    <phoneticPr fontId="4"/>
  </si>
  <si>
    <t>□</t>
    <phoneticPr fontId="4"/>
  </si>
  <si>
    <t>基準年度</t>
    <rPh sb="0" eb="2">
      <t>キジュン</t>
    </rPh>
    <rPh sb="2" eb="4">
      <t>ネンド</t>
    </rPh>
    <phoneticPr fontId="4"/>
  </si>
  <si>
    <t>年度</t>
    <rPh sb="0" eb="2">
      <t>ネンド</t>
    </rPh>
    <phoneticPr fontId="4"/>
  </si>
  <si>
    <t>総数</t>
    <rPh sb="0" eb="2">
      <t>ソウスウ</t>
    </rPh>
    <phoneticPr fontId="4"/>
  </si>
  <si>
    <t>台</t>
    <rPh sb="0" eb="1">
      <t>ダイ</t>
    </rPh>
    <phoneticPr fontId="4"/>
  </si>
  <si>
    <t>工場等の名称</t>
    <rPh sb="0" eb="3">
      <t>コウジョウトウ</t>
    </rPh>
    <phoneticPr fontId="4"/>
  </si>
  <si>
    <t>使用台数</t>
    <rPh sb="0" eb="2">
      <t>シヨウ</t>
    </rPh>
    <rPh sb="2" eb="4">
      <t>ダイスウ</t>
    </rPh>
    <phoneticPr fontId="4"/>
  </si>
  <si>
    <t>工場等の規模</t>
    <rPh sb="0" eb="2">
      <t>コウジョウ</t>
    </rPh>
    <rPh sb="2" eb="3">
      <t>トウ</t>
    </rPh>
    <rPh sb="4" eb="6">
      <t>キボ</t>
    </rPh>
    <phoneticPr fontId="4"/>
  </si>
  <si>
    <t>工場等の所在地</t>
    <rPh sb="0" eb="3">
      <t>コウジョウトウ</t>
    </rPh>
    <rPh sb="4" eb="7">
      <t>ショザイチ</t>
    </rPh>
    <phoneticPr fontId="4"/>
  </si>
  <si>
    <t xml:space="preserve">                                                        　　 </t>
  </si>
  <si>
    <t>主たる事業の業種</t>
    <rPh sb="0" eb="1">
      <t>シュ</t>
    </rPh>
    <rPh sb="3" eb="5">
      <t>ジギョウ</t>
    </rPh>
    <rPh sb="6" eb="8">
      <t>ギョウシュ</t>
    </rPh>
    <phoneticPr fontId="4"/>
  </si>
  <si>
    <t>大分類</t>
    <rPh sb="0" eb="1">
      <t>ダイ</t>
    </rPh>
    <rPh sb="1" eb="3">
      <t>ブンルイ</t>
    </rPh>
    <phoneticPr fontId="4"/>
  </si>
  <si>
    <t>A 農業,林業</t>
    <rPh sb="2" eb="4">
      <t>ノウギョウ</t>
    </rPh>
    <rPh sb="5" eb="7">
      <t>リンギョウ</t>
    </rPh>
    <phoneticPr fontId="4"/>
  </si>
  <si>
    <t>K 不動産業,物品賃貸業</t>
    <rPh sb="2" eb="5">
      <t>フドウサン</t>
    </rPh>
    <rPh sb="5" eb="6">
      <t>ギョウ</t>
    </rPh>
    <rPh sb="7" eb="9">
      <t>ブッピン</t>
    </rPh>
    <rPh sb="9" eb="11">
      <t>チンタイ</t>
    </rPh>
    <rPh sb="11" eb="12">
      <t>ギョウ</t>
    </rPh>
    <phoneticPr fontId="4"/>
  </si>
  <si>
    <t>B 漁業</t>
    <rPh sb="2" eb="4">
      <t>ギョギョウ</t>
    </rPh>
    <phoneticPr fontId="4"/>
  </si>
  <si>
    <t>L 学術研究,専門・技術サービス業</t>
    <rPh sb="2" eb="4">
      <t>ガクジュツ</t>
    </rPh>
    <rPh sb="4" eb="6">
      <t>ケンキュウ</t>
    </rPh>
    <rPh sb="7" eb="9">
      <t>センモン</t>
    </rPh>
    <rPh sb="10" eb="12">
      <t>ギジュツ</t>
    </rPh>
    <rPh sb="16" eb="17">
      <t>ギョウ</t>
    </rPh>
    <phoneticPr fontId="4"/>
  </si>
  <si>
    <t>C 鉱業,採石業,砂利採取業</t>
    <rPh sb="2" eb="4">
      <t>コウギョウ</t>
    </rPh>
    <rPh sb="5" eb="7">
      <t>サイセキ</t>
    </rPh>
    <rPh sb="7" eb="8">
      <t>ギョウ</t>
    </rPh>
    <rPh sb="9" eb="11">
      <t>ジャリ</t>
    </rPh>
    <rPh sb="11" eb="13">
      <t>サイシュ</t>
    </rPh>
    <rPh sb="13" eb="14">
      <t>ギョウ</t>
    </rPh>
    <phoneticPr fontId="4"/>
  </si>
  <si>
    <t>M 宿泊業,飲食サービス業</t>
    <rPh sb="6" eb="8">
      <t>インショク</t>
    </rPh>
    <rPh sb="12" eb="13">
      <t>ギョウ</t>
    </rPh>
    <phoneticPr fontId="4"/>
  </si>
  <si>
    <t>D 建設業</t>
    <rPh sb="2" eb="4">
      <t>ケンセツ</t>
    </rPh>
    <phoneticPr fontId="4"/>
  </si>
  <si>
    <t>N 生活関連サービス業,娯楽業</t>
    <rPh sb="2" eb="4">
      <t>セイカツ</t>
    </rPh>
    <rPh sb="4" eb="6">
      <t>カンレン</t>
    </rPh>
    <rPh sb="10" eb="11">
      <t>ギョウ</t>
    </rPh>
    <rPh sb="12" eb="14">
      <t>ゴラク</t>
    </rPh>
    <rPh sb="14" eb="15">
      <t>ギョウ</t>
    </rPh>
    <phoneticPr fontId="4"/>
  </si>
  <si>
    <t>E 製造業</t>
    <rPh sb="2" eb="4">
      <t>セイゾウ</t>
    </rPh>
    <phoneticPr fontId="4"/>
  </si>
  <si>
    <t>O 教育,学習支援業</t>
  </si>
  <si>
    <t>F 電気・ガス・熱供給・水道業</t>
    <rPh sb="2" eb="4">
      <t>デンキ</t>
    </rPh>
    <rPh sb="8" eb="9">
      <t>ネツ</t>
    </rPh>
    <rPh sb="9" eb="11">
      <t>キョウキュウ</t>
    </rPh>
    <rPh sb="12" eb="14">
      <t>スイドウ</t>
    </rPh>
    <rPh sb="14" eb="15">
      <t>ギョウ</t>
    </rPh>
    <phoneticPr fontId="4"/>
  </si>
  <si>
    <t>P 医療,福祉</t>
    <rPh sb="2" eb="4">
      <t>イリョウ</t>
    </rPh>
    <rPh sb="5" eb="7">
      <t>フクシ</t>
    </rPh>
    <phoneticPr fontId="4"/>
  </si>
  <si>
    <t>G 情報通信業</t>
    <rPh sb="2" eb="4">
      <t>ジョウホウ</t>
    </rPh>
    <rPh sb="4" eb="6">
      <t>ツウシン</t>
    </rPh>
    <rPh sb="6" eb="7">
      <t>ギョウ</t>
    </rPh>
    <phoneticPr fontId="4"/>
  </si>
  <si>
    <t>Q 複合サービス事業</t>
    <rPh sb="2" eb="4">
      <t>フクゴウ</t>
    </rPh>
    <rPh sb="8" eb="10">
      <t>ジギョウ</t>
    </rPh>
    <phoneticPr fontId="4"/>
  </si>
  <si>
    <t>H 運輸業,郵便業</t>
    <rPh sb="2" eb="4">
      <t>ウンユ</t>
    </rPh>
    <rPh sb="4" eb="5">
      <t>ギョウ</t>
    </rPh>
    <rPh sb="6" eb="8">
      <t>ユウビン</t>
    </rPh>
    <rPh sb="8" eb="9">
      <t>ギョウ</t>
    </rPh>
    <phoneticPr fontId="4"/>
  </si>
  <si>
    <t>R サービス業（他に分類されないもの）</t>
    <rPh sb="6" eb="7">
      <t>ギョウ</t>
    </rPh>
    <rPh sb="8" eb="9">
      <t>タ</t>
    </rPh>
    <rPh sb="10" eb="12">
      <t>ブンルイ</t>
    </rPh>
    <phoneticPr fontId="4"/>
  </si>
  <si>
    <t>I 卸売業,小売業</t>
    <rPh sb="2" eb="4">
      <t>オロシウ</t>
    </rPh>
    <rPh sb="4" eb="5">
      <t>ギョウ</t>
    </rPh>
    <rPh sb="6" eb="8">
      <t>コウリ</t>
    </rPh>
    <rPh sb="8" eb="9">
      <t>ギョウ</t>
    </rPh>
    <phoneticPr fontId="4"/>
  </si>
  <si>
    <t>J 金融業,保険業</t>
    <rPh sb="2" eb="5">
      <t>キンユウギョウ</t>
    </rPh>
    <rPh sb="6" eb="8">
      <t>ホケン</t>
    </rPh>
    <rPh sb="8" eb="9">
      <t>ギョウ</t>
    </rPh>
    <phoneticPr fontId="4"/>
  </si>
  <si>
    <t>電話番号</t>
    <rPh sb="0" eb="2">
      <t>デンワ</t>
    </rPh>
    <rPh sb="2" eb="4">
      <t>バンゴウ</t>
    </rPh>
    <phoneticPr fontId="4"/>
  </si>
  <si>
    <t>電子メールアドレス</t>
    <rPh sb="0" eb="2">
      <t>デンシ</t>
    </rPh>
    <phoneticPr fontId="4"/>
  </si>
  <si>
    <t>（第２面）</t>
    <rPh sb="1" eb="2">
      <t>ダイ</t>
    </rPh>
    <rPh sb="3" eb="4">
      <t>メン</t>
    </rPh>
    <phoneticPr fontId="4"/>
  </si>
  <si>
    <t>（第３面）</t>
    <rPh sb="1" eb="2">
      <t>ダイ</t>
    </rPh>
    <rPh sb="3" eb="4">
      <t>メン</t>
    </rPh>
    <phoneticPr fontId="4"/>
  </si>
  <si>
    <t>ＦＡＸ番号</t>
  </si>
  <si>
    <t>※受　付　欄</t>
    <rPh sb="1" eb="2">
      <t>ウケ</t>
    </rPh>
    <rPh sb="3" eb="4">
      <t>ヅケ</t>
    </rPh>
    <rPh sb="5" eb="6">
      <t>ラン</t>
    </rPh>
    <phoneticPr fontId="4"/>
  </si>
  <si>
    <t>※特　記　欄</t>
    <rPh sb="1" eb="2">
      <t>トク</t>
    </rPh>
    <rPh sb="3" eb="4">
      <t>キ</t>
    </rPh>
    <rPh sb="5" eb="6">
      <t>ラン</t>
    </rPh>
    <phoneticPr fontId="4"/>
  </si>
  <si>
    <t>使用
台数</t>
    <rPh sb="0" eb="2">
      <t>シヨウ</t>
    </rPh>
    <rPh sb="3" eb="4">
      <t>ダイ</t>
    </rPh>
    <rPh sb="4" eb="5">
      <t>スウ</t>
    </rPh>
    <phoneticPr fontId="4"/>
  </si>
  <si>
    <t>特定大規模事業者の区分</t>
    <rPh sb="0" eb="2">
      <t>トクテイ</t>
    </rPh>
    <rPh sb="2" eb="5">
      <t>ダイキボ</t>
    </rPh>
    <rPh sb="5" eb="7">
      <t>ジギョウ</t>
    </rPh>
    <rPh sb="7" eb="8">
      <t>シャ</t>
    </rPh>
    <rPh sb="9" eb="11">
      <t>クブン</t>
    </rPh>
    <phoneticPr fontId="4"/>
  </si>
  <si>
    <t xml:space="preserve"> （総括票）                                                      　　 </t>
    <rPh sb="4" eb="5">
      <t>ヒョウ</t>
    </rPh>
    <phoneticPr fontId="4"/>
  </si>
  <si>
    <t>報告対象年度</t>
    <rPh sb="0" eb="2">
      <t>ホウコク</t>
    </rPh>
    <rPh sb="2" eb="4">
      <t>タイショウ</t>
    </rPh>
    <rPh sb="4" eb="6">
      <t>ネンド</t>
    </rPh>
    <phoneticPr fontId="4"/>
  </si>
  <si>
    <t>（個別票）</t>
    <rPh sb="1" eb="3">
      <t>コベツ</t>
    </rPh>
    <rPh sb="3" eb="4">
      <t>ヒョウ</t>
    </rPh>
    <phoneticPr fontId="4"/>
  </si>
  <si>
    <t>１　事業者の名称等</t>
    <rPh sb="2" eb="5">
      <t>ジギョウシャ</t>
    </rPh>
    <rPh sb="6" eb="8">
      <t>メイショウ</t>
    </rPh>
    <rPh sb="8" eb="9">
      <t>トウ</t>
    </rPh>
    <phoneticPr fontId="4"/>
  </si>
  <si>
    <t>２　計画期間</t>
    <rPh sb="2" eb="4">
      <t>ケイカク</t>
    </rPh>
    <rPh sb="4" eb="6">
      <t>キカン</t>
    </rPh>
    <phoneticPr fontId="4"/>
  </si>
  <si>
    <t>（第４面）</t>
    <rPh sb="1" eb="2">
      <t>ダイ</t>
    </rPh>
    <rPh sb="3" eb="4">
      <t>メン</t>
    </rPh>
    <phoneticPr fontId="4"/>
  </si>
  <si>
    <t>神奈川県知事殿</t>
    <rPh sb="0" eb="1">
      <t>カミ</t>
    </rPh>
    <rPh sb="1" eb="2">
      <t>ナ</t>
    </rPh>
    <rPh sb="2" eb="3">
      <t>カワ</t>
    </rPh>
    <rPh sb="3" eb="4">
      <t>ケン</t>
    </rPh>
    <rPh sb="4" eb="5">
      <t>チ</t>
    </rPh>
    <rPh sb="5" eb="6">
      <t>コト</t>
    </rPh>
    <rPh sb="6" eb="7">
      <t>トノ</t>
    </rPh>
    <phoneticPr fontId="4"/>
  </si>
  <si>
    <t>　□のある欄には、該当する□内にレ印又は■を付してください。</t>
    <rPh sb="5" eb="6">
      <t>ラン</t>
    </rPh>
    <rPh sb="9" eb="11">
      <t>ガイトウ</t>
    </rPh>
    <rPh sb="14" eb="15">
      <t>ナイ</t>
    </rPh>
    <rPh sb="17" eb="18">
      <t>シルシ</t>
    </rPh>
    <rPh sb="18" eb="19">
      <t>マタ</t>
    </rPh>
    <rPh sb="22" eb="23">
      <t>フ</t>
    </rPh>
    <phoneticPr fontId="4"/>
  </si>
  <si>
    <t>排出量原単位の単位</t>
    <rPh sb="0" eb="2">
      <t>ハイシュツ</t>
    </rPh>
    <rPh sb="2" eb="3">
      <t>リョウ</t>
    </rPh>
    <rPh sb="3" eb="6">
      <t>ゲンタンイ</t>
    </rPh>
    <rPh sb="7" eb="9">
      <t>タンイ</t>
    </rPh>
    <phoneticPr fontId="4"/>
  </si>
  <si>
    <t>基準年度における排出量原単位</t>
    <rPh sb="0" eb="2">
      <t>キジュン</t>
    </rPh>
    <rPh sb="2" eb="4">
      <t>ネンド</t>
    </rPh>
    <rPh sb="8" eb="10">
      <t>ハイシュツ</t>
    </rPh>
    <rPh sb="10" eb="11">
      <t>リョウ</t>
    </rPh>
    <phoneticPr fontId="4"/>
  </si>
  <si>
    <t>事業者の氏名又は名称及び法人にあっては、代表者の氏名</t>
    <rPh sb="2" eb="3">
      <t>シャ</t>
    </rPh>
    <rPh sb="4" eb="6">
      <t>シメイ</t>
    </rPh>
    <rPh sb="6" eb="7">
      <t>マタ</t>
    </rPh>
    <rPh sb="10" eb="11">
      <t>オヨ</t>
    </rPh>
    <rPh sb="12" eb="14">
      <t>ホウジン</t>
    </rPh>
    <rPh sb="20" eb="22">
      <t>ダイヒョウ</t>
    </rPh>
    <rPh sb="22" eb="23">
      <t>シャ</t>
    </rPh>
    <rPh sb="24" eb="26">
      <t>シメイ</t>
    </rPh>
    <phoneticPr fontId="4"/>
  </si>
  <si>
    <t>対象自動車を100台以上使用する事業者（規則第２条第３号該当の事業者）</t>
    <rPh sb="0" eb="2">
      <t>タイショウ</t>
    </rPh>
    <rPh sb="22" eb="23">
      <t>ダイ</t>
    </rPh>
    <rPh sb="24" eb="25">
      <t>ジョウ</t>
    </rPh>
    <rPh sb="25" eb="26">
      <t>ダイ</t>
    </rPh>
    <rPh sb="27" eb="28">
      <t>ゴウ</t>
    </rPh>
    <rPh sb="31" eb="34">
      <t>ジギョウシャ</t>
    </rPh>
    <phoneticPr fontId="4"/>
  </si>
  <si>
    <t>　うち電気自動車</t>
    <rPh sb="3" eb="5">
      <t>デンキ</t>
    </rPh>
    <rPh sb="5" eb="8">
      <t>ジドウシャ</t>
    </rPh>
    <phoneticPr fontId="4"/>
  </si>
  <si>
    <t>　うちディーゼル代替ＬＰガス自動車</t>
    <rPh sb="8" eb="10">
      <t>ダイタイ</t>
    </rPh>
    <rPh sb="14" eb="17">
      <t>ジドウシャ</t>
    </rPh>
    <phoneticPr fontId="4"/>
  </si>
  <si>
    <t>自動車における排出量</t>
    <rPh sb="0" eb="3">
      <t>ジドウシャ</t>
    </rPh>
    <phoneticPr fontId="4"/>
  </si>
  <si>
    <t>年度当たりの原油換算エネルギー使用量が1,500kl以上の事業者（神奈川県地球温暖化対策推進条例施行規則(以下「規則」という。)第２条第１号該当の事業者）</t>
    <rPh sb="0" eb="2">
      <t>ネンド</t>
    </rPh>
    <rPh sb="2" eb="3">
      <t>ア</t>
    </rPh>
    <rPh sb="6" eb="8">
      <t>ゲンユ</t>
    </rPh>
    <rPh sb="8" eb="10">
      <t>カンサン</t>
    </rPh>
    <rPh sb="15" eb="18">
      <t>シヨウリョウ</t>
    </rPh>
    <rPh sb="26" eb="28">
      <t>イジョウ</t>
    </rPh>
    <rPh sb="29" eb="32">
      <t>ジギョウシャ</t>
    </rPh>
    <rPh sb="53" eb="55">
      <t>イカ</t>
    </rPh>
    <rPh sb="56" eb="58">
      <t>キソク</t>
    </rPh>
    <rPh sb="64" eb="65">
      <t>ダイ</t>
    </rPh>
    <rPh sb="66" eb="67">
      <t>ジョウ</t>
    </rPh>
    <rPh sb="67" eb="68">
      <t>ダイ</t>
    </rPh>
    <rPh sb="69" eb="70">
      <t>ゴウ</t>
    </rPh>
    <rPh sb="73" eb="76">
      <t>ジギョウシャ</t>
    </rPh>
    <phoneticPr fontId="4"/>
  </si>
  <si>
    <t>連鎖化事業者のうち、年度当たりの原油換算エネルギー使用量が1,500kl以上の事業者（規則第２条第２号該当の事業者）</t>
    <rPh sb="0" eb="2">
      <t>レンサ</t>
    </rPh>
    <rPh sb="2" eb="3">
      <t>カ</t>
    </rPh>
    <rPh sb="3" eb="6">
      <t>ジギョウシャ</t>
    </rPh>
    <rPh sb="10" eb="12">
      <t>ネンド</t>
    </rPh>
    <rPh sb="12" eb="13">
      <t>ア</t>
    </rPh>
    <rPh sb="16" eb="18">
      <t>ゲンユ</t>
    </rPh>
    <rPh sb="18" eb="20">
      <t>カンサン</t>
    </rPh>
    <rPh sb="25" eb="27">
      <t>シヨウ</t>
    </rPh>
    <rPh sb="27" eb="28">
      <t>リョウ</t>
    </rPh>
    <rPh sb="36" eb="38">
      <t>イジョウ</t>
    </rPh>
    <rPh sb="39" eb="42">
      <t>ジギョウシャ</t>
    </rPh>
    <rPh sb="45" eb="46">
      <t>ダイ</t>
    </rPh>
    <rPh sb="47" eb="48">
      <t>ジョウ</t>
    </rPh>
    <rPh sb="48" eb="49">
      <t>ダイ</t>
    </rPh>
    <rPh sb="50" eb="51">
      <t>ゴウ</t>
    </rPh>
    <rPh sb="54" eb="57">
      <t>ジギョウシャ</t>
    </rPh>
    <phoneticPr fontId="4"/>
  </si>
  <si>
    <t>基準排出量の合計量</t>
    <rPh sb="0" eb="2">
      <t>キジュン</t>
    </rPh>
    <rPh sb="2" eb="4">
      <t>ハイシュツ</t>
    </rPh>
    <rPh sb="4" eb="5">
      <t>リョウ</t>
    </rPh>
    <rPh sb="6" eb="8">
      <t>ゴウケイ</t>
    </rPh>
    <rPh sb="8" eb="9">
      <t>リョウ</t>
    </rPh>
    <phoneticPr fontId="4"/>
  </si>
  <si>
    <t>最終年度における排出量の合計量</t>
    <rPh sb="0" eb="2">
      <t>サイシュウ</t>
    </rPh>
    <rPh sb="2" eb="4">
      <t>ネンド</t>
    </rPh>
    <rPh sb="8" eb="10">
      <t>ハイシュツ</t>
    </rPh>
    <rPh sb="10" eb="11">
      <t>リョウ</t>
    </rPh>
    <rPh sb="12" eb="14">
      <t>ゴウケイ</t>
    </rPh>
    <rPh sb="14" eb="15">
      <t>リョウ</t>
    </rPh>
    <phoneticPr fontId="4"/>
  </si>
  <si>
    <t>原単位の指標の種類</t>
    <rPh sb="0" eb="3">
      <t>ゲンタンイ</t>
    </rPh>
    <rPh sb="4" eb="6">
      <t>シヒョウ</t>
    </rPh>
    <rPh sb="7" eb="9">
      <t>シュルイ</t>
    </rPh>
    <phoneticPr fontId="4"/>
  </si>
  <si>
    <t>最終年度における排出量原単位</t>
    <rPh sb="0" eb="2">
      <t>サイシュウ</t>
    </rPh>
    <rPh sb="2" eb="4">
      <t>ネンド</t>
    </rPh>
    <rPh sb="8" eb="10">
      <t>ハイシュツ</t>
    </rPh>
    <rPh sb="10" eb="11">
      <t>リョウ</t>
    </rPh>
    <phoneticPr fontId="4"/>
  </si>
  <si>
    <t>報告対象年度におけるエネルギー起源二酸化炭素の排出の状況に関する説明</t>
    <rPh sb="0" eb="2">
      <t>ホウコク</t>
    </rPh>
    <rPh sb="2" eb="4">
      <t>タイショウ</t>
    </rPh>
    <rPh sb="4" eb="6">
      <t>ネンド</t>
    </rPh>
    <rPh sb="15" eb="17">
      <t>キゲン</t>
    </rPh>
    <rPh sb="17" eb="20">
      <t>ニサンカ</t>
    </rPh>
    <rPh sb="20" eb="22">
      <t>タンソ</t>
    </rPh>
    <rPh sb="23" eb="25">
      <t>ハイシュツ</t>
    </rPh>
    <rPh sb="26" eb="28">
      <t>ジョウキョウ</t>
    </rPh>
    <rPh sb="29" eb="30">
      <t>カン</t>
    </rPh>
    <rPh sb="32" eb="34">
      <t>セツメイ</t>
    </rPh>
    <phoneticPr fontId="4"/>
  </si>
  <si>
    <t>基準排出量の合計量</t>
    <rPh sb="6" eb="8">
      <t>ゴウケイ</t>
    </rPh>
    <rPh sb="8" eb="9">
      <t>リョウ</t>
    </rPh>
    <phoneticPr fontId="4"/>
  </si>
  <si>
    <t>割合</t>
    <rPh sb="0" eb="2">
      <t>ワリアイ</t>
    </rPh>
    <phoneticPr fontId="4"/>
  </si>
  <si>
    <t>対象自動車の使用状況</t>
    <rPh sb="0" eb="2">
      <t>タイショウ</t>
    </rPh>
    <rPh sb="2" eb="5">
      <t>ジドウシャ</t>
    </rPh>
    <rPh sb="6" eb="8">
      <t>シヨウ</t>
    </rPh>
    <rPh sb="8" eb="10">
      <t>ジョウキョウ</t>
    </rPh>
    <phoneticPr fontId="4"/>
  </si>
  <si>
    <t>自動車における排出量原単位</t>
    <rPh sb="0" eb="3">
      <t>ジドウシャ</t>
    </rPh>
    <rPh sb="7" eb="9">
      <t>ハイシュツ</t>
    </rPh>
    <rPh sb="9" eb="10">
      <t>リョウ</t>
    </rPh>
    <rPh sb="10" eb="13">
      <t>ゲンタンイ</t>
    </rPh>
    <phoneticPr fontId="4"/>
  </si>
  <si>
    <t>建築物の延べ面積</t>
    <rPh sb="0" eb="3">
      <t>ケンチクブツ</t>
    </rPh>
    <rPh sb="4" eb="5">
      <t>ノベ</t>
    </rPh>
    <rPh sb="6" eb="8">
      <t>メンセキ</t>
    </rPh>
    <phoneticPr fontId="4"/>
  </si>
  <si>
    <t>最終年度における排出量</t>
    <rPh sb="0" eb="2">
      <t>サイシュウ</t>
    </rPh>
    <phoneticPr fontId="4"/>
  </si>
  <si>
    <t>S 公務（他に分類されるものを除く）</t>
    <rPh sb="2" eb="4">
      <t>コウム</t>
    </rPh>
    <rPh sb="5" eb="6">
      <t>タ</t>
    </rPh>
    <rPh sb="7" eb="9">
      <t>ブンルイ</t>
    </rPh>
    <rPh sb="15" eb="16">
      <t>ノゾ</t>
    </rPh>
    <phoneticPr fontId="4"/>
  </si>
  <si>
    <t>～</t>
    <phoneticPr fontId="4"/>
  </si>
  <si>
    <r>
      <t>年度</t>
    </r>
    <r>
      <rPr>
        <sz val="9"/>
        <rFont val="ＭＳ Ｐ明朝"/>
        <family val="1"/>
        <charset val="128"/>
      </rPr>
      <t>）</t>
    </r>
    <rPh sb="0" eb="2">
      <t>ネンド</t>
    </rPh>
    <phoneticPr fontId="4"/>
  </si>
  <si>
    <t>工場等における排出量原単位</t>
    <rPh sb="7" eb="9">
      <t>ハイシュツ</t>
    </rPh>
    <rPh sb="9" eb="10">
      <t>リョウ</t>
    </rPh>
    <phoneticPr fontId="4"/>
  </si>
  <si>
    <r>
      <t>ｍ</t>
    </r>
    <r>
      <rPr>
        <vertAlign val="superscript"/>
        <sz val="9"/>
        <rFont val="ＭＳ 明朝"/>
        <family val="1"/>
        <charset val="128"/>
      </rPr>
      <t>２</t>
    </r>
  </si>
  <si>
    <t>年</t>
    <rPh sb="0" eb="1">
      <t>ネン</t>
    </rPh>
    <phoneticPr fontId="4"/>
  </si>
  <si>
    <t>月</t>
    <rPh sb="0" eb="1">
      <t>ゲツ</t>
    </rPh>
    <phoneticPr fontId="4"/>
  </si>
  <si>
    <t>日</t>
    <rPh sb="0" eb="1">
      <t>ニチ</t>
    </rPh>
    <phoneticPr fontId="4"/>
  </si>
  <si>
    <t xml:space="preserve">郵便番号 </t>
    <rPh sb="0" eb="4">
      <t>ユウビンバンゴウ</t>
    </rPh>
    <phoneticPr fontId="4"/>
  </si>
  <si>
    <t xml:space="preserve">住　　所 </t>
    <rPh sb="0" eb="1">
      <t>ジュウ</t>
    </rPh>
    <rPh sb="3" eb="4">
      <t>ショ</t>
    </rPh>
    <phoneticPr fontId="4"/>
  </si>
  <si>
    <t xml:space="preserve">氏　　名 </t>
    <rPh sb="0" eb="1">
      <t>シ</t>
    </rPh>
    <rPh sb="3" eb="4">
      <t>メイ</t>
    </rPh>
    <phoneticPr fontId="4"/>
  </si>
  <si>
    <t>事業者の住所又は主たる事務所の所在地</t>
    <rPh sb="4" eb="6">
      <t>ジュウショ</t>
    </rPh>
    <rPh sb="6" eb="7">
      <t>マタ</t>
    </rPh>
    <rPh sb="8" eb="9">
      <t>シュ</t>
    </rPh>
    <rPh sb="11" eb="13">
      <t>ジム</t>
    </rPh>
    <rPh sb="13" eb="14">
      <t>ショ</t>
    </rPh>
    <phoneticPr fontId="4"/>
  </si>
  <si>
    <t>■</t>
    <phoneticPr fontId="4"/>
  </si>
  <si>
    <t>－</t>
    <phoneticPr fontId="4"/>
  </si>
  <si>
    <t>うち</t>
    <phoneticPr fontId="4"/>
  </si>
  <si>
    <t>－</t>
    <phoneticPr fontId="4"/>
  </si>
  <si>
    <t>排出状況報告書（特定大規模事業者用）</t>
    <rPh sb="0" eb="2">
      <t>ハイシュツ</t>
    </rPh>
    <rPh sb="2" eb="4">
      <t>ジョウキョウ</t>
    </rPh>
    <rPh sb="4" eb="7">
      <t>ホウコクショ</t>
    </rPh>
    <rPh sb="8" eb="10">
      <t>トクテイ</t>
    </rPh>
    <rPh sb="10" eb="13">
      <t>ダイキボ</t>
    </rPh>
    <rPh sb="13" eb="15">
      <t>ジギョウ</t>
    </rPh>
    <rPh sb="15" eb="16">
      <t>シャ</t>
    </rPh>
    <rPh sb="16" eb="17">
      <t>ヨウ</t>
    </rPh>
    <phoneticPr fontId="4"/>
  </si>
  <si>
    <t>神奈川県地球温暖化対策推進条例第14条の規定により、次のとおり提出します。</t>
    <rPh sb="0" eb="4">
      <t>カナガワケン</t>
    </rPh>
    <rPh sb="4" eb="11">
      <t>チキュウオンダンカタイサク</t>
    </rPh>
    <rPh sb="11" eb="13">
      <t>スイシン</t>
    </rPh>
    <rPh sb="13" eb="15">
      <t>ジョウレイ</t>
    </rPh>
    <rPh sb="15" eb="16">
      <t>ダイ</t>
    </rPh>
    <rPh sb="18" eb="19">
      <t>ジョウ</t>
    </rPh>
    <rPh sb="20" eb="22">
      <t>キテイ</t>
    </rPh>
    <rPh sb="26" eb="27">
      <t>ツギ</t>
    </rPh>
    <rPh sb="31" eb="33">
      <t>テイシュツ</t>
    </rPh>
    <phoneticPr fontId="4"/>
  </si>
  <si>
    <t>最終年度における排出量の合計量</t>
    <rPh sb="12" eb="14">
      <t>ゴウケイ</t>
    </rPh>
    <rPh sb="14" eb="15">
      <t>リョウ</t>
    </rPh>
    <phoneticPr fontId="4"/>
  </si>
  <si>
    <t>（</t>
    <phoneticPr fontId="4"/>
  </si>
  <si>
    <t>年度～</t>
    <phoneticPr fontId="4"/>
  </si>
  <si>
    <r>
      <t>tCO</t>
    </r>
    <r>
      <rPr>
        <vertAlign val="subscript"/>
        <sz val="9"/>
        <rFont val="ＭＳ 明朝"/>
        <family val="1"/>
        <charset val="128"/>
      </rPr>
      <t>2</t>
    </r>
    <phoneticPr fontId="4"/>
  </si>
  <si>
    <r>
      <t>tCO</t>
    </r>
    <r>
      <rPr>
        <vertAlign val="subscript"/>
        <sz val="9"/>
        <rFont val="ＭＳ 明朝"/>
        <family val="1"/>
        <charset val="128"/>
      </rPr>
      <t>2</t>
    </r>
    <phoneticPr fontId="4"/>
  </si>
  <si>
    <t>工場等における排出量</t>
    <phoneticPr fontId="4"/>
  </si>
  <si>
    <r>
      <t>tCO</t>
    </r>
    <r>
      <rPr>
        <vertAlign val="subscript"/>
        <sz val="9"/>
        <rFont val="ＭＳ 明朝"/>
        <family val="1"/>
        <charset val="128"/>
      </rPr>
      <t>2</t>
    </r>
    <phoneticPr fontId="4"/>
  </si>
  <si>
    <t>報告対象年度における排出量の合計量</t>
    <rPh sb="0" eb="2">
      <t>ホウコク</t>
    </rPh>
    <rPh sb="2" eb="4">
      <t>タイショウ</t>
    </rPh>
    <rPh sb="4" eb="6">
      <t>ネンド</t>
    </rPh>
    <rPh sb="10" eb="12">
      <t>ハイシュツ</t>
    </rPh>
    <rPh sb="12" eb="13">
      <t>リョウ</t>
    </rPh>
    <rPh sb="14" eb="16">
      <t>ゴウケイ</t>
    </rPh>
    <rPh sb="16" eb="17">
      <t>リョウ</t>
    </rPh>
    <phoneticPr fontId="4"/>
  </si>
  <si>
    <t>報告対象年度における排出量原単位</t>
    <rPh sb="0" eb="2">
      <t>ホウコク</t>
    </rPh>
    <rPh sb="2" eb="4">
      <t>タイショウ</t>
    </rPh>
    <rPh sb="4" eb="6">
      <t>ネンド</t>
    </rPh>
    <rPh sb="10" eb="12">
      <t>ハイシュツ</t>
    </rPh>
    <rPh sb="12" eb="13">
      <t>リョウ</t>
    </rPh>
    <rPh sb="13" eb="16">
      <t>ゲンタンイ</t>
    </rPh>
    <phoneticPr fontId="4"/>
  </si>
  <si>
    <t>報告対象年度の排出量の合計量</t>
    <rPh sb="0" eb="2">
      <t>ホウコク</t>
    </rPh>
    <rPh sb="2" eb="4">
      <t>タイショウ</t>
    </rPh>
    <rPh sb="4" eb="6">
      <t>ネンド</t>
    </rPh>
    <rPh sb="7" eb="9">
      <t>ハイシュツ</t>
    </rPh>
    <rPh sb="9" eb="10">
      <t>リョウ</t>
    </rPh>
    <rPh sb="11" eb="13">
      <t>ゴウケイ</t>
    </rPh>
    <rPh sb="13" eb="14">
      <t>リョウ</t>
    </rPh>
    <phoneticPr fontId="4"/>
  </si>
  <si>
    <t>％</t>
    <phoneticPr fontId="4"/>
  </si>
  <si>
    <t>　うち天然ガス自動車</t>
    <phoneticPr fontId="4"/>
  </si>
  <si>
    <t>　うちハイブリッド自動車</t>
    <phoneticPr fontId="4"/>
  </si>
  <si>
    <r>
      <t>tCO</t>
    </r>
    <r>
      <rPr>
        <vertAlign val="subscript"/>
        <sz val="9"/>
        <rFont val="ＭＳ 明朝"/>
        <family val="1"/>
        <charset val="128"/>
      </rPr>
      <t>2</t>
    </r>
    <phoneticPr fontId="4"/>
  </si>
  <si>
    <t>（１）　工場等の名称等</t>
    <rPh sb="4" eb="7">
      <t>コウジョウトウ</t>
    </rPh>
    <rPh sb="8" eb="10">
      <t>メイショウ</t>
    </rPh>
    <rPh sb="10" eb="11">
      <t>トウ</t>
    </rPh>
    <phoneticPr fontId="4"/>
  </si>
  <si>
    <t>連　　絡　  先</t>
    <phoneticPr fontId="4"/>
  </si>
  <si>
    <t>基準排出量</t>
    <phoneticPr fontId="4"/>
  </si>
  <si>
    <r>
      <t>tCO</t>
    </r>
    <r>
      <rPr>
        <vertAlign val="subscript"/>
        <sz val="9"/>
        <rFont val="ＭＳ 明朝"/>
        <family val="1"/>
        <charset val="128"/>
      </rPr>
      <t>2</t>
    </r>
    <phoneticPr fontId="4"/>
  </si>
  <si>
    <t>（２）　工場等のエネルギー起源二酸化炭素の排出の状況及び削減の目標</t>
    <rPh sb="4" eb="7">
      <t>コウジョウトウ</t>
    </rPh>
    <rPh sb="13" eb="15">
      <t>キゲン</t>
    </rPh>
    <rPh sb="15" eb="18">
      <t>ニサンカ</t>
    </rPh>
    <rPh sb="18" eb="20">
      <t>タンソ</t>
    </rPh>
    <rPh sb="21" eb="23">
      <t>ハイシュツ</t>
    </rPh>
    <rPh sb="24" eb="26">
      <t>ジョウキョウ</t>
    </rPh>
    <rPh sb="26" eb="27">
      <t>オヨ</t>
    </rPh>
    <rPh sb="28" eb="30">
      <t>サクゲン</t>
    </rPh>
    <rPh sb="31" eb="33">
      <t>モクヒョウ</t>
    </rPh>
    <phoneticPr fontId="4"/>
  </si>
  <si>
    <t>工場等におけるエネルギー起源二酸化炭素の排出の状況等</t>
    <rPh sb="0" eb="3">
      <t>コウジョウトウ</t>
    </rPh>
    <rPh sb="12" eb="14">
      <t>キゲン</t>
    </rPh>
    <rPh sb="14" eb="17">
      <t>ニサンカ</t>
    </rPh>
    <rPh sb="17" eb="19">
      <t>タンソ</t>
    </rPh>
    <rPh sb="20" eb="22">
      <t>ハイシュツ</t>
    </rPh>
    <rPh sb="23" eb="25">
      <t>ジョウキョウ</t>
    </rPh>
    <rPh sb="25" eb="26">
      <t>ナド</t>
    </rPh>
    <phoneticPr fontId="4"/>
  </si>
  <si>
    <t>工場等における排出量原単位によるエネルギー起源二酸化炭素の排出の状況等</t>
    <rPh sb="0" eb="3">
      <t>コウジョウトウ</t>
    </rPh>
    <rPh sb="7" eb="9">
      <t>ハイシュツ</t>
    </rPh>
    <rPh sb="9" eb="10">
      <t>リョウ</t>
    </rPh>
    <rPh sb="10" eb="13">
      <t>ゲンタンイ</t>
    </rPh>
    <rPh sb="21" eb="23">
      <t>キゲン</t>
    </rPh>
    <rPh sb="23" eb="26">
      <t>ニサンカ</t>
    </rPh>
    <rPh sb="26" eb="28">
      <t>タンソ</t>
    </rPh>
    <rPh sb="29" eb="31">
      <t>ハイシュツ</t>
    </rPh>
    <rPh sb="32" eb="34">
      <t>ジョウキョウ</t>
    </rPh>
    <rPh sb="34" eb="35">
      <t>ナド</t>
    </rPh>
    <phoneticPr fontId="4"/>
  </si>
  <si>
    <t>報告対象年度における排出量</t>
    <rPh sb="0" eb="2">
      <t>ホウコク</t>
    </rPh>
    <rPh sb="2" eb="4">
      <t>タイショウ</t>
    </rPh>
    <rPh sb="4" eb="6">
      <t>ネンド</t>
    </rPh>
    <rPh sb="10" eb="12">
      <t>ハイシュツ</t>
    </rPh>
    <rPh sb="12" eb="13">
      <t>リョウ</t>
    </rPh>
    <phoneticPr fontId="4"/>
  </si>
  <si>
    <t>備考　１</t>
    <rPh sb="0" eb="2">
      <t>ビコウ</t>
    </rPh>
    <phoneticPr fontId="4"/>
  </si>
  <si>
    <r>
      <t>tCO</t>
    </r>
    <r>
      <rPr>
        <vertAlign val="subscript"/>
        <sz val="9"/>
        <rFont val="ＭＳ 明朝"/>
        <family val="1"/>
        <charset val="128"/>
      </rPr>
      <t>2</t>
    </r>
    <phoneticPr fontId="4"/>
  </si>
  <si>
    <t>B 03 漁業</t>
    <phoneticPr fontId="4"/>
  </si>
  <si>
    <t>B 04 水産養殖業</t>
    <phoneticPr fontId="4"/>
  </si>
  <si>
    <t>E 16 化学工業</t>
    <phoneticPr fontId="4"/>
  </si>
  <si>
    <t>E 17 石油製品・石炭製品製造業</t>
    <phoneticPr fontId="4"/>
  </si>
  <si>
    <t>E 21 窯業・土石製品製造業</t>
    <phoneticPr fontId="4"/>
  </si>
  <si>
    <t>県内に設置している全ての工場等におけるエネルギー起源二酸化炭素の排出の状況等</t>
    <rPh sb="0" eb="2">
      <t>ケンナイ</t>
    </rPh>
    <rPh sb="3" eb="5">
      <t>セッチ</t>
    </rPh>
    <rPh sb="9" eb="10">
      <t>スベ</t>
    </rPh>
    <rPh sb="12" eb="15">
      <t>コウジョウトウ</t>
    </rPh>
    <rPh sb="24" eb="26">
      <t>キゲン</t>
    </rPh>
    <rPh sb="26" eb="29">
      <t>ニサンカ</t>
    </rPh>
    <rPh sb="29" eb="31">
      <t>タンソ</t>
    </rPh>
    <rPh sb="32" eb="34">
      <t>ハイシュツ</t>
    </rPh>
    <rPh sb="35" eb="37">
      <t>ジョウキョウ</t>
    </rPh>
    <rPh sb="37" eb="38">
      <t>ナド</t>
    </rPh>
    <phoneticPr fontId="4"/>
  </si>
  <si>
    <t>県内に設置している全ての工場等における排出量原単位によるエネルギー起源二酸化炭素の排出の状況等</t>
    <rPh sb="0" eb="2">
      <t>ケンナイ</t>
    </rPh>
    <rPh sb="3" eb="5">
      <t>セッチ</t>
    </rPh>
    <rPh sb="9" eb="10">
      <t>スベ</t>
    </rPh>
    <rPh sb="12" eb="15">
      <t>コウジョウトウ</t>
    </rPh>
    <rPh sb="19" eb="21">
      <t>ハイシュツ</t>
    </rPh>
    <rPh sb="21" eb="22">
      <t>リョウ</t>
    </rPh>
    <rPh sb="22" eb="25">
      <t>ゲンタンイ</t>
    </rPh>
    <rPh sb="33" eb="35">
      <t>キゲン</t>
    </rPh>
    <rPh sb="35" eb="38">
      <t>ニサンカ</t>
    </rPh>
    <rPh sb="38" eb="40">
      <t>タンソ</t>
    </rPh>
    <rPh sb="41" eb="43">
      <t>ハイシュツ</t>
    </rPh>
    <rPh sb="44" eb="46">
      <t>ジョウキョウ</t>
    </rPh>
    <rPh sb="46" eb="47">
      <t>ナド</t>
    </rPh>
    <phoneticPr fontId="4"/>
  </si>
  <si>
    <t>設置している全ての工場等におけるエネルギー起源二酸化炭素の排出の状況等</t>
    <rPh sb="0" eb="2">
      <t>セッチ</t>
    </rPh>
    <rPh sb="6" eb="7">
      <t>スベ</t>
    </rPh>
    <rPh sb="9" eb="12">
      <t>コウジョウトウ</t>
    </rPh>
    <rPh sb="21" eb="23">
      <t>キゲン</t>
    </rPh>
    <rPh sb="23" eb="26">
      <t>ニサンカ</t>
    </rPh>
    <rPh sb="26" eb="28">
      <t>タンソ</t>
    </rPh>
    <rPh sb="29" eb="31">
      <t>ハイシュツ</t>
    </rPh>
    <rPh sb="32" eb="34">
      <t>ジョウキョウ</t>
    </rPh>
    <rPh sb="34" eb="35">
      <t>ナド</t>
    </rPh>
    <phoneticPr fontId="4"/>
  </si>
  <si>
    <t>県内で使用している全ての対象自動車のエネルギー起源二酸化炭素の排出の状況等</t>
    <rPh sb="0" eb="2">
      <t>ケンナイ</t>
    </rPh>
    <rPh sb="3" eb="5">
      <t>シヨウ</t>
    </rPh>
    <rPh sb="9" eb="10">
      <t>スベ</t>
    </rPh>
    <rPh sb="12" eb="14">
      <t>タイショウ</t>
    </rPh>
    <rPh sb="14" eb="17">
      <t>ジドウシャ</t>
    </rPh>
    <rPh sb="23" eb="25">
      <t>キゲン</t>
    </rPh>
    <rPh sb="25" eb="28">
      <t>ニサンカ</t>
    </rPh>
    <rPh sb="28" eb="30">
      <t>タンソ</t>
    </rPh>
    <rPh sb="31" eb="33">
      <t>ハイシュツ</t>
    </rPh>
    <rPh sb="34" eb="36">
      <t>ジョウキョウ</t>
    </rPh>
    <rPh sb="36" eb="37">
      <t>ナド</t>
    </rPh>
    <phoneticPr fontId="4"/>
  </si>
  <si>
    <t>県内で使用している全ての対象自動車の排出量原単位によるエネルギー起源二酸化炭素の排出の状況等</t>
    <rPh sb="0" eb="2">
      <t>ケンナイ</t>
    </rPh>
    <rPh sb="3" eb="5">
      <t>シヨウ</t>
    </rPh>
    <rPh sb="9" eb="10">
      <t>スベ</t>
    </rPh>
    <rPh sb="12" eb="14">
      <t>タイショウ</t>
    </rPh>
    <rPh sb="14" eb="17">
      <t>ジドウシャ</t>
    </rPh>
    <rPh sb="18" eb="20">
      <t>ハイシュツ</t>
    </rPh>
    <rPh sb="20" eb="21">
      <t>リョウ</t>
    </rPh>
    <rPh sb="21" eb="24">
      <t>ゲンタンイ</t>
    </rPh>
    <rPh sb="32" eb="34">
      <t>キゲン</t>
    </rPh>
    <rPh sb="34" eb="37">
      <t>ニサンカ</t>
    </rPh>
    <rPh sb="37" eb="39">
      <t>タンソ</t>
    </rPh>
    <rPh sb="40" eb="42">
      <t>ハイシュツ</t>
    </rPh>
    <rPh sb="43" eb="45">
      <t>ジョウキョウ</t>
    </rPh>
    <rPh sb="45" eb="46">
      <t>ナド</t>
    </rPh>
    <phoneticPr fontId="4"/>
  </si>
  <si>
    <t>使用している全ての自動車におけるエネルギー起源二酸化炭素の排出の状況等</t>
    <rPh sb="0" eb="2">
      <t>シヨウ</t>
    </rPh>
    <rPh sb="6" eb="7">
      <t>スベ</t>
    </rPh>
    <rPh sb="9" eb="12">
      <t>ジドウシャ</t>
    </rPh>
    <rPh sb="21" eb="23">
      <t>キゲン</t>
    </rPh>
    <rPh sb="23" eb="26">
      <t>ニサンカ</t>
    </rPh>
    <rPh sb="26" eb="28">
      <t>タンソ</t>
    </rPh>
    <rPh sb="29" eb="31">
      <t>ハイシュツ</t>
    </rPh>
    <rPh sb="32" eb="34">
      <t>ジョウキョウ</t>
    </rPh>
    <rPh sb="34" eb="35">
      <t>ナド</t>
    </rPh>
    <phoneticPr fontId="4"/>
  </si>
  <si>
    <r>
      <t>第５号様式</t>
    </r>
    <r>
      <rPr>
        <sz val="9"/>
        <rFont val="ＭＳ 明朝"/>
        <family val="1"/>
        <charset val="128"/>
      </rPr>
      <t>（第４条関係）（第１面）（用紙　日本産業規格Ａ４縦長型）</t>
    </r>
    <rPh sb="23" eb="25">
      <t>サンギョウ</t>
    </rPh>
    <phoneticPr fontId="4"/>
  </si>
  <si>
    <t>神奈川県厚木市○○9999</t>
    <rPh sb="0" eb="4">
      <t>カナガワケン</t>
    </rPh>
    <rPh sb="4" eb="7">
      <t>アツギシ</t>
    </rPh>
    <phoneticPr fontId="4"/>
  </si>
  <si>
    <t>株式会社〇〇産業</t>
    <rPh sb="0" eb="4">
      <t>カブシキガイシャ</t>
    </rPh>
    <rPh sb="6" eb="8">
      <t>サンギョウ</t>
    </rPh>
    <phoneticPr fontId="4"/>
  </si>
  <si>
    <t>■</t>
  </si>
  <si>
    <t>E 18 プラスチック製品製造業</t>
  </si>
  <si>
    <t>xxx</t>
    <phoneticPr fontId="4"/>
  </si>
  <si>
    <t>***</t>
    <phoneticPr fontId="4"/>
  </si>
  <si>
    <t>㎡×時間</t>
    <rPh sb="2" eb="4">
      <t>ジカン</t>
    </rPh>
    <phoneticPr fontId="4"/>
  </si>
  <si>
    <t>走行距離</t>
    <rPh sb="0" eb="2">
      <t>ソウコウ</t>
    </rPh>
    <rPh sb="2" eb="4">
      <t>キョリ</t>
    </rPh>
    <phoneticPr fontId="4"/>
  </si>
  <si>
    <t>千km</t>
    <rPh sb="0" eb="1">
      <t>セン</t>
    </rPh>
    <phoneticPr fontId="4"/>
  </si>
  <si>
    <t>厚木工場</t>
    <rPh sb="0" eb="4">
      <t>アツギコウジョウ</t>
    </rPh>
    <phoneticPr fontId="4"/>
  </si>
  <si>
    <t>神奈川県厚木市○○1234</t>
    <rPh sb="0" eb="4">
      <t>カナガワケン</t>
    </rPh>
    <rPh sb="4" eb="7">
      <t>アツギシ</t>
    </rPh>
    <phoneticPr fontId="4"/>
  </si>
  <si>
    <t>製造部製造第１課</t>
    <rPh sb="0" eb="2">
      <t>セイゾウ</t>
    </rPh>
    <rPh sb="2" eb="3">
      <t>ブ</t>
    </rPh>
    <rPh sb="3" eb="5">
      <t>セイゾウ</t>
    </rPh>
    <rPh sb="5" eb="6">
      <t>ダイ</t>
    </rPh>
    <rPh sb="7" eb="8">
      <t>カ</t>
    </rPh>
    <phoneticPr fontId="4"/>
  </si>
  <si>
    <t>046</t>
    <phoneticPr fontId="4"/>
  </si>
  <si>
    <t>xxxx</t>
    <phoneticPr fontId="4"/>
  </si>
  <si>
    <t>****</t>
    <phoneticPr fontId="4"/>
  </si>
  <si>
    <t>def@〇〇〇〇.jp</t>
    <phoneticPr fontId="4"/>
  </si>
  <si>
    <t>生産量</t>
    <rPh sb="0" eb="2">
      <t>セイサン</t>
    </rPh>
    <rPh sb="2" eb="3">
      <t>リョウ</t>
    </rPh>
    <phoneticPr fontId="4"/>
  </si>
  <si>
    <t>トン</t>
    <phoneticPr fontId="4"/>
  </si>
  <si>
    <t>事業者の氏名又は
名称及び法人にあっては、代表者の氏名</t>
    <rPh sb="2" eb="3">
      <t>シャ</t>
    </rPh>
    <rPh sb="4" eb="6">
      <t>シメイ</t>
    </rPh>
    <rPh sb="6" eb="7">
      <t>マタ</t>
    </rPh>
    <rPh sb="11" eb="12">
      <t>オヨ</t>
    </rPh>
    <rPh sb="13" eb="15">
      <t>ホウジン</t>
    </rPh>
    <rPh sb="21" eb="23">
      <t>ダイヒョウ</t>
    </rPh>
    <rPh sb="23" eb="24">
      <t>シャ</t>
    </rPh>
    <rPh sb="25" eb="27">
      <t>シメイ</t>
    </rPh>
    <phoneticPr fontId="4"/>
  </si>
  <si>
    <t>事業者の住所又は
主たる事務所の所在地</t>
    <rPh sb="4" eb="6">
      <t>ジュウショ</t>
    </rPh>
    <rPh sb="6" eb="7">
      <t>マタ</t>
    </rPh>
    <rPh sb="9" eb="10">
      <t>シュ</t>
    </rPh>
    <rPh sb="12" eb="14">
      <t>ジム</t>
    </rPh>
    <rPh sb="14" eb="15">
      <t>ショ</t>
    </rPh>
    <phoneticPr fontId="4"/>
  </si>
  <si>
    <t>総務部総務課(担当 ****)</t>
    <rPh sb="0" eb="2">
      <t>ソウム</t>
    </rPh>
    <rPh sb="2" eb="3">
      <t>ブ</t>
    </rPh>
    <rPh sb="3" eb="6">
      <t>ソウムカ</t>
    </rPh>
    <phoneticPr fontId="4"/>
  </si>
  <si>
    <t>○</t>
  </si>
  <si>
    <t>kl</t>
    <phoneticPr fontId="4"/>
  </si>
  <si>
    <t>原油換算
エネルギー
使用量の
合計量</t>
    <rPh sb="0" eb="2">
      <t>ゲンユ</t>
    </rPh>
    <rPh sb="2" eb="4">
      <t>カンサン</t>
    </rPh>
    <rPh sb="11" eb="13">
      <t>シヨウ</t>
    </rPh>
    <rPh sb="13" eb="14">
      <t>リョウ</t>
    </rPh>
    <rPh sb="16" eb="18">
      <t>ゴウケイ</t>
    </rPh>
    <rPh sb="18" eb="19">
      <t>リョウ</t>
    </rPh>
    <phoneticPr fontId="4"/>
  </si>
  <si>
    <t>計画
対象</t>
    <rPh sb="0" eb="2">
      <t>ケイカク</t>
    </rPh>
    <rPh sb="3" eb="5">
      <t>タイショウ</t>
    </rPh>
    <phoneticPr fontId="4"/>
  </si>
  <si>
    <t>月</t>
    <rPh sb="0" eb="1">
      <t>ツキ</t>
    </rPh>
    <phoneticPr fontId="4"/>
  </si>
  <si>
    <t>うち</t>
    <phoneticPr fontId="4"/>
  </si>
  <si>
    <t>□</t>
    <phoneticPr fontId="4"/>
  </si>
  <si>
    <t>－</t>
    <phoneticPr fontId="4"/>
  </si>
  <si>
    <t>A 01 農業</t>
    <phoneticPr fontId="4"/>
  </si>
  <si>
    <t>□</t>
    <phoneticPr fontId="4"/>
  </si>
  <si>
    <t>A 02 林業</t>
    <phoneticPr fontId="4"/>
  </si>
  <si>
    <t>C 05 鉱業，採石業，砂利採取業</t>
    <phoneticPr fontId="4"/>
  </si>
  <si>
    <t>D 06 総合工事業</t>
    <phoneticPr fontId="4"/>
  </si>
  <si>
    <t>D 07 職別工事業</t>
    <phoneticPr fontId="4"/>
  </si>
  <si>
    <t>－</t>
    <phoneticPr fontId="4"/>
  </si>
  <si>
    <t>123</t>
    <phoneticPr fontId="4"/>
  </si>
  <si>
    <t>－</t>
    <phoneticPr fontId="4"/>
  </si>
  <si>
    <t>4567</t>
    <phoneticPr fontId="4"/>
  </si>
  <si>
    <t>D 08 設備工事業</t>
    <phoneticPr fontId="4"/>
  </si>
  <si>
    <t>E 09 食料品製造業</t>
    <phoneticPr fontId="4"/>
  </si>
  <si>
    <t>〇〇ビル</t>
    <phoneticPr fontId="4"/>
  </si>
  <si>
    <t>E 10 飲料・たばこ・飼料製造業</t>
    <phoneticPr fontId="4"/>
  </si>
  <si>
    <t>E 11 繊維工業</t>
    <phoneticPr fontId="4"/>
  </si>
  <si>
    <t>E 12 木材・木製品製造業</t>
    <phoneticPr fontId="4"/>
  </si>
  <si>
    <t>E 13 家具・装備品製造業</t>
    <phoneticPr fontId="4"/>
  </si>
  <si>
    <t>E 14 パルプ・紙・紙加工品製造業</t>
    <phoneticPr fontId="4"/>
  </si>
  <si>
    <t>E 15 印刷・同関連業</t>
    <phoneticPr fontId="4"/>
  </si>
  <si>
    <t>原油換算エネルギー
使用量の合計量　</t>
    <rPh sb="0" eb="2">
      <t>ゲンユ</t>
    </rPh>
    <rPh sb="2" eb="4">
      <t>カンサン</t>
    </rPh>
    <rPh sb="10" eb="12">
      <t>シヨウ</t>
    </rPh>
    <rPh sb="12" eb="13">
      <t>リョウ</t>
    </rPh>
    <rPh sb="14" eb="16">
      <t>ゴウケイ</t>
    </rPh>
    <rPh sb="16" eb="17">
      <t>リョウ</t>
    </rPh>
    <phoneticPr fontId="4"/>
  </si>
  <si>
    <t>ｋｌ</t>
    <phoneticPr fontId="4"/>
  </si>
  <si>
    <t>E 18 プラスチック製品製造業</t>
    <phoneticPr fontId="4"/>
  </si>
  <si>
    <t>うち</t>
    <phoneticPr fontId="4"/>
  </si>
  <si>
    <t>ｋｌ</t>
    <phoneticPr fontId="4"/>
  </si>
  <si>
    <t>E 19 ゴム製品製造業</t>
    <phoneticPr fontId="4"/>
  </si>
  <si>
    <t>kl</t>
    <phoneticPr fontId="4"/>
  </si>
  <si>
    <t>□</t>
    <phoneticPr fontId="4"/>
  </si>
  <si>
    <t>ｋｌ</t>
    <phoneticPr fontId="4"/>
  </si>
  <si>
    <t>E 20 なめし革・同製品・毛皮製造業</t>
    <phoneticPr fontId="4"/>
  </si>
  <si>
    <t>うち</t>
    <phoneticPr fontId="4"/>
  </si>
  <si>
    <t>E 22 鉄鋼業</t>
    <phoneticPr fontId="4"/>
  </si>
  <si>
    <t>E 23 非鉄金属製造業</t>
    <phoneticPr fontId="4"/>
  </si>
  <si>
    <t>E 24 金属製品製造業</t>
    <phoneticPr fontId="4"/>
  </si>
  <si>
    <t>E 25 はん用機械器具製造業</t>
    <phoneticPr fontId="4"/>
  </si>
  <si>
    <t>E 26 生産用機械器具製造業</t>
    <phoneticPr fontId="4"/>
  </si>
  <si>
    <t>E 27 業務用機械器具製造業</t>
    <phoneticPr fontId="4"/>
  </si>
  <si>
    <t>E 28 電子部品・デバイス・電子回路製造業</t>
    <phoneticPr fontId="4"/>
  </si>
  <si>
    <t>E 29 電気機械器具製造業</t>
    <phoneticPr fontId="4"/>
  </si>
  <si>
    <t>E 30 情報通信機械器具製造業</t>
    <phoneticPr fontId="4"/>
  </si>
  <si>
    <t>E 31 輸送用機械器具製造業</t>
    <phoneticPr fontId="4"/>
  </si>
  <si>
    <t>E 32 その他の製造業</t>
    <phoneticPr fontId="4"/>
  </si>
  <si>
    <t>F 33 電気業</t>
    <phoneticPr fontId="4"/>
  </si>
  <si>
    <t>F 34 ガス業</t>
    <phoneticPr fontId="4"/>
  </si>
  <si>
    <t>連絡先</t>
    <phoneticPr fontId="4"/>
  </si>
  <si>
    <t>連絡先</t>
    <phoneticPr fontId="4"/>
  </si>
  <si>
    <t>F 35 熱供給業</t>
    <phoneticPr fontId="4"/>
  </si>
  <si>
    <t>xxx</t>
    <phoneticPr fontId="4"/>
  </si>
  <si>
    <t>xxx</t>
    <phoneticPr fontId="4"/>
  </si>
  <si>
    <t>xxxx</t>
    <phoneticPr fontId="4"/>
  </si>
  <si>
    <t>F 36 水道業</t>
    <phoneticPr fontId="4"/>
  </si>
  <si>
    <t>***</t>
    <phoneticPr fontId="4"/>
  </si>
  <si>
    <t>***</t>
    <phoneticPr fontId="4"/>
  </si>
  <si>
    <t>****</t>
    <phoneticPr fontId="4"/>
  </si>
  <si>
    <t>G 37 通信業</t>
    <phoneticPr fontId="4"/>
  </si>
  <si>
    <t>abc@〇〇〇〇.jp</t>
    <phoneticPr fontId="4"/>
  </si>
  <si>
    <t>G 38 放送業</t>
    <phoneticPr fontId="4"/>
  </si>
  <si>
    <t>G 39 情報サービス業</t>
    <phoneticPr fontId="4"/>
  </si>
  <si>
    <r>
      <rPr>
        <sz val="9"/>
        <color indexed="10"/>
        <rFont val="ＭＳ 明朝"/>
        <family val="1"/>
        <charset val="128"/>
      </rPr>
      <t>　　　　　　　    　　　　</t>
    </r>
    <r>
      <rPr>
        <u/>
        <sz val="9"/>
        <color indexed="10"/>
        <rFont val="ＭＳ 明朝"/>
        <family val="1"/>
        <charset val="128"/>
      </rPr>
      <t/>
    </r>
    <phoneticPr fontId="4"/>
  </si>
  <si>
    <r>
      <rPr>
        <sz val="9"/>
        <color indexed="10"/>
        <rFont val="ＭＳ 明朝"/>
        <family val="1"/>
        <charset val="128"/>
      </rPr>
      <t>　　　　　　　    　　　　</t>
    </r>
    <r>
      <rPr>
        <u/>
        <sz val="9"/>
        <color indexed="10"/>
        <rFont val="ＭＳ 明朝"/>
        <family val="1"/>
        <charset val="128"/>
      </rPr>
      <t/>
    </r>
    <phoneticPr fontId="4"/>
  </si>
  <si>
    <t>G 40 インターネット附随サービス業</t>
    <phoneticPr fontId="4"/>
  </si>
  <si>
    <t>G 41 映像・音声・文字情報制作業</t>
    <phoneticPr fontId="4"/>
  </si>
  <si>
    <t>H 42 鉄道業</t>
    <phoneticPr fontId="4"/>
  </si>
  <si>
    <t>H 43 道路旅客運送業</t>
    <phoneticPr fontId="4"/>
  </si>
  <si>
    <t>H 44 道路貨物運送業</t>
    <phoneticPr fontId="4"/>
  </si>
  <si>
    <t>H 45 水運業</t>
    <phoneticPr fontId="4"/>
  </si>
  <si>
    <t>H 46 航空運輸業</t>
    <phoneticPr fontId="4"/>
  </si>
  <si>
    <t>H 47 倉庫業</t>
    <phoneticPr fontId="4"/>
  </si>
  <si>
    <t>H 48 運輸に附帯するサービス業</t>
    <phoneticPr fontId="4"/>
  </si>
  <si>
    <t>H 49 郵便業</t>
    <phoneticPr fontId="4"/>
  </si>
  <si>
    <t>I 50 各種商品卸売業</t>
    <phoneticPr fontId="4"/>
  </si>
  <si>
    <t>I 51 繊維・衣服等卸売業</t>
    <phoneticPr fontId="4"/>
  </si>
  <si>
    <t>I 52 飲食料品卸売業</t>
    <phoneticPr fontId="4"/>
  </si>
  <si>
    <t>I 53 建築材料，鉱物・金属材料等卸売業</t>
    <phoneticPr fontId="4"/>
  </si>
  <si>
    <t>I 54 機械器具卸売業</t>
    <phoneticPr fontId="4"/>
  </si>
  <si>
    <t>I 55 その他の卸売業</t>
    <phoneticPr fontId="4"/>
  </si>
  <si>
    <t>I 56 各種商品小売業</t>
    <phoneticPr fontId="4"/>
  </si>
  <si>
    <t>I 57 織物・衣服・身の回り品小売業</t>
    <phoneticPr fontId="4"/>
  </si>
  <si>
    <t>I 58 飲食料品小売業</t>
    <phoneticPr fontId="4"/>
  </si>
  <si>
    <t>I 59 機械器具小売業</t>
    <phoneticPr fontId="4"/>
  </si>
  <si>
    <t>I 60 その他の小売業</t>
    <phoneticPr fontId="4"/>
  </si>
  <si>
    <t>I 61 無店舗小売業</t>
    <phoneticPr fontId="4"/>
  </si>
  <si>
    <t>J 62 銀行業</t>
    <phoneticPr fontId="4"/>
  </si>
  <si>
    <t>J 63 協同組織金融業</t>
    <phoneticPr fontId="4"/>
  </si>
  <si>
    <t>J 64 貸金業，クレジットカード業等非預金信用機関</t>
    <phoneticPr fontId="4"/>
  </si>
  <si>
    <t>J 65 金融商品取引業，商品先物取引業</t>
    <phoneticPr fontId="4"/>
  </si>
  <si>
    <t>J 66 補助的金融業等</t>
    <phoneticPr fontId="4"/>
  </si>
  <si>
    <t>J 67 保険業</t>
    <phoneticPr fontId="4"/>
  </si>
  <si>
    <t>K 68 不動産取引業</t>
    <phoneticPr fontId="4"/>
  </si>
  <si>
    <t>K 69 不動産賃貸業・管理業</t>
    <phoneticPr fontId="4"/>
  </si>
  <si>
    <t>K 70 物品賃貸業</t>
    <phoneticPr fontId="4"/>
  </si>
  <si>
    <t>L 71 学術・開発研究機関</t>
    <phoneticPr fontId="4"/>
  </si>
  <si>
    <t>L 72 専門サービス業</t>
    <phoneticPr fontId="4"/>
  </si>
  <si>
    <t>L 73 広告業</t>
    <phoneticPr fontId="4"/>
  </si>
  <si>
    <t>L 74 技術サービス業</t>
    <phoneticPr fontId="4"/>
  </si>
  <si>
    <t>M 75 宿泊業</t>
    <phoneticPr fontId="4"/>
  </si>
  <si>
    <t>M 76 飲食店</t>
    <phoneticPr fontId="4"/>
  </si>
  <si>
    <t>M 77 持ち帰り・配達飲食サービス業</t>
    <phoneticPr fontId="4"/>
  </si>
  <si>
    <t>N 78 洗濯・理容・美容・浴場業</t>
    <phoneticPr fontId="4"/>
  </si>
  <si>
    <t>N 79 その他の生活関連サービス業</t>
    <phoneticPr fontId="4"/>
  </si>
  <si>
    <t>N 80 娯楽業</t>
    <phoneticPr fontId="4"/>
  </si>
  <si>
    <t>O 81 学校教育</t>
    <phoneticPr fontId="4"/>
  </si>
  <si>
    <t>O 82 その他の教育，学習支援業</t>
    <phoneticPr fontId="4"/>
  </si>
  <si>
    <t>P 83 医療業</t>
    <phoneticPr fontId="4"/>
  </si>
  <si>
    <t>P 84 保健衛生</t>
    <phoneticPr fontId="4"/>
  </si>
  <si>
    <t>P 85 社会保険・社会福祉・介護事業</t>
    <phoneticPr fontId="4"/>
  </si>
  <si>
    <t>Q 86 郵便局</t>
    <phoneticPr fontId="4"/>
  </si>
  <si>
    <t>Q 87 協同組合</t>
    <phoneticPr fontId="4"/>
  </si>
  <si>
    <t>R 88 廃棄物処理業</t>
    <phoneticPr fontId="4"/>
  </si>
  <si>
    <t>R 89 自動車整備業</t>
    <phoneticPr fontId="4"/>
  </si>
  <si>
    <t>R 90 機械等修理業</t>
    <phoneticPr fontId="4"/>
  </si>
  <si>
    <t>R 91 職業紹介・労働者派遣業</t>
    <phoneticPr fontId="4"/>
  </si>
  <si>
    <t>R 92 その他の事業サービス業</t>
    <phoneticPr fontId="4"/>
  </si>
  <si>
    <t>R 93 政治・経済・文化団体</t>
    <phoneticPr fontId="4"/>
  </si>
  <si>
    <t>R 94 宗教</t>
    <phoneticPr fontId="4"/>
  </si>
  <si>
    <t>R 95 その他のサービス業</t>
    <phoneticPr fontId="4"/>
  </si>
  <si>
    <t>R 96 外国公務</t>
    <phoneticPr fontId="4"/>
  </si>
  <si>
    <t>S 97 国家公務</t>
    <phoneticPr fontId="4"/>
  </si>
  <si>
    <t>S 98 地方公務</t>
    <phoneticPr fontId="4"/>
  </si>
  <si>
    <t>T 99 分類不能の産業</t>
    <phoneticPr fontId="4"/>
  </si>
  <si>
    <t>特定大規模事業者の
区分</t>
    <rPh sb="0" eb="2">
      <t>トクテイ</t>
    </rPh>
    <rPh sb="2" eb="5">
      <t>ダイキボ</t>
    </rPh>
    <rPh sb="5" eb="7">
      <t>ジギョウ</t>
    </rPh>
    <rPh sb="7" eb="8">
      <t>シャ</t>
    </rPh>
    <rPh sb="10" eb="12">
      <t>クブン</t>
    </rPh>
    <phoneticPr fontId="4"/>
  </si>
  <si>
    <t>　※印の欄は、記入しないでください。</t>
    <rPh sb="2" eb="3">
      <t>シルシ</t>
    </rPh>
    <rPh sb="4" eb="5">
      <t>ラン</t>
    </rPh>
    <rPh sb="7" eb="9">
      <t>キニュウ</t>
    </rPh>
    <phoneticPr fontId="4"/>
  </si>
  <si>
    <t>３</t>
  </si>
  <si>
    <t>２</t>
    <phoneticPr fontId="4"/>
  </si>
  <si>
    <t>報告対象年度の
前年度の排出量
(tCO2)</t>
    <rPh sb="0" eb="2">
      <t>ホウコク</t>
    </rPh>
    <rPh sb="2" eb="4">
      <t>タイショウ</t>
    </rPh>
    <rPh sb="4" eb="6">
      <t>ネンド</t>
    </rPh>
    <rPh sb="8" eb="11">
      <t>ゼンネンド</t>
    </rPh>
    <rPh sb="12" eb="14">
      <t>ハイシュツ</t>
    </rPh>
    <rPh sb="14" eb="15">
      <t>リョウ</t>
    </rPh>
    <phoneticPr fontId="4"/>
  </si>
  <si>
    <t>報告対象年度の
前年度の排出量
原単位</t>
    <rPh sb="0" eb="2">
      <t>ホウコク</t>
    </rPh>
    <rPh sb="2" eb="4">
      <t>タイショウ</t>
    </rPh>
    <rPh sb="4" eb="6">
      <t>ネンド</t>
    </rPh>
    <rPh sb="8" eb="11">
      <t>ゼンネンド</t>
    </rPh>
    <rPh sb="12" eb="14">
      <t>ハイシュツ</t>
    </rPh>
    <rPh sb="14" eb="15">
      <t>リョウ</t>
    </rPh>
    <rPh sb="16" eb="19">
      <t>ゲンタンイ</t>
    </rPh>
    <phoneticPr fontId="4"/>
  </si>
  <si>
    <r>
      <rPr>
        <b/>
        <sz val="9"/>
        <rFont val="ＭＳ 明朝"/>
        <family val="1"/>
        <charset val="128"/>
      </rPr>
      <t>&lt;自動計算&gt;</t>
    </r>
    <r>
      <rPr>
        <sz val="9"/>
        <rFont val="ＭＳ 明朝"/>
        <family val="1"/>
        <charset val="128"/>
      </rPr>
      <t xml:space="preserve">
対前年度
増減率(%)</t>
    </r>
    <r>
      <rPr>
        <vertAlign val="superscript"/>
        <sz val="9"/>
        <rFont val="ＭＳ 明朝"/>
        <family val="1"/>
        <charset val="128"/>
      </rPr>
      <t>※</t>
    </r>
    <rPh sb="1" eb="3">
      <t>ジドウ</t>
    </rPh>
    <rPh sb="3" eb="5">
      <t>ケイサン</t>
    </rPh>
    <rPh sb="7" eb="8">
      <t>タイ</t>
    </rPh>
    <rPh sb="8" eb="11">
      <t>ゼンネンド</t>
    </rPh>
    <rPh sb="12" eb="14">
      <t>ゾウゲン</t>
    </rPh>
    <rPh sb="14" eb="15">
      <t>リツ</t>
    </rPh>
    <phoneticPr fontId="4"/>
  </si>
  <si>
    <t>0.630</t>
    <phoneticPr fontId="4"/>
  </si>
  <si>
    <t>0.410</t>
    <phoneticPr fontId="4"/>
  </si>
  <si>
    <t>□</t>
  </si>
  <si>
    <t>【設定メモ】</t>
    <rPh sb="1" eb="3">
      <t>セッテイ</t>
    </rPh>
    <phoneticPr fontId="4"/>
  </si>
  <si>
    <t>【エラーチェック】</t>
    <phoneticPr fontId="4"/>
  </si>
  <si>
    <t>※増減率は、
　正の値が増加、
　負の値が減少</t>
    <phoneticPr fontId="4"/>
  </si>
  <si>
    <t>←セルをロック（基準年度を複数年度にしている事業者がいないため）</t>
    <rPh sb="8" eb="10">
      <t>キジュン</t>
    </rPh>
    <rPh sb="10" eb="12">
      <t>ネンド</t>
    </rPh>
    <rPh sb="13" eb="15">
      <t>フクスウ</t>
    </rPh>
    <rPh sb="15" eb="17">
      <t>ネンド</t>
    </rPh>
    <rPh sb="22" eb="24">
      <t>ジギョウ</t>
    </rPh>
    <rPh sb="24" eb="25">
      <t>シャ</t>
    </rPh>
    <phoneticPr fontId="4"/>
  </si>
  <si>
    <t>←関数を設定し、セルをロック（基準年度を複数年度にしている事業者がいないため）</t>
    <rPh sb="1" eb="3">
      <t>カンスウ</t>
    </rPh>
    <rPh sb="4" eb="6">
      <t>セッテイ</t>
    </rPh>
    <rPh sb="15" eb="17">
      <t>キジュン</t>
    </rPh>
    <rPh sb="17" eb="19">
      <t>ネンド</t>
    </rPh>
    <rPh sb="20" eb="22">
      <t>フクスウ</t>
    </rPh>
    <rPh sb="22" eb="24">
      <t>ネンド</t>
    </rPh>
    <rPh sb="29" eb="31">
      <t>ジギョウ</t>
    </rPh>
    <rPh sb="31" eb="32">
      <t>シャ</t>
    </rPh>
    <phoneticPr fontId="4"/>
  </si>
  <si>
    <t>←19行目以降、条件付き書式あり（空欄以外の場合にセルをオレンジ色に網掛け）</t>
    <rPh sb="3" eb="5">
      <t>ギョウメ</t>
    </rPh>
    <rPh sb="5" eb="7">
      <t>イコウ</t>
    </rPh>
    <rPh sb="8" eb="10">
      <t>ジョウケン</t>
    </rPh>
    <rPh sb="10" eb="11">
      <t>ツ</t>
    </rPh>
    <rPh sb="12" eb="14">
      <t>ショシキ</t>
    </rPh>
    <rPh sb="17" eb="19">
      <t>クウラン</t>
    </rPh>
    <rPh sb="19" eb="21">
      <t>イガイ</t>
    </rPh>
    <rPh sb="22" eb="24">
      <t>バアイ</t>
    </rPh>
    <rPh sb="32" eb="33">
      <t>イロ</t>
    </rPh>
    <rPh sb="34" eb="36">
      <t>アミカ</t>
    </rPh>
    <phoneticPr fontId="4"/>
  </si>
  <si>
    <t>←F8～11、M8～9:入力規則あり（半角英数）</t>
    <rPh sb="12" eb="14">
      <t>ニュウリョク</t>
    </rPh>
    <rPh sb="14" eb="16">
      <t>キソク</t>
    </rPh>
    <rPh sb="19" eb="21">
      <t>ハンカク</t>
    </rPh>
    <rPh sb="21" eb="23">
      <t>エイスウ</t>
    </rPh>
    <phoneticPr fontId="4"/>
  </si>
  <si>
    <t>←F13～16、M13～14:入力規則あり（半角英数）</t>
    <rPh sb="15" eb="17">
      <t>ニュウリョク</t>
    </rPh>
    <rPh sb="17" eb="19">
      <t>キソク</t>
    </rPh>
    <rPh sb="22" eb="24">
      <t>ハンカク</t>
    </rPh>
    <rPh sb="24" eb="26">
      <t>エイスウ</t>
    </rPh>
    <phoneticPr fontId="4"/>
  </si>
  <si>
    <t>←F19～22、M19～20、F24～27、M25～26:入力規則あり（半角英数）</t>
    <rPh sb="29" eb="31">
      <t>ニュウリョク</t>
    </rPh>
    <rPh sb="31" eb="33">
      <t>キソク</t>
    </rPh>
    <rPh sb="36" eb="38">
      <t>ハンカク</t>
    </rPh>
    <rPh sb="38" eb="40">
      <t>エイスウ</t>
    </rPh>
    <phoneticPr fontId="4"/>
  </si>
  <si>
    <t>※増減率は、
　正の値が増加、
　負の値が減少</t>
    <phoneticPr fontId="4"/>
  </si>
  <si>
    <t>←18行目以降、条件付き書式あり（空欄以外の場合にセルをオレンジ色に網掛け）</t>
    <rPh sb="3" eb="5">
      <t>ギョウメ</t>
    </rPh>
    <rPh sb="5" eb="7">
      <t>イコウ</t>
    </rPh>
    <rPh sb="8" eb="10">
      <t>ジョウケン</t>
    </rPh>
    <rPh sb="10" eb="11">
      <t>ツ</t>
    </rPh>
    <rPh sb="12" eb="14">
      <t>ショシキ</t>
    </rPh>
    <rPh sb="17" eb="19">
      <t>クウラン</t>
    </rPh>
    <rPh sb="19" eb="21">
      <t>イガイ</t>
    </rPh>
    <rPh sb="22" eb="24">
      <t>バアイ</t>
    </rPh>
    <rPh sb="32" eb="33">
      <t>イロ</t>
    </rPh>
    <rPh sb="34" eb="36">
      <t>アミカ</t>
    </rPh>
    <phoneticPr fontId="4"/>
  </si>
  <si>
    <t>←H18～19、N18、H21～22、N21:入力規則あり（半角英数）</t>
    <rPh sb="23" eb="25">
      <t>ニュウリョク</t>
    </rPh>
    <rPh sb="25" eb="27">
      <t>キソク</t>
    </rPh>
    <rPh sb="30" eb="32">
      <t>ハンカク</t>
    </rPh>
    <rPh sb="32" eb="34">
      <t>エイスウ</t>
    </rPh>
    <phoneticPr fontId="4"/>
  </si>
  <si>
    <t>←F5～6、M5、F8～9、M8:入力規則あり（半角英数）</t>
    <rPh sb="17" eb="19">
      <t>ニュウリョク</t>
    </rPh>
    <rPh sb="19" eb="21">
      <t>キソク</t>
    </rPh>
    <rPh sb="24" eb="26">
      <t>ハンカク</t>
    </rPh>
    <rPh sb="26" eb="28">
      <t>エイスウ</t>
    </rPh>
    <phoneticPr fontId="4"/>
  </si>
  <si>
    <t>←関数を設定し、セルをロック（第１面の選択結果に連動）</t>
    <rPh sb="1" eb="3">
      <t>カンスウ</t>
    </rPh>
    <rPh sb="4" eb="6">
      <t>セッテイ</t>
    </rPh>
    <rPh sb="15" eb="16">
      <t>ダイ</t>
    </rPh>
    <rPh sb="17" eb="18">
      <t>メン</t>
    </rPh>
    <rPh sb="19" eb="21">
      <t>センタク</t>
    </rPh>
    <rPh sb="21" eb="23">
      <t>ケッカ</t>
    </rPh>
    <rPh sb="24" eb="26">
      <t>レンドウ</t>
    </rPh>
    <phoneticPr fontId="4"/>
  </si>
  <si>
    <t>←E18,20：条件付き書式設定あり（いずれも■の場合、セルを赤く網掛け）</t>
    <rPh sb="8" eb="11">
      <t>ジョウケンツ</t>
    </rPh>
    <rPh sb="12" eb="16">
      <t>ショシキセッテイ</t>
    </rPh>
    <rPh sb="25" eb="27">
      <t>バアイ</t>
    </rPh>
    <rPh sb="31" eb="32">
      <t>アカ</t>
    </rPh>
    <rPh sb="33" eb="35">
      <t>アミカ</t>
    </rPh>
    <phoneticPr fontId="4"/>
  </si>
  <si>
    <t>←Y18,19：条件付き書式設定あり（①E18が■でY18,19いずれも空欄の場合、②E18が■でY18,19いずれも○の場合、セルを赤く網掛け）</t>
    <rPh sb="8" eb="11">
      <t>ジョウケンツ</t>
    </rPh>
    <rPh sb="12" eb="16">
      <t>ショシキセッテイ</t>
    </rPh>
    <rPh sb="36" eb="38">
      <t>クウラン</t>
    </rPh>
    <rPh sb="39" eb="41">
      <t>バアイ</t>
    </rPh>
    <phoneticPr fontId="4"/>
  </si>
  <si>
    <t>※増減率は、
　正の値が増加、
　負の値が減少</t>
    <phoneticPr fontId="4"/>
  </si>
  <si>
    <t>←G14～15、P14、G14～18、P17:入力規則あり（半角英数）</t>
    <rPh sb="23" eb="25">
      <t>ニュウリョク</t>
    </rPh>
    <rPh sb="25" eb="27">
      <t>キソク</t>
    </rPh>
    <rPh sb="30" eb="32">
      <t>ハンカク</t>
    </rPh>
    <rPh sb="32" eb="34">
      <t>エイスウ</t>
    </rPh>
    <phoneticPr fontId="4"/>
  </si>
  <si>
    <t>←入力規則あり（半角英数）</t>
    <rPh sb="1" eb="3">
      <t>ニュウリョク</t>
    </rPh>
    <rPh sb="3" eb="5">
      <t>キソク</t>
    </rPh>
    <rPh sb="8" eb="10">
      <t>ハンカク</t>
    </rPh>
    <rPh sb="10" eb="12">
      <t>エイスウ</t>
    </rPh>
    <phoneticPr fontId="4"/>
  </si>
  <si>
    <t>←I9.10、K9.10、M9.10入力規則あり（半角英数）</t>
    <rPh sb="18" eb="20">
      <t>ニュウリョク</t>
    </rPh>
    <rPh sb="20" eb="22">
      <t>キソク</t>
    </rPh>
    <rPh sb="25" eb="27">
      <t>ハンカク</t>
    </rPh>
    <rPh sb="27" eb="29">
      <t>エイスウ</t>
    </rPh>
    <phoneticPr fontId="4"/>
  </si>
  <si>
    <t>　報告対象年度における排出量の算定の根拠を明らかにする書類（規則第２条第１号又は第２号該当の事業者にあっては、総括票及び個別票を作成した工場等ごと。）を添付してください。</t>
    <rPh sb="1" eb="3">
      <t>ホウコク</t>
    </rPh>
    <rPh sb="3" eb="5">
      <t>タイショウ</t>
    </rPh>
    <rPh sb="5" eb="7">
      <t>ネンド</t>
    </rPh>
    <phoneticPr fontId="4"/>
  </si>
  <si>
    <t>３　エネルギー起源二酸化炭素の排出の状況及び排出量の削減の目標（規則第２条第１号又は第２号該当の事業者）</t>
    <rPh sb="22" eb="24">
      <t>ハイシュツ</t>
    </rPh>
    <rPh sb="24" eb="25">
      <t>リョウ</t>
    </rPh>
    <phoneticPr fontId="4"/>
  </si>
  <si>
    <t>４　エネルギー起源二酸化炭素の排出の状況及び排出量の削減の目標（規則第２条第３号該当の事業者）</t>
    <rPh sb="22" eb="24">
      <t>ハイシュツ</t>
    </rPh>
    <rPh sb="24" eb="25">
      <t>リョウ</t>
    </rPh>
    <phoneticPr fontId="4"/>
  </si>
  <si>
    <t>５　エネルギー管理指定工場等ごとのエネルギー起源二酸化炭素の排出の状況及び排出量の削減の目標</t>
    <rPh sb="7" eb="14">
      <t>カンリシテイコウジョウトウ</t>
    </rPh>
    <rPh sb="22" eb="24">
      <t>キゲン</t>
    </rPh>
    <rPh sb="24" eb="27">
      <t>ニサンカ</t>
    </rPh>
    <rPh sb="27" eb="29">
      <t>タンソ</t>
    </rPh>
    <rPh sb="30" eb="32">
      <t>ハイシュツ</t>
    </rPh>
    <rPh sb="33" eb="35">
      <t>ジョウキョウ</t>
    </rPh>
    <rPh sb="35" eb="36">
      <t>オヨ</t>
    </rPh>
    <rPh sb="37" eb="39">
      <t>ハイシュツ</t>
    </rPh>
    <rPh sb="39" eb="40">
      <t>リョウ</t>
    </rPh>
    <rPh sb="41" eb="43">
      <t>サクゲン</t>
    </rPh>
    <rPh sb="44" eb="46">
      <t>モクヒョウ</t>
    </rPh>
    <phoneticPr fontId="4"/>
  </si>
  <si>
    <t>←Y18,19：条件付き書式設定あり（①E18が■でY18,19いずれも空欄の場合、②Y18,19いずれも○の場合、セルを赤く網掛け）</t>
    <rPh sb="8" eb="11">
      <t>ジョウケンツ</t>
    </rPh>
    <rPh sb="12" eb="16">
      <t>ショシキセッテイ</t>
    </rPh>
    <rPh sb="36" eb="38">
      <t>クウラン</t>
    </rPh>
    <rPh sb="39" eb="41">
      <t>バアイ</t>
    </rPh>
    <phoneticPr fontId="4"/>
  </si>
  <si>
    <t>←条件付き書式設定あり（空欄以外で「神奈川県」を含まない場合にセルをオレンジ色に網掛け）</t>
    <rPh sb="1" eb="4">
      <t>ジョウケンツ</t>
    </rPh>
    <rPh sb="5" eb="9">
      <t>ショシキセッテイ</t>
    </rPh>
    <rPh sb="12" eb="14">
      <t>クウラン</t>
    </rPh>
    <rPh sb="14" eb="16">
      <t>イガイ</t>
    </rPh>
    <rPh sb="18" eb="22">
      <t>カナガワケン</t>
    </rPh>
    <rPh sb="24" eb="25">
      <t>フク</t>
    </rPh>
    <rPh sb="28" eb="30">
      <t>バアイ</t>
    </rPh>
    <rPh sb="38" eb="39">
      <t>イロ</t>
    </rPh>
    <rPh sb="40" eb="42">
      <t>アミカ</t>
    </rPh>
    <phoneticPr fontId="4"/>
  </si>
  <si>
    <t>＜書類作成を委託した場合の連絡先＞
社名：*****株式会社
部署名：*****部*****課
担当者名：**  
電話番号：***-***-***
電子メールアドレス：abc@○○○○.jp</t>
    <phoneticPr fontId="4"/>
  </si>
  <si>
    <t>書類提出前に各シートの自己チェックをお願いします。</t>
    <rPh sb="0" eb="2">
      <t>ショルイ</t>
    </rPh>
    <rPh sb="2" eb="4">
      <t>テイシュツ</t>
    </rPh>
    <rPh sb="4" eb="5">
      <t>マエ</t>
    </rPh>
    <rPh sb="6" eb="7">
      <t>カク</t>
    </rPh>
    <rPh sb="11" eb="13">
      <t>ジコ</t>
    </rPh>
    <rPh sb="19" eb="20">
      <t>ネガ</t>
    </rPh>
    <phoneticPr fontId="4"/>
  </si>
  <si>
    <t xml:space="preserve">＜書類作成を委託した場合の連絡先＞
社名：
部署名：
担当者名：
電話番号：
電子メールアドレス：
</t>
    <rPh sb="1" eb="3">
      <t>ショルイ</t>
    </rPh>
    <rPh sb="3" eb="5">
      <t>サクセイ</t>
    </rPh>
    <rPh sb="6" eb="8">
      <t>イタク</t>
    </rPh>
    <rPh sb="10" eb="12">
      <t>バアイ</t>
    </rPh>
    <rPh sb="13" eb="16">
      <t>レンラクサキ</t>
    </rPh>
    <rPh sb="18" eb="20">
      <t>シャメイ</t>
    </rPh>
    <rPh sb="22" eb="24">
      <t>ブショ</t>
    </rPh>
    <rPh sb="24" eb="25">
      <t>メイ</t>
    </rPh>
    <rPh sb="27" eb="29">
      <t>タントウ</t>
    </rPh>
    <rPh sb="29" eb="30">
      <t>シャ</t>
    </rPh>
    <rPh sb="30" eb="31">
      <t>メイ</t>
    </rPh>
    <rPh sb="33" eb="35">
      <t>デンワ</t>
    </rPh>
    <rPh sb="35" eb="37">
      <t>バンゴウ</t>
    </rPh>
    <rPh sb="39" eb="41">
      <t>デンシ</t>
    </rPh>
    <phoneticPr fontId="4"/>
  </si>
  <si>
    <t>←入力規則あり（M8セル：半角0or3桁、P8セル：半角0or4桁…ＤＢ登録上支障があるため）</t>
    <rPh sb="1" eb="3">
      <t>ニュウリョク</t>
    </rPh>
    <rPh sb="3" eb="5">
      <t>キソク</t>
    </rPh>
    <rPh sb="13" eb="15">
      <t>ハンカク</t>
    </rPh>
    <rPh sb="19" eb="20">
      <t>ケタ</t>
    </rPh>
    <rPh sb="36" eb="38">
      <t>トウロク</t>
    </rPh>
    <rPh sb="38" eb="39">
      <t>ジョウ</t>
    </rPh>
    <rPh sb="39" eb="41">
      <t>シショウ</t>
    </rPh>
    <phoneticPr fontId="4"/>
  </si>
  <si>
    <t>←入力規則あり（半角スペースを含んでいる場合エラー：ＤＢ登録上支障があるため）</t>
    <rPh sb="1" eb="3">
      <t>ニュウリョク</t>
    </rPh>
    <rPh sb="3" eb="5">
      <t>キソク</t>
    </rPh>
    <rPh sb="8" eb="10">
      <t>ハンカク</t>
    </rPh>
    <rPh sb="15" eb="16">
      <t>フク</t>
    </rPh>
    <rPh sb="20" eb="22">
      <t>バアイ</t>
    </rPh>
    <rPh sb="28" eb="30">
      <t>トウロク</t>
    </rPh>
    <rPh sb="30" eb="31">
      <t>ジョウ</t>
    </rPh>
    <rPh sb="31" eb="33">
      <t>シショウ</t>
    </rPh>
    <phoneticPr fontId="4"/>
  </si>
  <si>
    <r>
      <t>←入力規則あり（年：</t>
    </r>
    <r>
      <rPr>
        <sz val="9"/>
        <color rgb="FFFF0000"/>
        <rFont val="ＭＳ 明朝"/>
        <family val="1"/>
        <charset val="128"/>
      </rPr>
      <t>提出年度以上の整数</t>
    </r>
    <r>
      <rPr>
        <sz val="9"/>
        <color theme="1"/>
        <rFont val="ＭＳ 明朝"/>
        <family val="1"/>
        <charset val="128"/>
      </rPr>
      <t>、月：1～12、日：1～31）</t>
    </r>
    <rPh sb="1" eb="3">
      <t>ニュウリョク</t>
    </rPh>
    <rPh sb="3" eb="5">
      <t>キソク</t>
    </rPh>
    <rPh sb="8" eb="9">
      <t>ネン</t>
    </rPh>
    <rPh sb="10" eb="12">
      <t>テイシュツ</t>
    </rPh>
    <rPh sb="12" eb="14">
      <t>ネンド</t>
    </rPh>
    <rPh sb="14" eb="16">
      <t>イジョウ</t>
    </rPh>
    <rPh sb="17" eb="19">
      <t>セイスウ</t>
    </rPh>
    <rPh sb="20" eb="21">
      <t>ツキ</t>
    </rPh>
    <rPh sb="27" eb="28">
      <t>ヒ</t>
    </rPh>
    <phoneticPr fontId="4"/>
  </si>
  <si>
    <t>←入力規則あり（Ｄ３セル：提出年度-4～-1、Ｇ３セル：提出年度～Ｄ３セル+4の整数）</t>
    <rPh sb="1" eb="3">
      <t>ニュウリョク</t>
    </rPh>
    <rPh sb="3" eb="5">
      <t>キソク</t>
    </rPh>
    <rPh sb="13" eb="15">
      <t>テイシュツ</t>
    </rPh>
    <rPh sb="15" eb="17">
      <t>ネンド</t>
    </rPh>
    <rPh sb="28" eb="30">
      <t>テイシュツ</t>
    </rPh>
    <rPh sb="30" eb="32">
      <t>ネンド</t>
    </rPh>
    <rPh sb="40" eb="42">
      <t>セイスウ</t>
    </rPh>
    <phoneticPr fontId="4"/>
  </si>
  <si>
    <t>代表取締役␣○○␣○○</t>
    <rPh sb="0" eb="5">
      <t>ダイ</t>
    </rPh>
    <phoneticPr fontId="4"/>
  </si>
  <si>
    <t>株式会社○○産業␣代表取締役␣○○␣○○</t>
    <rPh sb="0" eb="4">
      <t>カブシキガイシャ</t>
    </rPh>
    <rPh sb="6" eb="8">
      <t>サンギョウ</t>
    </rPh>
    <rPh sb="9" eb="14">
      <t>ダイ</t>
    </rPh>
    <phoneticPr fontId="4"/>
  </si>
  <si>
    <t>神奈川県厚木市○○9999␣○○ビル</t>
    <phoneticPr fontId="4"/>
  </si>
  <si>
    <t>延床面積×稼働時間</t>
    <rPh sb="0" eb="1">
      <t>ノ</t>
    </rPh>
    <rPh sb="1" eb="4">
      <t>ユカメンセキ</t>
    </rPh>
    <rPh sb="5" eb="7">
      <t>カドウ</t>
    </rPh>
    <rPh sb="7" eb="9">
      <t>ジカン</t>
    </rPh>
    <phoneticPr fontId="4"/>
  </si>
  <si>
    <t>※増減率は、
　正の値が悪化、
　負の値が改善</t>
    <rPh sb="12" eb="14">
      <t>アッカ</t>
    </rPh>
    <rPh sb="21" eb="23">
      <t>カイゼン</t>
    </rPh>
    <phoneticPr fontId="4"/>
  </si>
  <si>
    <t>神奈川県</t>
    <rPh sb="0" eb="4">
      <t>カナガワケン</t>
    </rPh>
    <phoneticPr fontId="4"/>
  </si>
  <si>
    <t>神奈川県</t>
    <rPh sb="0" eb="4">
      <t>カナガワケン</t>
    </rPh>
    <phoneticPr fontId="4"/>
  </si>
  <si>
    <r>
      <t>＜CO2排出量/排出量原単位の前年度からの増減率＞【例】
　</t>
    </r>
    <r>
      <rPr>
        <u/>
        <sz val="7.5"/>
        <rFont val="ＭＳ Ｐゴシック"/>
        <family val="3"/>
        <charset val="128"/>
      </rPr>
      <t xml:space="preserve">今年度のCO2排出量は、前年度に対して1.6％減少（or増加）した
</t>
    </r>
    <r>
      <rPr>
        <sz val="7.5"/>
        <rFont val="ＭＳ Ｐゴシック"/>
        <family val="3"/>
        <charset val="128"/>
      </rPr>
      <t>　</t>
    </r>
    <r>
      <rPr>
        <u/>
        <sz val="7.5"/>
        <rFont val="ＭＳ Ｐゴシック"/>
        <family val="3"/>
        <charset val="128"/>
      </rPr>
      <t>今年度の排出量原単位は、前年度に対して1.2％改善（or悪化）した。</t>
    </r>
    <r>
      <rPr>
        <sz val="7.5"/>
        <rFont val="ＭＳ Ｐゴシック"/>
        <family val="3"/>
        <charset val="128"/>
      </rPr>
      <t xml:space="preserve">
　※計画書で排出量原単位の削減目標を設定していない場合は、排出量原単位についての記載は不要です。
＜主な増減理由＞【例】
●CO2排出量
</t>
    </r>
    <r>
      <rPr>
        <u/>
        <sz val="7.5"/>
        <rFont val="ＭＳ Ｐゴシック"/>
        <family val="3"/>
        <charset val="128"/>
      </rPr>
      <t>・生産量が約〇％増え（減り）、エネルギー使用量が増加（減少）したため。
・製品の材料を変更することにより、電力使用量を削減したため。
・電力購入先を変更し、排出係数が上がった（下がった）ため。(0.000***→0.000***)
・下記対策の実施によりエネルギー消費量を削減したため。</t>
    </r>
    <r>
      <rPr>
        <sz val="7.5"/>
        <rFont val="ＭＳ Ｐゴシック"/>
        <family val="3"/>
        <charset val="128"/>
      </rPr>
      <t xml:space="preserve">
●排出量原単位
</t>
    </r>
    <r>
      <rPr>
        <u/>
        <sz val="7.5"/>
        <rFont val="ＭＳ Ｐゴシック"/>
        <family val="3"/>
        <charset val="128"/>
      </rPr>
      <t>・原単位指標である延床面積に変動がなかったため、「CO2排出量」の増減理由に同じ。
・原単位指標である生産量がCO2排出量以上に増えた（減った）ため。</t>
    </r>
    <r>
      <rPr>
        <sz val="7.5"/>
        <rFont val="ＭＳ Ｐゴシック"/>
        <family val="3"/>
        <charset val="128"/>
      </rPr>
      <t xml:space="preserve">
</t>
    </r>
    <r>
      <rPr>
        <u/>
        <sz val="7.5"/>
        <rFont val="ＭＳ Ｐゴシック"/>
        <family val="3"/>
        <charset val="128"/>
      </rPr>
      <t xml:space="preserve">・新工場が竣工し、原単位指標である建物延床面積が○％増えたため。
</t>
    </r>
    <r>
      <rPr>
        <sz val="7.5"/>
        <rFont val="ＭＳ Ｐゴシック"/>
        <family val="3"/>
        <charset val="128"/>
      </rPr>
      <t xml:space="preserve">
＜報告対象年度に実施した主な削減対策＞【例】
</t>
    </r>
    <r>
      <rPr>
        <u/>
        <sz val="7.5"/>
        <rFont val="ＭＳ Ｐゴシック"/>
        <family val="3"/>
        <charset val="128"/>
      </rPr>
      <t>・空気調和設備の更新（○台）</t>
    </r>
    <r>
      <rPr>
        <sz val="7.5"/>
        <rFont val="ＭＳ Ｐゴシック"/>
        <family val="3"/>
        <charset val="128"/>
      </rPr>
      <t xml:space="preserve">
</t>
    </r>
    <r>
      <rPr>
        <u/>
        <sz val="7.5"/>
        <rFont val="ＭＳ Ｐゴシック"/>
        <family val="3"/>
        <charset val="128"/>
      </rPr>
      <t xml:space="preserve">・長期不使用変圧器の停止（○台）
・照明設備のLED化(〇台)
</t>
    </r>
    <r>
      <rPr>
        <sz val="7.5"/>
        <rFont val="ＭＳ Ｐゴシック"/>
        <family val="3"/>
        <charset val="128"/>
      </rPr>
      <t xml:space="preserve">
＜今期の達成見込み＞【例】
</t>
    </r>
    <r>
      <rPr>
        <u/>
        <sz val="7.5"/>
        <rFont val="ＭＳ Ｐゴシック"/>
        <family val="3"/>
        <charset val="128"/>
      </rPr>
      <t>・計画に沿って省エネ対策が進んでおり、期末目標は達成できる見込みである。</t>
    </r>
    <r>
      <rPr>
        <sz val="7.5"/>
        <rFont val="ＭＳ Ｐゴシック"/>
        <family val="3"/>
        <charset val="128"/>
      </rPr>
      <t xml:space="preserve">
</t>
    </r>
    <r>
      <rPr>
        <u/>
        <sz val="7.5"/>
        <rFont val="ＭＳ Ｐゴシック"/>
        <family val="3"/>
        <charset val="128"/>
      </rPr>
      <t xml:space="preserve">・今期の削減目標達成の見込みはたっていないが、より一層の取組により目標達成を目指す。
</t>
    </r>
    <r>
      <rPr>
        <sz val="7.5"/>
        <rFont val="ＭＳ Ｐゴシック"/>
        <family val="3"/>
        <charset val="128"/>
      </rPr>
      <t xml:space="preserve">
＜クレジットの取得状況＞【例】
</t>
    </r>
    <r>
      <rPr>
        <u/>
        <sz val="7.5"/>
        <rFont val="ＭＳ Ｐゴシック"/>
        <family val="3"/>
        <charset val="128"/>
      </rPr>
      <t>・国内クレジット（国内クレジット認証委員会）：300トン（20**年度）</t>
    </r>
    <r>
      <rPr>
        <sz val="7.5"/>
        <rFont val="ＭＳ Ｐゴシック"/>
        <family val="3"/>
        <charset val="128"/>
      </rPr>
      <t xml:space="preserve">
</t>
    </r>
    <r>
      <rPr>
        <u/>
        <sz val="7.5"/>
        <rFont val="ＭＳ Ｐゴシック"/>
        <family val="3"/>
        <charset val="128"/>
      </rPr>
      <t>・オフセットクレジット（J-VER）：100トン（20**年度）</t>
    </r>
    <r>
      <rPr>
        <sz val="7.5"/>
        <rFont val="ＭＳ Ｐゴシック"/>
        <family val="3"/>
        <charset val="128"/>
      </rPr>
      <t xml:space="preserve">
　※　これまでに取得された国内クレジット等がある場合は、「取得年度」「クレジットの種類と数量」を記載</t>
    </r>
    <rPh sb="8" eb="10">
      <t>ハイシュツ</t>
    </rPh>
    <rPh sb="10" eb="11">
      <t>リョウ</t>
    </rPh>
    <rPh sb="11" eb="14">
      <t>ゲンタンイ</t>
    </rPh>
    <rPh sb="21" eb="23">
      <t>ゾウゲン</t>
    </rPh>
    <rPh sb="23" eb="24">
      <t>リツ</t>
    </rPh>
    <rPh sb="30" eb="33">
      <t>コンネンド</t>
    </rPh>
    <rPh sb="46" eb="47">
      <t>タイ</t>
    </rPh>
    <rPh sb="65" eb="66">
      <t>イマ</t>
    </rPh>
    <rPh sb="66" eb="68">
      <t>ネンド</t>
    </rPh>
    <rPh sb="81" eb="82">
      <t>タイ</t>
    </rPh>
    <rPh sb="88" eb="90">
      <t>カイゼン</t>
    </rPh>
    <rPh sb="93" eb="95">
      <t>アッカ</t>
    </rPh>
    <rPh sb="151" eb="152">
      <t>オモ</t>
    </rPh>
    <rPh sb="153" eb="155">
      <t>ゾウゲン</t>
    </rPh>
    <rPh sb="166" eb="168">
      <t>ハイシュツ</t>
    </rPh>
    <rPh sb="168" eb="169">
      <t>リョウ</t>
    </rPh>
    <rPh sb="181" eb="182">
      <t>ヘ</t>
    </rPh>
    <rPh sb="190" eb="193">
      <t>シヨウリョウ</t>
    </rPh>
    <rPh sb="194" eb="196">
      <t>ゾウカ</t>
    </rPh>
    <rPh sb="197" eb="199">
      <t>ゲンショウ</t>
    </rPh>
    <rPh sb="258" eb="259">
      <t>サ</t>
    </rPh>
    <rPh sb="287" eb="289">
      <t>カキ</t>
    </rPh>
    <rPh sb="289" eb="291">
      <t>タイサク</t>
    </rPh>
    <rPh sb="292" eb="294">
      <t>ジッシ</t>
    </rPh>
    <rPh sb="302" eb="305">
      <t>ショウヒリョウ</t>
    </rPh>
    <rPh sb="306" eb="308">
      <t>サクゲン</t>
    </rPh>
    <rPh sb="331" eb="333">
      <t>ノベユカ</t>
    </rPh>
    <rPh sb="333" eb="335">
      <t>メンセキ</t>
    </rPh>
    <rPh sb="373" eb="375">
      <t>セイサン</t>
    </rPh>
    <rPh sb="375" eb="376">
      <t>リョウ</t>
    </rPh>
    <rPh sb="433" eb="435">
      <t>ホウコク</t>
    </rPh>
    <rPh sb="435" eb="437">
      <t>タイショウ</t>
    </rPh>
    <rPh sb="437" eb="439">
      <t>ネンド</t>
    </rPh>
    <rPh sb="444" eb="445">
      <t>オモ</t>
    </rPh>
    <rPh sb="446" eb="448">
      <t>サクゲン</t>
    </rPh>
    <rPh sb="456" eb="458">
      <t>クウキ</t>
    </rPh>
    <rPh sb="458" eb="460">
      <t>チョウワ</t>
    </rPh>
    <rPh sb="460" eb="462">
      <t>セツビ</t>
    </rPh>
    <rPh sb="463" eb="465">
      <t>コウシン</t>
    </rPh>
    <rPh sb="467" eb="468">
      <t>ダイ</t>
    </rPh>
    <rPh sb="484" eb="485">
      <t>ダイ</t>
    </rPh>
    <rPh sb="499" eb="500">
      <t>ダイ</t>
    </rPh>
    <rPh sb="504" eb="506">
      <t>コンキ</t>
    </rPh>
    <rPh sb="507" eb="509">
      <t>タッセイ</t>
    </rPh>
    <rPh sb="509" eb="511">
      <t>ミコ</t>
    </rPh>
    <rPh sb="518" eb="520">
      <t>ケイカク</t>
    </rPh>
    <rPh sb="521" eb="522">
      <t>ソ</t>
    </rPh>
    <rPh sb="524" eb="525">
      <t>ショウ</t>
    </rPh>
    <rPh sb="527" eb="529">
      <t>タイサク</t>
    </rPh>
    <rPh sb="530" eb="531">
      <t>スス</t>
    </rPh>
    <rPh sb="536" eb="538">
      <t>キマツ</t>
    </rPh>
    <rPh sb="538" eb="540">
      <t>モクヒョウ</t>
    </rPh>
    <rPh sb="541" eb="543">
      <t>タッセイ</t>
    </rPh>
    <rPh sb="546" eb="548">
      <t>ミコ</t>
    </rPh>
    <rPh sb="555" eb="557">
      <t>コンキ</t>
    </rPh>
    <rPh sb="558" eb="560">
      <t>サクゲン</t>
    </rPh>
    <rPh sb="560" eb="562">
      <t>モクヒョウ</t>
    </rPh>
    <rPh sb="562" eb="564">
      <t>タッセイ</t>
    </rPh>
    <rPh sb="565" eb="567">
      <t>ミコ</t>
    </rPh>
    <rPh sb="579" eb="581">
      <t>イッソウ</t>
    </rPh>
    <rPh sb="582" eb="584">
      <t>トリクミ</t>
    </rPh>
    <rPh sb="587" eb="589">
      <t>モクヒョウ</t>
    </rPh>
    <rPh sb="589" eb="591">
      <t>タッセイ</t>
    </rPh>
    <rPh sb="592" eb="594">
      <t>メザ</t>
    </rPh>
    <phoneticPr fontId="4"/>
  </si>
  <si>
    <r>
      <t>＜CO2排出量/原単位の前年度からの増減率＞【例】
　</t>
    </r>
    <r>
      <rPr>
        <u/>
        <sz val="8"/>
        <rFont val="ＭＳ Ｐゴシック"/>
        <family val="3"/>
        <charset val="128"/>
      </rPr>
      <t>今年度のCO2排出量は前年度に対して約1.6％減少（増加）した。</t>
    </r>
    <r>
      <rPr>
        <sz val="8"/>
        <rFont val="ＭＳ Ｐゴシック"/>
        <family val="3"/>
        <charset val="128"/>
      </rPr>
      <t xml:space="preserve">
　</t>
    </r>
    <r>
      <rPr>
        <u/>
        <sz val="8"/>
        <rFont val="ＭＳ Ｐゴシック"/>
        <family val="3"/>
        <charset val="128"/>
      </rPr>
      <t>今年度の排出量原単位は前年度に対して約1.2％改善（悪化）した。</t>
    </r>
    <r>
      <rPr>
        <sz val="8"/>
        <rFont val="ＭＳ Ｐゴシック"/>
        <family val="3"/>
        <charset val="128"/>
      </rPr>
      <t xml:space="preserve">
　　※　計画書で排出量原単位の削減目標を設定していない場合は、排出量原単位についての記載は
　　　不要です。
　　※　対前年度増減率＝（報告対象年度における排出量or原単位の合計量）÷（前年度の排出量or
　　　原単位の合計量）×100－100
＜主な増減理由＞【例】
●CO2排出量
　</t>
    </r>
    <r>
      <rPr>
        <u/>
        <sz val="8"/>
        <rFont val="ＭＳ Ｐゴシック"/>
        <family val="3"/>
        <charset val="128"/>
      </rPr>
      <t xml:space="preserve">・事業活動の拡大(縮小)により、年度末使用台数が、○台増えた（減った）ため。
</t>
    </r>
    <r>
      <rPr>
        <sz val="8"/>
        <rFont val="ＭＳ Ｐゴシック"/>
        <family val="3"/>
        <charset val="128"/>
      </rPr>
      <t>　</t>
    </r>
    <r>
      <rPr>
        <u/>
        <sz val="8"/>
        <rFont val="ＭＳ Ｐゴシック"/>
        <family val="3"/>
        <charset val="128"/>
      </rPr>
      <t>・下記対策の実施したため。</t>
    </r>
    <r>
      <rPr>
        <strike/>
        <u/>
        <sz val="8"/>
        <rFont val="ＭＳ Ｐゴシック"/>
        <family val="3"/>
        <charset val="128"/>
      </rPr>
      <t xml:space="preserve">
</t>
    </r>
    <r>
      <rPr>
        <sz val="8"/>
        <rFont val="ＭＳ Ｐゴシック"/>
        <family val="3"/>
        <charset val="128"/>
      </rPr>
      <t>●排出量原単位
　・原単位指標である「走行距離」に変動がなかったため、CO2排出量の増減理由に同じ。
　</t>
    </r>
    <r>
      <rPr>
        <u/>
        <sz val="8"/>
        <rFont val="ＭＳ Ｐゴシック"/>
        <family val="3"/>
        <charset val="128"/>
      </rPr>
      <t xml:space="preserve">・使用台数は横ばいだが、原単位指標である走行距離が約〇％減ったため。
</t>
    </r>
    <r>
      <rPr>
        <sz val="8"/>
        <rFont val="ＭＳ Ｐゴシック"/>
        <family val="3"/>
        <charset val="128"/>
      </rPr>
      <t xml:space="preserve">
＜報告対象年度に実施した主な削減対策＞【例】
　</t>
    </r>
    <r>
      <rPr>
        <u/>
        <sz val="8"/>
        <rFont val="ＭＳ Ｐゴシック"/>
        <family val="3"/>
        <charset val="128"/>
      </rPr>
      <t>・低燃費車への入替実施（○台）</t>
    </r>
    <r>
      <rPr>
        <sz val="8"/>
        <rFont val="ＭＳ Ｐゴシック"/>
        <family val="3"/>
        <charset val="128"/>
      </rPr>
      <t xml:space="preserve">
  </t>
    </r>
    <r>
      <rPr>
        <u/>
        <sz val="8"/>
        <rFont val="ＭＳ Ｐゴシック"/>
        <family val="3"/>
        <charset val="128"/>
      </rPr>
      <t xml:space="preserve">・効率的なルートの選定と運転員への周知
</t>
    </r>
    <r>
      <rPr>
        <sz val="8"/>
        <rFont val="ＭＳ Ｐゴシック"/>
        <family val="3"/>
        <charset val="128"/>
      </rPr>
      <t>　</t>
    </r>
    <r>
      <rPr>
        <u/>
        <sz val="8"/>
        <rFont val="ＭＳ Ｐゴシック"/>
        <family val="3"/>
        <charset val="128"/>
      </rPr>
      <t xml:space="preserve">・配送ルートの見直し
</t>
    </r>
    <r>
      <rPr>
        <sz val="8"/>
        <rFont val="ＭＳ Ｐゴシック"/>
        <family val="3"/>
        <charset val="128"/>
      </rPr>
      <t>＜今期の達成見込みについて＞【例】</t>
    </r>
    <r>
      <rPr>
        <u/>
        <sz val="8"/>
        <rFont val="ＭＳ Ｐゴシック"/>
        <family val="3"/>
        <charset val="128"/>
      </rPr>
      <t xml:space="preserve">
</t>
    </r>
    <r>
      <rPr>
        <sz val="8"/>
        <rFont val="ＭＳ Ｐゴシック"/>
        <family val="3"/>
        <charset val="128"/>
      </rPr>
      <t>　</t>
    </r>
    <r>
      <rPr>
        <u/>
        <sz val="8"/>
        <rFont val="ＭＳ Ｐゴシック"/>
        <family val="3"/>
        <charset val="128"/>
      </rPr>
      <t xml:space="preserve">・計画に沿って省エネ対策が進んでおり、期末目標は達成できる見込みである。
</t>
    </r>
    <r>
      <rPr>
        <sz val="8"/>
        <rFont val="ＭＳ Ｐゴシック"/>
        <family val="3"/>
        <charset val="128"/>
      </rPr>
      <t>　</t>
    </r>
    <r>
      <rPr>
        <u/>
        <sz val="8"/>
        <rFont val="ＭＳ Ｐゴシック"/>
        <family val="3"/>
        <charset val="128"/>
      </rPr>
      <t>・今期の削減目標達成の見込みはたっていないが、より一層の取組により目標達成を目指す。</t>
    </r>
    <rPh sb="27" eb="30">
      <t>コンネンド</t>
    </rPh>
    <rPh sb="42" eb="43">
      <t>タイ</t>
    </rPh>
    <rPh sb="61" eb="64">
      <t>コンネンド</t>
    </rPh>
    <rPh sb="76" eb="77">
      <t>タイ</t>
    </rPh>
    <rPh sb="240" eb="242">
      <t>ジギョウ</t>
    </rPh>
    <rPh sb="242" eb="244">
      <t>カツドウ</t>
    </rPh>
    <rPh sb="245" eb="247">
      <t>カクダイ</t>
    </rPh>
    <rPh sb="248" eb="250">
      <t>シュクショウ</t>
    </rPh>
    <rPh sb="265" eb="266">
      <t>ダイ</t>
    </rPh>
    <rPh sb="346" eb="348">
      <t>シヨウ</t>
    </rPh>
    <rPh sb="415" eb="417">
      <t>ジッシ</t>
    </rPh>
    <rPh sb="419" eb="420">
      <t>ダイ</t>
    </rPh>
    <phoneticPr fontId="4"/>
  </si>
  <si>
    <r>
      <t>＜CO2排出量/原単位の前年度からの増減率＞【例】
　</t>
    </r>
    <r>
      <rPr>
        <u/>
        <sz val="8"/>
        <rFont val="ＭＳ Ｐゴシック"/>
        <family val="3"/>
        <charset val="128"/>
      </rPr>
      <t>今年度のCO2排出量は前年度に対して約1.6％減少（増加）した。</t>
    </r>
    <r>
      <rPr>
        <sz val="8"/>
        <rFont val="ＭＳ Ｐゴシック"/>
        <family val="3"/>
        <charset val="128"/>
      </rPr>
      <t xml:space="preserve">
　</t>
    </r>
    <r>
      <rPr>
        <u/>
        <sz val="8"/>
        <rFont val="ＭＳ Ｐゴシック"/>
        <family val="3"/>
        <charset val="128"/>
      </rPr>
      <t xml:space="preserve">今年度の排出量原単位は前年度に対して約1.2％改善（悪化）した。
</t>
    </r>
    <r>
      <rPr>
        <sz val="8"/>
        <rFont val="ＭＳ Ｐゴシック"/>
        <family val="3"/>
        <charset val="128"/>
      </rPr>
      <t>　※　対前年度増減率＝（報告対象年度における排出量/原単位の合計量） ÷ （前年度の排出量/
　　　原単位の合計量）×100－100
＜主な増減理由＞【例】
●CO2排出量
　</t>
    </r>
    <r>
      <rPr>
        <u/>
        <sz val="8"/>
        <rFont val="ＭＳ Ｐゴシック"/>
        <family val="3"/>
        <charset val="128"/>
      </rPr>
      <t>・生産量が約〇％増え（減り）、エネルギー使用量が増加（減少）したため。</t>
    </r>
    <r>
      <rPr>
        <sz val="8"/>
        <rFont val="ＭＳ Ｐゴシック"/>
        <family val="3"/>
        <charset val="128"/>
      </rPr>
      <t xml:space="preserve">
　</t>
    </r>
    <r>
      <rPr>
        <u/>
        <sz val="8"/>
        <rFont val="ＭＳ Ｐゴシック"/>
        <family val="3"/>
        <charset val="128"/>
      </rPr>
      <t>・エネルギー使用量の大きい製品の受注割合が増加したため。</t>
    </r>
    <r>
      <rPr>
        <sz val="8"/>
        <rFont val="ＭＳ Ｐゴシック"/>
        <family val="3"/>
        <charset val="128"/>
      </rPr>
      <t xml:space="preserve">
　</t>
    </r>
    <r>
      <rPr>
        <u/>
        <sz val="8"/>
        <rFont val="ＭＳ Ｐゴシック"/>
        <family val="3"/>
        <charset val="128"/>
      </rPr>
      <t>・製品の材料を変更することにより、電力使用量を削減したため。</t>
    </r>
    <r>
      <rPr>
        <sz val="8"/>
        <rFont val="ＭＳ Ｐゴシック"/>
        <family val="3"/>
        <charset val="128"/>
      </rPr>
      <t xml:space="preserve">
　</t>
    </r>
    <r>
      <rPr>
        <u/>
        <sz val="8"/>
        <rFont val="ＭＳ Ｐゴシック"/>
        <family val="3"/>
        <charset val="128"/>
      </rPr>
      <t xml:space="preserve">・電力購入先を変更し、排出係数が上がった（下がった）ため。(0.000***→0.000***)
</t>
    </r>
    <r>
      <rPr>
        <sz val="8"/>
        <rFont val="ＭＳ Ｐゴシック"/>
        <family val="3"/>
        <charset val="128"/>
      </rPr>
      <t>　</t>
    </r>
    <r>
      <rPr>
        <u/>
        <sz val="8"/>
        <rFont val="ＭＳ Ｐゴシック"/>
        <family val="3"/>
        <charset val="128"/>
      </rPr>
      <t>・下記対策の実施したため。</t>
    </r>
    <r>
      <rPr>
        <sz val="8"/>
        <rFont val="ＭＳ Ｐゴシック"/>
        <family val="3"/>
        <charset val="128"/>
      </rPr>
      <t xml:space="preserve">
●排出量原単位
　</t>
    </r>
    <r>
      <rPr>
        <u/>
        <sz val="8"/>
        <rFont val="ＭＳ Ｐゴシック"/>
        <family val="3"/>
        <charset val="128"/>
      </rPr>
      <t xml:space="preserve">・原単位指標である「生産量」に変動がなかったため、CO2排出量の増減理由に同じ。
</t>
    </r>
    <r>
      <rPr>
        <sz val="8"/>
        <rFont val="ＭＳ Ｐゴシック"/>
        <family val="3"/>
        <charset val="128"/>
      </rPr>
      <t>　</t>
    </r>
    <r>
      <rPr>
        <u/>
        <sz val="8"/>
        <rFont val="ＭＳ Ｐゴシック"/>
        <family val="3"/>
        <charset val="128"/>
      </rPr>
      <t xml:space="preserve">・原単位指標である「生産量」がCO2排出量以上に増えた（減った）ため。
</t>
    </r>
    <r>
      <rPr>
        <sz val="8"/>
        <rFont val="ＭＳ Ｐゴシック"/>
        <family val="3"/>
        <charset val="128"/>
      </rPr>
      <t>　</t>
    </r>
    <r>
      <rPr>
        <u/>
        <sz val="8"/>
        <rFont val="ＭＳ Ｐゴシック"/>
        <family val="3"/>
        <charset val="128"/>
      </rPr>
      <t xml:space="preserve">・新工場が竣工し、建物延床面積が○％増えたため。
</t>
    </r>
    <r>
      <rPr>
        <sz val="8"/>
        <rFont val="ＭＳ Ｐゴシック"/>
        <family val="3"/>
        <charset val="128"/>
      </rPr>
      <t xml:space="preserve">
＜報告対象年度に実施した主な削減対策＞【例】
　</t>
    </r>
    <r>
      <rPr>
        <u/>
        <sz val="8"/>
        <rFont val="ＭＳ Ｐゴシック"/>
        <family val="3"/>
        <charset val="128"/>
      </rPr>
      <t>・空気調和設備の更新（○台）</t>
    </r>
    <r>
      <rPr>
        <sz val="8"/>
        <rFont val="ＭＳ Ｐゴシック"/>
        <family val="3"/>
        <charset val="128"/>
      </rPr>
      <t xml:space="preserve">
　</t>
    </r>
    <r>
      <rPr>
        <u/>
        <sz val="8"/>
        <rFont val="ＭＳ Ｐゴシック"/>
        <family val="3"/>
        <charset val="128"/>
      </rPr>
      <t>・長期不使用変圧器の停止（○台）</t>
    </r>
    <r>
      <rPr>
        <sz val="8"/>
        <rFont val="ＭＳ Ｐゴシック"/>
        <family val="3"/>
        <charset val="128"/>
      </rPr>
      <t xml:space="preserve">
　</t>
    </r>
    <r>
      <rPr>
        <u/>
        <sz val="8"/>
        <rFont val="ＭＳ Ｐゴシック"/>
        <family val="3"/>
        <charset val="128"/>
      </rPr>
      <t xml:space="preserve">・照明設備のLED化（○台）
</t>
    </r>
    <r>
      <rPr>
        <sz val="8"/>
        <rFont val="ＭＳ Ｐゴシック"/>
        <family val="3"/>
        <charset val="128"/>
      </rPr>
      <t>　</t>
    </r>
    <r>
      <rPr>
        <u/>
        <sz val="8"/>
        <rFont val="ＭＳ Ｐゴシック"/>
        <family val="3"/>
        <charset val="128"/>
      </rPr>
      <t>・新旧工場を集約して、設備を一部撤去したため。</t>
    </r>
    <rPh sb="27" eb="30">
      <t>コンネンド</t>
    </rPh>
    <rPh sb="42" eb="43">
      <t>タイ</t>
    </rPh>
    <rPh sb="61" eb="64">
      <t>コンネンド</t>
    </rPh>
    <rPh sb="76" eb="77">
      <t>タイ</t>
    </rPh>
    <rPh sb="303" eb="304">
      <t>サ</t>
    </rPh>
    <rPh sb="333" eb="335">
      <t>カキ</t>
    </rPh>
    <rPh sb="335" eb="337">
      <t>タイサク</t>
    </rPh>
    <rPh sb="338" eb="340">
      <t>ジッシ</t>
    </rPh>
    <rPh sb="366" eb="368">
      <t>セイサン</t>
    </rPh>
    <rPh sb="368" eb="369">
      <t>リョウ</t>
    </rPh>
    <rPh sb="408" eb="410">
      <t>セイサン</t>
    </rPh>
    <rPh sb="410" eb="411">
      <t>リョウ</t>
    </rPh>
    <rPh sb="515" eb="516">
      <t>ダイ</t>
    </rPh>
    <rPh sb="531" eb="532">
      <t>ダイ</t>
    </rPh>
    <phoneticPr fontId="4"/>
  </si>
  <si>
    <t>＜CO2排出量/排出量原単位の前年度からの増減率＞
  今年度のCO2排出量は、前年度に対して□％減少（増加）した。
　今年度の排出量原単位は、前年度に対して□％改善（悪化）した。
＜主な増減理由＞
●CO2排出量
 ・「＊＊＊」が約〇％増えた（減った）ため。
 ・～したため。
●排出量原単位
 ・原単位指標の量である「＊＊」の変動がなかったため、CO2排出量の増減理由に同じ。
 ・原単位指標の量である「＊＊」がCO2排出量以上に増えた（減った）ため。
 ・～したため。
＜報告対象年度に実施した主な削減対策＞
 ・
 ・
 ・</t>
    <rPh sb="28" eb="31">
      <t>コンネンド</t>
    </rPh>
    <rPh sb="44" eb="45">
      <t>タイ</t>
    </rPh>
    <rPh sb="60" eb="63">
      <t>コンネンド</t>
    </rPh>
    <rPh sb="76" eb="77">
      <t>タイ</t>
    </rPh>
    <phoneticPr fontId="4"/>
  </si>
  <si>
    <r>
      <t>＜CO2排出量/排出量原単位の前年度からの増減率＞
  今年度のCO2排出量は、前年度に対して□％減少（増加）した。
　今年度の排出量原単位は、前年度に対して□％改善（悪化）した。
＜主な増減理由＞
●CO2排出量
 ・「＊＊＊」が約〇％増えた（減った）ため。
 ・～したため。
●排出量原単位
 ・原単位指標の量である「＊＊」に変動がなかったため、CO2排出量の増減理由に同じ。</t>
    </r>
    <r>
      <rPr>
        <sz val="8.5"/>
        <color rgb="FFFF0000"/>
        <rFont val="ＭＳ 明朝"/>
        <family val="1"/>
        <charset val="128"/>
      </rPr>
      <t xml:space="preserve">
 </t>
    </r>
    <r>
      <rPr>
        <sz val="8.5"/>
        <rFont val="ＭＳ 明朝"/>
        <family val="1"/>
        <charset val="128"/>
      </rPr>
      <t>・原単位指標の量である「＊＊」がCO2排出量以上に増えた（減った）ため。
＜報告対象年度に実施した主な削減対策＞
 ・
 ・
 ・
＜今期の達成見込み＞
 ・</t>
    </r>
    <rPh sb="28" eb="29">
      <t>イマ</t>
    </rPh>
    <rPh sb="29" eb="30">
      <t>ネン</t>
    </rPh>
    <rPh sb="30" eb="31">
      <t>ド</t>
    </rPh>
    <rPh sb="44" eb="45">
      <t>タイ</t>
    </rPh>
    <rPh sb="60" eb="63">
      <t>コンネンド</t>
    </rPh>
    <rPh sb="76" eb="77">
      <t>タイ</t>
    </rPh>
    <rPh sb="166" eb="168">
      <t>ヘンドウ</t>
    </rPh>
    <phoneticPr fontId="4"/>
  </si>
  <si>
    <t xml:space="preserve">＜CO2排出量/排出量原単位の前年度からの増減率＞
  今年度のCO2排出量は、前年度に対して□％減少（増加）した。
　今年度の排出量原単位は、前年度に対して□％改善（悪化）した。
＜主な増減理由＞
●CO2排出量
・「＊＊」が約〇％増えた（減った）ため。
・～したため。
●排出量原単位
・原単位指標の量である「＊＊」の変動がなかったため、CO2排出量の増減理由に同じ。
・原単位指標の量である「＊＊」がCO2排出量以上に増えた（減った）ため。
・～したため。　
＜報告対象年度に実施した主な削減対策＞
・
・
・
＜今期の達成見込み＞
・
</t>
    <rPh sb="28" eb="31">
      <t>コンネンド</t>
    </rPh>
    <rPh sb="44" eb="45">
      <t>タイ</t>
    </rPh>
    <rPh sb="60" eb="63">
      <t>コンネンド</t>
    </rPh>
    <rPh sb="76" eb="77">
      <t>タイ</t>
    </rPh>
    <rPh sb="93" eb="94">
      <t>オモ</t>
    </rPh>
    <rPh sb="95" eb="97">
      <t>ゾウゲン</t>
    </rPh>
    <rPh sb="97" eb="99">
      <t>リユウ</t>
    </rPh>
    <rPh sb="142" eb="145">
      <t>ゲンタンイ</t>
    </rPh>
    <rPh sb="175" eb="177">
      <t>ハイシュツ</t>
    </rPh>
    <rPh sb="177" eb="178">
      <t>リョウ</t>
    </rPh>
    <rPh sb="179" eb="181">
      <t>ゾウゲン</t>
    </rPh>
    <rPh sb="181" eb="183">
      <t>リユウ</t>
    </rPh>
    <rPh sb="184" eb="185">
      <t>オナ</t>
    </rPh>
    <rPh sb="189" eb="192">
      <t>ゲンタンイ</t>
    </rPh>
    <rPh sb="192" eb="194">
      <t>シヒョウ</t>
    </rPh>
    <rPh sb="210" eb="212">
      <t>イジョウ</t>
    </rPh>
    <rPh sb="263" eb="265">
      <t>コンキ</t>
    </rPh>
    <rPh sb="266" eb="268">
      <t>タッセイ</t>
    </rPh>
    <rPh sb="268" eb="270">
      <t>ミコ</t>
    </rPh>
    <phoneticPr fontId="4"/>
  </si>
  <si>
    <t/>
  </si>
  <si>
    <t>大和市</t>
  </si>
  <si>
    <t>小田原市</t>
  </si>
  <si>
    <t>茅ヶ崎市</t>
  </si>
  <si>
    <t>横須賀市</t>
  </si>
  <si>
    <t>綾瀬市</t>
  </si>
  <si>
    <t>座間市</t>
  </si>
  <si>
    <t>藤沢市</t>
  </si>
  <si>
    <t>鎌倉市</t>
  </si>
  <si>
    <t>海老名市</t>
  </si>
  <si>
    <t>逗子市</t>
  </si>
  <si>
    <t>平塚市</t>
  </si>
  <si>
    <t>厚木市</t>
  </si>
  <si>
    <t>秦野市</t>
  </si>
  <si>
    <t>伊勢原市</t>
  </si>
  <si>
    <t>その他</t>
    <phoneticPr fontId="40"/>
  </si>
  <si>
    <t>エネルギー消費原単位</t>
    <phoneticPr fontId="40"/>
  </si>
  <si>
    <t>単位</t>
    <rPh sb="0" eb="2">
      <t>タンイ</t>
    </rPh>
    <phoneticPr fontId="39"/>
  </si>
  <si>
    <t>化石燃料</t>
    <rPh sb="0" eb="2">
      <t>カセキ</t>
    </rPh>
    <phoneticPr fontId="39"/>
  </si>
  <si>
    <t>原油(コンデンセートを除く)</t>
  </si>
  <si>
    <t>ｋＬ</t>
    <phoneticPr fontId="39"/>
  </si>
  <si>
    <t>tC/GJ</t>
  </si>
  <si>
    <t>原油のうちコンデンセート(NGL)</t>
    <rPh sb="0" eb="2">
      <t>ゲンユ</t>
    </rPh>
    <phoneticPr fontId="47"/>
  </si>
  <si>
    <t>揮発油（ガソリン）</t>
    <phoneticPr fontId="39"/>
  </si>
  <si>
    <t>ナフサ</t>
  </si>
  <si>
    <t>ジェット燃料油</t>
    <rPh sb="4" eb="7">
      <t>ネンリョウユ</t>
    </rPh>
    <phoneticPr fontId="4"/>
  </si>
  <si>
    <t>灯油</t>
  </si>
  <si>
    <t>軽油</t>
  </si>
  <si>
    <t>Ａ重油</t>
  </si>
  <si>
    <t>Ｂ・Ｃ重油</t>
  </si>
  <si>
    <t>t</t>
    <phoneticPr fontId="39"/>
  </si>
  <si>
    <t>石油アスファルト</t>
  </si>
  <si>
    <t>石油コークス</t>
  </si>
  <si>
    <t>石油ガス_液化石油ガス(ＬＰＧ)</t>
    <rPh sb="0" eb="2">
      <t>セキユ</t>
    </rPh>
    <phoneticPr fontId="39"/>
  </si>
  <si>
    <t>石油ガス_石油系炭化水素ガス</t>
    <phoneticPr fontId="39"/>
  </si>
  <si>
    <t>可燃性天然ガス_液化天然ガス（ＬＮＧ）</t>
    <phoneticPr fontId="39"/>
  </si>
  <si>
    <t>可燃性天然ガス_その他可燃性天然ガス</t>
    <phoneticPr fontId="39"/>
  </si>
  <si>
    <t>石炭_輸入原料炭</t>
    <rPh sb="0" eb="2">
      <t>セキタン</t>
    </rPh>
    <rPh sb="3" eb="5">
      <t>ユニュウ</t>
    </rPh>
    <phoneticPr fontId="4"/>
  </si>
  <si>
    <t>石炭_コークス用原料炭</t>
    <rPh sb="7" eb="8">
      <t>ヨウ</t>
    </rPh>
    <rPh sb="8" eb="10">
      <t>ゲンリョウ</t>
    </rPh>
    <rPh sb="10" eb="11">
      <t>スミ</t>
    </rPh>
    <phoneticPr fontId="4"/>
  </si>
  <si>
    <t>石炭_吹込用原料炭</t>
    <rPh sb="3" eb="5">
      <t>フキコ</t>
    </rPh>
    <rPh sb="5" eb="6">
      <t>ヨウ</t>
    </rPh>
    <rPh sb="6" eb="8">
      <t>ゲンリョウ</t>
    </rPh>
    <rPh sb="8" eb="9">
      <t>スミ</t>
    </rPh>
    <phoneticPr fontId="4"/>
  </si>
  <si>
    <t>石炭_輸入一般炭</t>
    <rPh sb="3" eb="5">
      <t>ユニュウ</t>
    </rPh>
    <phoneticPr fontId="4"/>
  </si>
  <si>
    <t>石炭_国産一般炭</t>
    <rPh sb="3" eb="5">
      <t>コクサン</t>
    </rPh>
    <rPh sb="5" eb="7">
      <t>イッパン</t>
    </rPh>
    <rPh sb="7" eb="8">
      <t>スミ</t>
    </rPh>
    <phoneticPr fontId="4"/>
  </si>
  <si>
    <t>石炭_輸入無煙炭</t>
    <rPh sb="3" eb="5">
      <t>ユニュウ</t>
    </rPh>
    <phoneticPr fontId="4"/>
  </si>
  <si>
    <t>石炭コークス</t>
  </si>
  <si>
    <t>コールタール</t>
  </si>
  <si>
    <t>コークス炉ガス</t>
  </si>
  <si>
    <t>高炉ガス</t>
  </si>
  <si>
    <t>発電用高炉ガス</t>
    <rPh sb="2" eb="3">
      <t>ヨウ</t>
    </rPh>
    <phoneticPr fontId="4"/>
  </si>
  <si>
    <t>転炉ガス</t>
  </si>
  <si>
    <t>その他の化石燃料</t>
    <rPh sb="2" eb="3">
      <t>タ</t>
    </rPh>
    <rPh sb="4" eb="6">
      <t>カセキ</t>
    </rPh>
    <rPh sb="6" eb="8">
      <t>ネンリョウ</t>
    </rPh>
    <phoneticPr fontId="39"/>
  </si>
  <si>
    <t>非化石燃料</t>
    <rPh sb="0" eb="1">
      <t>ヒ</t>
    </rPh>
    <rPh sb="1" eb="3">
      <t>カセキ</t>
    </rPh>
    <phoneticPr fontId="39"/>
  </si>
  <si>
    <t>黒液</t>
    <rPh sb="0" eb="2">
      <t>クロエキ</t>
    </rPh>
    <phoneticPr fontId="4"/>
  </si>
  <si>
    <t>木材</t>
    <rPh sb="0" eb="2">
      <t>モクザイ</t>
    </rPh>
    <phoneticPr fontId="4"/>
  </si>
  <si>
    <t>木質廃材</t>
    <rPh sb="0" eb="4">
      <t>モクシツハイザイ</t>
    </rPh>
    <phoneticPr fontId="4"/>
  </si>
  <si>
    <t>バイオエタノール</t>
  </si>
  <si>
    <t>バイオディーゼル</t>
  </si>
  <si>
    <t>バイオガス</t>
  </si>
  <si>
    <t>その他バイオマス</t>
    <rPh sb="2" eb="3">
      <t>タ</t>
    </rPh>
    <phoneticPr fontId="4"/>
  </si>
  <si>
    <t>RDF</t>
  </si>
  <si>
    <t>RPF</t>
  </si>
  <si>
    <t>廃タイヤ</t>
    <rPh sb="0" eb="1">
      <t>ハイ</t>
    </rPh>
    <phoneticPr fontId="4"/>
  </si>
  <si>
    <t>廃プラスチック（一般廃棄物）</t>
    <rPh sb="0" eb="1">
      <t>ハイ</t>
    </rPh>
    <rPh sb="8" eb="13">
      <t>イッパンハイキブツ</t>
    </rPh>
    <phoneticPr fontId="4"/>
  </si>
  <si>
    <t>廃プラスチック（産業廃棄物）</t>
    <rPh sb="0" eb="1">
      <t>ハイ</t>
    </rPh>
    <rPh sb="8" eb="13">
      <t>サンギョウハイキブツ</t>
    </rPh>
    <phoneticPr fontId="4"/>
  </si>
  <si>
    <t>廃油</t>
    <rPh sb="0" eb="2">
      <t>ハイユ</t>
    </rPh>
    <phoneticPr fontId="4"/>
  </si>
  <si>
    <t>廃棄物ガス</t>
    <rPh sb="0" eb="3">
      <t>ハイキブツ</t>
    </rPh>
    <phoneticPr fontId="4"/>
  </si>
  <si>
    <t>混合廃材</t>
    <rPh sb="0" eb="4">
      <t>コンゴウハイザイ</t>
    </rPh>
    <phoneticPr fontId="4"/>
  </si>
  <si>
    <t>水素</t>
    <rPh sb="0" eb="2">
      <t>スイソ</t>
    </rPh>
    <phoneticPr fontId="4"/>
  </si>
  <si>
    <t>アンモニア</t>
  </si>
  <si>
    <t>その他の非化石燃料1</t>
    <rPh sb="2" eb="3">
      <t>タ</t>
    </rPh>
    <rPh sb="4" eb="5">
      <t>ヒ</t>
    </rPh>
    <rPh sb="5" eb="7">
      <t>カセキ</t>
    </rPh>
    <rPh sb="7" eb="9">
      <t>ネンリョウ</t>
    </rPh>
    <phoneticPr fontId="39"/>
  </si>
  <si>
    <t>他者から購入した熱</t>
    <rPh sb="0" eb="2">
      <t>タシャ</t>
    </rPh>
    <rPh sb="4" eb="6">
      <t>コウニュウ</t>
    </rPh>
    <rPh sb="8" eb="9">
      <t>ネツ</t>
    </rPh>
    <phoneticPr fontId="39"/>
  </si>
  <si>
    <t>産業用蒸気</t>
    <rPh sb="0" eb="3">
      <t>サンギョウヨウ</t>
    </rPh>
    <rPh sb="3" eb="5">
      <t>ジョウキ</t>
    </rPh>
    <phoneticPr fontId="47"/>
  </si>
  <si>
    <t>その他の購入熱</t>
    <rPh sb="2" eb="3">
      <t>タ</t>
    </rPh>
    <rPh sb="4" eb="6">
      <t>コウニュウ</t>
    </rPh>
    <rPh sb="6" eb="7">
      <t>ネツ</t>
    </rPh>
    <phoneticPr fontId="39"/>
  </si>
  <si>
    <t>その他使用した熱</t>
    <rPh sb="3" eb="5">
      <t>シヨウ</t>
    </rPh>
    <rPh sb="7" eb="8">
      <t>ネツ</t>
    </rPh>
    <phoneticPr fontId="39"/>
  </si>
  <si>
    <t>地熱</t>
    <rPh sb="0" eb="2">
      <t>チネツ</t>
    </rPh>
    <phoneticPr fontId="39"/>
  </si>
  <si>
    <t>温泉熱</t>
    <rPh sb="0" eb="2">
      <t>オンセン</t>
    </rPh>
    <rPh sb="2" eb="3">
      <t>ネツ</t>
    </rPh>
    <phoneticPr fontId="39"/>
  </si>
  <si>
    <t>太陽熱</t>
    <rPh sb="0" eb="3">
      <t>タイヨウネツ</t>
    </rPh>
    <phoneticPr fontId="39"/>
  </si>
  <si>
    <t>雪氷熱</t>
    <rPh sb="0" eb="1">
      <t>ユキ</t>
    </rPh>
    <rPh sb="1" eb="2">
      <t>コオリ</t>
    </rPh>
    <rPh sb="2" eb="3">
      <t>ネツ</t>
    </rPh>
    <phoneticPr fontId="39"/>
  </si>
  <si>
    <t>その他の熱2</t>
    <rPh sb="2" eb="3">
      <t>タ</t>
    </rPh>
    <rPh sb="4" eb="5">
      <t>ネツ</t>
    </rPh>
    <phoneticPr fontId="39"/>
  </si>
  <si>
    <t>電気事業者からの買電</t>
    <rPh sb="0" eb="2">
      <t>デンキ</t>
    </rPh>
    <rPh sb="8" eb="10">
      <t>カイデン</t>
    </rPh>
    <phoneticPr fontId="47"/>
  </si>
  <si>
    <t>上記以外の買電</t>
    <rPh sb="0" eb="2">
      <t>ジョウキ</t>
    </rPh>
    <rPh sb="2" eb="4">
      <t>イガイ</t>
    </rPh>
    <rPh sb="5" eb="7">
      <t>カイデン</t>
    </rPh>
    <phoneticPr fontId="39"/>
  </si>
  <si>
    <t>オフサイト型ＰＰＡ</t>
    <rPh sb="5" eb="6">
      <t>ガタ</t>
    </rPh>
    <phoneticPr fontId="39"/>
  </si>
  <si>
    <t>自己託送_非燃料由来の非化石電気</t>
    <rPh sb="0" eb="2">
      <t>ジコ</t>
    </rPh>
    <rPh sb="2" eb="4">
      <t>タクソウ</t>
    </rPh>
    <phoneticPr fontId="39"/>
  </si>
  <si>
    <t>上記以外の自己託送</t>
    <rPh sb="0" eb="2">
      <t>ジョウキ</t>
    </rPh>
    <rPh sb="2" eb="4">
      <t>イガイ</t>
    </rPh>
    <rPh sb="5" eb="7">
      <t>ジコ</t>
    </rPh>
    <rPh sb="7" eb="9">
      <t>タクソウ</t>
    </rPh>
    <phoneticPr fontId="39"/>
  </si>
  <si>
    <t>その他の買電</t>
    <rPh sb="2" eb="3">
      <t>タ</t>
    </rPh>
    <rPh sb="4" eb="6">
      <t>カイデン</t>
    </rPh>
    <phoneticPr fontId="39"/>
  </si>
  <si>
    <t>自家発電</t>
    <rPh sb="0" eb="2">
      <t>ジカ</t>
    </rPh>
    <rPh sb="2" eb="4">
      <t>ハツデン</t>
    </rPh>
    <phoneticPr fontId="4"/>
  </si>
  <si>
    <t>その他の燃料(化石)</t>
    <rPh sb="4" eb="6">
      <t>ネンリョウ</t>
    </rPh>
    <rPh sb="7" eb="9">
      <t>カセキ</t>
    </rPh>
    <phoneticPr fontId="39"/>
  </si>
  <si>
    <t>a</t>
    <phoneticPr fontId="39"/>
  </si>
  <si>
    <t>その他の燃料(非化石)</t>
    <rPh sb="4" eb="6">
      <t>ネンリョウ</t>
    </rPh>
    <rPh sb="7" eb="8">
      <t>ヒ</t>
    </rPh>
    <rPh sb="8" eb="10">
      <t>カセキ</t>
    </rPh>
    <phoneticPr fontId="39"/>
  </si>
  <si>
    <t>b</t>
    <phoneticPr fontId="39"/>
  </si>
  <si>
    <t>その他の熱(化石)</t>
    <rPh sb="4" eb="5">
      <t>ネツ</t>
    </rPh>
    <rPh sb="6" eb="8">
      <t>カセキ</t>
    </rPh>
    <phoneticPr fontId="39"/>
  </si>
  <si>
    <t>c</t>
    <phoneticPr fontId="39"/>
  </si>
  <si>
    <t>その他の熱(非化石)</t>
    <rPh sb="4" eb="5">
      <t>ネツ</t>
    </rPh>
    <rPh sb="6" eb="7">
      <t>ヒ</t>
    </rPh>
    <rPh sb="7" eb="9">
      <t>カセキ</t>
    </rPh>
    <phoneticPr fontId="39"/>
  </si>
  <si>
    <t>d</t>
    <phoneticPr fontId="39"/>
  </si>
  <si>
    <t>燃料</t>
    <rPh sb="0" eb="2">
      <t>ネンリョウ</t>
    </rPh>
    <phoneticPr fontId="39"/>
  </si>
  <si>
    <t>熱</t>
    <rPh sb="0" eb="1">
      <t>ネツ</t>
    </rPh>
    <phoneticPr fontId="39"/>
  </si>
  <si>
    <t>電気</t>
    <rPh sb="0" eb="2">
      <t>デンキ</t>
    </rPh>
    <phoneticPr fontId="39"/>
  </si>
  <si>
    <t>台</t>
    <rPh sb="0" eb="1">
      <t>ダイ</t>
    </rPh>
    <phoneticPr fontId="39"/>
  </si>
  <si>
    <t>e</t>
    <phoneticPr fontId="39"/>
  </si>
  <si>
    <t>g</t>
    <phoneticPr fontId="39"/>
  </si>
  <si>
    <t>h</t>
    <phoneticPr fontId="39"/>
  </si>
  <si>
    <t>i</t>
    <phoneticPr fontId="39"/>
  </si>
  <si>
    <t>k</t>
    <phoneticPr fontId="39"/>
  </si>
  <si>
    <t>m</t>
    <phoneticPr fontId="39"/>
  </si>
  <si>
    <t>n</t>
    <phoneticPr fontId="39"/>
  </si>
  <si>
    <t>o</t>
    <phoneticPr fontId="39"/>
  </si>
  <si>
    <t>p</t>
    <phoneticPr fontId="39"/>
  </si>
  <si>
    <t>t-CO2</t>
  </si>
  <si>
    <t>オフセット・クレジット</t>
    <phoneticPr fontId="40"/>
  </si>
  <si>
    <t>再エネ電力由来</t>
    <rPh sb="0" eb="1">
      <t>サイ</t>
    </rPh>
    <rPh sb="3" eb="5">
      <t>デンリョク</t>
    </rPh>
    <rPh sb="5" eb="7">
      <t>ユライ</t>
    </rPh>
    <phoneticPr fontId="40"/>
  </si>
  <si>
    <t>kWh</t>
  </si>
  <si>
    <t>再エネ熱由来</t>
    <rPh sb="0" eb="1">
      <t>サイ</t>
    </rPh>
    <rPh sb="3" eb="4">
      <t>ネツ</t>
    </rPh>
    <rPh sb="4" eb="6">
      <t>ユライ</t>
    </rPh>
    <phoneticPr fontId="40"/>
  </si>
  <si>
    <t>その他</t>
    <rPh sb="2" eb="3">
      <t>タ</t>
    </rPh>
    <phoneticPr fontId="40"/>
  </si>
  <si>
    <t>FIT非化石証書</t>
    <phoneticPr fontId="40"/>
  </si>
  <si>
    <t>法人・団体名</t>
  </si>
  <si>
    <t>事業者の住所又は主たる事務所の所在地</t>
  </si>
  <si>
    <t>区域</t>
    <rPh sb="0" eb="2">
      <t>クイキ</t>
    </rPh>
    <phoneticPr fontId="39"/>
  </si>
  <si>
    <t>事業所数</t>
    <rPh sb="0" eb="2">
      <t>ジギョウ</t>
    </rPh>
    <rPh sb="2" eb="3">
      <t>ショ</t>
    </rPh>
    <rPh sb="3" eb="4">
      <t>スウ</t>
    </rPh>
    <phoneticPr fontId="40"/>
  </si>
  <si>
    <t>事業所名</t>
    <rPh sb="0" eb="2">
      <t>ジギョウ</t>
    </rPh>
    <rPh sb="2" eb="3">
      <t>ショ</t>
    </rPh>
    <rPh sb="3" eb="4">
      <t>メイ</t>
    </rPh>
    <phoneticPr fontId="39"/>
  </si>
  <si>
    <t>・エネルギーの種類は、省エネ法定期報告・温対法ＳＨＫ制度に準じる</t>
  </si>
  <si>
    <t>所在地</t>
    <rPh sb="0" eb="3">
      <t>ショザイチ</t>
    </rPh>
    <phoneticPr fontId="39"/>
  </si>
  <si>
    <t>単位発熱量</t>
  </si>
  <si>
    <t>排出係数</t>
  </si>
  <si>
    <t>使用量</t>
    <rPh sb="0" eb="3">
      <t>シヨウリョウ</t>
    </rPh>
    <phoneticPr fontId="36"/>
  </si>
  <si>
    <t>外部供給</t>
    <rPh sb="0" eb="2">
      <t>ガイブ</t>
    </rPh>
    <rPh sb="2" eb="4">
      <t>キョウキュウ</t>
    </rPh>
    <phoneticPr fontId="40"/>
  </si>
  <si>
    <t>副生エネルギー</t>
    <rPh sb="0" eb="2">
      <t>フクセイ</t>
    </rPh>
    <phoneticPr fontId="40"/>
  </si>
  <si>
    <t>未利用熱</t>
    <rPh sb="0" eb="3">
      <t>ミリヨウ</t>
    </rPh>
    <rPh sb="3" eb="4">
      <t>ネツ</t>
    </rPh>
    <phoneticPr fontId="36"/>
  </si>
  <si>
    <t>kl</t>
  </si>
  <si>
    <t>揮発油</t>
  </si>
  <si>
    <t>ｔ</t>
  </si>
  <si>
    <t>石油ガス</t>
  </si>
  <si>
    <t>千m3</t>
  </si>
  <si>
    <t>その他可燃性天然ガス</t>
  </si>
  <si>
    <t>都市ガス</t>
  </si>
  <si>
    <t>その他バイオマス</t>
    <rPh sb="2" eb="3">
      <t>タ</t>
    </rPh>
    <phoneticPr fontId="36"/>
  </si>
  <si>
    <t>GJ</t>
  </si>
  <si>
    <t>千kWh</t>
    <rPh sb="0" eb="1">
      <t>セン</t>
    </rPh>
    <phoneticPr fontId="37"/>
  </si>
  <si>
    <t>kW</t>
  </si>
  <si>
    <t>供給事業者名</t>
  </si>
  <si>
    <t>調整後排出係数</t>
  </si>
  <si>
    <t>国内認証排出削減量</t>
    <rPh sb="4" eb="6">
      <t>ハイシュツ</t>
    </rPh>
    <rPh sb="6" eb="8">
      <t>サクゲン</t>
    </rPh>
    <rPh sb="8" eb="9">
      <t>リョウ</t>
    </rPh>
    <phoneticPr fontId="40"/>
  </si>
  <si>
    <t>国内クレジット</t>
    <phoneticPr fontId="40"/>
  </si>
  <si>
    <t>Ｊ－クレジット</t>
    <phoneticPr fontId="40"/>
  </si>
  <si>
    <t>再エネ電力由来(kWh)</t>
  </si>
  <si>
    <t>グリーンエネルギーCO2削減相当量</t>
    <phoneticPr fontId="40"/>
  </si>
  <si>
    <t>海外認証排出削減量（ＪＣＭクレジット）</t>
    <rPh sb="4" eb="6">
      <t>ハイシュツ</t>
    </rPh>
    <rPh sb="6" eb="8">
      <t>サクゲン</t>
    </rPh>
    <rPh sb="8" eb="9">
      <t>リョウ</t>
    </rPh>
    <phoneticPr fontId="40"/>
  </si>
  <si>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5"/>
  </si>
  <si>
    <t>FIT非化石証書</t>
  </si>
  <si>
    <t>非FIT非化石証書（再エネ指定あり）</t>
  </si>
  <si>
    <t>非FIT非化石証書（再エネ指定なし）</t>
  </si>
  <si>
    <t>単位発熱量</t>
    <rPh sb="0" eb="2">
      <t>タンイ</t>
    </rPh>
    <rPh sb="2" eb="4">
      <t>ハツネツ</t>
    </rPh>
    <rPh sb="4" eb="5">
      <t>リョウ</t>
    </rPh>
    <phoneticPr fontId="4"/>
  </si>
  <si>
    <t>その他の非燃料由来の非化石2</t>
  </si>
  <si>
    <t>-</t>
    <phoneticPr fontId="39"/>
  </si>
  <si>
    <t>A</t>
    <phoneticPr fontId="39"/>
  </si>
  <si>
    <t>参考</t>
    <rPh sb="0" eb="2">
      <t>サンコウ</t>
    </rPh>
    <phoneticPr fontId="39"/>
  </si>
  <si>
    <t>原油換算エネルギー使用量計算表</t>
    <rPh sb="0" eb="4">
      <t>ゲンユカンサン</t>
    </rPh>
    <rPh sb="9" eb="12">
      <t>シヨウリョウ</t>
    </rPh>
    <rPh sb="12" eb="14">
      <t>ケイサン</t>
    </rPh>
    <rPh sb="14" eb="15">
      <t>ヒョウ</t>
    </rPh>
    <phoneticPr fontId="39"/>
  </si>
  <si>
    <t>エネルギー起源二酸化炭素排出量計算表</t>
    <rPh sb="5" eb="7">
      <t>キゲン</t>
    </rPh>
    <rPh sb="7" eb="10">
      <t>ニサンカ</t>
    </rPh>
    <rPh sb="10" eb="12">
      <t>タンソ</t>
    </rPh>
    <rPh sb="12" eb="14">
      <t>ハイシュツ</t>
    </rPh>
    <rPh sb="14" eb="15">
      <t>リョウ</t>
    </rPh>
    <rPh sb="15" eb="17">
      <t>ケイサン</t>
    </rPh>
    <rPh sb="17" eb="18">
      <t>ヒョウ</t>
    </rPh>
    <phoneticPr fontId="39"/>
  </si>
  <si>
    <t>コピーデータ貼付けシート（2025年度提出用）</t>
    <rPh sb="6" eb="8">
      <t>ハリツ</t>
    </rPh>
    <rPh sb="17" eb="19">
      <t>ネンド</t>
    </rPh>
    <rPh sb="19" eb="21">
      <t>テイシュツ</t>
    </rPh>
    <rPh sb="21" eb="22">
      <t>ヨウ</t>
    </rPh>
    <phoneticPr fontId="39"/>
  </si>
  <si>
    <t>手順④　「工場等の名称」が過年度と一致しているか確認してください。</t>
    <rPh sb="0" eb="2">
      <t>テジュン</t>
    </rPh>
    <phoneticPr fontId="39"/>
  </si>
  <si>
    <t>手順①</t>
    <rPh sb="0" eb="2">
      <t>テジュン</t>
    </rPh>
    <phoneticPr fontId="40"/>
  </si>
  <si>
    <t>Ｂ９セルに2024年度排出量実績を貼付けてください。</t>
    <phoneticPr fontId="39"/>
  </si>
  <si>
    <t>また、複数の原単位指標を設定している場合、過年度と不一致のセル（要修正）がないか確認してください。</t>
    <phoneticPr fontId="39"/>
  </si>
  <si>
    <t>手順②</t>
    <rPh sb="0" eb="2">
      <t>テジュン</t>
    </rPh>
    <phoneticPr fontId="40"/>
  </si>
  <si>
    <t>※排出量管理システムから出力されたデータを利用する場合、「工場等の名称」により、データを判別しています。</t>
    <rPh sb="1" eb="6">
      <t>ハイシュツリョウカンリ</t>
    </rPh>
    <rPh sb="12" eb="14">
      <t>シュツリョク</t>
    </rPh>
    <rPh sb="21" eb="23">
      <t>リヨウ</t>
    </rPh>
    <rPh sb="25" eb="27">
      <t>バアイ</t>
    </rPh>
    <phoneticPr fontId="39"/>
  </si>
  <si>
    <t>手順③</t>
    <rPh sb="0" eb="2">
      <t>テジュン</t>
    </rPh>
    <phoneticPr fontId="40"/>
  </si>
  <si>
    <t>　①工場等の名称が変更になった場合は、過年度と同じ工場等Noとなるようにプルダウンで並び替えてください。</t>
    <rPh sb="2" eb="4">
      <t>コウジョウ</t>
    </rPh>
    <rPh sb="4" eb="5">
      <t>トウ</t>
    </rPh>
    <phoneticPr fontId="39"/>
  </si>
  <si>
    <t>手順④</t>
    <rPh sb="0" eb="2">
      <t>テジュン</t>
    </rPh>
    <phoneticPr fontId="40"/>
  </si>
  <si>
    <t>※原単位指標は、計画期間中は、原則変更不可のため、「要修正」又は「要入力」が表示されている場合は、当該セルを修正してください。</t>
    <rPh sb="1" eb="4">
      <t>ゲンタンイ</t>
    </rPh>
    <rPh sb="4" eb="6">
      <t>シヒョウ</t>
    </rPh>
    <rPh sb="8" eb="10">
      <t>ケイカク</t>
    </rPh>
    <rPh sb="10" eb="13">
      <t>キカンチュウ</t>
    </rPh>
    <rPh sb="15" eb="17">
      <t>ゲンソク</t>
    </rPh>
    <rPh sb="17" eb="19">
      <t>ヘンコウ</t>
    </rPh>
    <rPh sb="19" eb="21">
      <t>フカ</t>
    </rPh>
    <rPh sb="26" eb="27">
      <t>ヨウ</t>
    </rPh>
    <rPh sb="27" eb="29">
      <t>シュウセイ</t>
    </rPh>
    <rPh sb="30" eb="31">
      <t>マタ</t>
    </rPh>
    <rPh sb="33" eb="34">
      <t>ヨウ</t>
    </rPh>
    <rPh sb="34" eb="36">
      <t>ニュウリョク</t>
    </rPh>
    <rPh sb="38" eb="40">
      <t>ヒョウジ</t>
    </rPh>
    <rPh sb="45" eb="47">
      <t>バアイ</t>
    </rPh>
    <rPh sb="49" eb="51">
      <t>トウガイ</t>
    </rPh>
    <rPh sb="54" eb="56">
      <t>シュウセイ</t>
    </rPh>
    <phoneticPr fontId="39"/>
  </si>
  <si>
    <t>２　工場等の名称確認用</t>
    <rPh sb="2" eb="4">
      <t>コウジョウ</t>
    </rPh>
    <rPh sb="4" eb="5">
      <t>トウ</t>
    </rPh>
    <rPh sb="6" eb="8">
      <t>メイショウ</t>
    </rPh>
    <rPh sb="8" eb="10">
      <t>カクニン</t>
    </rPh>
    <rPh sb="10" eb="11">
      <t>ヨウ</t>
    </rPh>
    <phoneticPr fontId="39"/>
  </si>
  <si>
    <t>↓オレンジ色のセルに2024年度実績データを「値のみ貼り付け」てください（Ctrl+Alt+V→V→Enter）</t>
    <rPh sb="5" eb="6">
      <t>イロ</t>
    </rPh>
    <rPh sb="14" eb="16">
      <t>ネンド</t>
    </rPh>
    <rPh sb="16" eb="18">
      <t>ジッセキ</t>
    </rPh>
    <rPh sb="23" eb="24">
      <t>アタイ</t>
    </rPh>
    <rPh sb="26" eb="27">
      <t>ハ</t>
    </rPh>
    <rPh sb="28" eb="29">
      <t>ツ</t>
    </rPh>
    <phoneticPr fontId="39"/>
  </si>
  <si>
    <t>Ｎｏ</t>
    <phoneticPr fontId="39"/>
  </si>
  <si>
    <t>エネルギー管理指定工場等</t>
    <rPh sb="5" eb="12">
      <t>カンリシテイコウジョウトウ</t>
    </rPh>
    <phoneticPr fontId="39"/>
  </si>
  <si>
    <t>県域</t>
    <rPh sb="0" eb="2">
      <t>ケンイキ</t>
    </rPh>
    <phoneticPr fontId="39"/>
  </si>
  <si>
    <t>横浜</t>
    <rPh sb="0" eb="2">
      <t>ヨコハマ</t>
    </rPh>
    <phoneticPr fontId="39"/>
  </si>
  <si>
    <t>川崎</t>
    <rPh sb="0" eb="2">
      <t>カワサキ</t>
    </rPh>
    <phoneticPr fontId="39"/>
  </si>
  <si>
    <t>【非表示】参照セル(事業所名）</t>
    <rPh sb="1" eb="4">
      <t>ヒヒョウジ</t>
    </rPh>
    <rPh sb="5" eb="7">
      <t>サンショウ</t>
    </rPh>
    <rPh sb="10" eb="12">
      <t>ジギョウ</t>
    </rPh>
    <rPh sb="12" eb="13">
      <t>ショ</t>
    </rPh>
    <rPh sb="13" eb="14">
      <t>メイ</t>
    </rPh>
    <phoneticPr fontId="39"/>
  </si>
  <si>
    <t>報告対象年度2024年度</t>
  </si>
  <si>
    <t>原単位に単一の指標を設定する場合</t>
    <rPh sb="4" eb="6">
      <t>タンイツ</t>
    </rPh>
    <rPh sb="7" eb="9">
      <t>シヒョウ</t>
    </rPh>
    <rPh sb="10" eb="12">
      <t>セッテイ</t>
    </rPh>
    <rPh sb="14" eb="16">
      <t>バアイ</t>
    </rPh>
    <phoneticPr fontId="39"/>
  </si>
  <si>
    <t>全県</t>
    <rPh sb="0" eb="2">
      <t>ゼンケン</t>
    </rPh>
    <phoneticPr fontId="39"/>
  </si>
  <si>
    <t>過年度
名称</t>
    <rPh sb="0" eb="3">
      <t>カネンド</t>
    </rPh>
    <rPh sb="4" eb="6">
      <t>メイショウ</t>
    </rPh>
    <phoneticPr fontId="39"/>
  </si>
  <si>
    <t>修正が必要な原単位指標</t>
    <rPh sb="0" eb="2">
      <t>シュウセイ</t>
    </rPh>
    <rPh sb="3" eb="5">
      <t>ヒツヨウ</t>
    </rPh>
    <rPh sb="6" eb="9">
      <t>ゲンタンイ</t>
    </rPh>
    <rPh sb="9" eb="11">
      <t>シヒョウ</t>
    </rPh>
    <phoneticPr fontId="39"/>
  </si>
  <si>
    <t>指定工場等</t>
    <rPh sb="0" eb="2">
      <t>シテイ</t>
    </rPh>
    <rPh sb="2" eb="4">
      <t>コウジョウ</t>
    </rPh>
    <rPh sb="4" eb="5">
      <t>トウ</t>
    </rPh>
    <phoneticPr fontId="39"/>
  </si>
  <si>
    <t>原単位分母の名称</t>
    <rPh sb="0" eb="3">
      <t>ゲンタンイ</t>
    </rPh>
    <rPh sb="3" eb="5">
      <t>ブンボ</t>
    </rPh>
    <rPh sb="6" eb="8">
      <t>メイショウ</t>
    </rPh>
    <phoneticPr fontId="51"/>
  </si>
  <si>
    <t>原単位分母の名称</t>
    <rPh sb="0" eb="3">
      <t>ゲンタンイ</t>
    </rPh>
    <rPh sb="3" eb="5">
      <t>ブンボ</t>
    </rPh>
    <rPh sb="6" eb="8">
      <t>メイショウ</t>
    </rPh>
    <phoneticPr fontId="46"/>
  </si>
  <si>
    <t>原単位分母の単位</t>
    <rPh sb="0" eb="3">
      <t>ゲンタンイ</t>
    </rPh>
    <rPh sb="3" eb="5">
      <t>ブンボ</t>
    </rPh>
    <rPh sb="6" eb="8">
      <t>タンイ</t>
    </rPh>
    <phoneticPr fontId="51"/>
  </si>
  <si>
    <t>原単位分母の単位</t>
    <rPh sb="0" eb="3">
      <t>ゲンタンイ</t>
    </rPh>
    <rPh sb="3" eb="5">
      <t>ブンボ</t>
    </rPh>
    <rPh sb="6" eb="8">
      <t>タンイ</t>
    </rPh>
    <phoneticPr fontId="46"/>
  </si>
  <si>
    <t>原単位分母の値</t>
    <rPh sb="0" eb="3">
      <t>ゲンタンイ</t>
    </rPh>
    <rPh sb="3" eb="5">
      <t>ブンボ</t>
    </rPh>
    <rPh sb="6" eb="7">
      <t>アタイ</t>
    </rPh>
    <phoneticPr fontId="39"/>
  </si>
  <si>
    <t>横浜1</t>
    <rPh sb="0" eb="2">
      <t>ヨコハマ</t>
    </rPh>
    <phoneticPr fontId="51"/>
  </si>
  <si>
    <t>横浜3</t>
    <rPh sb="0" eb="2">
      <t>ヨコハマ</t>
    </rPh>
    <phoneticPr fontId="51"/>
  </si>
  <si>
    <t>県域1</t>
    <rPh sb="0" eb="2">
      <t>ケンイキ</t>
    </rPh>
    <phoneticPr fontId="51"/>
  </si>
  <si>
    <t>県域2</t>
    <rPh sb="0" eb="2">
      <t>ケンイキ</t>
    </rPh>
    <phoneticPr fontId="51"/>
  </si>
  <si>
    <t>県域3</t>
    <rPh sb="0" eb="2">
      <t>ケンイキ</t>
    </rPh>
    <phoneticPr fontId="51"/>
  </si>
  <si>
    <t>エネルギー管理指定工場等1</t>
  </si>
  <si>
    <t>エネルギー管理指定工場等2</t>
  </si>
  <si>
    <t>エネルギー管理指定工場等3</t>
  </si>
  <si>
    <t>エネルギー管理指定工場等4</t>
  </si>
  <si>
    <t>エネルギー管理指定工場等5</t>
  </si>
  <si>
    <t>エネルギー管理指定工場等6</t>
  </si>
  <si>
    <t>エネルギー管理指定工場等7</t>
  </si>
  <si>
    <t>エネルギー管理指定工場等8</t>
  </si>
  <si>
    <t>エネルギー管理指定工場等9</t>
  </si>
  <si>
    <t>エネルギー管理指定工場等10</t>
  </si>
  <si>
    <t>県域4</t>
    <rPh sb="0" eb="2">
      <t>ケンイキ</t>
    </rPh>
    <phoneticPr fontId="36"/>
  </si>
  <si>
    <t>県域5</t>
    <rPh sb="0" eb="2">
      <t>ケンイキ</t>
    </rPh>
    <phoneticPr fontId="36"/>
  </si>
  <si>
    <t>県域6</t>
    <rPh sb="0" eb="2">
      <t>ケンイキ</t>
    </rPh>
    <phoneticPr fontId="36"/>
  </si>
  <si>
    <t>県域7</t>
    <rPh sb="0" eb="2">
      <t>ケンイキ</t>
    </rPh>
    <phoneticPr fontId="36"/>
  </si>
  <si>
    <t>県域8</t>
    <rPh sb="0" eb="2">
      <t>ケンイキ</t>
    </rPh>
    <phoneticPr fontId="36"/>
  </si>
  <si>
    <t>県域9</t>
    <rPh sb="0" eb="2">
      <t>ケンイキ</t>
    </rPh>
    <phoneticPr fontId="36"/>
  </si>
  <si>
    <t>県域10</t>
    <rPh sb="0" eb="2">
      <t>ケンイキ</t>
    </rPh>
    <phoneticPr fontId="36"/>
  </si>
  <si>
    <t>横浜3</t>
    <rPh sb="0" eb="2">
      <t>ヨコハマ</t>
    </rPh>
    <phoneticPr fontId="36"/>
  </si>
  <si>
    <t>横浜4</t>
    <rPh sb="0" eb="2">
      <t>ヨコハマ</t>
    </rPh>
    <phoneticPr fontId="36"/>
  </si>
  <si>
    <t>横浜5</t>
    <rPh sb="0" eb="2">
      <t>ヨコハマ</t>
    </rPh>
    <phoneticPr fontId="36"/>
  </si>
  <si>
    <t>横浜6</t>
    <rPh sb="0" eb="2">
      <t>ヨコハマ</t>
    </rPh>
    <phoneticPr fontId="36"/>
  </si>
  <si>
    <t>横浜7</t>
    <rPh sb="0" eb="2">
      <t>ヨコハマ</t>
    </rPh>
    <phoneticPr fontId="36"/>
  </si>
  <si>
    <t>横浜8</t>
    <rPh sb="0" eb="2">
      <t>ヨコハマ</t>
    </rPh>
    <phoneticPr fontId="36"/>
  </si>
  <si>
    <t>横浜9</t>
    <rPh sb="0" eb="2">
      <t>ヨコハマ</t>
    </rPh>
    <phoneticPr fontId="36"/>
  </si>
  <si>
    <t>横浜10</t>
    <rPh sb="0" eb="1">
      <t>ヨコ</t>
    </rPh>
    <rPh sb="1" eb="2">
      <t>ハマ</t>
    </rPh>
    <phoneticPr fontId="36"/>
  </si>
  <si>
    <t>川崎1</t>
    <rPh sb="0" eb="2">
      <t>カワサキ</t>
    </rPh>
    <phoneticPr fontId="36"/>
  </si>
  <si>
    <t>川崎2</t>
    <rPh sb="0" eb="2">
      <t>カワサキ</t>
    </rPh>
    <phoneticPr fontId="36"/>
  </si>
  <si>
    <t>川崎3</t>
    <rPh sb="0" eb="2">
      <t>カワサキ</t>
    </rPh>
    <phoneticPr fontId="36"/>
  </si>
  <si>
    <t>川崎6</t>
    <rPh sb="0" eb="2">
      <t>カワサキ</t>
    </rPh>
    <phoneticPr fontId="36"/>
  </si>
  <si>
    <t>川崎7</t>
    <rPh sb="0" eb="2">
      <t>カワサキ</t>
    </rPh>
    <phoneticPr fontId="36"/>
  </si>
  <si>
    <t>川崎8</t>
    <rPh sb="0" eb="2">
      <t>カワサキ</t>
    </rPh>
    <phoneticPr fontId="36"/>
  </si>
  <si>
    <t>川崎9</t>
    <rPh sb="0" eb="2">
      <t>カワサキ</t>
    </rPh>
    <phoneticPr fontId="36"/>
  </si>
  <si>
    <t>川崎10</t>
    <rPh sb="0" eb="2">
      <t>カワサキ</t>
    </rPh>
    <phoneticPr fontId="36"/>
  </si>
  <si>
    <t>川崎11</t>
    <rPh sb="0" eb="2">
      <t>カワサキ</t>
    </rPh>
    <phoneticPr fontId="36"/>
  </si>
  <si>
    <t>川崎12</t>
    <rPh sb="0" eb="2">
      <t>カワサキ</t>
    </rPh>
    <phoneticPr fontId="36"/>
  </si>
  <si>
    <t>川崎13</t>
    <rPh sb="0" eb="2">
      <t>カワサキ</t>
    </rPh>
    <phoneticPr fontId="36"/>
  </si>
  <si>
    <t>川崎14</t>
    <rPh sb="0" eb="2">
      <t>カワサキ</t>
    </rPh>
    <phoneticPr fontId="36"/>
  </si>
  <si>
    <t>川崎15</t>
    <rPh sb="0" eb="2">
      <t>カワサキ</t>
    </rPh>
    <phoneticPr fontId="36"/>
  </si>
  <si>
    <t>川崎16</t>
    <rPh sb="0" eb="2">
      <t>カワサキ</t>
    </rPh>
    <phoneticPr fontId="36"/>
  </si>
  <si>
    <t>川崎17</t>
    <rPh sb="0" eb="2">
      <t>カワサキ</t>
    </rPh>
    <phoneticPr fontId="36"/>
  </si>
  <si>
    <t>川崎18</t>
    <rPh sb="0" eb="2">
      <t>カワサキ</t>
    </rPh>
    <phoneticPr fontId="36"/>
  </si>
  <si>
    <t>川崎19</t>
    <rPh sb="0" eb="2">
      <t>カワサキ</t>
    </rPh>
    <phoneticPr fontId="36"/>
  </si>
  <si>
    <t>川崎20</t>
    <rPh sb="0" eb="2">
      <t>カワサキ</t>
    </rPh>
    <phoneticPr fontId="36"/>
  </si>
  <si>
    <t>原油換算エネルギー使用量</t>
    <rPh sb="0" eb="4">
      <t>ゲンユカンザン</t>
    </rPh>
    <rPh sb="9" eb="12">
      <t>シヨウリョウ</t>
    </rPh>
    <phoneticPr fontId="39"/>
  </si>
  <si>
    <t>kL</t>
    <phoneticPr fontId="39"/>
  </si>
  <si>
    <t>排出量(基礎）</t>
    <rPh sb="0" eb="2">
      <t>ハイシュツ</t>
    </rPh>
    <rPh sb="2" eb="3">
      <t>リョウ</t>
    </rPh>
    <rPh sb="4" eb="6">
      <t>キソ</t>
    </rPh>
    <phoneticPr fontId="39"/>
  </si>
  <si>
    <t>t-CO2</t>
    <phoneticPr fontId="39"/>
  </si>
  <si>
    <t>エネルギーの種類</t>
    <rPh sb="6" eb="8">
      <t>シュルイ</t>
    </rPh>
    <phoneticPr fontId="42"/>
  </si>
  <si>
    <t>単位</t>
    <rPh sb="0" eb="2">
      <t>タンイ</t>
    </rPh>
    <phoneticPr fontId="42"/>
  </si>
  <si>
    <t>使用量</t>
    <rPh sb="0" eb="3">
      <t>シヨウリョウ</t>
    </rPh>
    <phoneticPr fontId="42"/>
  </si>
  <si>
    <t>未利用熱</t>
    <rPh sb="0" eb="3">
      <t>ミリヨウ</t>
    </rPh>
    <rPh sb="3" eb="4">
      <t>ネツ</t>
    </rPh>
    <phoneticPr fontId="42"/>
  </si>
  <si>
    <t>使用量</t>
    <rPh sb="0" eb="3">
      <t>シヨウリョウ</t>
    </rPh>
    <phoneticPr fontId="41"/>
  </si>
  <si>
    <t>外部供給</t>
    <rPh sb="0" eb="2">
      <t>ガイブ</t>
    </rPh>
    <rPh sb="2" eb="4">
      <t>キョウキュウ</t>
    </rPh>
    <phoneticPr fontId="39"/>
  </si>
  <si>
    <t>副生エネルギー</t>
    <rPh sb="0" eb="2">
      <t>フクセイ</t>
    </rPh>
    <phoneticPr fontId="39"/>
  </si>
  <si>
    <t>未利用熱</t>
    <rPh sb="0" eb="3">
      <t>ミリヨウ</t>
    </rPh>
    <rPh sb="3" eb="4">
      <t>ネツ</t>
    </rPh>
    <phoneticPr fontId="41"/>
  </si>
  <si>
    <t>化石燃料</t>
    <rPh sb="0" eb="2">
      <t>カセキ</t>
    </rPh>
    <rPh sb="2" eb="4">
      <t>ネンリョウ</t>
    </rPh>
    <phoneticPr fontId="38"/>
  </si>
  <si>
    <t>原油のうちコンデンセート(NGL)</t>
    <rPh sb="0" eb="2">
      <t>ゲンユ</t>
    </rPh>
    <phoneticPr fontId="38"/>
  </si>
  <si>
    <t>ジェット燃料油</t>
    <rPh sb="4" eb="7">
      <t>ネンリョウユ</t>
    </rPh>
    <phoneticPr fontId="42"/>
  </si>
  <si>
    <t>液化石油ガス（ＬＰＧ）</t>
  </si>
  <si>
    <t>石油系炭化水素ガス</t>
  </si>
  <si>
    <t>可燃性天然ガス</t>
  </si>
  <si>
    <t>液化天然ガス（ＬＮＧ）</t>
  </si>
  <si>
    <t>石炭</t>
  </si>
  <si>
    <t>輸入原料炭</t>
    <rPh sb="0" eb="2">
      <t>ユニュウ</t>
    </rPh>
    <phoneticPr fontId="42"/>
  </si>
  <si>
    <t>コークス用原料炭</t>
    <rPh sb="4" eb="5">
      <t>ヨウ</t>
    </rPh>
    <rPh sb="5" eb="7">
      <t>ゲンリョウ</t>
    </rPh>
    <rPh sb="7" eb="8">
      <t>スミ</t>
    </rPh>
    <phoneticPr fontId="42"/>
  </si>
  <si>
    <t>吹込用原料炭</t>
    <rPh sb="0" eb="2">
      <t>フキコ</t>
    </rPh>
    <rPh sb="2" eb="3">
      <t>ヨウ</t>
    </rPh>
    <rPh sb="3" eb="5">
      <t>ゲンリョウ</t>
    </rPh>
    <rPh sb="5" eb="6">
      <t>スミ</t>
    </rPh>
    <phoneticPr fontId="42"/>
  </si>
  <si>
    <t>輸入一般炭</t>
    <rPh sb="0" eb="2">
      <t>ユニュウ</t>
    </rPh>
    <phoneticPr fontId="42"/>
  </si>
  <si>
    <t>国産一般炭</t>
    <rPh sb="0" eb="2">
      <t>コクサン</t>
    </rPh>
    <rPh sb="2" eb="4">
      <t>イッパン</t>
    </rPh>
    <rPh sb="4" eb="5">
      <t>スミ</t>
    </rPh>
    <phoneticPr fontId="42"/>
  </si>
  <si>
    <t>輸入無煙炭</t>
    <rPh sb="0" eb="2">
      <t>ユニュウ</t>
    </rPh>
    <phoneticPr fontId="42"/>
  </si>
  <si>
    <t>発電用高炉ガス</t>
    <rPh sb="2" eb="3">
      <t>ヨウ</t>
    </rPh>
    <phoneticPr fontId="42"/>
  </si>
  <si>
    <t>黒液</t>
    <rPh sb="0" eb="2">
      <t>クロエキ</t>
    </rPh>
    <phoneticPr fontId="42"/>
  </si>
  <si>
    <t>木材</t>
    <rPh sb="0" eb="2">
      <t>モクザイ</t>
    </rPh>
    <phoneticPr fontId="42"/>
  </si>
  <si>
    <t>木質廃材</t>
    <rPh sb="0" eb="4">
      <t>モクシツハイザイ</t>
    </rPh>
    <phoneticPr fontId="42"/>
  </si>
  <si>
    <t>その他バイオマス</t>
    <rPh sb="2" eb="3">
      <t>タ</t>
    </rPh>
    <phoneticPr fontId="42"/>
  </si>
  <si>
    <t>廃タイヤ</t>
    <rPh sb="0" eb="1">
      <t>ハイ</t>
    </rPh>
    <phoneticPr fontId="42"/>
  </si>
  <si>
    <t>廃プラスチック（一般廃棄物）</t>
    <rPh sb="0" eb="1">
      <t>ハイ</t>
    </rPh>
    <rPh sb="8" eb="13">
      <t>イッパンハイキブツ</t>
    </rPh>
    <phoneticPr fontId="42"/>
  </si>
  <si>
    <t>廃プラスチック（産業廃棄物）</t>
    <rPh sb="0" eb="1">
      <t>ハイ</t>
    </rPh>
    <rPh sb="8" eb="13">
      <t>サンギョウハイキブツ</t>
    </rPh>
    <phoneticPr fontId="42"/>
  </si>
  <si>
    <t>廃油</t>
    <rPh sb="0" eb="2">
      <t>ハイユ</t>
    </rPh>
    <phoneticPr fontId="42"/>
  </si>
  <si>
    <t>廃棄物ガス</t>
    <rPh sb="0" eb="3">
      <t>ハイキブツ</t>
    </rPh>
    <phoneticPr fontId="42"/>
  </si>
  <si>
    <t>混合廃材</t>
    <rPh sb="0" eb="4">
      <t>コンゴウハイザイ</t>
    </rPh>
    <phoneticPr fontId="42"/>
  </si>
  <si>
    <t>水素</t>
    <rPh sb="0" eb="2">
      <t>スイソ</t>
    </rPh>
    <phoneticPr fontId="42"/>
  </si>
  <si>
    <t>その他の燃料（非化石）1</t>
    <rPh sb="2" eb="3">
      <t>タ</t>
    </rPh>
    <rPh sb="4" eb="6">
      <t>ネンリョウ</t>
    </rPh>
    <rPh sb="7" eb="8">
      <t>ヒ</t>
    </rPh>
    <rPh sb="8" eb="10">
      <t>カセキ</t>
    </rPh>
    <phoneticPr fontId="42"/>
  </si>
  <si>
    <t>その他の燃料（非化石）2</t>
    <rPh sb="2" eb="3">
      <t>タ</t>
    </rPh>
    <rPh sb="4" eb="6">
      <t>ネンリョウ</t>
    </rPh>
    <rPh sb="7" eb="8">
      <t>ヒ</t>
    </rPh>
    <rPh sb="8" eb="10">
      <t>カセキ</t>
    </rPh>
    <phoneticPr fontId="42"/>
  </si>
  <si>
    <t>産業用蒸気</t>
  </si>
  <si>
    <t>産業用以外の蒸気</t>
    <rPh sb="0" eb="3">
      <t>サンギョウヨウ</t>
    </rPh>
    <rPh sb="3" eb="5">
      <t>イガイ</t>
    </rPh>
    <rPh sb="6" eb="8">
      <t>ジョウキ</t>
    </rPh>
    <phoneticPr fontId="38"/>
  </si>
  <si>
    <t>うち非化石（任意）</t>
    <rPh sb="2" eb="3">
      <t>ヒ</t>
    </rPh>
    <rPh sb="3" eb="5">
      <t>カセキ</t>
    </rPh>
    <phoneticPr fontId="38"/>
  </si>
  <si>
    <t>温水</t>
    <rPh sb="0" eb="2">
      <t>オンスイ</t>
    </rPh>
    <phoneticPr fontId="38"/>
  </si>
  <si>
    <t>冷水</t>
    <rPh sb="0" eb="2">
      <t>レイスイ</t>
    </rPh>
    <phoneticPr fontId="38"/>
  </si>
  <si>
    <t>その他の熱</t>
    <rPh sb="2" eb="3">
      <t>タ</t>
    </rPh>
    <rPh sb="4" eb="5">
      <t>ネツ</t>
    </rPh>
    <phoneticPr fontId="38"/>
  </si>
  <si>
    <t>電
気</t>
    <rPh sb="0" eb="1">
      <t>デン</t>
    </rPh>
    <rPh sb="3" eb="4">
      <t>キ</t>
    </rPh>
    <phoneticPr fontId="38"/>
  </si>
  <si>
    <t>電気事業者からの買電</t>
    <rPh sb="0" eb="2">
      <t>デンキ</t>
    </rPh>
    <rPh sb="8" eb="10">
      <t>カイデン</t>
    </rPh>
    <phoneticPr fontId="38"/>
  </si>
  <si>
    <t>電気事業者</t>
    <rPh sb="0" eb="2">
      <t>デンキ</t>
    </rPh>
    <rPh sb="2" eb="5">
      <t>ジギョウシャ</t>
    </rPh>
    <phoneticPr fontId="38"/>
  </si>
  <si>
    <t>千kWh</t>
    <rPh sb="0" eb="1">
      <t>セン</t>
    </rPh>
    <phoneticPr fontId="38"/>
  </si>
  <si>
    <t>うち非化石分</t>
    <rPh sb="2" eb="6">
      <t>ヒカセキブン</t>
    </rPh>
    <phoneticPr fontId="38"/>
  </si>
  <si>
    <t>オフサイト型PPA(重み付けなし）</t>
    <rPh sb="5" eb="6">
      <t>ガタ</t>
    </rPh>
    <rPh sb="10" eb="11">
      <t>オモ</t>
    </rPh>
    <rPh sb="12" eb="13">
      <t>ヅ</t>
    </rPh>
    <phoneticPr fontId="38"/>
  </si>
  <si>
    <t>オフサイト型PPA(重み付けあり）</t>
    <rPh sb="5" eb="6">
      <t>ガタ</t>
    </rPh>
    <rPh sb="10" eb="11">
      <t>オモ</t>
    </rPh>
    <rPh sb="12" eb="13">
      <t>ヅ</t>
    </rPh>
    <phoneticPr fontId="38"/>
  </si>
  <si>
    <t>自己託送（非燃料由来の非化石電気）</t>
    <rPh sb="0" eb="2">
      <t>ジコ</t>
    </rPh>
    <rPh sb="2" eb="4">
      <t>タクソウ</t>
    </rPh>
    <rPh sb="5" eb="8">
      <t>ヒネンリョウ</t>
    </rPh>
    <rPh sb="8" eb="10">
      <t>ユライ</t>
    </rPh>
    <rPh sb="11" eb="14">
      <t>ヒカセキ</t>
    </rPh>
    <rPh sb="14" eb="16">
      <t>デンキ</t>
    </rPh>
    <phoneticPr fontId="42"/>
  </si>
  <si>
    <t>上記以外の自己託送</t>
    <rPh sb="0" eb="2">
      <t>ジョウキ</t>
    </rPh>
    <rPh sb="2" eb="4">
      <t>イガイ</t>
    </rPh>
    <rPh sb="5" eb="7">
      <t>ジコ</t>
    </rPh>
    <rPh sb="7" eb="9">
      <t>タクソウ</t>
    </rPh>
    <phoneticPr fontId="42"/>
  </si>
  <si>
    <t>うち非化石</t>
    <rPh sb="2" eb="3">
      <t>ヒ</t>
    </rPh>
    <rPh sb="3" eb="5">
      <t>カセキ</t>
    </rPh>
    <phoneticPr fontId="42"/>
  </si>
  <si>
    <t>うち重み付け非化石</t>
    <rPh sb="2" eb="3">
      <t>オモ</t>
    </rPh>
    <rPh sb="4" eb="5">
      <t>ヅ</t>
    </rPh>
    <rPh sb="6" eb="7">
      <t>ヒ</t>
    </rPh>
    <rPh sb="7" eb="9">
      <t>カセキ</t>
    </rPh>
    <phoneticPr fontId="42"/>
  </si>
  <si>
    <t>その他の買電</t>
    <rPh sb="2" eb="3">
      <t>タ</t>
    </rPh>
    <rPh sb="4" eb="6">
      <t>カイデン</t>
    </rPh>
    <phoneticPr fontId="42"/>
  </si>
  <si>
    <t>自家発電</t>
    <rPh sb="0" eb="4">
      <t>ジカハツデン</t>
    </rPh>
    <phoneticPr fontId="42"/>
  </si>
  <si>
    <t>太陽光</t>
    <rPh sb="0" eb="3">
      <t>タイヨウコウ</t>
    </rPh>
    <phoneticPr fontId="42"/>
  </si>
  <si>
    <t>風力</t>
    <rPh sb="0" eb="2">
      <t>フウリョク</t>
    </rPh>
    <phoneticPr fontId="42"/>
  </si>
  <si>
    <t>地熱</t>
    <rPh sb="0" eb="2">
      <t>チネツ</t>
    </rPh>
    <phoneticPr fontId="42"/>
  </si>
  <si>
    <t>水力</t>
    <rPh sb="0" eb="2">
      <t>スイリョク</t>
    </rPh>
    <phoneticPr fontId="42"/>
  </si>
  <si>
    <t>非化石</t>
  </si>
  <si>
    <t>原単位</t>
    <rPh sb="0" eb="3">
      <t>ゲンタンイ</t>
    </rPh>
    <phoneticPr fontId="51"/>
  </si>
  <si>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51"/>
  </si>
  <si>
    <t>㎡</t>
  </si>
  <si>
    <t>供給事業者の登録番号</t>
    <rPh sb="0" eb="2">
      <t>キョウキュウ</t>
    </rPh>
    <rPh sb="2" eb="5">
      <t>ジギョウシャ</t>
    </rPh>
    <rPh sb="6" eb="8">
      <t>トウロク</t>
    </rPh>
    <rPh sb="8" eb="10">
      <t>バンゴウ</t>
    </rPh>
    <phoneticPr fontId="51"/>
  </si>
  <si>
    <t>標準熱量</t>
  </si>
  <si>
    <t>使用量</t>
    <rPh sb="0" eb="3">
      <t>シヨウリョウ</t>
    </rPh>
    <phoneticPr fontId="39"/>
  </si>
  <si>
    <t>単位</t>
  </si>
  <si>
    <t>県域の削減量</t>
  </si>
  <si>
    <t>横浜市内の削減量</t>
  </si>
  <si>
    <t>国内クレジット</t>
  </si>
  <si>
    <t>オフセット・クレジット</t>
  </si>
  <si>
    <t>Ｊ－クレジット</t>
  </si>
  <si>
    <t>グリーンエネルギーCO2削減相当量</t>
  </si>
  <si>
    <t>その他</t>
  </si>
  <si>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51"/>
  </si>
  <si>
    <t>全国平均係数(t-CO₂/kWh)</t>
  </si>
  <si>
    <t>横浜・川崎
使用量</t>
    <rPh sb="6" eb="9">
      <t>シヨウリョウ</t>
    </rPh>
    <phoneticPr fontId="42"/>
  </si>
  <si>
    <t>県域
使用量</t>
    <rPh sb="0" eb="2">
      <t>ケンイキ</t>
    </rPh>
    <rPh sb="3" eb="6">
      <t>シヨウリョウ</t>
    </rPh>
    <phoneticPr fontId="42"/>
  </si>
  <si>
    <t>その他の非燃料由来の非化石1</t>
  </si>
  <si>
    <t>２　集計用（2024年度実績）【非表示】</t>
    <rPh sb="2" eb="5">
      <t>シュウケイヨウ</t>
    </rPh>
    <rPh sb="10" eb="12">
      <t>ネンド</t>
    </rPh>
    <rPh sb="12" eb="14">
      <t>ジッセキ</t>
    </rPh>
    <rPh sb="16" eb="19">
      <t>ヒヒョウジ</t>
    </rPh>
    <phoneticPr fontId="39"/>
  </si>
  <si>
    <t>集計_2024</t>
    <rPh sb="0" eb="2">
      <t>シュウケイ</t>
    </rPh>
    <phoneticPr fontId="36"/>
  </si>
  <si>
    <t>自動車行番号</t>
    <rPh sb="0" eb="3">
      <t>ジドウシャ</t>
    </rPh>
    <rPh sb="3" eb="4">
      <t>ギョウ</t>
    </rPh>
    <rPh sb="4" eb="6">
      <t>バンゴウ</t>
    </rPh>
    <phoneticPr fontId="36"/>
  </si>
  <si>
    <t>工場等行番号</t>
    <rPh sb="0" eb="2">
      <t>コウジョウ</t>
    </rPh>
    <rPh sb="2" eb="3">
      <t>トウ</t>
    </rPh>
    <rPh sb="3" eb="4">
      <t>ギョウ</t>
    </rPh>
    <rPh sb="4" eb="6">
      <t>バンゴウ</t>
    </rPh>
    <phoneticPr fontId="36"/>
  </si>
  <si>
    <t>自動車</t>
    <rPh sb="0" eb="3">
      <t>ジドウシャ</t>
    </rPh>
    <phoneticPr fontId="36"/>
  </si>
  <si>
    <t>①</t>
    <phoneticPr fontId="39"/>
  </si>
  <si>
    <t>②</t>
    <phoneticPr fontId="39"/>
  </si>
  <si>
    <t>横浜・川崎</t>
    <phoneticPr fontId="36"/>
  </si>
  <si>
    <t>県域</t>
    <rPh sb="0" eb="2">
      <t>ケンイキ</t>
    </rPh>
    <phoneticPr fontId="36"/>
  </si>
  <si>
    <t>都市ガスエネルギー使用量(GJ:エネ使用量×単位発熱量）</t>
    <rPh sb="0" eb="2">
      <t>トシ</t>
    </rPh>
    <rPh sb="9" eb="12">
      <t>シヨウリョウ</t>
    </rPh>
    <rPh sb="18" eb="21">
      <t>シヨウリョウ</t>
    </rPh>
    <rPh sb="22" eb="24">
      <t>タンイ</t>
    </rPh>
    <rPh sb="24" eb="26">
      <t>ハツネツ</t>
    </rPh>
    <rPh sb="26" eb="27">
      <t>リョウ</t>
    </rPh>
    <phoneticPr fontId="36"/>
  </si>
  <si>
    <t>原油換算エネルギー使用量（kL）</t>
    <rPh sb="0" eb="4">
      <t>ゲンユカンザン</t>
    </rPh>
    <phoneticPr fontId="39"/>
  </si>
  <si>
    <t>非化石燃料の原油換算エネルギー使用量(kL)</t>
    <rPh sb="0" eb="1">
      <t>ヒ</t>
    </rPh>
    <rPh sb="1" eb="3">
      <t>カセキ</t>
    </rPh>
    <rPh sb="3" eb="5">
      <t>ネンリョウ</t>
    </rPh>
    <rPh sb="6" eb="8">
      <t>ゲンユ</t>
    </rPh>
    <rPh sb="8" eb="10">
      <t>カンザン</t>
    </rPh>
    <phoneticPr fontId="36"/>
  </si>
  <si>
    <t>原油換算エネルギー使用量（非化石燃料×0.8補正後）</t>
    <phoneticPr fontId="36"/>
  </si>
  <si>
    <t>エネルギー消費原単位の分子 /分母/原単位</t>
    <rPh sb="5" eb="7">
      <t>ショウヒ</t>
    </rPh>
    <rPh sb="7" eb="10">
      <t>ゲンタンイ</t>
    </rPh>
    <rPh sb="11" eb="13">
      <t>ブンシ</t>
    </rPh>
    <rPh sb="15" eb="17">
      <t>ブンボ</t>
    </rPh>
    <rPh sb="18" eb="21">
      <t>ゲンタンイ</t>
    </rPh>
    <phoneticPr fontId="36"/>
  </si>
  <si>
    <t>都市ガス排出量（基礎）</t>
    <rPh sb="0" eb="2">
      <t>トシ</t>
    </rPh>
    <rPh sb="4" eb="6">
      <t>ハイシュツ</t>
    </rPh>
    <rPh sb="6" eb="7">
      <t>リョウ</t>
    </rPh>
    <rPh sb="8" eb="10">
      <t>キソ</t>
    </rPh>
    <phoneticPr fontId="36"/>
  </si>
  <si>
    <t>都市ガス排出量（調整後）</t>
    <rPh sb="0" eb="2">
      <t>トシ</t>
    </rPh>
    <rPh sb="4" eb="6">
      <t>ハイシュツ</t>
    </rPh>
    <rPh sb="6" eb="7">
      <t>リョウ</t>
    </rPh>
    <rPh sb="8" eb="11">
      <t>チョウセイゴ</t>
    </rPh>
    <phoneticPr fontId="36"/>
  </si>
  <si>
    <t>蒸気（基礎）</t>
    <rPh sb="0" eb="2">
      <t>ジョウキ</t>
    </rPh>
    <rPh sb="3" eb="5">
      <t>キソ</t>
    </rPh>
    <phoneticPr fontId="36"/>
  </si>
  <si>
    <t>蒸気（調整後）</t>
    <rPh sb="0" eb="2">
      <t>ジョウキ</t>
    </rPh>
    <rPh sb="3" eb="6">
      <t>チョウセイゴ</t>
    </rPh>
    <phoneticPr fontId="36"/>
  </si>
  <si>
    <t>温水（基礎）</t>
    <rPh sb="0" eb="2">
      <t>オンスイ</t>
    </rPh>
    <rPh sb="3" eb="5">
      <t>キソ</t>
    </rPh>
    <phoneticPr fontId="36"/>
  </si>
  <si>
    <t>温水（調整後）</t>
    <rPh sb="0" eb="2">
      <t>オンスイ</t>
    </rPh>
    <rPh sb="3" eb="6">
      <t>チョウセイゴ</t>
    </rPh>
    <phoneticPr fontId="36"/>
  </si>
  <si>
    <t>冷水（基礎）</t>
    <rPh sb="0" eb="2">
      <t>レイスイ</t>
    </rPh>
    <rPh sb="3" eb="5">
      <t>キソ</t>
    </rPh>
    <phoneticPr fontId="36"/>
  </si>
  <si>
    <t>冷水（調整後）</t>
    <rPh sb="0" eb="2">
      <t>レイスイ</t>
    </rPh>
    <rPh sb="3" eb="6">
      <t>チョウセイゴ</t>
    </rPh>
    <phoneticPr fontId="36"/>
  </si>
  <si>
    <t>電気（基礎）</t>
    <rPh sb="0" eb="2">
      <t>デンキ</t>
    </rPh>
    <rPh sb="3" eb="5">
      <t>キソ</t>
    </rPh>
    <phoneticPr fontId="36"/>
  </si>
  <si>
    <t>電気（調整後）</t>
    <rPh sb="0" eb="2">
      <t>デンキ</t>
    </rPh>
    <rPh sb="3" eb="6">
      <t>チョウセイゴ</t>
    </rPh>
    <phoneticPr fontId="36"/>
  </si>
  <si>
    <t>調整後排出係数０の電気使用量(千kWh)</t>
    <rPh sb="0" eb="3">
      <t>チョウセイゴ</t>
    </rPh>
    <rPh sb="3" eb="5">
      <t>ハイシュツ</t>
    </rPh>
    <rPh sb="5" eb="7">
      <t>ケイスウ</t>
    </rPh>
    <rPh sb="9" eb="11">
      <t>デンキ</t>
    </rPh>
    <rPh sb="11" eb="14">
      <t>シヨウリョウ</t>
    </rPh>
    <rPh sb="15" eb="16">
      <t>セン</t>
    </rPh>
    <phoneticPr fontId="36"/>
  </si>
  <si>
    <t>３　原単位（2024年度実績）【非表示】</t>
    <rPh sb="2" eb="5">
      <t>ゲンタンイ</t>
    </rPh>
    <rPh sb="10" eb="12">
      <t>ネンド</t>
    </rPh>
    <rPh sb="12" eb="14">
      <t>ジッセキ</t>
    </rPh>
    <phoneticPr fontId="39"/>
  </si>
  <si>
    <t>原単位_2024</t>
    <rPh sb="0" eb="3">
      <t>ゲンタンイ</t>
    </rPh>
    <phoneticPr fontId="39"/>
  </si>
  <si>
    <t>Ｎｏ</t>
    <phoneticPr fontId="36"/>
  </si>
  <si>
    <t>エネルギー管理指定工場等</t>
    <rPh sb="5" eb="7">
      <t>カンリ</t>
    </rPh>
    <rPh sb="7" eb="9">
      <t>シテイ</t>
    </rPh>
    <rPh sb="9" eb="11">
      <t>コウジョウ</t>
    </rPh>
    <rPh sb="11" eb="12">
      <t>トウ</t>
    </rPh>
    <phoneticPr fontId="36"/>
  </si>
  <si>
    <t>行番号</t>
    <rPh sb="0" eb="3">
      <t>ギョウバンゴウ</t>
    </rPh>
    <phoneticPr fontId="39"/>
  </si>
  <si>
    <t>初期リスト</t>
    <rPh sb="0" eb="2">
      <t>ショキ</t>
    </rPh>
    <phoneticPr fontId="39"/>
  </si>
  <si>
    <t>修正後名称</t>
    <rPh sb="0" eb="2">
      <t>シュウセイ</t>
    </rPh>
    <rPh sb="2" eb="3">
      <t>ゴ</t>
    </rPh>
    <rPh sb="3" eb="5">
      <t>メイショウ</t>
    </rPh>
    <phoneticPr fontId="39"/>
  </si>
  <si>
    <t>修正後列番号</t>
    <rPh sb="0" eb="2">
      <t>シュウセイ</t>
    </rPh>
    <rPh sb="2" eb="3">
      <t>ゴ</t>
    </rPh>
    <rPh sb="3" eb="6">
      <t>レツバンゴウ</t>
    </rPh>
    <phoneticPr fontId="39"/>
  </si>
  <si>
    <t>所在地</t>
    <rPh sb="0" eb="3">
      <t>ショザイチ</t>
    </rPh>
    <phoneticPr fontId="36"/>
  </si>
  <si>
    <t>原単位指標</t>
    <rPh sb="0" eb="3">
      <t>ゲンタンイ</t>
    </rPh>
    <rPh sb="3" eb="5">
      <t>シヒョウ</t>
    </rPh>
    <phoneticPr fontId="36"/>
  </si>
  <si>
    <t>原単位分子</t>
    <rPh sb="3" eb="5">
      <t>ブンシ</t>
    </rPh>
    <phoneticPr fontId="36"/>
  </si>
  <si>
    <t>原単位分母</t>
    <rPh sb="3" eb="5">
      <t>ブンボ</t>
    </rPh>
    <phoneticPr fontId="36"/>
  </si>
  <si>
    <t>原単位</t>
    <rPh sb="0" eb="3">
      <t>ゲンタンイ</t>
    </rPh>
    <phoneticPr fontId="36"/>
  </si>
  <si>
    <t>前年度比</t>
    <rPh sb="0" eb="3">
      <t>ゼンネンド</t>
    </rPh>
    <rPh sb="3" eb="4">
      <t>ヒ</t>
    </rPh>
    <phoneticPr fontId="36"/>
  </si>
  <si>
    <t>横浜</t>
    <rPh sb="0" eb="2">
      <t>ヨコハマ</t>
    </rPh>
    <phoneticPr fontId="36"/>
  </si>
  <si>
    <t>川崎</t>
    <rPh sb="0" eb="2">
      <t>カワサキ</t>
    </rPh>
    <phoneticPr fontId="36"/>
  </si>
  <si>
    <t>横浜川崎</t>
    <rPh sb="0" eb="2">
      <t>ヨコハマ</t>
    </rPh>
    <rPh sb="2" eb="4">
      <t>カワサキ</t>
    </rPh>
    <phoneticPr fontId="39"/>
  </si>
  <si>
    <t>原単位改善率</t>
    <phoneticPr fontId="39"/>
  </si>
  <si>
    <t>重複ナシ指標</t>
    <rPh sb="0" eb="2">
      <t>チョウフク</t>
    </rPh>
    <rPh sb="4" eb="6">
      <t>シヒョウ</t>
    </rPh>
    <phoneticPr fontId="39"/>
  </si>
  <si>
    <t>重複ナシ単位</t>
    <rPh sb="0" eb="2">
      <t>チョウフク</t>
    </rPh>
    <rPh sb="4" eb="6">
      <t>タンイ</t>
    </rPh>
    <phoneticPr fontId="39"/>
  </si>
  <si>
    <t>重複ナシ
原単位分母</t>
    <rPh sb="0" eb="2">
      <t>チョウフク</t>
    </rPh>
    <rPh sb="5" eb="8">
      <t>ゲンタンイ</t>
    </rPh>
    <rPh sb="8" eb="10">
      <t>ブンボ</t>
    </rPh>
    <phoneticPr fontId="39"/>
  </si>
  <si>
    <t>エネルギー管理指定工場等（最終）</t>
    <rPh sb="5" eb="11">
      <t>カンリシテイコウジョウ</t>
    </rPh>
    <rPh sb="11" eb="12">
      <t>トウ</t>
    </rPh>
    <rPh sb="13" eb="15">
      <t>サイシュウ</t>
    </rPh>
    <phoneticPr fontId="39"/>
  </si>
  <si>
    <t>今年度
原単位指標</t>
    <rPh sb="0" eb="3">
      <t>コンネンド</t>
    </rPh>
    <rPh sb="4" eb="7">
      <t>ゲンタンイ</t>
    </rPh>
    <rPh sb="7" eb="9">
      <t>シヒョウ</t>
    </rPh>
    <phoneticPr fontId="39"/>
  </si>
  <si>
    <t>前年度
原単位指標</t>
    <rPh sb="0" eb="3">
      <t>ゼンネンド</t>
    </rPh>
    <rPh sb="4" eb="7">
      <t>ゲンタンイ</t>
    </rPh>
    <rPh sb="7" eb="9">
      <t>シヒョウ</t>
    </rPh>
    <phoneticPr fontId="39"/>
  </si>
  <si>
    <t>原単位指標変更有無</t>
    <rPh sb="0" eb="3">
      <t>ゲンタンイ</t>
    </rPh>
    <rPh sb="3" eb="5">
      <t>シヒョウ</t>
    </rPh>
    <rPh sb="5" eb="7">
      <t>ヘンコウ</t>
    </rPh>
    <rPh sb="7" eb="9">
      <t>ウム</t>
    </rPh>
    <phoneticPr fontId="39"/>
  </si>
  <si>
    <t>セル番号</t>
    <rPh sb="2" eb="4">
      <t>バンゴウ</t>
    </rPh>
    <phoneticPr fontId="39"/>
  </si>
  <si>
    <t>コピーデータ貼付けシート（2026年度提出用）</t>
    <rPh sb="6" eb="8">
      <t>ハリツ</t>
    </rPh>
    <rPh sb="17" eb="19">
      <t>ネンド</t>
    </rPh>
    <rPh sb="19" eb="21">
      <t>テイシュツ</t>
    </rPh>
    <rPh sb="21" eb="22">
      <t>ヨウ</t>
    </rPh>
    <phoneticPr fontId="39"/>
  </si>
  <si>
    <t>Ｂ９セルに2025年度排出量実績を貼付けてください。</t>
    <phoneticPr fontId="39"/>
  </si>
  <si>
    <t>↓オレンジ色のセルに2025年度実績データを「値のみ貼り付け」てください（Ctrl+Alt+V→V→Enter）</t>
    <rPh sb="5" eb="6">
      <t>イロ</t>
    </rPh>
    <rPh sb="14" eb="16">
      <t>ネンド</t>
    </rPh>
    <rPh sb="16" eb="18">
      <t>ジッセキ</t>
    </rPh>
    <rPh sb="23" eb="24">
      <t>アタイ</t>
    </rPh>
    <rPh sb="26" eb="27">
      <t>ハ</t>
    </rPh>
    <rPh sb="28" eb="29">
      <t>ツ</t>
    </rPh>
    <phoneticPr fontId="39"/>
  </si>
  <si>
    <t>報告対象年度2025年度</t>
    <phoneticPr fontId="39"/>
  </si>
  <si>
    <t>３　集計用（2025年度実績）【非表示】</t>
    <rPh sb="2" eb="5">
      <t>シュウケイヨウ</t>
    </rPh>
    <rPh sb="10" eb="12">
      <t>ネンド</t>
    </rPh>
    <rPh sb="12" eb="14">
      <t>ジッセキ</t>
    </rPh>
    <rPh sb="16" eb="19">
      <t>ヒヒョウジ</t>
    </rPh>
    <phoneticPr fontId="39"/>
  </si>
  <si>
    <t>集計_2025</t>
    <rPh sb="0" eb="2">
      <t>シュウケイ</t>
    </rPh>
    <phoneticPr fontId="36"/>
  </si>
  <si>
    <t>４　原単位（2025年度実績）【非表示】</t>
    <rPh sb="2" eb="5">
      <t>ゲンタンイ</t>
    </rPh>
    <rPh sb="10" eb="12">
      <t>ネンド</t>
    </rPh>
    <rPh sb="12" eb="14">
      <t>ジッセキ</t>
    </rPh>
    <phoneticPr fontId="39"/>
  </si>
  <si>
    <t>原単位_2025</t>
    <rPh sb="0" eb="3">
      <t>ゲンタンイ</t>
    </rPh>
    <phoneticPr fontId="39"/>
  </si>
  <si>
    <t>原単位改善率(%)</t>
    <phoneticPr fontId="39"/>
  </si>
  <si>
    <t>コピーデータ貼付けシート（2027年度提出用）</t>
    <rPh sb="6" eb="8">
      <t>ハリツ</t>
    </rPh>
    <rPh sb="17" eb="19">
      <t>ネンド</t>
    </rPh>
    <rPh sb="19" eb="21">
      <t>テイシュツ</t>
    </rPh>
    <rPh sb="21" eb="22">
      <t>ヨウ</t>
    </rPh>
    <phoneticPr fontId="39"/>
  </si>
  <si>
    <t>Ｂ９セルに2026年度排出量実績を貼付けてください。</t>
    <phoneticPr fontId="39"/>
  </si>
  <si>
    <t>↓オレンジ色のセルに2026年度実績データを「値のみ貼り付け」てください（Ctrl+Alt+V→V→Enter）</t>
    <rPh sb="5" eb="6">
      <t>イロ</t>
    </rPh>
    <rPh sb="14" eb="16">
      <t>ネンド</t>
    </rPh>
    <rPh sb="16" eb="18">
      <t>ジッセキ</t>
    </rPh>
    <rPh sb="23" eb="24">
      <t>アタイ</t>
    </rPh>
    <rPh sb="26" eb="27">
      <t>ハ</t>
    </rPh>
    <rPh sb="28" eb="29">
      <t>ツ</t>
    </rPh>
    <phoneticPr fontId="39"/>
  </si>
  <si>
    <t>報告対象年度2026年度</t>
    <phoneticPr fontId="39"/>
  </si>
  <si>
    <t>２　集計用（2026年度実績）【非表示】</t>
    <rPh sb="2" eb="5">
      <t>シュウケイヨウ</t>
    </rPh>
    <rPh sb="10" eb="12">
      <t>ネンド</t>
    </rPh>
    <rPh sb="12" eb="14">
      <t>ジッセキ</t>
    </rPh>
    <phoneticPr fontId="39"/>
  </si>
  <si>
    <t>集計_2026</t>
    <rPh sb="0" eb="2">
      <t>シュウケイ</t>
    </rPh>
    <phoneticPr fontId="36"/>
  </si>
  <si>
    <t>３　原単位（2026年度実績）【非表示】</t>
    <rPh sb="2" eb="5">
      <t>ゲンタンイ</t>
    </rPh>
    <rPh sb="10" eb="12">
      <t>ネンド</t>
    </rPh>
    <rPh sb="12" eb="14">
      <t>ジッセキ</t>
    </rPh>
    <phoneticPr fontId="39"/>
  </si>
  <si>
    <t>原単位_2026</t>
    <rPh sb="0" eb="3">
      <t>ゲンタンイ</t>
    </rPh>
    <phoneticPr fontId="39"/>
  </si>
  <si>
    <t>原単位改善率</t>
  </si>
  <si>
    <t>コピーデータ貼付けシート（2028年度提出用）</t>
    <rPh sb="6" eb="8">
      <t>ハリツ</t>
    </rPh>
    <rPh sb="17" eb="19">
      <t>ネンド</t>
    </rPh>
    <rPh sb="19" eb="21">
      <t>テイシュツ</t>
    </rPh>
    <rPh sb="21" eb="22">
      <t>ヨウ</t>
    </rPh>
    <phoneticPr fontId="39"/>
  </si>
  <si>
    <t>Ｂ９セルに2027年度排出量実績を貼付けてください。</t>
    <phoneticPr fontId="39"/>
  </si>
  <si>
    <t>↓オレンジ色のセルに2027年度実績データを「値のみ貼り付け」てください（Ctrl+Alt+V→V→Enter）</t>
    <rPh sb="5" eb="6">
      <t>イロ</t>
    </rPh>
    <rPh sb="14" eb="16">
      <t>ネンド</t>
    </rPh>
    <rPh sb="16" eb="18">
      <t>ジッセキ</t>
    </rPh>
    <rPh sb="23" eb="24">
      <t>アタイ</t>
    </rPh>
    <rPh sb="26" eb="27">
      <t>ハ</t>
    </rPh>
    <rPh sb="28" eb="29">
      <t>ツ</t>
    </rPh>
    <phoneticPr fontId="39"/>
  </si>
  <si>
    <t>報告対象年度2027年度</t>
    <phoneticPr fontId="39"/>
  </si>
  <si>
    <t>２　集計用（2027年度実績）【非表示】</t>
    <rPh sb="2" eb="5">
      <t>シュウケイヨウ</t>
    </rPh>
    <rPh sb="10" eb="12">
      <t>ネンド</t>
    </rPh>
    <rPh sb="12" eb="14">
      <t>ジッセキ</t>
    </rPh>
    <phoneticPr fontId="39"/>
  </si>
  <si>
    <t>集計_2027</t>
    <rPh sb="0" eb="2">
      <t>シュウケイ</t>
    </rPh>
    <phoneticPr fontId="36"/>
  </si>
  <si>
    <t>３　原単位（2027年度実績）【非表示】</t>
    <rPh sb="2" eb="5">
      <t>ゲンタンイ</t>
    </rPh>
    <rPh sb="10" eb="12">
      <t>ネンド</t>
    </rPh>
    <rPh sb="12" eb="14">
      <t>ジッセキ</t>
    </rPh>
    <phoneticPr fontId="39"/>
  </si>
  <si>
    <t>原単位_2027</t>
    <rPh sb="0" eb="3">
      <t>ゲンタンイ</t>
    </rPh>
    <phoneticPr fontId="39"/>
  </si>
  <si>
    <t>6　集計用（その他）</t>
    <rPh sb="2" eb="5">
      <t>シュウケイヨウ</t>
    </rPh>
    <rPh sb="8" eb="9">
      <t>タ</t>
    </rPh>
    <phoneticPr fontId="39"/>
  </si>
  <si>
    <t>集計_その他欄</t>
    <rPh sb="0" eb="2">
      <t>シュウケイ</t>
    </rPh>
    <rPh sb="5" eb="6">
      <t>タ</t>
    </rPh>
    <rPh sb="6" eb="7">
      <t>ラン</t>
    </rPh>
    <phoneticPr fontId="36"/>
  </si>
  <si>
    <t>１・２号</t>
    <phoneticPr fontId="36"/>
  </si>
  <si>
    <t>まとめ</t>
    <phoneticPr fontId="36"/>
  </si>
  <si>
    <t>３号</t>
    <phoneticPr fontId="36"/>
  </si>
  <si>
    <t>１・２号/３号</t>
    <rPh sb="3" eb="4">
      <t>ゴウ</t>
    </rPh>
    <rPh sb="6" eb="7">
      <t>ゴウ</t>
    </rPh>
    <phoneticPr fontId="36"/>
  </si>
  <si>
    <t>化石燃料</t>
    <rPh sb="0" eb="2">
      <t>カセキ</t>
    </rPh>
    <rPh sb="2" eb="4">
      <t>ネンリョウ</t>
    </rPh>
    <phoneticPr fontId="36"/>
  </si>
  <si>
    <t>その他燃料</t>
    <rPh sb="2" eb="3">
      <t>タ</t>
    </rPh>
    <rPh sb="3" eb="5">
      <t>ネンリョウ</t>
    </rPh>
    <phoneticPr fontId="36"/>
  </si>
  <si>
    <t>非化石燃料</t>
    <rPh sb="0" eb="1">
      <t>ヒ</t>
    </rPh>
    <rPh sb="1" eb="3">
      <t>カセキ</t>
    </rPh>
    <rPh sb="3" eb="5">
      <t>ネンリョウ</t>
    </rPh>
    <phoneticPr fontId="36"/>
  </si>
  <si>
    <t>その他の燃料（非化石）1</t>
    <rPh sb="2" eb="3">
      <t>タ</t>
    </rPh>
    <rPh sb="4" eb="6">
      <t>ネンリョウ</t>
    </rPh>
    <rPh sb="7" eb="8">
      <t>ヒ</t>
    </rPh>
    <rPh sb="8" eb="10">
      <t>カセキ</t>
    </rPh>
    <phoneticPr fontId="41"/>
  </si>
  <si>
    <t>その他の燃料（非化石）2</t>
    <rPh sb="2" eb="3">
      <t>タ</t>
    </rPh>
    <rPh sb="4" eb="6">
      <t>ネンリョウ</t>
    </rPh>
    <rPh sb="7" eb="8">
      <t>ヒ</t>
    </rPh>
    <rPh sb="8" eb="10">
      <t>カセキ</t>
    </rPh>
    <phoneticPr fontId="41"/>
  </si>
  <si>
    <t>熱</t>
    <rPh sb="0" eb="1">
      <t>ネツ</t>
    </rPh>
    <phoneticPr fontId="36"/>
  </si>
  <si>
    <t>その他の熱</t>
    <rPh sb="2" eb="3">
      <t>タ</t>
    </rPh>
    <rPh sb="4" eb="5">
      <t>ネツ</t>
    </rPh>
    <phoneticPr fontId="45"/>
  </si>
  <si>
    <t>その他使用した熱</t>
    <rPh sb="2" eb="3">
      <t>タ</t>
    </rPh>
    <rPh sb="3" eb="5">
      <t>シヨウ</t>
    </rPh>
    <rPh sb="7" eb="8">
      <t>ネツ</t>
    </rPh>
    <phoneticPr fontId="36"/>
  </si>
  <si>
    <t>その他の熱1</t>
    <rPh sb="4" eb="5">
      <t>ネツ</t>
    </rPh>
    <phoneticPr fontId="39"/>
  </si>
  <si>
    <t>電気</t>
    <rPh sb="0" eb="2">
      <t>デンキ</t>
    </rPh>
    <phoneticPr fontId="36"/>
  </si>
  <si>
    <t>上記以外の自己託送</t>
    <rPh sb="0" eb="2">
      <t>ジョウキ</t>
    </rPh>
    <rPh sb="2" eb="4">
      <t>イガイ</t>
    </rPh>
    <rPh sb="5" eb="9">
      <t>ジコタクソウ</t>
    </rPh>
    <phoneticPr fontId="36"/>
  </si>
  <si>
    <t>その他の買電</t>
    <rPh sb="4" eb="6">
      <t>バイデン</t>
    </rPh>
    <phoneticPr fontId="39"/>
  </si>
  <si>
    <t>その他自家発電(非燃料由来の非化石)1</t>
    <phoneticPr fontId="36"/>
  </si>
  <si>
    <t>その他自家発電(非燃料由来の非化石)2</t>
    <rPh sb="3" eb="5">
      <t>ジカ</t>
    </rPh>
    <rPh sb="5" eb="6">
      <t>ハツ</t>
    </rPh>
    <rPh sb="6" eb="7">
      <t>デン</t>
    </rPh>
    <phoneticPr fontId="39"/>
  </si>
  <si>
    <t>その他自家発電（燃料）化石</t>
    <rPh sb="3" eb="6">
      <t>ジカハツ</t>
    </rPh>
    <rPh sb="6" eb="7">
      <t>デン</t>
    </rPh>
    <rPh sb="8" eb="10">
      <t>ネンリョウ</t>
    </rPh>
    <rPh sb="11" eb="13">
      <t>カセキ</t>
    </rPh>
    <phoneticPr fontId="39"/>
  </si>
  <si>
    <t>その他自家発電（燃料）非化石</t>
    <rPh sb="3" eb="6">
      <t>ジカハツ</t>
    </rPh>
    <rPh sb="6" eb="7">
      <t>デン</t>
    </rPh>
    <rPh sb="8" eb="10">
      <t>ネンリョウ</t>
    </rPh>
    <rPh sb="11" eb="12">
      <t>ヒ</t>
    </rPh>
    <rPh sb="12" eb="14">
      <t>カセキ</t>
    </rPh>
    <phoneticPr fontId="39"/>
  </si>
  <si>
    <t>その他自家発電（熱）化石</t>
    <rPh sb="2" eb="3">
      <t>タ</t>
    </rPh>
    <rPh sb="3" eb="5">
      <t>ジカ</t>
    </rPh>
    <rPh sb="5" eb="7">
      <t>ハツデン</t>
    </rPh>
    <rPh sb="8" eb="9">
      <t>ネツ</t>
    </rPh>
    <rPh sb="10" eb="12">
      <t>カセキ</t>
    </rPh>
    <phoneticPr fontId="39"/>
  </si>
  <si>
    <t>その他自家発電（熱）非化石</t>
    <rPh sb="2" eb="3">
      <t>タ</t>
    </rPh>
    <rPh sb="3" eb="5">
      <t>ジカ</t>
    </rPh>
    <rPh sb="5" eb="7">
      <t>ハツデン</t>
    </rPh>
    <rPh sb="8" eb="9">
      <t>ネツ</t>
    </rPh>
    <rPh sb="10" eb="11">
      <t>ヒ</t>
    </rPh>
    <rPh sb="11" eb="13">
      <t>カセキ</t>
    </rPh>
    <phoneticPr fontId="39"/>
  </si>
  <si>
    <t>クレジット</t>
    <phoneticPr fontId="36"/>
  </si>
  <si>
    <t>その他</t>
    <rPh sb="2" eb="3">
      <t>タ</t>
    </rPh>
    <phoneticPr fontId="36"/>
  </si>
  <si>
    <t>集計_基礎情報</t>
    <rPh sb="0" eb="2">
      <t>シュウケイ</t>
    </rPh>
    <rPh sb="3" eb="5">
      <t>キソ</t>
    </rPh>
    <rPh sb="5" eb="7">
      <t>ジョウホウ</t>
    </rPh>
    <phoneticPr fontId="36"/>
  </si>
  <si>
    <t>最新</t>
    <rPh sb="0" eb="2">
      <t>サイシン</t>
    </rPh>
    <phoneticPr fontId="36"/>
  </si>
  <si>
    <t>報告対象年度</t>
    <rPh sb="0" eb="2">
      <t>ホウコク</t>
    </rPh>
    <rPh sb="2" eb="4">
      <t>タイショウ</t>
    </rPh>
    <rPh sb="4" eb="6">
      <t>ネンド</t>
    </rPh>
    <phoneticPr fontId="36"/>
  </si>
  <si>
    <t>代表者役職</t>
    <phoneticPr fontId="39"/>
  </si>
  <si>
    <t>代表者氏名</t>
    <rPh sb="0" eb="3">
      <t>ダイヒョウシャ</t>
    </rPh>
    <rPh sb="3" eb="5">
      <t>シメイ</t>
    </rPh>
    <phoneticPr fontId="36"/>
  </si>
  <si>
    <t>変更有無</t>
    <rPh sb="0" eb="2">
      <t>ヘンコウ</t>
    </rPh>
    <rPh sb="2" eb="4">
      <t>ウム</t>
    </rPh>
    <phoneticPr fontId="36"/>
  </si>
  <si>
    <t>←計画初年度</t>
    <rPh sb="1" eb="3">
      <t>ケイカク</t>
    </rPh>
    <rPh sb="3" eb="6">
      <t>ショネンド</t>
    </rPh>
    <phoneticPr fontId="36"/>
  </si>
  <si>
    <t>区分（大規模）第１号</t>
    <rPh sb="0" eb="2">
      <t>クブン</t>
    </rPh>
    <rPh sb="3" eb="6">
      <t>ダイキボ</t>
    </rPh>
    <rPh sb="7" eb="8">
      <t>ダイ</t>
    </rPh>
    <rPh sb="9" eb="10">
      <t>ゴウ</t>
    </rPh>
    <phoneticPr fontId="36"/>
  </si>
  <si>
    <t>区分（大規模）第２号</t>
    <rPh sb="0" eb="2">
      <t>クブン</t>
    </rPh>
    <rPh sb="3" eb="6">
      <t>ダイキボ</t>
    </rPh>
    <rPh sb="7" eb="8">
      <t>ダイ</t>
    </rPh>
    <rPh sb="9" eb="10">
      <t>ゴウ</t>
    </rPh>
    <phoneticPr fontId="36"/>
  </si>
  <si>
    <t>区分（大規模）第３号</t>
    <rPh sb="0" eb="2">
      <t>クブン</t>
    </rPh>
    <rPh sb="3" eb="6">
      <t>ダイキボ</t>
    </rPh>
    <rPh sb="7" eb="8">
      <t>ダイ</t>
    </rPh>
    <rPh sb="9" eb="10">
      <t>ゴウ</t>
    </rPh>
    <phoneticPr fontId="36"/>
  </si>
  <si>
    <t>区分（中小）工場等</t>
    <rPh sb="0" eb="2">
      <t>クブン</t>
    </rPh>
    <rPh sb="3" eb="5">
      <t>チュウショウ</t>
    </rPh>
    <rPh sb="6" eb="8">
      <t>コウジョウ</t>
    </rPh>
    <rPh sb="8" eb="9">
      <t>トウ</t>
    </rPh>
    <phoneticPr fontId="36"/>
  </si>
  <si>
    <t>区分（中小）自動車</t>
    <rPh sb="0" eb="2">
      <t>クブン</t>
    </rPh>
    <rPh sb="3" eb="5">
      <t>チュウショウ</t>
    </rPh>
    <rPh sb="6" eb="9">
      <t>ジドウシャ</t>
    </rPh>
    <phoneticPr fontId="36"/>
  </si>
  <si>
    <t>区分（大規模）</t>
    <phoneticPr fontId="36"/>
  </si>
  <si>
    <t>区分（中小）</t>
    <rPh sb="3" eb="5">
      <t>チュウショウ</t>
    </rPh>
    <phoneticPr fontId="36"/>
  </si>
  <si>
    <t>％</t>
    <phoneticPr fontId="39"/>
  </si>
  <si>
    <t>その他</t>
    <rPh sb="2" eb="3">
      <t>タ</t>
    </rPh>
    <phoneticPr fontId="39"/>
  </si>
  <si>
    <t>産業</t>
    <rPh sb="0" eb="2">
      <t>サンギョウ</t>
    </rPh>
    <phoneticPr fontId="39"/>
  </si>
  <si>
    <t>業務</t>
    <rPh sb="0" eb="2">
      <t>ギョウム</t>
    </rPh>
    <phoneticPr fontId="39"/>
  </si>
  <si>
    <t>運輸</t>
    <rPh sb="0" eb="2">
      <t>ウンユ</t>
    </rPh>
    <phoneticPr fontId="39"/>
  </si>
  <si>
    <t>シート内リンク</t>
    <rPh sb="3" eb="4">
      <t>ナイ</t>
    </rPh>
    <phoneticPr fontId="39"/>
  </si>
  <si>
    <t>原油換算エネ(1,2号)</t>
    <rPh sb="0" eb="2">
      <t>ゲンユ</t>
    </rPh>
    <rPh sb="2" eb="4">
      <t>カンサン</t>
    </rPh>
    <rPh sb="10" eb="11">
      <t>ゴウ</t>
    </rPh>
    <phoneticPr fontId="39"/>
  </si>
  <si>
    <t>原油換算エネ(3号)</t>
    <rPh sb="0" eb="2">
      <t>ゲンユ</t>
    </rPh>
    <rPh sb="2" eb="4">
      <t>カンサン</t>
    </rPh>
    <rPh sb="8" eb="9">
      <t>ゴウ</t>
    </rPh>
    <phoneticPr fontId="39"/>
  </si>
  <si>
    <t>外部供給量</t>
    <rPh sb="0" eb="2">
      <t>ガイブ</t>
    </rPh>
    <rPh sb="2" eb="4">
      <t>キョウキュウ</t>
    </rPh>
    <rPh sb="4" eb="5">
      <t>リョウ</t>
    </rPh>
    <phoneticPr fontId="39"/>
  </si>
  <si>
    <t>販売副生エネルギー</t>
    <rPh sb="0" eb="2">
      <t>ハンバイ</t>
    </rPh>
    <rPh sb="2" eb="4">
      <t>フクセイ</t>
    </rPh>
    <phoneticPr fontId="39"/>
  </si>
  <si>
    <t>未利用熱</t>
    <rPh sb="0" eb="3">
      <t>ミリヨウ</t>
    </rPh>
    <rPh sb="3" eb="4">
      <t>ネツ</t>
    </rPh>
    <phoneticPr fontId="39"/>
  </si>
  <si>
    <t>事 業 者 名：</t>
    <rPh sb="0" eb="1">
      <t>コト</t>
    </rPh>
    <rPh sb="2" eb="3">
      <t>ギョウ</t>
    </rPh>
    <rPh sb="4" eb="5">
      <t>シャ</t>
    </rPh>
    <rPh sb="6" eb="7">
      <t>メイ</t>
    </rPh>
    <phoneticPr fontId="39"/>
  </si>
  <si>
    <t>横浜・川崎市内の合計</t>
    <rPh sb="0" eb="2">
      <t>ヨコハマ</t>
    </rPh>
    <rPh sb="3" eb="5">
      <t>カワサキ</t>
    </rPh>
    <rPh sb="5" eb="7">
      <t>シナイ</t>
    </rPh>
    <rPh sb="8" eb="10">
      <t>ゴウケイ</t>
    </rPh>
    <phoneticPr fontId="4"/>
  </si>
  <si>
    <t>横浜・川崎市を除く県域の合計</t>
    <rPh sb="0" eb="2">
      <t>ヨコハマ</t>
    </rPh>
    <rPh sb="3" eb="6">
      <t>カワサキシ</t>
    </rPh>
    <rPh sb="7" eb="8">
      <t>ノゾ</t>
    </rPh>
    <rPh sb="9" eb="11">
      <t>ケンイキ</t>
    </rPh>
    <rPh sb="12" eb="14">
      <t>ゴウケイ</t>
    </rPh>
    <phoneticPr fontId="4"/>
  </si>
  <si>
    <t>事業者区分：</t>
    <rPh sb="0" eb="3">
      <t>ジギョウシャ</t>
    </rPh>
    <rPh sb="3" eb="5">
      <t>クブン</t>
    </rPh>
    <phoneticPr fontId="39"/>
  </si>
  <si>
    <t>指定工場等以外の工場等の合計</t>
    <rPh sb="0" eb="2">
      <t>シテイ</t>
    </rPh>
    <rPh sb="2" eb="4">
      <t>コウジョウ</t>
    </rPh>
    <rPh sb="4" eb="5">
      <t>トウ</t>
    </rPh>
    <rPh sb="5" eb="7">
      <t>イガイ</t>
    </rPh>
    <rPh sb="8" eb="10">
      <t>コウジョウ</t>
    </rPh>
    <rPh sb="10" eb="11">
      <t>トウ</t>
    </rPh>
    <rPh sb="12" eb="14">
      <t>ゴウケイ</t>
    </rPh>
    <phoneticPr fontId="39"/>
  </si>
  <si>
    <t>エネルギー管理指定工場等</t>
    <rPh sb="5" eb="7">
      <t>カンリ</t>
    </rPh>
    <rPh sb="7" eb="9">
      <t>シテイ</t>
    </rPh>
    <rPh sb="9" eb="11">
      <t>コウジョウ</t>
    </rPh>
    <phoneticPr fontId="4"/>
  </si>
  <si>
    <t>原単位の指標：</t>
    <rPh sb="0" eb="3">
      <t>ゲンタンイ</t>
    </rPh>
    <rPh sb="4" eb="6">
      <t>シヒョウ</t>
    </rPh>
    <phoneticPr fontId="39"/>
  </si>
  <si>
    <t>名　称</t>
    <rPh sb="0" eb="1">
      <t>ナ</t>
    </rPh>
    <rPh sb="2" eb="3">
      <t>ショウ</t>
    </rPh>
    <phoneticPr fontId="39"/>
  </si>
  <si>
    <t>原油換算エネルギー使用量</t>
    <rPh sb="0" eb="2">
      <t>ゲンユ</t>
    </rPh>
    <rPh sb="2" eb="4">
      <t>カンサン</t>
    </rPh>
    <rPh sb="9" eb="12">
      <t>シヨウリョウ</t>
    </rPh>
    <phoneticPr fontId="39"/>
  </si>
  <si>
    <t>第１号又は第２号該当事業者</t>
    <rPh sb="0" eb="1">
      <t>ダイ</t>
    </rPh>
    <rPh sb="7" eb="8">
      <t>ゴウ</t>
    </rPh>
    <rPh sb="8" eb="13">
      <t>ガイトウジギョウシャ</t>
    </rPh>
    <phoneticPr fontId="39"/>
  </si>
  <si>
    <t>都市ガス</t>
    <rPh sb="0" eb="2">
      <t>トシ</t>
    </rPh>
    <phoneticPr fontId="39"/>
  </si>
  <si>
    <t>その他の非化石燃料１</t>
    <rPh sb="2" eb="3">
      <t>タ</t>
    </rPh>
    <rPh sb="4" eb="5">
      <t>ヒ</t>
    </rPh>
    <rPh sb="5" eb="7">
      <t>カセキ</t>
    </rPh>
    <rPh sb="7" eb="9">
      <t>ネンリョウ</t>
    </rPh>
    <phoneticPr fontId="39"/>
  </si>
  <si>
    <t>その他の非化石燃料２</t>
    <rPh sb="2" eb="3">
      <t>ホカ</t>
    </rPh>
    <rPh sb="4" eb="5">
      <t>ヒ</t>
    </rPh>
    <rPh sb="5" eb="7">
      <t>カセキ</t>
    </rPh>
    <rPh sb="7" eb="9">
      <t>ネンリョウ</t>
    </rPh>
    <phoneticPr fontId="39"/>
  </si>
  <si>
    <t>産業用以外の蒸気</t>
    <rPh sb="0" eb="3">
      <t>サンギョウヨウ</t>
    </rPh>
    <rPh sb="3" eb="5">
      <t>イガイ</t>
    </rPh>
    <rPh sb="6" eb="8">
      <t>ジョウキ</t>
    </rPh>
    <phoneticPr fontId="47"/>
  </si>
  <si>
    <t>温水</t>
    <rPh sb="0" eb="2">
      <t>オンスイ</t>
    </rPh>
    <phoneticPr fontId="47"/>
  </si>
  <si>
    <t>冷水</t>
    <rPh sb="0" eb="2">
      <t>レイスイ</t>
    </rPh>
    <phoneticPr fontId="47"/>
  </si>
  <si>
    <t>その他の熱１</t>
    <rPh sb="2" eb="3">
      <t>タ</t>
    </rPh>
    <rPh sb="4" eb="5">
      <t>ネツ</t>
    </rPh>
    <phoneticPr fontId="39"/>
  </si>
  <si>
    <t>その他の熱２</t>
    <rPh sb="2" eb="3">
      <t>タ</t>
    </rPh>
    <rPh sb="4" eb="5">
      <t>ネツ</t>
    </rPh>
    <phoneticPr fontId="39"/>
  </si>
  <si>
    <t>うち非化石</t>
    <rPh sb="2" eb="3">
      <t>ヒ</t>
    </rPh>
    <rPh sb="3" eb="5">
      <t>カセキ</t>
    </rPh>
    <phoneticPr fontId="39"/>
  </si>
  <si>
    <t>太陽光（メーター設置）</t>
    <rPh sb="0" eb="3">
      <t>タイヨウコウ</t>
    </rPh>
    <phoneticPr fontId="4"/>
  </si>
  <si>
    <t>太陽光（メーター非設置）</t>
    <rPh sb="0" eb="3">
      <t>タイヨウコウ</t>
    </rPh>
    <rPh sb="8" eb="9">
      <t>ヒ</t>
    </rPh>
    <phoneticPr fontId="4"/>
  </si>
  <si>
    <t>風力（メーター設置）</t>
    <rPh sb="0" eb="2">
      <t>フウリョク</t>
    </rPh>
    <rPh sb="7" eb="9">
      <t>セッチ</t>
    </rPh>
    <phoneticPr fontId="39"/>
  </si>
  <si>
    <t>風力（メーター非設置）</t>
    <rPh sb="0" eb="2">
      <t>フウリョク</t>
    </rPh>
    <rPh sb="7" eb="8">
      <t>ヒ</t>
    </rPh>
    <rPh sb="8" eb="10">
      <t>セッチ</t>
    </rPh>
    <phoneticPr fontId="39"/>
  </si>
  <si>
    <t>地熱（メーター設置）</t>
    <rPh sb="0" eb="2">
      <t>チネツ</t>
    </rPh>
    <rPh sb="7" eb="9">
      <t>セッチ</t>
    </rPh>
    <phoneticPr fontId="39"/>
  </si>
  <si>
    <t>地熱（メーター非設置）</t>
    <rPh sb="0" eb="2">
      <t>チネツ</t>
    </rPh>
    <rPh sb="7" eb="8">
      <t>ヒ</t>
    </rPh>
    <rPh sb="8" eb="10">
      <t>セッチ</t>
    </rPh>
    <phoneticPr fontId="39"/>
  </si>
  <si>
    <t>水力（メーター設置）</t>
    <rPh sb="0" eb="2">
      <t>スイリョク</t>
    </rPh>
    <phoneticPr fontId="39"/>
  </si>
  <si>
    <t>水力（メーター非設置）</t>
    <rPh sb="7" eb="8">
      <t>ヒ</t>
    </rPh>
    <phoneticPr fontId="39"/>
  </si>
  <si>
    <t>その他の非燃料由来の非化石１</t>
    <rPh sb="2" eb="3">
      <t>タ</t>
    </rPh>
    <rPh sb="4" eb="5">
      <t>ヒ</t>
    </rPh>
    <phoneticPr fontId="39"/>
  </si>
  <si>
    <t>その他の非燃料由来の非化石２</t>
    <rPh sb="2" eb="3">
      <t>タ</t>
    </rPh>
    <rPh sb="4" eb="5">
      <t>ヒ</t>
    </rPh>
    <phoneticPr fontId="39"/>
  </si>
  <si>
    <t>B</t>
    <phoneticPr fontId="39"/>
  </si>
  <si>
    <t>C</t>
    <phoneticPr fontId="39"/>
  </si>
  <si>
    <t>D</t>
    <phoneticPr fontId="39"/>
  </si>
  <si>
    <t>エネルギー使用量（GJ換算後）</t>
    <rPh sb="5" eb="8">
      <t>シヨウリョウ</t>
    </rPh>
    <rPh sb="11" eb="13">
      <t>カンサン</t>
    </rPh>
    <rPh sb="13" eb="14">
      <t>ゴ</t>
    </rPh>
    <phoneticPr fontId="39"/>
  </si>
  <si>
    <t>小計（燃料）</t>
    <rPh sb="0" eb="2">
      <t>ショウケイ</t>
    </rPh>
    <rPh sb="3" eb="5">
      <t>ネンリョウ</t>
    </rPh>
    <phoneticPr fontId="39"/>
  </si>
  <si>
    <t>E</t>
    <phoneticPr fontId="39"/>
  </si>
  <si>
    <t>GJ</t>
    <phoneticPr fontId="39"/>
  </si>
  <si>
    <t>小計（熱）</t>
    <rPh sb="0" eb="2">
      <t>ショウケイ</t>
    </rPh>
    <rPh sb="3" eb="4">
      <t>ネツ</t>
    </rPh>
    <phoneticPr fontId="39"/>
  </si>
  <si>
    <t>F</t>
    <phoneticPr fontId="39"/>
  </si>
  <si>
    <t>小計（電気）</t>
    <rPh sb="0" eb="2">
      <t>ショウケイ</t>
    </rPh>
    <rPh sb="3" eb="5">
      <t>デンキ</t>
    </rPh>
    <phoneticPr fontId="39"/>
  </si>
  <si>
    <t>（A～Dを除く）</t>
    <rPh sb="5" eb="6">
      <t>ノゾ</t>
    </rPh>
    <phoneticPr fontId="39"/>
  </si>
  <si>
    <t>G</t>
    <phoneticPr fontId="39"/>
  </si>
  <si>
    <t>合計</t>
    <rPh sb="0" eb="2">
      <t>ゴウケイ</t>
    </rPh>
    <phoneticPr fontId="39"/>
  </si>
  <si>
    <t>（E+F+G）</t>
    <phoneticPr fontId="39"/>
  </si>
  <si>
    <t>H</t>
    <phoneticPr fontId="39"/>
  </si>
  <si>
    <t>原油換算エネルギー使用量</t>
    <rPh sb="0" eb="4">
      <t>ゲンユカンサン</t>
    </rPh>
    <rPh sb="9" eb="12">
      <t>シヨウリョウ</t>
    </rPh>
    <phoneticPr fontId="39"/>
  </si>
  <si>
    <t>（H×0.0258）</t>
    <phoneticPr fontId="39"/>
  </si>
  <si>
    <t>I</t>
    <phoneticPr fontId="39"/>
  </si>
  <si>
    <t>原油換算エネルギー使用量（非化石燃料×0.8補正後）</t>
    <rPh sb="0" eb="4">
      <t>ゲンユカンサン</t>
    </rPh>
    <rPh sb="9" eb="12">
      <t>シヨウリョウ</t>
    </rPh>
    <rPh sb="13" eb="14">
      <t>ヒ</t>
    </rPh>
    <rPh sb="14" eb="16">
      <t>カセキ</t>
    </rPh>
    <rPh sb="16" eb="18">
      <t>ネンリョウ</t>
    </rPh>
    <rPh sb="22" eb="24">
      <t>ホセイ</t>
    </rPh>
    <rPh sb="24" eb="25">
      <t>ゴ</t>
    </rPh>
    <phoneticPr fontId="39"/>
  </si>
  <si>
    <t>I'</t>
    <phoneticPr fontId="39"/>
  </si>
  <si>
    <t>販売した副生エネルギーの量の合計（原油換算後）</t>
    <rPh sb="0" eb="2">
      <t>ハンバイ</t>
    </rPh>
    <rPh sb="4" eb="6">
      <t>フクセイ</t>
    </rPh>
    <rPh sb="12" eb="13">
      <t>リョウ</t>
    </rPh>
    <rPh sb="14" eb="16">
      <t>ゴウケイ</t>
    </rPh>
    <rPh sb="17" eb="19">
      <t>ゲンユ</t>
    </rPh>
    <rPh sb="19" eb="21">
      <t>カンサン</t>
    </rPh>
    <rPh sb="21" eb="22">
      <t>ゴ</t>
    </rPh>
    <phoneticPr fontId="39"/>
  </si>
  <si>
    <t>J</t>
    <phoneticPr fontId="39"/>
  </si>
  <si>
    <t>購入した未利用熱の量の合計（原油換算後）</t>
    <rPh sb="0" eb="2">
      <t>コウニュウ</t>
    </rPh>
    <rPh sb="4" eb="7">
      <t>ミリヨウ</t>
    </rPh>
    <rPh sb="7" eb="8">
      <t>ネツ</t>
    </rPh>
    <rPh sb="9" eb="10">
      <t>リョウ</t>
    </rPh>
    <rPh sb="11" eb="13">
      <t>ゴウケイ</t>
    </rPh>
    <rPh sb="14" eb="16">
      <t>ゲンユ</t>
    </rPh>
    <rPh sb="16" eb="18">
      <t>カンサン</t>
    </rPh>
    <rPh sb="18" eb="19">
      <t>ゴ</t>
    </rPh>
    <phoneticPr fontId="39"/>
  </si>
  <si>
    <t>J'</t>
    <phoneticPr fontId="39"/>
  </si>
  <si>
    <t>エネルギー消費原単位の分子 （I'-J-J'）</t>
    <rPh sb="5" eb="7">
      <t>ショウヒ</t>
    </rPh>
    <rPh sb="7" eb="10">
      <t>ゲンタンイ</t>
    </rPh>
    <rPh sb="11" eb="13">
      <t>ブンシ</t>
    </rPh>
    <phoneticPr fontId="39"/>
  </si>
  <si>
    <t>K</t>
    <phoneticPr fontId="39"/>
  </si>
  <si>
    <t>構成割合（県域）</t>
    <rPh sb="0" eb="2">
      <t>コウセイ</t>
    </rPh>
    <rPh sb="2" eb="4">
      <t>ワリアイ</t>
    </rPh>
    <rPh sb="5" eb="6">
      <t>ケン</t>
    </rPh>
    <rPh sb="6" eb="7">
      <t>イキ</t>
    </rPh>
    <phoneticPr fontId="39"/>
  </si>
  <si>
    <t>L</t>
    <phoneticPr fontId="39"/>
  </si>
  <si>
    <t>構成割合（全県）</t>
    <rPh sb="0" eb="2">
      <t>コウセイ</t>
    </rPh>
    <rPh sb="2" eb="4">
      <t>ワリアイ</t>
    </rPh>
    <rPh sb="5" eb="6">
      <t>ゼン</t>
    </rPh>
    <rPh sb="6" eb="7">
      <t>ケン</t>
    </rPh>
    <phoneticPr fontId="39"/>
  </si>
  <si>
    <t>L'</t>
    <phoneticPr fontId="39"/>
  </si>
  <si>
    <t>原単位分母の名称</t>
    <rPh sb="0" eb="3">
      <t>ゲンタンイ</t>
    </rPh>
    <rPh sb="3" eb="5">
      <t>ブンボ</t>
    </rPh>
    <rPh sb="6" eb="8">
      <t>メイショウ</t>
    </rPh>
    <phoneticPr fontId="39"/>
  </si>
  <si>
    <t>原単位分母の単位</t>
    <rPh sb="0" eb="3">
      <t>ゲンタンイ</t>
    </rPh>
    <rPh sb="3" eb="5">
      <t>ブンボ</t>
    </rPh>
    <rPh sb="6" eb="8">
      <t>タンイ</t>
    </rPh>
    <phoneticPr fontId="39"/>
  </si>
  <si>
    <t>エネルギー消費原単位の指標</t>
    <rPh sb="5" eb="7">
      <t>ショウヒ</t>
    </rPh>
    <rPh sb="7" eb="10">
      <t>ゲンタンイ</t>
    </rPh>
    <rPh sb="11" eb="13">
      <t>シヒョウ</t>
    </rPh>
    <phoneticPr fontId="39"/>
  </si>
  <si>
    <t>M</t>
    <phoneticPr fontId="39"/>
  </si>
  <si>
    <t>N</t>
    <phoneticPr fontId="39"/>
  </si>
  <si>
    <t>前年度のエネルギー消費原単位</t>
    <rPh sb="0" eb="3">
      <t>ゼンネンド</t>
    </rPh>
    <rPh sb="9" eb="11">
      <t>ショウヒ</t>
    </rPh>
    <rPh sb="11" eb="14">
      <t>ゲンタンイ</t>
    </rPh>
    <phoneticPr fontId="39"/>
  </si>
  <si>
    <t>O</t>
    <phoneticPr fontId="39"/>
  </si>
  <si>
    <t>P</t>
    <phoneticPr fontId="39"/>
  </si>
  <si>
    <t>Q</t>
    <phoneticPr fontId="39"/>
  </si>
  <si>
    <t>Q'</t>
    <phoneticPr fontId="39"/>
  </si>
  <si>
    <t>再生可能エネルギー等の割合</t>
    <phoneticPr fontId="39"/>
  </si>
  <si>
    <t>電気由来クレジット量</t>
    <rPh sb="0" eb="2">
      <t>デンキ</t>
    </rPh>
    <rPh sb="2" eb="4">
      <t>ユライ</t>
    </rPh>
    <rPh sb="9" eb="10">
      <t>リョウ</t>
    </rPh>
    <phoneticPr fontId="39"/>
  </si>
  <si>
    <t>千kWh</t>
    <rPh sb="0" eb="1">
      <t>セン</t>
    </rPh>
    <phoneticPr fontId="39"/>
  </si>
  <si>
    <t>電気事業者から購入した調整後排出係数０の電力量</t>
    <rPh sb="0" eb="2">
      <t>デンキ</t>
    </rPh>
    <rPh sb="2" eb="4">
      <t>ジギョウ</t>
    </rPh>
    <rPh sb="4" eb="5">
      <t>シャ</t>
    </rPh>
    <rPh sb="7" eb="9">
      <t>コウニュウ</t>
    </rPh>
    <rPh sb="11" eb="14">
      <t>チョウセイゴ</t>
    </rPh>
    <rPh sb="14" eb="18">
      <t>ハイシュツケイスウ</t>
    </rPh>
    <rPh sb="20" eb="22">
      <t>デンリョク</t>
    </rPh>
    <rPh sb="22" eb="23">
      <t>リョウ</t>
    </rPh>
    <phoneticPr fontId="39"/>
  </si>
  <si>
    <t>再エネ電力量（電気事業者からの購入除く）</t>
    <rPh sb="0" eb="1">
      <t>サイ</t>
    </rPh>
    <rPh sb="3" eb="5">
      <t>デンリョク</t>
    </rPh>
    <rPh sb="5" eb="6">
      <t>リョウ</t>
    </rPh>
    <rPh sb="7" eb="9">
      <t>デンキ</t>
    </rPh>
    <rPh sb="9" eb="11">
      <t>ジギョウ</t>
    </rPh>
    <rPh sb="11" eb="12">
      <t>シャ</t>
    </rPh>
    <rPh sb="15" eb="17">
      <t>コウニュウ</t>
    </rPh>
    <rPh sb="17" eb="18">
      <t>ノゾ</t>
    </rPh>
    <phoneticPr fontId="39"/>
  </si>
  <si>
    <t>　販売した副生エネルギー除く</t>
    <rPh sb="1" eb="3">
      <t>ハンバイ</t>
    </rPh>
    <rPh sb="5" eb="7">
      <t>フクセイ</t>
    </rPh>
    <rPh sb="12" eb="13">
      <t>ノゾ</t>
    </rPh>
    <phoneticPr fontId="39"/>
  </si>
  <si>
    <t>使用電力量合計</t>
    <rPh sb="0" eb="2">
      <t>シヨウ</t>
    </rPh>
    <rPh sb="2" eb="4">
      <t>デンリョク</t>
    </rPh>
    <rPh sb="4" eb="5">
      <t>リョウ</t>
    </rPh>
    <rPh sb="5" eb="7">
      <t>ゴウケイ</t>
    </rPh>
    <phoneticPr fontId="39"/>
  </si>
  <si>
    <t>再生可能エネルギー等の割合</t>
    <rPh sb="0" eb="2">
      <t>サイセイ</t>
    </rPh>
    <rPh sb="2" eb="4">
      <t>カノウ</t>
    </rPh>
    <rPh sb="9" eb="10">
      <t>トウ</t>
    </rPh>
    <rPh sb="11" eb="13">
      <t>ワリアイ</t>
    </rPh>
    <phoneticPr fontId="39"/>
  </si>
  <si>
    <t>第３号該当事業者</t>
    <rPh sb="0" eb="1">
      <t>ダイ</t>
    </rPh>
    <rPh sb="2" eb="3">
      <t>ゴウ</t>
    </rPh>
    <rPh sb="3" eb="8">
      <t>ガイトウジギョウシャ</t>
    </rPh>
    <phoneticPr fontId="39"/>
  </si>
  <si>
    <t>台数の合計</t>
    <rPh sb="0" eb="2">
      <t>ダイスウ</t>
    </rPh>
    <rPh sb="3" eb="5">
      <t>ゴウケイ</t>
    </rPh>
    <phoneticPr fontId="39"/>
  </si>
  <si>
    <t>乗用自動車</t>
    <rPh sb="0" eb="2">
      <t>ジョウヨウ</t>
    </rPh>
    <rPh sb="2" eb="5">
      <t>ジドウシャ</t>
    </rPh>
    <phoneticPr fontId="39"/>
  </si>
  <si>
    <t>電気自動車</t>
    <rPh sb="0" eb="2">
      <t>デンキ</t>
    </rPh>
    <rPh sb="2" eb="5">
      <t>ジドウシャ</t>
    </rPh>
    <phoneticPr fontId="39"/>
  </si>
  <si>
    <t>燃料電池自動車</t>
    <rPh sb="0" eb="2">
      <t>ネンリョウ</t>
    </rPh>
    <rPh sb="2" eb="4">
      <t>デンチ</t>
    </rPh>
    <rPh sb="4" eb="7">
      <t>ジドウシャ</t>
    </rPh>
    <phoneticPr fontId="39"/>
  </si>
  <si>
    <t>バス・貨物自動車の電気自動車及び燃料電池自動車</t>
    <rPh sb="3" eb="5">
      <t>カモツ</t>
    </rPh>
    <rPh sb="5" eb="8">
      <t>ジドウシャ</t>
    </rPh>
    <rPh sb="9" eb="11">
      <t>デンキ</t>
    </rPh>
    <rPh sb="11" eb="14">
      <t>ジドウシャ</t>
    </rPh>
    <rPh sb="14" eb="15">
      <t>オヨ</t>
    </rPh>
    <rPh sb="16" eb="18">
      <t>ネンリョウ</t>
    </rPh>
    <rPh sb="18" eb="23">
      <t>デンチジドウシャ</t>
    </rPh>
    <phoneticPr fontId="39"/>
  </si>
  <si>
    <t>kl</t>
    <phoneticPr fontId="39"/>
  </si>
  <si>
    <t>都市ガス(ＣＮＧ含む)</t>
    <rPh sb="0" eb="2">
      <t>トシ</t>
    </rPh>
    <rPh sb="8" eb="9">
      <t>フク</t>
    </rPh>
    <phoneticPr fontId="39"/>
  </si>
  <si>
    <t>その他の非化石燃料</t>
    <rPh sb="2" eb="3">
      <t>タ</t>
    </rPh>
    <rPh sb="4" eb="5">
      <t>ヒ</t>
    </rPh>
    <rPh sb="5" eb="7">
      <t>カセキ</t>
    </rPh>
    <rPh sb="7" eb="9">
      <t>ネンリョウ</t>
    </rPh>
    <phoneticPr fontId="36"/>
  </si>
  <si>
    <t>千kWh</t>
    <phoneticPr fontId="39"/>
  </si>
  <si>
    <t>kW</t>
    <phoneticPr fontId="39"/>
  </si>
  <si>
    <t>その他の熱(化石)</t>
    <rPh sb="4" eb="5">
      <t>ネツ</t>
    </rPh>
    <rPh sb="6" eb="8">
      <t>カセキ</t>
    </rPh>
    <phoneticPr fontId="4"/>
  </si>
  <si>
    <t>その他の熱(非化石)</t>
    <rPh sb="4" eb="5">
      <t>ネツ</t>
    </rPh>
    <rPh sb="6" eb="7">
      <t>ヒ</t>
    </rPh>
    <rPh sb="7" eb="9">
      <t>カセキ</t>
    </rPh>
    <phoneticPr fontId="4"/>
  </si>
  <si>
    <t>（a~dを除く）</t>
    <rPh sb="5" eb="6">
      <t>ノゾ</t>
    </rPh>
    <phoneticPr fontId="39"/>
  </si>
  <si>
    <t>（e+g）</t>
    <phoneticPr fontId="39"/>
  </si>
  <si>
    <t>燃料を使用して発生させた熱・電気の他者への供給量</t>
    <rPh sb="0" eb="2">
      <t>ネンリョウ</t>
    </rPh>
    <rPh sb="3" eb="5">
      <t>シヨウ</t>
    </rPh>
    <rPh sb="7" eb="9">
      <t>ハッセイ</t>
    </rPh>
    <rPh sb="12" eb="13">
      <t>ネツ</t>
    </rPh>
    <rPh sb="14" eb="16">
      <t>デンキ</t>
    </rPh>
    <rPh sb="17" eb="19">
      <t>タシャ</t>
    </rPh>
    <rPh sb="21" eb="23">
      <t>キョウキュウ</t>
    </rPh>
    <rPh sb="23" eb="24">
      <t>リョウ</t>
    </rPh>
    <phoneticPr fontId="39"/>
  </si>
  <si>
    <t>A'</t>
    <phoneticPr fontId="39"/>
  </si>
  <si>
    <t>B'</t>
    <phoneticPr fontId="39"/>
  </si>
  <si>
    <t>C'</t>
    <phoneticPr fontId="39"/>
  </si>
  <si>
    <t>D'</t>
    <phoneticPr fontId="39"/>
  </si>
  <si>
    <t>エネルギー供給量（GJ換算後）</t>
    <rPh sb="5" eb="7">
      <t>キョウキュウ</t>
    </rPh>
    <rPh sb="7" eb="8">
      <t>リョウ</t>
    </rPh>
    <rPh sb="11" eb="13">
      <t>カンサン</t>
    </rPh>
    <rPh sb="13" eb="14">
      <t>ゴ</t>
    </rPh>
    <phoneticPr fontId="39"/>
  </si>
  <si>
    <t>E'</t>
    <phoneticPr fontId="39"/>
  </si>
  <si>
    <t>F'</t>
    <phoneticPr fontId="39"/>
  </si>
  <si>
    <t>（A'～D'を除く）</t>
    <rPh sb="7" eb="8">
      <t>ノゾ</t>
    </rPh>
    <phoneticPr fontId="39"/>
  </si>
  <si>
    <t>G'</t>
    <phoneticPr fontId="39"/>
  </si>
  <si>
    <t>（E'+F'+G'）</t>
    <phoneticPr fontId="39"/>
  </si>
  <si>
    <t>H'</t>
    <phoneticPr fontId="39"/>
  </si>
  <si>
    <t>エネルギー供給量（原油換算後）</t>
    <rPh sb="5" eb="7">
      <t>キョウキュウ</t>
    </rPh>
    <rPh sb="7" eb="8">
      <t>リョウ</t>
    </rPh>
    <rPh sb="9" eb="11">
      <t>ゲンユ</t>
    </rPh>
    <rPh sb="11" eb="13">
      <t>カンサン</t>
    </rPh>
    <rPh sb="13" eb="14">
      <t>ゴ</t>
    </rPh>
    <phoneticPr fontId="39"/>
  </si>
  <si>
    <t>（H'×0.0258）</t>
    <phoneticPr fontId="39"/>
  </si>
  <si>
    <t>販売した副生エネルギーの量（原油換算後）</t>
    <rPh sb="0" eb="2">
      <t>ハンバイ</t>
    </rPh>
    <rPh sb="4" eb="6">
      <t>フクセイ</t>
    </rPh>
    <rPh sb="12" eb="13">
      <t>リョウ</t>
    </rPh>
    <rPh sb="14" eb="16">
      <t>ゲンユ</t>
    </rPh>
    <rPh sb="16" eb="18">
      <t>カンサン</t>
    </rPh>
    <rPh sb="18" eb="19">
      <t>ゴ</t>
    </rPh>
    <phoneticPr fontId="39"/>
  </si>
  <si>
    <t>A''</t>
    <phoneticPr fontId="39"/>
  </si>
  <si>
    <t>B''</t>
    <phoneticPr fontId="39"/>
  </si>
  <si>
    <t>C''</t>
    <phoneticPr fontId="39"/>
  </si>
  <si>
    <t>D''</t>
    <phoneticPr fontId="39"/>
  </si>
  <si>
    <t>再エネ（非化石）電力量合計</t>
    <rPh sb="0" eb="1">
      <t>サイ</t>
    </rPh>
    <rPh sb="4" eb="5">
      <t>ヒ</t>
    </rPh>
    <rPh sb="5" eb="7">
      <t>カセキ</t>
    </rPh>
    <rPh sb="8" eb="10">
      <t>デンリョク</t>
    </rPh>
    <rPh sb="10" eb="11">
      <t>リョウ</t>
    </rPh>
    <rPh sb="11" eb="13">
      <t>ゴウケイ</t>
    </rPh>
    <phoneticPr fontId="39"/>
  </si>
  <si>
    <t>電力量合計</t>
    <rPh sb="0" eb="2">
      <t>デンリョク</t>
    </rPh>
    <rPh sb="2" eb="3">
      <t>リョウ</t>
    </rPh>
    <rPh sb="3" eb="5">
      <t>ゴウケイ</t>
    </rPh>
    <phoneticPr fontId="39"/>
  </si>
  <si>
    <t>副生エネルギー販売量（GJ換算後）</t>
    <rPh sb="0" eb="2">
      <t>フクセイ</t>
    </rPh>
    <rPh sb="7" eb="9">
      <t>ハンバイ</t>
    </rPh>
    <rPh sb="9" eb="10">
      <t>リョウ</t>
    </rPh>
    <rPh sb="13" eb="15">
      <t>カンサン</t>
    </rPh>
    <rPh sb="15" eb="16">
      <t>ゴ</t>
    </rPh>
    <phoneticPr fontId="39"/>
  </si>
  <si>
    <t>E''</t>
    <phoneticPr fontId="39"/>
  </si>
  <si>
    <t>F''</t>
    <phoneticPr fontId="39"/>
  </si>
  <si>
    <t>（A''～D''を除く）</t>
    <rPh sb="9" eb="10">
      <t>ノゾ</t>
    </rPh>
    <phoneticPr fontId="39"/>
  </si>
  <si>
    <t>G''</t>
    <phoneticPr fontId="39"/>
  </si>
  <si>
    <t>（E''+F''+G''）</t>
    <phoneticPr fontId="39"/>
  </si>
  <si>
    <t>H''</t>
    <phoneticPr fontId="39"/>
  </si>
  <si>
    <t>副生エネルギー販売量（原油換算後）</t>
    <rPh sb="0" eb="2">
      <t>フクセイ</t>
    </rPh>
    <rPh sb="7" eb="9">
      <t>ハンバイ</t>
    </rPh>
    <rPh sb="9" eb="10">
      <t>リョウ</t>
    </rPh>
    <rPh sb="11" eb="13">
      <t>ゲンユ</t>
    </rPh>
    <rPh sb="13" eb="15">
      <t>カンサン</t>
    </rPh>
    <rPh sb="15" eb="16">
      <t>ゴ</t>
    </rPh>
    <phoneticPr fontId="39"/>
  </si>
  <si>
    <t>（H''×0.0258）</t>
    <phoneticPr fontId="39"/>
  </si>
  <si>
    <t>購入した未利用熱の量</t>
    <rPh sb="0" eb="2">
      <t>コウニュウ</t>
    </rPh>
    <rPh sb="4" eb="7">
      <t>ミリヨウ</t>
    </rPh>
    <rPh sb="7" eb="8">
      <t>ネツ</t>
    </rPh>
    <rPh sb="9" eb="10">
      <t>リョウ</t>
    </rPh>
    <phoneticPr fontId="39"/>
  </si>
  <si>
    <t>未利用熱の購入量（GJ換算後）</t>
    <rPh sb="0" eb="3">
      <t>ミリヨウ</t>
    </rPh>
    <rPh sb="3" eb="4">
      <t>ネツ</t>
    </rPh>
    <rPh sb="5" eb="7">
      <t>コウニュウ</t>
    </rPh>
    <rPh sb="7" eb="8">
      <t>リョウ</t>
    </rPh>
    <rPh sb="11" eb="13">
      <t>カンサン</t>
    </rPh>
    <rPh sb="13" eb="14">
      <t>ゴ</t>
    </rPh>
    <phoneticPr fontId="39"/>
  </si>
  <si>
    <t>未利用熱の購入量（原油換算後）</t>
    <rPh sb="0" eb="3">
      <t>ミリヨウ</t>
    </rPh>
    <rPh sb="3" eb="4">
      <t>ネツ</t>
    </rPh>
    <rPh sb="5" eb="7">
      <t>コウニュウ</t>
    </rPh>
    <rPh sb="7" eb="8">
      <t>リョウ</t>
    </rPh>
    <rPh sb="9" eb="11">
      <t>ゲンユ</t>
    </rPh>
    <rPh sb="11" eb="13">
      <t>カンサン</t>
    </rPh>
    <rPh sb="13" eb="14">
      <t>ゴ</t>
    </rPh>
    <phoneticPr fontId="39"/>
  </si>
  <si>
    <t>第1,2号</t>
    <rPh sb="0" eb="1">
      <t>ダイ</t>
    </rPh>
    <rPh sb="4" eb="5">
      <t>ゴウ</t>
    </rPh>
    <phoneticPr fontId="39"/>
  </si>
  <si>
    <t>基礎排出量</t>
    <rPh sb="0" eb="2">
      <t>キソ</t>
    </rPh>
    <rPh sb="2" eb="4">
      <t>ハイシュツ</t>
    </rPh>
    <rPh sb="4" eb="5">
      <t>リョウ</t>
    </rPh>
    <phoneticPr fontId="39"/>
  </si>
  <si>
    <t>調整後排出量</t>
    <rPh sb="0" eb="2">
      <t>チョウセイ</t>
    </rPh>
    <rPh sb="2" eb="3">
      <t>ゴ</t>
    </rPh>
    <rPh sb="3" eb="5">
      <t>ハイシュツ</t>
    </rPh>
    <rPh sb="5" eb="6">
      <t>リョウ</t>
    </rPh>
    <phoneticPr fontId="39"/>
  </si>
  <si>
    <t>外部供給</t>
    <phoneticPr fontId="39"/>
  </si>
  <si>
    <t>第3号</t>
    <rPh sb="0" eb="1">
      <t>ダイ</t>
    </rPh>
    <rPh sb="2" eb="3">
      <t>ゴウ</t>
    </rPh>
    <phoneticPr fontId="39"/>
  </si>
  <si>
    <t>排出係数</t>
    <rPh sb="0" eb="2">
      <t>ハイシュツ</t>
    </rPh>
    <rPh sb="2" eb="4">
      <t>ケイスウ</t>
    </rPh>
    <phoneticPr fontId="4"/>
  </si>
  <si>
    <t>指定工場等1</t>
    <rPh sb="0" eb="2">
      <t>シテイ</t>
    </rPh>
    <rPh sb="2" eb="4">
      <t>コウジョウ</t>
    </rPh>
    <phoneticPr fontId="4"/>
  </si>
  <si>
    <t>指定工場等2</t>
    <rPh sb="0" eb="2">
      <t>シテイ</t>
    </rPh>
    <rPh sb="2" eb="4">
      <t>コウジョウ</t>
    </rPh>
    <phoneticPr fontId="4"/>
  </si>
  <si>
    <t>指定工場等3</t>
    <rPh sb="0" eb="2">
      <t>シテイ</t>
    </rPh>
    <rPh sb="2" eb="4">
      <t>コウジョウ</t>
    </rPh>
    <phoneticPr fontId="4"/>
  </si>
  <si>
    <t>指定工場等4</t>
    <rPh sb="0" eb="2">
      <t>シテイ</t>
    </rPh>
    <rPh sb="2" eb="4">
      <t>コウジョウ</t>
    </rPh>
    <phoneticPr fontId="4"/>
  </si>
  <si>
    <t>指定工場等5</t>
    <rPh sb="0" eb="2">
      <t>シテイ</t>
    </rPh>
    <rPh sb="2" eb="4">
      <t>コウジョウ</t>
    </rPh>
    <phoneticPr fontId="4"/>
  </si>
  <si>
    <t>指定工場等6</t>
    <rPh sb="0" eb="2">
      <t>シテイ</t>
    </rPh>
    <rPh sb="2" eb="4">
      <t>コウジョウ</t>
    </rPh>
    <phoneticPr fontId="4"/>
  </si>
  <si>
    <t>指定工場等7</t>
    <rPh sb="0" eb="2">
      <t>シテイ</t>
    </rPh>
    <rPh sb="2" eb="4">
      <t>コウジョウ</t>
    </rPh>
    <phoneticPr fontId="4"/>
  </si>
  <si>
    <t>指定工場等8</t>
    <rPh sb="0" eb="2">
      <t>シテイ</t>
    </rPh>
    <rPh sb="2" eb="4">
      <t>コウジョウ</t>
    </rPh>
    <phoneticPr fontId="4"/>
  </si>
  <si>
    <t>指定工場等9</t>
    <rPh sb="0" eb="2">
      <t>シテイ</t>
    </rPh>
    <rPh sb="2" eb="4">
      <t>コウジョウ</t>
    </rPh>
    <phoneticPr fontId="4"/>
  </si>
  <si>
    <t>指定工場等10</t>
    <rPh sb="0" eb="2">
      <t>シテイ</t>
    </rPh>
    <rPh sb="2" eb="4">
      <t>コウジョウ</t>
    </rPh>
    <phoneticPr fontId="4"/>
  </si>
  <si>
    <t>直接排出</t>
    <rPh sb="0" eb="2">
      <t>チョクセツ</t>
    </rPh>
    <rPh sb="2" eb="4">
      <t>ハイシュツ</t>
    </rPh>
    <phoneticPr fontId="39"/>
  </si>
  <si>
    <t>燃料の使用（廃棄物原燃料使用を除く）</t>
    <rPh sb="0" eb="2">
      <t>ネンリョウ</t>
    </rPh>
    <rPh sb="3" eb="5">
      <t>シヨウ</t>
    </rPh>
    <phoneticPr fontId="39"/>
  </si>
  <si>
    <t>（基礎）</t>
    <rPh sb="1" eb="3">
      <t>キソ</t>
    </rPh>
    <phoneticPr fontId="39"/>
  </si>
  <si>
    <t>燃料の使用（廃棄物原燃料使用に限る）</t>
    <rPh sb="0" eb="2">
      <t>ネンリョウ</t>
    </rPh>
    <rPh sb="3" eb="5">
      <t>シヨウ</t>
    </rPh>
    <rPh sb="6" eb="9">
      <t>ハイキブツ</t>
    </rPh>
    <rPh sb="9" eb="12">
      <t>ゲンネンリョウ</t>
    </rPh>
    <rPh sb="12" eb="14">
      <t>シヨウ</t>
    </rPh>
    <rPh sb="15" eb="16">
      <t>カギ</t>
    </rPh>
    <phoneticPr fontId="39"/>
  </si>
  <si>
    <t>間接排出</t>
    <rPh sb="0" eb="2">
      <t>カンセツ</t>
    </rPh>
    <rPh sb="2" eb="4">
      <t>ハイシュツ</t>
    </rPh>
    <phoneticPr fontId="39"/>
  </si>
  <si>
    <t>他人から供給された熱の使用</t>
    <rPh sb="0" eb="2">
      <t>タニン</t>
    </rPh>
    <rPh sb="4" eb="6">
      <t>キョウキュウ</t>
    </rPh>
    <rPh sb="9" eb="10">
      <t>ネツ</t>
    </rPh>
    <rPh sb="11" eb="13">
      <t>シヨウ</t>
    </rPh>
    <phoneticPr fontId="39"/>
  </si>
  <si>
    <t>他人から供給された電気の使用</t>
    <rPh sb="0" eb="2">
      <t>タニン</t>
    </rPh>
    <rPh sb="4" eb="6">
      <t>キョウキュウ</t>
    </rPh>
    <rPh sb="9" eb="11">
      <t>デンキ</t>
    </rPh>
    <rPh sb="12" eb="14">
      <t>シヨウ</t>
    </rPh>
    <phoneticPr fontId="39"/>
  </si>
  <si>
    <t>他人に供給した電気又は熱に伴う基礎排出量</t>
    <rPh sb="15" eb="17">
      <t>キソ</t>
    </rPh>
    <phoneticPr fontId="39"/>
  </si>
  <si>
    <t>クレジット等</t>
    <rPh sb="5" eb="6">
      <t>トウ</t>
    </rPh>
    <phoneticPr fontId="39"/>
  </si>
  <si>
    <t>kWh</t>
    <phoneticPr fontId="39"/>
  </si>
  <si>
    <t>グリーン電力証書</t>
    <rPh sb="4" eb="6">
      <t>デンリョク</t>
    </rPh>
    <rPh sb="6" eb="8">
      <t>ショウショ</t>
    </rPh>
    <phoneticPr fontId="40"/>
  </si>
  <si>
    <t>グリーン熱証書</t>
    <rPh sb="4" eb="5">
      <t>ネツ</t>
    </rPh>
    <rPh sb="5" eb="7">
      <t>ショウショ</t>
    </rPh>
    <phoneticPr fontId="40"/>
  </si>
  <si>
    <t>全国平均係数</t>
    <rPh sb="0" eb="2">
      <t>ゼンコク</t>
    </rPh>
    <rPh sb="2" eb="4">
      <t>ヘイキン</t>
    </rPh>
    <rPh sb="4" eb="6">
      <t>ケイスウ</t>
    </rPh>
    <phoneticPr fontId="39"/>
  </si>
  <si>
    <t>非化石証書の量</t>
    <phoneticPr fontId="40"/>
  </si>
  <si>
    <t>二酸化炭素削減相当量</t>
    <phoneticPr fontId="40"/>
  </si>
  <si>
    <t>FIT補正率</t>
    <rPh sb="3" eb="5">
      <t>ホセイ</t>
    </rPh>
    <rPh sb="5" eb="6">
      <t>リツ</t>
    </rPh>
    <phoneticPr fontId="39"/>
  </si>
  <si>
    <t>非FIT非化石証書(再エネ指定)</t>
    <phoneticPr fontId="40"/>
  </si>
  <si>
    <t>非FIT補正率</t>
    <rPh sb="0" eb="1">
      <t>ヒ</t>
    </rPh>
    <rPh sb="4" eb="6">
      <t>ホセイ</t>
    </rPh>
    <rPh sb="6" eb="7">
      <t>リツ</t>
    </rPh>
    <phoneticPr fontId="39"/>
  </si>
  <si>
    <t>非FIT非化石証書(再エネ指定無し)</t>
    <phoneticPr fontId="40"/>
  </si>
  <si>
    <t>電力合計削減相当量（H+K+P≦D)</t>
    <rPh sb="0" eb="2">
      <t>デンリョク</t>
    </rPh>
    <rPh sb="2" eb="4">
      <t>ゴウケイ</t>
    </rPh>
    <rPh sb="4" eb="6">
      <t>サクゲン</t>
    </rPh>
    <rPh sb="6" eb="8">
      <t>ソウトウ</t>
    </rPh>
    <rPh sb="8" eb="9">
      <t>リョウ</t>
    </rPh>
    <phoneticPr fontId="39"/>
  </si>
  <si>
    <t>熱合計削減相当量(I+L≦C)</t>
    <rPh sb="0" eb="1">
      <t>ネツ</t>
    </rPh>
    <rPh sb="1" eb="3">
      <t>ゴウケイ</t>
    </rPh>
    <phoneticPr fontId="39"/>
  </si>
  <si>
    <t>（A+B+C+D-E-H-I-K-L-M-O)</t>
    <phoneticPr fontId="39"/>
  </si>
  <si>
    <t>（調整後）</t>
    <rPh sb="1" eb="3">
      <t>チョウセイ</t>
    </rPh>
    <rPh sb="3" eb="4">
      <t>ゴ</t>
    </rPh>
    <phoneticPr fontId="39"/>
  </si>
  <si>
    <t>他人に供給した電気又は熱に伴う調整後排出量(調整後）</t>
    <rPh sb="15" eb="17">
      <t>チョウセイ</t>
    </rPh>
    <rPh sb="17" eb="18">
      <t>ゴ</t>
    </rPh>
    <rPh sb="18" eb="20">
      <t>ハイシュツ</t>
    </rPh>
    <rPh sb="22" eb="25">
      <t>チョウセイゴ</t>
    </rPh>
    <phoneticPr fontId="39"/>
  </si>
  <si>
    <t>K'</t>
    <phoneticPr fontId="39"/>
  </si>
  <si>
    <t>M'</t>
    <phoneticPr fontId="39"/>
  </si>
  <si>
    <t>N'</t>
    <phoneticPr fontId="39"/>
  </si>
  <si>
    <t>O1'</t>
    <phoneticPr fontId="39"/>
  </si>
  <si>
    <t>非FIT非化石証書(再エネ指定)</t>
  </si>
  <si>
    <t>O2'</t>
    <phoneticPr fontId="39"/>
  </si>
  <si>
    <t>非FIT非化石証書(再エネ指定無し)</t>
  </si>
  <si>
    <t>O3'</t>
    <phoneticPr fontId="39"/>
  </si>
  <si>
    <t>O'</t>
    <phoneticPr fontId="39"/>
  </si>
  <si>
    <t>P'</t>
    <phoneticPr fontId="39"/>
  </si>
  <si>
    <t>電力合計削減相当量（H'+K'+O1’+O2'）</t>
    <phoneticPr fontId="39"/>
  </si>
  <si>
    <t>電力合計削減相当量（H'+K'+P'≦D')</t>
    <rPh sb="0" eb="2">
      <t>デンリョク</t>
    </rPh>
    <rPh sb="2" eb="4">
      <t>ゴウケイ</t>
    </rPh>
    <rPh sb="4" eb="6">
      <t>サクゲン</t>
    </rPh>
    <rPh sb="6" eb="8">
      <t>ソウトウ</t>
    </rPh>
    <rPh sb="8" eb="9">
      <t>リョウ</t>
    </rPh>
    <phoneticPr fontId="39"/>
  </si>
  <si>
    <t>熱合計削減相当量(I'+L'≦C')</t>
    <rPh sb="0" eb="1">
      <t>ネツ</t>
    </rPh>
    <rPh sb="1" eb="3">
      <t>ゴウケイ</t>
    </rPh>
    <phoneticPr fontId="39"/>
  </si>
  <si>
    <t>（A'+C'+D'-E'-F'-G'-H'-I'-J'-K'-L'-M'-N'-O')</t>
    <phoneticPr fontId="39"/>
  </si>
  <si>
    <t>非化石燃料</t>
    <phoneticPr fontId="39"/>
  </si>
  <si>
    <t>間接排出</t>
    <rPh sb="0" eb="4">
      <t>カンセツハイシュツ</t>
    </rPh>
    <phoneticPr fontId="39"/>
  </si>
  <si>
    <t>再エネ指定FIT非化石証書</t>
    <phoneticPr fontId="40"/>
  </si>
  <si>
    <t>再エネ指定非FIT非化石証書</t>
    <phoneticPr fontId="40"/>
  </si>
  <si>
    <t>再エネ指定無し非FIT非化石証書</t>
    <phoneticPr fontId="40"/>
  </si>
  <si>
    <t>（a+b+c+d-e-f-g-i-k-l)</t>
    <phoneticPr fontId="39"/>
  </si>
  <si>
    <t>a'</t>
    <phoneticPr fontId="39"/>
  </si>
  <si>
    <t>d'</t>
  </si>
  <si>
    <t>f'</t>
    <phoneticPr fontId="39"/>
  </si>
  <si>
    <t>g'</t>
    <phoneticPr fontId="39"/>
  </si>
  <si>
    <t>h'</t>
    <phoneticPr fontId="39"/>
  </si>
  <si>
    <t>i'</t>
    <phoneticPr fontId="39"/>
  </si>
  <si>
    <t>j'</t>
    <phoneticPr fontId="39"/>
  </si>
  <si>
    <t>k'</t>
    <phoneticPr fontId="39"/>
  </si>
  <si>
    <t>l'</t>
    <phoneticPr fontId="39"/>
  </si>
  <si>
    <t>m'</t>
    <phoneticPr fontId="39"/>
  </si>
  <si>
    <t>n'</t>
    <phoneticPr fontId="39"/>
  </si>
  <si>
    <t>o'</t>
    <phoneticPr fontId="39"/>
  </si>
  <si>
    <t>p'</t>
    <phoneticPr fontId="39"/>
  </si>
  <si>
    <t>（a'+c'+d'-e'-f'-g'-h'-i'-j'-k'-l')</t>
    <phoneticPr fontId="39"/>
  </si>
  <si>
    <t>他人に供給した電気又は熱に伴う排出量</t>
    <rPh sb="0" eb="2">
      <t>タニン</t>
    </rPh>
    <rPh sb="3" eb="5">
      <t>キョウキュウ</t>
    </rPh>
    <rPh sb="7" eb="9">
      <t>デンキ</t>
    </rPh>
    <rPh sb="9" eb="10">
      <t>マタ</t>
    </rPh>
    <rPh sb="11" eb="12">
      <t>ネツ</t>
    </rPh>
    <rPh sb="13" eb="14">
      <t>トモナ</t>
    </rPh>
    <rPh sb="15" eb="17">
      <t>ハイシュツ</t>
    </rPh>
    <rPh sb="17" eb="18">
      <t>リョウ</t>
    </rPh>
    <phoneticPr fontId="39"/>
  </si>
  <si>
    <t>他人に供給した電気又は熱に伴う排出量（基礎）</t>
    <rPh sb="0" eb="2">
      <t>タニン</t>
    </rPh>
    <rPh sb="3" eb="5">
      <t>キョウキュウ</t>
    </rPh>
    <rPh sb="7" eb="9">
      <t>デンキ</t>
    </rPh>
    <rPh sb="9" eb="10">
      <t>マタ</t>
    </rPh>
    <rPh sb="11" eb="12">
      <t>ネツ</t>
    </rPh>
    <rPh sb="13" eb="14">
      <t>トモナ</t>
    </rPh>
    <rPh sb="15" eb="17">
      <t>ハイシュツ</t>
    </rPh>
    <rPh sb="17" eb="18">
      <t>リョウ</t>
    </rPh>
    <rPh sb="19" eb="21">
      <t>キソ</t>
    </rPh>
    <phoneticPr fontId="39"/>
  </si>
  <si>
    <t>調整後排出係数</t>
    <rPh sb="0" eb="3">
      <t>チョウセイゴ</t>
    </rPh>
    <rPh sb="3" eb="5">
      <t>ハイシュツ</t>
    </rPh>
    <rPh sb="5" eb="7">
      <t>ケイスウ</t>
    </rPh>
    <phoneticPr fontId="39"/>
  </si>
  <si>
    <t>他人に供給した電気又は熱に伴う排出量（調整後）</t>
    <rPh sb="0" eb="2">
      <t>タニン</t>
    </rPh>
    <rPh sb="3" eb="5">
      <t>キョウキュウ</t>
    </rPh>
    <rPh sb="7" eb="9">
      <t>デンキ</t>
    </rPh>
    <rPh sb="9" eb="10">
      <t>マタ</t>
    </rPh>
    <rPh sb="11" eb="12">
      <t>ネツ</t>
    </rPh>
    <rPh sb="13" eb="14">
      <t>トモナ</t>
    </rPh>
    <rPh sb="15" eb="17">
      <t>ハイシュツ</t>
    </rPh>
    <rPh sb="17" eb="18">
      <t>リョウ</t>
    </rPh>
    <rPh sb="19" eb="22">
      <t>チョウセイゴ</t>
    </rPh>
    <phoneticPr fontId="39"/>
  </si>
  <si>
    <t>Ａシート</t>
    <phoneticPr fontId="39"/>
  </si>
  <si>
    <t>A1</t>
    <phoneticPr fontId="39"/>
  </si>
  <si>
    <t>前年度からの法人情報変更有無</t>
    <phoneticPr fontId="39"/>
  </si>
  <si>
    <t>F9</t>
    <phoneticPr fontId="39"/>
  </si>
  <si>
    <t>要選択</t>
    <phoneticPr fontId="39"/>
  </si>
  <si>
    <t>新規</t>
    <rPh sb="0" eb="2">
      <t>シンキ</t>
    </rPh>
    <phoneticPr fontId="39"/>
  </si>
  <si>
    <t>変更無し</t>
    <phoneticPr fontId="39"/>
  </si>
  <si>
    <t>事業者の名称等に変更有り</t>
    <phoneticPr fontId="39"/>
  </si>
  <si>
    <t>法人の合併・分割等有り</t>
    <phoneticPr fontId="39"/>
  </si>
  <si>
    <t>県内事業の中止・廃止有り</t>
    <phoneticPr fontId="39"/>
  </si>
  <si>
    <t>F196</t>
    <phoneticPr fontId="39"/>
  </si>
  <si>
    <t>F382</t>
    <phoneticPr fontId="39"/>
  </si>
  <si>
    <t>F568</t>
    <phoneticPr fontId="39"/>
  </si>
  <si>
    <t>区分（大規模）</t>
    <phoneticPr fontId="39"/>
  </si>
  <si>
    <t>2025提出</t>
    <rPh sb="4" eb="6">
      <t>テイシュツ</t>
    </rPh>
    <phoneticPr fontId="39"/>
  </si>
  <si>
    <t>H10</t>
    <phoneticPr fontId="39"/>
  </si>
  <si>
    <t>□</t>
    <phoneticPr fontId="39"/>
  </si>
  <si>
    <t>■</t>
    <phoneticPr fontId="39"/>
  </si>
  <si>
    <t>H11</t>
  </si>
  <si>
    <t>H12</t>
  </si>
  <si>
    <t>2026提出</t>
    <rPh sb="4" eb="6">
      <t>テイシュツ</t>
    </rPh>
    <phoneticPr fontId="39"/>
  </si>
  <si>
    <t>2027提出</t>
    <rPh sb="4" eb="6">
      <t>テイシュツ</t>
    </rPh>
    <phoneticPr fontId="39"/>
  </si>
  <si>
    <t>2028提出</t>
    <rPh sb="4" eb="6">
      <t>テイシュツ</t>
    </rPh>
    <phoneticPr fontId="39"/>
  </si>
  <si>
    <t>区分（中小）</t>
    <rPh sb="3" eb="5">
      <t>チュウショウ</t>
    </rPh>
    <phoneticPr fontId="39"/>
  </si>
  <si>
    <t>J10</t>
    <phoneticPr fontId="39"/>
  </si>
  <si>
    <t>J11</t>
    <phoneticPr fontId="39"/>
  </si>
  <si>
    <t>原単位分母の名称（第1,2号）</t>
    <rPh sb="9" eb="10">
      <t>ダイ</t>
    </rPh>
    <rPh sb="13" eb="14">
      <t>ゴウ</t>
    </rPh>
    <phoneticPr fontId="39"/>
  </si>
  <si>
    <t>L10</t>
    <phoneticPr fontId="39"/>
  </si>
  <si>
    <t>生産数量</t>
  </si>
  <si>
    <t>売上高</t>
  </si>
  <si>
    <t>延床面積</t>
  </si>
  <si>
    <t>稼動時間</t>
  </si>
  <si>
    <t>従業員数</t>
  </si>
  <si>
    <t>店舗数</t>
  </si>
  <si>
    <t>県域</t>
    <rPh sb="0" eb="1">
      <t>ケン</t>
    </rPh>
    <rPh sb="1" eb="2">
      <t>イキ</t>
    </rPh>
    <phoneticPr fontId="39"/>
  </si>
  <si>
    <t>M10</t>
    <phoneticPr fontId="39"/>
  </si>
  <si>
    <t>HE10</t>
    <phoneticPr fontId="39"/>
  </si>
  <si>
    <t>HI10</t>
    <phoneticPr fontId="39"/>
  </si>
  <si>
    <t>原単位分母の単位（第1,2号）</t>
    <phoneticPr fontId="39"/>
  </si>
  <si>
    <t>L11</t>
    <phoneticPr fontId="39"/>
  </si>
  <si>
    <t>円</t>
  </si>
  <si>
    <t>h</t>
  </si>
  <si>
    <t>人</t>
  </si>
  <si>
    <t>件</t>
  </si>
  <si>
    <t>M11</t>
    <phoneticPr fontId="39"/>
  </si>
  <si>
    <t>HE11</t>
    <phoneticPr fontId="39"/>
  </si>
  <si>
    <t>HI11</t>
    <phoneticPr fontId="39"/>
  </si>
  <si>
    <t>原単位分母の名称（第3号）</t>
    <rPh sb="9" eb="10">
      <t>ダイ</t>
    </rPh>
    <rPh sb="11" eb="12">
      <t>ゴウ</t>
    </rPh>
    <phoneticPr fontId="39"/>
  </si>
  <si>
    <t>I108</t>
    <phoneticPr fontId="39"/>
  </si>
  <si>
    <t>走行距離</t>
  </si>
  <si>
    <t>輸送トンキロ</t>
  </si>
  <si>
    <t>作業時間</t>
  </si>
  <si>
    <t>J108</t>
    <phoneticPr fontId="39"/>
  </si>
  <si>
    <t>原単位分母の単位（第3号）</t>
    <phoneticPr fontId="39"/>
  </si>
  <si>
    <t>I109</t>
    <phoneticPr fontId="39"/>
  </si>
  <si>
    <t>km</t>
  </si>
  <si>
    <t>万t・km</t>
  </si>
  <si>
    <t>J109</t>
    <phoneticPr fontId="39"/>
  </si>
  <si>
    <t>工場ごと</t>
    <rPh sb="0" eb="2">
      <t>コウジョウ</t>
    </rPh>
    <phoneticPr fontId="39"/>
  </si>
  <si>
    <t>K108ほか</t>
    <phoneticPr fontId="39"/>
  </si>
  <si>
    <t>K109ほか</t>
    <phoneticPr fontId="39"/>
  </si>
  <si>
    <t>入力補助</t>
    <rPh sb="0" eb="2">
      <t>ニュウリョク</t>
    </rPh>
    <rPh sb="2" eb="4">
      <t>ホジョ</t>
    </rPh>
    <phoneticPr fontId="39"/>
  </si>
  <si>
    <t>Ｎ12</t>
    <phoneticPr fontId="39"/>
  </si>
  <si>
    <t>Bシート</t>
    <phoneticPr fontId="39"/>
  </si>
  <si>
    <t>B1</t>
    <phoneticPr fontId="39"/>
  </si>
  <si>
    <t>１　事業者の名称等</t>
  </si>
  <si>
    <t>条例施行規則第２条第１項
各号のうち該当する号等</t>
    <phoneticPr fontId="39"/>
  </si>
  <si>
    <t>E23</t>
    <phoneticPr fontId="39"/>
  </si>
  <si>
    <t>E24</t>
    <phoneticPr fontId="39"/>
  </si>
  <si>
    <t>E25</t>
    <phoneticPr fontId="39"/>
  </si>
  <si>
    <t>I23</t>
    <phoneticPr fontId="39"/>
  </si>
  <si>
    <t>I24</t>
    <phoneticPr fontId="39"/>
  </si>
  <si>
    <t xml:space="preserve"> </t>
    <phoneticPr fontId="39"/>
  </si>
  <si>
    <t>I25</t>
    <phoneticPr fontId="39"/>
  </si>
  <si>
    <t>主たる事業の業種</t>
  </si>
  <si>
    <t>E26</t>
    <phoneticPr fontId="39"/>
  </si>
  <si>
    <t>T 分類不能の産業</t>
    <phoneticPr fontId="39"/>
  </si>
  <si>
    <t>E27</t>
    <phoneticPr fontId="39"/>
  </si>
  <si>
    <t>農業・林業</t>
    <rPh sb="0" eb="2">
      <t>ノウギョウ</t>
    </rPh>
    <rPh sb="3" eb="5">
      <t>リンギョウ</t>
    </rPh>
    <phoneticPr fontId="4"/>
  </si>
  <si>
    <t>漁業</t>
    <rPh sb="0" eb="2">
      <t>ギョギョウ</t>
    </rPh>
    <phoneticPr fontId="4"/>
  </si>
  <si>
    <t>鉱業・採石業・砂利採取業</t>
    <rPh sb="0" eb="2">
      <t>コウギョウ</t>
    </rPh>
    <phoneticPr fontId="4"/>
  </si>
  <si>
    <t>建設業</t>
    <rPh sb="0" eb="3">
      <t>ケンセツギョウ</t>
    </rPh>
    <phoneticPr fontId="4"/>
  </si>
  <si>
    <t>製造業</t>
    <rPh sb="0" eb="3">
      <t>セイゾウギョウ</t>
    </rPh>
    <phoneticPr fontId="4"/>
  </si>
  <si>
    <t>電気・ガス・熱供給・水道</t>
    <rPh sb="0" eb="2">
      <t>デンキ</t>
    </rPh>
    <rPh sb="6" eb="9">
      <t>ネツキョウキュウ</t>
    </rPh>
    <rPh sb="10" eb="12">
      <t>スイドウ</t>
    </rPh>
    <phoneticPr fontId="4"/>
  </si>
  <si>
    <t>情報通信業</t>
    <phoneticPr fontId="4"/>
  </si>
  <si>
    <t>運輸業・郵便業</t>
    <phoneticPr fontId="4"/>
  </si>
  <si>
    <t>卸売業・小売業</t>
    <phoneticPr fontId="4"/>
  </si>
  <si>
    <t>金融業・保険業</t>
    <phoneticPr fontId="4"/>
  </si>
  <si>
    <t>不動産業・物品賃貸業</t>
    <phoneticPr fontId="4"/>
  </si>
  <si>
    <t>学術研究・専門・技術サービス業</t>
    <rPh sb="0" eb="1">
      <t>ガク</t>
    </rPh>
    <phoneticPr fontId="4"/>
  </si>
  <si>
    <t>宿泊業・飲食サービス業</t>
    <phoneticPr fontId="4"/>
  </si>
  <si>
    <t>生活関連サービス業・娯楽業</t>
    <phoneticPr fontId="4"/>
  </si>
  <si>
    <t>教育・学習支援業</t>
    <phoneticPr fontId="4"/>
  </si>
  <si>
    <t>医療・福祉</t>
    <phoneticPr fontId="4"/>
  </si>
  <si>
    <t>複合サービス事業</t>
    <phoneticPr fontId="4"/>
  </si>
  <si>
    <t>サービス業</t>
    <phoneticPr fontId="4"/>
  </si>
  <si>
    <t>公務</t>
    <phoneticPr fontId="4"/>
  </si>
  <si>
    <t>分類不能の産業</t>
    <phoneticPr fontId="4"/>
  </si>
  <si>
    <t>01 農業</t>
    <phoneticPr fontId="4"/>
  </si>
  <si>
    <t>03 漁業</t>
    <phoneticPr fontId="4"/>
  </si>
  <si>
    <t>05 鉱業，採石業，砂利採取業</t>
    <phoneticPr fontId="4"/>
  </si>
  <si>
    <t>06 総合工事業</t>
    <phoneticPr fontId="4"/>
  </si>
  <si>
    <t>09 食料品製造業</t>
    <phoneticPr fontId="4"/>
  </si>
  <si>
    <t>33 電気業</t>
    <phoneticPr fontId="4"/>
  </si>
  <si>
    <t>37 通信業</t>
    <phoneticPr fontId="4"/>
  </si>
  <si>
    <t>42 鉄道業</t>
    <phoneticPr fontId="4"/>
  </si>
  <si>
    <t>50 各種商品卸売業</t>
    <phoneticPr fontId="4"/>
  </si>
  <si>
    <t>62 銀行業</t>
    <phoneticPr fontId="4"/>
  </si>
  <si>
    <t>68 不動産取引業</t>
    <phoneticPr fontId="4"/>
  </si>
  <si>
    <t>71 学術・開発研究機関</t>
    <phoneticPr fontId="4"/>
  </si>
  <si>
    <t>75 宿泊業</t>
    <phoneticPr fontId="4"/>
  </si>
  <si>
    <t>78 洗濯・理容・美容・浴場業</t>
    <phoneticPr fontId="4"/>
  </si>
  <si>
    <t>81 学校教育</t>
    <phoneticPr fontId="4"/>
  </si>
  <si>
    <t>83 医療業</t>
    <phoneticPr fontId="4"/>
  </si>
  <si>
    <t>86 郵便局</t>
    <phoneticPr fontId="4"/>
  </si>
  <si>
    <t>88 廃棄物処理業</t>
    <phoneticPr fontId="4"/>
  </si>
  <si>
    <t>97 国家公務</t>
    <phoneticPr fontId="4"/>
  </si>
  <si>
    <t>99 分類不能の産業</t>
    <phoneticPr fontId="4"/>
  </si>
  <si>
    <t>02 林業</t>
    <phoneticPr fontId="4"/>
  </si>
  <si>
    <t>04 水産養殖業</t>
    <phoneticPr fontId="4"/>
  </si>
  <si>
    <t>07 職別工事業</t>
    <phoneticPr fontId="4"/>
  </si>
  <si>
    <t>10 飲料・たばこ・飼料製造業</t>
    <phoneticPr fontId="4"/>
  </si>
  <si>
    <t>34 ガス業</t>
    <phoneticPr fontId="4"/>
  </si>
  <si>
    <t>38 放送業</t>
    <phoneticPr fontId="4"/>
  </si>
  <si>
    <t>43 道路旅客運送業</t>
    <phoneticPr fontId="4"/>
  </si>
  <si>
    <t>51 繊維・衣服等卸売業</t>
    <phoneticPr fontId="4"/>
  </si>
  <si>
    <t>63 協同組織金融業</t>
    <phoneticPr fontId="4"/>
  </si>
  <si>
    <t>69 不動産賃貸業・管理業</t>
    <phoneticPr fontId="4"/>
  </si>
  <si>
    <t>72 専門サービス業</t>
    <phoneticPr fontId="4"/>
  </si>
  <si>
    <t>76 飲食店</t>
    <phoneticPr fontId="4"/>
  </si>
  <si>
    <t>79 その他の生活関連サービス業</t>
    <phoneticPr fontId="4"/>
  </si>
  <si>
    <t>82 その他の教育，学習支援業</t>
    <phoneticPr fontId="4"/>
  </si>
  <si>
    <t>84 保健衛生</t>
    <phoneticPr fontId="4"/>
  </si>
  <si>
    <t>87 協同組合</t>
    <phoneticPr fontId="4"/>
  </si>
  <si>
    <t>89 自動車整備業</t>
    <phoneticPr fontId="4"/>
  </si>
  <si>
    <t>98 地方公務</t>
    <phoneticPr fontId="4"/>
  </si>
  <si>
    <t>08 設備工事業</t>
    <phoneticPr fontId="4"/>
  </si>
  <si>
    <t>11 繊維工業</t>
    <phoneticPr fontId="4"/>
  </si>
  <si>
    <t>35 熱供給業</t>
    <phoneticPr fontId="4"/>
  </si>
  <si>
    <t>39 情報サービス業</t>
    <phoneticPr fontId="4"/>
  </si>
  <si>
    <t>44 道路貨物運送業</t>
    <phoneticPr fontId="4"/>
  </si>
  <si>
    <t>52 飲食料品卸売業</t>
    <phoneticPr fontId="4"/>
  </si>
  <si>
    <t>64 貸金業，クレジットカード業等非預金信用機関</t>
    <phoneticPr fontId="4"/>
  </si>
  <si>
    <t>70 物品賃貸業</t>
    <phoneticPr fontId="4"/>
  </si>
  <si>
    <t>73 広告業</t>
    <phoneticPr fontId="4"/>
  </si>
  <si>
    <t>77 持ち帰り・配達飲食サービス業</t>
    <phoneticPr fontId="4"/>
  </si>
  <si>
    <t>80 娯楽業</t>
    <phoneticPr fontId="4"/>
  </si>
  <si>
    <t>85 社会保険・社会福祉・介護事業</t>
    <phoneticPr fontId="4"/>
  </si>
  <si>
    <t>90 機械等修理業</t>
    <phoneticPr fontId="4"/>
  </si>
  <si>
    <t>12 木材・木製品製造業</t>
    <phoneticPr fontId="4"/>
  </si>
  <si>
    <t>36 水道業</t>
    <phoneticPr fontId="4"/>
  </si>
  <si>
    <t>40 インターネット附随サービス業</t>
    <phoneticPr fontId="4"/>
  </si>
  <si>
    <t>45 水運業</t>
    <phoneticPr fontId="4"/>
  </si>
  <si>
    <t>53 建築材料，鉱物・金属材料等卸売業</t>
    <phoneticPr fontId="4"/>
  </si>
  <si>
    <t>65 金融商品取引業，商品先物取引業</t>
    <phoneticPr fontId="4"/>
  </si>
  <si>
    <t>74 技術サービス業</t>
    <phoneticPr fontId="4"/>
  </si>
  <si>
    <t>91 職業紹介・労働者派遣業</t>
    <phoneticPr fontId="4"/>
  </si>
  <si>
    <t>13 家具・装備品製造業</t>
    <phoneticPr fontId="4"/>
  </si>
  <si>
    <t>41 映像・音声・文字情報制作業</t>
    <phoneticPr fontId="4"/>
  </si>
  <si>
    <t>46 航空運輸業</t>
    <phoneticPr fontId="4"/>
  </si>
  <si>
    <t>54 機械器具卸売業</t>
    <phoneticPr fontId="4"/>
  </si>
  <si>
    <t>66 補助的金融業等</t>
    <phoneticPr fontId="4"/>
  </si>
  <si>
    <t>92 その他の事業サービス業</t>
    <phoneticPr fontId="4"/>
  </si>
  <si>
    <t>14 パルプ・紙・紙加工品製造業</t>
    <phoneticPr fontId="4"/>
  </si>
  <si>
    <t>47 倉庫業</t>
    <phoneticPr fontId="4"/>
  </si>
  <si>
    <t>55 その他の卸売業</t>
    <phoneticPr fontId="4"/>
  </si>
  <si>
    <t>67 保険業</t>
    <phoneticPr fontId="4"/>
  </si>
  <si>
    <t>93 政治・経済・文化団体</t>
    <phoneticPr fontId="4"/>
  </si>
  <si>
    <t>15 印刷・同関連業</t>
    <phoneticPr fontId="4"/>
  </si>
  <si>
    <t>48 運輸に附帯するサービス業</t>
    <phoneticPr fontId="4"/>
  </si>
  <si>
    <t>56 各種商品小売業</t>
    <phoneticPr fontId="4"/>
  </si>
  <si>
    <t>94 宗教</t>
    <phoneticPr fontId="4"/>
  </si>
  <si>
    <t>16 化学工業</t>
    <phoneticPr fontId="4"/>
  </si>
  <si>
    <t>49 郵便業</t>
    <phoneticPr fontId="4"/>
  </si>
  <si>
    <t>57 織物・衣服・身の回り品小売業</t>
    <phoneticPr fontId="4"/>
  </si>
  <si>
    <t>95 その他のサービス業</t>
    <phoneticPr fontId="4"/>
  </si>
  <si>
    <t>17 石油製品・石炭製品製造業</t>
    <phoneticPr fontId="4"/>
  </si>
  <si>
    <t>58 飲食料品小売業</t>
    <phoneticPr fontId="4"/>
  </si>
  <si>
    <t>96 外国公務</t>
    <phoneticPr fontId="4"/>
  </si>
  <si>
    <t>18 プラスチック製品製造業</t>
    <phoneticPr fontId="4"/>
  </si>
  <si>
    <t>59 機械器具小売業</t>
    <phoneticPr fontId="4"/>
  </si>
  <si>
    <t>19 ゴム製品製造業</t>
    <phoneticPr fontId="4"/>
  </si>
  <si>
    <t>60 その他の小売業</t>
    <phoneticPr fontId="4"/>
  </si>
  <si>
    <t>20 なめし革・同製品・毛皮製造業</t>
    <phoneticPr fontId="4"/>
  </si>
  <si>
    <t>61 無店舗小売業</t>
    <phoneticPr fontId="4"/>
  </si>
  <si>
    <t>21 窯業・土石製品製造業</t>
    <phoneticPr fontId="4"/>
  </si>
  <si>
    <t>22 鉄鋼業</t>
    <phoneticPr fontId="4"/>
  </si>
  <si>
    <t>23 非鉄金属製造業</t>
    <phoneticPr fontId="4"/>
  </si>
  <si>
    <t>24 金属製品製造業</t>
    <phoneticPr fontId="4"/>
  </si>
  <si>
    <t>25 はん用機械器具製造業</t>
    <phoneticPr fontId="4"/>
  </si>
  <si>
    <t>26 生産用機械器具製造業</t>
    <phoneticPr fontId="4"/>
  </si>
  <si>
    <t>27 業務用機械器具製造業</t>
    <phoneticPr fontId="4"/>
  </si>
  <si>
    <t>28 電子部品・デバイス・電子回路製造業</t>
    <phoneticPr fontId="4"/>
  </si>
  <si>
    <t>29 電気機械器具製造業</t>
    <phoneticPr fontId="4"/>
  </si>
  <si>
    <t>30 情報通信機械器具製造業</t>
    <phoneticPr fontId="4"/>
  </si>
  <si>
    <t>31 輸送用機械器具製造業</t>
    <phoneticPr fontId="4"/>
  </si>
  <si>
    <t>32 その他の製造業</t>
    <phoneticPr fontId="4"/>
  </si>
  <si>
    <t>２　事業の規模等</t>
  </si>
  <si>
    <t>I32</t>
    <phoneticPr fontId="39"/>
  </si>
  <si>
    <t>I33</t>
  </si>
  <si>
    <t>I34</t>
  </si>
  <si>
    <t>I35</t>
  </si>
  <si>
    <t>３　計画期間</t>
  </si>
  <si>
    <t>C39</t>
    <phoneticPr fontId="39"/>
  </si>
  <si>
    <t>B2シート</t>
    <phoneticPr fontId="39"/>
  </si>
  <si>
    <t>５－１　温室効果ガスの排出の量及び当該量の削減に係る事項（第１号又は第２号該当事業者）</t>
    <rPh sb="32" eb="33">
      <t>マタ</t>
    </rPh>
    <phoneticPr fontId="39"/>
  </si>
  <si>
    <t>(１)　比較年度等におけるエネルギー起源二酸化炭素の排出の量</t>
    <phoneticPr fontId="39"/>
  </si>
  <si>
    <t>D10</t>
    <phoneticPr fontId="39"/>
  </si>
  <si>
    <t>(３)　温室効果ガスの排出の量の削減を図るための主な対策</t>
  </si>
  <si>
    <t>B31~35</t>
    <phoneticPr fontId="39"/>
  </si>
  <si>
    <t>運用対策</t>
    <phoneticPr fontId="39"/>
  </si>
  <si>
    <t>設備導入等対策</t>
    <phoneticPr fontId="39"/>
  </si>
  <si>
    <t>その他の対策</t>
    <phoneticPr fontId="39"/>
  </si>
  <si>
    <t>L31~R35</t>
    <phoneticPr fontId="39"/>
  </si>
  <si>
    <t>実施した</t>
    <phoneticPr fontId="39"/>
  </si>
  <si>
    <t>一部実施した</t>
    <phoneticPr fontId="39"/>
  </si>
  <si>
    <t>実施しなかった</t>
    <phoneticPr fontId="39"/>
  </si>
  <si>
    <t>(４)　エネルギー管理指定工場等におけるエネルギー起源二酸化炭素の排出の状況（基礎排出量）</t>
    <phoneticPr fontId="39"/>
  </si>
  <si>
    <t>W41～W50</t>
    <phoneticPr fontId="39"/>
  </si>
  <si>
    <t>三浦市</t>
  </si>
  <si>
    <t>南足柄市</t>
  </si>
  <si>
    <t>三浦郡葉山町</t>
  </si>
  <si>
    <t>高座郡寒川町</t>
  </si>
  <si>
    <t>中郡大磯町</t>
  </si>
  <si>
    <t>中郡二宮町</t>
  </si>
  <si>
    <t>足柄上郡中井町</t>
  </si>
  <si>
    <t>足柄上郡大井町</t>
  </si>
  <si>
    <t>足柄上郡松田町</t>
  </si>
  <si>
    <t>足柄上郡山北町</t>
  </si>
  <si>
    <t>足柄上郡開成町</t>
  </si>
  <si>
    <t>足柄下郡箱根町</t>
  </si>
  <si>
    <t>足柄下郡真鶴町</t>
  </si>
  <si>
    <t>足柄下郡湯河原町</t>
  </si>
  <si>
    <t>愛甲郡愛川町</t>
  </si>
  <si>
    <t>愛甲郡清川村</t>
  </si>
  <si>
    <t>５－２　温室効果ガスの排出の量及び当該量の削減に係る事項（第３号該当事業者）</t>
  </si>
  <si>
    <t>(１)　比較年度等におけるエネルギー起源二酸化炭素の排出の量</t>
  </si>
  <si>
    <t>D57</t>
    <phoneticPr fontId="39"/>
  </si>
  <si>
    <t>B78~82</t>
    <phoneticPr fontId="39"/>
  </si>
  <si>
    <t>L78~R82</t>
    <phoneticPr fontId="39"/>
  </si>
  <si>
    <t>６－１　原油換算エネルギー使用量及び当該量の削減に係る事項（第１号又は第２号該当事業者）</t>
    <rPh sb="33" eb="34">
      <t>マタ</t>
    </rPh>
    <phoneticPr fontId="39"/>
  </si>
  <si>
    <t>(１)　エネルギー消費原単位の指標</t>
  </si>
  <si>
    <t>F87</t>
    <phoneticPr fontId="39"/>
  </si>
  <si>
    <t>生産数量</t>
    <phoneticPr fontId="39"/>
  </si>
  <si>
    <t>売上高</t>
    <phoneticPr fontId="39"/>
  </si>
  <si>
    <t>延床面積</t>
    <phoneticPr fontId="39"/>
  </si>
  <si>
    <t>稼動時間</t>
    <phoneticPr fontId="39"/>
  </si>
  <si>
    <t>従業員数</t>
    <phoneticPr fontId="39"/>
  </si>
  <si>
    <t>店舗数</t>
    <phoneticPr fontId="39"/>
  </si>
  <si>
    <t>６－２　原油換算エネルギー使用量及び当該量の削減に係る事項（第３号該当事業者）</t>
  </si>
  <si>
    <t>F102</t>
    <phoneticPr fontId="39"/>
  </si>
  <si>
    <t>走行距離</t>
    <phoneticPr fontId="39"/>
  </si>
  <si>
    <t>輸送トンキロ</t>
    <phoneticPr fontId="39"/>
  </si>
  <si>
    <t>作業時間</t>
    <phoneticPr fontId="39"/>
  </si>
  <si>
    <t>その他</t>
    <phoneticPr fontId="39"/>
  </si>
  <si>
    <t>８　温室効果ガスの排出の量の削減に向けた中長期的な取組に係る事項</t>
  </si>
  <si>
    <t>(１)　2050年までの脱炭素化の表明（対象年度末時点）</t>
  </si>
  <si>
    <t>F145,L145,O145,R145</t>
    <phoneticPr fontId="39"/>
  </si>
  <si>
    <t>有り</t>
    <phoneticPr fontId="39"/>
  </si>
  <si>
    <t>無し</t>
    <phoneticPr fontId="39"/>
  </si>
  <si>
    <t>I145</t>
    <phoneticPr fontId="39"/>
  </si>
  <si>
    <t>未定</t>
    <phoneticPr fontId="39"/>
  </si>
  <si>
    <t>F147</t>
    <phoneticPr fontId="39"/>
  </si>
  <si>
    <t>自ら</t>
    <phoneticPr fontId="39"/>
  </si>
  <si>
    <t>親会社等</t>
    <phoneticPr fontId="39"/>
  </si>
  <si>
    <t>子会社等</t>
    <phoneticPr fontId="39"/>
  </si>
  <si>
    <t>(２)　2050年までの脱炭素化を前提とした中長期計画の策定及び公表（対象年度末時点）</t>
  </si>
  <si>
    <t>F155,L155,O155,R155</t>
    <phoneticPr fontId="39"/>
  </si>
  <si>
    <t>公表</t>
    <phoneticPr fontId="39"/>
  </si>
  <si>
    <t>非公表（策定済）</t>
    <phoneticPr fontId="39"/>
  </si>
  <si>
    <t>未策定</t>
    <phoneticPr fontId="39"/>
  </si>
  <si>
    <t>I155</t>
    <phoneticPr fontId="39"/>
  </si>
  <si>
    <t>未定</t>
  </si>
  <si>
    <t>F156</t>
    <phoneticPr fontId="39"/>
  </si>
  <si>
    <t>(３)　SBT等イニシアティブに関する取組（対象年度末時点）</t>
  </si>
  <si>
    <t>F164～F167,L164～L167,O164～O167,R164～R167</t>
    <phoneticPr fontId="39"/>
  </si>
  <si>
    <t>I164~167</t>
    <phoneticPr fontId="39"/>
  </si>
  <si>
    <t>未定</t>
    <rPh sb="0" eb="2">
      <t>ミテイ</t>
    </rPh>
    <phoneticPr fontId="39"/>
  </si>
  <si>
    <t>(４)　サプライチェーン全体での削減の取組</t>
  </si>
  <si>
    <t>F172~F175</t>
    <phoneticPr fontId="39"/>
  </si>
  <si>
    <t>L172~R175</t>
    <phoneticPr fontId="39"/>
  </si>
  <si>
    <t>実施しなかった</t>
  </si>
  <si>
    <t>９　地域の地球温暖化対策の推進への貢献に係る事項</t>
  </si>
  <si>
    <t>F183,L183,O183,R183</t>
    <phoneticPr fontId="39"/>
  </si>
  <si>
    <t>I183</t>
    <phoneticPr fontId="39"/>
  </si>
  <si>
    <t>報告対象年度の
原単位指標の量</t>
    <rPh sb="0" eb="2">
      <t>ホウコク</t>
    </rPh>
    <rPh sb="2" eb="4">
      <t>タイショウ</t>
    </rPh>
    <rPh sb="4" eb="6">
      <t>ネンド</t>
    </rPh>
    <rPh sb="8" eb="11">
      <t>ゲンタンイ</t>
    </rPh>
    <rPh sb="11" eb="13">
      <t>シヒョウ</t>
    </rPh>
    <rPh sb="14" eb="15">
      <t>リョウ</t>
    </rPh>
    <phoneticPr fontId="4"/>
  </si>
  <si>
    <t>報告対象年度の
原単位指標の量</t>
    <rPh sb="0" eb="2">
      <t>ホウコク</t>
    </rPh>
    <rPh sb="2" eb="4">
      <t>タイショウ</t>
    </rPh>
    <rPh sb="4" eb="6">
      <t>ネンド</t>
    </rPh>
    <rPh sb="8" eb="11">
      <t>ゲンタンイ</t>
    </rPh>
    <rPh sb="11" eb="13">
      <t>シヒョウ</t>
    </rPh>
    <rPh sb="14" eb="15">
      <t>リョウ</t>
    </rPh>
    <phoneticPr fontId="4"/>
  </si>
  <si>
    <t>報告4面個別票</t>
    <rPh sb="0" eb="2">
      <t>ホウコク</t>
    </rPh>
    <rPh sb="3" eb="4">
      <t>メン</t>
    </rPh>
    <rPh sb="4" eb="6">
      <t>コベツ</t>
    </rPh>
    <rPh sb="6" eb="7">
      <t>ヒョウ</t>
    </rPh>
    <phoneticPr fontId="4"/>
  </si>
  <si>
    <t>工場等の名称</t>
    <rPh sb="0" eb="2">
      <t>コウジョウ</t>
    </rPh>
    <rPh sb="2" eb="3">
      <t>トウ</t>
    </rPh>
    <rPh sb="4" eb="6">
      <t>メイショウ</t>
    </rPh>
    <phoneticPr fontId="4"/>
  </si>
  <si>
    <t>F5-T5</t>
    <phoneticPr fontId="4"/>
  </si>
  <si>
    <t>リンク削除</t>
    <rPh sb="3" eb="5">
      <t>サクジョ</t>
    </rPh>
    <phoneticPr fontId="4"/>
  </si>
  <si>
    <t>（h×0.0258）</t>
    <phoneticPr fontId="39"/>
  </si>
  <si>
    <t>要選択</t>
  </si>
  <si>
    <t>次に、「排出状況報告書本体」（報告1面～4面）に必要事項を入力してください。</t>
    <rPh sb="4" eb="6">
      <t>ハイシュツ</t>
    </rPh>
    <rPh sb="6" eb="8">
      <t>ジョウキョウ</t>
    </rPh>
    <rPh sb="8" eb="11">
      <t>ホウコクショ</t>
    </rPh>
    <rPh sb="15" eb="17">
      <t>ホウコク</t>
    </rPh>
    <rPh sb="18" eb="19">
      <t>メン</t>
    </rPh>
    <rPh sb="21" eb="22">
      <t>メン</t>
    </rPh>
    <phoneticPr fontId="40"/>
  </si>
  <si>
    <r>
      <rPr>
        <b/>
        <sz val="14"/>
        <rFont val="Yu Gothic"/>
        <family val="3"/>
        <charset val="128"/>
      </rPr>
      <t>⇒</t>
    </r>
    <r>
      <rPr>
        <sz val="11"/>
        <rFont val="ＭＳ Ｐゴシック"/>
        <family val="3"/>
        <charset val="128"/>
      </rPr>
      <t/>
    </r>
    <phoneticPr fontId="39"/>
  </si>
  <si>
    <r>
      <t>１　コピーデータの貼付け（</t>
    </r>
    <r>
      <rPr>
        <b/>
        <sz val="16"/>
        <color theme="0"/>
        <rFont val="Yu Gothic"/>
        <family val="3"/>
        <charset val="128"/>
      </rPr>
      <t>2024</t>
    </r>
    <r>
      <rPr>
        <b/>
        <sz val="12"/>
        <color theme="0"/>
        <rFont val="Yu Gothic"/>
        <family val="3"/>
        <charset val="128"/>
      </rPr>
      <t>年度実績）</t>
    </r>
    <rPh sb="9" eb="11">
      <t>ハリツ</t>
    </rPh>
    <rPh sb="17" eb="19">
      <t>ネンド</t>
    </rPh>
    <rPh sb="19" eb="21">
      <t>ジッセキ</t>
    </rPh>
    <phoneticPr fontId="39"/>
  </si>
  <si>
    <r>
      <t>今年度名称
&lt;入力</t>
    </r>
    <r>
      <rPr>
        <b/>
        <sz val="10"/>
        <color theme="1"/>
        <rFont val="Yu Gothic"/>
        <family val="3"/>
        <charset val="128"/>
      </rPr>
      <t>セルへリンク&gt;</t>
    </r>
    <rPh sb="0" eb="3">
      <t>コンネンド</t>
    </rPh>
    <rPh sb="3" eb="5">
      <t>メイショウ</t>
    </rPh>
    <rPh sb="7" eb="9">
      <t>ニュウリョク</t>
    </rPh>
    <phoneticPr fontId="39"/>
  </si>
  <si>
    <r>
      <t>１　コピーデータの貼付け（</t>
    </r>
    <r>
      <rPr>
        <b/>
        <sz val="16"/>
        <color theme="0"/>
        <rFont val="Yu Gothic"/>
        <family val="3"/>
        <charset val="128"/>
      </rPr>
      <t>2025</t>
    </r>
    <r>
      <rPr>
        <b/>
        <sz val="12"/>
        <color theme="0"/>
        <rFont val="Yu Gothic"/>
        <family val="3"/>
        <charset val="128"/>
      </rPr>
      <t>年度実績）</t>
    </r>
    <rPh sb="9" eb="11">
      <t>ハリツ</t>
    </rPh>
    <rPh sb="17" eb="19">
      <t>ネンド</t>
    </rPh>
    <rPh sb="19" eb="21">
      <t>ジッセキ</t>
    </rPh>
    <phoneticPr fontId="39"/>
  </si>
  <si>
    <r>
      <t>１　コピーデータの貼付け（</t>
    </r>
    <r>
      <rPr>
        <b/>
        <sz val="16"/>
        <color theme="0"/>
        <rFont val="Yu Gothic"/>
        <family val="3"/>
        <charset val="128"/>
      </rPr>
      <t>2026</t>
    </r>
    <r>
      <rPr>
        <b/>
        <sz val="12"/>
        <color theme="0"/>
        <rFont val="Yu Gothic"/>
        <family val="3"/>
        <charset val="128"/>
      </rPr>
      <t>年度実績）</t>
    </r>
    <rPh sb="9" eb="11">
      <t>ハリツ</t>
    </rPh>
    <rPh sb="17" eb="19">
      <t>ネンド</t>
    </rPh>
    <rPh sb="19" eb="21">
      <t>ジッセキ</t>
    </rPh>
    <phoneticPr fontId="39"/>
  </si>
  <si>
    <r>
      <t>全県の合計</t>
    </r>
    <r>
      <rPr>
        <sz val="11"/>
        <color theme="1"/>
        <rFont val="Yu Gothic"/>
        <family val="3"/>
        <charset val="128"/>
      </rPr>
      <t>（横浜・川崎＋県域）</t>
    </r>
    <rPh sb="0" eb="2">
      <t>ゼンケン</t>
    </rPh>
    <rPh sb="3" eb="5">
      <t>ゴウケイ</t>
    </rPh>
    <phoneticPr fontId="4"/>
  </si>
  <si>
    <r>
      <t xml:space="preserve">エネルギー消費原単位　　　　　 </t>
    </r>
    <r>
      <rPr>
        <sz val="12"/>
        <color theme="1"/>
        <rFont val="Yu Gothic"/>
        <family val="3"/>
        <charset val="128"/>
      </rPr>
      <t>（K÷M）</t>
    </r>
    <rPh sb="5" eb="7">
      <t>ショウヒ</t>
    </rPh>
    <rPh sb="7" eb="10">
      <t>ゲンタンイ</t>
    </rPh>
    <phoneticPr fontId="39"/>
  </si>
  <si>
    <r>
      <rPr>
        <b/>
        <sz val="12"/>
        <color theme="1"/>
        <rFont val="Yu Gothic"/>
        <family val="3"/>
        <charset val="128"/>
      </rPr>
      <t>原単位改善率　　</t>
    </r>
    <r>
      <rPr>
        <sz val="12"/>
        <color theme="1"/>
        <rFont val="Yu Gothic"/>
        <family val="3"/>
        <charset val="128"/>
      </rPr>
      <t>（対前年度比、(1-N÷O)×100）</t>
    </r>
    <rPh sb="0" eb="3">
      <t>ゲンタンイ</t>
    </rPh>
    <rPh sb="3" eb="5">
      <t>カイゼン</t>
    </rPh>
    <rPh sb="5" eb="6">
      <t>リツ</t>
    </rPh>
    <rPh sb="9" eb="10">
      <t>タイ</t>
    </rPh>
    <rPh sb="10" eb="13">
      <t>ゼンネンド</t>
    </rPh>
    <rPh sb="13" eb="14">
      <t>ヒ</t>
    </rPh>
    <phoneticPr fontId="39"/>
  </si>
  <si>
    <r>
      <t>原単位改善率の寄与度（県域）</t>
    </r>
    <r>
      <rPr>
        <sz val="12"/>
        <color theme="1"/>
        <rFont val="Yu Gothic"/>
        <family val="3"/>
        <charset val="128"/>
      </rPr>
      <t>（Σ(L×P)×100）</t>
    </r>
    <rPh sb="0" eb="3">
      <t>ゲンタンイ</t>
    </rPh>
    <rPh sb="3" eb="5">
      <t>カイゼン</t>
    </rPh>
    <rPh sb="5" eb="6">
      <t>リツ</t>
    </rPh>
    <rPh sb="7" eb="10">
      <t>キヨド</t>
    </rPh>
    <rPh sb="11" eb="12">
      <t>ケン</t>
    </rPh>
    <rPh sb="12" eb="13">
      <t>イキ</t>
    </rPh>
    <phoneticPr fontId="39"/>
  </si>
  <si>
    <r>
      <t>原単位改善率の寄与度（全県）</t>
    </r>
    <r>
      <rPr>
        <sz val="12"/>
        <color theme="1"/>
        <rFont val="Yu Gothic"/>
        <family val="3"/>
        <charset val="128"/>
      </rPr>
      <t>（Σ(L'×P)×100）</t>
    </r>
    <rPh sb="0" eb="3">
      <t>ゲンタンイ</t>
    </rPh>
    <rPh sb="3" eb="5">
      <t>カイゼン</t>
    </rPh>
    <rPh sb="5" eb="6">
      <t>リツ</t>
    </rPh>
    <rPh sb="7" eb="10">
      <t>キヨド</t>
    </rPh>
    <rPh sb="11" eb="12">
      <t>ゼン</t>
    </rPh>
    <rPh sb="12" eb="13">
      <t>ケン</t>
    </rPh>
    <phoneticPr fontId="39"/>
  </si>
  <si>
    <r>
      <t xml:space="preserve">エネルギー消費原単位　　　　　 </t>
    </r>
    <r>
      <rPr>
        <sz val="12"/>
        <color theme="1"/>
        <rFont val="Yu Gothic"/>
        <family val="3"/>
        <charset val="128"/>
      </rPr>
      <t>（k÷m）</t>
    </r>
    <rPh sb="5" eb="7">
      <t>ショウヒ</t>
    </rPh>
    <rPh sb="7" eb="10">
      <t>ゲンタンイ</t>
    </rPh>
    <phoneticPr fontId="39"/>
  </si>
  <si>
    <r>
      <rPr>
        <b/>
        <sz val="12"/>
        <color theme="1"/>
        <rFont val="Yu Gothic"/>
        <family val="3"/>
        <charset val="128"/>
      </rPr>
      <t>原単位改善率　　</t>
    </r>
    <r>
      <rPr>
        <sz val="12"/>
        <color theme="1"/>
        <rFont val="Yu Gothic"/>
        <family val="3"/>
        <charset val="128"/>
      </rPr>
      <t>（対前年度比、(1-n÷o)×100）</t>
    </r>
    <rPh sb="0" eb="3">
      <t>ゲンタンイ</t>
    </rPh>
    <rPh sb="3" eb="5">
      <t>カイゼン</t>
    </rPh>
    <rPh sb="5" eb="6">
      <t>リツ</t>
    </rPh>
    <rPh sb="9" eb="10">
      <t>タイ</t>
    </rPh>
    <rPh sb="10" eb="13">
      <t>ゼンネンド</t>
    </rPh>
    <rPh sb="13" eb="14">
      <t>ヒ</t>
    </rPh>
    <phoneticPr fontId="39"/>
  </si>
  <si>
    <r>
      <t>t-CO</t>
    </r>
    <r>
      <rPr>
        <vertAlign val="subscript"/>
        <sz val="12"/>
        <color theme="1"/>
        <rFont val="Yu Gothic"/>
        <family val="3"/>
        <charset val="128"/>
      </rPr>
      <t>2</t>
    </r>
    <phoneticPr fontId="39"/>
  </si>
  <si>
    <r>
      <t>t-CO</t>
    </r>
    <r>
      <rPr>
        <vertAlign val="subscript"/>
        <sz val="12"/>
        <rFont val="Yu Gothic"/>
        <family val="3"/>
        <charset val="128"/>
      </rPr>
      <t>2</t>
    </r>
    <phoneticPr fontId="39"/>
  </si>
  <si>
    <t>　②工場等の名称が過年度と一致しない場合は、リンク先を、一致するように修正していください。</t>
    <rPh sb="2" eb="4">
      <t>コウジョウ</t>
    </rPh>
    <rPh sb="4" eb="5">
      <t>トウ</t>
    </rPh>
    <rPh sb="6" eb="8">
      <t>メイショウ</t>
    </rPh>
    <rPh sb="9" eb="12">
      <t>カネンド</t>
    </rPh>
    <rPh sb="13" eb="15">
      <t>イッチ</t>
    </rPh>
    <rPh sb="18" eb="20">
      <t>バアイ</t>
    </rPh>
    <rPh sb="25" eb="26">
      <t>サキ</t>
    </rPh>
    <rPh sb="28" eb="30">
      <t>イッチ</t>
    </rPh>
    <rPh sb="35" eb="37">
      <t>シュウセイ</t>
    </rPh>
    <phoneticPr fontId="39"/>
  </si>
  <si>
    <t>年度（4/1～3/31）</t>
    <rPh sb="0" eb="2">
      <t>ネンド</t>
    </rPh>
    <phoneticPr fontId="1"/>
  </si>
  <si>
    <t>前年度からの法人情報変更有無</t>
    <rPh sb="0" eb="3">
      <t>ゼンネンド</t>
    </rPh>
    <rPh sb="6" eb="8">
      <t>ホウジン</t>
    </rPh>
    <rPh sb="8" eb="10">
      <t>ジョウホウ</t>
    </rPh>
    <rPh sb="10" eb="12">
      <t>ヘンコウ</t>
    </rPh>
    <rPh sb="12" eb="14">
      <t>ウム</t>
    </rPh>
    <phoneticPr fontId="1"/>
  </si>
  <si>
    <t>区分（大規模）</t>
    <rPh sb="0" eb="2">
      <t>クブン</t>
    </rPh>
    <rPh sb="3" eb="6">
      <t>ダイキボ</t>
    </rPh>
    <phoneticPr fontId="1"/>
  </si>
  <si>
    <t>区分（中小）</t>
    <rPh sb="0" eb="2">
      <t>クブン</t>
    </rPh>
    <rPh sb="3" eb="5">
      <t>チュウショウ</t>
    </rPh>
    <phoneticPr fontId="1"/>
  </si>
  <si>
    <t>原単位に単一の指標を設定する場合</t>
    <rPh sb="4" eb="6">
      <t>タンイツ</t>
    </rPh>
    <rPh sb="7" eb="9">
      <t>シヒョウ</t>
    </rPh>
    <rPh sb="10" eb="12">
      <t>セッテイ</t>
    </rPh>
    <rPh sb="14" eb="16">
      <t>バアイ</t>
    </rPh>
    <phoneticPr fontId="1"/>
  </si>
  <si>
    <t>全県</t>
    <rPh sb="0" eb="2">
      <t>ゼンケン</t>
    </rPh>
    <phoneticPr fontId="1"/>
  </si>
  <si>
    <t>県域</t>
    <rPh sb="0" eb="2">
      <t>ケンイキ</t>
    </rPh>
    <phoneticPr fontId="1"/>
  </si>
  <si>
    <t>入力補助</t>
    <rPh sb="0" eb="2">
      <t>ニュウリョク</t>
    </rPh>
    <rPh sb="2" eb="4">
      <t>ホジョ</t>
    </rPh>
    <phoneticPr fontId="1"/>
  </si>
  <si>
    <t>事業者ＩＤ</t>
    <rPh sb="0" eb="3">
      <t>ジギョウシャ</t>
    </rPh>
    <phoneticPr fontId="1"/>
  </si>
  <si>
    <t>比較年度（大_1,2号）</t>
    <rPh sb="0" eb="2">
      <t>ヒカク</t>
    </rPh>
    <rPh sb="2" eb="4">
      <t>ネンド</t>
    </rPh>
    <rPh sb="5" eb="6">
      <t>ダイ</t>
    </rPh>
    <rPh sb="10" eb="11">
      <t>ゴウ</t>
    </rPh>
    <phoneticPr fontId="1"/>
  </si>
  <si>
    <t>比較年度
全県
（大_1,2号）</t>
    <rPh sb="0" eb="2">
      <t>ヒカク</t>
    </rPh>
    <rPh sb="2" eb="4">
      <t>ネンド</t>
    </rPh>
    <rPh sb="5" eb="7">
      <t>ゼンケン</t>
    </rPh>
    <rPh sb="9" eb="10">
      <t>ダイ</t>
    </rPh>
    <rPh sb="14" eb="15">
      <t>ゴウ</t>
    </rPh>
    <phoneticPr fontId="1"/>
  </si>
  <si>
    <t>比較年度排出量（大_1,2号_基礎）</t>
    <rPh sb="0" eb="2">
      <t>ヒカク</t>
    </rPh>
    <rPh sb="2" eb="4">
      <t>ネンド</t>
    </rPh>
    <rPh sb="4" eb="6">
      <t>ハイシュツ</t>
    </rPh>
    <rPh sb="6" eb="7">
      <t>リョウ</t>
    </rPh>
    <rPh sb="8" eb="9">
      <t>ダイ</t>
    </rPh>
    <rPh sb="13" eb="14">
      <t>ゴウ</t>
    </rPh>
    <rPh sb="15" eb="17">
      <t>キソ</t>
    </rPh>
    <phoneticPr fontId="1"/>
  </si>
  <si>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1"/>
  </si>
  <si>
    <t>2022年度
全県
（大_1,2号）</t>
    <rPh sb="4" eb="6">
      <t>ネンド</t>
    </rPh>
    <rPh sb="7" eb="9">
      <t>ゼンケン</t>
    </rPh>
    <rPh sb="11" eb="12">
      <t>ダイ</t>
    </rPh>
    <rPh sb="16" eb="17">
      <t>ゴウ</t>
    </rPh>
    <phoneticPr fontId="1"/>
  </si>
  <si>
    <t>2022年度排出量（大_1,2号_基礎）</t>
    <rPh sb="4" eb="6">
      <t>ネンド</t>
    </rPh>
    <phoneticPr fontId="1"/>
  </si>
  <si>
    <t>2022年度排出量（大_1,2号_調整後）</t>
    <rPh sb="4" eb="6">
      <t>ネンド</t>
    </rPh>
    <phoneticPr fontId="1"/>
  </si>
  <si>
    <t>2023年度
全県
（大_1,2号）</t>
    <rPh sb="4" eb="6">
      <t>ネンド</t>
    </rPh>
    <rPh sb="7" eb="9">
      <t>ゼンケン</t>
    </rPh>
    <rPh sb="11" eb="12">
      <t>ダイ</t>
    </rPh>
    <rPh sb="16" eb="17">
      <t>ゴウ</t>
    </rPh>
    <phoneticPr fontId="1"/>
  </si>
  <si>
    <t>2023年度排出量（大_1,2号_基礎）</t>
    <rPh sb="4" eb="6">
      <t>ネンド</t>
    </rPh>
    <rPh sb="17" eb="19">
      <t>キソ</t>
    </rPh>
    <phoneticPr fontId="1"/>
  </si>
  <si>
    <t>2023年度排出量（大_1,2号_調整後）</t>
    <rPh sb="4" eb="6">
      <t>ネンド</t>
    </rPh>
    <rPh sb="17" eb="20">
      <t>チョウセイゴ</t>
    </rPh>
    <phoneticPr fontId="1"/>
  </si>
  <si>
    <t>2024年度
全県
（大_1,2号）</t>
    <rPh sb="4" eb="6">
      <t>ネンド</t>
    </rPh>
    <rPh sb="7" eb="9">
      <t>ゼンケン</t>
    </rPh>
    <rPh sb="11" eb="12">
      <t>ダイ</t>
    </rPh>
    <rPh sb="16" eb="17">
      <t>ゴウ</t>
    </rPh>
    <phoneticPr fontId="1"/>
  </si>
  <si>
    <t>2024年度排出量（大_1,2号_基礎）</t>
    <rPh sb="4" eb="6">
      <t>ネンド</t>
    </rPh>
    <rPh sb="17" eb="19">
      <t>キソ</t>
    </rPh>
    <phoneticPr fontId="1"/>
  </si>
  <si>
    <t>2024年度排出量（大_1,2号_調整後）</t>
    <rPh sb="4" eb="6">
      <t>ネンド</t>
    </rPh>
    <rPh sb="17" eb="20">
      <t>チョウセイゴ</t>
    </rPh>
    <phoneticPr fontId="1"/>
  </si>
  <si>
    <t>2025年度
全県
（大_1,2号）</t>
    <rPh sb="4" eb="6">
      <t>ネンド</t>
    </rPh>
    <rPh sb="7" eb="9">
      <t>ゼンケン</t>
    </rPh>
    <rPh sb="11" eb="12">
      <t>ダイ</t>
    </rPh>
    <rPh sb="16" eb="17">
      <t>ゴウ</t>
    </rPh>
    <phoneticPr fontId="1"/>
  </si>
  <si>
    <t>2025年度排出量（大_1,2号_基礎）</t>
    <rPh sb="4" eb="6">
      <t>ネンド</t>
    </rPh>
    <rPh sb="17" eb="19">
      <t>キソ</t>
    </rPh>
    <phoneticPr fontId="1"/>
  </si>
  <si>
    <t>2025年度排出量（大_1,2号_調整後）</t>
    <rPh sb="4" eb="6">
      <t>ネンド</t>
    </rPh>
    <rPh sb="17" eb="20">
      <t>チョウセイゴ</t>
    </rPh>
    <phoneticPr fontId="1"/>
  </si>
  <si>
    <t>比較年度（大_3号）</t>
    <rPh sb="0" eb="2">
      <t>ヒカク</t>
    </rPh>
    <rPh sb="2" eb="4">
      <t>ネンド</t>
    </rPh>
    <rPh sb="5" eb="6">
      <t>ダイ</t>
    </rPh>
    <rPh sb="8" eb="9">
      <t>ゴウ</t>
    </rPh>
    <phoneticPr fontId="1"/>
  </si>
  <si>
    <t>比較年度
全県
（大_3号）</t>
    <rPh sb="0" eb="2">
      <t>ヒカク</t>
    </rPh>
    <rPh sb="2" eb="4">
      <t>ネンド</t>
    </rPh>
    <rPh sb="5" eb="7">
      <t>ゼンケン</t>
    </rPh>
    <rPh sb="9" eb="10">
      <t>ダイ</t>
    </rPh>
    <rPh sb="12" eb="13">
      <t>ゴウ</t>
    </rPh>
    <phoneticPr fontId="1"/>
  </si>
  <si>
    <t>比較年度排出量（大_3号_基礎）</t>
    <rPh sb="0" eb="2">
      <t>ヒカク</t>
    </rPh>
    <rPh sb="2" eb="4">
      <t>ネンド</t>
    </rPh>
    <rPh sb="4" eb="6">
      <t>ハイシュツ</t>
    </rPh>
    <rPh sb="6" eb="7">
      <t>リョウ</t>
    </rPh>
    <rPh sb="8" eb="9">
      <t>ダイ</t>
    </rPh>
    <rPh sb="11" eb="12">
      <t>ゴウ</t>
    </rPh>
    <rPh sb="13" eb="15">
      <t>キソ</t>
    </rPh>
    <phoneticPr fontId="1"/>
  </si>
  <si>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1"/>
  </si>
  <si>
    <t>2022年度
全県
（大_3号）</t>
    <rPh sb="4" eb="6">
      <t>ネンド</t>
    </rPh>
    <rPh sb="7" eb="9">
      <t>ゼンケン</t>
    </rPh>
    <rPh sb="11" eb="12">
      <t>ダイ</t>
    </rPh>
    <rPh sb="14" eb="15">
      <t>ゴウ</t>
    </rPh>
    <phoneticPr fontId="1"/>
  </si>
  <si>
    <t>2022年度排出量（大_3号_基礎）</t>
    <rPh sb="4" eb="6">
      <t>ネンド</t>
    </rPh>
    <phoneticPr fontId="1"/>
  </si>
  <si>
    <t>2022年度排出量（大_3号_調整後）</t>
    <rPh sb="4" eb="6">
      <t>ネンド</t>
    </rPh>
    <phoneticPr fontId="1"/>
  </si>
  <si>
    <t>2023年度
全県
（大_3号）</t>
    <rPh sb="4" eb="6">
      <t>ネンド</t>
    </rPh>
    <rPh sb="7" eb="9">
      <t>ゼンケン</t>
    </rPh>
    <rPh sb="11" eb="12">
      <t>ダイ</t>
    </rPh>
    <rPh sb="14" eb="15">
      <t>ゴウ</t>
    </rPh>
    <phoneticPr fontId="1"/>
  </si>
  <si>
    <t>2023年度排出量（大_3号_基礎）</t>
    <rPh sb="4" eb="6">
      <t>ネンド</t>
    </rPh>
    <phoneticPr fontId="1"/>
  </si>
  <si>
    <t>2023年度排出量（大_3号_調整後）</t>
    <rPh sb="4" eb="6">
      <t>ネンド</t>
    </rPh>
    <phoneticPr fontId="1"/>
  </si>
  <si>
    <t>2024年度
全県
（大_3号）</t>
    <rPh sb="4" eb="6">
      <t>ネンド</t>
    </rPh>
    <rPh sb="7" eb="9">
      <t>ゼンケン</t>
    </rPh>
    <rPh sb="11" eb="12">
      <t>ダイ</t>
    </rPh>
    <rPh sb="14" eb="15">
      <t>ゴウ</t>
    </rPh>
    <phoneticPr fontId="1"/>
  </si>
  <si>
    <t>2024年度排出量（大_3号_基礎）</t>
    <rPh sb="4" eb="6">
      <t>ネンド</t>
    </rPh>
    <phoneticPr fontId="1"/>
  </si>
  <si>
    <t>2024年度排出量（大_3号_調整後）</t>
    <rPh sb="4" eb="6">
      <t>ネンド</t>
    </rPh>
    <phoneticPr fontId="1"/>
  </si>
  <si>
    <t>2025年度
全県
（大_3号）</t>
    <rPh sb="4" eb="6">
      <t>ネンド</t>
    </rPh>
    <rPh sb="7" eb="9">
      <t>ゼンケン</t>
    </rPh>
    <rPh sb="11" eb="12">
      <t>ダイ</t>
    </rPh>
    <rPh sb="14" eb="15">
      <t>ゴウ</t>
    </rPh>
    <phoneticPr fontId="1"/>
  </si>
  <si>
    <t>2025年度排出量（大_3号_基礎）</t>
    <rPh sb="4" eb="6">
      <t>ネンド</t>
    </rPh>
    <phoneticPr fontId="1"/>
  </si>
  <si>
    <t>2025年度排出量（大_3号_調整後）</t>
    <rPh sb="4" eb="6">
      <t>ネンド</t>
    </rPh>
    <phoneticPr fontId="1"/>
  </si>
  <si>
    <t>2022年度
全県
（中小_工場）</t>
    <rPh sb="4" eb="6">
      <t>ネンド</t>
    </rPh>
    <rPh sb="7" eb="9">
      <t>ゼンケン</t>
    </rPh>
    <rPh sb="11" eb="13">
      <t>チュウショウ</t>
    </rPh>
    <rPh sb="14" eb="16">
      <t>コウジョウ</t>
    </rPh>
    <phoneticPr fontId="1"/>
  </si>
  <si>
    <t>2022年度排出量（中小_工場_基礎）</t>
    <rPh sb="4" eb="6">
      <t>ネンド</t>
    </rPh>
    <phoneticPr fontId="1"/>
  </si>
  <si>
    <t>2022年度排出量（中小_工場_調整後）</t>
    <rPh sb="4" eb="6">
      <t>ネンド</t>
    </rPh>
    <phoneticPr fontId="1"/>
  </si>
  <si>
    <t>2023年度
全県
（中小_工場）</t>
    <rPh sb="4" eb="6">
      <t>ネンド</t>
    </rPh>
    <rPh sb="7" eb="9">
      <t>ゼンケン</t>
    </rPh>
    <rPh sb="11" eb="13">
      <t>チュウショウ</t>
    </rPh>
    <rPh sb="14" eb="16">
      <t>コウジョウ</t>
    </rPh>
    <phoneticPr fontId="1"/>
  </si>
  <si>
    <t>2023年度排出量（中小_工場_基礎）</t>
    <rPh sb="4" eb="6">
      <t>ネンド</t>
    </rPh>
    <phoneticPr fontId="1"/>
  </si>
  <si>
    <t>2023年度排出量（中小_工場_調整後）</t>
    <rPh sb="4" eb="6">
      <t>ネンド</t>
    </rPh>
    <phoneticPr fontId="1"/>
  </si>
  <si>
    <t>2024年度
全県
（中小_工場）</t>
    <rPh sb="4" eb="6">
      <t>ネンド</t>
    </rPh>
    <rPh sb="7" eb="9">
      <t>ゼンケン</t>
    </rPh>
    <rPh sb="11" eb="13">
      <t>チュウショウ</t>
    </rPh>
    <rPh sb="14" eb="16">
      <t>コウジョウ</t>
    </rPh>
    <phoneticPr fontId="1"/>
  </si>
  <si>
    <t>2024年度排出量（中小_工場_基礎）</t>
    <rPh sb="4" eb="6">
      <t>ネンド</t>
    </rPh>
    <phoneticPr fontId="1"/>
  </si>
  <si>
    <t>2024年度排出量（中小_工場_調整後）</t>
    <rPh sb="4" eb="6">
      <t>ネンド</t>
    </rPh>
    <phoneticPr fontId="1"/>
  </si>
  <si>
    <t>2025年度
全県
（中小_工場）</t>
    <rPh sb="4" eb="6">
      <t>ネンド</t>
    </rPh>
    <rPh sb="7" eb="9">
      <t>ゼンケン</t>
    </rPh>
    <rPh sb="11" eb="13">
      <t>チュウショウ</t>
    </rPh>
    <rPh sb="14" eb="16">
      <t>コウジョウ</t>
    </rPh>
    <phoneticPr fontId="1"/>
  </si>
  <si>
    <t>2025年度排出量（中小_工場_基礎）</t>
    <rPh sb="4" eb="6">
      <t>ネンド</t>
    </rPh>
    <phoneticPr fontId="1"/>
  </si>
  <si>
    <t>2025年度排出量（中小_工場_調整後）</t>
    <rPh sb="4" eb="6">
      <t>ネンド</t>
    </rPh>
    <phoneticPr fontId="1"/>
  </si>
  <si>
    <t>2022年度
全県
（中小_自動車）</t>
    <rPh sb="4" eb="6">
      <t>ネンド</t>
    </rPh>
    <rPh sb="7" eb="9">
      <t>ゼンケン</t>
    </rPh>
    <rPh sb="11" eb="13">
      <t>チュウショウ</t>
    </rPh>
    <rPh sb="14" eb="17">
      <t>ジドウシャ</t>
    </rPh>
    <phoneticPr fontId="1"/>
  </si>
  <si>
    <t>2022年度排出量（中小_自動車_基礎）</t>
    <rPh sb="4" eb="6">
      <t>ネンド</t>
    </rPh>
    <phoneticPr fontId="1"/>
  </si>
  <si>
    <t>2022年度排出量（中小_自動車_調整後）</t>
    <rPh sb="4" eb="6">
      <t>ネンド</t>
    </rPh>
    <phoneticPr fontId="1"/>
  </si>
  <si>
    <t>2023年度
全県
（中小_自動車）</t>
    <rPh sb="4" eb="6">
      <t>ネンド</t>
    </rPh>
    <rPh sb="7" eb="9">
      <t>ゼンケン</t>
    </rPh>
    <rPh sb="11" eb="13">
      <t>チュウショウ</t>
    </rPh>
    <rPh sb="14" eb="17">
      <t>ジドウシャ</t>
    </rPh>
    <phoneticPr fontId="1"/>
  </si>
  <si>
    <t>2023年度排出量（中小_自動車_基礎）</t>
    <rPh sb="4" eb="6">
      <t>ネンド</t>
    </rPh>
    <phoneticPr fontId="1"/>
  </si>
  <si>
    <t>2023年度排出量（中小_自動車_調整後）</t>
    <rPh sb="4" eb="6">
      <t>ネンド</t>
    </rPh>
    <phoneticPr fontId="1"/>
  </si>
  <si>
    <t>2024年度
全県
（中小_自動車）</t>
    <rPh sb="4" eb="6">
      <t>ネンド</t>
    </rPh>
    <rPh sb="7" eb="9">
      <t>ゼンケン</t>
    </rPh>
    <rPh sb="11" eb="13">
      <t>チュウショウ</t>
    </rPh>
    <rPh sb="14" eb="17">
      <t>ジドウシャ</t>
    </rPh>
    <phoneticPr fontId="1"/>
  </si>
  <si>
    <t>2024年度排出量（中小_自動車_基礎）</t>
    <rPh sb="4" eb="6">
      <t>ネンド</t>
    </rPh>
    <phoneticPr fontId="1"/>
  </si>
  <si>
    <t>2024年度排出量（中小_自動車_調整後）</t>
    <rPh sb="4" eb="6">
      <t>ネンド</t>
    </rPh>
    <phoneticPr fontId="1"/>
  </si>
  <si>
    <t>2025年度
全県
（中小_自動車）</t>
    <rPh sb="4" eb="6">
      <t>ネンド</t>
    </rPh>
    <rPh sb="7" eb="9">
      <t>ゼンケン</t>
    </rPh>
    <rPh sb="11" eb="13">
      <t>チュウショウ</t>
    </rPh>
    <rPh sb="14" eb="17">
      <t>ジドウシャ</t>
    </rPh>
    <phoneticPr fontId="1"/>
  </si>
  <si>
    <t>2025年度排出量（中小_自動車_基礎）</t>
    <rPh sb="4" eb="6">
      <t>ネンド</t>
    </rPh>
    <phoneticPr fontId="1"/>
  </si>
  <si>
    <t>2025年度排出量（中小_自動車_調整後）</t>
    <rPh sb="4" eb="6">
      <t>ネンド</t>
    </rPh>
    <phoneticPr fontId="1"/>
  </si>
  <si>
    <t>第１号</t>
    <rPh sb="0" eb="1">
      <t>ダイ</t>
    </rPh>
    <rPh sb="2" eb="3">
      <t>ゴウ</t>
    </rPh>
    <phoneticPr fontId="1"/>
  </si>
  <si>
    <t>工場等</t>
    <rPh sb="0" eb="2">
      <t>コウジョウ</t>
    </rPh>
    <rPh sb="2" eb="3">
      <t>トウ</t>
    </rPh>
    <phoneticPr fontId="1"/>
  </si>
  <si>
    <t>代表者役職・氏名</t>
    <rPh sb="6" eb="8">
      <t>シメイ</t>
    </rPh>
    <phoneticPr fontId="1"/>
  </si>
  <si>
    <t>(役職）</t>
    <rPh sb="1" eb="3">
      <t>ヤクショク</t>
    </rPh>
    <phoneticPr fontId="1"/>
  </si>
  <si>
    <t>（氏名）</t>
    <rPh sb="1" eb="3">
      <t>シメイ</t>
    </rPh>
    <phoneticPr fontId="1"/>
  </si>
  <si>
    <t>第２号</t>
    <rPh sb="0" eb="1">
      <t>ダイ</t>
    </rPh>
    <rPh sb="2" eb="3">
      <t>ゴウ</t>
    </rPh>
    <phoneticPr fontId="1"/>
  </si>
  <si>
    <t>自動車</t>
    <rPh sb="0" eb="3">
      <t>ジドウシャ</t>
    </rPh>
    <phoneticPr fontId="1"/>
  </si>
  <si>
    <t>第３号</t>
    <rPh sb="0" eb="1">
      <t>ダイ</t>
    </rPh>
    <rPh sb="2" eb="3">
      <t>ゴウ</t>
    </rPh>
    <phoneticPr fontId="1"/>
  </si>
  <si>
    <t>原単位分母の値</t>
    <rPh sb="0" eb="3">
      <t>ゲンタンイ</t>
    </rPh>
    <rPh sb="3" eb="5">
      <t>ブンボ</t>
    </rPh>
    <rPh sb="6" eb="7">
      <t>アタイ</t>
    </rPh>
    <phoneticPr fontId="1"/>
  </si>
  <si>
    <t>区分</t>
    <rPh sb="0" eb="2">
      <t>クブン</t>
    </rPh>
    <phoneticPr fontId="1"/>
  </si>
  <si>
    <t>エネルギー種別の</t>
    <rPh sb="5" eb="7">
      <t>シュベツ</t>
    </rPh>
    <phoneticPr fontId="1"/>
  </si>
  <si>
    <t>事業所数</t>
    <rPh sb="0" eb="2">
      <t>ジギョウ</t>
    </rPh>
    <rPh sb="2" eb="3">
      <t>ショ</t>
    </rPh>
    <rPh sb="3" eb="4">
      <t>スウ</t>
    </rPh>
    <phoneticPr fontId="1"/>
  </si>
  <si>
    <t>横浜2</t>
    <rPh sb="0" eb="2">
      <t>ヨコハマ</t>
    </rPh>
    <phoneticPr fontId="1"/>
  </si>
  <si>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1"/>
  </si>
  <si>
    <t>発熱量・排出係数</t>
    <rPh sb="0" eb="2">
      <t>ハツネツ</t>
    </rPh>
    <rPh sb="2" eb="3">
      <t>リョウ</t>
    </rPh>
    <rPh sb="4" eb="6">
      <t>ハイシュツ</t>
    </rPh>
    <rPh sb="6" eb="8">
      <t>ケイスウ</t>
    </rPh>
    <phoneticPr fontId="1"/>
  </si>
  <si>
    <t>（３号該当事業者）</t>
    <rPh sb="2" eb="3">
      <t>ゴウ</t>
    </rPh>
    <rPh sb="3" eb="5">
      <t>ガイトウ</t>
    </rPh>
    <rPh sb="5" eb="7">
      <t>ジギョウ</t>
    </rPh>
    <rPh sb="7" eb="8">
      <t>シャ</t>
    </rPh>
    <phoneticPr fontId="1"/>
  </si>
  <si>
    <t>事業所名</t>
    <rPh sb="0" eb="2">
      <t>ジギョウ</t>
    </rPh>
    <rPh sb="2" eb="3">
      <t>ショ</t>
    </rPh>
    <rPh sb="3" eb="4">
      <t>メイ</t>
    </rPh>
    <phoneticPr fontId="1"/>
  </si>
  <si>
    <t>横浜・川崎</t>
    <rPh sb="0" eb="2">
      <t>ヨコハマ</t>
    </rPh>
    <rPh sb="3" eb="5">
      <t>カワサキ</t>
    </rPh>
    <phoneticPr fontId="1"/>
  </si>
  <si>
    <t>所在地</t>
    <rPh sb="0" eb="3">
      <t>ショザイチ</t>
    </rPh>
    <phoneticPr fontId="1"/>
  </si>
  <si>
    <t>GJ/単位</t>
    <rPh sb="3" eb="5">
      <t>タンイ</t>
    </rPh>
    <phoneticPr fontId="1"/>
  </si>
  <si>
    <t>使用量</t>
    <rPh sb="0" eb="3">
      <t>シヨウリョウ</t>
    </rPh>
    <phoneticPr fontId="1"/>
  </si>
  <si>
    <t>外部供給</t>
    <rPh sb="0" eb="2">
      <t>ガイブ</t>
    </rPh>
    <rPh sb="2" eb="4">
      <t>キョウキュウ</t>
    </rPh>
    <phoneticPr fontId="1"/>
  </si>
  <si>
    <t>副生エネルギー</t>
    <rPh sb="0" eb="2">
      <t>フクセイ</t>
    </rPh>
    <phoneticPr fontId="1"/>
  </si>
  <si>
    <t>その他燃料</t>
    <rPh sb="2" eb="3">
      <t>タ</t>
    </rPh>
    <rPh sb="3" eb="5">
      <t>ネンリョウ</t>
    </rPh>
    <phoneticPr fontId="1"/>
  </si>
  <si>
    <t>非化石燃料</t>
    <rPh sb="0" eb="1">
      <t>ヒ</t>
    </rPh>
    <rPh sb="1" eb="3">
      <t>カセキ</t>
    </rPh>
    <rPh sb="3" eb="5">
      <t>ネンリョウ</t>
    </rPh>
    <phoneticPr fontId="1"/>
  </si>
  <si>
    <t>熱</t>
    <rPh sb="0" eb="1">
      <t>ネツ</t>
    </rPh>
    <phoneticPr fontId="1"/>
  </si>
  <si>
    <t>他者から購入した熱</t>
    <rPh sb="0" eb="2">
      <t>タシャ</t>
    </rPh>
    <rPh sb="4" eb="6">
      <t>コウニュウ</t>
    </rPh>
    <rPh sb="8" eb="9">
      <t>ネツ</t>
    </rPh>
    <phoneticPr fontId="1"/>
  </si>
  <si>
    <t>うち非化石（任意）</t>
    <rPh sb="2" eb="3">
      <t>ヒ</t>
    </rPh>
    <rPh sb="3" eb="5">
      <t>カセキ</t>
    </rPh>
    <rPh sb="6" eb="8">
      <t>ニンイ</t>
    </rPh>
    <phoneticPr fontId="1"/>
  </si>
  <si>
    <t>うち非化石（任意）</t>
    <rPh sb="2" eb="3">
      <t>ヒ</t>
    </rPh>
    <rPh sb="3" eb="5">
      <t>カセキ</t>
    </rPh>
    <phoneticPr fontId="1"/>
  </si>
  <si>
    <t>その他使用した熱</t>
    <rPh sb="2" eb="3">
      <t>タ</t>
    </rPh>
    <rPh sb="3" eb="5">
      <t>シヨウ</t>
    </rPh>
    <rPh sb="7" eb="8">
      <t>ネツ</t>
    </rPh>
    <phoneticPr fontId="1"/>
  </si>
  <si>
    <t>地熱</t>
    <rPh sb="0" eb="2">
      <t>チネツ</t>
    </rPh>
    <phoneticPr fontId="1"/>
  </si>
  <si>
    <t>温泉熱</t>
    <rPh sb="0" eb="2">
      <t>オンセン</t>
    </rPh>
    <rPh sb="2" eb="3">
      <t>ネツ</t>
    </rPh>
    <phoneticPr fontId="1"/>
  </si>
  <si>
    <t>太陽熱</t>
    <rPh sb="0" eb="3">
      <t>タイヨウネツ</t>
    </rPh>
    <phoneticPr fontId="1"/>
  </si>
  <si>
    <t>雪氷熱</t>
    <rPh sb="0" eb="2">
      <t>セッピョウ</t>
    </rPh>
    <rPh sb="2" eb="3">
      <t>ネツ</t>
    </rPh>
    <phoneticPr fontId="1"/>
  </si>
  <si>
    <t>その他の熱1</t>
    <rPh sb="4" eb="5">
      <t>ネツ</t>
    </rPh>
    <phoneticPr fontId="1"/>
  </si>
  <si>
    <t>その他の熱2</t>
    <rPh sb="2" eb="3">
      <t>タ</t>
    </rPh>
    <rPh sb="4" eb="5">
      <t>ネツ</t>
    </rPh>
    <phoneticPr fontId="1"/>
  </si>
  <si>
    <t>上記以外の買電</t>
    <rPh sb="0" eb="2">
      <t>ジョウキ</t>
    </rPh>
    <rPh sb="2" eb="4">
      <t>イガイ</t>
    </rPh>
    <rPh sb="5" eb="7">
      <t>バイデン</t>
    </rPh>
    <phoneticPr fontId="1"/>
  </si>
  <si>
    <t>その他自家発電(非燃料由来の非化石)</t>
    <rPh sb="3" eb="5">
      <t>ジカ</t>
    </rPh>
    <rPh sb="5" eb="6">
      <t>ハツ</t>
    </rPh>
    <rPh sb="6" eb="7">
      <t>デン</t>
    </rPh>
    <phoneticPr fontId="1"/>
  </si>
  <si>
    <t>その他自家発電（燃料）</t>
    <rPh sb="3" eb="6">
      <t>ジカハツ</t>
    </rPh>
    <rPh sb="6" eb="7">
      <t>デン</t>
    </rPh>
    <rPh sb="8" eb="10">
      <t>ネンリョウ</t>
    </rPh>
    <phoneticPr fontId="1"/>
  </si>
  <si>
    <t>化石</t>
    <rPh sb="0" eb="2">
      <t>カセキ</t>
    </rPh>
    <phoneticPr fontId="1"/>
  </si>
  <si>
    <t>その他自家発電（熱）</t>
    <rPh sb="2" eb="3">
      <t>タ</t>
    </rPh>
    <rPh sb="3" eb="5">
      <t>ジカ</t>
    </rPh>
    <rPh sb="5" eb="7">
      <t>ハツデン</t>
    </rPh>
    <rPh sb="8" eb="9">
      <t>ネツ</t>
    </rPh>
    <phoneticPr fontId="1"/>
  </si>
  <si>
    <t>排出係数等</t>
    <rPh sb="0" eb="2">
      <t>ハイシュツ</t>
    </rPh>
    <rPh sb="2" eb="4">
      <t>ケイスウ</t>
    </rPh>
    <rPh sb="4" eb="5">
      <t>トウ</t>
    </rPh>
    <phoneticPr fontId="1"/>
  </si>
  <si>
    <t>メニュー名</t>
    <rPh sb="4" eb="5">
      <t>メイ</t>
    </rPh>
    <phoneticPr fontId="1"/>
  </si>
  <si>
    <t>基礎排出係数</t>
    <rPh sb="0" eb="2">
      <t>キソ</t>
    </rPh>
    <rPh sb="2" eb="4">
      <t>ハイシュツ</t>
    </rPh>
    <rPh sb="4" eb="6">
      <t>ケイスウ</t>
    </rPh>
    <phoneticPr fontId="1"/>
  </si>
  <si>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</si>
  <si>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</si>
  <si>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</si>
  <si>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</si>
  <si>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</si>
  <si>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</si>
  <si>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</si>
  <si>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</si>
  <si>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</si>
  <si>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</si>
  <si>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</si>
  <si>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</si>
  <si>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</si>
  <si>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</si>
  <si>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</si>
  <si>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</si>
  <si>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</si>
  <si>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</si>
  <si>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</si>
  <si>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</si>
  <si>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</si>
  <si>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</si>
  <si>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</si>
  <si>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</si>
  <si>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</si>
  <si>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</si>
  <si>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</si>
  <si>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</si>
  <si>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</si>
  <si>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</si>
  <si>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</si>
  <si>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</si>
  <si>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</si>
  <si>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</si>
  <si>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</si>
  <si>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</si>
  <si>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</si>
  <si>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</si>
  <si>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</si>
  <si>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</si>
  <si>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</si>
  <si>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</si>
  <si>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</si>
  <si>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</si>
  <si>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</si>
  <si>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</si>
  <si>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</si>
  <si>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</si>
  <si>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</si>
  <si>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クレジット等</t>
    <rPh sb="5" eb="6">
      <t>トウ</t>
    </rPh>
    <phoneticPr fontId="1"/>
  </si>
  <si>
    <t>種類</t>
    <rPh sb="0" eb="2">
      <t>シュルイ</t>
    </rPh>
    <phoneticPr fontId="1"/>
  </si>
  <si>
    <t>川崎市内の削減量</t>
    <rPh sb="0" eb="3">
      <t>カワサキシ</t>
    </rPh>
    <rPh sb="3" eb="4">
      <t>ナイ</t>
    </rPh>
    <rPh sb="5" eb="7">
      <t>サクゲン</t>
    </rPh>
    <rPh sb="7" eb="8">
      <t>リョウ</t>
    </rPh>
    <phoneticPr fontId="1"/>
  </si>
  <si>
    <t>県域の削減量(自）</t>
    <rPh sb="7" eb="8">
      <t>ジ</t>
    </rPh>
    <phoneticPr fontId="1"/>
  </si>
  <si>
    <t>横浜市内の削減量（自）</t>
    <rPh sb="9" eb="10">
      <t>ジ</t>
    </rPh>
    <phoneticPr fontId="1"/>
  </si>
  <si>
    <t>川崎市内の削減量（自）</t>
    <rPh sb="0" eb="3">
      <t>カワサキシ</t>
    </rPh>
    <rPh sb="3" eb="4">
      <t>ナイ</t>
    </rPh>
    <rPh sb="5" eb="7">
      <t>サクゲン</t>
    </rPh>
    <rPh sb="7" eb="8">
      <t>リョウ</t>
    </rPh>
    <rPh sb="9" eb="10">
      <t>ジ</t>
    </rPh>
    <phoneticPr fontId="1"/>
  </si>
  <si>
    <t>国内認証排出削減量</t>
    <rPh sb="4" eb="6">
      <t>ハイシュツ</t>
    </rPh>
    <rPh sb="6" eb="8">
      <t>サクゲン</t>
    </rPh>
    <rPh sb="8" eb="9">
      <t>リョウ</t>
    </rPh>
    <phoneticPr fontId="1"/>
  </si>
  <si>
    <t>再エネ電力由来(t-CO2)</t>
    <rPh sb="0" eb="1">
      <t>サイ</t>
    </rPh>
    <rPh sb="3" eb="5">
      <t>デンリョク</t>
    </rPh>
    <rPh sb="5" eb="7">
      <t>ユライ</t>
    </rPh>
    <phoneticPr fontId="1"/>
  </si>
  <si>
    <t>再エネ熱由来(t-CO2)</t>
    <rPh sb="0" eb="1">
      <t>サイ</t>
    </rPh>
    <rPh sb="3" eb="4">
      <t>ネツ</t>
    </rPh>
    <rPh sb="4" eb="6">
      <t>ユライ</t>
    </rPh>
    <phoneticPr fontId="1"/>
  </si>
  <si>
    <t>再エネ熱由来(GJ)</t>
    <rPh sb="0" eb="1">
      <t>サイ</t>
    </rPh>
    <rPh sb="3" eb="4">
      <t>ネツ</t>
    </rPh>
    <rPh sb="4" eb="6">
      <t>ユライ</t>
    </rPh>
    <phoneticPr fontId="1"/>
  </si>
  <si>
    <t>その他</t>
    <rPh sb="2" eb="3">
      <t>タ</t>
    </rPh>
    <phoneticPr fontId="1"/>
  </si>
  <si>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</si>
  <si>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</si>
  <si>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</si>
  <si>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</si>
  <si>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海外認証排出削減量（ＪＣＭクレジット）</t>
    <rPh sb="4" eb="6">
      <t>ハイシュツ</t>
    </rPh>
    <rPh sb="6" eb="8">
      <t>サクゲン</t>
    </rPh>
    <rPh sb="8" eb="9">
      <t>リョウ</t>
    </rPh>
    <phoneticPr fontId="1"/>
  </si>
  <si>
    <t>FIT補正率</t>
    <rPh sb="3" eb="5">
      <t>ホセイ</t>
    </rPh>
    <rPh sb="5" eb="6">
      <t>リツ</t>
    </rPh>
    <phoneticPr fontId="1"/>
  </si>
  <si>
    <t>非FIT補正率</t>
    <rPh sb="4" eb="6">
      <t>ホセイ</t>
    </rPh>
    <rPh sb="6" eb="7">
      <t>リツ</t>
    </rPh>
    <phoneticPr fontId="1"/>
  </si>
  <si>
    <t>予備１</t>
    <rPh sb="0" eb="2">
      <t>ヨビ</t>
    </rPh>
    <phoneticPr fontId="1"/>
  </si>
  <si>
    <t>予備２</t>
    <rPh sb="0" eb="2">
      <t>ヨビ</t>
    </rPh>
    <phoneticPr fontId="1"/>
  </si>
  <si>
    <t>予備３</t>
    <rPh sb="0" eb="2">
      <t>ヨビ</t>
    </rPh>
    <phoneticPr fontId="1"/>
  </si>
  <si>
    <t>予備４</t>
    <rPh sb="0" eb="2">
      <t>ヨビ</t>
    </rPh>
    <phoneticPr fontId="1"/>
  </si>
  <si>
    <t>予備５</t>
    <rPh sb="0" eb="2">
      <t>ヨビ</t>
    </rPh>
    <phoneticPr fontId="1"/>
  </si>
  <si>
    <t>予備６</t>
    <rPh sb="0" eb="2">
      <t>ヨビ</t>
    </rPh>
    <phoneticPr fontId="1"/>
  </si>
  <si>
    <t>予備７</t>
    <rPh sb="0" eb="2">
      <t>ヨビ</t>
    </rPh>
    <phoneticPr fontId="1"/>
  </si>
  <si>
    <t>予備８</t>
    <rPh sb="0" eb="2">
      <t>ヨビ</t>
    </rPh>
    <phoneticPr fontId="1"/>
  </si>
  <si>
    <t>予備９</t>
    <rPh sb="0" eb="2">
      <t>ヨビ</t>
    </rPh>
    <phoneticPr fontId="1"/>
  </si>
  <si>
    <t>予備１０</t>
    <rPh sb="0" eb="2">
      <t>ヨビ</t>
    </rPh>
    <phoneticPr fontId="1"/>
  </si>
  <si>
    <t>予備１１</t>
    <rPh sb="0" eb="2">
      <t>ヨビ</t>
    </rPh>
    <phoneticPr fontId="1"/>
  </si>
  <si>
    <t>予備１２</t>
    <rPh sb="0" eb="2">
      <t>ヨビ</t>
    </rPh>
    <phoneticPr fontId="1"/>
  </si>
  <si>
    <t>予備１３</t>
    <rPh sb="0" eb="2">
      <t>ヨビ</t>
    </rPh>
    <phoneticPr fontId="1"/>
  </si>
  <si>
    <t>予備１４</t>
    <rPh sb="0" eb="2">
      <t>ヨビ</t>
    </rPh>
    <phoneticPr fontId="1"/>
  </si>
  <si>
    <t>予備１５</t>
    <rPh sb="0" eb="2">
      <t>ヨビ</t>
    </rPh>
    <phoneticPr fontId="1"/>
  </si>
  <si>
    <t>予備１６</t>
    <rPh sb="0" eb="2">
      <t>ヨビ</t>
    </rPh>
    <phoneticPr fontId="1"/>
  </si>
  <si>
    <t>予備１７</t>
    <rPh sb="0" eb="2">
      <t>ヨビ</t>
    </rPh>
    <phoneticPr fontId="1"/>
  </si>
  <si>
    <t>予備１８</t>
    <rPh sb="0" eb="2">
      <t>ヨビ</t>
    </rPh>
    <phoneticPr fontId="1"/>
  </si>
  <si>
    <t>予備１９</t>
    <rPh sb="0" eb="2">
      <t>ヨビ</t>
    </rPh>
    <phoneticPr fontId="1"/>
  </si>
  <si>
    <t>予備２０</t>
    <rPh sb="0" eb="2">
      <t>ヨビ</t>
    </rPh>
    <phoneticPr fontId="1"/>
  </si>
  <si>
    <t>予備２１</t>
    <rPh sb="0" eb="2">
      <t>ヨビ</t>
    </rPh>
    <phoneticPr fontId="1"/>
  </si>
  <si>
    <t>予備２２</t>
    <rPh sb="0" eb="2">
      <t>ヨビ</t>
    </rPh>
    <phoneticPr fontId="1"/>
  </si>
  <si>
    <t>予備２３</t>
    <rPh sb="0" eb="2">
      <t>ヨビ</t>
    </rPh>
    <phoneticPr fontId="1"/>
  </si>
  <si>
    <t>予備２４</t>
    <rPh sb="0" eb="2">
      <t>ヨビ</t>
    </rPh>
    <phoneticPr fontId="1"/>
  </si>
  <si>
    <t>予備２５</t>
    <rPh sb="0" eb="2">
      <t>ヨビ</t>
    </rPh>
    <phoneticPr fontId="1"/>
  </si>
  <si>
    <t>予備２６</t>
    <rPh sb="0" eb="2">
      <t>ヨビ</t>
    </rPh>
    <phoneticPr fontId="1"/>
  </si>
  <si>
    <t>予備２７</t>
    <rPh sb="0" eb="2">
      <t>ヨビ</t>
    </rPh>
    <phoneticPr fontId="1"/>
  </si>
  <si>
    <t>予備２８</t>
    <rPh sb="0" eb="2">
      <t>ヨビ</t>
    </rPh>
    <phoneticPr fontId="1"/>
  </si>
  <si>
    <t>予備２９</t>
    <rPh sb="0" eb="2">
      <t>ヨビ</t>
    </rPh>
    <phoneticPr fontId="1"/>
  </si>
  <si>
    <t>予備３０</t>
    <rPh sb="0" eb="2">
      <t>ヨビ</t>
    </rPh>
    <phoneticPr fontId="1"/>
  </si>
  <si>
    <t>排出係数等(自動車）</t>
    <rPh sb="0" eb="2">
      <t>ハイシュツ</t>
    </rPh>
    <rPh sb="2" eb="4">
      <t>ケイスウ</t>
    </rPh>
    <rPh sb="4" eb="5">
      <t>トウ</t>
    </rPh>
    <rPh sb="6" eb="9">
      <t>ジドウシャ</t>
    </rPh>
    <phoneticPr fontId="1"/>
  </si>
  <si>
    <t>対象自動車の台数</t>
    <rPh sb="0" eb="2">
      <t>タイショウ</t>
    </rPh>
    <rPh sb="2" eb="5">
      <t>ジドウシャ</t>
    </rPh>
    <rPh sb="6" eb="8">
      <t>ダイスウ</t>
    </rPh>
    <phoneticPr fontId="1"/>
  </si>
  <si>
    <t>県域以外</t>
    <rPh sb="0" eb="1">
      <t>ケン</t>
    </rPh>
    <rPh sb="1" eb="2">
      <t>イキ</t>
    </rPh>
    <rPh sb="2" eb="4">
      <t>イガイ</t>
    </rPh>
    <phoneticPr fontId="1"/>
  </si>
  <si>
    <t>県域</t>
    <rPh sb="0" eb="1">
      <t>ケン</t>
    </rPh>
    <rPh sb="1" eb="2">
      <t>イキ</t>
    </rPh>
    <phoneticPr fontId="1"/>
  </si>
  <si>
    <t>自動車のその他エネルギー</t>
    <rPh sb="0" eb="3">
      <t>ジドウシャ</t>
    </rPh>
    <rPh sb="6" eb="7">
      <t>タ</t>
    </rPh>
    <phoneticPr fontId="1"/>
  </si>
  <si>
    <t>名称</t>
    <rPh sb="0" eb="2">
      <t>メイショウ</t>
    </rPh>
    <phoneticPr fontId="1"/>
  </si>
  <si>
    <t>単位</t>
    <rPh sb="0" eb="2">
      <t>タンイ</t>
    </rPh>
    <phoneticPr fontId="1"/>
  </si>
  <si>
    <t>単位発熱量</t>
    <rPh sb="0" eb="2">
      <t>タンイ</t>
    </rPh>
    <rPh sb="2" eb="4">
      <t>ハツネツ</t>
    </rPh>
    <rPh sb="4" eb="5">
      <t>リョウ</t>
    </rPh>
    <phoneticPr fontId="1"/>
  </si>
  <si>
    <t>基礎</t>
    <rPh sb="0" eb="2">
      <t>キソ</t>
    </rPh>
    <phoneticPr fontId="1"/>
  </si>
  <si>
    <t>調整後</t>
    <rPh sb="0" eb="2">
      <t>チョウセイ</t>
    </rPh>
    <rPh sb="2" eb="3">
      <t>ゴ</t>
    </rPh>
    <phoneticPr fontId="1"/>
  </si>
  <si>
    <t>都市ガス1(自)</t>
    <rPh sb="0" eb="2">
      <t>トシ</t>
    </rPh>
    <rPh sb="6" eb="7">
      <t>ジ</t>
    </rPh>
    <phoneticPr fontId="1"/>
  </si>
  <si>
    <t>前年度末所有台数</t>
    <rPh sb="0" eb="3">
      <t>ゼンネンド</t>
    </rPh>
    <rPh sb="3" eb="4">
      <t>マツ</t>
    </rPh>
    <rPh sb="4" eb="6">
      <t>ショユウ</t>
    </rPh>
    <rPh sb="6" eb="8">
      <t>ダイスウ</t>
    </rPh>
    <phoneticPr fontId="1"/>
  </si>
  <si>
    <t>都市ガス2(自)</t>
    <rPh sb="0" eb="2">
      <t>トシ</t>
    </rPh>
    <phoneticPr fontId="1"/>
  </si>
  <si>
    <t>うち廃止台数</t>
    <rPh sb="2" eb="4">
      <t>ハイシ</t>
    </rPh>
    <rPh sb="4" eb="6">
      <t>ダイスウ</t>
    </rPh>
    <phoneticPr fontId="1"/>
  </si>
  <si>
    <t>都市ガス3(自)</t>
    <rPh sb="0" eb="2">
      <t>トシ</t>
    </rPh>
    <phoneticPr fontId="1"/>
  </si>
  <si>
    <t>新規取得台数</t>
    <rPh sb="0" eb="2">
      <t>シンキ</t>
    </rPh>
    <rPh sb="2" eb="4">
      <t>シュトク</t>
    </rPh>
    <rPh sb="4" eb="6">
      <t>ダイスウ</t>
    </rPh>
    <phoneticPr fontId="1"/>
  </si>
  <si>
    <t>都市ガス4(自)</t>
    <rPh sb="0" eb="2">
      <t>トシ</t>
    </rPh>
    <phoneticPr fontId="1"/>
  </si>
  <si>
    <t>都市ガス5(自)</t>
    <rPh sb="0" eb="2">
      <t>トシ</t>
    </rPh>
    <phoneticPr fontId="1"/>
  </si>
  <si>
    <t>乗用自動車_EV</t>
    <rPh sb="0" eb="2">
      <t>ジョウヨウ</t>
    </rPh>
    <rPh sb="2" eb="5">
      <t>ジドウシャ</t>
    </rPh>
    <phoneticPr fontId="1"/>
  </si>
  <si>
    <t>電気1(自)</t>
    <rPh sb="0" eb="2">
      <t>デンキ</t>
    </rPh>
    <phoneticPr fontId="1"/>
  </si>
  <si>
    <t>乗用自動車_FCV</t>
    <rPh sb="0" eb="2">
      <t>ジョウヨウ</t>
    </rPh>
    <rPh sb="2" eb="5">
      <t>ジドウシャ</t>
    </rPh>
    <phoneticPr fontId="1"/>
  </si>
  <si>
    <t>電気2(自)</t>
    <rPh sb="0" eb="2">
      <t>デンキ</t>
    </rPh>
    <phoneticPr fontId="1"/>
  </si>
  <si>
    <t>乗用自動車_PHV</t>
    <rPh sb="0" eb="2">
      <t>ジョウヨウ</t>
    </rPh>
    <rPh sb="2" eb="5">
      <t>ジドウシャ</t>
    </rPh>
    <phoneticPr fontId="1"/>
  </si>
  <si>
    <t>電気3(自)</t>
    <rPh sb="0" eb="2">
      <t>デンキ</t>
    </rPh>
    <phoneticPr fontId="1"/>
  </si>
  <si>
    <t>乗用自動車_HV</t>
    <rPh sb="0" eb="2">
      <t>ジョウヨウ</t>
    </rPh>
    <rPh sb="2" eb="5">
      <t>ジドウシャ</t>
    </rPh>
    <phoneticPr fontId="1"/>
  </si>
  <si>
    <t>電気4(自)</t>
    <rPh sb="0" eb="2">
      <t>デンキ</t>
    </rPh>
    <phoneticPr fontId="1"/>
  </si>
  <si>
    <t>乗用自動車_その他</t>
    <rPh sb="0" eb="2">
      <t>ジョウヨウ</t>
    </rPh>
    <rPh sb="2" eb="5">
      <t>ジドウシャ</t>
    </rPh>
    <rPh sb="8" eb="9">
      <t>タ</t>
    </rPh>
    <phoneticPr fontId="1"/>
  </si>
  <si>
    <t>電気5(自)</t>
    <rPh sb="0" eb="2">
      <t>デンキ</t>
    </rPh>
    <phoneticPr fontId="1"/>
  </si>
  <si>
    <t>バス・貨物自動車_EV</t>
    <rPh sb="3" eb="5">
      <t>カモツ</t>
    </rPh>
    <rPh sb="5" eb="8">
      <t>ジドウシャ</t>
    </rPh>
    <phoneticPr fontId="1"/>
  </si>
  <si>
    <t>電気6(自)</t>
    <rPh sb="0" eb="2">
      <t>デンキ</t>
    </rPh>
    <phoneticPr fontId="1"/>
  </si>
  <si>
    <t>バス・貨物自動車_FCV</t>
    <rPh sb="3" eb="5">
      <t>カモツ</t>
    </rPh>
    <rPh sb="5" eb="8">
      <t>ジドウシャ</t>
    </rPh>
    <phoneticPr fontId="1"/>
  </si>
  <si>
    <t>電気7(自)</t>
    <rPh sb="0" eb="2">
      <t>デンキ</t>
    </rPh>
    <phoneticPr fontId="1"/>
  </si>
  <si>
    <t>バス・貨物自動車_PHV</t>
    <rPh sb="3" eb="5">
      <t>カモツ</t>
    </rPh>
    <rPh sb="5" eb="8">
      <t>ジドウシャ</t>
    </rPh>
    <phoneticPr fontId="1"/>
  </si>
  <si>
    <t>電気8(自)</t>
    <rPh sb="0" eb="2">
      <t>デンキ</t>
    </rPh>
    <phoneticPr fontId="1"/>
  </si>
  <si>
    <t>バス・貨物自動車_HV</t>
    <rPh sb="3" eb="5">
      <t>カモツ</t>
    </rPh>
    <rPh sb="5" eb="8">
      <t>ジドウシャ</t>
    </rPh>
    <phoneticPr fontId="1"/>
  </si>
  <si>
    <t>電気9(自)</t>
    <rPh sb="0" eb="2">
      <t>デンキ</t>
    </rPh>
    <phoneticPr fontId="1"/>
  </si>
  <si>
    <t>バス・貨物自動車_その他</t>
    <rPh sb="3" eb="5">
      <t>カモツ</t>
    </rPh>
    <rPh sb="5" eb="8">
      <t>ジドウシャ</t>
    </rPh>
    <rPh sb="11" eb="12">
      <t>タ</t>
    </rPh>
    <phoneticPr fontId="1"/>
  </si>
  <si>
    <t>電気10(自)</t>
    <rPh sb="0" eb="2">
      <t>デンキ</t>
    </rPh>
    <phoneticPr fontId="1"/>
  </si>
  <si>
    <t>特殊自動車</t>
    <rPh sb="0" eb="2">
      <t>トクシュ</t>
    </rPh>
    <rPh sb="2" eb="4">
      <t>ジドウ</t>
    </rPh>
    <rPh sb="4" eb="5">
      <t>シャ</t>
    </rPh>
    <phoneticPr fontId="1"/>
  </si>
  <si>
    <t>全県の原単位改善率</t>
    <rPh sb="0" eb="2">
      <t>ゼンケン</t>
    </rPh>
    <rPh sb="3" eb="6">
      <t>ゲンタンイ</t>
    </rPh>
    <rPh sb="6" eb="8">
      <t>カイゼン</t>
    </rPh>
    <rPh sb="8" eb="9">
      <t>リツ</t>
    </rPh>
    <phoneticPr fontId="39"/>
  </si>
  <si>
    <t>県域の原単位改善率</t>
    <rPh sb="0" eb="2">
      <t>ケンイキ</t>
    </rPh>
    <rPh sb="3" eb="6">
      <t>ゲンタンイ</t>
    </rPh>
    <rPh sb="6" eb="8">
      <t>カイゼン</t>
    </rPh>
    <rPh sb="8" eb="9">
      <t>リツ</t>
    </rPh>
    <phoneticPr fontId="39"/>
  </si>
  <si>
    <r>
      <t>１　コピーデータの貼付け（</t>
    </r>
    <r>
      <rPr>
        <b/>
        <sz val="16"/>
        <color theme="0"/>
        <rFont val="Yu Gothic"/>
        <family val="3"/>
        <charset val="128"/>
      </rPr>
      <t>2027</t>
    </r>
    <r>
      <rPr>
        <b/>
        <sz val="12"/>
        <color theme="0"/>
        <rFont val="Yu Gothic"/>
        <family val="3"/>
        <charset val="128"/>
      </rPr>
      <t>年度実績）</t>
    </r>
    <rPh sb="9" eb="11">
      <t>ハリツ</t>
    </rPh>
    <rPh sb="17" eb="19">
      <t>ネンド</t>
    </rPh>
    <rPh sb="19" eb="21">
      <t>ジッセキ</t>
    </rPh>
    <phoneticPr fontId="39"/>
  </si>
  <si>
    <t>報告対象年度：</t>
    <rPh sb="0" eb="2">
      <t>ホウコク</t>
    </rPh>
    <rPh sb="2" eb="4">
      <t>タイショウ</t>
    </rPh>
    <rPh sb="4" eb="6">
      <t>ネンド</t>
    </rPh>
    <phoneticPr fontId="39"/>
  </si>
  <si>
    <t>GJ</t>
    <phoneticPr fontId="4"/>
  </si>
  <si>
    <t>2026ver2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</si>
</sst>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_ "/>
    <numFmt numFmtId="179" formatCode="0.00_ "/>
    <numFmt numFmtId="180" formatCode="0.0_ "/>
    <numFmt numFmtId="181" formatCode="#,##0.0_ "/>
    <numFmt numFmtId="182" formatCode="\(General\)"/>
    <numFmt numFmtId="183" formatCode="General&quot;年&quot;&quot;度&quot;"/>
    <numFmt numFmtId="184" formatCode="0.0"/>
    <numFmt numFmtId="185" formatCode="#,##0.0;[Red]\-#,##0.0"/>
    <numFmt numFmtId="186" formatCode="#,##0.0_);[Red]\(#,##0.0\)"/>
  </numFmts>
  <fonts count="91">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9"/>
      <name val="ＭＳ 明朝"/>
      <family val="1"/>
      <charset val="128"/>
    </font>
    <font>
      <sz val="9"/>
      <name val="ＭＳ ゴシック"/>
      <family val="3"/>
      <charset val="128"/>
    </font>
    <font>
      <sz val="9"/>
      <name val="ＭＳ Ｐ明朝"/>
      <family val="1"/>
      <charset val="128"/>
    </font>
    <font>
      <sz val="9"/>
      <name val="ＭＳ Ｐゴシック"/>
      <family val="3"/>
      <charset val="128"/>
    </font>
    <font>
      <b/>
      <sz val="9"/>
      <name val="ＭＳ 明朝"/>
      <family val="1"/>
      <charset val="128"/>
    </font>
    <font>
      <vertAlign val="subscript"/>
      <sz val="9"/>
      <name val="ＭＳ 明朝"/>
      <family val="1"/>
      <charset val="128"/>
    </font>
    <font>
      <vertAlign val="superscript"/>
      <sz val="9"/>
      <name val="ＭＳ 明朝"/>
      <family val="1"/>
      <charset val="128"/>
    </font>
    <font>
      <sz val="8.5"/>
      <name val="ＭＳ 明朝"/>
      <family val="1"/>
      <charset val="128"/>
    </font>
    <font>
      <sz val="8"/>
      <name val="ＭＳ Ｐゴシック"/>
      <family val="3"/>
      <charset val="128"/>
    </font>
    <font>
      <sz val="8"/>
      <name val="ＭＳ 明朝"/>
      <family val="1"/>
      <charset val="128"/>
    </font>
    <font>
      <sz val="7"/>
      <name val="ＭＳ 明朝"/>
      <family val="1"/>
      <charset val="128"/>
    </font>
    <font>
      <sz val="11"/>
      <name val="ＭＳ ゴシック"/>
      <family val="3"/>
      <charset val="128"/>
    </font>
    <font>
      <sz val="8"/>
      <name val="ＭＳ ゴシック"/>
      <family val="3"/>
      <charset val="128"/>
    </font>
    <font>
      <sz val="9"/>
      <color indexed="10"/>
      <name val="ＭＳ 明朝"/>
      <family val="1"/>
      <charset val="128"/>
    </font>
    <font>
      <u/>
      <sz val="9"/>
      <color indexed="10"/>
      <name val="ＭＳ 明朝"/>
      <family val="1"/>
      <charset val="128"/>
    </font>
    <font>
      <u/>
      <sz val="9"/>
      <name val="ＭＳ 明朝"/>
      <family val="1"/>
      <charset val="128"/>
    </font>
    <font>
      <sz val="9"/>
      <color rgb="FFFF0000"/>
      <name val="ＭＳ 明朝"/>
      <family val="1"/>
      <charset val="128"/>
    </font>
    <font>
      <u/>
      <sz val="9"/>
      <color rgb="FFFF0000"/>
      <name val="ＭＳ 明朝"/>
      <family val="1"/>
      <charset val="128"/>
    </font>
    <font>
      <sz val="9"/>
      <color indexed="81"/>
      <name val="ＭＳ Ｐゴシック"/>
      <family val="3"/>
      <charset val="128"/>
    </font>
    <font>
      <b/>
      <sz val="9"/>
      <color indexed="81"/>
      <name val="ＭＳ Ｐゴシック"/>
      <family val="3"/>
      <charset val="128"/>
    </font>
    <font>
      <sz val="11"/>
      <name val="ＭＳ 明朝"/>
      <family val="1"/>
      <charset val="128"/>
    </font>
    <font>
      <u/>
      <sz val="11"/>
      <name val="ＭＳ 明朝"/>
      <family val="1"/>
      <charset val="128"/>
    </font>
    <font>
      <sz val="9"/>
      <color theme="1"/>
      <name val="ＭＳ 明朝"/>
      <family val="1"/>
      <charset val="128"/>
    </font>
    <font>
      <b/>
      <sz val="9"/>
      <color theme="1"/>
      <name val="ＭＳ 明朝"/>
      <family val="1"/>
      <charset val="128"/>
    </font>
    <font>
      <b/>
      <sz val="9"/>
      <name val="ＭＳ Ｐゴシック"/>
      <family val="3"/>
      <charset val="128"/>
    </font>
    <font>
      <u/>
      <sz val="8"/>
      <name val="ＭＳ Ｐゴシック"/>
      <family val="3"/>
      <charset val="128"/>
    </font>
    <font>
      <sz val="7.5"/>
      <name val="ＭＳ Ｐゴシック"/>
      <family val="3"/>
      <charset val="128"/>
    </font>
    <font>
      <u/>
      <sz val="7.5"/>
      <name val="ＭＳ Ｐゴシック"/>
      <family val="3"/>
      <charset val="128"/>
    </font>
    <font>
      <sz val="8.5"/>
      <color rgb="FFFF0000"/>
      <name val="ＭＳ 明朝"/>
      <family val="1"/>
      <charset val="128"/>
    </font>
    <font>
      <strike/>
      <u/>
      <sz val="8"/>
      <name val="ＭＳ Ｐゴシック"/>
      <family val="3"/>
      <charset val="128"/>
    </font>
    <font>
      <sz val="18"/>
      <color theme="3"/>
      <name val="ＭＳ Ｐゴシック"/>
      <family val="2"/>
      <charset val="128"/>
      <scheme val="major"/>
    </font>
    <font>
      <sz val="12"/>
      <color rgb="FF9C6500"/>
      <name val="ＭＳ 明朝"/>
      <family val="2"/>
      <charset val="128"/>
    </font>
    <font>
      <sz val="12"/>
      <color rgb="FF3F3F76"/>
      <name val="ＭＳ 明朝"/>
      <family val="2"/>
      <charset val="128"/>
    </font>
    <font>
      <sz val="12"/>
      <color theme="1"/>
      <name val="ＭＳ Ｐゴシック"/>
      <family val="3"/>
      <charset val="128"/>
      <scheme val="minor"/>
    </font>
    <font>
      <sz val="6"/>
      <name val="ＭＳ Ｐゴシック"/>
      <family val="3"/>
      <charset val="128"/>
      <scheme val="minor"/>
    </font>
    <font>
      <sz val="6"/>
      <name val="ＭＳ 明朝"/>
      <family val="2"/>
      <charset val="128"/>
    </font>
    <font>
      <b/>
      <sz val="18"/>
      <color theme="0"/>
      <name val="ＭＳ Ｐゴシック"/>
      <family val="3"/>
      <charset val="128"/>
      <scheme val="minor"/>
    </font>
    <font>
      <sz val="11"/>
      <color theme="1"/>
      <name val="ＭＳ Ｐゴシック"/>
      <family val="3"/>
      <charset val="128"/>
      <scheme val="minor"/>
    </font>
    <font>
      <u/>
      <sz val="12"/>
      <color theme="10"/>
      <name val="ＭＳ 明朝"/>
      <family val="2"/>
      <charset val="128"/>
    </font>
    <font>
      <sz val="11"/>
      <color theme="1"/>
      <name val="ＭＳ Ｐゴシック"/>
      <family val="2"/>
      <scheme val="minor"/>
    </font>
    <font>
      <sz val="12"/>
      <name val="ＭＳ Ｐゴシック"/>
      <family val="3"/>
      <charset val="128"/>
      <scheme val="minor"/>
    </font>
    <font>
      <sz val="9"/>
      <color theme="1"/>
      <name val="ＭＳ Ｐゴシック"/>
      <family val="3"/>
      <charset val="128"/>
      <scheme val="minor"/>
    </font>
    <font>
      <sz val="10"/>
      <name val="ＭＳ Ｐゴシック"/>
      <family val="3"/>
      <charset val="128"/>
    </font>
    <font>
      <b/>
      <sz val="9"/>
      <color indexed="81"/>
      <name val="MS P ゴシック"/>
      <family val="3"/>
      <charset val="128"/>
    </font>
    <font>
      <sz val="9"/>
      <color indexed="81"/>
      <name val="MS P ゴシック"/>
      <family val="3"/>
      <charset val="128"/>
    </font>
    <font>
      <u/>
      <sz val="11"/>
      <color theme="10"/>
      <name val="ＭＳ Ｐゴシック"/>
      <family val="2"/>
      <scheme val="minor"/>
    </font>
    <font>
      <sz val="10"/>
      <color theme="1"/>
      <name val="游明朝"/>
      <family val="1"/>
      <charset val="128"/>
    </font>
    <font>
      <sz val="11"/>
      <color indexed="20"/>
      <name val="ＭＳ Ｐゴシック"/>
      <family val="3"/>
      <charset val="128"/>
    </font>
    <font>
      <sz val="11"/>
      <color indexed="60"/>
      <name val="ＭＳ Ｐゴシック"/>
      <family val="3"/>
      <charset val="128"/>
    </font>
    <font>
      <b/>
      <u/>
      <sz val="11"/>
      <color rgb="FF0563C1"/>
      <name val="ＭＳ Ｐゴシック"/>
      <family val="3"/>
      <charset val="128"/>
    </font>
    <font>
      <sz val="10"/>
      <color theme="1"/>
      <name val="Meiryo UI"/>
      <family val="3"/>
      <charset val="128"/>
    </font>
    <font>
      <sz val="10"/>
      <name val="Meiryo UI"/>
      <family val="3"/>
      <charset val="128"/>
    </font>
    <font>
      <b/>
      <sz val="16"/>
      <color theme="1"/>
      <name val="Yu Gothic"/>
      <family val="3"/>
      <charset val="128"/>
    </font>
    <font>
      <sz val="16"/>
      <color theme="1"/>
      <name val="Yu Gothic"/>
      <family val="3"/>
      <charset val="128"/>
    </font>
    <font>
      <sz val="11"/>
      <color theme="1"/>
      <name val="Yu Gothic"/>
      <family val="3"/>
      <charset val="128"/>
    </font>
    <font>
      <b/>
      <sz val="14"/>
      <color theme="1"/>
      <name val="Yu Gothic"/>
      <family val="3"/>
      <charset val="128"/>
    </font>
    <font>
      <sz val="14"/>
      <color theme="1"/>
      <name val="Yu Gothic"/>
      <family val="3"/>
      <charset val="128"/>
    </font>
    <font>
      <b/>
      <sz val="14"/>
      <name val="Yu Gothic"/>
      <family val="3"/>
      <charset val="128"/>
    </font>
    <font>
      <b/>
      <u/>
      <sz val="14"/>
      <color theme="10"/>
      <name val="Yu Gothic"/>
      <family val="3"/>
      <charset val="128"/>
    </font>
    <font>
      <b/>
      <sz val="12"/>
      <color theme="1"/>
      <name val="Yu Gothic"/>
      <family val="3"/>
      <charset val="128"/>
    </font>
    <font>
      <b/>
      <sz val="11"/>
      <color theme="1"/>
      <name val="Yu Gothic"/>
      <family val="3"/>
      <charset val="128"/>
    </font>
    <font>
      <b/>
      <u/>
      <sz val="11"/>
      <color theme="10"/>
      <name val="Yu Gothic"/>
      <family val="3"/>
      <charset val="128"/>
    </font>
    <font>
      <sz val="12"/>
      <color theme="1"/>
      <name val="Yu Gothic"/>
      <family val="3"/>
      <charset val="128"/>
    </font>
    <font>
      <u/>
      <sz val="11"/>
      <color theme="10"/>
      <name val="Yu Gothic"/>
      <family val="3"/>
      <charset val="128"/>
    </font>
    <font>
      <b/>
      <u/>
      <sz val="14"/>
      <color rgb="FF0070C0"/>
      <name val="Yu Gothic"/>
      <family val="3"/>
      <charset val="128"/>
    </font>
    <font>
      <sz val="12"/>
      <name val="Yu Gothic"/>
      <family val="3"/>
      <charset val="128"/>
    </font>
    <font>
      <b/>
      <sz val="12"/>
      <color theme="0"/>
      <name val="Yu Gothic"/>
      <family val="3"/>
      <charset val="128"/>
    </font>
    <font>
      <b/>
      <sz val="16"/>
      <color theme="0"/>
      <name val="Yu Gothic"/>
      <family val="3"/>
      <charset val="128"/>
    </font>
    <font>
      <sz val="16"/>
      <name val="Yu Gothic"/>
      <family val="3"/>
      <charset val="128"/>
    </font>
    <font>
      <sz val="16"/>
      <color theme="0"/>
      <name val="Yu Gothic"/>
      <family val="3"/>
      <charset val="128"/>
    </font>
    <font>
      <b/>
      <sz val="16"/>
      <color rgb="FFFF0000"/>
      <name val="Yu Gothic"/>
      <family val="3"/>
      <charset val="128"/>
    </font>
    <font>
      <sz val="10"/>
      <color theme="1"/>
      <name val="Yu Gothic"/>
      <family val="3"/>
      <charset val="128"/>
    </font>
    <font>
      <b/>
      <sz val="10"/>
      <color theme="1"/>
      <name val="Yu Gothic"/>
      <family val="3"/>
      <charset val="128"/>
    </font>
    <font>
      <u/>
      <sz val="11"/>
      <color rgb="FF0070C0"/>
      <name val="Yu Gothic"/>
      <family val="3"/>
      <charset val="128"/>
    </font>
    <font>
      <u/>
      <sz val="10"/>
      <color theme="10"/>
      <name val="Yu Gothic"/>
      <family val="3"/>
      <charset val="128"/>
    </font>
    <font>
      <u/>
      <sz val="10"/>
      <color rgb="FF0070C0"/>
      <name val="Yu Gothic"/>
      <family val="3"/>
      <charset val="128"/>
    </font>
    <font>
      <b/>
      <sz val="12"/>
      <name val="Yu Gothic"/>
      <family val="3"/>
      <charset val="128"/>
    </font>
    <font>
      <b/>
      <sz val="18"/>
      <color theme="1"/>
      <name val="Yu Gothic"/>
      <family val="3"/>
      <charset val="128"/>
    </font>
    <font>
      <b/>
      <sz val="18"/>
      <color rgb="FFFF0000"/>
      <name val="Yu Gothic"/>
      <family val="3"/>
      <charset val="128"/>
    </font>
    <font>
      <sz val="12"/>
      <color theme="0"/>
      <name val="Yu Gothic"/>
      <family val="3"/>
      <charset val="128"/>
    </font>
    <font>
      <b/>
      <sz val="18"/>
      <color theme="0"/>
      <name val="Yu Gothic"/>
      <family val="3"/>
      <charset val="128"/>
    </font>
    <font>
      <sz val="9"/>
      <color theme="1"/>
      <name val="Yu Gothic"/>
      <family val="3"/>
      <charset val="128"/>
    </font>
    <font>
      <b/>
      <sz val="12"/>
      <color rgb="FFFF0000"/>
      <name val="Yu Gothic"/>
      <family val="3"/>
      <charset val="128"/>
    </font>
    <font>
      <vertAlign val="subscript"/>
      <sz val="12"/>
      <color theme="1"/>
      <name val="Yu Gothic"/>
      <family val="3"/>
      <charset val="128"/>
    </font>
    <font>
      <vertAlign val="subscript"/>
      <sz val="12"/>
      <name val="Yu Gothic"/>
      <family val="3"/>
      <charset val="128"/>
    </font>
    <font>
      <sz val="9"/>
      <color theme="0"/>
      <name val="Yu Gothic"/>
      <family val="3"/>
      <charset val="128"/>
    </font>
  </fonts>
  <fills count="22">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002060"/>
        <bgColor indexed="64"/>
      </patternFill>
    </fill>
    <fill>
      <patternFill patternType="solid">
        <fgColor theme="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5" tint="0.59999389629810485"/>
        <bgColor indexed="64"/>
      </patternFill>
    </fill>
    <fill>
      <patternFill patternType="solid">
        <fgColor indexed="45"/>
      </patternFill>
    </fill>
    <fill>
      <patternFill patternType="solid">
        <fgColor indexed="43"/>
      </patternFill>
    </fill>
    <fill>
      <patternFill patternType="solid">
        <fgColor theme="0" tint="-4.9989318521683403E-2"/>
        <bgColor indexed="64"/>
      </patternFill>
    </fill>
    <fill>
      <patternFill patternType="solid">
        <fgColor rgb="FF66FF33"/>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E2F0D9"/>
        <bgColor indexed="64"/>
      </patternFill>
    </fill>
  </fills>
  <borders count="216">
    <border>
      <left/>
      <right/>
      <top/>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diagonal/>
    </border>
    <border>
      <left style="thin">
        <color indexed="64"/>
      </left>
      <right/>
      <top/>
      <bottom/>
      <diagonal/>
    </border>
    <border>
      <left/>
      <right/>
      <top/>
      <bottom style="medium">
        <color indexed="64"/>
      </bottom>
      <diagonal/>
    </border>
    <border>
      <left/>
      <right/>
      <top/>
      <bottom style="mediumDashed">
        <color indexed="64"/>
      </bottom>
      <diagonal/>
    </border>
    <border>
      <left/>
      <right/>
      <top style="mediumDashed">
        <color indexed="64"/>
      </top>
      <bottom/>
      <diagonal/>
    </border>
    <border>
      <left style="thin">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style="medium">
        <color indexed="64"/>
      </left>
      <right/>
      <top style="medium">
        <color indexed="64"/>
      </top>
      <bottom/>
      <diagonal/>
    </border>
    <border>
      <left/>
      <right style="medium">
        <color indexed="64"/>
      </right>
      <top/>
      <bottom/>
      <diagonal/>
    </border>
    <border diagonalDown="1">
      <left style="thin">
        <color indexed="64"/>
      </left>
      <right style="thin">
        <color indexed="64"/>
      </right>
      <top/>
      <bottom style="thin">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diagonalDown="1">
      <left style="thin">
        <color indexed="64"/>
      </left>
      <right style="medium">
        <color indexed="64"/>
      </right>
      <top style="thin">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thin">
        <color indexed="64"/>
      </top>
      <bottom/>
      <diagonal style="thin">
        <color indexed="64"/>
      </diagonal>
    </border>
    <border>
      <left style="thin">
        <color indexed="64"/>
      </left>
      <right/>
      <top style="medium">
        <color indexed="64"/>
      </top>
      <bottom/>
      <diagonal/>
    </border>
    <border diagonalDown="1">
      <left style="thin">
        <color indexed="64"/>
      </left>
      <right style="medium">
        <color indexed="64"/>
      </right>
      <top style="medium">
        <color indexed="64"/>
      </top>
      <bottom style="thin">
        <color indexed="64"/>
      </bottom>
      <diagonal style="thin">
        <color indexed="64"/>
      </diagonal>
    </border>
    <border>
      <left style="thin">
        <color indexed="64"/>
      </left>
      <right/>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diagonalDown="1">
      <left style="thin">
        <color indexed="64"/>
      </left>
      <right style="medium">
        <color indexed="64"/>
      </right>
      <top style="hair">
        <color indexed="64"/>
      </top>
      <bottom/>
      <diagonal style="thin">
        <color indexed="64"/>
      </diagonal>
    </border>
    <border>
      <left style="thin">
        <color indexed="64"/>
      </left>
      <right style="thin">
        <color indexed="64"/>
      </right>
      <top/>
      <bottom style="hair">
        <color indexed="64"/>
      </bottom>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medium">
        <color indexed="64"/>
      </right>
      <top/>
      <bottom/>
      <diagonal style="thin">
        <color indexed="64"/>
      </diagonal>
    </border>
    <border>
      <left style="medium">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style="thin">
        <color auto="1"/>
      </bottom>
      <diagonal/>
    </border>
    <border>
      <left style="thin">
        <color indexed="64"/>
      </left>
      <right style="medium">
        <color indexed="64"/>
      </right>
      <top style="medium">
        <color indexed="64"/>
      </top>
      <bottom/>
      <diagonal/>
    </border>
    <border>
      <left style="medium">
        <color indexed="64"/>
      </left>
      <right/>
      <top style="thin">
        <color indexed="64"/>
      </top>
      <bottom style="thin">
        <color auto="1"/>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hair">
        <color indexed="64"/>
      </top>
      <bottom style="thin">
        <color indexed="64"/>
      </bottom>
      <diagonal/>
    </border>
    <border diagonalDown="1">
      <left style="thin">
        <color indexed="64"/>
      </left>
      <right/>
      <top style="hair">
        <color indexed="64"/>
      </top>
      <bottom style="hair">
        <color indexed="64"/>
      </bottom>
      <diagonal style="thin">
        <color indexed="64"/>
      </diagonal>
    </border>
    <border>
      <left style="medium">
        <color indexed="64"/>
      </left>
      <right style="thin">
        <color indexed="64"/>
      </right>
      <top style="hair">
        <color indexed="64"/>
      </top>
      <bottom style="medium">
        <color indexed="64"/>
      </bottom>
      <diagonal/>
    </border>
    <border diagonalDown="1">
      <left style="thin">
        <color indexed="64"/>
      </left>
      <right/>
      <top style="hair">
        <color indexed="64"/>
      </top>
      <bottom style="medium">
        <color indexed="64"/>
      </bottom>
      <diagonal style="thin">
        <color indexed="64"/>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Down="1">
      <left style="thin">
        <color indexed="64"/>
      </left>
      <right/>
      <top style="thin">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Down="1">
      <left style="thin">
        <color indexed="64"/>
      </left>
      <right style="medium">
        <color indexed="64"/>
      </right>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diagonalDown="1">
      <left style="thin">
        <color indexed="64"/>
      </left>
      <right style="medium">
        <color indexed="64"/>
      </right>
      <top/>
      <bottom style="hair">
        <color indexed="64"/>
      </bottom>
      <diagonal style="thin">
        <color indexed="64"/>
      </diagonal>
    </border>
    <border diagonalDown="1">
      <left style="medium">
        <color indexed="64"/>
      </left>
      <right style="thin">
        <color indexed="64"/>
      </right>
      <top style="thin">
        <color indexed="64"/>
      </top>
      <bottom style="hair">
        <color indexed="64"/>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left style="thin">
        <color indexed="64"/>
      </left>
      <right style="medium">
        <color indexed="64"/>
      </right>
      <top style="hair">
        <color indexed="64"/>
      </top>
      <bottom/>
      <diagonal/>
    </border>
    <border diagonalDown="1">
      <left style="thin">
        <color indexed="64"/>
      </left>
      <right style="thin">
        <color indexed="64"/>
      </right>
      <top style="hair">
        <color indexed="64"/>
      </top>
      <bottom style="thin">
        <color indexed="64"/>
      </bottom>
      <diagonal style="thin">
        <color indexed="64"/>
      </diagonal>
    </border>
    <border diagonalDown="1">
      <left style="thin">
        <color indexed="64"/>
      </left>
      <right style="thin">
        <color indexed="64"/>
      </right>
      <top/>
      <bottom/>
      <diagonal style="thin">
        <color indexed="64"/>
      </diagonal>
    </border>
    <border diagonalDown="1">
      <left style="medium">
        <color indexed="64"/>
      </left>
      <right style="thin">
        <color indexed="64"/>
      </right>
      <top style="thin">
        <color indexed="64"/>
      </top>
      <bottom/>
      <diagonal style="thin">
        <color indexed="64"/>
      </diagonal>
    </border>
    <border diagonalDown="1">
      <left style="thin">
        <color indexed="64"/>
      </left>
      <right style="thin">
        <color indexed="64"/>
      </right>
      <top style="hair">
        <color indexed="64"/>
      </top>
      <bottom style="medium">
        <color indexed="64"/>
      </bottom>
      <diagonal style="thin">
        <color indexed="64"/>
      </diagonal>
    </border>
    <border diagonalDown="1">
      <left style="thin">
        <color indexed="64"/>
      </left>
      <right style="medium">
        <color indexed="64"/>
      </right>
      <top style="hair">
        <color indexed="64"/>
      </top>
      <bottom style="medium">
        <color indexed="64"/>
      </bottom>
      <diagonal style="thin">
        <color indexed="64"/>
      </diagonal>
    </border>
    <border>
      <left/>
      <right style="medium">
        <color indexed="64"/>
      </right>
      <top style="medium">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diagonalDown="1">
      <left style="thin">
        <color indexed="64"/>
      </left>
      <right/>
      <top style="thin">
        <color indexed="64"/>
      </top>
      <bottom style="hair">
        <color indexed="64"/>
      </bottom>
      <diagonal style="thin">
        <color indexed="64"/>
      </diagonal>
    </border>
    <border diagonalDown="1">
      <left style="thin">
        <color indexed="64"/>
      </left>
      <right style="thin">
        <color indexed="64"/>
      </right>
      <top style="thin">
        <color indexed="64"/>
      </top>
      <bottom style="thin">
        <color indexed="64"/>
      </bottom>
      <diagonal style="hair">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style="hair">
        <color auto="1"/>
      </left>
      <right style="hair">
        <color auto="1"/>
      </right>
      <top style="hair">
        <color auto="1"/>
      </top>
      <bottom style="hair">
        <color auto="1"/>
      </bottom>
      <diagonal style="thin">
        <color auto="1"/>
      </diagonal>
    </border>
    <border diagonalDown="1">
      <left style="hair">
        <color auto="1"/>
      </left>
      <right style="thin">
        <color auto="1"/>
      </right>
      <top style="hair">
        <color auto="1"/>
      </top>
      <bottom style="hair">
        <color auto="1"/>
      </bottom>
      <diagonal style="thin">
        <color auto="1"/>
      </diagonal>
    </border>
    <border diagonalDown="1">
      <left style="hair">
        <color auto="1"/>
      </left>
      <right style="hair">
        <color auto="1"/>
      </right>
      <top style="hair">
        <color auto="1"/>
      </top>
      <bottom style="thin">
        <color auto="1"/>
      </bottom>
      <diagonal style="thin">
        <color auto="1"/>
      </diagonal>
    </border>
    <border diagonalDown="1">
      <left style="hair">
        <color auto="1"/>
      </left>
      <right style="thin">
        <color auto="1"/>
      </right>
      <top style="hair">
        <color auto="1"/>
      </top>
      <bottom style="thin">
        <color auto="1"/>
      </bottom>
      <diagonal style="thin">
        <color auto="1"/>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s>
  <cellStyleXfs count="17">
    <xf numFmtId="0" fontId="0" fillId="0" borderId="0"/>
    <xf numFmtId="0" fontId="69" fillId="0" borderId="0" applyNumberFormat="0" applyFill="0" applyBorder="0" applyAlignment="0" applyProtection="0">
      <alignment vertical="top"/>
      <protection locked="0"/>
    </xf>
    <xf numFmtId="38" fontId="3" fillId="0" borderId="0" applyFont="0" applyFill="0" applyBorder="0" applyAlignment="0" applyProtection="0"/>
    <xf numFmtId="0" fontId="54" fillId="0" borderId="0" applyNumberFormat="0" applyFill="0" applyBorder="0" applyAlignment="0" applyProtection="0"/>
    <xf numFmtId="0" fontId="2" fillId="0" borderId="0">
      <alignment vertical="center"/>
    </xf>
    <xf numFmtId="0" fontId="43" fillId="0" borderId="0" applyNumberForma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44" fillId="0" borderId="0"/>
    <xf numFmtId="0" fontId="2" fillId="0" borderId="0">
      <alignment vertical="center"/>
    </xf>
    <xf numFmtId="0" fontId="50" fillId="0" borderId="0" applyNumberFormat="0" applyFill="0" applyBorder="0" applyAlignment="0" applyProtection="0"/>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38" fontId="44" fillId="0" borderId="0" applyFont="0" applyFill="0" applyBorder="0" applyAlignment="0" applyProtection="0">
      <alignment vertical="center"/>
    </xf>
    <xf numFmtId="9" fontId="44" fillId="0" borderId="0" applyFont="0" applyFill="0" applyBorder="0" applyAlignment="0" applyProtection="0">
      <alignment vertical="center"/>
    </xf>
    <xf numFmtId="9" fontId="3" fillId="0" borderId="0" applyFont="0" applyFill="0" applyBorder="0" applyAlignment="0" applyProtection="0">
      <alignment vertical="center"/>
    </xf>
  </cellStyleXfs>
  <cellXfs count="1668">
    <xf numFmtId="0" fontId="0" fillId="0" borderId="0" xfId="0"/>
    <xf numFmtId="0" fontId="5" fillId="2" borderId="13"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178" fontId="5" fillId="2" borderId="0" xfId="0" applyNumberFormat="1" applyFont="1" applyFill="1" applyBorder="1" applyAlignment="1" applyProtection="1">
      <alignment horizontal="right" vertical="center" shrinkToFit="1"/>
      <protection locked="0"/>
    </xf>
    <xf numFmtId="0" fontId="21" fillId="0" borderId="0" xfId="0" applyFont="1" applyFill="1" applyAlignment="1" applyProtection="1">
      <alignment shrinkToFit="1"/>
    </xf>
    <xf numFmtId="0" fontId="5" fillId="0" borderId="0" xfId="0" applyFont="1" applyFill="1" applyProtection="1"/>
    <xf numFmtId="0" fontId="5" fillId="0" borderId="0" xfId="0" applyFont="1" applyFill="1" applyAlignment="1" applyProtection="1">
      <alignment vertical="center"/>
    </xf>
    <xf numFmtId="178" fontId="5" fillId="2" borderId="0" xfId="0" applyNumberFormat="1" applyFont="1" applyFill="1" applyBorder="1" applyAlignment="1" applyProtection="1">
      <alignment horizontal="right" vertical="center" shrinkToFit="1"/>
    </xf>
    <xf numFmtId="49" fontId="6" fillId="2" borderId="0" xfId="0" applyNumberFormat="1" applyFont="1" applyFill="1" applyBorder="1" applyAlignment="1" applyProtection="1">
      <alignment horizontal="left" vertical="center" shrinkToFit="1"/>
    </xf>
    <xf numFmtId="0" fontId="5" fillId="0" borderId="17" xfId="0" applyFont="1" applyFill="1" applyBorder="1" applyProtection="1"/>
    <xf numFmtId="176" fontId="5" fillId="0" borderId="0" xfId="0" applyNumberFormat="1" applyFont="1" applyFill="1" applyProtection="1"/>
    <xf numFmtId="0" fontId="5" fillId="0" borderId="0" xfId="0" applyFont="1" applyBorder="1" applyAlignment="1" applyProtection="1">
      <alignment vertical="center"/>
    </xf>
    <xf numFmtId="0" fontId="14" fillId="0" borderId="16" xfId="0" applyFont="1" applyFill="1" applyBorder="1" applyAlignment="1" applyProtection="1">
      <alignment horizontal="center" wrapText="1"/>
    </xf>
    <xf numFmtId="0" fontId="5" fillId="0" borderId="17" xfId="0" applyFont="1" applyBorder="1" applyProtection="1"/>
    <xf numFmtId="0" fontId="5" fillId="0" borderId="1" xfId="0" applyFont="1" applyFill="1" applyBorder="1" applyAlignment="1" applyProtection="1">
      <alignment vertical="center"/>
    </xf>
    <xf numFmtId="0" fontId="5" fillId="0" borderId="0" xfId="0" applyFont="1" applyAlignment="1" applyProtection="1">
      <alignment vertical="top"/>
    </xf>
    <xf numFmtId="0" fontId="5" fillId="0" borderId="0" xfId="0" applyFont="1" applyFill="1" applyAlignment="1" applyProtection="1">
      <alignment vertical="top"/>
    </xf>
    <xf numFmtId="0" fontId="5" fillId="0" borderId="3" xfId="0" applyFont="1" applyFill="1" applyBorder="1" applyAlignment="1" applyProtection="1">
      <alignment vertical="center"/>
    </xf>
    <xf numFmtId="0" fontId="5" fillId="0" borderId="4" xfId="0" applyFont="1" applyFill="1" applyBorder="1" applyAlignment="1" applyProtection="1">
      <alignment vertical="center"/>
    </xf>
    <xf numFmtId="0" fontId="5" fillId="2" borderId="13"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63" xfId="0" applyFont="1" applyBorder="1" applyProtection="1"/>
    <xf numFmtId="0" fontId="5" fillId="2" borderId="15"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0" borderId="0" xfId="0" applyFont="1" applyProtection="1"/>
    <xf numFmtId="0" fontId="5" fillId="0" borderId="0" xfId="0" applyFont="1" applyBorder="1" applyProtection="1"/>
    <xf numFmtId="0" fontId="5" fillId="0" borderId="16" xfId="0" applyFont="1" applyFill="1" applyBorder="1" applyAlignment="1" applyProtection="1">
      <alignment vertical="center"/>
    </xf>
    <xf numFmtId="0" fontId="5" fillId="0" borderId="7" xfId="0" applyFont="1" applyFill="1" applyBorder="1" applyAlignment="1" applyProtection="1">
      <alignment vertical="center" textRotation="255"/>
    </xf>
    <xf numFmtId="0" fontId="5" fillId="0" borderId="0" xfId="0" applyFont="1" applyFill="1" applyBorder="1" applyAlignment="1" applyProtection="1">
      <alignment vertical="center" wrapText="1"/>
    </xf>
    <xf numFmtId="0" fontId="9" fillId="0" borderId="0" xfId="0" applyFont="1" applyFill="1" applyProtection="1"/>
    <xf numFmtId="0" fontId="5" fillId="0" borderId="8" xfId="0" applyFont="1" applyFill="1" applyBorder="1" applyAlignment="1" applyProtection="1">
      <alignment horizontal="right" vertical="center" shrinkToFit="1"/>
    </xf>
    <xf numFmtId="0" fontId="5" fillId="0" borderId="16" xfId="0" applyFont="1" applyFill="1" applyBorder="1" applyProtection="1"/>
    <xf numFmtId="0" fontId="5" fillId="0" borderId="0" xfId="0" applyFont="1" applyFill="1" applyBorder="1" applyProtection="1"/>
    <xf numFmtId="0" fontId="8" fillId="0" borderId="1" xfId="0" applyFont="1" applyBorder="1" applyAlignment="1" applyProtection="1">
      <alignment vertical="center" wrapText="1"/>
    </xf>
    <xf numFmtId="0" fontId="5" fillId="0" borderId="0" xfId="0" applyFont="1" applyFill="1" applyAlignment="1" applyProtection="1"/>
    <xf numFmtId="0" fontId="5" fillId="0" borderId="11" xfId="0" applyFont="1" applyFill="1" applyBorder="1" applyAlignment="1" applyProtection="1">
      <alignment vertical="center"/>
    </xf>
    <xf numFmtId="0" fontId="5" fillId="0" borderId="10" xfId="0" applyFont="1" applyFill="1" applyBorder="1" applyAlignment="1" applyProtection="1">
      <alignment vertical="center"/>
    </xf>
    <xf numFmtId="0" fontId="5" fillId="0" borderId="0" xfId="0" applyFont="1" applyFill="1" applyAlignment="1" applyProtection="1">
      <alignment shrinkToFit="1"/>
    </xf>
    <xf numFmtId="0" fontId="5" fillId="0" borderId="18" xfId="0" applyFont="1" applyFill="1" applyBorder="1" applyAlignment="1" applyProtection="1">
      <alignment vertical="center"/>
    </xf>
    <xf numFmtId="0" fontId="5" fillId="0" borderId="12" xfId="0" applyFont="1" applyFill="1" applyBorder="1" applyAlignment="1" applyProtection="1">
      <alignment vertical="center"/>
    </xf>
    <xf numFmtId="0" fontId="5" fillId="0" borderId="19" xfId="0" applyFont="1" applyFill="1" applyBorder="1" applyAlignment="1" applyProtection="1">
      <alignment vertical="top"/>
    </xf>
    <xf numFmtId="0" fontId="5" fillId="0" borderId="0" xfId="0" applyFont="1" applyFill="1" applyBorder="1" applyAlignment="1" applyProtection="1">
      <alignment horizontal="right" vertical="top"/>
    </xf>
    <xf numFmtId="0" fontId="5" fillId="0" borderId="0" xfId="0" quotePrefix="1" applyFont="1" applyFill="1" applyAlignment="1" applyProtection="1">
      <alignment horizontal="right" vertical="top"/>
    </xf>
    <xf numFmtId="49" fontId="5" fillId="0" borderId="0" xfId="0" applyNumberFormat="1" applyFont="1" applyFill="1" applyAlignment="1" applyProtection="1">
      <alignment horizontal="left" vertical="center"/>
    </xf>
    <xf numFmtId="0" fontId="5" fillId="0" borderId="0" xfId="0" applyFont="1" applyFill="1" applyBorder="1" applyAlignment="1" applyProtection="1">
      <alignment vertical="center" shrinkToFit="1"/>
    </xf>
    <xf numFmtId="0" fontId="5" fillId="0" borderId="0" xfId="0" applyFont="1" applyFill="1" applyAlignment="1" applyProtection="1">
      <alignment vertical="center" shrinkToFit="1"/>
    </xf>
    <xf numFmtId="0" fontId="14" fillId="0" borderId="2" xfId="0" applyFont="1" applyFill="1" applyBorder="1" applyAlignment="1" applyProtection="1">
      <alignment horizontal="left" vertical="center" shrinkToFit="1"/>
    </xf>
    <xf numFmtId="0" fontId="5" fillId="0" borderId="0" xfId="0" applyFont="1" applyAlignment="1" applyProtection="1">
      <alignment vertical="center"/>
    </xf>
    <xf numFmtId="0" fontId="5" fillId="0" borderId="1" xfId="0" applyFont="1" applyFill="1" applyBorder="1" applyAlignment="1" applyProtection="1">
      <alignment vertical="center" shrinkToFit="1"/>
    </xf>
    <xf numFmtId="0" fontId="5" fillId="0" borderId="2" xfId="0" applyFont="1" applyFill="1" applyBorder="1" applyAlignment="1" applyProtection="1">
      <alignment horizontal="left" vertical="center" shrinkToFit="1"/>
    </xf>
    <xf numFmtId="0" fontId="5" fillId="0" borderId="3" xfId="0" applyFont="1" applyFill="1" applyBorder="1" applyAlignment="1" applyProtection="1">
      <alignment vertical="center" shrinkToFit="1"/>
    </xf>
    <xf numFmtId="176" fontId="5" fillId="0" borderId="0" xfId="0" applyNumberFormat="1" applyFont="1" applyFill="1" applyAlignment="1" applyProtection="1">
      <alignment vertical="top"/>
    </xf>
    <xf numFmtId="0" fontId="5" fillId="0" borderId="4" xfId="0" applyFont="1" applyFill="1" applyBorder="1" applyAlignment="1" applyProtection="1">
      <alignment vertical="center" shrinkToFit="1"/>
    </xf>
    <xf numFmtId="0" fontId="5" fillId="0" borderId="5" xfId="0" applyFont="1" applyBorder="1" applyAlignment="1" applyProtection="1">
      <alignment horizontal="left" vertical="center" shrinkToFit="1"/>
    </xf>
    <xf numFmtId="0" fontId="5" fillId="0" borderId="6" xfId="0" applyFont="1" applyFill="1" applyBorder="1" applyAlignment="1" applyProtection="1">
      <alignment vertical="center" shrinkToFit="1"/>
    </xf>
    <xf numFmtId="0" fontId="5" fillId="0" borderId="63" xfId="0" applyFont="1" applyBorder="1" applyAlignment="1" applyProtection="1">
      <alignment vertical="center"/>
    </xf>
    <xf numFmtId="178" fontId="5" fillId="2" borderId="8" xfId="0" applyNumberFormat="1" applyFont="1" applyFill="1" applyBorder="1" applyAlignment="1" applyProtection="1">
      <alignment horizontal="right" vertical="center" shrinkToFit="1"/>
      <protection locked="0"/>
    </xf>
    <xf numFmtId="0" fontId="5" fillId="0" borderId="0" xfId="0" applyFont="1" applyFill="1" applyBorder="1" applyAlignment="1" applyProtection="1">
      <alignment vertical="top"/>
    </xf>
    <xf numFmtId="0" fontId="21" fillId="0" borderId="0" xfId="0" applyFont="1" applyFill="1" applyAlignment="1" applyProtection="1">
      <alignment horizontal="left"/>
    </xf>
    <xf numFmtId="0" fontId="5" fillId="0" borderId="63" xfId="0" applyFont="1" applyFill="1" applyBorder="1" applyProtection="1"/>
    <xf numFmtId="178" fontId="5" fillId="2" borderId="8" xfId="0" applyNumberFormat="1" applyFont="1" applyFill="1" applyBorder="1" applyAlignment="1" applyProtection="1">
      <alignment horizontal="right" vertical="center" shrinkToFit="1"/>
    </xf>
    <xf numFmtId="0" fontId="27" fillId="0" borderId="0" xfId="0" applyFont="1" applyAlignment="1" applyProtection="1">
      <alignment shrinkToFit="1"/>
    </xf>
    <xf numFmtId="0" fontId="27" fillId="0" borderId="0" xfId="0" applyFont="1" applyProtection="1"/>
    <xf numFmtId="0" fontId="27" fillId="0" borderId="0" xfId="0" applyFont="1" applyAlignment="1" applyProtection="1">
      <alignment vertical="center"/>
    </xf>
    <xf numFmtId="0" fontId="27" fillId="0" borderId="0" xfId="0" applyFont="1" applyBorder="1" applyProtection="1"/>
    <xf numFmtId="0" fontId="27" fillId="0" borderId="0" xfId="0" applyFont="1" applyBorder="1" applyAlignment="1" applyProtection="1">
      <alignment vertical="center"/>
    </xf>
    <xf numFmtId="0" fontId="27" fillId="0" borderId="0" xfId="0" applyFont="1" applyAlignment="1" applyProtection="1">
      <alignment vertical="top"/>
    </xf>
    <xf numFmtId="0" fontId="28" fillId="0" borderId="0" xfId="0" applyFont="1" applyAlignment="1" applyProtection="1">
      <alignment shrinkToFit="1"/>
    </xf>
    <xf numFmtId="0" fontId="27" fillId="0" borderId="0" xfId="0" applyFont="1" applyAlignment="1" applyProtection="1">
      <alignment vertical="center" shrinkToFit="1"/>
    </xf>
    <xf numFmtId="0" fontId="27" fillId="0" borderId="0" xfId="0" applyFont="1" applyBorder="1" applyAlignment="1" applyProtection="1">
      <alignment shrinkToFit="1"/>
    </xf>
    <xf numFmtId="0" fontId="27" fillId="0" borderId="0" xfId="0" applyFont="1" applyBorder="1" applyAlignment="1" applyProtection="1">
      <alignment vertical="center" shrinkToFit="1"/>
    </xf>
    <xf numFmtId="0" fontId="27" fillId="0" borderId="0" xfId="0" applyFont="1" applyAlignment="1" applyProtection="1">
      <alignment vertical="top" shrinkToFit="1"/>
    </xf>
    <xf numFmtId="176" fontId="5" fillId="5" borderId="68" xfId="0" applyNumberFormat="1" applyFont="1" applyFill="1" applyBorder="1" applyAlignment="1" applyProtection="1">
      <alignment horizontal="right" vertical="center"/>
      <protection locked="0"/>
    </xf>
    <xf numFmtId="0" fontId="5" fillId="5" borderId="68" xfId="0" applyFont="1" applyFill="1" applyBorder="1" applyAlignment="1" applyProtection="1">
      <alignment horizontal="right" vertical="center"/>
      <protection locked="0"/>
    </xf>
    <xf numFmtId="0" fontId="5" fillId="5" borderId="68" xfId="0" quotePrefix="1" applyFont="1" applyFill="1" applyBorder="1" applyAlignment="1" applyProtection="1">
      <alignment horizontal="right" vertical="center"/>
      <protection locked="0"/>
    </xf>
    <xf numFmtId="0" fontId="21" fillId="0" borderId="0" xfId="0" applyFont="1" applyFill="1" applyAlignment="1" applyProtection="1"/>
    <xf numFmtId="178" fontId="5" fillId="0" borderId="0" xfId="0" applyNumberFormat="1" applyFont="1" applyFill="1" applyBorder="1" applyAlignment="1" applyProtection="1">
      <alignment horizontal="right" vertical="center" shrinkToFit="1"/>
    </xf>
    <xf numFmtId="0" fontId="5" fillId="5" borderId="68" xfId="0" applyNumberFormat="1" applyFont="1" applyFill="1" applyBorder="1" applyAlignment="1" applyProtection="1">
      <alignment horizontal="right" vertical="center"/>
      <protection locked="0"/>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right" vertical="center"/>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left" vertical="center"/>
    </xf>
    <xf numFmtId="0" fontId="5" fillId="0" borderId="9" xfId="0" applyFont="1" applyFill="1" applyBorder="1" applyAlignment="1" applyProtection="1">
      <alignment vertical="center"/>
    </xf>
    <xf numFmtId="0" fontId="5" fillId="0" borderId="8" xfId="0" applyFont="1" applyFill="1" applyBorder="1" applyAlignment="1" applyProtection="1">
      <alignment horizontal="center" vertical="center" wrapText="1"/>
    </xf>
    <xf numFmtId="0" fontId="5" fillId="6" borderId="7" xfId="0" applyFont="1" applyFill="1" applyBorder="1" applyAlignment="1" applyProtection="1">
      <alignment horizontal="center" vertical="center" wrapText="1"/>
    </xf>
    <xf numFmtId="0" fontId="5" fillId="0" borderId="0" xfId="0" applyFont="1" applyFill="1" applyBorder="1" applyAlignment="1" applyProtection="1">
      <alignment wrapText="1"/>
    </xf>
    <xf numFmtId="180" fontId="9" fillId="6" borderId="12" xfId="0" applyNumberFormat="1" applyFont="1" applyFill="1" applyBorder="1" applyAlignment="1" applyProtection="1">
      <alignment vertical="center"/>
    </xf>
    <xf numFmtId="0" fontId="5" fillId="0" borderId="0" xfId="0" applyFont="1" applyFill="1" applyAlignment="1" applyProtection="1">
      <alignment wrapText="1"/>
    </xf>
    <xf numFmtId="0" fontId="14" fillId="0" borderId="0" xfId="0" applyFont="1" applyFill="1" applyBorder="1" applyAlignment="1" applyProtection="1">
      <alignment horizontal="left" vertical="top" wrapText="1"/>
    </xf>
    <xf numFmtId="0" fontId="8" fillId="0" borderId="0" xfId="0" applyFont="1" applyFill="1" applyBorder="1" applyAlignment="1" applyProtection="1">
      <alignment vertical="top" wrapText="1"/>
    </xf>
    <xf numFmtId="180" fontId="9" fillId="4" borderId="12" xfId="0" applyNumberFormat="1" applyFont="1" applyFill="1" applyBorder="1" applyAlignment="1" applyProtection="1">
      <alignment vertical="center"/>
    </xf>
    <xf numFmtId="181" fontId="9" fillId="4" borderId="12" xfId="0" applyNumberFormat="1" applyFont="1" applyFill="1" applyBorder="1" applyAlignment="1" applyProtection="1">
      <alignment vertical="center"/>
    </xf>
    <xf numFmtId="0" fontId="14" fillId="0" borderId="16" xfId="0" applyFont="1" applyFill="1" applyBorder="1" applyAlignment="1" applyProtection="1">
      <alignment vertical="top" wrapText="1"/>
    </xf>
    <xf numFmtId="0" fontId="14" fillId="0" borderId="14" xfId="0" applyFont="1" applyFill="1" applyBorder="1" applyAlignment="1" applyProtection="1">
      <alignment vertical="top" wrapText="1"/>
    </xf>
    <xf numFmtId="0" fontId="8" fillId="0" borderId="0" xfId="0" quotePrefix="1" applyFont="1" applyProtection="1"/>
    <xf numFmtId="178" fontId="6" fillId="0" borderId="14" xfId="0" applyNumberFormat="1" applyFont="1" applyFill="1" applyBorder="1" applyAlignment="1" applyProtection="1">
      <alignment horizontal="right" vertical="center" shrinkToFit="1"/>
    </xf>
    <xf numFmtId="178" fontId="17" fillId="0" borderId="14" xfId="0" applyNumberFormat="1" applyFont="1" applyFill="1" applyBorder="1" applyAlignment="1" applyProtection="1">
      <alignment horizontal="right" vertical="center" shrinkToFit="1"/>
    </xf>
    <xf numFmtId="0" fontId="5" fillId="3" borderId="66" xfId="0" applyFont="1" applyFill="1" applyBorder="1" applyAlignment="1" applyProtection="1">
      <alignment horizontal="center" vertical="center"/>
    </xf>
    <xf numFmtId="0" fontId="5" fillId="3" borderId="65" xfId="0" applyFont="1" applyFill="1" applyBorder="1" applyAlignment="1" applyProtection="1">
      <alignment horizontal="center" vertical="center"/>
    </xf>
    <xf numFmtId="0" fontId="5" fillId="3" borderId="67" xfId="0" applyFont="1" applyFill="1" applyBorder="1" applyAlignment="1" applyProtection="1">
      <alignment horizontal="center" vertical="center"/>
    </xf>
    <xf numFmtId="0" fontId="5" fillId="3" borderId="64" xfId="0" applyFont="1" applyFill="1" applyBorder="1" applyAlignment="1" applyProtection="1">
      <alignment horizontal="center" vertical="center"/>
      <protection locked="0"/>
    </xf>
    <xf numFmtId="0" fontId="5" fillId="3" borderId="69" xfId="0" applyFont="1" applyFill="1" applyBorder="1" applyAlignment="1" applyProtection="1">
      <alignment horizontal="center" vertical="center"/>
      <protection locked="0"/>
    </xf>
    <xf numFmtId="0" fontId="5" fillId="3" borderId="65" xfId="0" applyFont="1" applyFill="1" applyBorder="1" applyAlignment="1" applyProtection="1">
      <alignment horizontal="center" vertical="center"/>
      <protection locked="0"/>
    </xf>
    <xf numFmtId="0" fontId="5" fillId="3" borderId="70" xfId="0" applyFont="1" applyFill="1" applyBorder="1" applyAlignment="1" applyProtection="1">
      <alignment horizontal="center" vertical="center"/>
      <protection locked="0"/>
    </xf>
    <xf numFmtId="0" fontId="5" fillId="3" borderId="67" xfId="0" applyFont="1" applyFill="1" applyBorder="1" applyAlignment="1" applyProtection="1">
      <alignment horizontal="center" vertical="center"/>
      <protection locked="0"/>
    </xf>
    <xf numFmtId="0" fontId="5" fillId="0" borderId="0" xfId="0" applyFont="1" applyFill="1" applyAlignment="1" applyProtection="1">
      <alignment horizontal="right"/>
    </xf>
    <xf numFmtId="0" fontId="27" fillId="0" borderId="0" xfId="0" applyFont="1" applyFill="1" applyAlignment="1" applyProtection="1">
      <alignment horizontal="right" shrinkToFit="1"/>
    </xf>
    <xf numFmtId="0" fontId="5" fillId="0" borderId="0" xfId="0" applyFont="1" applyFill="1" applyBorder="1" applyAlignment="1" applyProtection="1">
      <alignment vertical="center"/>
    </xf>
    <xf numFmtId="0" fontId="9" fillId="0" borderId="0" xfId="0" applyFont="1" applyFill="1" applyAlignment="1" applyProtection="1">
      <alignment horizontal="left" vertical="center" shrinkToFit="1"/>
    </xf>
    <xf numFmtId="0" fontId="21" fillId="0" borderId="0" xfId="0" applyFont="1" applyAlignment="1" applyProtection="1">
      <alignment vertical="center"/>
    </xf>
    <xf numFmtId="49" fontId="5" fillId="0" borderId="0" xfId="0" applyNumberFormat="1" applyFont="1" applyFill="1" applyAlignment="1" applyProtection="1">
      <alignment horizontal="right"/>
    </xf>
    <xf numFmtId="0" fontId="21" fillId="0" borderId="0" xfId="0" applyFont="1" applyFill="1" applyBorder="1" applyProtection="1"/>
    <xf numFmtId="49" fontId="5" fillId="2" borderId="0" xfId="0" applyNumberFormat="1" applyFont="1" applyFill="1" applyAlignment="1" applyProtection="1">
      <alignment horizontal="left" vertical="center" shrinkToFit="1"/>
    </xf>
    <xf numFmtId="0" fontId="5" fillId="0" borderId="0" xfId="0" applyFont="1" applyAlignment="1" applyProtection="1">
      <alignment horizontal="center" vertical="center" wrapText="1"/>
    </xf>
    <xf numFmtId="49" fontId="5" fillId="2" borderId="0" xfId="0" applyNumberFormat="1"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0" borderId="6"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center" vertical="center"/>
    </xf>
    <xf numFmtId="0" fontId="5" fillId="7" borderId="0" xfId="0" applyFont="1" applyFill="1" applyAlignment="1" applyProtection="1">
      <alignment horizontal="right"/>
    </xf>
    <xf numFmtId="0" fontId="14" fillId="0" borderId="5" xfId="0" applyFont="1" applyFill="1" applyBorder="1" applyAlignment="1" applyProtection="1">
      <alignment horizontal="left" vertical="center" shrinkToFit="1"/>
    </xf>
    <xf numFmtId="0" fontId="44" fillId="0" borderId="0" xfId="9" applyAlignment="1">
      <alignment vertical="center"/>
    </xf>
    <xf numFmtId="0" fontId="5" fillId="17" borderId="8" xfId="0" applyFont="1" applyFill="1" applyBorder="1" applyAlignment="1" applyProtection="1">
      <alignment horizontal="right" vertical="center" shrinkToFit="1"/>
    </xf>
    <xf numFmtId="178" fontId="5" fillId="17" borderId="14" xfId="0" applyNumberFormat="1" applyFont="1" applyFill="1" applyBorder="1" applyAlignment="1" applyProtection="1">
      <alignment horizontal="right" vertical="center" shrinkToFit="1"/>
    </xf>
    <xf numFmtId="0" fontId="8" fillId="17" borderId="1" xfId="0" applyFont="1" applyFill="1" applyBorder="1" applyAlignment="1" applyProtection="1">
      <alignment vertical="center" wrapText="1"/>
    </xf>
    <xf numFmtId="0" fontId="55" fillId="11" borderId="0" xfId="9" applyFont="1" applyFill="1" applyAlignment="1">
      <alignment vertical="center"/>
    </xf>
    <xf numFmtId="0" fontId="55" fillId="13" borderId="0" xfId="9" applyFont="1" applyFill="1" applyAlignment="1">
      <alignment vertical="center"/>
    </xf>
    <xf numFmtId="0" fontId="55" fillId="17" borderId="0" xfId="9" applyFont="1" applyFill="1" applyAlignment="1">
      <alignment vertical="center"/>
    </xf>
    <xf numFmtId="0" fontId="55" fillId="13" borderId="213" xfId="9" applyFont="1" applyFill="1" applyBorder="1" applyAlignment="1">
      <alignment vertical="center"/>
    </xf>
    <xf numFmtId="0" fontId="55" fillId="13" borderId="0" xfId="9" applyFont="1" applyFill="1" applyAlignment="1">
      <alignment horizontal="center" vertical="center" wrapText="1" shrinkToFit="1"/>
    </xf>
    <xf numFmtId="0" fontId="55" fillId="13" borderId="0" xfId="9" applyFont="1" applyFill="1" applyAlignment="1">
      <alignment horizontal="right" vertical="center" shrinkToFit="1"/>
    </xf>
    <xf numFmtId="0" fontId="55" fillId="13" borderId="213" xfId="9" applyFont="1" applyFill="1" applyBorder="1" applyAlignment="1">
      <alignment vertical="center" shrinkToFit="1"/>
    </xf>
    <xf numFmtId="0" fontId="56" fillId="13" borderId="213" xfId="9" applyFont="1" applyFill="1" applyBorder="1" applyAlignment="1">
      <alignment vertical="center"/>
    </xf>
    <xf numFmtId="0" fontId="56" fillId="13" borderId="213" xfId="9" quotePrefix="1" applyFont="1" applyFill="1" applyBorder="1" applyAlignment="1">
      <alignment vertical="center"/>
    </xf>
    <xf numFmtId="0" fontId="55" fillId="17" borderId="213" xfId="9" applyFont="1" applyFill="1" applyBorder="1" applyAlignment="1">
      <alignment vertical="center"/>
    </xf>
    <xf numFmtId="0" fontId="5" fillId="0" borderId="23"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180" fontId="9" fillId="4" borderId="26" xfId="0" applyNumberFormat="1" applyFont="1" applyFill="1" applyBorder="1" applyAlignment="1" applyProtection="1">
      <alignment vertical="center"/>
    </xf>
    <xf numFmtId="180" fontId="9" fillId="6" borderId="26" xfId="0" applyNumberFormat="1" applyFont="1" applyFill="1" applyBorder="1" applyAlignment="1" applyProtection="1">
      <alignment vertical="center"/>
    </xf>
    <xf numFmtId="0" fontId="5" fillId="6" borderId="73" xfId="0" applyFont="1" applyFill="1" applyBorder="1" applyAlignment="1" applyProtection="1">
      <alignment horizontal="center" vertical="center" wrapText="1"/>
    </xf>
    <xf numFmtId="0" fontId="14" fillId="0" borderId="8" xfId="0" applyFont="1" applyFill="1" applyBorder="1" applyAlignment="1" applyProtection="1">
      <alignment vertical="top" wrapText="1"/>
    </xf>
    <xf numFmtId="0" fontId="55" fillId="11" borderId="213" xfId="9" applyFont="1" applyFill="1" applyBorder="1" applyAlignment="1">
      <alignment vertical="center"/>
    </xf>
    <xf numFmtId="176" fontId="5" fillId="17" borderId="7" xfId="0" applyNumberFormat="1" applyFont="1" applyFill="1" applyBorder="1" applyAlignment="1" applyProtection="1">
      <alignment horizontal="right" vertical="center"/>
    </xf>
    <xf numFmtId="0" fontId="5" fillId="6" borderId="64" xfId="0" applyFont="1" applyFill="1" applyBorder="1" applyAlignment="1" applyProtection="1">
      <alignment horizontal="center" vertical="center" wrapText="1"/>
    </xf>
    <xf numFmtId="0" fontId="56" fillId="20" borderId="213" xfId="9" applyFont="1" applyFill="1" applyBorder="1" applyAlignment="1">
      <alignment vertical="center"/>
    </xf>
    <xf numFmtId="49" fontId="5" fillId="2" borderId="0" xfId="0" applyNumberFormat="1" applyFont="1" applyFill="1" applyBorder="1" applyAlignment="1" applyProtection="1">
      <alignment horizontal="left" vertical="center" shrinkToFit="1"/>
      <protection locked="0"/>
    </xf>
    <xf numFmtId="38" fontId="5" fillId="5" borderId="68" xfId="2" applyFont="1" applyFill="1" applyBorder="1" applyAlignment="1" applyProtection="1">
      <alignment horizontal="right" vertical="center" wrapText="1"/>
      <protection locked="0"/>
    </xf>
    <xf numFmtId="38" fontId="5" fillId="5" borderId="68" xfId="2" applyFont="1" applyFill="1" applyBorder="1" applyAlignment="1" applyProtection="1">
      <alignment vertical="center" wrapText="1"/>
      <protection locked="0"/>
    </xf>
    <xf numFmtId="0" fontId="8" fillId="0" borderId="1" xfId="0" applyFont="1" applyFill="1" applyBorder="1" applyAlignment="1" applyProtection="1">
      <alignment vertical="center" wrapText="1"/>
    </xf>
    <xf numFmtId="0" fontId="57" fillId="0" borderId="0" xfId="0" applyFont="1" applyAlignment="1">
      <alignment vertical="center"/>
    </xf>
    <xf numFmtId="14" fontId="58" fillId="0" borderId="0" xfId="0" applyNumberFormat="1" applyFont="1" applyAlignment="1">
      <alignment vertical="center"/>
    </xf>
    <xf numFmtId="0" fontId="58" fillId="0" borderId="0" xfId="9" applyFont="1" applyAlignment="1">
      <alignment vertical="center"/>
    </xf>
    <xf numFmtId="0" fontId="58" fillId="0" borderId="0" xfId="0" applyFont="1" applyAlignment="1">
      <alignment vertical="center"/>
    </xf>
    <xf numFmtId="0" fontId="59" fillId="0" borderId="0" xfId="0" applyFont="1"/>
    <xf numFmtId="0" fontId="60" fillId="0" borderId="0" xfId="0" applyFont="1"/>
    <xf numFmtId="0" fontId="61" fillId="0" borderId="0" xfId="0" applyFont="1"/>
    <xf numFmtId="0" fontId="59" fillId="14" borderId="0" xfId="0" applyFont="1" applyFill="1"/>
    <xf numFmtId="0" fontId="64" fillId="7" borderId="0" xfId="9" applyFont="1" applyFill="1" applyAlignment="1">
      <alignment vertical="center"/>
    </xf>
    <xf numFmtId="0" fontId="57" fillId="7" borderId="0" xfId="9" applyFont="1" applyFill="1" applyAlignment="1">
      <alignment vertical="center"/>
    </xf>
    <xf numFmtId="0" fontId="65" fillId="7" borderId="0" xfId="0" applyFont="1" applyFill="1"/>
    <xf numFmtId="0" fontId="60" fillId="7" borderId="0" xfId="9" applyFont="1" applyFill="1" applyAlignment="1">
      <alignment horizontal="left" vertical="center"/>
    </xf>
    <xf numFmtId="0" fontId="67" fillId="0" borderId="0" xfId="9" applyFont="1" applyAlignment="1">
      <alignment vertical="center"/>
    </xf>
    <xf numFmtId="0" fontId="60" fillId="7" borderId="0" xfId="0" applyFont="1" applyFill="1"/>
    <xf numFmtId="0" fontId="67" fillId="0" borderId="0" xfId="9" applyFont="1" applyAlignment="1">
      <alignment vertical="center" wrapText="1"/>
    </xf>
    <xf numFmtId="0" fontId="61" fillId="0" borderId="0" xfId="9" applyFont="1" applyAlignment="1">
      <alignment vertical="center"/>
    </xf>
    <xf numFmtId="0" fontId="60" fillId="7" borderId="0" xfId="9" applyFont="1" applyFill="1" applyAlignment="1">
      <alignment vertical="center"/>
    </xf>
    <xf numFmtId="0" fontId="60" fillId="7" borderId="0" xfId="0" applyFont="1" applyFill="1" applyAlignment="1">
      <alignment horizontal="right"/>
    </xf>
    <xf numFmtId="0" fontId="70" fillId="0" borderId="142" xfId="0" applyFont="1" applyBorder="1" applyAlignment="1" applyProtection="1">
      <alignment horizontal="left" vertical="center"/>
    </xf>
    <xf numFmtId="0" fontId="70" fillId="0" borderId="8" xfId="0" applyFont="1" applyBorder="1" applyAlignment="1" applyProtection="1">
      <alignment horizontal="left" vertical="center"/>
    </xf>
    <xf numFmtId="0" fontId="70" fillId="0" borderId="140" xfId="0" applyFont="1" applyBorder="1" applyAlignment="1" applyProtection="1">
      <alignment horizontal="left" vertical="center"/>
    </xf>
    <xf numFmtId="0" fontId="71" fillId="8" borderId="0" xfId="9" applyFont="1" applyFill="1" applyAlignment="1">
      <alignment vertical="center"/>
    </xf>
    <xf numFmtId="0" fontId="71" fillId="8" borderId="0" xfId="9" applyFont="1" applyFill="1" applyAlignment="1" applyProtection="1">
      <alignment vertical="center"/>
    </xf>
    <xf numFmtId="0" fontId="58" fillId="8" borderId="0" xfId="9" applyFont="1" applyFill="1" applyAlignment="1" applyProtection="1">
      <alignment vertical="center"/>
    </xf>
    <xf numFmtId="0" fontId="58" fillId="8" borderId="0" xfId="9" applyFont="1" applyFill="1" applyAlignment="1" applyProtection="1">
      <alignment vertical="center" wrapText="1"/>
    </xf>
    <xf numFmtId="0" fontId="73" fillId="0" borderId="0" xfId="9" applyFont="1" applyAlignment="1" applyProtection="1">
      <alignment vertical="center"/>
    </xf>
    <xf numFmtId="0" fontId="58" fillId="0" borderId="0" xfId="9" applyFont="1" applyAlignment="1" applyProtection="1">
      <alignment vertical="center"/>
    </xf>
    <xf numFmtId="0" fontId="58" fillId="8" borderId="0" xfId="9" applyFont="1" applyFill="1" applyAlignment="1">
      <alignment vertical="center"/>
    </xf>
    <xf numFmtId="0" fontId="74" fillId="8" borderId="0" xfId="9" applyFont="1" applyFill="1" applyAlignment="1">
      <alignment vertical="center"/>
    </xf>
    <xf numFmtId="0" fontId="74" fillId="8" borderId="0" xfId="9" applyFont="1" applyFill="1" applyAlignment="1">
      <alignment vertical="center" wrapText="1"/>
    </xf>
    <xf numFmtId="0" fontId="75" fillId="0" borderId="0" xfId="0" applyFont="1" applyAlignment="1" applyProtection="1">
      <alignment vertical="center"/>
    </xf>
    <xf numFmtId="0" fontId="58" fillId="0" borderId="0" xfId="9" applyFont="1" applyAlignment="1" applyProtection="1">
      <alignment vertical="center" wrapText="1"/>
    </xf>
    <xf numFmtId="0" fontId="60" fillId="9" borderId="84" xfId="0" applyFont="1" applyFill="1" applyBorder="1" applyAlignment="1" applyProtection="1">
      <alignment horizontal="center" vertical="center" wrapText="1"/>
      <protection locked="0"/>
    </xf>
    <xf numFmtId="0" fontId="67" fillId="10" borderId="88" xfId="0" applyFont="1" applyFill="1" applyBorder="1" applyAlignment="1" applyProtection="1">
      <alignment horizontal="right" vertical="center"/>
      <protection locked="0"/>
    </xf>
    <xf numFmtId="0" fontId="67" fillId="0" borderId="83" xfId="0" applyFont="1" applyBorder="1" applyAlignment="1" applyProtection="1">
      <alignment horizontal="left" vertical="center" wrapText="1"/>
      <protection locked="0"/>
    </xf>
    <xf numFmtId="0" fontId="67" fillId="0" borderId="81" xfId="0" applyFont="1" applyBorder="1" applyAlignment="1" applyProtection="1">
      <alignment vertical="center" wrapText="1"/>
      <protection locked="0"/>
    </xf>
    <xf numFmtId="0" fontId="59" fillId="10" borderId="76" xfId="0" applyFont="1" applyFill="1" applyBorder="1" applyAlignment="1" applyProtection="1">
      <alignment horizontal="center" vertical="center" wrapText="1"/>
      <protection locked="0"/>
    </xf>
    <xf numFmtId="0" fontId="67" fillId="0" borderId="82" xfId="0" applyFont="1" applyBorder="1" applyAlignment="1" applyProtection="1">
      <alignment vertical="center"/>
      <protection locked="0"/>
    </xf>
    <xf numFmtId="0" fontId="67" fillId="0" borderId="83" xfId="0" applyFont="1" applyBorder="1" applyAlignment="1" applyProtection="1">
      <alignment vertical="center"/>
      <protection locked="0"/>
    </xf>
    <xf numFmtId="0" fontId="67" fillId="0" borderId="79" xfId="0" applyFont="1" applyBorder="1" applyAlignment="1" applyProtection="1">
      <alignment vertical="center" wrapText="1"/>
      <protection locked="0"/>
    </xf>
    <xf numFmtId="0" fontId="67" fillId="0" borderId="85" xfId="0" applyFont="1" applyBorder="1" applyAlignment="1" applyProtection="1">
      <alignment horizontal="center" vertical="center"/>
      <protection locked="0"/>
    </xf>
    <xf numFmtId="0" fontId="67" fillId="0" borderId="86" xfId="0" applyFont="1" applyBorder="1" applyAlignment="1" applyProtection="1">
      <alignment horizontal="center" vertical="center"/>
      <protection locked="0"/>
    </xf>
    <xf numFmtId="0" fontId="67" fillId="0" borderId="87" xfId="0" applyFont="1" applyBorder="1" applyAlignment="1" applyProtection="1">
      <alignment vertical="center"/>
      <protection locked="0"/>
    </xf>
    <xf numFmtId="0" fontId="67" fillId="0" borderId="150" xfId="0" applyFont="1" applyBorder="1" applyAlignment="1" applyProtection="1">
      <alignment vertical="center"/>
      <protection locked="0"/>
    </xf>
    <xf numFmtId="0" fontId="76" fillId="0" borderId="84" xfId="0" applyFont="1" applyFill="1" applyBorder="1" applyAlignment="1" applyProtection="1">
      <alignment vertical="center" wrapText="1"/>
      <protection locked="0"/>
    </xf>
    <xf numFmtId="0" fontId="76" fillId="0" borderId="85" xfId="0" applyFont="1" applyFill="1" applyBorder="1" applyAlignment="1" applyProtection="1">
      <alignment vertical="top" wrapText="1"/>
      <protection locked="0"/>
    </xf>
    <xf numFmtId="0" fontId="76" fillId="0" borderId="88" xfId="0" applyFont="1" applyFill="1" applyBorder="1" applyAlignment="1" applyProtection="1">
      <alignment vertical="top" wrapText="1"/>
      <protection locked="0"/>
    </xf>
    <xf numFmtId="0" fontId="76" fillId="0" borderId="86" xfId="0" applyFont="1" applyFill="1" applyBorder="1" applyAlignment="1" applyProtection="1">
      <alignment vertical="top" wrapText="1"/>
      <protection locked="0"/>
    </xf>
    <xf numFmtId="0" fontId="67" fillId="0" borderId="0" xfId="9" applyFont="1" applyAlignment="1" applyProtection="1">
      <alignment vertical="center"/>
      <protection locked="0"/>
    </xf>
    <xf numFmtId="0" fontId="65" fillId="0" borderId="97" xfId="0" applyFont="1" applyBorder="1" applyAlignment="1">
      <alignment horizontal="center" vertical="center" wrapText="1"/>
    </xf>
    <xf numFmtId="0" fontId="65" fillId="0" borderId="102" xfId="0" applyFont="1" applyBorder="1" applyAlignment="1">
      <alignment horizontal="center" vertical="center" wrapText="1"/>
    </xf>
    <xf numFmtId="0" fontId="67" fillId="0" borderId="89" xfId="0" applyFont="1" applyBorder="1" applyAlignment="1" applyProtection="1">
      <alignment vertical="center"/>
      <protection locked="0"/>
    </xf>
    <xf numFmtId="0" fontId="67" fillId="10" borderId="23" xfId="0" applyFont="1" applyFill="1" applyBorder="1" applyAlignment="1" applyProtection="1">
      <alignment horizontal="left" vertical="center"/>
      <protection locked="0"/>
    </xf>
    <xf numFmtId="0" fontId="67" fillId="10" borderId="24" xfId="0" applyFont="1" applyFill="1" applyBorder="1" applyAlignment="1" applyProtection="1">
      <alignment horizontal="left" vertical="center"/>
      <protection locked="0"/>
    </xf>
    <xf numFmtId="0" fontId="67" fillId="0" borderId="91" xfId="0" applyFont="1" applyBorder="1" applyAlignment="1" applyProtection="1">
      <alignment vertical="center"/>
      <protection locked="0"/>
    </xf>
    <xf numFmtId="0" fontId="67" fillId="10" borderId="92" xfId="0" applyFont="1" applyFill="1" applyBorder="1" applyAlignment="1" applyProtection="1">
      <alignment horizontal="center" vertical="center"/>
      <protection locked="0"/>
    </xf>
    <xf numFmtId="0" fontId="67" fillId="10" borderId="92" xfId="0" applyFont="1" applyFill="1" applyBorder="1" applyAlignment="1" applyProtection="1">
      <alignment vertical="center"/>
      <protection locked="0"/>
    </xf>
    <xf numFmtId="0" fontId="67" fillId="0" borderId="12" xfId="0" applyFont="1" applyBorder="1" applyAlignment="1" applyProtection="1">
      <alignment vertical="center"/>
      <protection locked="0"/>
    </xf>
    <xf numFmtId="0" fontId="67" fillId="10" borderId="52" xfId="0" applyFont="1" applyFill="1" applyBorder="1" applyAlignment="1" applyProtection="1">
      <alignment horizontal="center" vertical="center" shrinkToFit="1"/>
      <protection locked="0"/>
    </xf>
    <xf numFmtId="0" fontId="67" fillId="10" borderId="92" xfId="0" applyFont="1" applyFill="1" applyBorder="1" applyAlignment="1" applyProtection="1">
      <alignment horizontal="center" vertical="center" shrinkToFit="1"/>
      <protection locked="0"/>
    </xf>
    <xf numFmtId="0" fontId="67" fillId="13" borderId="96" xfId="0" applyFont="1" applyFill="1" applyBorder="1" applyAlignment="1" applyProtection="1">
      <alignment horizontal="center" vertical="center"/>
      <protection locked="0"/>
    </xf>
    <xf numFmtId="0" fontId="67" fillId="0" borderId="144" xfId="0" applyFont="1" applyBorder="1" applyAlignment="1" applyProtection="1">
      <alignment vertical="center"/>
      <protection locked="0"/>
    </xf>
    <xf numFmtId="0" fontId="67" fillId="0" borderId="94" xfId="0" applyFont="1" applyFill="1" applyBorder="1" applyAlignment="1" applyProtection="1">
      <alignment vertical="center"/>
      <protection locked="0"/>
    </xf>
    <xf numFmtId="176" fontId="67" fillId="0" borderId="93" xfId="0" applyNumberFormat="1" applyFont="1" applyFill="1" applyBorder="1" applyAlignment="1" applyProtection="1">
      <alignment vertical="center" shrinkToFit="1"/>
      <protection locked="0"/>
    </xf>
    <xf numFmtId="0" fontId="67" fillId="0" borderId="93" xfId="0" applyFont="1" applyFill="1" applyBorder="1" applyAlignment="1" applyProtection="1">
      <alignment vertical="center"/>
      <protection locked="0"/>
    </xf>
    <xf numFmtId="0" fontId="67" fillId="0" borderId="152" xfId="0" applyFont="1" applyFill="1" applyBorder="1" applyAlignment="1" applyProtection="1">
      <alignment vertical="center"/>
      <protection locked="0"/>
    </xf>
    <xf numFmtId="0" fontId="67" fillId="0" borderId="95" xfId="0" applyFont="1" applyFill="1" applyBorder="1" applyAlignment="1" applyProtection="1">
      <alignment vertical="center"/>
      <protection locked="0"/>
    </xf>
    <xf numFmtId="0" fontId="65" fillId="0" borderId="111" xfId="0" applyFont="1" applyBorder="1" applyAlignment="1">
      <alignment vertical="center"/>
    </xf>
    <xf numFmtId="0" fontId="67" fillId="0" borderId="91" xfId="0" applyFont="1" applyBorder="1" applyAlignment="1" applyProtection="1">
      <alignment horizontal="left" vertical="center"/>
      <protection locked="0"/>
    </xf>
    <xf numFmtId="0" fontId="67" fillId="0" borderId="52" xfId="0" applyFont="1" applyBorder="1" applyAlignment="1" applyProtection="1">
      <alignment horizontal="right" vertical="center"/>
      <protection locked="0"/>
    </xf>
    <xf numFmtId="0" fontId="67" fillId="10" borderId="8" xfId="0" applyFont="1" applyFill="1" applyBorder="1" applyAlignment="1" applyProtection="1">
      <alignment horizontal="left" vertical="center"/>
      <protection locked="0"/>
    </xf>
    <xf numFmtId="0" fontId="67" fillId="0" borderId="8" xfId="0" applyFont="1" applyBorder="1" applyAlignment="1" applyProtection="1">
      <alignment horizontal="right" vertical="center"/>
      <protection locked="0"/>
    </xf>
    <xf numFmtId="0" fontId="67" fillId="10" borderId="140" xfId="0" applyFont="1" applyFill="1" applyBorder="1" applyAlignment="1" applyProtection="1">
      <alignment horizontal="left" vertical="center"/>
      <protection locked="0"/>
    </xf>
    <xf numFmtId="0" fontId="67" fillId="10" borderId="96" xfId="0" applyFont="1" applyFill="1" applyBorder="1" applyAlignment="1" applyProtection="1">
      <alignment horizontal="center" vertical="center"/>
      <protection locked="0"/>
    </xf>
    <xf numFmtId="49" fontId="67" fillId="10" borderId="96" xfId="0" applyNumberFormat="1" applyFont="1" applyFill="1" applyBorder="1" applyAlignment="1" applyProtection="1">
      <alignment horizontal="center" vertical="center"/>
      <protection locked="0"/>
    </xf>
    <xf numFmtId="0" fontId="67" fillId="10" borderId="91" xfId="0" applyFont="1" applyFill="1" applyBorder="1" applyAlignment="1" applyProtection="1">
      <alignment vertical="center"/>
      <protection locked="0"/>
    </xf>
    <xf numFmtId="0" fontId="67" fillId="10" borderId="7" xfId="0" applyFont="1" applyFill="1" applyBorder="1" applyAlignment="1" applyProtection="1">
      <alignment vertical="center"/>
      <protection locked="0"/>
    </xf>
    <xf numFmtId="0" fontId="67" fillId="10" borderId="52" xfId="0" applyFont="1" applyFill="1" applyBorder="1" applyAlignment="1" applyProtection="1">
      <alignment vertical="center"/>
      <protection locked="0"/>
    </xf>
    <xf numFmtId="0" fontId="65" fillId="0" borderId="142" xfId="0" applyFont="1" applyBorder="1" applyAlignment="1">
      <alignment vertical="center"/>
    </xf>
    <xf numFmtId="0" fontId="67" fillId="0" borderId="97" xfId="0" applyFont="1" applyBorder="1" applyAlignment="1" applyProtection="1">
      <alignment vertical="center"/>
      <protection locked="0"/>
    </xf>
    <xf numFmtId="0" fontId="67" fillId="0" borderId="98" xfId="0" applyFont="1" applyBorder="1" applyAlignment="1" applyProtection="1">
      <alignment vertical="center"/>
      <protection locked="0"/>
    </xf>
    <xf numFmtId="0" fontId="67" fillId="0" borderId="98" xfId="0" applyFont="1" applyBorder="1" applyAlignment="1" applyProtection="1">
      <alignment horizontal="left" vertical="center"/>
      <protection locked="0"/>
    </xf>
    <xf numFmtId="0" fontId="67" fillId="10" borderId="98" xfId="0" applyFont="1" applyFill="1" applyBorder="1" applyAlignment="1" applyProtection="1">
      <alignment horizontal="left" vertical="center"/>
      <protection locked="0"/>
    </xf>
    <xf numFmtId="0" fontId="67" fillId="10" borderId="100" xfId="0" applyFont="1" applyFill="1" applyBorder="1" applyAlignment="1" applyProtection="1">
      <alignment horizontal="left" vertical="center"/>
      <protection locked="0"/>
    </xf>
    <xf numFmtId="0" fontId="67" fillId="0" borderId="101" xfId="0" applyFont="1" applyBorder="1" applyAlignment="1" applyProtection="1">
      <alignment vertical="center"/>
      <protection locked="0"/>
    </xf>
    <xf numFmtId="0" fontId="67" fillId="10" borderId="102" xfId="0" applyFont="1" applyFill="1" applyBorder="1" applyAlignment="1" applyProtection="1">
      <alignment horizontal="center" vertical="center"/>
      <protection locked="0"/>
    </xf>
    <xf numFmtId="0" fontId="67" fillId="0" borderId="103" xfId="0" applyFont="1" applyBorder="1" applyAlignment="1" applyProtection="1">
      <alignment vertical="center"/>
      <protection locked="0"/>
    </xf>
    <xf numFmtId="0" fontId="67" fillId="0" borderId="104" xfId="0" applyFont="1" applyBorder="1" applyAlignment="1" applyProtection="1">
      <alignment vertical="center"/>
      <protection locked="0"/>
    </xf>
    <xf numFmtId="0" fontId="67" fillId="0" borderId="115" xfId="0" applyFont="1" applyBorder="1" applyAlignment="1" applyProtection="1">
      <alignment vertical="center"/>
      <protection locked="0"/>
    </xf>
    <xf numFmtId="176" fontId="67" fillId="10" borderId="105" xfId="0" applyNumberFormat="1" applyFont="1" applyFill="1" applyBorder="1" applyAlignment="1" applyProtection="1">
      <alignment vertical="center" shrinkToFit="1"/>
      <protection locked="0"/>
    </xf>
    <xf numFmtId="176" fontId="67" fillId="10" borderId="102" xfId="0" applyNumberFormat="1" applyFont="1" applyFill="1" applyBorder="1" applyAlignment="1" applyProtection="1">
      <alignment vertical="center" shrinkToFit="1"/>
      <protection locked="0"/>
    </xf>
    <xf numFmtId="0" fontId="67" fillId="13" borderId="151" xfId="0" applyFont="1" applyFill="1" applyBorder="1" applyAlignment="1" applyProtection="1">
      <alignment horizontal="center" vertical="center"/>
      <protection locked="0"/>
    </xf>
    <xf numFmtId="0" fontId="67" fillId="0" borderId="151" xfId="0" applyFont="1" applyBorder="1" applyAlignment="1" applyProtection="1">
      <alignment vertical="center"/>
      <protection locked="0"/>
    </xf>
    <xf numFmtId="0" fontId="67" fillId="0" borderId="103" xfId="0" applyFont="1" applyFill="1" applyBorder="1" applyAlignment="1" applyProtection="1">
      <alignment horizontal="center" vertical="center" shrinkToFit="1"/>
      <protection locked="0"/>
    </xf>
    <xf numFmtId="0" fontId="67" fillId="0" borderId="106" xfId="0" applyFont="1" applyFill="1" applyBorder="1" applyAlignment="1" applyProtection="1">
      <alignment vertical="center"/>
      <protection locked="0"/>
    </xf>
    <xf numFmtId="0" fontId="67" fillId="0" borderId="153" xfId="0" applyFont="1" applyFill="1" applyBorder="1" applyAlignment="1" applyProtection="1">
      <alignment vertical="center"/>
      <protection locked="0"/>
    </xf>
    <xf numFmtId="0" fontId="67" fillId="0" borderId="104" xfId="0" applyFont="1" applyFill="1" applyBorder="1" applyAlignment="1" applyProtection="1">
      <alignment vertical="center"/>
      <protection locked="0"/>
    </xf>
    <xf numFmtId="0" fontId="67" fillId="0" borderId="0" xfId="0" applyFont="1" applyAlignment="1" applyProtection="1">
      <alignment vertical="center"/>
      <protection locked="0"/>
    </xf>
    <xf numFmtId="0" fontId="70" fillId="0" borderId="107" xfId="0" applyFont="1" applyBorder="1" applyAlignment="1" applyProtection="1">
      <alignment vertical="center"/>
      <protection locked="0"/>
    </xf>
    <xf numFmtId="0" fontId="70" fillId="0" borderId="0" xfId="0" applyFont="1" applyAlignment="1" applyProtection="1">
      <alignment vertical="center"/>
      <protection locked="0"/>
    </xf>
    <xf numFmtId="0" fontId="70" fillId="0" borderId="86" xfId="0" applyFont="1" applyBorder="1" applyAlignment="1" applyProtection="1">
      <alignment horizontal="center" vertical="center"/>
      <protection locked="0"/>
    </xf>
    <xf numFmtId="0" fontId="70" fillId="0" borderId="109" xfId="0" applyFont="1" applyBorder="1" applyAlignment="1" applyProtection="1">
      <alignment vertical="center"/>
      <protection locked="0"/>
    </xf>
    <xf numFmtId="0" fontId="70" fillId="0" borderId="111" xfId="0" applyFont="1" applyBorder="1" applyAlignment="1" applyProtection="1">
      <alignment vertical="center"/>
      <protection locked="0"/>
    </xf>
    <xf numFmtId="0" fontId="70" fillId="0" borderId="24" xfId="0" applyFont="1" applyBorder="1" applyAlignment="1" applyProtection="1">
      <alignment vertical="center"/>
      <protection locked="0"/>
    </xf>
    <xf numFmtId="0" fontId="70" fillId="0" borderId="83" xfId="0" applyFont="1" applyBorder="1" applyAlignment="1" applyProtection="1">
      <alignment vertical="center"/>
      <protection locked="0"/>
    </xf>
    <xf numFmtId="0" fontId="70" fillId="0" borderId="82" xfId="0" applyFont="1" applyBorder="1" applyAlignment="1" applyProtection="1">
      <alignment vertical="center"/>
      <protection locked="0"/>
    </xf>
    <xf numFmtId="0" fontId="70" fillId="0" borderId="80" xfId="0" applyFont="1" applyBorder="1" applyAlignment="1" applyProtection="1">
      <alignment vertical="center"/>
      <protection locked="0"/>
    </xf>
    <xf numFmtId="0" fontId="70" fillId="0" borderId="80" xfId="0" applyFont="1" applyBorder="1" applyAlignment="1" applyProtection="1">
      <alignment vertical="center" shrinkToFit="1"/>
      <protection locked="0"/>
    </xf>
    <xf numFmtId="0" fontId="70" fillId="10" borderId="83" xfId="0" applyFont="1" applyFill="1" applyBorder="1" applyAlignment="1" applyProtection="1">
      <alignment vertical="center"/>
      <protection locked="0"/>
    </xf>
    <xf numFmtId="0" fontId="70" fillId="0" borderId="6" xfId="0" applyFont="1" applyBorder="1" applyAlignment="1" applyProtection="1">
      <alignment vertical="center"/>
      <protection locked="0"/>
    </xf>
    <xf numFmtId="0" fontId="70" fillId="0" borderId="92" xfId="0" applyFont="1" applyBorder="1" applyAlignment="1" applyProtection="1">
      <alignment horizontal="center" vertical="center"/>
      <protection locked="0"/>
    </xf>
    <xf numFmtId="0" fontId="70" fillId="0" borderId="90" xfId="0" applyFont="1" applyBorder="1" applyAlignment="1" applyProtection="1">
      <alignment vertical="center"/>
      <protection locked="0"/>
    </xf>
    <xf numFmtId="0" fontId="70" fillId="0" borderId="111" xfId="0" applyFont="1" applyBorder="1" applyAlignment="1" applyProtection="1">
      <alignment horizontal="left" vertical="center"/>
      <protection locked="0"/>
    </xf>
    <xf numFmtId="0" fontId="70" fillId="0" borderId="90" xfId="0" applyFont="1" applyBorder="1" applyAlignment="1" applyProtection="1">
      <alignment horizontal="center" vertical="center" shrinkToFit="1"/>
      <protection locked="0"/>
    </xf>
    <xf numFmtId="0" fontId="70" fillId="0" borderId="142" xfId="0" applyFont="1" applyBorder="1" applyAlignment="1" applyProtection="1">
      <alignment horizontal="left" vertical="center"/>
      <protection locked="0"/>
    </xf>
    <xf numFmtId="0" fontId="70" fillId="10" borderId="8" xfId="0" applyFont="1" applyFill="1" applyBorder="1" applyAlignment="1" applyProtection="1">
      <alignment horizontal="left" vertical="center"/>
      <protection locked="0"/>
    </xf>
    <xf numFmtId="0" fontId="70" fillId="10" borderId="140" xfId="0" applyFont="1" applyFill="1" applyBorder="1" applyAlignment="1" applyProtection="1">
      <alignment horizontal="left" vertical="center"/>
      <protection locked="0"/>
    </xf>
    <xf numFmtId="0" fontId="59" fillId="0" borderId="109" xfId="0" applyFont="1" applyBorder="1"/>
    <xf numFmtId="0" fontId="70" fillId="0" borderId="49" xfId="0" applyFont="1" applyBorder="1" applyAlignment="1" applyProtection="1">
      <alignment vertical="center"/>
      <protection locked="0"/>
    </xf>
    <xf numFmtId="0" fontId="70" fillId="0" borderId="112" xfId="0" applyFont="1" applyBorder="1" applyAlignment="1" applyProtection="1">
      <alignment horizontal="center" vertical="center"/>
      <protection locked="0"/>
    </xf>
    <xf numFmtId="0" fontId="70" fillId="0" borderId="91" xfId="0" applyFont="1" applyBorder="1" applyAlignment="1" applyProtection="1">
      <alignment horizontal="center" vertical="center" shrinkToFit="1"/>
      <protection locked="0"/>
    </xf>
    <xf numFmtId="0" fontId="70" fillId="0" borderId="92" xfId="0" applyFont="1" applyBorder="1" applyAlignment="1" applyProtection="1">
      <alignment horizontal="center" vertical="center" shrinkToFit="1"/>
      <protection locked="0"/>
    </xf>
    <xf numFmtId="0" fontId="70" fillId="0" borderId="0" xfId="0" applyFont="1" applyAlignment="1" applyProtection="1">
      <alignment horizontal="left" vertical="center"/>
      <protection locked="0"/>
    </xf>
    <xf numFmtId="0" fontId="70" fillId="10" borderId="24" xfId="0" applyFont="1" applyFill="1" applyBorder="1" applyAlignment="1" applyProtection="1">
      <alignment horizontal="left" vertical="center"/>
      <protection locked="0"/>
    </xf>
    <xf numFmtId="0" fontId="70" fillId="10" borderId="90" xfId="0" applyFont="1" applyFill="1" applyBorder="1" applyAlignment="1" applyProtection="1">
      <alignment horizontal="left" vertical="center"/>
      <protection locked="0"/>
    </xf>
    <xf numFmtId="0" fontId="59" fillId="0" borderId="155" xfId="0" applyFont="1" applyBorder="1"/>
    <xf numFmtId="0" fontId="70" fillId="0" borderId="17" xfId="0" applyFont="1" applyBorder="1" applyAlignment="1" applyProtection="1">
      <alignment vertical="center"/>
      <protection locked="0"/>
    </xf>
    <xf numFmtId="0" fontId="70" fillId="0" borderId="156" xfId="0" applyFont="1" applyBorder="1" applyAlignment="1" applyProtection="1">
      <alignment vertical="center"/>
      <protection locked="0"/>
    </xf>
    <xf numFmtId="0" fontId="70" fillId="0" borderId="99" xfId="0" applyFont="1" applyBorder="1" applyAlignment="1" applyProtection="1">
      <alignment horizontal="center" vertical="center"/>
      <protection locked="0"/>
    </xf>
    <xf numFmtId="0" fontId="70" fillId="0" borderId="113" xfId="0" applyFont="1" applyBorder="1" applyAlignment="1" applyProtection="1">
      <alignment horizontal="center" vertical="center" shrinkToFit="1"/>
      <protection locked="0"/>
    </xf>
    <xf numFmtId="0" fontId="70" fillId="0" borderId="114" xfId="0" applyFont="1" applyBorder="1" applyAlignment="1" applyProtection="1">
      <alignment horizontal="center" vertical="center" shrinkToFit="1"/>
      <protection locked="0"/>
    </xf>
    <xf numFmtId="0" fontId="70" fillId="0" borderId="101" xfId="0" applyFont="1" applyBorder="1" applyAlignment="1" applyProtection="1">
      <alignment horizontal="center" vertical="center" shrinkToFit="1"/>
      <protection locked="0"/>
    </xf>
    <xf numFmtId="0" fontId="70" fillId="0" borderId="102" xfId="0" applyFont="1" applyBorder="1" applyAlignment="1" applyProtection="1">
      <alignment horizontal="center" vertical="center" shrinkToFit="1"/>
      <protection locked="0"/>
    </xf>
    <xf numFmtId="0" fontId="70" fillId="0" borderId="113" xfId="0" applyFont="1" applyBorder="1" applyAlignment="1" applyProtection="1">
      <alignment horizontal="center" vertical="center"/>
      <protection locked="0"/>
    </xf>
    <xf numFmtId="0" fontId="70" fillId="0" borderId="64" xfId="0" applyFont="1" applyBorder="1" applyAlignment="1" applyProtection="1">
      <alignment horizontal="center" vertical="center" shrinkToFit="1"/>
      <protection locked="0"/>
    </xf>
    <xf numFmtId="0" fontId="70" fillId="0" borderId="117" xfId="0" applyFont="1" applyBorder="1" applyAlignment="1">
      <alignment horizontal="center" vertical="center"/>
    </xf>
    <xf numFmtId="0" fontId="70" fillId="0" borderId="70" xfId="0" applyFont="1" applyBorder="1" applyAlignment="1">
      <alignment horizontal="center" vertical="center" shrinkToFit="1"/>
    </xf>
    <xf numFmtId="0" fontId="70" fillId="0" borderId="157" xfId="0" applyFont="1" applyBorder="1" applyAlignment="1">
      <alignment horizontal="center" vertical="center" shrinkToFit="1"/>
    </xf>
    <xf numFmtId="0" fontId="70" fillId="0" borderId="116" xfId="0" applyFont="1" applyBorder="1" applyAlignment="1" applyProtection="1">
      <alignment vertical="center"/>
      <protection locked="0"/>
    </xf>
    <xf numFmtId="0" fontId="70" fillId="0" borderId="88" xfId="0" applyFont="1" applyBorder="1" applyAlignment="1" applyProtection="1">
      <alignment vertical="center"/>
      <protection locked="0"/>
    </xf>
    <xf numFmtId="0" fontId="70" fillId="0" borderId="79" xfId="0" applyFont="1" applyBorder="1" applyAlignment="1" applyProtection="1">
      <alignment vertical="center"/>
      <protection locked="0"/>
    </xf>
    <xf numFmtId="0" fontId="70" fillId="0" borderId="84" xfId="0" applyFont="1" applyBorder="1" applyAlignment="1" applyProtection="1">
      <alignment vertical="center"/>
      <protection locked="0"/>
    </xf>
    <xf numFmtId="0" fontId="70" fillId="0" borderId="86" xfId="0" applyFont="1" applyBorder="1" applyAlignment="1" applyProtection="1">
      <alignment vertical="center"/>
      <protection locked="0"/>
    </xf>
    <xf numFmtId="0" fontId="70" fillId="0" borderId="139" xfId="0" applyFont="1" applyBorder="1" applyAlignment="1" applyProtection="1">
      <alignment vertical="center"/>
      <protection locked="0"/>
    </xf>
    <xf numFmtId="0" fontId="70" fillId="0" borderId="123" xfId="0" applyFont="1" applyBorder="1" applyAlignment="1" applyProtection="1">
      <alignment vertical="center"/>
      <protection locked="0"/>
    </xf>
    <xf numFmtId="0" fontId="70" fillId="10" borderId="84" xfId="0" applyFont="1" applyFill="1" applyBorder="1" applyAlignment="1" applyProtection="1">
      <alignment vertical="center"/>
      <protection locked="0"/>
    </xf>
    <xf numFmtId="0" fontId="70" fillId="10" borderId="85" xfId="0" applyFont="1" applyFill="1" applyBorder="1" applyAlignment="1" applyProtection="1">
      <alignment vertical="center"/>
      <protection locked="0"/>
    </xf>
    <xf numFmtId="0" fontId="70" fillId="0" borderId="84" xfId="0" applyFont="1" applyBorder="1" applyAlignment="1">
      <alignment vertical="center"/>
    </xf>
    <xf numFmtId="0" fontId="70" fillId="0" borderId="85" xfId="0" applyFont="1" applyBorder="1" applyAlignment="1">
      <alignment vertical="center"/>
    </xf>
    <xf numFmtId="0" fontId="70" fillId="0" borderId="123" xfId="0" applyFont="1" applyBorder="1" applyAlignment="1">
      <alignment vertical="center"/>
    </xf>
    <xf numFmtId="0" fontId="70" fillId="0" borderId="117" xfId="0" applyFont="1" applyBorder="1" applyAlignment="1" applyProtection="1">
      <alignment vertical="center"/>
      <protection locked="0"/>
    </xf>
    <xf numFmtId="0" fontId="70" fillId="0" borderId="52" xfId="0" applyFont="1" applyBorder="1" applyAlignment="1" applyProtection="1">
      <alignment vertical="center"/>
      <protection locked="0"/>
    </xf>
    <xf numFmtId="0" fontId="70" fillId="0" borderId="8" xfId="0" applyFont="1" applyBorder="1" applyAlignment="1" applyProtection="1">
      <alignment vertical="center"/>
      <protection locked="0"/>
    </xf>
    <xf numFmtId="0" fontId="70" fillId="0" borderId="12" xfId="0" applyFont="1" applyBorder="1" applyAlignment="1" applyProtection="1">
      <alignment vertical="center"/>
      <protection locked="0"/>
    </xf>
    <xf numFmtId="0" fontId="70" fillId="0" borderId="91" xfId="0" applyFont="1" applyBorder="1" applyAlignment="1" applyProtection="1">
      <alignment vertical="center"/>
      <protection locked="0"/>
    </xf>
    <xf numFmtId="0" fontId="70" fillId="0" borderId="92" xfId="0" applyFont="1" applyBorder="1" applyAlignment="1" applyProtection="1">
      <alignment vertical="center"/>
      <protection locked="0"/>
    </xf>
    <xf numFmtId="0" fontId="70" fillId="0" borderId="94" xfId="0" applyFont="1" applyBorder="1" applyAlignment="1" applyProtection="1">
      <alignment vertical="center"/>
      <protection locked="0"/>
    </xf>
    <xf numFmtId="0" fontId="70" fillId="0" borderId="95" xfId="0" applyFont="1" applyBorder="1" applyAlignment="1" applyProtection="1">
      <alignment vertical="center"/>
      <protection locked="0"/>
    </xf>
    <xf numFmtId="0" fontId="70" fillId="10" borderId="91" xfId="0" applyFont="1" applyFill="1" applyBorder="1" applyAlignment="1" applyProtection="1">
      <alignment vertical="center"/>
      <protection locked="0"/>
    </xf>
    <xf numFmtId="0" fontId="70" fillId="10" borderId="7" xfId="0" applyFont="1" applyFill="1" applyBorder="1" applyAlignment="1" applyProtection="1">
      <alignment vertical="center"/>
      <protection locked="0"/>
    </xf>
    <xf numFmtId="0" fontId="70" fillId="0" borderId="91" xfId="0" applyFont="1" applyBorder="1" applyAlignment="1">
      <alignment vertical="center"/>
    </xf>
    <xf numFmtId="0" fontId="70" fillId="0" borderId="7" xfId="0" applyFont="1" applyBorder="1" applyAlignment="1">
      <alignment vertical="center"/>
    </xf>
    <xf numFmtId="0" fontId="70" fillId="0" borderId="95" xfId="0" applyFont="1" applyBorder="1" applyAlignment="1">
      <alignment vertical="center"/>
    </xf>
    <xf numFmtId="0" fontId="70" fillId="10" borderId="92" xfId="0" applyFont="1" applyFill="1" applyBorder="1" applyAlignment="1" applyProtection="1">
      <alignment vertical="center"/>
      <protection locked="0"/>
    </xf>
    <xf numFmtId="184" fontId="70" fillId="0" borderId="91" xfId="0" applyNumberFormat="1" applyFont="1" applyBorder="1" applyAlignment="1" applyProtection="1">
      <alignment vertical="center"/>
      <protection locked="0"/>
    </xf>
    <xf numFmtId="0" fontId="70" fillId="0" borderId="64" xfId="0" applyFont="1" applyBorder="1" applyAlignment="1" applyProtection="1">
      <alignment vertical="center"/>
      <protection locked="0"/>
    </xf>
    <xf numFmtId="0" fontId="70" fillId="0" borderId="73" xfId="0" applyFont="1" applyBorder="1" applyAlignment="1" applyProtection="1">
      <alignment vertical="center"/>
      <protection locked="0"/>
    </xf>
    <xf numFmtId="0" fontId="70" fillId="0" borderId="70" xfId="0" applyFont="1" applyBorder="1" applyAlignment="1" applyProtection="1">
      <alignment vertical="center"/>
      <protection locked="0"/>
    </xf>
    <xf numFmtId="0" fontId="70" fillId="0" borderId="89" xfId="0" applyFont="1" applyBorder="1" applyAlignment="1" applyProtection="1">
      <alignment vertical="center"/>
      <protection locked="0"/>
    </xf>
    <xf numFmtId="0" fontId="70" fillId="0" borderId="12" xfId="0" applyFont="1" applyBorder="1" applyAlignment="1" applyProtection="1">
      <alignment horizontal="center" vertical="center"/>
      <protection locked="0"/>
    </xf>
    <xf numFmtId="0" fontId="70" fillId="10" borderId="12" xfId="0" applyFont="1" applyFill="1" applyBorder="1" applyAlignment="1" applyProtection="1">
      <alignment vertical="center"/>
      <protection locked="0"/>
    </xf>
    <xf numFmtId="0" fontId="70" fillId="10" borderId="52" xfId="0" applyFont="1" applyFill="1" applyBorder="1" applyAlignment="1" applyProtection="1">
      <alignment vertical="center"/>
      <protection locked="0"/>
    </xf>
    <xf numFmtId="0" fontId="70" fillId="0" borderId="113" xfId="0" applyFont="1" applyBorder="1" applyAlignment="1" applyProtection="1">
      <alignment vertical="center"/>
      <protection locked="0"/>
    </xf>
    <xf numFmtId="0" fontId="65" fillId="0" borderId="97" xfId="0" applyFont="1" applyBorder="1" applyAlignment="1">
      <alignment vertical="center"/>
    </xf>
    <xf numFmtId="0" fontId="70" fillId="0" borderId="7" xfId="0" applyFont="1" applyBorder="1" applyAlignment="1" applyProtection="1">
      <alignment vertical="center"/>
      <protection locked="0"/>
    </xf>
    <xf numFmtId="0" fontId="70" fillId="0" borderId="64" xfId="0" applyFont="1" applyBorder="1" applyAlignment="1" applyProtection="1">
      <alignment vertical="center" wrapText="1"/>
      <protection locked="0"/>
    </xf>
    <xf numFmtId="0" fontId="70" fillId="0" borderId="20" xfId="0" applyFont="1" applyBorder="1" applyAlignment="1" applyProtection="1">
      <alignment vertical="center"/>
      <protection locked="0"/>
    </xf>
    <xf numFmtId="0" fontId="70" fillId="0" borderId="93" xfId="0" applyFont="1" applyBorder="1" applyAlignment="1" applyProtection="1">
      <alignment vertical="center"/>
      <protection locked="0"/>
    </xf>
    <xf numFmtId="0" fontId="70" fillId="0" borderId="93" xfId="0" applyFont="1" applyBorder="1" applyAlignment="1">
      <alignment vertical="center"/>
    </xf>
    <xf numFmtId="0" fontId="70" fillId="0" borderId="92" xfId="0" applyFont="1" applyBorder="1" applyAlignment="1">
      <alignment vertical="center"/>
    </xf>
    <xf numFmtId="0" fontId="70" fillId="0" borderId="73" xfId="0" applyFont="1" applyBorder="1" applyAlignment="1" applyProtection="1">
      <alignment horizontal="left" vertical="center"/>
      <protection locked="0"/>
    </xf>
    <xf numFmtId="0" fontId="70" fillId="0" borderId="7" xfId="0" applyFont="1" applyBorder="1" applyAlignment="1" applyProtection="1">
      <alignment horizontal="left" vertical="center"/>
      <protection locked="0"/>
    </xf>
    <xf numFmtId="0" fontId="70" fillId="0" borderId="118" xfId="0" applyFont="1" applyBorder="1" applyAlignment="1" applyProtection="1">
      <alignment vertical="center"/>
      <protection locked="0"/>
    </xf>
    <xf numFmtId="0" fontId="70" fillId="10" borderId="26" xfId="0" applyFont="1" applyFill="1" applyBorder="1" applyAlignment="1" applyProtection="1">
      <alignment vertical="center"/>
      <protection locked="0"/>
    </xf>
    <xf numFmtId="0" fontId="70" fillId="10" borderId="113" xfId="0" applyFont="1" applyFill="1" applyBorder="1" applyAlignment="1" applyProtection="1">
      <alignment vertical="center"/>
      <protection locked="0"/>
    </xf>
    <xf numFmtId="0" fontId="70" fillId="10" borderId="114" xfId="0" applyFont="1" applyFill="1" applyBorder="1" applyAlignment="1" applyProtection="1">
      <alignment vertical="center"/>
      <protection locked="0"/>
    </xf>
    <xf numFmtId="0" fontId="70" fillId="0" borderId="121" xfId="0" applyFont="1" applyBorder="1" applyAlignment="1" applyProtection="1">
      <alignment vertical="center"/>
      <protection locked="0"/>
    </xf>
    <xf numFmtId="0" fontId="70" fillId="10" borderId="64" xfId="0" applyFont="1" applyFill="1" applyBorder="1" applyAlignment="1" applyProtection="1">
      <alignment vertical="center"/>
      <protection locked="0"/>
    </xf>
    <xf numFmtId="0" fontId="70" fillId="0" borderId="113" xfId="0" applyFont="1" applyBorder="1" applyAlignment="1">
      <alignment vertical="center"/>
    </xf>
    <xf numFmtId="0" fontId="70" fillId="0" borderId="121" xfId="0" applyFont="1" applyBorder="1" applyAlignment="1">
      <alignment vertical="center"/>
    </xf>
    <xf numFmtId="0" fontId="70" fillId="0" borderId="64" xfId="0" applyFont="1" applyBorder="1" applyAlignment="1">
      <alignment vertical="center"/>
    </xf>
    <xf numFmtId="0" fontId="70" fillId="0" borderId="114" xfId="0" applyFont="1" applyBorder="1" applyAlignment="1">
      <alignment vertical="center"/>
    </xf>
    <xf numFmtId="0" fontId="70" fillId="0" borderId="70" xfId="0" applyFont="1" applyBorder="1" applyAlignment="1" applyProtection="1">
      <alignment vertical="center" wrapText="1"/>
      <protection locked="0"/>
    </xf>
    <xf numFmtId="0" fontId="70" fillId="0" borderId="16" xfId="0" applyFont="1" applyBorder="1" applyAlignment="1" applyProtection="1">
      <alignment vertical="center"/>
      <protection locked="0"/>
    </xf>
    <xf numFmtId="0" fontId="70" fillId="0" borderId="23" xfId="0" applyFont="1" applyBorder="1" applyAlignment="1" applyProtection="1">
      <alignment vertical="center"/>
      <protection locked="0"/>
    </xf>
    <xf numFmtId="0" fontId="70" fillId="0" borderId="159" xfId="0" applyFont="1" applyBorder="1" applyAlignment="1" applyProtection="1">
      <alignment vertical="center"/>
      <protection locked="0"/>
    </xf>
    <xf numFmtId="0" fontId="70" fillId="10" borderId="89" xfId="0" applyFont="1" applyFill="1" applyBorder="1" applyAlignment="1" applyProtection="1">
      <alignment vertical="center"/>
      <protection locked="0"/>
    </xf>
    <xf numFmtId="0" fontId="70" fillId="10" borderId="112" xfId="0" applyFont="1" applyFill="1" applyBorder="1" applyAlignment="1" applyProtection="1">
      <alignment vertical="center"/>
      <protection locked="0"/>
    </xf>
    <xf numFmtId="0" fontId="70" fillId="0" borderId="110" xfId="0" applyFont="1" applyBorder="1" applyAlignment="1" applyProtection="1">
      <alignment vertical="center"/>
      <protection locked="0"/>
    </xf>
    <xf numFmtId="0" fontId="70" fillId="0" borderId="89" xfId="0" applyFont="1" applyBorder="1" applyAlignment="1">
      <alignment vertical="center"/>
    </xf>
    <xf numFmtId="0" fontId="70" fillId="0" borderId="110" xfId="0" applyFont="1" applyBorder="1" applyAlignment="1">
      <alignment vertical="center"/>
    </xf>
    <xf numFmtId="0" fontId="70" fillId="0" borderId="159" xfId="0" applyFont="1" applyBorder="1" applyAlignment="1">
      <alignment vertical="center"/>
    </xf>
    <xf numFmtId="0" fontId="70" fillId="0" borderId="73" xfId="0" applyFont="1" applyBorder="1" applyAlignment="1" applyProtection="1">
      <alignment horizontal="center" vertical="center"/>
      <protection locked="0"/>
    </xf>
    <xf numFmtId="0" fontId="70" fillId="0" borderId="70" xfId="0" applyFont="1" applyBorder="1" applyAlignment="1" applyProtection="1">
      <alignment horizontal="left" vertical="center"/>
      <protection locked="0"/>
    </xf>
    <xf numFmtId="0" fontId="70" fillId="0" borderId="64" xfId="0" applyFont="1" applyBorder="1" applyAlignment="1" applyProtection="1">
      <alignment horizontal="left" vertical="center"/>
      <protection locked="0"/>
    </xf>
    <xf numFmtId="0" fontId="70" fillId="0" borderId="26" xfId="0" applyFont="1" applyBorder="1" applyAlignment="1" applyProtection="1">
      <alignment vertical="center"/>
      <protection locked="0"/>
    </xf>
    <xf numFmtId="0" fontId="70" fillId="10" borderId="20" xfId="0" applyFont="1" applyFill="1" applyBorder="1" applyAlignment="1" applyProtection="1">
      <alignment vertical="center"/>
      <protection locked="0"/>
    </xf>
    <xf numFmtId="0" fontId="70" fillId="10" borderId="23" xfId="0" applyFont="1" applyFill="1" applyBorder="1" applyAlignment="1" applyProtection="1">
      <alignment vertical="center"/>
      <protection locked="0"/>
    </xf>
    <xf numFmtId="0" fontId="70" fillId="10" borderId="49" xfId="0" applyFont="1" applyFill="1" applyBorder="1" applyAlignment="1" applyProtection="1">
      <alignment vertical="center"/>
      <protection locked="0"/>
    </xf>
    <xf numFmtId="0" fontId="70" fillId="0" borderId="119" xfId="0" applyFont="1" applyBorder="1" applyAlignment="1" applyProtection="1">
      <alignment vertical="center"/>
      <protection locked="0"/>
    </xf>
    <xf numFmtId="0" fontId="70" fillId="0" borderId="120" xfId="0" applyFont="1" applyBorder="1" applyAlignment="1" applyProtection="1">
      <alignment vertical="center"/>
      <protection locked="0"/>
    </xf>
    <xf numFmtId="0" fontId="70" fillId="0" borderId="99" xfId="0" applyFont="1" applyBorder="1" applyAlignment="1" applyProtection="1">
      <alignment vertical="center"/>
      <protection locked="0"/>
    </xf>
    <xf numFmtId="0" fontId="70" fillId="0" borderId="101" xfId="0" applyFont="1" applyBorder="1" applyAlignment="1" applyProtection="1">
      <alignment vertical="center"/>
      <protection locked="0"/>
    </xf>
    <xf numFmtId="0" fontId="70" fillId="10" borderId="102" xfId="0" applyFont="1" applyFill="1" applyBorder="1" applyAlignment="1" applyProtection="1">
      <alignment vertical="center"/>
      <protection locked="0"/>
    </xf>
    <xf numFmtId="0" fontId="70" fillId="10" borderId="101" xfId="0" applyFont="1" applyFill="1" applyBorder="1" applyAlignment="1" applyProtection="1">
      <alignment vertical="center"/>
      <protection locked="0"/>
    </xf>
    <xf numFmtId="0" fontId="70" fillId="0" borderId="106" xfId="0" applyFont="1" applyBorder="1" applyAlignment="1" applyProtection="1">
      <alignment vertical="center"/>
      <protection locked="0"/>
    </xf>
    <xf numFmtId="0" fontId="70" fillId="10" borderId="105" xfId="0" applyFont="1" applyFill="1" applyBorder="1" applyAlignment="1" applyProtection="1">
      <alignment vertical="center"/>
      <protection locked="0"/>
    </xf>
    <xf numFmtId="0" fontId="70" fillId="0" borderId="104" xfId="0" applyFont="1" applyBorder="1" applyAlignment="1" applyProtection="1">
      <alignment vertical="center"/>
      <protection locked="0"/>
    </xf>
    <xf numFmtId="0" fontId="70" fillId="0" borderId="101" xfId="0" applyFont="1" applyBorder="1" applyAlignment="1">
      <alignment vertical="center"/>
    </xf>
    <xf numFmtId="0" fontId="70" fillId="0" borderId="106" xfId="0" applyFont="1" applyBorder="1" applyAlignment="1">
      <alignment vertical="center"/>
    </xf>
    <xf numFmtId="0" fontId="70" fillId="0" borderId="105" xfId="0" applyFont="1" applyBorder="1" applyAlignment="1">
      <alignment vertical="center"/>
    </xf>
    <xf numFmtId="0" fontId="70" fillId="0" borderId="104" xfId="0" applyFont="1" applyBorder="1" applyAlignment="1">
      <alignment vertical="center"/>
    </xf>
    <xf numFmtId="0" fontId="70" fillId="0" borderId="122" xfId="0" applyFont="1" applyBorder="1" applyAlignment="1" applyProtection="1">
      <alignment vertical="center"/>
      <protection locked="0"/>
    </xf>
    <xf numFmtId="0" fontId="59" fillId="0" borderId="63" xfId="0" applyFont="1" applyBorder="1" applyAlignment="1" applyProtection="1">
      <alignment vertical="center"/>
      <protection locked="0"/>
    </xf>
    <xf numFmtId="0" fontId="70" fillId="0" borderId="63" xfId="0" applyFont="1" applyBorder="1" applyAlignment="1" applyProtection="1">
      <alignment vertical="center"/>
      <protection locked="0"/>
    </xf>
    <xf numFmtId="0" fontId="70" fillId="10" borderId="84" xfId="0" applyFont="1" applyFill="1" applyBorder="1" applyAlignment="1" applyProtection="1">
      <alignment horizontal="left" vertical="center"/>
      <protection locked="0"/>
    </xf>
    <xf numFmtId="0" fontId="70" fillId="10" borderId="86" xfId="0" applyFont="1" applyFill="1" applyBorder="1" applyAlignment="1" applyProtection="1">
      <alignment horizontal="left" vertical="center"/>
      <protection locked="0"/>
    </xf>
    <xf numFmtId="0" fontId="70" fillId="0" borderId="160" xfId="0" applyFont="1" applyBorder="1" applyAlignment="1" applyProtection="1">
      <alignment vertical="center"/>
      <protection locked="0"/>
    </xf>
    <xf numFmtId="0" fontId="70" fillId="0" borderId="161" xfId="0" applyFont="1" applyBorder="1" applyAlignment="1" applyProtection="1">
      <alignment vertical="center"/>
      <protection locked="0"/>
    </xf>
    <xf numFmtId="0" fontId="70" fillId="0" borderId="162" xfId="0" applyFont="1" applyBorder="1" applyAlignment="1" applyProtection="1">
      <alignment vertical="center"/>
      <protection locked="0"/>
    </xf>
    <xf numFmtId="0" fontId="59" fillId="0" borderId="8" xfId="0" applyFont="1" applyBorder="1" applyAlignment="1" applyProtection="1">
      <alignment vertical="center"/>
      <protection locked="0"/>
    </xf>
    <xf numFmtId="0" fontId="70" fillId="0" borderId="140" xfId="0" applyFont="1" applyBorder="1" applyAlignment="1" applyProtection="1">
      <alignment vertical="center"/>
      <protection locked="0"/>
    </xf>
    <xf numFmtId="0" fontId="70" fillId="10" borderId="91" xfId="0" applyFont="1" applyFill="1" applyBorder="1" applyAlignment="1" applyProtection="1">
      <alignment horizontal="left" vertical="center"/>
      <protection locked="0"/>
    </xf>
    <xf numFmtId="0" fontId="70" fillId="10" borderId="92" xfId="0" applyFont="1" applyFill="1" applyBorder="1" applyAlignment="1" applyProtection="1">
      <alignment horizontal="left" vertical="center"/>
      <protection locked="0"/>
    </xf>
    <xf numFmtId="0" fontId="70" fillId="0" borderId="152" xfId="0" applyFont="1" applyBorder="1" applyAlignment="1" applyProtection="1">
      <alignment vertical="center"/>
      <protection locked="0"/>
    </xf>
    <xf numFmtId="0" fontId="70" fillId="0" borderId="163" xfId="0" applyFont="1" applyBorder="1" applyAlignment="1" applyProtection="1">
      <alignment vertical="center"/>
      <protection locked="0"/>
    </xf>
    <xf numFmtId="0" fontId="70" fillId="0" borderId="164" xfId="0" applyFont="1" applyBorder="1" applyAlignment="1" applyProtection="1">
      <alignment vertical="center"/>
      <protection locked="0"/>
    </xf>
    <xf numFmtId="0" fontId="70" fillId="0" borderId="124" xfId="0" applyFont="1" applyBorder="1" applyAlignment="1" applyProtection="1">
      <alignment vertical="center"/>
      <protection locked="0"/>
    </xf>
    <xf numFmtId="0" fontId="59" fillId="0" borderId="17" xfId="0" applyFont="1" applyBorder="1" applyAlignment="1" applyProtection="1">
      <alignment vertical="center"/>
      <protection locked="0"/>
    </xf>
    <xf numFmtId="0" fontId="70" fillId="0" borderId="98" xfId="0" applyFont="1" applyBorder="1" applyAlignment="1" applyProtection="1">
      <alignment vertical="center"/>
      <protection locked="0"/>
    </xf>
    <xf numFmtId="0" fontId="70" fillId="0" borderId="100" xfId="0" applyFont="1" applyBorder="1" applyAlignment="1" applyProtection="1">
      <alignment vertical="center"/>
      <protection locked="0"/>
    </xf>
    <xf numFmtId="0" fontId="70" fillId="10" borderId="101" xfId="0" applyFont="1" applyFill="1" applyBorder="1" applyAlignment="1" applyProtection="1">
      <alignment horizontal="left" vertical="center"/>
      <protection locked="0"/>
    </xf>
    <xf numFmtId="0" fontId="70" fillId="10" borderId="102" xfId="0" applyFont="1" applyFill="1" applyBorder="1" applyAlignment="1" applyProtection="1">
      <alignment horizontal="left" vertical="center"/>
      <protection locked="0"/>
    </xf>
    <xf numFmtId="0" fontId="70" fillId="0" borderId="153" xfId="0" applyFont="1" applyBorder="1" applyAlignment="1" applyProtection="1">
      <alignment vertical="center"/>
      <protection locked="0"/>
    </xf>
    <xf numFmtId="0" fontId="70" fillId="0" borderId="165" xfId="0" applyFont="1" applyBorder="1" applyAlignment="1" applyProtection="1">
      <alignment vertical="center"/>
      <protection locked="0"/>
    </xf>
    <xf numFmtId="0" fontId="70" fillId="0" borderId="166" xfId="0" applyFont="1" applyBorder="1" applyAlignment="1" applyProtection="1">
      <alignment vertical="center"/>
      <protection locked="0"/>
    </xf>
    <xf numFmtId="0" fontId="70" fillId="0" borderId="82" xfId="0" applyFont="1" applyBorder="1" applyAlignment="1" applyProtection="1">
      <alignment horizontal="left" vertical="center"/>
      <protection locked="0"/>
    </xf>
    <xf numFmtId="0" fontId="70" fillId="0" borderId="85" xfId="0" applyFont="1" applyBorder="1" applyAlignment="1" applyProtection="1">
      <alignment vertical="center"/>
      <protection locked="0"/>
    </xf>
    <xf numFmtId="0" fontId="70" fillId="0" borderId="85" xfId="0" applyFont="1" applyBorder="1" applyAlignment="1" applyProtection="1">
      <alignment horizontal="left" vertical="center"/>
      <protection locked="0"/>
    </xf>
    <xf numFmtId="0" fontId="70" fillId="0" borderId="86" xfId="0" applyFont="1" applyBorder="1" applyAlignment="1" applyProtection="1">
      <alignment horizontal="left" vertical="center"/>
      <protection locked="0"/>
    </xf>
    <xf numFmtId="0" fontId="70" fillId="0" borderId="81" xfId="0" applyFont="1" applyBorder="1" applyAlignment="1" applyProtection="1">
      <alignment horizontal="center" vertical="center" shrinkToFit="1"/>
      <protection locked="0"/>
    </xf>
    <xf numFmtId="0" fontId="70" fillId="0" borderId="167" xfId="0" applyFont="1" applyBorder="1" applyAlignment="1" applyProtection="1">
      <alignment horizontal="center" vertical="center" shrinkToFit="1"/>
      <protection locked="0"/>
    </xf>
    <xf numFmtId="0" fontId="70" fillId="0" borderId="84" xfId="0" applyFont="1" applyBorder="1" applyAlignment="1" applyProtection="1">
      <alignment horizontal="center" vertical="center"/>
      <protection locked="0"/>
    </xf>
    <xf numFmtId="0" fontId="70" fillId="0" borderId="168" xfId="0" applyFont="1" applyBorder="1" applyAlignment="1" applyProtection="1">
      <alignment horizontal="center" vertical="center" shrinkToFit="1"/>
      <protection locked="0"/>
    </xf>
    <xf numFmtId="0" fontId="70" fillId="0" borderId="141" xfId="0" applyFont="1" applyBorder="1" applyAlignment="1" applyProtection="1">
      <alignment horizontal="center" vertical="center" shrinkToFit="1"/>
      <protection locked="0"/>
    </xf>
    <xf numFmtId="0" fontId="70" fillId="0" borderId="84" xfId="0" applyFont="1" applyBorder="1" applyAlignment="1">
      <alignment horizontal="center" vertical="center"/>
    </xf>
    <xf numFmtId="0" fontId="70" fillId="0" borderId="168" xfId="0" applyFont="1" applyBorder="1" applyAlignment="1">
      <alignment horizontal="center" vertical="center" shrinkToFit="1"/>
    </xf>
    <xf numFmtId="0" fontId="70" fillId="0" borderId="141" xfId="0" applyFont="1" applyBorder="1" applyAlignment="1">
      <alignment horizontal="center" vertical="center" shrinkToFit="1"/>
    </xf>
    <xf numFmtId="0" fontId="70" fillId="0" borderId="125" xfId="0" applyFont="1" applyBorder="1" applyAlignment="1" applyProtection="1">
      <alignment vertical="top"/>
      <protection locked="0"/>
    </xf>
    <xf numFmtId="0" fontId="70" fillId="10" borderId="66" xfId="0" applyFont="1" applyFill="1" applyBorder="1" applyAlignment="1" applyProtection="1">
      <alignment vertical="center"/>
      <protection locked="0"/>
    </xf>
    <xf numFmtId="0" fontId="70" fillId="10" borderId="66" xfId="0" applyFont="1" applyFill="1" applyBorder="1" applyAlignment="1" applyProtection="1">
      <alignment horizontal="left" vertical="center"/>
      <protection locked="0"/>
    </xf>
    <xf numFmtId="0" fontId="70" fillId="10" borderId="126" xfId="0" applyFont="1" applyFill="1" applyBorder="1" applyAlignment="1" applyProtection="1">
      <alignment horizontal="left" vertical="center"/>
      <protection locked="0"/>
    </xf>
    <xf numFmtId="0" fontId="70" fillId="0" borderId="139" xfId="0" applyFont="1" applyBorder="1" applyAlignment="1" applyProtection="1">
      <alignment horizontal="left" vertical="center"/>
      <protection locked="0"/>
    </xf>
    <xf numFmtId="0" fontId="70" fillId="0" borderId="123" xfId="0" applyFont="1" applyBorder="1" applyAlignment="1" applyProtection="1">
      <alignment horizontal="left" vertical="center"/>
      <protection locked="0"/>
    </xf>
    <xf numFmtId="0" fontId="70" fillId="10" borderId="125" xfId="0" applyFont="1" applyFill="1" applyBorder="1" applyAlignment="1" applyProtection="1">
      <alignment vertical="center"/>
      <protection locked="0"/>
    </xf>
    <xf numFmtId="0" fontId="70" fillId="0" borderId="131" xfId="0" applyFont="1" applyBorder="1" applyAlignment="1" applyProtection="1">
      <alignment vertical="center"/>
      <protection locked="0"/>
    </xf>
    <xf numFmtId="0" fontId="70" fillId="0" borderId="125" xfId="0" applyFont="1" applyBorder="1" applyAlignment="1">
      <alignment vertical="center"/>
    </xf>
    <xf numFmtId="0" fontId="70" fillId="0" borderId="66" xfId="0" applyFont="1" applyBorder="1" applyAlignment="1">
      <alignment vertical="center"/>
    </xf>
    <xf numFmtId="0" fontId="70" fillId="0" borderId="131" xfId="0" applyFont="1" applyBorder="1" applyAlignment="1">
      <alignment vertical="center"/>
    </xf>
    <xf numFmtId="0" fontId="70" fillId="0" borderId="127" xfId="0" applyFont="1" applyBorder="1" applyAlignment="1" applyProtection="1">
      <alignment vertical="top"/>
      <protection locked="0"/>
    </xf>
    <xf numFmtId="0" fontId="70" fillId="10" borderId="65" xfId="0" applyFont="1" applyFill="1" applyBorder="1" applyAlignment="1" applyProtection="1">
      <alignment vertical="center"/>
      <protection locked="0"/>
    </xf>
    <xf numFmtId="0" fontId="70" fillId="10" borderId="65" xfId="0" applyFont="1" applyFill="1" applyBorder="1" applyAlignment="1" applyProtection="1">
      <alignment horizontal="left" vertical="center"/>
      <protection locked="0"/>
    </xf>
    <xf numFmtId="0" fontId="70" fillId="10" borderId="128" xfId="0" applyFont="1" applyFill="1" applyBorder="1" applyAlignment="1" applyProtection="1">
      <alignment horizontal="left" vertical="center"/>
      <protection locked="0"/>
    </xf>
    <xf numFmtId="0" fontId="70" fillId="0" borderId="94" xfId="0" applyFont="1" applyBorder="1" applyAlignment="1" applyProtection="1">
      <alignment horizontal="left" vertical="center"/>
      <protection locked="0"/>
    </xf>
    <xf numFmtId="0" fontId="70" fillId="0" borderId="95" xfId="0" applyFont="1" applyBorder="1" applyAlignment="1" applyProtection="1">
      <alignment horizontal="left" vertical="center"/>
      <protection locked="0"/>
    </xf>
    <xf numFmtId="0" fontId="70" fillId="10" borderId="127" xfId="0" applyFont="1" applyFill="1" applyBorder="1" applyAlignment="1" applyProtection="1">
      <alignment vertical="center"/>
      <protection locked="0"/>
    </xf>
    <xf numFmtId="0" fontId="70" fillId="0" borderId="132" xfId="0" applyFont="1" applyBorder="1" applyAlignment="1" applyProtection="1">
      <alignment vertical="center"/>
      <protection locked="0"/>
    </xf>
    <xf numFmtId="0" fontId="70" fillId="0" borderId="169" xfId="0" applyFont="1" applyBorder="1" applyAlignment="1">
      <alignment vertical="center"/>
    </xf>
    <xf numFmtId="0" fontId="70" fillId="0" borderId="134" xfId="0" applyFont="1" applyBorder="1" applyAlignment="1">
      <alignment vertical="center"/>
    </xf>
    <xf numFmtId="0" fontId="70" fillId="0" borderId="170" xfId="0" applyFont="1" applyBorder="1" applyAlignment="1">
      <alignment vertical="center"/>
    </xf>
    <xf numFmtId="0" fontId="70" fillId="0" borderId="65" xfId="0" applyFont="1" applyBorder="1" applyAlignment="1">
      <alignment vertical="center"/>
    </xf>
    <xf numFmtId="0" fontId="70" fillId="0" borderId="132" xfId="0" applyFont="1" applyBorder="1" applyAlignment="1">
      <alignment vertical="center"/>
    </xf>
    <xf numFmtId="0" fontId="70" fillId="0" borderId="127" xfId="0" applyFont="1" applyBorder="1" applyAlignment="1">
      <alignment vertical="center"/>
    </xf>
    <xf numFmtId="0" fontId="70" fillId="0" borderId="171" xfId="0" applyFont="1" applyBorder="1" applyAlignment="1" applyProtection="1">
      <alignment horizontal="left" vertical="center"/>
      <protection locked="0"/>
    </xf>
    <xf numFmtId="0" fontId="70" fillId="0" borderId="131" xfId="0" applyFont="1" applyBorder="1" applyAlignment="1" applyProtection="1">
      <alignment horizontal="left" vertical="center"/>
      <protection locked="0"/>
    </xf>
    <xf numFmtId="0" fontId="70" fillId="10" borderId="134" xfId="0" applyFont="1" applyFill="1" applyBorder="1" applyAlignment="1" applyProtection="1">
      <alignment vertical="center"/>
      <protection locked="0"/>
    </xf>
    <xf numFmtId="0" fontId="70" fillId="10" borderId="129" xfId="0" applyFont="1" applyFill="1" applyBorder="1" applyAlignment="1" applyProtection="1">
      <alignment horizontal="left" vertical="center"/>
      <protection locked="0"/>
    </xf>
    <xf numFmtId="0" fontId="70" fillId="0" borderId="172" xfId="0" applyFont="1" applyBorder="1" applyAlignment="1" applyProtection="1">
      <alignment horizontal="left" vertical="center"/>
      <protection locked="0"/>
    </xf>
    <xf numFmtId="0" fontId="70" fillId="0" borderId="159" xfId="0" applyFont="1" applyBorder="1" applyAlignment="1" applyProtection="1">
      <alignment horizontal="left" vertical="center"/>
      <protection locked="0"/>
    </xf>
    <xf numFmtId="0" fontId="70" fillId="10" borderId="169" xfId="0" applyFont="1" applyFill="1" applyBorder="1" applyAlignment="1" applyProtection="1">
      <alignment vertical="center"/>
      <protection locked="0"/>
    </xf>
    <xf numFmtId="0" fontId="70" fillId="0" borderId="170" xfId="0" applyFont="1" applyBorder="1" applyAlignment="1" applyProtection="1">
      <alignment vertical="center"/>
      <protection locked="0"/>
    </xf>
    <xf numFmtId="0" fontId="70" fillId="0" borderId="130" xfId="0" applyFont="1" applyBorder="1" applyAlignment="1" applyProtection="1">
      <alignment vertical="top"/>
      <protection locked="0"/>
    </xf>
    <xf numFmtId="0" fontId="70" fillId="10" borderId="67" xfId="0" applyFont="1" applyFill="1" applyBorder="1" applyAlignment="1" applyProtection="1">
      <alignment vertical="center"/>
      <protection locked="0"/>
    </xf>
    <xf numFmtId="0" fontId="70" fillId="10" borderId="67" xfId="0" applyFont="1" applyFill="1" applyBorder="1" applyAlignment="1" applyProtection="1">
      <alignment horizontal="left" vertical="center"/>
      <protection locked="0"/>
    </xf>
    <xf numFmtId="0" fontId="70" fillId="0" borderId="130" xfId="0" applyFont="1" applyBorder="1" applyAlignment="1">
      <alignment vertical="center"/>
    </xf>
    <xf numFmtId="0" fontId="70" fillId="0" borderId="67" xfId="0" applyFont="1" applyBorder="1" applyAlignment="1">
      <alignment vertical="center"/>
    </xf>
    <xf numFmtId="0" fontId="70" fillId="0" borderId="135" xfId="0" applyFont="1" applyBorder="1" applyAlignment="1">
      <alignment vertical="center"/>
    </xf>
    <xf numFmtId="0" fontId="70" fillId="0" borderId="173" xfId="0" applyFont="1" applyBorder="1" applyAlignment="1" applyProtection="1">
      <alignment vertical="center"/>
      <protection locked="0"/>
    </xf>
    <xf numFmtId="0" fontId="70" fillId="10" borderId="126" xfId="0" applyFont="1" applyFill="1" applyBorder="1" applyAlignment="1" applyProtection="1">
      <alignment vertical="center"/>
      <protection locked="0"/>
    </xf>
    <xf numFmtId="0" fontId="70" fillId="0" borderId="173" xfId="0" applyFont="1" applyBorder="1" applyAlignment="1">
      <alignment vertical="center"/>
    </xf>
    <xf numFmtId="0" fontId="70" fillId="0" borderId="126" xfId="0" applyFont="1" applyBorder="1" applyAlignment="1">
      <alignment vertical="center"/>
    </xf>
    <xf numFmtId="0" fontId="70" fillId="0" borderId="132" xfId="0" applyFont="1" applyBorder="1" applyAlignment="1" applyProtection="1">
      <alignment horizontal="left" vertical="center"/>
      <protection locked="0"/>
    </xf>
    <xf numFmtId="0" fontId="70" fillId="0" borderId="174" xfId="0" applyFont="1" applyBorder="1" applyAlignment="1" applyProtection="1">
      <alignment vertical="center"/>
      <protection locked="0"/>
    </xf>
    <xf numFmtId="0" fontId="70" fillId="10" borderId="128" xfId="0" applyFont="1" applyFill="1" applyBorder="1" applyAlignment="1" applyProtection="1">
      <alignment vertical="center"/>
      <protection locked="0"/>
    </xf>
    <xf numFmtId="0" fontId="70" fillId="0" borderId="174" xfId="0" applyFont="1" applyBorder="1" applyAlignment="1">
      <alignment vertical="center"/>
    </xf>
    <xf numFmtId="0" fontId="70" fillId="0" borderId="128" xfId="0" applyFont="1" applyBorder="1" applyAlignment="1">
      <alignment vertical="center"/>
    </xf>
    <xf numFmtId="0" fontId="70" fillId="10" borderId="69" xfId="0" applyFont="1" applyFill="1" applyBorder="1" applyAlignment="1" applyProtection="1">
      <alignment vertical="center"/>
      <protection locked="0"/>
    </xf>
    <xf numFmtId="0" fontId="70" fillId="0" borderId="133" xfId="0" applyFont="1" applyBorder="1" applyAlignment="1" applyProtection="1">
      <alignment horizontal="left" vertical="center"/>
      <protection locked="0"/>
    </xf>
    <xf numFmtId="0" fontId="70" fillId="10" borderId="137" xfId="0" applyFont="1" applyFill="1" applyBorder="1" applyAlignment="1" applyProtection="1">
      <alignment vertical="center"/>
      <protection locked="0"/>
    </xf>
    <xf numFmtId="0" fontId="70" fillId="0" borderId="175" xfId="0" applyFont="1" applyBorder="1" applyAlignment="1" applyProtection="1">
      <alignment vertical="center"/>
      <protection locked="0"/>
    </xf>
    <xf numFmtId="0" fontId="70" fillId="10" borderId="176" xfId="0" applyFont="1" applyFill="1" applyBorder="1" applyAlignment="1" applyProtection="1">
      <alignment vertical="center"/>
      <protection locked="0"/>
    </xf>
    <xf numFmtId="0" fontId="70" fillId="0" borderId="137" xfId="0" applyFont="1" applyBorder="1" applyAlignment="1">
      <alignment vertical="center"/>
    </xf>
    <xf numFmtId="0" fontId="70" fillId="0" borderId="175" xfId="0" applyFont="1" applyBorder="1" applyAlignment="1">
      <alignment vertical="center"/>
    </xf>
    <xf numFmtId="0" fontId="70" fillId="0" borderId="69" xfId="0" applyFont="1" applyBorder="1" applyAlignment="1">
      <alignment vertical="center"/>
    </xf>
    <xf numFmtId="0" fontId="70" fillId="0" borderId="176" xfId="0" applyFont="1" applyBorder="1" applyAlignment="1">
      <alignment vertical="center"/>
    </xf>
    <xf numFmtId="0" fontId="70" fillId="0" borderId="135" xfId="0" applyFont="1" applyBorder="1" applyAlignment="1" applyProtection="1">
      <alignment horizontal="left" vertical="center"/>
      <protection locked="0"/>
    </xf>
    <xf numFmtId="0" fontId="70" fillId="10" borderId="130" xfId="0" applyFont="1" applyFill="1" applyBorder="1" applyAlignment="1" applyProtection="1">
      <alignment vertical="center"/>
      <protection locked="0"/>
    </xf>
    <xf numFmtId="0" fontId="70" fillId="0" borderId="177" xfId="0" applyFont="1" applyBorder="1" applyAlignment="1" applyProtection="1">
      <alignment vertical="center"/>
      <protection locked="0"/>
    </xf>
    <xf numFmtId="0" fontId="70" fillId="10" borderId="145" xfId="0" applyFont="1" applyFill="1" applyBorder="1" applyAlignment="1" applyProtection="1">
      <alignment vertical="center"/>
      <protection locked="0"/>
    </xf>
    <xf numFmtId="0" fontId="70" fillId="0" borderId="177" xfId="0" applyFont="1" applyBorder="1" applyAlignment="1">
      <alignment vertical="center"/>
    </xf>
    <xf numFmtId="0" fontId="70" fillId="0" borderId="145" xfId="0" applyFont="1" applyBorder="1" applyAlignment="1">
      <alignment vertical="center"/>
    </xf>
    <xf numFmtId="0" fontId="70" fillId="10" borderId="70" xfId="0" applyFont="1" applyFill="1" applyBorder="1" applyAlignment="1" applyProtection="1">
      <alignment vertical="center"/>
      <protection locked="0"/>
    </xf>
    <xf numFmtId="0" fontId="70" fillId="0" borderId="136" xfId="0" applyFont="1" applyBorder="1" applyAlignment="1" applyProtection="1">
      <alignment horizontal="left" vertical="center"/>
      <protection locked="0"/>
    </xf>
    <xf numFmtId="0" fontId="70" fillId="10" borderId="117" xfId="0" applyFont="1" applyFill="1" applyBorder="1" applyAlignment="1" applyProtection="1">
      <alignment vertical="center"/>
      <protection locked="0"/>
    </xf>
    <xf numFmtId="0" fontId="70" fillId="0" borderId="178" xfId="0" applyFont="1" applyBorder="1" applyAlignment="1" applyProtection="1">
      <alignment vertical="center"/>
      <protection locked="0"/>
    </xf>
    <xf numFmtId="0" fontId="70" fillId="10" borderId="157" xfId="0" applyFont="1" applyFill="1" applyBorder="1" applyAlignment="1" applyProtection="1">
      <alignment vertical="center"/>
      <protection locked="0"/>
    </xf>
    <xf numFmtId="0" fontId="70" fillId="0" borderId="117" xfId="0" applyFont="1" applyBorder="1" applyAlignment="1">
      <alignment vertical="center"/>
    </xf>
    <xf numFmtId="0" fontId="70" fillId="0" borderId="178" xfId="0" applyFont="1" applyBorder="1" applyAlignment="1">
      <alignment vertical="center"/>
    </xf>
    <xf numFmtId="0" fontId="70" fillId="0" borderId="70" xfId="0" applyFont="1" applyBorder="1" applyAlignment="1">
      <alignment vertical="center"/>
    </xf>
    <xf numFmtId="0" fontId="70" fillId="0" borderId="157" xfId="0" applyFont="1" applyBorder="1" applyAlignment="1">
      <alignment vertical="center"/>
    </xf>
    <xf numFmtId="0" fontId="70" fillId="0" borderId="135" xfId="0" applyFont="1" applyBorder="1" applyAlignment="1" applyProtection="1">
      <alignment vertical="center"/>
      <protection locked="0"/>
    </xf>
    <xf numFmtId="0" fontId="70" fillId="0" borderId="137" xfId="0" applyFont="1" applyBorder="1" applyAlignment="1" applyProtection="1">
      <alignment vertical="top"/>
      <protection locked="0"/>
    </xf>
    <xf numFmtId="0" fontId="70" fillId="0" borderId="179" xfId="0" applyFont="1" applyBorder="1" applyAlignment="1" applyProtection="1">
      <alignment horizontal="left" vertical="center"/>
      <protection locked="0"/>
    </xf>
    <xf numFmtId="0" fontId="70" fillId="0" borderId="118" xfId="0" applyFont="1" applyBorder="1" applyAlignment="1" applyProtection="1">
      <alignment horizontal="left" vertical="center"/>
      <protection locked="0"/>
    </xf>
    <xf numFmtId="0" fontId="70" fillId="10" borderId="147" xfId="0" applyFont="1" applyFill="1" applyBorder="1" applyAlignment="1" applyProtection="1">
      <alignment vertical="center"/>
      <protection locked="0"/>
    </xf>
    <xf numFmtId="0" fontId="70" fillId="0" borderId="180" xfId="0" applyFont="1" applyBorder="1" applyAlignment="1" applyProtection="1">
      <alignment vertical="center"/>
      <protection locked="0"/>
    </xf>
    <xf numFmtId="0" fontId="70" fillId="0" borderId="181" xfId="0" applyFont="1" applyBorder="1" applyAlignment="1" applyProtection="1">
      <alignment vertical="center"/>
      <protection locked="0"/>
    </xf>
    <xf numFmtId="0" fontId="70" fillId="0" borderId="147" xfId="0" applyFont="1" applyBorder="1" applyAlignment="1">
      <alignment vertical="center"/>
    </xf>
    <xf numFmtId="0" fontId="70" fillId="0" borderId="180" xfId="0" applyFont="1" applyBorder="1" applyAlignment="1">
      <alignment vertical="center"/>
    </xf>
    <xf numFmtId="0" fontId="70" fillId="0" borderId="181" xfId="0" applyFont="1" applyBorder="1" applyAlignment="1">
      <alignment vertical="center"/>
    </xf>
    <xf numFmtId="0" fontId="70" fillId="0" borderId="108" xfId="0" applyFont="1" applyBorder="1" applyAlignment="1" applyProtection="1">
      <alignment vertical="center"/>
      <protection locked="0"/>
    </xf>
    <xf numFmtId="0" fontId="70" fillId="0" borderId="182" xfId="0" applyFont="1" applyBorder="1" applyAlignment="1" applyProtection="1">
      <alignment vertical="center"/>
      <protection locked="0"/>
    </xf>
    <xf numFmtId="0" fontId="70" fillId="0" borderId="112" xfId="0" applyFont="1" applyBorder="1" applyAlignment="1" applyProtection="1">
      <alignment vertical="center"/>
      <protection locked="0"/>
    </xf>
    <xf numFmtId="0" fontId="59" fillId="0" borderId="0" xfId="0" applyFont="1" applyAlignment="1" applyProtection="1">
      <alignment vertical="center"/>
      <protection locked="0"/>
    </xf>
    <xf numFmtId="0" fontId="59" fillId="0" borderId="0" xfId="0" applyFont="1" applyProtection="1">
      <protection locked="0"/>
    </xf>
    <xf numFmtId="0" fontId="70" fillId="0" borderId="64" xfId="0" applyFont="1" applyBorder="1" applyAlignment="1" applyProtection="1">
      <alignment vertical="top"/>
      <protection locked="0"/>
    </xf>
    <xf numFmtId="0" fontId="70" fillId="0" borderId="52" xfId="0" applyFont="1" applyBorder="1" applyAlignment="1" applyProtection="1">
      <alignment vertical="top"/>
      <protection locked="0"/>
    </xf>
    <xf numFmtId="0" fontId="70" fillId="0" borderId="8" xfId="0" applyFont="1" applyBorder="1" applyAlignment="1" applyProtection="1">
      <alignment vertical="top"/>
      <protection locked="0"/>
    </xf>
    <xf numFmtId="0" fontId="70" fillId="0" borderId="140" xfId="0" applyFont="1" applyBorder="1" applyAlignment="1" applyProtection="1">
      <alignment vertical="top"/>
      <protection locked="0"/>
    </xf>
    <xf numFmtId="0" fontId="70" fillId="0" borderId="142" xfId="0" applyFont="1" applyBorder="1" applyAlignment="1" applyProtection="1">
      <alignment vertical="center"/>
      <protection locked="0"/>
    </xf>
    <xf numFmtId="0" fontId="70" fillId="0" borderId="70" xfId="0" applyFont="1" applyBorder="1" applyAlignment="1" applyProtection="1">
      <alignment vertical="top"/>
      <protection locked="0"/>
    </xf>
    <xf numFmtId="0" fontId="70" fillId="0" borderId="7" xfId="0" applyFont="1" applyBorder="1" applyAlignment="1" applyProtection="1">
      <alignment vertical="top"/>
      <protection locked="0"/>
    </xf>
    <xf numFmtId="0" fontId="70" fillId="0" borderId="20" xfId="0" applyFont="1" applyBorder="1" applyAlignment="1" applyProtection="1">
      <alignment vertical="top"/>
      <protection locked="0"/>
    </xf>
    <xf numFmtId="0" fontId="70" fillId="0" borderId="16" xfId="0" applyFont="1" applyBorder="1" applyAlignment="1" applyProtection="1">
      <alignment vertical="top"/>
      <protection locked="0"/>
    </xf>
    <xf numFmtId="0" fontId="70" fillId="0" borderId="23" xfId="0" applyFont="1" applyBorder="1" applyAlignment="1" applyProtection="1">
      <alignment vertical="top"/>
      <protection locked="0"/>
    </xf>
    <xf numFmtId="0" fontId="70" fillId="0" borderId="73" xfId="0" applyFont="1" applyBorder="1" applyAlignment="1" applyProtection="1">
      <alignment vertical="top"/>
      <protection locked="0"/>
    </xf>
    <xf numFmtId="0" fontId="70" fillId="10" borderId="52" xfId="0" applyFont="1" applyFill="1" applyBorder="1" applyAlignment="1" applyProtection="1">
      <alignment vertical="top"/>
      <protection locked="0"/>
    </xf>
    <xf numFmtId="0" fontId="59" fillId="0" borderId="140" xfId="0" applyFont="1" applyBorder="1" applyAlignment="1" applyProtection="1">
      <alignment vertical="center"/>
      <protection locked="0"/>
    </xf>
    <xf numFmtId="0" fontId="70" fillId="0" borderId="14" xfId="0" applyFont="1" applyBorder="1" applyAlignment="1" applyProtection="1">
      <alignment vertical="top"/>
      <protection locked="0"/>
    </xf>
    <xf numFmtId="0" fontId="70" fillId="0" borderId="143" xfId="0" applyFont="1" applyBorder="1" applyAlignment="1" applyProtection="1">
      <alignment vertical="top"/>
      <protection locked="0"/>
    </xf>
    <xf numFmtId="0" fontId="70" fillId="0" borderId="154" xfId="0" applyFont="1" applyBorder="1" applyAlignment="1" applyProtection="1">
      <alignment vertical="center"/>
      <protection locked="0"/>
    </xf>
    <xf numFmtId="0" fontId="70" fillId="0" borderId="20" xfId="0" applyFont="1" applyBorder="1" applyAlignment="1" applyProtection="1">
      <alignment vertical="center" wrapText="1"/>
      <protection locked="0"/>
    </xf>
    <xf numFmtId="0" fontId="70" fillId="10" borderId="83" xfId="0" applyFont="1" applyFill="1" applyBorder="1" applyAlignment="1" applyProtection="1">
      <alignment vertical="top"/>
      <protection locked="0"/>
    </xf>
    <xf numFmtId="0" fontId="70" fillId="0" borderId="52" xfId="0" applyFont="1" applyBorder="1" applyAlignment="1" applyProtection="1">
      <alignment vertical="top" wrapText="1"/>
      <protection locked="0"/>
    </xf>
    <xf numFmtId="0" fontId="70" fillId="0" borderId="142" xfId="0" applyFont="1" applyBorder="1" applyAlignment="1" applyProtection="1">
      <alignment vertical="top"/>
      <protection locked="0"/>
    </xf>
    <xf numFmtId="0" fontId="70" fillId="10" borderId="140" xfId="0" applyFont="1" applyFill="1" applyBorder="1" applyAlignment="1" applyProtection="1">
      <alignment vertical="center"/>
      <protection locked="0"/>
    </xf>
    <xf numFmtId="0" fontId="70" fillId="0" borderId="124" xfId="0" applyFont="1" applyBorder="1" applyAlignment="1" applyProtection="1">
      <alignment vertical="top"/>
      <protection locked="0"/>
    </xf>
    <xf numFmtId="0" fontId="70" fillId="0" borderId="99" xfId="0" applyFont="1" applyBorder="1" applyAlignment="1" applyProtection="1">
      <alignment vertical="top"/>
      <protection locked="0"/>
    </xf>
    <xf numFmtId="0" fontId="59" fillId="0" borderId="99" xfId="0" applyFont="1" applyBorder="1" applyAlignment="1" applyProtection="1">
      <alignment vertical="center" wrapText="1"/>
      <protection locked="0"/>
    </xf>
    <xf numFmtId="0" fontId="70" fillId="0" borderId="100" xfId="0" applyFont="1" applyBorder="1" applyAlignment="1" applyProtection="1">
      <alignment vertical="top"/>
      <protection locked="0"/>
    </xf>
    <xf numFmtId="0" fontId="70" fillId="0" borderId="97" xfId="0" applyFont="1" applyBorder="1" applyAlignment="1" applyProtection="1">
      <alignment vertical="center"/>
      <protection locked="0"/>
    </xf>
    <xf numFmtId="0" fontId="59" fillId="0" borderId="97" xfId="0" applyFont="1" applyBorder="1" applyAlignment="1" applyProtection="1">
      <alignment vertical="center"/>
      <protection locked="0"/>
    </xf>
    <xf numFmtId="0" fontId="70" fillId="10" borderId="100" xfId="0" applyFont="1" applyFill="1" applyBorder="1" applyAlignment="1" applyProtection="1">
      <alignment vertical="top"/>
      <protection locked="0"/>
    </xf>
    <xf numFmtId="0" fontId="67" fillId="0" borderId="17" xfId="9" applyFont="1" applyBorder="1" applyAlignment="1" applyProtection="1">
      <alignment vertical="center"/>
      <protection locked="0"/>
    </xf>
    <xf numFmtId="0" fontId="70" fillId="0" borderId="85" xfId="0" applyFont="1" applyBorder="1" applyAlignment="1" applyProtection="1">
      <alignment vertical="top"/>
      <protection locked="0"/>
    </xf>
    <xf numFmtId="0" fontId="59" fillId="0" borderId="85" xfId="0" applyFont="1" applyBorder="1" applyAlignment="1" applyProtection="1">
      <alignment vertical="center"/>
      <protection locked="0"/>
    </xf>
    <xf numFmtId="0" fontId="67" fillId="0" borderId="85" xfId="0" applyFont="1" applyBorder="1" applyAlignment="1" applyProtection="1">
      <alignment vertical="center"/>
      <protection locked="0"/>
    </xf>
    <xf numFmtId="0" fontId="59" fillId="0" borderId="85" xfId="0" applyFont="1" applyBorder="1" applyProtection="1">
      <protection locked="0"/>
    </xf>
    <xf numFmtId="0" fontId="59" fillId="0" borderId="86" xfId="0" applyFont="1" applyBorder="1" applyProtection="1">
      <protection locked="0"/>
    </xf>
    <xf numFmtId="0" fontId="59" fillId="0" borderId="7" xfId="0" applyFont="1" applyBorder="1" applyAlignment="1" applyProtection="1">
      <alignment vertical="center"/>
      <protection locked="0"/>
    </xf>
    <xf numFmtId="0" fontId="67" fillId="0" borderId="7" xfId="0" applyFont="1" applyBorder="1" applyAlignment="1" applyProtection="1">
      <alignment vertical="center"/>
      <protection locked="0"/>
    </xf>
    <xf numFmtId="0" fontId="59" fillId="0" borderId="7" xfId="0" applyFont="1" applyBorder="1" applyProtection="1">
      <protection locked="0"/>
    </xf>
    <xf numFmtId="0" fontId="59" fillId="0" borderId="92" xfId="0" applyFont="1" applyBorder="1" applyProtection="1">
      <protection locked="0"/>
    </xf>
    <xf numFmtId="0" fontId="70" fillId="0" borderId="105" xfId="0" applyFont="1" applyBorder="1" applyAlignment="1" applyProtection="1">
      <alignment vertical="top"/>
      <protection locked="0"/>
    </xf>
    <xf numFmtId="0" fontId="70" fillId="0" borderId="105" xfId="0" applyFont="1" applyBorder="1" applyAlignment="1" applyProtection="1">
      <alignment vertical="center"/>
      <protection locked="0"/>
    </xf>
    <xf numFmtId="0" fontId="59" fillId="0" borderId="105" xfId="0" applyFont="1" applyBorder="1" applyAlignment="1" applyProtection="1">
      <alignment vertical="center"/>
      <protection locked="0"/>
    </xf>
    <xf numFmtId="0" fontId="67" fillId="0" borderId="105" xfId="0" applyFont="1" applyBorder="1" applyAlignment="1" applyProtection="1">
      <alignment vertical="center"/>
      <protection locked="0"/>
    </xf>
    <xf numFmtId="0" fontId="59" fillId="0" borderId="105" xfId="0" applyFont="1" applyBorder="1" applyProtection="1">
      <protection locked="0"/>
    </xf>
    <xf numFmtId="0" fontId="59" fillId="0" borderId="102" xfId="0" applyFont="1" applyBorder="1" applyProtection="1">
      <protection locked="0"/>
    </xf>
    <xf numFmtId="0" fontId="70" fillId="0" borderId="111" xfId="0" applyFont="1" applyBorder="1" applyAlignment="1" applyProtection="1">
      <alignment horizontal="left" vertical="center" wrapText="1"/>
      <protection locked="0"/>
    </xf>
    <xf numFmtId="0" fontId="70" fillId="0" borderId="73" xfId="0" applyFont="1" applyBorder="1" applyAlignment="1" applyProtection="1">
      <alignment horizontal="left" vertical="center" wrapText="1"/>
      <protection locked="0"/>
    </xf>
    <xf numFmtId="0" fontId="70" fillId="0" borderId="23" xfId="0" applyFont="1" applyBorder="1" applyAlignment="1" applyProtection="1">
      <alignment horizontal="left" vertical="center" wrapText="1"/>
      <protection locked="0"/>
    </xf>
    <xf numFmtId="0" fontId="70" fillId="0" borderId="73" xfId="0" applyFont="1" applyBorder="1" applyAlignment="1" applyProtection="1">
      <alignment horizontal="center" vertical="center" wrapText="1" shrinkToFit="1"/>
      <protection locked="0"/>
    </xf>
    <xf numFmtId="0" fontId="70" fillId="0" borderId="112" xfId="0" applyFont="1" applyBorder="1" applyAlignment="1" applyProtection="1">
      <alignment horizontal="center" vertical="center" wrapText="1" shrinkToFit="1"/>
      <protection locked="0"/>
    </xf>
    <xf numFmtId="0" fontId="81" fillId="0" borderId="89" xfId="0" applyFont="1" applyBorder="1" applyAlignment="1" applyProtection="1">
      <alignment vertical="center" shrinkToFit="1"/>
      <protection locked="0"/>
    </xf>
    <xf numFmtId="0" fontId="70" fillId="0" borderId="73" xfId="0" applyFont="1" applyBorder="1" applyAlignment="1" applyProtection="1">
      <alignment vertical="center" shrinkToFit="1"/>
      <protection locked="0"/>
    </xf>
    <xf numFmtId="0" fontId="70" fillId="0" borderId="112" xfId="0" applyFont="1" applyBorder="1" applyAlignment="1" applyProtection="1">
      <alignment vertical="center" shrinkToFit="1"/>
      <protection locked="0"/>
    </xf>
    <xf numFmtId="0" fontId="70" fillId="10" borderId="183" xfId="0" applyFont="1" applyFill="1" applyBorder="1" applyAlignment="1" applyProtection="1">
      <alignment horizontal="left" vertical="center"/>
      <protection locked="0"/>
    </xf>
    <xf numFmtId="0" fontId="70" fillId="0" borderId="91" xfId="0" applyFont="1" applyBorder="1" applyAlignment="1" applyProtection="1">
      <alignment vertical="center" shrinkToFit="1"/>
      <protection locked="0"/>
    </xf>
    <xf numFmtId="0" fontId="70" fillId="10" borderId="7" xfId="0" applyFont="1" applyFill="1" applyBorder="1" applyAlignment="1" applyProtection="1">
      <alignment vertical="center" shrinkToFit="1"/>
      <protection locked="0"/>
    </xf>
    <xf numFmtId="0" fontId="70" fillId="10" borderId="92" xfId="0" applyFont="1" applyFill="1" applyBorder="1" applyAlignment="1" applyProtection="1">
      <alignment vertical="center" shrinkToFit="1"/>
      <protection locked="0"/>
    </xf>
    <xf numFmtId="0" fontId="70" fillId="10" borderId="184" xfId="0" applyFont="1" applyFill="1" applyBorder="1" applyAlignment="1" applyProtection="1">
      <alignment horizontal="left" vertical="center"/>
      <protection locked="0"/>
    </xf>
    <xf numFmtId="0" fontId="70" fillId="0" borderId="91" xfId="0" applyFont="1" applyBorder="1" applyAlignment="1" applyProtection="1">
      <alignment horizontal="right" vertical="center" shrinkToFit="1"/>
      <protection locked="0"/>
    </xf>
    <xf numFmtId="0" fontId="70" fillId="10" borderId="145" xfId="0" applyFont="1" applyFill="1" applyBorder="1" applyAlignment="1" applyProtection="1">
      <alignment horizontal="left" vertical="center"/>
      <protection locked="0"/>
    </xf>
    <xf numFmtId="0" fontId="70" fillId="0" borderId="185" xfId="0" applyFont="1" applyBorder="1" applyAlignment="1" applyProtection="1">
      <alignment horizontal="left" vertical="center"/>
      <protection locked="0"/>
    </xf>
    <xf numFmtId="0" fontId="70" fillId="0" borderId="146" xfId="0" applyFont="1" applyBorder="1" applyAlignment="1" applyProtection="1">
      <alignment horizontal="left" vertical="center"/>
      <protection locked="0"/>
    </xf>
    <xf numFmtId="0" fontId="70" fillId="0" borderId="101" xfId="0" applyFont="1" applyBorder="1" applyAlignment="1" applyProtection="1">
      <alignment vertical="center" shrinkToFit="1"/>
      <protection locked="0"/>
    </xf>
    <xf numFmtId="0" fontId="70" fillId="10" borderId="105" xfId="0" applyFont="1" applyFill="1" applyBorder="1" applyAlignment="1" applyProtection="1">
      <alignment vertical="center" shrinkToFit="1"/>
      <protection locked="0"/>
    </xf>
    <xf numFmtId="0" fontId="70" fillId="0" borderId="0" xfId="0" applyFont="1" applyAlignment="1" applyProtection="1">
      <alignment vertical="center" shrinkToFit="1"/>
      <protection locked="0"/>
    </xf>
    <xf numFmtId="0" fontId="70" fillId="0" borderId="147" xfId="0" applyFont="1" applyBorder="1" applyAlignment="1" applyProtection="1">
      <alignment vertical="top"/>
      <protection locked="0"/>
    </xf>
    <xf numFmtId="0" fontId="70" fillId="10" borderId="138" xfId="0" applyFont="1" applyFill="1" applyBorder="1" applyAlignment="1" applyProtection="1">
      <alignment vertical="center"/>
      <protection locked="0"/>
    </xf>
    <xf numFmtId="0" fontId="70" fillId="0" borderId="148" xfId="0" applyFont="1" applyBorder="1" applyAlignment="1" applyProtection="1">
      <alignment horizontal="left" vertical="center"/>
      <protection locked="0"/>
    </xf>
    <xf numFmtId="0" fontId="70" fillId="10" borderId="138" xfId="0" applyFont="1" applyFill="1" applyBorder="1" applyAlignment="1" applyProtection="1">
      <alignment horizontal="left" vertical="center"/>
      <protection locked="0"/>
    </xf>
    <xf numFmtId="0" fontId="70" fillId="10" borderId="149" xfId="0" applyFont="1" applyFill="1" applyBorder="1" applyAlignment="1" applyProtection="1">
      <alignment horizontal="left" vertical="center"/>
      <protection locked="0"/>
    </xf>
    <xf numFmtId="0" fontId="70" fillId="10" borderId="102" xfId="0" applyFont="1" applyFill="1" applyBorder="1" applyAlignment="1" applyProtection="1">
      <alignment vertical="center" shrinkToFit="1"/>
      <protection locked="0"/>
    </xf>
    <xf numFmtId="0" fontId="70" fillId="0" borderId="0" xfId="0" applyFont="1" applyAlignment="1">
      <alignment vertical="center"/>
    </xf>
    <xf numFmtId="0" fontId="70" fillId="0" borderId="0" xfId="0" applyFont="1" applyAlignment="1">
      <alignment vertical="top"/>
    </xf>
    <xf numFmtId="0" fontId="59" fillId="0" borderId="0" xfId="0" applyFont="1" applyAlignment="1">
      <alignment vertical="center"/>
    </xf>
    <xf numFmtId="0" fontId="67" fillId="0" borderId="0" xfId="0" applyFont="1" applyAlignment="1">
      <alignment vertical="center"/>
    </xf>
    <xf numFmtId="0" fontId="58" fillId="14" borderId="0" xfId="9" applyFont="1" applyFill="1" applyAlignment="1">
      <alignment vertical="center"/>
    </xf>
    <xf numFmtId="0" fontId="76" fillId="0" borderId="0" xfId="9" applyFont="1" applyAlignment="1">
      <alignment vertical="center"/>
    </xf>
    <xf numFmtId="0" fontId="64" fillId="5" borderId="0" xfId="9" applyFont="1" applyFill="1" applyAlignment="1">
      <alignment vertical="center"/>
    </xf>
    <xf numFmtId="0" fontId="64" fillId="0" borderId="52" xfId="0" applyFont="1" applyBorder="1"/>
    <xf numFmtId="0" fontId="64" fillId="0" borderId="12" xfId="0" applyFont="1" applyBorder="1"/>
    <xf numFmtId="0" fontId="64" fillId="0" borderId="20" xfId="9" applyFont="1" applyBorder="1" applyAlignment="1">
      <alignment vertical="center"/>
    </xf>
    <xf numFmtId="0" fontId="64" fillId="0" borderId="14" xfId="9" applyFont="1" applyBorder="1" applyAlignment="1">
      <alignment vertical="center"/>
    </xf>
    <xf numFmtId="0" fontId="64" fillId="0" borderId="26" xfId="9" applyFont="1" applyBorder="1" applyAlignment="1">
      <alignment vertical="center"/>
    </xf>
    <xf numFmtId="0" fontId="67" fillId="14" borderId="0" xfId="9" applyFont="1" applyFill="1" applyAlignment="1">
      <alignment vertical="center"/>
    </xf>
    <xf numFmtId="0" fontId="67" fillId="0" borderId="7" xfId="9" applyFont="1" applyBorder="1" applyAlignment="1">
      <alignment horizontal="center" vertical="center"/>
    </xf>
    <xf numFmtId="0" fontId="59" fillId="0" borderId="7" xfId="0" applyFont="1" applyBorder="1"/>
    <xf numFmtId="0" fontId="70" fillId="0" borderId="7" xfId="0" applyFont="1" applyBorder="1" applyAlignment="1">
      <alignment horizontal="center" vertical="center"/>
    </xf>
    <xf numFmtId="0" fontId="70" fillId="0" borderId="7" xfId="0" applyFont="1" applyBorder="1" applyAlignment="1">
      <alignment horizontal="center" vertical="center" shrinkToFit="1"/>
    </xf>
    <xf numFmtId="0" fontId="67" fillId="0" borderId="52" xfId="9" applyFont="1" applyBorder="1" applyAlignment="1">
      <alignment vertical="center"/>
    </xf>
    <xf numFmtId="0" fontId="67" fillId="0" borderId="8" xfId="9" applyFont="1" applyBorder="1" applyAlignment="1">
      <alignment vertical="center" wrapText="1"/>
    </xf>
    <xf numFmtId="0" fontId="67" fillId="0" borderId="8" xfId="9" applyFont="1" applyBorder="1" applyAlignment="1">
      <alignment vertical="center"/>
    </xf>
    <xf numFmtId="0" fontId="67" fillId="0" borderId="7" xfId="9" applyFont="1" applyBorder="1" applyAlignment="1">
      <alignment vertical="center"/>
    </xf>
    <xf numFmtId="0" fontId="67" fillId="0" borderId="186" xfId="9" applyFont="1" applyBorder="1" applyAlignment="1">
      <alignment vertical="center"/>
    </xf>
    <xf numFmtId="0" fontId="67" fillId="0" borderId="93" xfId="9" applyFont="1" applyBorder="1" applyAlignment="1">
      <alignment vertical="center"/>
    </xf>
    <xf numFmtId="0" fontId="65" fillId="5" borderId="0" xfId="0" applyFont="1" applyFill="1"/>
    <xf numFmtId="0" fontId="59" fillId="0" borderId="0" xfId="0" applyFont="1" applyAlignment="1">
      <alignment horizontal="center" vertical="center" wrapText="1"/>
    </xf>
    <xf numFmtId="0" fontId="59" fillId="0" borderId="0" xfId="0" applyFont="1" applyAlignment="1">
      <alignment vertical="center" wrapText="1"/>
    </xf>
    <xf numFmtId="0" fontId="59" fillId="0" borderId="187" xfId="0" applyFont="1" applyBorder="1" applyAlignment="1">
      <alignment vertical="center" wrapText="1"/>
    </xf>
    <xf numFmtId="0" fontId="59" fillId="0" borderId="188" xfId="0" applyFont="1" applyBorder="1" applyAlignment="1">
      <alignment vertical="center" wrapText="1"/>
    </xf>
    <xf numFmtId="0" fontId="59" fillId="0" borderId="167" xfId="0" applyFont="1" applyBorder="1" applyAlignment="1">
      <alignment vertical="center" wrapText="1"/>
    </xf>
    <xf numFmtId="0" fontId="59" fillId="0" borderId="85" xfId="0" applyFont="1" applyBorder="1" applyAlignment="1">
      <alignment shrinkToFit="1"/>
    </xf>
    <xf numFmtId="0" fontId="59" fillId="0" borderId="86" xfId="0" applyFont="1" applyBorder="1" applyAlignment="1">
      <alignment vertical="center"/>
    </xf>
    <xf numFmtId="0" fontId="59" fillId="0" borderId="79" xfId="0" applyFont="1" applyBorder="1" applyAlignment="1">
      <alignment vertical="center"/>
    </xf>
    <xf numFmtId="0" fontId="59" fillId="0" borderId="7" xfId="0" applyFont="1" applyBorder="1" applyAlignment="1">
      <alignment vertical="center" shrinkToFit="1"/>
    </xf>
    <xf numFmtId="0" fontId="59" fillId="0" borderId="92" xfId="0" applyFont="1" applyBorder="1" applyAlignment="1">
      <alignment vertical="center"/>
    </xf>
    <xf numFmtId="0" fontId="59" fillId="0" borderId="12" xfId="0" applyFont="1" applyBorder="1" applyAlignment="1">
      <alignment vertical="center"/>
    </xf>
    <xf numFmtId="0" fontId="59" fillId="0" borderId="7" xfId="0" applyFont="1" applyBorder="1" applyAlignment="1">
      <alignment vertical="center"/>
    </xf>
    <xf numFmtId="0" fontId="59" fillId="14" borderId="0" xfId="0" applyFont="1" applyFill="1" applyAlignment="1">
      <alignment vertical="center"/>
    </xf>
    <xf numFmtId="0" fontId="59" fillId="0" borderId="14" xfId="0" applyFont="1" applyBorder="1" applyAlignment="1">
      <alignment vertical="center"/>
    </xf>
    <xf numFmtId="0" fontId="59" fillId="10" borderId="7" xfId="0" applyFont="1" applyFill="1" applyBorder="1" applyAlignment="1">
      <alignment vertical="center" shrinkToFit="1"/>
    </xf>
    <xf numFmtId="0" fontId="59" fillId="10" borderId="92" xfId="0" applyFont="1" applyFill="1" applyBorder="1" applyAlignment="1">
      <alignment vertical="center"/>
    </xf>
    <xf numFmtId="0" fontId="59" fillId="10" borderId="12" xfId="0" applyFont="1" applyFill="1" applyBorder="1" applyAlignment="1">
      <alignment vertical="center"/>
    </xf>
    <xf numFmtId="0" fontId="59" fillId="10" borderId="7" xfId="0" applyFont="1" applyFill="1" applyBorder="1" applyAlignment="1">
      <alignment vertical="center"/>
    </xf>
    <xf numFmtId="0" fontId="70" fillId="0" borderId="7" xfId="9" applyFont="1" applyBorder="1" applyAlignment="1">
      <alignment vertical="center" shrinkToFit="1"/>
    </xf>
    <xf numFmtId="0" fontId="70" fillId="0" borderId="92" xfId="9" applyFont="1" applyBorder="1" applyAlignment="1">
      <alignment vertical="center"/>
    </xf>
    <xf numFmtId="0" fontId="70" fillId="0" borderId="12" xfId="9" applyFont="1" applyBorder="1" applyAlignment="1">
      <alignment vertical="center"/>
    </xf>
    <xf numFmtId="0" fontId="70" fillId="0" borderId="7" xfId="9" applyFont="1" applyBorder="1" applyAlignment="1">
      <alignment vertical="center"/>
    </xf>
    <xf numFmtId="0" fontId="70" fillId="0" borderId="0" xfId="9" applyFont="1" applyAlignment="1">
      <alignment vertical="center"/>
    </xf>
    <xf numFmtId="0" fontId="67" fillId="0" borderId="7" xfId="9" applyFont="1" applyBorder="1" applyAlignment="1">
      <alignment vertical="center" shrinkToFit="1"/>
    </xf>
    <xf numFmtId="0" fontId="67" fillId="0" borderId="92" xfId="9" applyFont="1" applyBorder="1" applyAlignment="1">
      <alignment vertical="center"/>
    </xf>
    <xf numFmtId="0" fontId="67" fillId="0" borderId="12" xfId="9" applyFont="1" applyBorder="1" applyAlignment="1">
      <alignment vertical="center"/>
    </xf>
    <xf numFmtId="0" fontId="67" fillId="0" borderId="105" xfId="9" applyFont="1" applyBorder="1" applyAlignment="1">
      <alignment vertical="center" shrinkToFit="1"/>
    </xf>
    <xf numFmtId="0" fontId="67" fillId="0" borderId="102" xfId="9" applyFont="1" applyBorder="1" applyAlignment="1">
      <alignment vertical="center"/>
    </xf>
    <xf numFmtId="0" fontId="67" fillId="0" borderId="115" xfId="9" applyFont="1" applyBorder="1" applyAlignment="1">
      <alignment vertical="center"/>
    </xf>
    <xf numFmtId="0" fontId="67" fillId="0" borderId="105" xfId="9" applyFont="1" applyBorder="1" applyAlignment="1">
      <alignment vertical="center"/>
    </xf>
    <xf numFmtId="0" fontId="59" fillId="0" borderId="189" xfId="0" applyFont="1" applyBorder="1" applyAlignment="1">
      <alignment horizontal="left" vertical="top"/>
    </xf>
    <xf numFmtId="0" fontId="59" fillId="0" borderId="191" xfId="0" applyFont="1" applyBorder="1"/>
    <xf numFmtId="0" fontId="59" fillId="0" borderId="193" xfId="0" applyFont="1" applyBorder="1" applyAlignment="1">
      <alignment horizontal="left" vertical="top"/>
    </xf>
    <xf numFmtId="0" fontId="59" fillId="0" borderId="195" xfId="0" applyFont="1" applyBorder="1"/>
    <xf numFmtId="0" fontId="59" fillId="0" borderId="197" xfId="0" applyFont="1" applyBorder="1"/>
    <xf numFmtId="0" fontId="59" fillId="0" borderId="81" xfId="0" applyFont="1" applyBorder="1"/>
    <xf numFmtId="0" fontId="59" fillId="0" borderId="188" xfId="0" applyFont="1" applyBorder="1"/>
    <xf numFmtId="0" fontId="59" fillId="0" borderId="167" xfId="0" applyFont="1" applyBorder="1"/>
    <xf numFmtId="0" fontId="59" fillId="0" borderId="88" xfId="0" applyFont="1" applyBorder="1"/>
    <xf numFmtId="0" fontId="59" fillId="0" borderId="79" xfId="0" applyFont="1" applyBorder="1" applyAlignment="1">
      <alignment horizontal="center"/>
    </xf>
    <xf numFmtId="0" fontId="59" fillId="0" borderId="85" xfId="0" applyFont="1" applyBorder="1"/>
    <xf numFmtId="0" fontId="59" fillId="0" borderId="86" xfId="0" applyFont="1" applyBorder="1"/>
    <xf numFmtId="0" fontId="59" fillId="0" borderId="52" xfId="0" applyFont="1" applyBorder="1"/>
    <xf numFmtId="0" fontId="59" fillId="0" borderId="12" xfId="0" applyFont="1" applyBorder="1" applyAlignment="1">
      <alignment horizontal="center"/>
    </xf>
    <xf numFmtId="0" fontId="59" fillId="0" borderId="92" xfId="0" applyFont="1" applyBorder="1"/>
    <xf numFmtId="0" fontId="59" fillId="0" borderId="99" xfId="0" applyFont="1" applyBorder="1"/>
    <xf numFmtId="0" fontId="59" fillId="0" borderId="105" xfId="0" applyFont="1" applyBorder="1"/>
    <xf numFmtId="0" fontId="59" fillId="0" borderId="102" xfId="0" applyFont="1" applyBorder="1"/>
    <xf numFmtId="0" fontId="59" fillId="0" borderId="115" xfId="0" applyFont="1" applyBorder="1" applyAlignment="1">
      <alignment horizontal="center"/>
    </xf>
    <xf numFmtId="0" fontId="59" fillId="0" borderId="79" xfId="0" applyFont="1" applyBorder="1"/>
    <xf numFmtId="0" fontId="59" fillId="0" borderId="12" xfId="0" applyFont="1" applyBorder="1"/>
    <xf numFmtId="0" fontId="59" fillId="0" borderId="115" xfId="0" applyFont="1" applyBorder="1"/>
    <xf numFmtId="0" fontId="70" fillId="0" borderId="142" xfId="0" applyFont="1" applyBorder="1" applyAlignment="1">
      <alignment horizontal="left" vertical="center"/>
    </xf>
    <xf numFmtId="0" fontId="70" fillId="0" borderId="8" xfId="0" applyFont="1" applyBorder="1" applyAlignment="1">
      <alignment horizontal="left" vertical="center"/>
    </xf>
    <xf numFmtId="0" fontId="70" fillId="0" borderId="140" xfId="0" applyFont="1" applyBorder="1" applyAlignment="1">
      <alignment horizontal="left" vertical="center"/>
    </xf>
    <xf numFmtId="0" fontId="58" fillId="8" borderId="0" xfId="9" applyFont="1" applyFill="1" applyAlignment="1">
      <alignment vertical="center" wrapText="1"/>
    </xf>
    <xf numFmtId="0" fontId="73" fillId="8" borderId="0" xfId="9" applyFont="1" applyFill="1" applyAlignment="1">
      <alignment vertical="center"/>
    </xf>
    <xf numFmtId="0" fontId="59" fillId="0" borderId="0" xfId="0" applyFont="1" applyProtection="1"/>
    <xf numFmtId="0" fontId="59" fillId="0" borderId="83" xfId="0" applyFont="1" applyBorder="1" applyAlignment="1">
      <alignment vertical="center"/>
    </xf>
    <xf numFmtId="0" fontId="59" fillId="0" borderId="140" xfId="0" applyFont="1" applyBorder="1" applyAlignment="1">
      <alignment vertical="center"/>
    </xf>
    <xf numFmtId="0" fontId="59" fillId="10" borderId="140" xfId="0" applyFont="1" applyFill="1" applyBorder="1" applyAlignment="1">
      <alignment vertical="center"/>
    </xf>
    <xf numFmtId="0" fontId="70" fillId="0" borderId="140" xfId="9" applyFont="1" applyBorder="1" applyAlignment="1">
      <alignment vertical="center"/>
    </xf>
    <xf numFmtId="0" fontId="67" fillId="0" borderId="140" xfId="9" applyFont="1" applyBorder="1" applyAlignment="1">
      <alignment vertical="center"/>
    </xf>
    <xf numFmtId="0" fontId="73" fillId="0" borderId="0" xfId="9" applyFont="1" applyAlignment="1">
      <alignment vertical="center"/>
    </xf>
    <xf numFmtId="0" fontId="75" fillId="0" borderId="0" xfId="0" applyFont="1" applyAlignment="1">
      <alignment vertical="center"/>
    </xf>
    <xf numFmtId="0" fontId="58" fillId="0" borderId="0" xfId="9" applyFont="1" applyAlignment="1">
      <alignment vertical="center" wrapText="1"/>
    </xf>
    <xf numFmtId="0" fontId="67" fillId="0" borderId="84" xfId="0" applyFont="1" applyBorder="1" applyAlignment="1" applyProtection="1">
      <alignment vertical="center"/>
      <protection locked="0"/>
    </xf>
    <xf numFmtId="0" fontId="67" fillId="0" borderId="86" xfId="0" applyFont="1" applyBorder="1" applyAlignment="1" applyProtection="1">
      <alignment vertical="center"/>
      <protection locked="0"/>
    </xf>
    <xf numFmtId="0" fontId="67" fillId="0" borderId="96" xfId="0" applyFont="1" applyBorder="1" applyAlignment="1" applyProtection="1">
      <alignment horizontal="center" vertical="center"/>
      <protection locked="0"/>
    </xf>
    <xf numFmtId="0" fontId="67" fillId="0" borderId="151" xfId="0" applyFont="1" applyBorder="1" applyAlignment="1" applyProtection="1">
      <alignment horizontal="center" vertical="center"/>
      <protection locked="0"/>
    </xf>
    <xf numFmtId="0" fontId="67" fillId="0" borderId="198" xfId="9" applyFont="1" applyBorder="1" applyAlignment="1">
      <alignment horizontal="left" vertical="top"/>
    </xf>
    <xf numFmtId="0" fontId="59" fillId="0" borderId="199" xfId="0" applyFont="1" applyBorder="1" applyAlignment="1">
      <alignment horizontal="left" vertical="top"/>
    </xf>
    <xf numFmtId="0" fontId="59" fillId="0" borderId="200" xfId="0" applyFont="1" applyBorder="1" applyAlignment="1">
      <alignment horizontal="left" vertical="top"/>
    </xf>
    <xf numFmtId="0" fontId="59" fillId="0" borderId="201" xfId="0" applyFont="1" applyBorder="1" applyAlignment="1">
      <alignment horizontal="left" vertical="top"/>
    </xf>
    <xf numFmtId="0" fontId="59" fillId="0" borderId="202" xfId="0" applyFont="1" applyBorder="1"/>
    <xf numFmtId="0" fontId="67" fillId="0" borderId="0" xfId="9" applyFont="1" applyAlignment="1">
      <alignment vertical="center" shrinkToFit="1"/>
    </xf>
    <xf numFmtId="0" fontId="67" fillId="0" borderId="203" xfId="9" applyFont="1" applyBorder="1" applyAlignment="1">
      <alignment vertical="center"/>
    </xf>
    <xf numFmtId="0" fontId="67" fillId="0" borderId="54" xfId="9" applyFont="1" applyBorder="1" applyAlignment="1">
      <alignment vertical="center"/>
    </xf>
    <xf numFmtId="0" fontId="67" fillId="0" borderId="204" xfId="9" applyFont="1" applyBorder="1" applyAlignment="1">
      <alignment vertical="center"/>
    </xf>
    <xf numFmtId="0" fontId="67" fillId="0" borderId="204" xfId="9" applyFont="1" applyBorder="1" applyAlignment="1">
      <alignment vertical="center" wrapText="1"/>
    </xf>
    <xf numFmtId="0" fontId="67" fillId="0" borderId="54" xfId="9" applyFont="1" applyBorder="1" applyAlignment="1">
      <alignment vertical="center" wrapText="1"/>
    </xf>
    <xf numFmtId="0" fontId="67" fillId="0" borderId="205" xfId="9" applyFont="1" applyBorder="1" applyAlignment="1">
      <alignment vertical="center" wrapText="1"/>
    </xf>
    <xf numFmtId="0" fontId="67" fillId="0" borderId="53" xfId="9" applyFont="1" applyBorder="1" applyAlignment="1">
      <alignment vertical="center" wrapText="1"/>
    </xf>
    <xf numFmtId="0" fontId="67" fillId="0" borderId="205" xfId="9" applyFont="1" applyBorder="1" applyAlignment="1">
      <alignment vertical="center"/>
    </xf>
    <xf numFmtId="0" fontId="67" fillId="0" borderId="206" xfId="9" applyFont="1" applyBorder="1" applyAlignment="1">
      <alignment vertical="center"/>
    </xf>
    <xf numFmtId="0" fontId="67" fillId="0" borderId="39" xfId="9" applyFont="1" applyBorder="1" applyAlignment="1">
      <alignment vertical="center" wrapText="1"/>
    </xf>
    <xf numFmtId="0" fontId="67" fillId="0" borderId="43" xfId="9" applyFont="1" applyBorder="1" applyAlignment="1">
      <alignment vertical="center"/>
    </xf>
    <xf numFmtId="0" fontId="67" fillId="0" borderId="44" xfId="9" applyFont="1" applyBorder="1" applyAlignment="1">
      <alignment vertical="center"/>
    </xf>
    <xf numFmtId="0" fontId="67" fillId="0" borderId="56" xfId="9" applyFont="1" applyBorder="1" applyAlignment="1">
      <alignment vertical="center"/>
    </xf>
    <xf numFmtId="0" fontId="67" fillId="0" borderId="40" xfId="9" applyFont="1" applyBorder="1" applyAlignment="1">
      <alignment vertical="center"/>
    </xf>
    <xf numFmtId="0" fontId="67" fillId="0" borderId="41" xfId="9" applyFont="1" applyBorder="1" applyAlignment="1">
      <alignment vertical="center"/>
    </xf>
    <xf numFmtId="0" fontId="67" fillId="0" borderId="71" xfId="9" applyFont="1" applyBorder="1" applyAlignment="1">
      <alignment vertical="center"/>
    </xf>
    <xf numFmtId="0" fontId="67" fillId="0" borderId="207" xfId="9" applyFont="1" applyBorder="1" applyAlignment="1">
      <alignment vertical="center"/>
    </xf>
    <xf numFmtId="0" fontId="67" fillId="0" borderId="2" xfId="9" applyFont="1" applyBorder="1" applyAlignment="1">
      <alignment vertical="center" wrapText="1"/>
    </xf>
    <xf numFmtId="0" fontId="67" fillId="0" borderId="55" xfId="9" applyFont="1" applyBorder="1" applyAlignment="1">
      <alignment vertical="center"/>
    </xf>
    <xf numFmtId="0" fontId="67" fillId="0" borderId="2" xfId="9" applyFont="1" applyBorder="1" applyAlignment="1">
      <alignment vertical="center"/>
    </xf>
    <xf numFmtId="0" fontId="67" fillId="0" borderId="208" xfId="9" applyFont="1" applyBorder="1" applyAlignment="1">
      <alignment vertical="center"/>
    </xf>
    <xf numFmtId="0" fontId="67" fillId="0" borderId="9" xfId="9" applyFont="1" applyBorder="1" applyAlignment="1">
      <alignment vertical="center"/>
    </xf>
    <xf numFmtId="0" fontId="67" fillId="0" borderId="209" xfId="9" applyFont="1" applyBorder="1" applyAlignment="1">
      <alignment vertical="center"/>
    </xf>
    <xf numFmtId="0" fontId="67" fillId="0" borderId="210" xfId="9" applyFont="1" applyBorder="1" applyAlignment="1">
      <alignment vertical="center"/>
    </xf>
    <xf numFmtId="0" fontId="67" fillId="0" borderId="65" xfId="9" applyFont="1" applyBorder="1" applyAlignment="1">
      <alignment vertical="center"/>
    </xf>
    <xf numFmtId="0" fontId="67" fillId="0" borderId="46" xfId="9" applyFont="1" applyBorder="1" applyAlignment="1">
      <alignment vertical="center"/>
    </xf>
    <xf numFmtId="0" fontId="67" fillId="0" borderId="29" xfId="9" applyFont="1" applyBorder="1" applyAlignment="1">
      <alignment vertical="center" wrapText="1"/>
    </xf>
    <xf numFmtId="0" fontId="67" fillId="0" borderId="47" xfId="9" applyFont="1" applyBorder="1" applyAlignment="1">
      <alignment vertical="center"/>
    </xf>
    <xf numFmtId="0" fontId="67" fillId="0" borderId="29" xfId="9" applyFont="1" applyBorder="1" applyAlignment="1">
      <alignment vertical="center"/>
    </xf>
    <xf numFmtId="0" fontId="67" fillId="0" borderId="62" xfId="9" applyFont="1" applyBorder="1" applyAlignment="1">
      <alignment vertical="center"/>
    </xf>
    <xf numFmtId="0" fontId="67" fillId="0" borderId="11" xfId="9" applyFont="1" applyBorder="1" applyAlignment="1">
      <alignment vertical="center"/>
    </xf>
    <xf numFmtId="0" fontId="67" fillId="0" borderId="211" xfId="9" applyFont="1" applyBorder="1" applyAlignment="1">
      <alignment vertical="center"/>
    </xf>
    <xf numFmtId="0" fontId="67" fillId="0" borderId="212" xfId="9" applyFont="1" applyBorder="1" applyAlignment="1">
      <alignment vertical="center"/>
    </xf>
    <xf numFmtId="0" fontId="67" fillId="0" borderId="67" xfId="9" applyFont="1" applyBorder="1" applyAlignment="1">
      <alignment vertical="center"/>
    </xf>
    <xf numFmtId="0" fontId="67" fillId="10" borderId="7" xfId="9" applyFont="1" applyFill="1" applyBorder="1" applyAlignment="1">
      <alignment vertical="center"/>
    </xf>
    <xf numFmtId="0" fontId="69" fillId="7" borderId="0" xfId="1" applyFill="1" applyAlignment="1" applyProtection="1">
      <alignment vertical="center"/>
    </xf>
    <xf numFmtId="0" fontId="62" fillId="7" borderId="0" xfId="1" applyFont="1" applyFill="1" applyAlignment="1" applyProtection="1">
      <alignment horizontal="left" vertical="center"/>
    </xf>
    <xf numFmtId="0" fontId="66" fillId="7" borderId="0" xfId="1" applyFont="1" applyFill="1" applyAlignment="1" applyProtection="1">
      <alignment horizontal="center" vertical="center"/>
    </xf>
    <xf numFmtId="0" fontId="68" fillId="0" borderId="0" xfId="1" applyFont="1" applyAlignment="1" applyProtection="1">
      <alignment vertical="center"/>
    </xf>
    <xf numFmtId="0" fontId="63" fillId="7" borderId="0" xfId="1" applyFont="1" applyFill="1" applyBorder="1" applyAlignment="1" applyProtection="1">
      <alignment horizontal="left" vertical="center"/>
    </xf>
    <xf numFmtId="0" fontId="59" fillId="0" borderId="82" xfId="0" applyFont="1" applyFill="1" applyBorder="1" applyAlignment="1">
      <alignment vertical="center"/>
    </xf>
    <xf numFmtId="0" fontId="59" fillId="21" borderId="80" xfId="0" applyFont="1" applyFill="1" applyBorder="1" applyAlignment="1" applyProtection="1">
      <alignment vertical="center"/>
      <protection locked="0"/>
    </xf>
    <xf numFmtId="0" fontId="78" fillId="0" borderId="79" xfId="0" applyFont="1" applyFill="1" applyBorder="1" applyAlignment="1" applyProtection="1">
      <alignment horizontal="right" vertical="center" shrinkToFit="1"/>
      <protection locked="0"/>
    </xf>
    <xf numFmtId="0" fontId="79" fillId="0" borderId="80" xfId="1" applyFont="1" applyFill="1" applyBorder="1" applyAlignment="1" applyProtection="1">
      <alignment horizontal="center" vertical="center"/>
      <protection locked="0"/>
    </xf>
    <xf numFmtId="0" fontId="80" fillId="0" borderId="80" xfId="0" applyFont="1" applyFill="1" applyBorder="1" applyAlignment="1" applyProtection="1">
      <alignment horizontal="center" vertical="center"/>
      <protection locked="0"/>
    </xf>
    <xf numFmtId="0" fontId="78" fillId="0" borderId="79" xfId="0" applyFont="1" applyFill="1" applyBorder="1" applyAlignment="1" applyProtection="1">
      <alignment horizontal="right" vertical="center"/>
      <protection locked="0"/>
    </xf>
    <xf numFmtId="0" fontId="80" fillId="0" borderId="83" xfId="0" applyFont="1" applyFill="1" applyBorder="1" applyAlignment="1" applyProtection="1">
      <alignment horizontal="center" vertical="center"/>
      <protection locked="0"/>
    </xf>
    <xf numFmtId="0" fontId="59" fillId="0" borderId="142" xfId="0" applyFont="1" applyFill="1" applyBorder="1" applyAlignment="1">
      <alignment vertical="center"/>
    </xf>
    <xf numFmtId="0" fontId="59" fillId="21" borderId="24" xfId="0" applyFont="1" applyFill="1" applyBorder="1" applyAlignment="1" applyProtection="1">
      <alignment vertical="center"/>
      <protection locked="0"/>
    </xf>
    <xf numFmtId="0" fontId="78" fillId="0" borderId="49" xfId="0" applyFont="1" applyFill="1" applyBorder="1" applyAlignment="1" applyProtection="1">
      <alignment horizontal="right" vertical="center" shrinkToFit="1"/>
      <protection locked="0"/>
    </xf>
    <xf numFmtId="0" fontId="79" fillId="0" borderId="24" xfId="1" applyFont="1" applyFill="1" applyBorder="1" applyAlignment="1" applyProtection="1">
      <alignment horizontal="center" vertical="center"/>
      <protection locked="0"/>
    </xf>
    <xf numFmtId="0" fontId="78" fillId="0" borderId="49" xfId="0" applyFont="1" applyFill="1" applyBorder="1" applyAlignment="1" applyProtection="1">
      <alignment horizontal="right" vertical="center"/>
      <protection locked="0"/>
    </xf>
    <xf numFmtId="0" fontId="80" fillId="0" borderId="24" xfId="0" applyFont="1" applyFill="1" applyBorder="1" applyAlignment="1" applyProtection="1">
      <alignment horizontal="center" vertical="center"/>
      <protection locked="0"/>
    </xf>
    <xf numFmtId="0" fontId="78" fillId="0" borderId="24" xfId="0" applyFont="1" applyFill="1" applyBorder="1" applyAlignment="1" applyProtection="1">
      <alignment horizontal="right" vertical="center"/>
      <protection locked="0"/>
    </xf>
    <xf numFmtId="0" fontId="80" fillId="0" borderId="112" xfId="0" applyFont="1" applyFill="1" applyBorder="1" applyAlignment="1" applyProtection="1">
      <alignment horizontal="center" vertical="center"/>
      <protection locked="0"/>
    </xf>
    <xf numFmtId="38" fontId="59" fillId="0" borderId="0" xfId="14" applyFont="1" applyAlignment="1"/>
    <xf numFmtId="38" fontId="59" fillId="0" borderId="17" xfId="14" applyFont="1" applyBorder="1" applyAlignment="1"/>
    <xf numFmtId="0" fontId="59" fillId="0" borderId="97" xfId="0" applyFont="1" applyFill="1" applyBorder="1" applyAlignment="1">
      <alignment vertical="center"/>
    </xf>
    <xf numFmtId="0" fontId="59" fillId="21" borderId="17" xfId="0" applyFont="1" applyFill="1" applyBorder="1" applyAlignment="1" applyProtection="1">
      <alignment vertical="center"/>
      <protection locked="0"/>
    </xf>
    <xf numFmtId="0" fontId="78" fillId="0" borderId="115" xfId="0" applyFont="1" applyFill="1" applyBorder="1" applyAlignment="1" applyProtection="1">
      <alignment horizontal="right" vertical="center" shrinkToFit="1"/>
      <protection locked="0"/>
    </xf>
    <xf numFmtId="0" fontId="79" fillId="0" borderId="17" xfId="1" applyFont="1" applyFill="1" applyBorder="1" applyAlignment="1" applyProtection="1">
      <alignment horizontal="center" vertical="center"/>
      <protection locked="0"/>
    </xf>
    <xf numFmtId="0" fontId="78" fillId="0" borderId="156" xfId="0" applyFont="1" applyFill="1" applyBorder="1" applyAlignment="1" applyProtection="1">
      <alignment horizontal="right" vertical="center"/>
      <protection locked="0"/>
    </xf>
    <xf numFmtId="0" fontId="80" fillId="0" borderId="17" xfId="0" applyFont="1" applyFill="1" applyBorder="1" applyAlignment="1" applyProtection="1">
      <alignment horizontal="center" vertical="center"/>
      <protection locked="0"/>
    </xf>
    <xf numFmtId="0" fontId="78" fillId="0" borderId="17" xfId="0" applyFont="1" applyFill="1" applyBorder="1" applyAlignment="1" applyProtection="1">
      <alignment horizontal="right" vertical="center"/>
      <protection locked="0"/>
    </xf>
    <xf numFmtId="0" fontId="80" fillId="0" borderId="158" xfId="0" applyFont="1" applyFill="1" applyBorder="1" applyAlignment="1" applyProtection="1">
      <alignment horizontal="center" vertical="center"/>
      <protection locked="0"/>
    </xf>
    <xf numFmtId="0" fontId="69" fillId="7" borderId="0" xfId="1" applyFont="1" applyFill="1" applyAlignment="1" applyProtection="1">
      <alignment vertical="center"/>
    </xf>
    <xf numFmtId="0" fontId="59" fillId="0" borderId="84" xfId="0" applyFont="1" applyBorder="1" applyAlignment="1">
      <alignment vertical="center"/>
    </xf>
    <xf numFmtId="0" fontId="59" fillId="0" borderId="91" xfId="0" applyFont="1" applyBorder="1" applyAlignment="1">
      <alignment vertical="center"/>
    </xf>
    <xf numFmtId="0" fontId="59" fillId="10" borderId="91" xfId="0" applyFont="1" applyFill="1" applyBorder="1" applyAlignment="1">
      <alignment vertical="center"/>
    </xf>
    <xf numFmtId="0" fontId="70" fillId="0" borderId="91" xfId="9" applyFont="1" applyBorder="1" applyAlignment="1">
      <alignment vertical="center"/>
    </xf>
    <xf numFmtId="0" fontId="67" fillId="0" borderId="91" xfId="9" applyFont="1" applyBorder="1" applyAlignment="1">
      <alignment vertical="center"/>
    </xf>
    <xf numFmtId="0" fontId="67" fillId="0" borderId="101" xfId="9" applyFont="1" applyBorder="1" applyAlignment="1">
      <alignment vertical="center"/>
    </xf>
    <xf numFmtId="0" fontId="67" fillId="0" borderId="100" xfId="9" applyFont="1" applyBorder="1" applyAlignment="1">
      <alignment vertical="center"/>
    </xf>
    <xf numFmtId="0" fontId="59" fillId="0" borderId="192" xfId="0" applyFont="1" applyFill="1" applyBorder="1" applyAlignment="1">
      <alignment vertical="center"/>
    </xf>
    <xf numFmtId="0" fontId="59" fillId="0" borderId="191" xfId="0" applyFont="1" applyFill="1" applyBorder="1" applyAlignment="1">
      <alignment vertical="center"/>
    </xf>
    <xf numFmtId="0" fontId="59" fillId="0" borderId="196" xfId="0" applyFont="1" applyFill="1" applyBorder="1" applyAlignment="1">
      <alignment vertical="center"/>
    </xf>
    <xf numFmtId="0" fontId="59" fillId="0" borderId="197" xfId="0" applyFont="1" applyFill="1" applyBorder="1" applyAlignment="1">
      <alignment vertical="center"/>
    </xf>
    <xf numFmtId="0" fontId="66" fillId="0" borderId="0" xfId="1" applyFont="1" applyAlignment="1" applyProtection="1">
      <alignment horizontal="left" vertical="center"/>
    </xf>
    <xf numFmtId="0" fontId="66" fillId="0" borderId="0" xfId="1" applyFont="1" applyAlignment="1" applyProtection="1">
      <alignment vertical="center"/>
    </xf>
    <xf numFmtId="0" fontId="57" fillId="0" borderId="0" xfId="10" applyFont="1" applyAlignment="1" applyProtection="1">
      <alignment vertical="top"/>
    </xf>
    <xf numFmtId="0" fontId="67" fillId="0" borderId="0" xfId="10" applyFont="1" applyProtection="1">
      <alignment vertical="center"/>
    </xf>
    <xf numFmtId="0" fontId="82" fillId="0" borderId="0" xfId="10" applyFont="1" applyAlignment="1" applyProtection="1">
      <alignment vertical="top"/>
    </xf>
    <xf numFmtId="0" fontId="83" fillId="0" borderId="0" xfId="10" applyFont="1" applyAlignment="1" applyProtection="1">
      <alignment vertical="top"/>
    </xf>
    <xf numFmtId="0" fontId="64" fillId="0" borderId="0" xfId="10" applyFont="1" applyAlignment="1" applyProtection="1">
      <alignment horizontal="left" vertical="center"/>
    </xf>
    <xf numFmtId="0" fontId="64" fillId="0" borderId="0" xfId="10" applyFont="1" applyProtection="1">
      <alignment vertical="center"/>
    </xf>
    <xf numFmtId="0" fontId="64" fillId="0" borderId="0" xfId="10" applyFont="1" applyAlignment="1" applyProtection="1">
      <alignment horizontal="center" vertical="center"/>
    </xf>
    <xf numFmtId="0" fontId="67" fillId="0" borderId="0" xfId="10" applyFont="1" applyAlignment="1" applyProtection="1">
      <alignment vertical="center" shrinkToFit="1"/>
    </xf>
    <xf numFmtId="0" fontId="64" fillId="0" borderId="0" xfId="10" applyFont="1" applyAlignment="1" applyProtection="1">
      <alignment horizontal="right" vertical="center"/>
    </xf>
    <xf numFmtId="0" fontId="71" fillId="4" borderId="8" xfId="10" applyFont="1" applyFill="1" applyBorder="1" applyAlignment="1" applyProtection="1">
      <alignment vertical="top"/>
    </xf>
    <xf numFmtId="0" fontId="71" fillId="4" borderId="8" xfId="10" applyFont="1" applyFill="1" applyBorder="1" applyAlignment="1" applyProtection="1">
      <alignment vertical="top" wrapText="1"/>
    </xf>
    <xf numFmtId="0" fontId="84" fillId="4" borderId="8" xfId="10" applyFont="1" applyFill="1" applyBorder="1" applyAlignment="1" applyProtection="1">
      <alignment vertical="top"/>
    </xf>
    <xf numFmtId="0" fontId="84" fillId="4" borderId="12" xfId="10" applyFont="1" applyFill="1" applyBorder="1" applyAlignment="1" applyProtection="1">
      <alignment vertical="top"/>
    </xf>
    <xf numFmtId="0" fontId="67" fillId="4" borderId="16" xfId="10" applyFont="1" applyFill="1" applyBorder="1" applyAlignment="1" applyProtection="1">
      <alignment horizontal="center" vertical="center"/>
    </xf>
    <xf numFmtId="0" fontId="64" fillId="4" borderId="0" xfId="10" applyFont="1" applyFill="1" applyAlignment="1" applyProtection="1">
      <alignment horizontal="left" vertical="center" wrapText="1"/>
    </xf>
    <xf numFmtId="0" fontId="67" fillId="4" borderId="0" xfId="10" applyFont="1" applyFill="1" applyAlignment="1" applyProtection="1">
      <alignment horizontal="center" vertical="center"/>
    </xf>
    <xf numFmtId="56" fontId="64" fillId="4" borderId="6" xfId="10" applyNumberFormat="1" applyFont="1" applyFill="1" applyBorder="1" applyAlignment="1" applyProtection="1">
      <alignment horizontal="center" vertical="center" wrapText="1"/>
    </xf>
    <xf numFmtId="0" fontId="64" fillId="4" borderId="16" xfId="10" applyFont="1" applyFill="1" applyBorder="1" applyProtection="1">
      <alignment vertical="center"/>
    </xf>
    <xf numFmtId="0" fontId="64" fillId="4" borderId="0" xfId="10" applyFont="1" applyFill="1" applyProtection="1">
      <alignment vertical="center"/>
    </xf>
    <xf numFmtId="0" fontId="64" fillId="4" borderId="6" xfId="10" applyFont="1" applyFill="1" applyBorder="1" applyProtection="1">
      <alignment vertical="center"/>
    </xf>
    <xf numFmtId="0" fontId="64" fillId="4" borderId="12" xfId="10" applyFont="1" applyFill="1" applyBorder="1" applyAlignment="1" applyProtection="1">
      <alignment horizontal="left" vertical="top"/>
    </xf>
    <xf numFmtId="0" fontId="67" fillId="4" borderId="52" xfId="10" applyFont="1" applyFill="1" applyBorder="1" applyAlignment="1" applyProtection="1">
      <alignment horizontal="center" vertical="center"/>
    </xf>
    <xf numFmtId="183" fontId="64" fillId="0" borderId="0" xfId="10" applyNumberFormat="1" applyFont="1" applyAlignment="1" applyProtection="1">
      <alignment horizontal="left" vertical="center"/>
    </xf>
    <xf numFmtId="0" fontId="67" fillId="4" borderId="23" xfId="10" applyFont="1" applyFill="1" applyBorder="1" applyAlignment="1" applyProtection="1">
      <alignment horizontal="center" vertical="center"/>
    </xf>
    <xf numFmtId="0" fontId="67" fillId="4" borderId="24" xfId="10" applyFont="1" applyFill="1" applyBorder="1" applyAlignment="1" applyProtection="1">
      <alignment horizontal="center" vertical="center"/>
    </xf>
    <xf numFmtId="0" fontId="67" fillId="4" borderId="49" xfId="10" applyFont="1" applyFill="1" applyBorder="1" applyAlignment="1" applyProtection="1">
      <alignment horizontal="center" vertical="center"/>
    </xf>
    <xf numFmtId="0" fontId="67" fillId="4" borderId="20" xfId="10" applyFont="1" applyFill="1" applyBorder="1" applyAlignment="1" applyProtection="1">
      <alignment horizontal="center" vertical="center"/>
    </xf>
    <xf numFmtId="0" fontId="64" fillId="4" borderId="20" xfId="10" applyFont="1" applyFill="1" applyBorder="1" applyAlignment="1" applyProtection="1">
      <alignment vertical="center" shrinkToFit="1"/>
    </xf>
    <xf numFmtId="0" fontId="64" fillId="4" borderId="14" xfId="10" applyFont="1" applyFill="1" applyBorder="1" applyAlignment="1" applyProtection="1">
      <alignment vertical="center" shrinkToFit="1"/>
    </xf>
    <xf numFmtId="0" fontId="64" fillId="4" borderId="26" xfId="10" applyFont="1" applyFill="1" applyBorder="1" applyAlignment="1" applyProtection="1">
      <alignment vertical="center" shrinkToFit="1"/>
    </xf>
    <xf numFmtId="183" fontId="67" fillId="0" borderId="0" xfId="10" applyNumberFormat="1" applyFont="1" applyProtection="1">
      <alignment vertical="center"/>
    </xf>
    <xf numFmtId="0" fontId="64" fillId="4" borderId="64" xfId="10" applyFont="1" applyFill="1" applyBorder="1" applyAlignment="1" applyProtection="1">
      <alignment horizontal="center" vertical="top"/>
    </xf>
    <xf numFmtId="183" fontId="64" fillId="4" borderId="64" xfId="10" applyNumberFormat="1" applyFont="1" applyFill="1" applyBorder="1" applyAlignment="1" applyProtection="1">
      <alignment horizontal="center" vertical="top" shrinkToFit="1"/>
    </xf>
    <xf numFmtId="0" fontId="67" fillId="0" borderId="0" xfId="10" applyFont="1" applyAlignment="1" applyProtection="1">
      <alignment vertical="center" wrapText="1"/>
    </xf>
    <xf numFmtId="0" fontId="71" fillId="8" borderId="52" xfId="10" applyFont="1" applyFill="1" applyBorder="1" applyProtection="1">
      <alignment vertical="center"/>
    </xf>
    <xf numFmtId="0" fontId="85" fillId="8" borderId="0" xfId="10" applyFont="1" applyFill="1" applyAlignment="1" applyProtection="1">
      <alignment vertical="top"/>
    </xf>
    <xf numFmtId="0" fontId="84" fillId="8" borderId="0" xfId="10" applyFont="1" applyFill="1" applyProtection="1">
      <alignment vertical="center"/>
    </xf>
    <xf numFmtId="0" fontId="84" fillId="0" borderId="0" xfId="10" applyFont="1" applyProtection="1">
      <alignment vertical="center"/>
    </xf>
    <xf numFmtId="0" fontId="90" fillId="0" borderId="0" xfId="9" applyFont="1" applyAlignment="1" applyProtection="1">
      <alignment vertical="center" shrinkToFit="1"/>
    </xf>
    <xf numFmtId="0" fontId="67" fillId="0" borderId="8" xfId="10" applyFont="1" applyBorder="1" applyProtection="1">
      <alignment vertical="center"/>
    </xf>
    <xf numFmtId="0" fontId="67" fillId="0" borderId="12" xfId="10" applyFont="1" applyBorder="1" applyAlignment="1" applyProtection="1">
      <alignment horizontal="center" vertical="center"/>
    </xf>
    <xf numFmtId="0" fontId="67" fillId="0" borderId="7" xfId="10" applyFont="1" applyBorder="1" applyAlignment="1" applyProtection="1">
      <alignment horizontal="center" vertical="center"/>
    </xf>
    <xf numFmtId="0" fontId="67" fillId="0" borderId="7" xfId="10" applyFont="1" applyBorder="1" applyAlignment="1" applyProtection="1">
      <alignment vertical="center" shrinkToFit="1"/>
    </xf>
    <xf numFmtId="1" fontId="67" fillId="0" borderId="7" xfId="10" applyNumberFormat="1" applyFont="1" applyBorder="1" applyAlignment="1" applyProtection="1">
      <alignment vertical="center" shrinkToFit="1"/>
    </xf>
    <xf numFmtId="0" fontId="87" fillId="0" borderId="8" xfId="10" applyFont="1" applyBorder="1" applyProtection="1">
      <alignment vertical="center"/>
    </xf>
    <xf numFmtId="0" fontId="67" fillId="0" borderId="72" xfId="10" applyFont="1" applyBorder="1" applyAlignment="1" applyProtection="1">
      <alignment vertical="center" shrinkToFit="1"/>
    </xf>
    <xf numFmtId="0" fontId="67" fillId="0" borderId="52" xfId="10" applyFont="1" applyBorder="1" applyAlignment="1" applyProtection="1">
      <alignment horizontal="left" vertical="center" shrinkToFit="1"/>
    </xf>
    <xf numFmtId="0" fontId="70" fillId="0" borderId="8" xfId="10" applyFont="1" applyBorder="1" applyProtection="1">
      <alignment vertical="center"/>
    </xf>
    <xf numFmtId="0" fontId="67" fillId="0" borderId="12" xfId="10" applyFont="1" applyBorder="1" applyAlignment="1" applyProtection="1">
      <alignment vertical="center" shrinkToFit="1"/>
    </xf>
    <xf numFmtId="0" fontId="67" fillId="0" borderId="8" xfId="10" applyFont="1" applyBorder="1" applyAlignment="1" applyProtection="1">
      <alignment vertical="center" wrapText="1"/>
    </xf>
    <xf numFmtId="0" fontId="67" fillId="0" borderId="14" xfId="10" applyFont="1" applyBorder="1" applyProtection="1">
      <alignment vertical="center"/>
    </xf>
    <xf numFmtId="0" fontId="67" fillId="0" borderId="20" xfId="10" applyFont="1" applyBorder="1" applyAlignment="1" applyProtection="1">
      <alignment horizontal="left" vertical="center" shrinkToFit="1"/>
    </xf>
    <xf numFmtId="0" fontId="67" fillId="0" borderId="26" xfId="10" applyFont="1" applyBorder="1" applyAlignment="1" applyProtection="1">
      <alignment vertical="center" shrinkToFit="1"/>
    </xf>
    <xf numFmtId="0" fontId="67" fillId="0" borderId="64" xfId="10" applyFont="1" applyBorder="1" applyAlignment="1" applyProtection="1">
      <alignment horizontal="center" vertical="center"/>
    </xf>
    <xf numFmtId="0" fontId="67" fillId="0" borderId="64" xfId="10" applyFont="1" applyBorder="1" applyAlignment="1" applyProtection="1">
      <alignment vertical="center" shrinkToFit="1"/>
    </xf>
    <xf numFmtId="1" fontId="67" fillId="0" borderId="64" xfId="10" applyNumberFormat="1" applyFont="1" applyBorder="1" applyAlignment="1" applyProtection="1">
      <alignment vertical="center" shrinkToFit="1"/>
    </xf>
    <xf numFmtId="0" fontId="67" fillId="0" borderId="0" xfId="10" applyFont="1" applyAlignment="1" applyProtection="1">
      <alignment horizontal="right" vertical="center"/>
    </xf>
    <xf numFmtId="0" fontId="67" fillId="0" borderId="80" xfId="10" applyFont="1" applyBorder="1" applyProtection="1">
      <alignment vertical="center"/>
    </xf>
    <xf numFmtId="0" fontId="87" fillId="0" borderId="80" xfId="10" applyFont="1" applyBorder="1" applyProtection="1">
      <alignment vertical="center"/>
    </xf>
    <xf numFmtId="0" fontId="67" fillId="0" borderId="80" xfId="10" applyFont="1" applyBorder="1" applyAlignment="1" applyProtection="1">
      <alignment horizontal="center" vertical="center"/>
    </xf>
    <xf numFmtId="0" fontId="67" fillId="0" borderId="85" xfId="10" applyFont="1" applyBorder="1" applyAlignment="1" applyProtection="1">
      <alignment horizontal="center" vertical="center"/>
    </xf>
    <xf numFmtId="0" fontId="67" fillId="0" borderId="85" xfId="10" applyFont="1" applyBorder="1" applyAlignment="1" applyProtection="1">
      <alignment vertical="center" shrinkToFit="1"/>
    </xf>
    <xf numFmtId="1" fontId="67" fillId="0" borderId="85" xfId="10" applyNumberFormat="1" applyFont="1" applyBorder="1" applyAlignment="1" applyProtection="1">
      <alignment vertical="center" shrinkToFit="1"/>
    </xf>
    <xf numFmtId="1" fontId="67" fillId="0" borderId="86" xfId="10" applyNumberFormat="1" applyFont="1" applyBorder="1" applyAlignment="1" applyProtection="1">
      <alignment vertical="center" shrinkToFit="1"/>
    </xf>
    <xf numFmtId="0" fontId="67" fillId="0" borderId="8" xfId="10" applyFont="1" applyBorder="1" applyAlignment="1" applyProtection="1">
      <alignment horizontal="center" vertical="center"/>
    </xf>
    <xf numFmtId="1" fontId="67" fillId="0" borderId="92" xfId="10" applyNumberFormat="1" applyFont="1" applyBorder="1" applyAlignment="1" applyProtection="1">
      <alignment vertical="center" shrinkToFit="1"/>
    </xf>
    <xf numFmtId="0" fontId="67" fillId="0" borderId="52" xfId="10" applyFont="1" applyBorder="1" applyProtection="1">
      <alignment vertical="center"/>
    </xf>
    <xf numFmtId="0" fontId="67" fillId="0" borderId="52" xfId="10" applyFont="1" applyBorder="1" applyAlignment="1" applyProtection="1">
      <alignment horizontal="left" vertical="center"/>
    </xf>
    <xf numFmtId="0" fontId="67" fillId="0" borderId="52" xfId="10" applyFont="1" applyBorder="1" applyAlignment="1" applyProtection="1">
      <alignment vertical="top"/>
    </xf>
    <xf numFmtId="0" fontId="67" fillId="0" borderId="99" xfId="10" applyFont="1" applyBorder="1" applyAlignment="1" applyProtection="1">
      <alignment vertical="top"/>
    </xf>
    <xf numFmtId="0" fontId="67" fillId="0" borderId="99" xfId="10" applyFont="1" applyBorder="1" applyAlignment="1" applyProtection="1">
      <alignment horizontal="left" vertical="center" shrinkToFit="1"/>
    </xf>
    <xf numFmtId="0" fontId="67" fillId="0" borderId="115" xfId="10" applyFont="1" applyBorder="1" applyAlignment="1" applyProtection="1">
      <alignment vertical="center" shrinkToFit="1"/>
    </xf>
    <xf numFmtId="0" fontId="67" fillId="0" borderId="105" xfId="10" applyFont="1" applyBorder="1" applyAlignment="1" applyProtection="1">
      <alignment horizontal="center" vertical="center"/>
    </xf>
    <xf numFmtId="0" fontId="67" fillId="0" borderId="105" xfId="10" applyFont="1" applyBorder="1" applyAlignment="1" applyProtection="1">
      <alignment vertical="center" shrinkToFit="1"/>
    </xf>
    <xf numFmtId="1" fontId="67" fillId="0" borderId="105" xfId="10" applyNumberFormat="1" applyFont="1" applyBorder="1" applyAlignment="1" applyProtection="1">
      <alignment vertical="center" shrinkToFit="1"/>
    </xf>
    <xf numFmtId="1" fontId="67" fillId="0" borderId="102" xfId="10" applyNumberFormat="1" applyFont="1" applyBorder="1" applyAlignment="1" applyProtection="1">
      <alignment vertical="center" shrinkToFit="1"/>
    </xf>
    <xf numFmtId="0" fontId="64" fillId="0" borderId="16" xfId="10" applyFont="1" applyBorder="1" applyAlignment="1" applyProtection="1">
      <alignment vertical="top"/>
    </xf>
    <xf numFmtId="0" fontId="67" fillId="0" borderId="24" xfId="10" applyFont="1" applyBorder="1" applyAlignment="1" applyProtection="1">
      <alignment vertical="top" wrapText="1"/>
    </xf>
    <xf numFmtId="0" fontId="87" fillId="0" borderId="24" xfId="10" applyFont="1" applyBorder="1" applyProtection="1">
      <alignment vertical="center"/>
    </xf>
    <xf numFmtId="0" fontId="67" fillId="0" borderId="24" xfId="10" applyFont="1" applyBorder="1" applyAlignment="1" applyProtection="1">
      <alignment horizontal="center" vertical="center"/>
    </xf>
    <xf numFmtId="0" fontId="67" fillId="0" borderId="73" xfId="10" applyFont="1" applyBorder="1" applyAlignment="1" applyProtection="1">
      <alignment horizontal="center" vertical="center"/>
    </xf>
    <xf numFmtId="0" fontId="67" fillId="0" borderId="73" xfId="10" applyFont="1" applyBorder="1" applyAlignment="1" applyProtection="1">
      <alignment vertical="center" shrinkToFit="1"/>
    </xf>
    <xf numFmtId="1" fontId="67" fillId="0" borderId="73" xfId="10" applyNumberFormat="1" applyFont="1" applyBorder="1" applyAlignment="1" applyProtection="1">
      <alignment vertical="center" shrinkToFit="1"/>
    </xf>
    <xf numFmtId="0" fontId="67" fillId="0" borderId="20" xfId="10" applyFont="1" applyBorder="1" applyAlignment="1" applyProtection="1">
      <alignment vertical="top"/>
    </xf>
    <xf numFmtId="0" fontId="67" fillId="0" borderId="23" xfId="10" applyFont="1" applyBorder="1" applyAlignment="1" applyProtection="1">
      <alignment vertical="top"/>
    </xf>
    <xf numFmtId="0" fontId="67" fillId="0" borderId="20" xfId="10" applyFont="1" applyBorder="1" applyAlignment="1" applyProtection="1">
      <alignment horizontal="left" vertical="top"/>
    </xf>
    <xf numFmtId="0" fontId="67" fillId="0" borderId="20" xfId="10" applyFont="1" applyBorder="1" applyProtection="1">
      <alignment vertical="center"/>
    </xf>
    <xf numFmtId="0" fontId="64" fillId="0" borderId="73" xfId="10" applyFont="1" applyBorder="1" applyAlignment="1" applyProtection="1">
      <alignment horizontal="left" vertical="top" wrapText="1"/>
    </xf>
    <xf numFmtId="0" fontId="67" fillId="0" borderId="23" xfId="10" applyFont="1" applyBorder="1" applyAlignment="1" applyProtection="1">
      <alignment horizontal="left" vertical="top"/>
    </xf>
    <xf numFmtId="0" fontId="67" fillId="0" borderId="49" xfId="10" applyFont="1" applyBorder="1" applyAlignment="1" applyProtection="1">
      <alignment vertical="center" shrinkToFit="1"/>
    </xf>
    <xf numFmtId="0" fontId="67" fillId="0" borderId="12" xfId="10" applyFont="1" applyBorder="1" applyProtection="1">
      <alignment vertical="center"/>
    </xf>
    <xf numFmtId="0" fontId="67" fillId="0" borderId="93" xfId="10" applyFont="1" applyBorder="1" applyAlignment="1" applyProtection="1">
      <alignment vertical="center" shrinkToFit="1"/>
    </xf>
    <xf numFmtId="0" fontId="67" fillId="0" borderId="20" xfId="10" applyFont="1" applyBorder="1" applyAlignment="1" applyProtection="1">
      <alignment vertical="top" wrapText="1" shrinkToFit="1"/>
    </xf>
    <xf numFmtId="0" fontId="67" fillId="0" borderId="26" xfId="10" applyFont="1" applyBorder="1" applyProtection="1">
      <alignment vertical="center"/>
    </xf>
    <xf numFmtId="0" fontId="67" fillId="0" borderId="23" xfId="10" applyFont="1" applyBorder="1" applyAlignment="1" applyProtection="1">
      <alignment vertical="top" wrapText="1" shrinkToFit="1"/>
    </xf>
    <xf numFmtId="0" fontId="67" fillId="0" borderId="49" xfId="10" applyFont="1" applyBorder="1" applyProtection="1">
      <alignment vertical="center"/>
    </xf>
    <xf numFmtId="0" fontId="67" fillId="0" borderId="12" xfId="10" applyFont="1" applyBorder="1" applyAlignment="1" applyProtection="1">
      <alignment horizontal="center" vertical="center" shrinkToFit="1"/>
    </xf>
    <xf numFmtId="0" fontId="67" fillId="12" borderId="72" xfId="10" applyFont="1" applyFill="1" applyBorder="1" applyAlignment="1" applyProtection="1">
      <alignment horizontal="right" vertical="center" shrinkToFit="1"/>
    </xf>
    <xf numFmtId="1" fontId="67" fillId="0" borderId="7" xfId="10" applyNumberFormat="1" applyFont="1" applyFill="1" applyBorder="1" applyAlignment="1" applyProtection="1">
      <alignment horizontal="right" vertical="center" shrinkToFit="1"/>
    </xf>
    <xf numFmtId="1" fontId="67" fillId="0" borderId="7" xfId="10" applyNumberFormat="1" applyFont="1" applyFill="1" applyBorder="1" applyAlignment="1" applyProtection="1">
      <alignment vertical="center" shrinkToFit="1"/>
    </xf>
    <xf numFmtId="1" fontId="67" fillId="0" borderId="7" xfId="10" applyNumberFormat="1" applyFont="1" applyBorder="1" applyAlignment="1" applyProtection="1">
      <alignment horizontal="right" vertical="center" shrinkToFit="1"/>
    </xf>
    <xf numFmtId="0" fontId="64" fillId="0" borderId="52" xfId="10" applyFont="1" applyBorder="1" applyAlignment="1" applyProtection="1">
      <alignment horizontal="left" vertical="center"/>
    </xf>
    <xf numFmtId="0" fontId="67" fillId="0" borderId="8" xfId="10" applyFont="1" applyBorder="1" applyAlignment="1" applyProtection="1">
      <alignment vertical="top"/>
    </xf>
    <xf numFmtId="0" fontId="67" fillId="0" borderId="14" xfId="0" applyFont="1" applyBorder="1" applyAlignment="1" applyProtection="1">
      <alignment vertical="center"/>
    </xf>
    <xf numFmtId="0" fontId="67" fillId="0" borderId="14" xfId="0" applyFont="1" applyBorder="1" applyAlignment="1" applyProtection="1">
      <alignment vertical="top"/>
    </xf>
    <xf numFmtId="0" fontId="67" fillId="0" borderId="12" xfId="0" applyFont="1" applyBorder="1" applyAlignment="1" applyProtection="1">
      <alignment horizontal="center" vertical="center"/>
    </xf>
    <xf numFmtId="0" fontId="67" fillId="0" borderId="7" xfId="0" applyFont="1" applyBorder="1" applyAlignment="1" applyProtection="1">
      <alignment horizontal="center" vertical="center"/>
    </xf>
    <xf numFmtId="0" fontId="67" fillId="0" borderId="8" xfId="0" applyFont="1" applyBorder="1" applyAlignment="1" applyProtection="1">
      <alignment vertical="top"/>
    </xf>
    <xf numFmtId="0" fontId="67" fillId="0" borderId="6" xfId="0" applyFont="1" applyBorder="1" applyAlignment="1" applyProtection="1">
      <alignment vertical="center"/>
    </xf>
    <xf numFmtId="0" fontId="67" fillId="0" borderId="20" xfId="0" applyFont="1" applyBorder="1" applyAlignment="1" applyProtection="1">
      <alignment vertical="center"/>
    </xf>
    <xf numFmtId="0" fontId="64" fillId="0" borderId="7" xfId="0" applyFont="1" applyBorder="1" applyAlignment="1" applyProtection="1">
      <alignment horizontal="center" vertical="center"/>
    </xf>
    <xf numFmtId="0" fontId="67" fillId="0" borderId="7" xfId="10" applyFont="1" applyFill="1" applyBorder="1" applyAlignment="1" applyProtection="1">
      <alignment horizontal="right" vertical="center" shrinkToFit="1"/>
    </xf>
    <xf numFmtId="0" fontId="67" fillId="0" borderId="7" xfId="10" applyFont="1" applyBorder="1" applyAlignment="1" applyProtection="1">
      <alignment horizontal="right" vertical="center" shrinkToFit="1"/>
    </xf>
    <xf numFmtId="0" fontId="67" fillId="0" borderId="49" xfId="0" applyFont="1" applyBorder="1" applyAlignment="1" applyProtection="1">
      <alignment vertical="center"/>
    </xf>
    <xf numFmtId="0" fontId="67" fillId="0" borderId="52" xfId="0" applyFont="1" applyBorder="1" applyAlignment="1" applyProtection="1">
      <alignment vertical="center"/>
    </xf>
    <xf numFmtId="0" fontId="67" fillId="0" borderId="8" xfId="0" applyFont="1" applyBorder="1" applyAlignment="1" applyProtection="1">
      <alignment vertical="center"/>
    </xf>
    <xf numFmtId="0" fontId="67" fillId="0" borderId="8" xfId="0" applyFont="1" applyBorder="1" applyAlignment="1" applyProtection="1">
      <alignment horizontal="center" vertical="center"/>
    </xf>
    <xf numFmtId="0" fontId="67" fillId="0" borderId="0" xfId="0" applyFont="1" applyAlignment="1" applyProtection="1">
      <alignment vertical="top"/>
    </xf>
    <xf numFmtId="0" fontId="67" fillId="0" borderId="0" xfId="0" applyFont="1" applyAlignment="1" applyProtection="1">
      <alignment vertical="center"/>
    </xf>
    <xf numFmtId="0" fontId="67" fillId="0" borderId="0" xfId="0" applyFont="1" applyAlignment="1" applyProtection="1">
      <alignment horizontal="center" vertical="center"/>
    </xf>
    <xf numFmtId="0" fontId="67" fillId="0" borderId="74" xfId="0" applyFont="1" applyBorder="1" applyAlignment="1" applyProtection="1">
      <alignment vertical="center"/>
    </xf>
    <xf numFmtId="0" fontId="64" fillId="0" borderId="8" xfId="0" applyFont="1" applyBorder="1" applyAlignment="1" applyProtection="1">
      <alignment vertical="center"/>
    </xf>
    <xf numFmtId="0" fontId="67" fillId="0" borderId="72" xfId="0" applyFont="1" applyBorder="1" applyAlignment="1" applyProtection="1">
      <alignment vertical="center"/>
    </xf>
    <xf numFmtId="0" fontId="67" fillId="0" borderId="7" xfId="10" applyNumberFormat="1" applyFont="1" applyBorder="1" applyAlignment="1" applyProtection="1">
      <alignment vertical="center" shrinkToFit="1"/>
    </xf>
    <xf numFmtId="0" fontId="67" fillId="0" borderId="7" xfId="10" applyFont="1" applyFill="1" applyBorder="1" applyAlignment="1" applyProtection="1">
      <alignment vertical="center" shrinkToFit="1"/>
    </xf>
    <xf numFmtId="0" fontId="64" fillId="0" borderId="8" xfId="0" applyFont="1" applyBorder="1" applyAlignment="1" applyProtection="1">
      <alignment vertical="top"/>
    </xf>
    <xf numFmtId="0" fontId="67" fillId="12" borderId="7" xfId="10" applyFont="1" applyFill="1" applyBorder="1" applyAlignment="1" applyProtection="1">
      <alignment horizontal="right" vertical="center" shrinkToFit="1"/>
    </xf>
    <xf numFmtId="1" fontId="67" fillId="12" borderId="7" xfId="10" applyNumberFormat="1" applyFont="1" applyFill="1" applyBorder="1" applyAlignment="1" applyProtection="1">
      <alignment horizontal="right" vertical="center" shrinkToFit="1"/>
    </xf>
    <xf numFmtId="0" fontId="67" fillId="0" borderId="52" xfId="0" applyFont="1" applyBorder="1" applyAlignment="1" applyProtection="1">
      <alignment vertical="top"/>
    </xf>
    <xf numFmtId="1" fontId="67" fillId="12" borderId="7" xfId="10" applyNumberFormat="1" applyFont="1" applyFill="1" applyBorder="1" applyAlignment="1" applyProtection="1">
      <alignment vertical="center" shrinkToFit="1"/>
    </xf>
    <xf numFmtId="185" fontId="67" fillId="0" borderId="7" xfId="14" applyNumberFormat="1" applyFont="1" applyFill="1" applyBorder="1" applyAlignment="1" applyProtection="1">
      <alignment horizontal="right" vertical="center" shrinkToFit="1"/>
    </xf>
    <xf numFmtId="0" fontId="67" fillId="12" borderId="7" xfId="10" applyFont="1" applyFill="1" applyBorder="1" applyAlignment="1" applyProtection="1">
      <alignment vertical="center" shrinkToFit="1"/>
    </xf>
    <xf numFmtId="0" fontId="71" fillId="8" borderId="20" xfId="10" applyFont="1" applyFill="1" applyBorder="1" applyProtection="1">
      <alignment vertical="center"/>
    </xf>
    <xf numFmtId="0" fontId="84" fillId="8" borderId="0" xfId="10" applyFont="1" applyFill="1" applyAlignment="1" applyProtection="1">
      <alignment vertical="center" shrinkToFit="1"/>
    </xf>
    <xf numFmtId="0" fontId="64" fillId="0" borderId="52" xfId="10" applyFont="1" applyBorder="1" applyProtection="1">
      <alignment vertical="center"/>
    </xf>
    <xf numFmtId="0" fontId="71" fillId="0" borderId="8" xfId="10" applyFont="1" applyBorder="1" applyProtection="1">
      <alignment vertical="center"/>
    </xf>
    <xf numFmtId="0" fontId="85" fillId="0" borderId="8" xfId="10" applyFont="1" applyBorder="1" applyAlignment="1" applyProtection="1">
      <alignment vertical="top"/>
    </xf>
    <xf numFmtId="0" fontId="85" fillId="0" borderId="12" xfId="10" applyFont="1" applyBorder="1" applyAlignment="1" applyProtection="1">
      <alignment vertical="top"/>
    </xf>
    <xf numFmtId="1" fontId="59" fillId="12" borderId="72" xfId="10" applyNumberFormat="1" applyFont="1" applyFill="1" applyBorder="1" applyAlignment="1" applyProtection="1">
      <alignment vertical="center" shrinkToFit="1"/>
    </xf>
    <xf numFmtId="0" fontId="64" fillId="0" borderId="20" xfId="10" applyFont="1" applyBorder="1" applyProtection="1">
      <alignment vertical="center"/>
    </xf>
    <xf numFmtId="0" fontId="71" fillId="0" borderId="14" xfId="10" applyFont="1" applyBorder="1" applyProtection="1">
      <alignment vertical="center"/>
    </xf>
    <xf numFmtId="0" fontId="64" fillId="0" borderId="16" xfId="10" applyFont="1" applyBorder="1" applyProtection="1">
      <alignment vertical="center"/>
    </xf>
    <xf numFmtId="0" fontId="71" fillId="0" borderId="6" xfId="10" applyFont="1" applyBorder="1" applyProtection="1">
      <alignment vertical="center"/>
    </xf>
    <xf numFmtId="0" fontId="64" fillId="0" borderId="23" xfId="10" applyFont="1" applyBorder="1" applyProtection="1">
      <alignment vertical="center"/>
    </xf>
    <xf numFmtId="0" fontId="71" fillId="0" borderId="24" xfId="10" applyFont="1" applyBorder="1" applyProtection="1">
      <alignment vertical="center"/>
    </xf>
    <xf numFmtId="0" fontId="71" fillId="0" borderId="0" xfId="10" applyFont="1" applyProtection="1">
      <alignment vertical="center"/>
    </xf>
    <xf numFmtId="0" fontId="70" fillId="0" borderId="52" xfId="0" applyFont="1" applyBorder="1" applyAlignment="1" applyProtection="1">
      <alignment vertical="center"/>
    </xf>
    <xf numFmtId="0" fontId="67" fillId="0" borderId="8" xfId="10" applyFont="1" applyBorder="1" applyAlignment="1" applyProtection="1">
      <alignment vertical="center" shrinkToFit="1"/>
    </xf>
    <xf numFmtId="0" fontId="64" fillId="0" borderId="20" xfId="10" applyFont="1" applyBorder="1" applyAlignment="1" applyProtection="1">
      <alignment vertical="top"/>
    </xf>
    <xf numFmtId="0" fontId="67" fillId="0" borderId="8" xfId="10" applyFont="1" applyBorder="1" applyAlignment="1" applyProtection="1">
      <alignment vertical="top" wrapText="1"/>
    </xf>
    <xf numFmtId="0" fontId="67" fillId="0" borderId="52" xfId="10" applyFont="1" applyBorder="1" applyAlignment="1" applyProtection="1">
      <alignment vertical="top" shrinkToFit="1"/>
    </xf>
    <xf numFmtId="0" fontId="67" fillId="0" borderId="52" xfId="10" applyFont="1" applyBorder="1" applyAlignment="1" applyProtection="1">
      <alignment horizontal="left" vertical="top" shrinkToFit="1"/>
    </xf>
    <xf numFmtId="0" fontId="64" fillId="0" borderId="70" xfId="10" applyFont="1" applyBorder="1" applyAlignment="1" applyProtection="1">
      <alignment horizontal="center" vertical="top" wrapText="1"/>
    </xf>
    <xf numFmtId="0" fontId="64" fillId="0" borderId="70" xfId="10" applyFont="1" applyBorder="1" applyAlignment="1" applyProtection="1">
      <alignment horizontal="left" vertical="top" wrapText="1"/>
    </xf>
    <xf numFmtId="0" fontId="67" fillId="0" borderId="8" xfId="10" applyFont="1" applyBorder="1" applyAlignment="1" applyProtection="1">
      <alignment vertical="top" shrinkToFit="1"/>
    </xf>
    <xf numFmtId="0" fontId="67" fillId="0" borderId="8" xfId="10" applyFont="1" applyBorder="1" applyAlignment="1" applyProtection="1">
      <alignment horizontal="center" vertical="center" shrinkToFit="1"/>
    </xf>
    <xf numFmtId="0" fontId="67" fillId="0" borderId="20" xfId="10" applyFont="1" applyBorder="1" applyAlignment="1" applyProtection="1">
      <alignment horizontal="left" vertical="center"/>
    </xf>
    <xf numFmtId="0" fontId="59" fillId="12" borderId="72" xfId="10" applyFont="1" applyFill="1" applyBorder="1" applyAlignment="1" applyProtection="1">
      <alignment vertical="center" shrinkToFit="1"/>
    </xf>
    <xf numFmtId="1" fontId="67" fillId="12" borderId="72" xfId="10" applyNumberFormat="1" applyFont="1" applyFill="1" applyBorder="1" applyAlignment="1" applyProtection="1">
      <alignment horizontal="right" vertical="center" shrinkToFit="1"/>
    </xf>
    <xf numFmtId="0" fontId="67" fillId="0" borderId="52" xfId="10" applyFont="1" applyBorder="1" applyAlignment="1" applyProtection="1">
      <alignment horizontal="left" vertical="top"/>
    </xf>
    <xf numFmtId="0" fontId="90" fillId="0" borderId="0" xfId="9" applyFont="1" applyFill="1" applyAlignment="1" applyProtection="1">
      <alignment vertical="center" shrinkToFit="1"/>
    </xf>
    <xf numFmtId="0" fontId="67" fillId="12" borderId="78" xfId="0" applyFont="1" applyFill="1" applyBorder="1" applyAlignment="1" applyProtection="1">
      <alignment horizontal="right" vertical="center" shrinkToFit="1"/>
    </xf>
    <xf numFmtId="1" fontId="67" fillId="12" borderId="78" xfId="0" applyNumberFormat="1" applyFont="1" applyFill="1" applyBorder="1" applyAlignment="1" applyProtection="1">
      <alignment horizontal="right" vertical="center" shrinkToFit="1"/>
    </xf>
    <xf numFmtId="0" fontId="67" fillId="0" borderId="12" xfId="0" applyFont="1" applyBorder="1" applyAlignment="1" applyProtection="1">
      <alignment horizontal="right" vertical="center" shrinkToFit="1"/>
    </xf>
    <xf numFmtId="0" fontId="67" fillId="0" borderId="8" xfId="10" applyFont="1" applyBorder="1" applyAlignment="1" applyProtection="1">
      <alignment horizontal="left" vertical="center" shrinkToFit="1"/>
    </xf>
    <xf numFmtId="0" fontId="66" fillId="0" borderId="0" xfId="11" applyFont="1" applyAlignment="1" applyProtection="1">
      <alignment vertical="center"/>
    </xf>
    <xf numFmtId="182" fontId="71" fillId="8" borderId="52" xfId="10" applyNumberFormat="1" applyFont="1" applyFill="1" applyBorder="1" applyProtection="1">
      <alignment vertical="center"/>
    </xf>
    <xf numFmtId="0" fontId="71" fillId="8" borderId="0" xfId="10" applyFont="1" applyFill="1" applyAlignment="1" applyProtection="1">
      <alignment vertical="top"/>
    </xf>
    <xf numFmtId="0" fontId="86" fillId="0" borderId="0" xfId="9" applyFont="1" applyAlignment="1" applyProtection="1">
      <alignment vertical="center" shrinkToFit="1"/>
    </xf>
    <xf numFmtId="186" fontId="67" fillId="0" borderId="7" xfId="10" applyNumberFormat="1" applyFont="1" applyBorder="1" applyAlignment="1" applyProtection="1">
      <alignment vertical="center" shrinkToFit="1"/>
    </xf>
    <xf numFmtId="177" fontId="67" fillId="18" borderId="7" xfId="10" applyNumberFormat="1" applyFont="1" applyFill="1" applyBorder="1" applyAlignment="1" applyProtection="1">
      <alignment vertical="center" shrinkToFit="1"/>
    </xf>
    <xf numFmtId="186" fontId="67" fillId="0" borderId="93" xfId="10" applyNumberFormat="1" applyFont="1" applyBorder="1" applyAlignment="1" applyProtection="1">
      <alignment vertical="center" shrinkToFit="1"/>
    </xf>
    <xf numFmtId="177" fontId="67" fillId="18" borderId="7" xfId="10" applyNumberFormat="1" applyFont="1" applyFill="1" applyBorder="1" applyProtection="1">
      <alignment vertical="center"/>
    </xf>
    <xf numFmtId="0" fontId="67" fillId="12" borderId="52" xfId="10" applyFont="1" applyFill="1" applyBorder="1" applyAlignment="1" applyProtection="1">
      <alignment horizontal="left" vertical="center"/>
    </xf>
    <xf numFmtId="0" fontId="67" fillId="12" borderId="8" xfId="10" applyFont="1" applyFill="1" applyBorder="1" applyProtection="1">
      <alignment vertical="center"/>
    </xf>
    <xf numFmtId="177" fontId="67" fillId="12" borderId="72" xfId="10" applyNumberFormat="1" applyFont="1" applyFill="1" applyBorder="1" applyAlignment="1" applyProtection="1">
      <alignment horizontal="right" vertical="center" shrinkToFit="1"/>
    </xf>
    <xf numFmtId="177" fontId="67" fillId="0" borderId="72" xfId="10" applyNumberFormat="1" applyFont="1" applyFill="1" applyBorder="1" applyAlignment="1" applyProtection="1">
      <alignment horizontal="right" vertical="center" shrinkToFit="1"/>
    </xf>
    <xf numFmtId="0" fontId="67" fillId="12" borderId="52" xfId="10" applyFont="1" applyFill="1" applyBorder="1" applyAlignment="1" applyProtection="1">
      <alignment vertical="top"/>
    </xf>
    <xf numFmtId="0" fontId="67" fillId="12" borderId="20" xfId="10" applyFont="1" applyFill="1" applyBorder="1" applyAlignment="1" applyProtection="1">
      <alignment vertical="top" wrapText="1" shrinkToFit="1"/>
    </xf>
    <xf numFmtId="0" fontId="67" fillId="12" borderId="23" xfId="10" applyFont="1" applyFill="1" applyBorder="1" applyAlignment="1" applyProtection="1">
      <alignment vertical="top" wrapText="1" shrinkToFit="1"/>
    </xf>
    <xf numFmtId="0" fontId="64" fillId="0" borderId="20" xfId="0" applyFont="1" applyBorder="1" applyAlignment="1" applyProtection="1">
      <alignment vertical="top"/>
    </xf>
    <xf numFmtId="0" fontId="64" fillId="0" borderId="8" xfId="0" applyFont="1" applyBorder="1" applyAlignment="1" applyProtection="1">
      <alignment vertical="top" wrapText="1"/>
    </xf>
    <xf numFmtId="177" fontId="67" fillId="18" borderId="7" xfId="10" applyNumberFormat="1" applyFont="1" applyFill="1" applyBorder="1" applyAlignment="1" applyProtection="1">
      <alignment horizontal="right" vertical="center" shrinkToFit="1"/>
    </xf>
    <xf numFmtId="177" fontId="67" fillId="0" borderId="7" xfId="10" applyNumberFormat="1" applyFont="1" applyBorder="1" applyAlignment="1" applyProtection="1">
      <alignment horizontal="right" vertical="center" shrinkToFit="1"/>
    </xf>
    <xf numFmtId="0" fontId="64" fillId="0" borderId="23" xfId="0" applyFont="1" applyBorder="1" applyAlignment="1" applyProtection="1">
      <alignment vertical="top"/>
    </xf>
    <xf numFmtId="0" fontId="67" fillId="0" borderId="24" xfId="0" applyFont="1" applyBorder="1" applyAlignment="1" applyProtection="1">
      <alignment horizontal="center" vertical="center"/>
    </xf>
    <xf numFmtId="0" fontId="64" fillId="0" borderId="8" xfId="0" applyFont="1" applyBorder="1" applyAlignment="1" applyProtection="1">
      <alignment horizontal="left" vertical="center"/>
    </xf>
    <xf numFmtId="0" fontId="64" fillId="0" borderId="49" xfId="0" applyFont="1" applyBorder="1" applyAlignment="1" applyProtection="1">
      <alignment vertical="top" wrapText="1"/>
    </xf>
    <xf numFmtId="0" fontId="64" fillId="0" borderId="52" xfId="0" applyFont="1" applyBorder="1" applyAlignment="1" applyProtection="1">
      <alignment vertical="top"/>
    </xf>
    <xf numFmtId="0" fontId="67" fillId="0" borderId="8" xfId="0" applyFont="1" applyBorder="1" applyAlignment="1" applyProtection="1">
      <alignment horizontal="left" vertical="center"/>
    </xf>
    <xf numFmtId="0" fontId="70" fillId="0" borderId="52" xfId="0" applyFont="1" applyBorder="1" applyAlignment="1" applyProtection="1">
      <alignment vertical="top"/>
    </xf>
    <xf numFmtId="0" fontId="70" fillId="0" borderId="8" xfId="0" applyFont="1" applyBorder="1" applyAlignment="1" applyProtection="1">
      <alignment vertical="top"/>
    </xf>
    <xf numFmtId="0" fontId="70" fillId="0" borderId="8" xfId="10" applyFont="1" applyBorder="1" applyAlignment="1" applyProtection="1">
      <alignment horizontal="center" vertical="center"/>
    </xf>
    <xf numFmtId="0" fontId="70" fillId="0" borderId="7" xfId="0" applyFont="1" applyBorder="1" applyAlignment="1" applyProtection="1">
      <alignment horizontal="center" vertical="center"/>
    </xf>
    <xf numFmtId="177" fontId="70" fillId="12" borderId="72" xfId="10" applyNumberFormat="1" applyFont="1" applyFill="1" applyBorder="1" applyAlignment="1" applyProtection="1">
      <alignment horizontal="right" vertical="center" shrinkToFit="1"/>
    </xf>
    <xf numFmtId="177" fontId="70" fillId="0" borderId="7" xfId="10" applyNumberFormat="1" applyFont="1" applyBorder="1" applyAlignment="1" applyProtection="1">
      <alignment vertical="center" shrinkToFit="1"/>
    </xf>
    <xf numFmtId="177" fontId="70" fillId="18" borderId="7" xfId="10" applyNumberFormat="1" applyFont="1" applyFill="1" applyBorder="1" applyAlignment="1" applyProtection="1">
      <alignment horizontal="right" vertical="center" shrinkToFit="1"/>
    </xf>
    <xf numFmtId="177" fontId="70" fillId="0" borderId="7" xfId="10" applyNumberFormat="1" applyFont="1" applyBorder="1" applyAlignment="1" applyProtection="1">
      <alignment horizontal="right" vertical="center" shrinkToFit="1"/>
    </xf>
    <xf numFmtId="0" fontId="70" fillId="0" borderId="20" xfId="0" applyFont="1" applyBorder="1" applyAlignment="1" applyProtection="1">
      <alignment horizontal="left" vertical="center"/>
    </xf>
    <xf numFmtId="0" fontId="70" fillId="0" borderId="14" xfId="10" applyFont="1" applyBorder="1" applyAlignment="1" applyProtection="1">
      <alignment horizontal="center" vertical="center"/>
    </xf>
    <xf numFmtId="0" fontId="70" fillId="0" borderId="23" xfId="0" applyFont="1" applyBorder="1" applyAlignment="1" applyProtection="1">
      <alignment horizontal="left" vertical="center"/>
    </xf>
    <xf numFmtId="0" fontId="70" fillId="0" borderId="24" xfId="10" applyFont="1" applyBorder="1" applyAlignment="1" applyProtection="1">
      <alignment horizontal="center" vertical="center"/>
    </xf>
    <xf numFmtId="0" fontId="67" fillId="0" borderId="20" xfId="0" applyFont="1" applyBorder="1" applyAlignment="1" applyProtection="1">
      <alignment horizontal="left" vertical="center"/>
    </xf>
    <xf numFmtId="0" fontId="67" fillId="0" borderId="14" xfId="10" applyFont="1" applyBorder="1" applyAlignment="1" applyProtection="1">
      <alignment horizontal="center" vertical="center"/>
    </xf>
    <xf numFmtId="0" fontId="67" fillId="0" borderId="23" xfId="0" applyFont="1" applyBorder="1" applyAlignment="1" applyProtection="1">
      <alignment horizontal="left" vertical="center"/>
    </xf>
    <xf numFmtId="0" fontId="67" fillId="0" borderId="52" xfId="0" applyFont="1" applyBorder="1" applyAlignment="1" applyProtection="1">
      <alignment horizontal="left" vertical="center"/>
    </xf>
    <xf numFmtId="177" fontId="67" fillId="0" borderId="7" xfId="10" applyNumberFormat="1" applyFont="1" applyBorder="1" applyAlignment="1" applyProtection="1">
      <alignment vertical="center" shrinkToFit="1"/>
    </xf>
    <xf numFmtId="0" fontId="67" fillId="0" borderId="20" xfId="0" applyFont="1" applyBorder="1" applyAlignment="1" applyProtection="1">
      <alignment vertical="top"/>
    </xf>
    <xf numFmtId="0" fontId="70" fillId="0" borderId="23" xfId="0" applyFont="1" applyBorder="1" applyAlignment="1" applyProtection="1">
      <alignment vertical="top"/>
    </xf>
    <xf numFmtId="0" fontId="70" fillId="0" borderId="20" xfId="0" applyFont="1" applyBorder="1" applyAlignment="1" applyProtection="1">
      <alignment vertical="top" wrapText="1"/>
    </xf>
    <xf numFmtId="0" fontId="70" fillId="0" borderId="23" xfId="0" applyFont="1" applyBorder="1" applyAlignment="1" applyProtection="1">
      <alignment vertical="top" wrapText="1"/>
    </xf>
    <xf numFmtId="0" fontId="70" fillId="0" borderId="7" xfId="0" applyFont="1" applyBorder="1" applyAlignment="1" applyProtection="1">
      <alignment vertical="top" wrapText="1"/>
    </xf>
    <xf numFmtId="0" fontId="70" fillId="0" borderId="52" xfId="0" applyFont="1" applyBorder="1" applyAlignment="1" applyProtection="1">
      <alignment vertical="top" wrapText="1"/>
    </xf>
    <xf numFmtId="0" fontId="70" fillId="0" borderId="52" xfId="0" applyFont="1" applyBorder="1" applyAlignment="1" applyProtection="1">
      <alignment horizontal="left" vertical="top"/>
    </xf>
    <xf numFmtId="0" fontId="70" fillId="0" borderId="8" xfId="0" applyFont="1" applyBorder="1" applyAlignment="1" applyProtection="1">
      <alignment horizontal="left" vertical="top" wrapText="1"/>
    </xf>
    <xf numFmtId="0" fontId="67" fillId="0" borderId="24" xfId="0" applyFont="1" applyBorder="1" applyAlignment="1" applyProtection="1">
      <alignment horizontal="left" vertical="center"/>
    </xf>
    <xf numFmtId="0" fontId="70" fillId="0" borderId="23" xfId="0" applyFont="1" applyBorder="1" applyAlignment="1" applyProtection="1">
      <alignment horizontal="left" vertical="top"/>
    </xf>
    <xf numFmtId="0" fontId="67" fillId="0" borderId="8" xfId="0" applyFont="1" applyBorder="1" applyAlignment="1" applyProtection="1">
      <alignment horizontal="right" vertical="center"/>
    </xf>
    <xf numFmtId="0" fontId="67" fillId="12" borderId="12" xfId="10" applyFont="1" applyFill="1" applyBorder="1" applyAlignment="1" applyProtection="1">
      <alignment horizontal="center" vertical="center"/>
    </xf>
    <xf numFmtId="0" fontId="67" fillId="12" borderId="7" xfId="0" applyFont="1" applyFill="1" applyBorder="1" applyAlignment="1" applyProtection="1">
      <alignment horizontal="center" vertical="center"/>
    </xf>
    <xf numFmtId="177" fontId="67" fillId="12" borderId="7" xfId="10" applyNumberFormat="1" applyFont="1" applyFill="1" applyBorder="1" applyAlignment="1" applyProtection="1">
      <alignment vertical="center" shrinkToFit="1"/>
    </xf>
    <xf numFmtId="0" fontId="67" fillId="12" borderId="0" xfId="10" applyFont="1" applyFill="1" applyAlignment="1" applyProtection="1">
      <alignment vertical="center" wrapText="1"/>
    </xf>
    <xf numFmtId="0" fontId="87" fillId="12" borderId="8" xfId="10" applyFont="1" applyFill="1" applyBorder="1" applyProtection="1">
      <alignment vertical="center"/>
    </xf>
    <xf numFmtId="0" fontId="67" fillId="12" borderId="52" xfId="10" applyFont="1" applyFill="1" applyBorder="1" applyAlignment="1" applyProtection="1">
      <alignment horizontal="left" vertical="center" shrinkToFit="1"/>
    </xf>
    <xf numFmtId="0" fontId="70" fillId="12" borderId="8" xfId="10" applyFont="1" applyFill="1" applyBorder="1" applyProtection="1">
      <alignment vertical="center"/>
    </xf>
    <xf numFmtId="0" fontId="67" fillId="12" borderId="12" xfId="10" applyFont="1" applyFill="1" applyBorder="1" applyAlignment="1" applyProtection="1">
      <alignment vertical="center" shrinkToFit="1"/>
    </xf>
    <xf numFmtId="0" fontId="67" fillId="12" borderId="8" xfId="10" applyFont="1" applyFill="1" applyBorder="1" applyAlignment="1" applyProtection="1">
      <alignment vertical="center" wrapText="1"/>
    </xf>
    <xf numFmtId="0" fontId="86" fillId="0" borderId="0" xfId="9" applyFont="1" applyFill="1" applyAlignment="1" applyProtection="1">
      <alignment vertical="center" shrinkToFit="1"/>
    </xf>
    <xf numFmtId="0" fontId="67" fillId="0" borderId="8" xfId="10" applyFont="1" applyFill="1" applyBorder="1" applyProtection="1">
      <alignment vertical="center"/>
    </xf>
    <xf numFmtId="0" fontId="87" fillId="0" borderId="8" xfId="10" applyFont="1" applyFill="1" applyBorder="1" applyProtection="1">
      <alignment vertical="center"/>
    </xf>
    <xf numFmtId="0" fontId="67" fillId="0" borderId="8" xfId="10" applyFont="1" applyFill="1" applyBorder="1" applyAlignment="1" applyProtection="1">
      <alignment horizontal="center" vertical="center"/>
    </xf>
    <xf numFmtId="0" fontId="67" fillId="0" borderId="7" xfId="0" applyFont="1" applyFill="1" applyBorder="1" applyAlignment="1" applyProtection="1">
      <alignment horizontal="center" vertical="center"/>
    </xf>
    <xf numFmtId="186" fontId="67" fillId="0" borderId="93" xfId="10" applyNumberFormat="1" applyFont="1" applyFill="1" applyBorder="1" applyAlignment="1" applyProtection="1">
      <alignment vertical="center" shrinkToFit="1"/>
    </xf>
    <xf numFmtId="0" fontId="67" fillId="0" borderId="0" xfId="10" applyFont="1" applyFill="1" applyAlignment="1" applyProtection="1">
      <alignment horizontal="right" vertical="center"/>
    </xf>
    <xf numFmtId="0" fontId="67" fillId="0" borderId="0" xfId="10" applyFont="1" applyFill="1" applyProtection="1">
      <alignment vertical="center"/>
    </xf>
    <xf numFmtId="0" fontId="64" fillId="0" borderId="20" xfId="10" applyFont="1" applyFill="1" applyBorder="1" applyAlignment="1" applyProtection="1">
      <alignment vertical="top"/>
    </xf>
    <xf numFmtId="0" fontId="67" fillId="0" borderId="8" xfId="10" applyFont="1" applyFill="1" applyBorder="1" applyAlignment="1" applyProtection="1">
      <alignment vertical="top" wrapText="1"/>
    </xf>
    <xf numFmtId="0" fontId="67" fillId="0" borderId="52" xfId="10" applyFont="1" applyFill="1" applyBorder="1" applyProtection="1">
      <alignment vertical="center"/>
    </xf>
    <xf numFmtId="186" fontId="67" fillId="0" borderId="7" xfId="10" applyNumberFormat="1" applyFont="1" applyFill="1" applyBorder="1" applyAlignment="1" applyProtection="1">
      <alignment vertical="center" shrinkToFit="1"/>
    </xf>
    <xf numFmtId="0" fontId="67" fillId="0" borderId="52" xfId="10" applyFont="1" applyFill="1" applyBorder="1" applyAlignment="1" applyProtection="1">
      <alignment vertical="top"/>
    </xf>
    <xf numFmtId="0" fontId="67" fillId="0" borderId="52" xfId="10" applyFont="1" applyFill="1" applyBorder="1" applyAlignment="1" applyProtection="1">
      <alignment horizontal="left" vertical="center" shrinkToFit="1"/>
    </xf>
    <xf numFmtId="0" fontId="67" fillId="0" borderId="12" xfId="10" applyFont="1" applyFill="1" applyBorder="1" applyAlignment="1" applyProtection="1">
      <alignment vertical="center" shrinkToFit="1"/>
    </xf>
    <xf numFmtId="0" fontId="67" fillId="0" borderId="52" xfId="10" applyFont="1" applyFill="1" applyBorder="1" applyAlignment="1" applyProtection="1">
      <alignment horizontal="left" vertical="top"/>
    </xf>
    <xf numFmtId="0" fontId="67" fillId="12" borderId="52" xfId="0" applyFont="1" applyFill="1" applyBorder="1" applyAlignment="1" applyProtection="1">
      <alignment vertical="top"/>
    </xf>
    <xf numFmtId="0" fontId="64" fillId="12" borderId="8" xfId="0" applyFont="1" applyFill="1" applyBorder="1" applyAlignment="1" applyProtection="1">
      <alignment vertical="top" wrapText="1"/>
    </xf>
    <xf numFmtId="0" fontId="67" fillId="0" borderId="49" xfId="10" applyFont="1" applyBorder="1" applyAlignment="1" applyProtection="1">
      <alignment horizontal="center" vertical="center"/>
    </xf>
    <xf numFmtId="0" fontId="70" fillId="0" borderId="52" xfId="0" applyFont="1" applyBorder="1" applyAlignment="1" applyProtection="1">
      <alignment horizontal="left" vertical="center"/>
    </xf>
    <xf numFmtId="0" fontId="70" fillId="0" borderId="20" xfId="0" applyFont="1" applyBorder="1" applyAlignment="1" applyProtection="1">
      <alignment vertical="top"/>
    </xf>
    <xf numFmtId="0" fontId="67" fillId="18" borderId="0" xfId="10" applyFont="1" applyFill="1" applyProtection="1">
      <alignment vertical="center"/>
    </xf>
    <xf numFmtId="177" fontId="67" fillId="0" borderId="72" xfId="10" applyNumberFormat="1" applyFont="1" applyBorder="1" applyAlignment="1" applyProtection="1">
      <alignment horizontal="right" vertical="center" shrinkToFit="1"/>
    </xf>
    <xf numFmtId="186" fontId="67" fillId="11" borderId="72" xfId="10" applyNumberFormat="1" applyFont="1" applyFill="1" applyBorder="1" applyAlignment="1" applyProtection="1">
      <alignment vertical="center" shrinkToFit="1"/>
    </xf>
    <xf numFmtId="0" fontId="64" fillId="12" borderId="20" xfId="10" applyFont="1" applyFill="1" applyBorder="1" applyAlignment="1" applyProtection="1">
      <alignment vertical="top"/>
    </xf>
    <xf numFmtId="0" fontId="67" fillId="12" borderId="8" xfId="10" applyFont="1" applyFill="1" applyBorder="1" applyAlignment="1" applyProtection="1">
      <alignment vertical="top" wrapText="1"/>
    </xf>
    <xf numFmtId="177" fontId="67" fillId="12" borderId="78" xfId="0" applyNumberFormat="1" applyFont="1" applyFill="1" applyBorder="1" applyAlignment="1" applyProtection="1">
      <alignment horizontal="right" vertical="center" shrinkToFit="1"/>
    </xf>
    <xf numFmtId="0" fontId="67" fillId="12" borderId="52" xfId="10" applyFont="1" applyFill="1" applyBorder="1" applyProtection="1">
      <alignment vertical="center"/>
    </xf>
    <xf numFmtId="0" fontId="67" fillId="12" borderId="52" xfId="10" applyFont="1" applyFill="1" applyBorder="1" applyAlignment="1" applyProtection="1">
      <alignment horizontal="left" vertical="top"/>
    </xf>
    <xf numFmtId="177" fontId="67" fillId="11" borderId="72" xfId="0" applyNumberFormat="1" applyFont="1" applyFill="1" applyBorder="1" applyAlignment="1" applyProtection="1">
      <alignment horizontal="right" vertical="center" shrinkToFit="1"/>
    </xf>
    <xf numFmtId="177" fontId="67" fillId="11" borderId="78" xfId="0" applyNumberFormat="1" applyFont="1" applyFill="1" applyBorder="1" applyAlignment="1" applyProtection="1">
      <alignment horizontal="right" vertical="center" shrinkToFit="1"/>
    </xf>
    <xf numFmtId="0" fontId="64" fillId="0" borderId="52" xfId="10" applyFont="1" applyBorder="1" applyAlignment="1" applyProtection="1">
      <alignment vertical="top"/>
    </xf>
    <xf numFmtId="0" fontId="64" fillId="0" borderId="8" xfId="10" applyFont="1" applyBorder="1" applyAlignment="1" applyProtection="1">
      <alignment vertical="top"/>
    </xf>
    <xf numFmtId="0" fontId="55" fillId="13" borderId="214" xfId="9" applyFont="1" applyFill="1" applyBorder="1" applyAlignment="1">
      <alignment horizontal="center" vertical="center" wrapText="1" shrinkToFit="1"/>
    </xf>
    <xf numFmtId="0" fontId="55" fillId="13" borderId="0" xfId="9" applyFont="1" applyFill="1" applyAlignment="1">
      <alignment horizontal="center" vertical="center" wrapText="1" shrinkToFit="1"/>
    </xf>
    <xf numFmtId="0" fontId="55" fillId="13" borderId="215" xfId="9" applyFont="1" applyFill="1" applyBorder="1" applyAlignment="1">
      <alignment horizontal="center" vertical="center" wrapText="1" shrinkToFit="1"/>
    </xf>
    <xf numFmtId="0" fontId="65" fillId="0" borderId="82" xfId="0" applyFont="1" applyBorder="1" applyAlignment="1">
      <alignment horizontal="center" vertical="center"/>
    </xf>
    <xf numFmtId="0" fontId="65" fillId="0" borderId="80" xfId="0" applyFont="1" applyBorder="1" applyAlignment="1">
      <alignment horizontal="center" vertical="center"/>
    </xf>
    <xf numFmtId="0" fontId="65" fillId="0" borderId="83" xfId="0" applyFont="1" applyBorder="1" applyAlignment="1">
      <alignment horizontal="center" vertical="center"/>
    </xf>
    <xf numFmtId="0" fontId="67" fillId="0" borderId="84" xfId="0" applyFont="1" applyBorder="1" applyAlignment="1">
      <alignment horizontal="center" vertical="center" wrapText="1"/>
    </xf>
    <xf numFmtId="0" fontId="67" fillId="0" borderId="85" xfId="0" applyFont="1" applyBorder="1" applyAlignment="1">
      <alignment horizontal="center" vertical="center" wrapText="1"/>
    </xf>
    <xf numFmtId="0" fontId="67" fillId="0" borderId="85" xfId="0" applyFont="1" applyBorder="1" applyAlignment="1">
      <alignment horizontal="center" vertical="center"/>
    </xf>
    <xf numFmtId="0" fontId="67" fillId="0" borderId="88" xfId="0" applyFont="1" applyBorder="1" applyAlignment="1">
      <alignment horizontal="center" vertical="center"/>
    </xf>
    <xf numFmtId="0" fontId="67" fillId="0" borderId="84" xfId="0" applyFont="1" applyBorder="1" applyAlignment="1">
      <alignment horizontal="center" vertical="center"/>
    </xf>
    <xf numFmtId="0" fontId="67" fillId="0" borderId="86" xfId="0" applyFont="1" applyBorder="1" applyAlignment="1">
      <alignment horizontal="center" vertical="center"/>
    </xf>
    <xf numFmtId="0" fontId="65" fillId="0" borderId="98" xfId="0" applyFont="1" applyBorder="1" applyAlignment="1">
      <alignment horizontal="center" vertical="center" wrapText="1"/>
    </xf>
    <xf numFmtId="0" fontId="65" fillId="0" borderId="115" xfId="0" applyFont="1" applyBorder="1" applyAlignment="1">
      <alignment horizontal="center" vertical="center"/>
    </xf>
    <xf numFmtId="0" fontId="69" fillId="7" borderId="0" xfId="1" applyFill="1" applyAlignment="1" applyProtection="1">
      <alignment horizontal="left"/>
    </xf>
    <xf numFmtId="0" fontId="69" fillId="7" borderId="109" xfId="1" applyFill="1" applyBorder="1" applyAlignment="1" applyProtection="1">
      <alignment horizontal="left"/>
    </xf>
    <xf numFmtId="0" fontId="65" fillId="0" borderId="150" xfId="0" applyFont="1" applyBorder="1" applyAlignment="1">
      <alignment horizontal="center" vertical="center"/>
    </xf>
    <xf numFmtId="0" fontId="65" fillId="0" borderId="151" xfId="0" applyFont="1" applyBorder="1" applyAlignment="1">
      <alignment horizontal="center" vertical="center"/>
    </xf>
    <xf numFmtId="0" fontId="67" fillId="0" borderId="91" xfId="0" applyFont="1" applyBorder="1" applyAlignment="1">
      <alignment horizontal="center" vertical="center"/>
    </xf>
    <xf numFmtId="0" fontId="67" fillId="0" borderId="7" xfId="0" applyFont="1" applyBorder="1" applyAlignment="1">
      <alignment horizontal="center" vertical="center"/>
    </xf>
    <xf numFmtId="0" fontId="67" fillId="7" borderId="7" xfId="0" applyFont="1" applyFill="1" applyBorder="1" applyAlignment="1" applyProtection="1">
      <alignment horizontal="center" vertical="center" shrinkToFit="1"/>
      <protection locked="0"/>
    </xf>
    <xf numFmtId="0" fontId="67" fillId="7" borderId="52" xfId="0" applyFont="1" applyFill="1" applyBorder="1" applyAlignment="1" applyProtection="1">
      <alignment horizontal="center" vertical="center" shrinkToFit="1"/>
      <protection locked="0"/>
    </xf>
    <xf numFmtId="0" fontId="67" fillId="7" borderId="91" xfId="0" applyFont="1" applyFill="1" applyBorder="1" applyAlignment="1" applyProtection="1">
      <alignment horizontal="center" vertical="center" shrinkToFit="1"/>
      <protection locked="0"/>
    </xf>
    <xf numFmtId="0" fontId="67" fillId="7" borderId="92" xfId="0" applyFont="1" applyFill="1" applyBorder="1" applyAlignment="1" applyProtection="1">
      <alignment horizontal="center" vertical="center" shrinkToFit="1"/>
      <protection locked="0"/>
    </xf>
    <xf numFmtId="0" fontId="67" fillId="0" borderId="101" xfId="0" applyFont="1" applyBorder="1" applyAlignment="1">
      <alignment horizontal="center" vertical="center"/>
    </xf>
    <xf numFmtId="0" fontId="67" fillId="0" borderId="105" xfId="0" applyFont="1" applyBorder="1" applyAlignment="1">
      <alignment horizontal="center" vertical="center"/>
    </xf>
    <xf numFmtId="176" fontId="67" fillId="7" borderId="105" xfId="0" applyNumberFormat="1" applyFont="1" applyFill="1" applyBorder="1" applyAlignment="1" applyProtection="1">
      <alignment horizontal="center" vertical="center" shrinkToFit="1"/>
      <protection locked="0"/>
    </xf>
    <xf numFmtId="176" fontId="67" fillId="7" borderId="99" xfId="0" applyNumberFormat="1" applyFont="1" applyFill="1" applyBorder="1" applyAlignment="1" applyProtection="1">
      <alignment horizontal="center" vertical="center" shrinkToFit="1"/>
      <protection locked="0"/>
    </xf>
    <xf numFmtId="176" fontId="67" fillId="7" borderId="101" xfId="0" applyNumberFormat="1" applyFont="1" applyFill="1" applyBorder="1" applyAlignment="1" applyProtection="1">
      <alignment horizontal="center" vertical="center" shrinkToFit="1"/>
      <protection locked="0"/>
    </xf>
    <xf numFmtId="176" fontId="67" fillId="7" borderId="102" xfId="0" applyNumberFormat="1" applyFont="1" applyFill="1" applyBorder="1" applyAlignment="1" applyProtection="1">
      <alignment horizontal="center" vertical="center" shrinkToFit="1"/>
      <protection locked="0"/>
    </xf>
    <xf numFmtId="0" fontId="65" fillId="0" borderId="82" xfId="0" applyFont="1" applyBorder="1" applyAlignment="1">
      <alignment horizontal="center"/>
    </xf>
    <xf numFmtId="0" fontId="65" fillId="0" borderId="80" xfId="0" applyFont="1" applyBorder="1" applyAlignment="1">
      <alignment horizontal="center"/>
    </xf>
    <xf numFmtId="0" fontId="65" fillId="0" borderId="83" xfId="0" applyFont="1" applyBorder="1" applyAlignment="1">
      <alignment horizontal="center"/>
    </xf>
    <xf numFmtId="0" fontId="59" fillId="0" borderId="107" xfId="0" applyFont="1" applyBorder="1" applyAlignment="1">
      <alignment horizontal="center" shrinkToFit="1"/>
    </xf>
    <xf numFmtId="0" fontId="59" fillId="0" borderId="0" xfId="0" applyFont="1" applyAlignment="1">
      <alignment horizontal="center" shrinkToFit="1"/>
    </xf>
    <xf numFmtId="0" fontId="59" fillId="0" borderId="154" xfId="0" applyFont="1" applyBorder="1" applyAlignment="1">
      <alignment horizontal="center"/>
    </xf>
    <xf numFmtId="0" fontId="59" fillId="0" borderId="17" xfId="0" applyFont="1" applyBorder="1" applyAlignment="1">
      <alignment horizontal="center"/>
    </xf>
    <xf numFmtId="0" fontId="59" fillId="0" borderId="75" xfId="0" applyFont="1" applyBorder="1" applyAlignment="1">
      <alignment horizontal="center" shrinkToFit="1"/>
    </xf>
    <xf numFmtId="0" fontId="59" fillId="0" borderId="76" xfId="0" applyFont="1" applyBorder="1" applyAlignment="1">
      <alignment horizontal="center" shrinkToFit="1"/>
    </xf>
    <xf numFmtId="0" fontId="59" fillId="0" borderId="77" xfId="0" applyFont="1" applyBorder="1" applyAlignment="1">
      <alignment horizontal="center" shrinkToFit="1"/>
    </xf>
    <xf numFmtId="0" fontId="59" fillId="0" borderId="7" xfId="0" applyFont="1" applyBorder="1" applyAlignment="1">
      <alignment horizontal="center" vertical="center"/>
    </xf>
    <xf numFmtId="0" fontId="59" fillId="0" borderId="7" xfId="0" applyFont="1" applyBorder="1" applyAlignment="1">
      <alignment horizontal="center"/>
    </xf>
    <xf numFmtId="0" fontId="59" fillId="0" borderId="75" xfId="0" applyFont="1" applyBorder="1" applyAlignment="1">
      <alignment horizontal="center" vertical="center" wrapText="1"/>
    </xf>
    <xf numFmtId="0" fontId="59" fillId="0" borderId="76" xfId="0" applyFont="1" applyBorder="1" applyAlignment="1">
      <alignment horizontal="center" vertical="center" wrapText="1"/>
    </xf>
    <xf numFmtId="0" fontId="59" fillId="0" borderId="77" xfId="0" applyFont="1" applyBorder="1" applyAlignment="1">
      <alignment horizontal="center" vertical="center" wrapText="1"/>
    </xf>
    <xf numFmtId="0" fontId="59" fillId="0" borderId="116" xfId="0" applyFont="1" applyBorder="1" applyAlignment="1">
      <alignment horizontal="center" vertical="center" wrapText="1"/>
    </xf>
    <xf numFmtId="0" fontId="59" fillId="0" borderId="117" xfId="0" applyFont="1" applyBorder="1" applyAlignment="1">
      <alignment horizontal="center" vertical="center" wrapText="1"/>
    </xf>
    <xf numFmtId="0" fontId="59" fillId="0" borderId="119" xfId="0" applyFont="1" applyBorder="1" applyAlignment="1">
      <alignment horizontal="center" vertical="center" wrapText="1"/>
    </xf>
    <xf numFmtId="0" fontId="59" fillId="0" borderId="108" xfId="9" applyFont="1" applyBorder="1" applyAlignment="1">
      <alignment horizontal="center" vertical="center"/>
    </xf>
    <xf numFmtId="0" fontId="59" fillId="0" borderId="190" xfId="9" applyFont="1" applyBorder="1" applyAlignment="1">
      <alignment horizontal="center" vertical="center"/>
    </xf>
    <xf numFmtId="0" fontId="59" fillId="0" borderId="154" xfId="9" applyFont="1" applyBorder="1" applyAlignment="1">
      <alignment horizontal="center" vertical="center"/>
    </xf>
    <xf numFmtId="0" fontId="59" fillId="0" borderId="194" xfId="9" applyFont="1" applyBorder="1" applyAlignment="1">
      <alignment horizontal="center" vertical="center"/>
    </xf>
    <xf numFmtId="0" fontId="59" fillId="0" borderId="192" xfId="0" applyFont="1" applyBorder="1" applyAlignment="1">
      <alignment horizontal="center" vertical="center" wrapText="1"/>
    </xf>
    <xf numFmtId="0" fontId="59" fillId="0" borderId="196" xfId="0" applyFont="1" applyBorder="1" applyAlignment="1">
      <alignment horizontal="center" vertical="center" wrapText="1"/>
    </xf>
    <xf numFmtId="0" fontId="59" fillId="0" borderId="84" xfId="0" applyFont="1" applyBorder="1" applyAlignment="1">
      <alignment horizontal="center" vertical="center" wrapText="1"/>
    </xf>
    <xf numFmtId="0" fontId="59" fillId="0" borderId="91" xfId="0" applyFont="1" applyBorder="1" applyAlignment="1">
      <alignment horizontal="center" vertical="center" wrapText="1"/>
    </xf>
    <xf numFmtId="0" fontId="59" fillId="0" borderId="101" xfId="0" applyFont="1" applyBorder="1" applyAlignment="1">
      <alignment horizontal="center" vertical="center" wrapText="1"/>
    </xf>
    <xf numFmtId="0" fontId="59" fillId="0" borderId="26" xfId="0" applyFont="1" applyBorder="1" applyAlignment="1">
      <alignment horizontal="center" vertical="center"/>
    </xf>
    <xf numFmtId="0" fontId="59" fillId="0" borderId="156" xfId="0" applyFont="1" applyBorder="1" applyAlignment="1">
      <alignment horizontal="center" vertical="center"/>
    </xf>
    <xf numFmtId="0" fontId="5" fillId="0" borderId="7" xfId="0" applyFont="1" applyFill="1" applyBorder="1" applyAlignment="1" applyProtection="1">
      <alignment horizontal="center" vertical="top" wrapText="1"/>
    </xf>
    <xf numFmtId="0" fontId="22" fillId="0" borderId="52" xfId="0" applyFont="1" applyFill="1" applyBorder="1" applyAlignment="1" applyProtection="1">
      <alignment horizontal="center" vertical="center" wrapText="1"/>
    </xf>
    <xf numFmtId="0" fontId="25" fillId="0" borderId="8" xfId="0" applyFont="1" applyBorder="1" applyAlignment="1" applyProtection="1">
      <alignment horizontal="center" vertical="center" wrapText="1"/>
    </xf>
    <xf numFmtId="0" fontId="20" fillId="3" borderId="8" xfId="0" applyFont="1" applyFill="1" applyBorder="1" applyAlignment="1" applyProtection="1">
      <alignment horizontal="left" vertical="top" wrapText="1"/>
    </xf>
    <xf numFmtId="0" fontId="26" fillId="3" borderId="8" xfId="0" applyFont="1" applyFill="1" applyBorder="1" applyAlignment="1" applyProtection="1">
      <alignment horizontal="left" vertical="top" wrapText="1"/>
    </xf>
    <xf numFmtId="0" fontId="26" fillId="3" borderId="12" xfId="0" applyFont="1" applyFill="1" applyBorder="1" applyAlignment="1" applyProtection="1">
      <alignment horizontal="left" vertical="top" wrapText="1"/>
    </xf>
    <xf numFmtId="0" fontId="15" fillId="0" borderId="27" xfId="0" applyFont="1" applyFill="1" applyBorder="1" applyAlignment="1" applyProtection="1">
      <alignment horizontal="distributed" vertical="center"/>
    </xf>
    <xf numFmtId="0" fontId="15" fillId="0" borderId="24" xfId="0" applyFont="1" applyFill="1" applyBorder="1" applyAlignment="1" applyProtection="1">
      <alignment horizontal="distributed" vertical="center"/>
    </xf>
    <xf numFmtId="0" fontId="69" fillId="3" borderId="24" xfId="1" applyFill="1" applyBorder="1" applyAlignment="1" applyProtection="1">
      <alignment vertical="center"/>
      <protection locked="0"/>
    </xf>
    <xf numFmtId="0" fontId="5" fillId="3" borderId="24" xfId="0" applyFont="1" applyFill="1" applyBorder="1" applyAlignment="1" applyProtection="1">
      <alignment vertical="center"/>
      <protection locked="0"/>
    </xf>
    <xf numFmtId="0" fontId="5" fillId="3" borderId="49" xfId="0" applyFont="1" applyFill="1" applyBorder="1" applyAlignment="1" applyProtection="1">
      <alignment vertical="center"/>
      <protection locked="0"/>
    </xf>
    <xf numFmtId="0" fontId="5" fillId="0" borderId="24" xfId="0" applyFont="1" applyBorder="1" applyAlignment="1" applyProtection="1">
      <alignment vertical="center"/>
    </xf>
    <xf numFmtId="0" fontId="5" fillId="0" borderId="49" xfId="0" applyFont="1" applyBorder="1" applyAlignment="1" applyProtection="1">
      <alignment vertical="center"/>
    </xf>
    <xf numFmtId="0" fontId="5" fillId="0" borderId="8" xfId="0" applyFont="1" applyFill="1" applyBorder="1" applyAlignment="1" applyProtection="1">
      <alignment horizontal="center" vertical="center"/>
    </xf>
    <xf numFmtId="0" fontId="20" fillId="3" borderId="8" xfId="0" applyFont="1" applyFill="1" applyBorder="1" applyAlignment="1" applyProtection="1">
      <alignment horizontal="left" vertical="center" wrapText="1"/>
      <protection locked="0"/>
    </xf>
    <xf numFmtId="0" fontId="0" fillId="0" borderId="8" xfId="0" applyBorder="1" applyAlignment="1">
      <alignment vertical="center" wrapText="1"/>
    </xf>
    <xf numFmtId="0" fontId="0" fillId="0" borderId="12" xfId="0" applyBorder="1" applyAlignment="1">
      <alignment vertical="center" wrapText="1"/>
    </xf>
    <xf numFmtId="0" fontId="0" fillId="0" borderId="8" xfId="0" applyBorder="1" applyAlignment="1">
      <alignment horizontal="center" vertical="center" wrapText="1"/>
    </xf>
    <xf numFmtId="49" fontId="5" fillId="2" borderId="0" xfId="0" applyNumberFormat="1" applyFont="1" applyFill="1" applyAlignment="1" applyProtection="1">
      <alignment horizontal="left" vertical="center" shrinkToFit="1"/>
    </xf>
    <xf numFmtId="0" fontId="5" fillId="0" borderId="0" xfId="0" applyFont="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Fill="1" applyBorder="1" applyAlignment="1" applyProtection="1">
      <alignment horizontal="distributed" vertical="center"/>
    </xf>
    <xf numFmtId="0" fontId="5" fillId="0" borderId="0" xfId="0" applyFont="1" applyFill="1" applyBorder="1" applyAlignment="1" applyProtection="1">
      <alignment horizontal="distributed" vertical="center"/>
    </xf>
    <xf numFmtId="49" fontId="5" fillId="2" borderId="0" xfId="0" applyNumberFormat="1"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0" borderId="6" xfId="0" applyFont="1" applyFill="1" applyBorder="1" applyAlignment="1" applyProtection="1">
      <alignment horizontal="center" vertical="center" shrinkToFit="1"/>
    </xf>
    <xf numFmtId="0" fontId="5" fillId="0" borderId="20" xfId="0" applyFont="1" applyFill="1" applyBorder="1" applyAlignment="1" applyProtection="1">
      <alignment horizontal="distributed" vertical="center"/>
    </xf>
    <xf numFmtId="0" fontId="5" fillId="0" borderId="14" xfId="0" applyFont="1" applyFill="1" applyBorder="1" applyAlignment="1" applyProtection="1">
      <alignment horizontal="distributed" vertical="center"/>
    </xf>
    <xf numFmtId="0" fontId="5" fillId="0" borderId="21" xfId="0" applyFont="1" applyFill="1" applyBorder="1" applyAlignment="1" applyProtection="1">
      <alignment horizontal="distributed" vertical="center"/>
    </xf>
    <xf numFmtId="0" fontId="5" fillId="0" borderId="16" xfId="0" applyFont="1" applyFill="1" applyBorder="1" applyAlignment="1" applyProtection="1">
      <alignment horizontal="distributed" vertical="center"/>
    </xf>
    <xf numFmtId="0" fontId="5" fillId="0" borderId="22" xfId="0" applyFont="1" applyFill="1" applyBorder="1" applyAlignment="1" applyProtection="1">
      <alignment horizontal="distributed" vertical="center"/>
    </xf>
    <xf numFmtId="0" fontId="5" fillId="0" borderId="23" xfId="0" applyFont="1" applyFill="1" applyBorder="1" applyAlignment="1" applyProtection="1">
      <alignment horizontal="distributed" vertical="center"/>
    </xf>
    <xf numFmtId="0" fontId="5" fillId="0" borderId="24" xfId="0" applyFont="1" applyFill="1" applyBorder="1" applyAlignment="1" applyProtection="1">
      <alignment horizontal="distributed" vertical="center"/>
    </xf>
    <xf numFmtId="0" fontId="5" fillId="0" borderId="25" xfId="0" applyFont="1" applyFill="1" applyBorder="1" applyAlignment="1" applyProtection="1">
      <alignment horizontal="distributed" vertical="center"/>
    </xf>
    <xf numFmtId="0" fontId="5" fillId="0" borderId="13" xfId="0" applyFont="1" applyFill="1" applyBorder="1" applyAlignment="1" applyProtection="1">
      <alignment horizontal="distributed" vertical="center"/>
    </xf>
    <xf numFmtId="49" fontId="5" fillId="2" borderId="14" xfId="0" applyNumberFormat="1" applyFont="1" applyFill="1" applyBorder="1" applyAlignment="1" applyProtection="1">
      <alignment horizontal="left" vertical="center" shrinkToFit="1"/>
      <protection locked="0"/>
    </xf>
    <xf numFmtId="49" fontId="5" fillId="2" borderId="26" xfId="0" applyNumberFormat="1" applyFont="1" applyFill="1" applyBorder="1" applyAlignment="1" applyProtection="1">
      <alignment horizontal="left" vertical="center" shrinkToFit="1"/>
      <protection locked="0"/>
    </xf>
    <xf numFmtId="49" fontId="5" fillId="2" borderId="14" xfId="0" applyNumberFormat="1" applyFont="1" applyFill="1" applyBorder="1" applyAlignment="1" applyProtection="1">
      <alignment horizontal="left" vertical="center" shrinkToFit="1"/>
    </xf>
    <xf numFmtId="49" fontId="5" fillId="2" borderId="26" xfId="0" applyNumberFormat="1" applyFont="1" applyFill="1" applyBorder="1" applyAlignment="1" applyProtection="1">
      <alignment horizontal="left" vertical="center" shrinkToFit="1"/>
    </xf>
    <xf numFmtId="0" fontId="5" fillId="0" borderId="0" xfId="0" applyFont="1" applyFill="1" applyBorder="1" applyAlignment="1" applyProtection="1">
      <alignment vertical="center"/>
    </xf>
    <xf numFmtId="0" fontId="5" fillId="0" borderId="28"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29" xfId="0" applyFont="1" applyFill="1" applyBorder="1" applyAlignment="1" applyProtection="1">
      <alignment horizontal="distributed" vertical="center"/>
    </xf>
    <xf numFmtId="0" fontId="5" fillId="0" borderId="11" xfId="0" applyFont="1" applyFill="1" applyBorder="1" applyAlignment="1" applyProtection="1">
      <alignment horizontal="distributed" vertical="center"/>
    </xf>
    <xf numFmtId="49" fontId="5" fillId="2" borderId="29" xfId="0" applyNumberFormat="1" applyFont="1" applyFill="1" applyBorder="1" applyAlignment="1" applyProtection="1">
      <alignment horizontal="left" vertical="center"/>
      <protection locked="0"/>
    </xf>
    <xf numFmtId="49" fontId="5" fillId="2" borderId="5" xfId="0" applyNumberFormat="1" applyFont="1" applyFill="1" applyBorder="1" applyAlignment="1" applyProtection="1">
      <alignment horizontal="left" vertical="center"/>
      <protection locked="0"/>
    </xf>
    <xf numFmtId="49" fontId="5" fillId="2" borderId="10" xfId="0" applyNumberFormat="1" applyFont="1" applyFill="1" applyBorder="1" applyAlignment="1" applyProtection="1">
      <alignment horizontal="left" vertical="center"/>
      <protection locked="0"/>
    </xf>
    <xf numFmtId="49" fontId="5" fillId="2" borderId="29" xfId="0" applyNumberFormat="1" applyFont="1" applyFill="1" applyBorder="1" applyAlignment="1" applyProtection="1">
      <alignment horizontal="left" vertical="center"/>
    </xf>
    <xf numFmtId="49" fontId="5" fillId="2" borderId="5" xfId="0" applyNumberFormat="1" applyFont="1" applyFill="1" applyBorder="1" applyAlignment="1" applyProtection="1">
      <alignment horizontal="left" vertical="center"/>
    </xf>
    <xf numFmtId="49" fontId="5" fillId="2" borderId="10" xfId="0" applyNumberFormat="1" applyFont="1" applyFill="1" applyBorder="1" applyAlignment="1" applyProtection="1">
      <alignment horizontal="left" vertical="center"/>
    </xf>
    <xf numFmtId="0" fontId="5" fillId="0" borderId="6" xfId="0" applyFont="1" applyFill="1" applyBorder="1" applyAlignment="1" applyProtection="1">
      <alignment vertical="center"/>
    </xf>
    <xf numFmtId="177" fontId="5" fillId="2" borderId="5" xfId="0" applyNumberFormat="1" applyFont="1" applyFill="1" applyBorder="1" applyAlignment="1" applyProtection="1">
      <alignment horizontal="right" vertical="center" shrinkToFit="1"/>
    </xf>
    <xf numFmtId="0" fontId="5" fillId="0" borderId="36" xfId="0" applyFont="1" applyFill="1" applyBorder="1" applyAlignment="1" applyProtection="1">
      <alignment vertical="center" textRotation="255" wrapText="1"/>
    </xf>
    <xf numFmtId="0" fontId="5" fillId="0" borderId="37" xfId="0" applyFont="1" applyFill="1" applyBorder="1" applyAlignment="1" applyProtection="1">
      <alignment vertical="center" textRotation="255" wrapText="1"/>
    </xf>
    <xf numFmtId="0" fontId="5" fillId="0" borderId="38" xfId="0" applyFont="1" applyFill="1" applyBorder="1" applyAlignment="1" applyProtection="1">
      <alignment vertical="center" textRotation="255" wrapText="1"/>
    </xf>
    <xf numFmtId="0" fontId="5" fillId="0" borderId="13" xfId="0" applyFont="1" applyFill="1" applyBorder="1" applyAlignment="1" applyProtection="1">
      <alignment horizontal="distributed" vertical="center" wrapText="1"/>
    </xf>
    <xf numFmtId="0" fontId="5" fillId="0" borderId="21" xfId="0" applyFont="1" applyBorder="1" applyAlignment="1" applyProtection="1">
      <alignment horizontal="distributed" vertical="center"/>
    </xf>
    <xf numFmtId="0" fontId="5" fillId="0" borderId="15" xfId="0" applyFont="1" applyBorder="1" applyAlignment="1" applyProtection="1">
      <alignment horizontal="distributed" vertical="center"/>
    </xf>
    <xf numFmtId="0" fontId="5" fillId="0" borderId="22" xfId="0" applyFont="1" applyBorder="1" applyAlignment="1" applyProtection="1">
      <alignment horizontal="distributed" vertical="center"/>
    </xf>
    <xf numFmtId="0" fontId="5" fillId="0" borderId="39" xfId="0" applyFont="1" applyBorder="1" applyAlignment="1" applyProtection="1">
      <alignment horizontal="distributed" vertical="center"/>
    </xf>
    <xf numFmtId="0" fontId="5" fillId="0" borderId="40" xfId="0" applyFont="1" applyBorder="1" applyAlignment="1" applyProtection="1">
      <alignment horizontal="distributed" vertical="center"/>
    </xf>
    <xf numFmtId="0" fontId="5" fillId="0" borderId="14" xfId="0" applyFont="1" applyFill="1" applyBorder="1" applyAlignment="1" applyProtection="1">
      <alignment vertical="center"/>
    </xf>
    <xf numFmtId="0" fontId="5" fillId="0" borderId="26" xfId="0" applyFont="1" applyFill="1" applyBorder="1" applyAlignment="1" applyProtection="1">
      <alignment vertical="center"/>
    </xf>
    <xf numFmtId="0" fontId="5" fillId="0" borderId="20" xfId="0" applyFont="1" applyFill="1" applyBorder="1" applyAlignment="1" applyProtection="1">
      <alignment horizontal="justify" vertical="center" wrapText="1"/>
    </xf>
    <xf numFmtId="0" fontId="5" fillId="0" borderId="14" xfId="0" applyFont="1" applyFill="1" applyBorder="1" applyAlignment="1" applyProtection="1">
      <alignment horizontal="justify" vertical="center" wrapText="1"/>
    </xf>
    <xf numFmtId="0" fontId="5" fillId="0" borderId="21" xfId="0" applyFont="1" applyFill="1" applyBorder="1" applyAlignment="1" applyProtection="1">
      <alignment horizontal="justify" vertical="center" wrapText="1"/>
    </xf>
    <xf numFmtId="0" fontId="5" fillId="0" borderId="16" xfId="0" applyFont="1" applyFill="1" applyBorder="1" applyAlignment="1" applyProtection="1">
      <alignment horizontal="justify" vertical="center" wrapText="1"/>
    </xf>
    <xf numFmtId="0" fontId="5" fillId="0" borderId="0" xfId="0" applyFont="1" applyFill="1" applyBorder="1" applyAlignment="1" applyProtection="1">
      <alignment horizontal="justify" vertical="center" wrapText="1"/>
    </xf>
    <xf numFmtId="0" fontId="5" fillId="0" borderId="22" xfId="0" applyFont="1" applyFill="1" applyBorder="1" applyAlignment="1" applyProtection="1">
      <alignment horizontal="justify" vertical="center" wrapText="1"/>
    </xf>
    <xf numFmtId="0" fontId="5" fillId="0" borderId="23" xfId="0" applyFont="1" applyBorder="1" applyAlignment="1" applyProtection="1">
      <alignment horizontal="justify" vertical="center" wrapText="1"/>
    </xf>
    <xf numFmtId="0" fontId="5" fillId="0" borderId="24" xfId="0" applyFont="1" applyBorder="1" applyAlignment="1" applyProtection="1">
      <alignment horizontal="justify" vertical="center" wrapText="1"/>
    </xf>
    <xf numFmtId="0" fontId="5" fillId="0" borderId="25" xfId="0" applyFont="1" applyBorder="1" applyAlignment="1" applyProtection="1">
      <alignment horizontal="justify" vertical="center" wrapText="1"/>
    </xf>
    <xf numFmtId="0" fontId="5" fillId="17" borderId="48" xfId="0" applyFont="1" applyFill="1" applyBorder="1" applyAlignment="1" applyProtection="1">
      <alignment horizontal="center" vertical="center" wrapText="1"/>
    </xf>
    <xf numFmtId="0" fontId="5" fillId="17" borderId="41" xfId="0"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5" fillId="0" borderId="39"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177" fontId="5" fillId="17" borderId="2" xfId="0" applyNumberFormat="1" applyFont="1" applyFill="1" applyBorder="1" applyAlignment="1" applyProtection="1">
      <alignment horizontal="right" vertical="center" shrinkToFit="1"/>
    </xf>
    <xf numFmtId="177" fontId="5" fillId="17" borderId="35" xfId="0" applyNumberFormat="1" applyFont="1" applyFill="1" applyBorder="1" applyAlignment="1" applyProtection="1">
      <alignment horizontal="right" vertical="center" shrinkToFit="1"/>
    </xf>
    <xf numFmtId="0" fontId="5" fillId="2" borderId="30" xfId="0" applyFont="1" applyFill="1" applyBorder="1" applyAlignment="1" applyProtection="1">
      <alignment horizontal="center" vertical="center" wrapText="1"/>
    </xf>
    <xf numFmtId="0" fontId="5" fillId="2" borderId="41" xfId="0" applyFont="1" applyFill="1" applyBorder="1" applyAlignment="1" applyProtection="1">
      <alignment horizontal="center" vertical="center" wrapText="1"/>
    </xf>
    <xf numFmtId="0" fontId="5" fillId="0" borderId="32" xfId="0" applyFont="1" applyFill="1" applyBorder="1" applyAlignment="1" applyProtection="1">
      <alignment horizontal="justify" vertical="center" wrapText="1"/>
    </xf>
    <xf numFmtId="0" fontId="5" fillId="0" borderId="33" xfId="0" applyFont="1" applyBorder="1" applyAlignment="1" applyProtection="1">
      <alignment horizontal="justify" vertical="center" wrapText="1"/>
    </xf>
    <xf numFmtId="0" fontId="5" fillId="0" borderId="34" xfId="0" applyFont="1" applyBorder="1" applyAlignment="1" applyProtection="1">
      <alignment horizontal="justify" vertical="center" wrapText="1"/>
    </xf>
    <xf numFmtId="0" fontId="5" fillId="0" borderId="39" xfId="0" applyFont="1" applyBorder="1" applyAlignment="1" applyProtection="1">
      <alignment horizontal="justify" vertical="center" wrapText="1"/>
    </xf>
    <xf numFmtId="0" fontId="5" fillId="0" borderId="28" xfId="0" applyFont="1" applyBorder="1" applyAlignment="1" applyProtection="1">
      <alignment horizontal="justify" vertical="center" wrapText="1"/>
    </xf>
    <xf numFmtId="0" fontId="5" fillId="0" borderId="40" xfId="0" applyFont="1" applyBorder="1" applyAlignment="1" applyProtection="1">
      <alignment horizontal="justify" vertical="center" wrapText="1"/>
    </xf>
    <xf numFmtId="177" fontId="5" fillId="2" borderId="2" xfId="0" applyNumberFormat="1" applyFont="1" applyFill="1" applyBorder="1" applyAlignment="1" applyProtection="1">
      <alignment horizontal="right" vertical="center" shrinkToFit="1"/>
    </xf>
    <xf numFmtId="177" fontId="5" fillId="2" borderId="35" xfId="0" applyNumberFormat="1" applyFont="1" applyFill="1" applyBorder="1" applyAlignment="1" applyProtection="1">
      <alignment horizontal="right" vertical="center" shrinkToFit="1"/>
    </xf>
    <xf numFmtId="177" fontId="5" fillId="17" borderId="13" xfId="0" applyNumberFormat="1" applyFont="1" applyFill="1" applyBorder="1" applyAlignment="1" applyProtection="1">
      <alignment horizontal="right" vertical="center" shrinkToFit="1"/>
    </xf>
    <xf numFmtId="177" fontId="5" fillId="17" borderId="14" xfId="0" applyNumberFormat="1" applyFont="1" applyFill="1" applyBorder="1" applyAlignment="1" applyProtection="1">
      <alignment horizontal="right" vertical="center" shrinkToFit="1"/>
    </xf>
    <xf numFmtId="0" fontId="5" fillId="17" borderId="30" xfId="0" applyFont="1" applyFill="1" applyBorder="1" applyAlignment="1" applyProtection="1">
      <alignment horizontal="center" vertical="center" wrapText="1"/>
    </xf>
    <xf numFmtId="0" fontId="5" fillId="17" borderId="31" xfId="0" applyFont="1" applyFill="1" applyBorder="1" applyAlignment="1" applyProtection="1">
      <alignment horizontal="center"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32"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5" fillId="0" borderId="34" xfId="0" applyFont="1" applyBorder="1" applyAlignment="1" applyProtection="1">
      <alignment horizontal="center" vertical="center" wrapText="1"/>
    </xf>
    <xf numFmtId="0" fontId="5" fillId="0" borderId="27"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2" borderId="31" xfId="0" applyFont="1" applyFill="1" applyBorder="1" applyAlignment="1" applyProtection="1">
      <alignment horizontal="center" vertical="center" wrapText="1"/>
    </xf>
    <xf numFmtId="0" fontId="5" fillId="0" borderId="27" xfId="0" applyFont="1" applyBorder="1" applyAlignment="1" applyProtection="1">
      <alignment horizontal="justify" vertical="center" wrapText="1"/>
    </xf>
    <xf numFmtId="0" fontId="5" fillId="0" borderId="33" xfId="0" applyFont="1" applyBorder="1" applyAlignment="1" applyProtection="1">
      <alignment horizontal="center" vertical="center" wrapText="1" shrinkToFit="1"/>
    </xf>
    <xf numFmtId="0" fontId="5" fillId="0" borderId="34" xfId="0" applyFont="1" applyBorder="1" applyAlignment="1" applyProtection="1">
      <alignment horizontal="center" vertical="center" wrapText="1" shrinkToFit="1"/>
    </xf>
    <xf numFmtId="0" fontId="5" fillId="0" borderId="24" xfId="0" applyFont="1" applyBorder="1" applyAlignment="1" applyProtection="1">
      <alignment horizontal="center" vertical="center" wrapText="1" shrinkToFit="1"/>
    </xf>
    <xf numFmtId="0" fontId="5" fillId="0" borderId="25" xfId="0" applyFont="1" applyBorder="1" applyAlignment="1" applyProtection="1">
      <alignment horizontal="center" vertical="center" wrapText="1" shrinkToFit="1"/>
    </xf>
    <xf numFmtId="177" fontId="5" fillId="17" borderId="5" xfId="0" applyNumberFormat="1" applyFont="1" applyFill="1" applyBorder="1" applyAlignment="1" applyProtection="1">
      <alignment horizontal="right" vertical="center" shrinkToFit="1"/>
    </xf>
    <xf numFmtId="0" fontId="5" fillId="0" borderId="13"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0" borderId="39" xfId="0" applyFont="1" applyFill="1" applyBorder="1" applyAlignment="1" applyProtection="1">
      <alignment horizontal="center" vertical="center" wrapText="1"/>
    </xf>
    <xf numFmtId="0" fontId="5" fillId="0" borderId="28" xfId="0" applyFont="1" applyFill="1" applyBorder="1" applyAlignment="1" applyProtection="1">
      <alignment horizontal="center" vertical="center" wrapText="1"/>
    </xf>
    <xf numFmtId="0" fontId="5" fillId="0" borderId="4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right" vertical="center"/>
    </xf>
    <xf numFmtId="49" fontId="5" fillId="2" borderId="0" xfId="0" applyNumberFormat="1" applyFont="1" applyFill="1" applyAlignment="1" applyProtection="1">
      <alignment horizontal="left" vertical="center" shrinkToFit="1"/>
      <protection locked="0"/>
    </xf>
    <xf numFmtId="0" fontId="5" fillId="0" borderId="6" xfId="0" applyFont="1" applyFill="1" applyBorder="1" applyAlignment="1" applyProtection="1">
      <alignment horizontal="center" vertical="center"/>
    </xf>
    <xf numFmtId="0" fontId="7" fillId="0" borderId="42" xfId="0" applyFont="1" applyFill="1" applyBorder="1" applyAlignment="1" applyProtection="1">
      <alignment horizontal="justify" vertical="center" wrapText="1"/>
    </xf>
    <xf numFmtId="0" fontId="7" fillId="0" borderId="43" xfId="0" applyFont="1" applyFill="1" applyBorder="1" applyAlignment="1" applyProtection="1">
      <alignment horizontal="justify" vertical="center" wrapText="1"/>
    </xf>
    <xf numFmtId="0" fontId="5" fillId="17" borderId="44" xfId="0" applyFont="1" applyFill="1" applyBorder="1" applyAlignment="1" applyProtection="1">
      <alignment horizontal="left" vertical="center" shrinkToFit="1"/>
    </xf>
    <xf numFmtId="0" fontId="5" fillId="17" borderId="45" xfId="0" applyFont="1" applyFill="1" applyBorder="1" applyAlignment="1" applyProtection="1">
      <alignment horizontal="left" vertical="center" shrinkToFit="1"/>
    </xf>
    <xf numFmtId="0" fontId="5" fillId="17" borderId="1" xfId="0" applyFont="1" applyFill="1" applyBorder="1" applyAlignment="1" applyProtection="1">
      <alignment horizontal="left" vertical="center" shrinkToFit="1"/>
    </xf>
    <xf numFmtId="0" fontId="5" fillId="0" borderId="42" xfId="0" applyFont="1" applyFill="1" applyBorder="1" applyAlignment="1" applyProtection="1">
      <alignment horizontal="justify" vertical="center" wrapText="1"/>
    </xf>
    <xf numFmtId="0" fontId="5" fillId="0" borderId="43" xfId="0" applyFont="1" applyFill="1" applyBorder="1" applyAlignment="1" applyProtection="1">
      <alignment horizontal="justify" vertical="center" wrapText="1"/>
    </xf>
    <xf numFmtId="0" fontId="5" fillId="2" borderId="44" xfId="0" applyFont="1" applyFill="1" applyBorder="1" applyAlignment="1" applyProtection="1">
      <alignment horizontal="left" vertical="center" wrapText="1"/>
    </xf>
    <xf numFmtId="0" fontId="5" fillId="2" borderId="45" xfId="0" applyFont="1" applyFill="1" applyBorder="1" applyAlignment="1" applyProtection="1">
      <alignment horizontal="left" vertical="center" wrapText="1"/>
    </xf>
    <xf numFmtId="0" fontId="5" fillId="2" borderId="1" xfId="0" applyFont="1" applyFill="1" applyBorder="1" applyAlignment="1" applyProtection="1">
      <alignment horizontal="left" vertical="center" wrapText="1"/>
    </xf>
    <xf numFmtId="0" fontId="7" fillId="0" borderId="46" xfId="0" applyFont="1" applyFill="1" applyBorder="1" applyAlignment="1" applyProtection="1">
      <alignment horizontal="justify" vertical="center" wrapText="1"/>
    </xf>
    <xf numFmtId="0" fontId="7" fillId="0" borderId="47" xfId="0" applyFont="1" applyFill="1" applyBorder="1" applyAlignment="1" applyProtection="1">
      <alignment horizontal="justify" vertical="center" wrapText="1"/>
    </xf>
    <xf numFmtId="0" fontId="5" fillId="17" borderId="29" xfId="0" applyFont="1" applyFill="1" applyBorder="1" applyAlignment="1" applyProtection="1">
      <alignment horizontal="left" vertical="center" shrinkToFit="1"/>
    </xf>
    <xf numFmtId="0" fontId="5" fillId="17" borderId="5" xfId="0" applyFont="1" applyFill="1" applyBorder="1" applyAlignment="1" applyProtection="1">
      <alignment horizontal="left" vertical="center" shrinkToFit="1"/>
    </xf>
    <xf numFmtId="0" fontId="5" fillId="17" borderId="10" xfId="0" applyFont="1" applyFill="1" applyBorder="1" applyAlignment="1" applyProtection="1">
      <alignment horizontal="left" vertical="center" shrinkToFit="1"/>
    </xf>
    <xf numFmtId="0" fontId="5" fillId="0" borderId="46" xfId="0" applyFont="1" applyFill="1" applyBorder="1" applyAlignment="1" applyProtection="1">
      <alignment horizontal="justify" vertical="center" wrapText="1"/>
    </xf>
    <xf numFmtId="0" fontId="5" fillId="0" borderId="47" xfId="0" applyFont="1" applyFill="1" applyBorder="1" applyAlignment="1" applyProtection="1">
      <alignment horizontal="justify" vertical="center" wrapText="1"/>
    </xf>
    <xf numFmtId="0" fontId="5" fillId="2" borderId="29" xfId="0" applyFont="1" applyFill="1" applyBorder="1" applyAlignment="1" applyProtection="1">
      <alignment horizontal="left" vertical="center" wrapText="1"/>
    </xf>
    <xf numFmtId="0" fontId="5" fillId="2" borderId="5" xfId="0" applyFont="1" applyFill="1" applyBorder="1" applyAlignment="1" applyProtection="1">
      <alignment horizontal="left" vertical="center" wrapText="1"/>
    </xf>
    <xf numFmtId="0" fontId="5" fillId="2" borderId="10" xfId="0" applyFont="1" applyFill="1" applyBorder="1" applyAlignment="1" applyProtection="1">
      <alignment horizontal="left" vertical="center" wrapText="1"/>
    </xf>
    <xf numFmtId="0" fontId="5" fillId="2" borderId="48" xfId="0" applyFont="1" applyFill="1" applyBorder="1" applyAlignment="1" applyProtection="1">
      <alignment horizontal="center" vertical="center" wrapText="1"/>
    </xf>
    <xf numFmtId="0" fontId="5" fillId="0" borderId="13" xfId="0" applyFont="1" applyFill="1" applyBorder="1" applyAlignment="1" applyProtection="1">
      <alignment horizontal="justify" vertical="center" wrapText="1"/>
    </xf>
    <xf numFmtId="0" fontId="5" fillId="0" borderId="14" xfId="0" applyFont="1" applyBorder="1" applyAlignment="1" applyProtection="1">
      <alignment horizontal="justify" vertical="center" wrapText="1"/>
    </xf>
    <xf numFmtId="0" fontId="5" fillId="0" borderId="21" xfId="0" applyFont="1" applyBorder="1" applyAlignment="1" applyProtection="1">
      <alignment horizontal="justify" vertical="center" wrapText="1"/>
    </xf>
    <xf numFmtId="0" fontId="5" fillId="0" borderId="14" xfId="0" applyFont="1" applyFill="1" applyBorder="1" applyAlignment="1" applyProtection="1">
      <alignment horizontal="left" vertical="center" wrapText="1" shrinkToFit="1"/>
    </xf>
    <xf numFmtId="0" fontId="5" fillId="0" borderId="21" xfId="0" applyFont="1" applyFill="1" applyBorder="1" applyAlignment="1" applyProtection="1">
      <alignment horizontal="left" vertical="center" wrapText="1" shrinkToFit="1"/>
    </xf>
    <xf numFmtId="0" fontId="5" fillId="0" borderId="0" xfId="0" applyFont="1" applyFill="1" applyBorder="1" applyAlignment="1" applyProtection="1">
      <alignment horizontal="left" vertical="center" wrapText="1" shrinkToFit="1"/>
    </xf>
    <xf numFmtId="0" fontId="5" fillId="0" borderId="22" xfId="0" applyFont="1" applyFill="1" applyBorder="1" applyAlignment="1" applyProtection="1">
      <alignment horizontal="left" vertical="center" wrapText="1" shrinkToFit="1"/>
    </xf>
    <xf numFmtId="0" fontId="5" fillId="0" borderId="28" xfId="0" applyFont="1" applyFill="1" applyBorder="1" applyAlignment="1" applyProtection="1">
      <alignment horizontal="left" vertical="center" wrapText="1" shrinkToFit="1"/>
    </xf>
    <xf numFmtId="0" fontId="5" fillId="0" borderId="40" xfId="0" applyFont="1" applyFill="1" applyBorder="1" applyAlignment="1" applyProtection="1">
      <alignment horizontal="left" vertical="center" wrapText="1" shrinkToFit="1"/>
    </xf>
    <xf numFmtId="177" fontId="5" fillId="2" borderId="13" xfId="0" applyNumberFormat="1" applyFont="1" applyFill="1" applyBorder="1" applyAlignment="1" applyProtection="1">
      <alignment horizontal="right" vertical="center" shrinkToFit="1"/>
    </xf>
    <xf numFmtId="177" fontId="5" fillId="2" borderId="14" xfId="0" applyNumberFormat="1" applyFont="1" applyFill="1" applyBorder="1" applyAlignment="1" applyProtection="1">
      <alignment horizontal="right" vertical="center" shrinkToFit="1"/>
    </xf>
    <xf numFmtId="0" fontId="5" fillId="0" borderId="0" xfId="0" applyFont="1" applyFill="1" applyBorder="1" applyAlignment="1" applyProtection="1">
      <alignment horizontal="center"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top" wrapText="1"/>
    </xf>
    <xf numFmtId="0" fontId="5" fillId="0" borderId="0" xfId="0" applyFont="1" applyFill="1" applyAlignment="1" applyProtection="1">
      <alignment horizontal="left" vertical="center"/>
    </xf>
    <xf numFmtId="0" fontId="6" fillId="0" borderId="0" xfId="0" applyFont="1" applyFill="1" applyBorder="1" applyAlignment="1" applyProtection="1">
      <alignment horizontal="left"/>
    </xf>
    <xf numFmtId="0" fontId="5" fillId="0" borderId="0" xfId="0" applyFont="1" applyFill="1" applyAlignment="1" applyProtection="1">
      <alignment horizontal="center"/>
    </xf>
    <xf numFmtId="178" fontId="5" fillId="3" borderId="0" xfId="0" applyNumberFormat="1" applyFont="1" applyFill="1" applyAlignment="1" applyProtection="1">
      <alignment horizontal="right" vertical="center" shrinkToFit="1"/>
      <protection locked="0"/>
    </xf>
    <xf numFmtId="178" fontId="5" fillId="3" borderId="0" xfId="0" applyNumberFormat="1" applyFont="1" applyFill="1" applyAlignment="1" applyProtection="1">
      <alignment horizontal="right" vertical="center" shrinkToFit="1"/>
    </xf>
    <xf numFmtId="0" fontId="5" fillId="4" borderId="7" xfId="0" applyFont="1" applyFill="1" applyBorder="1" applyAlignment="1" applyProtection="1">
      <alignment horizontal="center" vertical="center" wrapText="1"/>
    </xf>
    <xf numFmtId="0" fontId="5" fillId="4" borderId="64" xfId="0" applyFont="1" applyFill="1" applyBorder="1" applyAlignment="1" applyProtection="1">
      <alignment horizontal="center" vertical="center" wrapText="1"/>
    </xf>
    <xf numFmtId="0" fontId="5" fillId="4" borderId="7" xfId="0" applyFont="1" applyFill="1" applyBorder="1" applyAlignment="1" applyProtection="1">
      <alignment horizontal="center" vertical="center"/>
    </xf>
    <xf numFmtId="0" fontId="5" fillId="4" borderId="73" xfId="0" applyFont="1" applyFill="1" applyBorder="1" applyAlignment="1" applyProtection="1">
      <alignment horizontal="center" vertical="center" wrapText="1"/>
    </xf>
    <xf numFmtId="0" fontId="5" fillId="0" borderId="20" xfId="0" applyFont="1" applyFill="1" applyBorder="1" applyAlignment="1" applyProtection="1">
      <alignment horizontal="center"/>
    </xf>
    <xf numFmtId="0" fontId="5" fillId="0" borderId="14" xfId="0" applyFont="1" applyFill="1" applyBorder="1" applyAlignment="1" applyProtection="1">
      <alignment horizontal="center"/>
    </xf>
    <xf numFmtId="0" fontId="0" fillId="0" borderId="23" xfId="0" applyBorder="1" applyAlignment="1" applyProtection="1"/>
    <xf numFmtId="0" fontId="0" fillId="0" borderId="24" xfId="0" applyBorder="1" applyAlignment="1" applyProtection="1"/>
    <xf numFmtId="0" fontId="8" fillId="0" borderId="14" xfId="0" applyFont="1" applyBorder="1" applyAlignment="1" applyProtection="1">
      <alignment horizontal="justify" vertical="center" wrapText="1"/>
    </xf>
    <xf numFmtId="0" fontId="8" fillId="0" borderId="0" xfId="0" applyFont="1" applyBorder="1" applyAlignment="1" applyProtection="1">
      <alignment horizontal="justify" vertical="center" wrapText="1"/>
    </xf>
    <xf numFmtId="0" fontId="8" fillId="0" borderId="16" xfId="0" applyFont="1" applyBorder="1" applyAlignment="1" applyProtection="1">
      <alignment horizontal="justify" vertical="center" wrapText="1"/>
    </xf>
    <xf numFmtId="0" fontId="5" fillId="0" borderId="15" xfId="0" applyFont="1" applyFill="1" applyBorder="1" applyAlignment="1" applyProtection="1">
      <alignment horizontal="justify" vertical="center" wrapText="1"/>
    </xf>
    <xf numFmtId="0" fontId="0" fillId="0" borderId="39" xfId="0" applyBorder="1" applyAlignment="1" applyProtection="1"/>
    <xf numFmtId="0" fontId="0" fillId="0" borderId="40" xfId="0" applyBorder="1" applyAlignment="1" applyProtection="1"/>
    <xf numFmtId="0" fontId="8" fillId="0" borderId="33" xfId="0" applyFont="1" applyBorder="1" applyAlignment="1" applyProtection="1">
      <alignment horizontal="justify" vertical="center" wrapText="1"/>
    </xf>
    <xf numFmtId="0" fontId="8" fillId="0" borderId="15" xfId="0" applyFont="1" applyBorder="1" applyAlignment="1" applyProtection="1">
      <alignment horizontal="justify" vertical="center" wrapText="1"/>
    </xf>
    <xf numFmtId="0" fontId="0" fillId="0" borderId="27" xfId="0" applyBorder="1" applyAlignment="1" applyProtection="1"/>
    <xf numFmtId="0" fontId="8" fillId="0" borderId="21" xfId="0" applyFont="1" applyBorder="1" applyAlignment="1" applyProtection="1">
      <alignment horizontal="justify" vertical="center" wrapText="1"/>
    </xf>
    <xf numFmtId="38" fontId="5" fillId="0" borderId="32" xfId="2" applyFont="1" applyFill="1" applyBorder="1" applyAlignment="1" applyProtection="1">
      <alignment horizontal="justify" vertical="center" wrapText="1"/>
    </xf>
    <xf numFmtId="38" fontId="5" fillId="0" borderId="34" xfId="2" applyFont="1" applyFill="1" applyBorder="1" applyAlignment="1" applyProtection="1">
      <alignment horizontal="justify" vertical="center" wrapText="1"/>
    </xf>
    <xf numFmtId="0" fontId="0" fillId="0" borderId="25" xfId="0" applyBorder="1" applyAlignment="1" applyProtection="1"/>
    <xf numFmtId="0" fontId="14" fillId="2" borderId="32" xfId="2" applyNumberFormat="1" applyFont="1" applyFill="1" applyBorder="1" applyAlignment="1" applyProtection="1">
      <alignment horizontal="right" vertical="center"/>
      <protection locked="0"/>
    </xf>
    <xf numFmtId="0" fontId="14" fillId="2" borderId="33" xfId="2" applyNumberFormat="1" applyFont="1" applyFill="1" applyBorder="1" applyAlignment="1" applyProtection="1">
      <alignment horizontal="right" vertical="center"/>
      <protection locked="0"/>
    </xf>
    <xf numFmtId="49" fontId="5" fillId="2" borderId="45" xfId="0" applyNumberFormat="1" applyFont="1" applyFill="1" applyBorder="1" applyAlignment="1" applyProtection="1">
      <alignment horizontal="justify" vertical="center" wrapText="1"/>
      <protection locked="0"/>
    </xf>
    <xf numFmtId="49" fontId="5" fillId="2" borderId="1" xfId="0" applyNumberFormat="1" applyFont="1" applyFill="1" applyBorder="1" applyAlignment="1" applyProtection="1">
      <alignment horizontal="justify" vertical="center" wrapText="1"/>
      <protection locked="0"/>
    </xf>
    <xf numFmtId="49" fontId="5" fillId="2" borderId="2" xfId="0" applyNumberFormat="1" applyFont="1" applyFill="1" applyBorder="1" applyAlignment="1" applyProtection="1">
      <alignment horizontal="left" vertical="center"/>
      <protection locked="0"/>
    </xf>
    <xf numFmtId="49" fontId="5" fillId="2" borderId="35" xfId="0" applyNumberFormat="1" applyFont="1" applyFill="1" applyBorder="1" applyAlignment="1" applyProtection="1">
      <alignment horizontal="left" vertical="center"/>
      <protection locked="0"/>
    </xf>
    <xf numFmtId="49" fontId="5" fillId="2" borderId="9" xfId="0" applyNumberFormat="1" applyFont="1" applyFill="1" applyBorder="1" applyAlignment="1" applyProtection="1">
      <alignment horizontal="left" vertical="center"/>
      <protection locked="0"/>
    </xf>
    <xf numFmtId="0" fontId="5" fillId="0" borderId="33" xfId="0" applyFont="1" applyFill="1" applyBorder="1" applyAlignment="1" applyProtection="1">
      <alignment horizontal="justify" vertical="center" wrapText="1"/>
    </xf>
    <xf numFmtId="0" fontId="0" fillId="0" borderId="16" xfId="0" applyBorder="1" applyAlignment="1" applyProtection="1"/>
    <xf numFmtId="0" fontId="0" fillId="0" borderId="0" xfId="0" applyBorder="1" applyAlignment="1" applyProtection="1"/>
    <xf numFmtId="0" fontId="14" fillId="2" borderId="39" xfId="2" applyNumberFormat="1" applyFont="1" applyFill="1" applyBorder="1" applyAlignment="1" applyProtection="1">
      <alignment horizontal="right" vertical="center"/>
      <protection locked="0"/>
    </xf>
    <xf numFmtId="0" fontId="13" fillId="0" borderId="28" xfId="2" applyNumberFormat="1" applyFont="1" applyBorder="1" applyAlignment="1" applyProtection="1">
      <alignment horizontal="right" vertical="center"/>
      <protection locked="0"/>
    </xf>
    <xf numFmtId="0" fontId="14" fillId="2" borderId="27" xfId="2" applyNumberFormat="1" applyFont="1" applyFill="1" applyBorder="1" applyAlignment="1" applyProtection="1">
      <alignment horizontal="right" vertical="center"/>
      <protection locked="0"/>
    </xf>
    <xf numFmtId="0" fontId="14" fillId="2" borderId="24" xfId="2" applyNumberFormat="1" applyFont="1" applyFill="1" applyBorder="1" applyAlignment="1" applyProtection="1">
      <alignment horizontal="right" vertical="center"/>
      <protection locked="0"/>
    </xf>
    <xf numFmtId="0" fontId="0" fillId="0" borderId="28" xfId="0" applyBorder="1" applyAlignment="1" applyProtection="1"/>
    <xf numFmtId="0" fontId="8" fillId="0" borderId="34" xfId="0" applyFont="1" applyBorder="1" applyAlignment="1" applyProtection="1">
      <alignment horizontal="justify" vertical="center" wrapText="1"/>
    </xf>
    <xf numFmtId="0" fontId="5" fillId="0" borderId="50" xfId="0" applyFont="1" applyFill="1" applyBorder="1" applyAlignment="1" applyProtection="1">
      <alignment horizontal="justify" vertical="center" wrapText="1"/>
    </xf>
    <xf numFmtId="0" fontId="0" fillId="0" borderId="49" xfId="0" applyBorder="1" applyAlignment="1" applyProtection="1"/>
    <xf numFmtId="0" fontId="14" fillId="2" borderId="0" xfId="2" applyNumberFormat="1" applyFont="1" applyFill="1" applyBorder="1" applyAlignment="1" applyProtection="1">
      <alignment horizontal="right" vertical="center"/>
      <protection locked="0"/>
    </xf>
    <xf numFmtId="0" fontId="5" fillId="0" borderId="26" xfId="0" applyFont="1" applyFill="1" applyBorder="1" applyAlignment="1" applyProtection="1">
      <alignment horizontal="justify" vertical="center" wrapText="1"/>
    </xf>
    <xf numFmtId="177" fontId="5" fillId="2" borderId="32" xfId="0" applyNumberFormat="1" applyFont="1" applyFill="1" applyBorder="1" applyAlignment="1" applyProtection="1">
      <alignment horizontal="right" vertical="center" shrinkToFit="1"/>
      <protection locked="0"/>
    </xf>
    <xf numFmtId="177" fontId="5" fillId="2" borderId="33" xfId="0" applyNumberFormat="1" applyFont="1" applyFill="1" applyBorder="1" applyAlignment="1" applyProtection="1">
      <alignment horizontal="right" vertical="center" shrinkToFit="1"/>
      <protection locked="0"/>
    </xf>
    <xf numFmtId="0" fontId="5" fillId="0" borderId="52" xfId="0" applyFont="1" applyFill="1" applyBorder="1" applyAlignment="1" applyProtection="1">
      <alignment horizontal="center" vertical="center"/>
    </xf>
    <xf numFmtId="0" fontId="5" fillId="0" borderId="54" xfId="0" applyFont="1" applyFill="1" applyBorder="1" applyAlignment="1" applyProtection="1">
      <alignment horizontal="right" vertical="center" wrapText="1"/>
    </xf>
    <xf numFmtId="0" fontId="5" fillId="0" borderId="8" xfId="0" applyFont="1" applyFill="1" applyBorder="1" applyAlignment="1" applyProtection="1">
      <alignment horizontal="right" vertical="center" wrapText="1"/>
    </xf>
    <xf numFmtId="0" fontId="0" fillId="0" borderId="23" xfId="0" applyBorder="1" applyAlignment="1" applyProtection="1">
      <alignment vertical="center"/>
    </xf>
    <xf numFmtId="0" fontId="0" fillId="0" borderId="25" xfId="0" applyBorder="1" applyAlignment="1" applyProtection="1">
      <alignment vertical="center"/>
    </xf>
    <xf numFmtId="0" fontId="5" fillId="0" borderId="34" xfId="0" applyFont="1" applyFill="1" applyBorder="1" applyAlignment="1" applyProtection="1">
      <alignment horizontal="justify" vertical="center" wrapText="1"/>
    </xf>
    <xf numFmtId="0" fontId="0" fillId="0" borderId="39" xfId="0" applyBorder="1" applyAlignment="1" applyProtection="1">
      <alignment vertical="center"/>
    </xf>
    <xf numFmtId="0" fontId="0" fillId="0" borderId="40" xfId="0" applyBorder="1" applyAlignment="1" applyProtection="1">
      <alignment vertical="center"/>
    </xf>
    <xf numFmtId="177" fontId="5" fillId="2" borderId="13" xfId="0" applyNumberFormat="1" applyFont="1" applyFill="1" applyBorder="1" applyAlignment="1" applyProtection="1">
      <alignment horizontal="right" vertical="center" shrinkToFit="1"/>
      <protection locked="0"/>
    </xf>
    <xf numFmtId="177" fontId="5" fillId="2" borderId="14" xfId="0" applyNumberFormat="1" applyFont="1" applyFill="1" applyBorder="1" applyAlignment="1" applyProtection="1">
      <alignment horizontal="right" vertical="center" shrinkToFit="1"/>
      <protection locked="0"/>
    </xf>
    <xf numFmtId="0" fontId="0" fillId="0" borderId="27" xfId="0" applyBorder="1" applyAlignment="1" applyProtection="1">
      <alignment vertical="center"/>
    </xf>
    <xf numFmtId="0" fontId="5" fillId="0" borderId="33" xfId="0" applyFont="1" applyFill="1" applyBorder="1" applyAlignment="1" applyProtection="1">
      <alignment vertical="center"/>
    </xf>
    <xf numFmtId="0" fontId="5" fillId="0" borderId="34" xfId="0" applyFont="1" applyFill="1" applyBorder="1" applyAlignment="1" applyProtection="1">
      <alignment vertical="center"/>
    </xf>
    <xf numFmtId="0" fontId="0" fillId="0" borderId="28" xfId="0" applyBorder="1" applyAlignment="1" applyProtection="1">
      <alignment vertical="center"/>
    </xf>
    <xf numFmtId="0" fontId="5" fillId="0" borderId="52" xfId="0" applyFont="1" applyFill="1" applyBorder="1" applyAlignment="1" applyProtection="1">
      <alignment horizontal="center" vertical="center" shrinkToFit="1"/>
    </xf>
    <xf numFmtId="0" fontId="5" fillId="0" borderId="53" xfId="0" applyFont="1" applyFill="1" applyBorder="1" applyAlignment="1" applyProtection="1">
      <alignment horizontal="center" vertical="center" shrinkToFit="1"/>
    </xf>
    <xf numFmtId="0" fontId="5" fillId="0" borderId="14" xfId="0" applyFont="1" applyFill="1" applyBorder="1" applyAlignment="1" applyProtection="1">
      <alignment horizontal="left" vertical="center"/>
    </xf>
    <xf numFmtId="0" fontId="5" fillId="0" borderId="26" xfId="0" applyFont="1" applyFill="1" applyBorder="1" applyAlignment="1" applyProtection="1">
      <alignment horizontal="left" vertical="center"/>
    </xf>
    <xf numFmtId="177" fontId="5" fillId="17" borderId="32" xfId="0" applyNumberFormat="1" applyFont="1" applyFill="1" applyBorder="1" applyAlignment="1" applyProtection="1">
      <alignment horizontal="right" vertical="center" shrinkToFit="1"/>
    </xf>
    <xf numFmtId="177" fontId="5" fillId="17" borderId="33" xfId="0" applyNumberFormat="1" applyFont="1" applyFill="1" applyBorder="1" applyAlignment="1" applyProtection="1">
      <alignment horizontal="right" vertical="center" shrinkToFit="1"/>
    </xf>
    <xf numFmtId="177" fontId="5" fillId="2" borderId="39" xfId="0" applyNumberFormat="1" applyFont="1" applyFill="1" applyBorder="1" applyAlignment="1" applyProtection="1">
      <alignment horizontal="right" vertical="center" shrinkToFit="1"/>
      <protection locked="0"/>
    </xf>
    <xf numFmtId="177" fontId="0" fillId="0" borderId="28" xfId="0" applyNumberFormat="1" applyBorder="1" applyAlignment="1" applyProtection="1">
      <alignment horizontal="right" vertical="center" shrinkToFit="1"/>
      <protection locked="0"/>
    </xf>
    <xf numFmtId="0" fontId="5" fillId="0" borderId="16"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39" xfId="0" applyFont="1" applyFill="1" applyBorder="1" applyAlignment="1" applyProtection="1">
      <alignment horizontal="distributed" vertical="center"/>
    </xf>
    <xf numFmtId="0" fontId="5" fillId="0" borderId="40" xfId="0" applyFont="1" applyFill="1" applyBorder="1" applyAlignment="1" applyProtection="1">
      <alignment horizontal="distributed" vertical="center"/>
    </xf>
    <xf numFmtId="0" fontId="8" fillId="0" borderId="26" xfId="0" applyFont="1" applyBorder="1" applyAlignment="1" applyProtection="1">
      <alignment horizontal="justify" vertical="center" wrapText="1"/>
    </xf>
    <xf numFmtId="0" fontId="0" fillId="0" borderId="24" xfId="0" applyBorder="1" applyAlignment="1" applyProtection="1">
      <alignment vertical="center"/>
    </xf>
    <xf numFmtId="0" fontId="0" fillId="0" borderId="49" xfId="0" applyBorder="1" applyAlignment="1" applyProtection="1">
      <alignment vertical="center"/>
    </xf>
    <xf numFmtId="0" fontId="5" fillId="0" borderId="50" xfId="0" applyFont="1" applyFill="1" applyBorder="1" applyAlignment="1" applyProtection="1">
      <alignment vertical="center"/>
    </xf>
    <xf numFmtId="177" fontId="5" fillId="2" borderId="27" xfId="0" applyNumberFormat="1" applyFont="1" applyFill="1" applyBorder="1" applyAlignment="1" applyProtection="1">
      <alignment horizontal="right" vertical="center" shrinkToFit="1"/>
      <protection locked="0"/>
    </xf>
    <xf numFmtId="177" fontId="0" fillId="0" borderId="24" xfId="0" applyNumberFormat="1" applyBorder="1" applyAlignment="1" applyProtection="1">
      <alignment horizontal="right" vertical="center" shrinkToFit="1"/>
      <protection locked="0"/>
    </xf>
    <xf numFmtId="177" fontId="5" fillId="17" borderId="27" xfId="0" applyNumberFormat="1" applyFont="1" applyFill="1" applyBorder="1" applyAlignment="1" applyProtection="1">
      <alignment horizontal="right" vertical="center" shrinkToFit="1"/>
    </xf>
    <xf numFmtId="177" fontId="0" fillId="17" borderId="24" xfId="0" applyNumberFormat="1" applyFill="1" applyBorder="1" applyAlignment="1" applyProtection="1">
      <alignment horizontal="right" vertical="center" shrinkToFit="1"/>
    </xf>
    <xf numFmtId="0" fontId="5" fillId="0" borderId="0" xfId="0" applyFont="1" applyFill="1" applyBorder="1" applyAlignment="1" applyProtection="1">
      <alignment horizontal="center"/>
    </xf>
    <xf numFmtId="0" fontId="0" fillId="0" borderId="0" xfId="0" applyAlignment="1" applyProtection="1">
      <alignment horizontal="center"/>
    </xf>
    <xf numFmtId="0" fontId="5" fillId="17" borderId="27" xfId="2" quotePrefix="1" applyNumberFormat="1" applyFont="1" applyFill="1" applyBorder="1" applyAlignment="1" applyProtection="1">
      <alignment horizontal="right" vertical="center" shrinkToFit="1"/>
    </xf>
    <xf numFmtId="0" fontId="0" fillId="17" borderId="24" xfId="0" applyNumberFormat="1" applyFill="1" applyBorder="1" applyAlignment="1" applyProtection="1">
      <alignment horizontal="right" vertical="center" shrinkToFit="1"/>
    </xf>
    <xf numFmtId="0" fontId="5" fillId="0" borderId="39" xfId="0" applyFont="1" applyFill="1" applyBorder="1" applyAlignment="1" applyProtection="1">
      <alignment horizontal="justify" vertical="center" wrapText="1"/>
    </xf>
    <xf numFmtId="0" fontId="5" fillId="0" borderId="40" xfId="0" applyFont="1" applyFill="1" applyBorder="1" applyAlignment="1" applyProtection="1">
      <alignment horizontal="justify" vertical="center" wrapText="1"/>
    </xf>
    <xf numFmtId="0" fontId="5" fillId="0" borderId="8" xfId="0" applyFont="1" applyFill="1" applyBorder="1" applyAlignment="1" applyProtection="1">
      <alignment horizontal="center" vertical="top" wrapText="1"/>
    </xf>
    <xf numFmtId="0" fontId="5" fillId="0" borderId="44" xfId="0" applyFont="1" applyFill="1" applyBorder="1" applyAlignment="1" applyProtection="1">
      <alignment horizontal="justify" vertical="center" wrapText="1"/>
    </xf>
    <xf numFmtId="0" fontId="5" fillId="0" borderId="51" xfId="0" applyFont="1" applyFill="1" applyBorder="1" applyAlignment="1" applyProtection="1">
      <alignment horizontal="justify" vertical="center" wrapText="1"/>
    </xf>
    <xf numFmtId="177" fontId="14" fillId="2" borderId="14" xfId="0" applyNumberFormat="1" applyFont="1" applyFill="1" applyBorder="1" applyAlignment="1" applyProtection="1">
      <alignment horizontal="right" vertical="center"/>
      <protection locked="0"/>
    </xf>
    <xf numFmtId="177" fontId="14" fillId="2" borderId="13" xfId="0" applyNumberFormat="1" applyFont="1" applyFill="1" applyBorder="1" applyAlignment="1" applyProtection="1">
      <alignment horizontal="right" vertical="center"/>
      <protection locked="0"/>
    </xf>
    <xf numFmtId="0" fontId="5" fillId="0" borderId="2" xfId="0" applyFont="1" applyFill="1" applyBorder="1" applyAlignment="1" applyProtection="1">
      <alignment horizontal="justify" vertical="center" wrapText="1"/>
    </xf>
    <xf numFmtId="0" fontId="5" fillId="0" borderId="9" xfId="0" applyFont="1" applyFill="1" applyBorder="1" applyAlignment="1" applyProtection="1">
      <alignment horizontal="justify" vertical="center" wrapText="1"/>
    </xf>
    <xf numFmtId="0" fontId="5" fillId="0" borderId="44" xfId="0" applyNumberFormat="1" applyFont="1" applyFill="1" applyBorder="1" applyAlignment="1" applyProtection="1">
      <alignment horizontal="right" vertical="center"/>
    </xf>
    <xf numFmtId="0" fontId="5" fillId="0" borderId="45" xfId="0" applyNumberFormat="1" applyFont="1" applyFill="1" applyBorder="1" applyAlignment="1" applyProtection="1">
      <alignment horizontal="right" vertical="center"/>
    </xf>
    <xf numFmtId="177" fontId="14" fillId="2" borderId="27" xfId="0" applyNumberFormat="1" applyFont="1" applyFill="1" applyBorder="1" applyAlignment="1" applyProtection="1">
      <alignment horizontal="right" vertical="center"/>
      <protection locked="0"/>
    </xf>
    <xf numFmtId="177" fontId="14" fillId="2" borderId="24" xfId="0" applyNumberFormat="1" applyFont="1" applyFill="1" applyBorder="1" applyAlignment="1" applyProtection="1">
      <alignment horizontal="right" vertical="center"/>
      <protection locked="0"/>
    </xf>
    <xf numFmtId="177" fontId="14" fillId="2" borderId="39" xfId="0" applyNumberFormat="1" applyFont="1" applyFill="1" applyBorder="1" applyAlignment="1" applyProtection="1">
      <alignment horizontal="right" vertical="center"/>
      <protection locked="0"/>
    </xf>
    <xf numFmtId="177" fontId="13" fillId="0" borderId="28" xfId="0" applyNumberFormat="1" applyFont="1" applyBorder="1" applyAlignment="1" applyProtection="1">
      <alignment horizontal="right" vertical="center"/>
      <protection locked="0"/>
    </xf>
    <xf numFmtId="177" fontId="14" fillId="2" borderId="32" xfId="0" applyNumberFormat="1" applyFont="1" applyFill="1" applyBorder="1" applyAlignment="1" applyProtection="1">
      <alignment horizontal="right" vertical="center"/>
      <protection locked="0"/>
    </xf>
    <xf numFmtId="177" fontId="14" fillId="2" borderId="33" xfId="0" applyNumberFormat="1" applyFont="1" applyFill="1" applyBorder="1" applyAlignment="1" applyProtection="1">
      <alignment horizontal="right" vertical="center"/>
      <protection locked="0"/>
    </xf>
    <xf numFmtId="0" fontId="5" fillId="17" borderId="33" xfId="0" applyFont="1" applyFill="1" applyBorder="1" applyAlignment="1" applyProtection="1">
      <alignment horizontal="justify" vertical="center" wrapText="1"/>
    </xf>
    <xf numFmtId="0" fontId="0" fillId="17" borderId="24" xfId="0" applyFill="1" applyBorder="1" applyAlignment="1" applyProtection="1">
      <alignment vertical="center"/>
    </xf>
    <xf numFmtId="0" fontId="12" fillId="2" borderId="13" xfId="0" applyFont="1" applyFill="1" applyBorder="1" applyAlignment="1" applyProtection="1">
      <alignment horizontal="justify" vertical="top" wrapText="1"/>
      <protection locked="0"/>
    </xf>
    <xf numFmtId="0" fontId="12" fillId="2" borderId="14" xfId="0" applyFont="1" applyFill="1" applyBorder="1" applyAlignment="1" applyProtection="1">
      <alignment horizontal="justify" vertical="top" wrapText="1"/>
      <protection locked="0"/>
    </xf>
    <xf numFmtId="0" fontId="12" fillId="2" borderId="26" xfId="0" applyFont="1" applyFill="1" applyBorder="1" applyAlignment="1" applyProtection="1">
      <alignment horizontal="justify" vertical="top" wrapText="1"/>
      <protection locked="0"/>
    </xf>
    <xf numFmtId="0" fontId="5" fillId="17" borderId="32" xfId="2" applyNumberFormat="1" applyFont="1" applyFill="1" applyBorder="1" applyAlignment="1" applyProtection="1">
      <alignment horizontal="right" vertical="center" shrinkToFit="1"/>
    </xf>
    <xf numFmtId="0" fontId="5" fillId="17" borderId="33" xfId="2" applyNumberFormat="1" applyFont="1" applyFill="1" applyBorder="1" applyAlignment="1" applyProtection="1">
      <alignment horizontal="right" vertical="center" shrinkToFit="1"/>
    </xf>
    <xf numFmtId="0" fontId="5" fillId="2" borderId="32" xfId="2" applyNumberFormat="1" applyFont="1" applyFill="1" applyBorder="1" applyAlignment="1" applyProtection="1">
      <alignment horizontal="right" vertical="center" shrinkToFit="1"/>
      <protection locked="0"/>
    </xf>
    <xf numFmtId="0" fontId="5" fillId="2" borderId="33" xfId="2" applyNumberFormat="1" applyFont="1" applyFill="1" applyBorder="1" applyAlignment="1" applyProtection="1">
      <alignment horizontal="right" vertical="center" shrinkToFit="1"/>
      <protection locked="0"/>
    </xf>
    <xf numFmtId="0" fontId="0" fillId="17" borderId="28" xfId="0" applyFill="1" applyBorder="1" applyAlignment="1" applyProtection="1">
      <alignment vertical="center"/>
    </xf>
    <xf numFmtId="38" fontId="5" fillId="0" borderId="20" xfId="2" applyFont="1" applyFill="1" applyBorder="1" applyAlignment="1" applyProtection="1">
      <alignment horizontal="center" vertical="center" wrapText="1"/>
    </xf>
    <xf numFmtId="38" fontId="5" fillId="0" borderId="14" xfId="2" applyFont="1" applyFill="1" applyBorder="1" applyAlignment="1" applyProtection="1">
      <alignment horizontal="center" vertical="center" wrapText="1"/>
    </xf>
    <xf numFmtId="0" fontId="5" fillId="17" borderId="50" xfId="0" applyFont="1" applyFill="1" applyBorder="1" applyAlignment="1" applyProtection="1">
      <alignment horizontal="justify" vertical="center" wrapText="1"/>
    </xf>
    <xf numFmtId="0" fontId="0" fillId="17" borderId="49" xfId="0" applyFill="1" applyBorder="1" applyAlignment="1" applyProtection="1">
      <alignment vertical="center"/>
    </xf>
    <xf numFmtId="0" fontId="5" fillId="3" borderId="45" xfId="0" applyNumberFormat="1" applyFont="1" applyFill="1" applyBorder="1" applyAlignment="1" applyProtection="1">
      <alignment horizontal="justify" vertical="center"/>
      <protection locked="0"/>
    </xf>
    <xf numFmtId="0" fontId="5" fillId="2" borderId="39" xfId="2" applyNumberFormat="1" applyFont="1" applyFill="1" applyBorder="1" applyAlignment="1" applyProtection="1">
      <alignment horizontal="right" vertical="center" shrinkToFit="1"/>
      <protection locked="0"/>
    </xf>
    <xf numFmtId="0" fontId="0" fillId="0" borderId="28" xfId="0" applyNumberFormat="1" applyBorder="1" applyAlignment="1" applyProtection="1">
      <alignment horizontal="right" vertical="center" shrinkToFit="1"/>
      <protection locked="0"/>
    </xf>
    <xf numFmtId="0" fontId="5" fillId="2" borderId="27" xfId="2" quotePrefix="1" applyNumberFormat="1" applyFont="1" applyFill="1" applyBorder="1" applyAlignment="1" applyProtection="1">
      <alignment horizontal="right" vertical="center" shrinkToFit="1"/>
      <protection locked="0"/>
    </xf>
    <xf numFmtId="0" fontId="0" fillId="0" borderId="24" xfId="0" applyNumberFormat="1" applyBorder="1" applyAlignment="1" applyProtection="1">
      <alignment horizontal="right" vertical="center" shrinkToFit="1"/>
      <protection locked="0"/>
    </xf>
    <xf numFmtId="0" fontId="5" fillId="3" borderId="44" xfId="0" applyNumberFormat="1" applyFont="1" applyFill="1" applyBorder="1" applyAlignment="1" applyProtection="1">
      <alignment horizontal="left" vertical="center" wrapText="1"/>
      <protection locked="0"/>
    </xf>
    <xf numFmtId="0" fontId="5" fillId="3" borderId="45" xfId="0" applyNumberFormat="1" applyFont="1" applyFill="1" applyBorder="1" applyAlignment="1" applyProtection="1">
      <alignment horizontal="left" vertical="center" wrapText="1"/>
      <protection locked="0"/>
    </xf>
    <xf numFmtId="0" fontId="5" fillId="3" borderId="51" xfId="0" applyNumberFormat="1" applyFont="1" applyFill="1" applyBorder="1" applyAlignment="1" applyProtection="1">
      <alignment horizontal="left" vertical="center" wrapText="1"/>
      <protection locked="0"/>
    </xf>
    <xf numFmtId="0" fontId="5" fillId="2" borderId="15" xfId="2" applyNumberFormat="1" applyFont="1" applyFill="1" applyBorder="1" applyAlignment="1" applyProtection="1">
      <alignment horizontal="right" vertical="center" shrinkToFit="1"/>
      <protection locked="0"/>
    </xf>
    <xf numFmtId="0" fontId="5" fillId="2" borderId="0" xfId="2" applyNumberFormat="1" applyFont="1" applyFill="1" applyBorder="1" applyAlignment="1" applyProtection="1">
      <alignment horizontal="right" vertical="center" shrinkToFit="1"/>
      <protection locked="0"/>
    </xf>
    <xf numFmtId="0" fontId="5" fillId="0" borderId="0" xfId="0" applyFont="1" applyFill="1" applyAlignment="1" applyProtection="1">
      <alignment horizontal="left"/>
    </xf>
    <xf numFmtId="177" fontId="17" fillId="2" borderId="32" xfId="0" applyNumberFormat="1" applyFont="1" applyFill="1" applyBorder="1" applyAlignment="1" applyProtection="1">
      <alignment horizontal="right" vertical="center" shrinkToFit="1"/>
    </xf>
    <xf numFmtId="177" fontId="17" fillId="2" borderId="33" xfId="0" applyNumberFormat="1" applyFont="1" applyFill="1" applyBorder="1" applyAlignment="1" applyProtection="1">
      <alignment horizontal="right" vertical="center" shrinkToFit="1"/>
    </xf>
    <xf numFmtId="177" fontId="17" fillId="2" borderId="13" xfId="0" applyNumberFormat="1" applyFont="1" applyFill="1" applyBorder="1" applyAlignment="1" applyProtection="1">
      <alignment horizontal="right" vertical="center" shrinkToFit="1"/>
    </xf>
    <xf numFmtId="177" fontId="17" fillId="2" borderId="14" xfId="0" applyNumberFormat="1" applyFont="1" applyFill="1" applyBorder="1" applyAlignment="1" applyProtection="1">
      <alignment horizontal="right" vertical="center" shrinkToFit="1"/>
    </xf>
    <xf numFmtId="177" fontId="17" fillId="2" borderId="39" xfId="0" applyNumberFormat="1" applyFont="1" applyFill="1" applyBorder="1" applyAlignment="1" applyProtection="1">
      <alignment horizontal="right" vertical="center" shrinkToFit="1"/>
    </xf>
    <xf numFmtId="177" fontId="17" fillId="0" borderId="28" xfId="0" applyNumberFormat="1" applyFont="1" applyBorder="1" applyAlignment="1" applyProtection="1">
      <alignment horizontal="right" vertical="center" shrinkToFit="1"/>
    </xf>
    <xf numFmtId="177" fontId="17" fillId="2" borderId="27" xfId="0" applyNumberFormat="1" applyFont="1" applyFill="1" applyBorder="1" applyAlignment="1" applyProtection="1">
      <alignment horizontal="right" vertical="center" shrinkToFit="1"/>
    </xf>
    <xf numFmtId="177" fontId="17" fillId="0" borderId="24" xfId="0" applyNumberFormat="1" applyFont="1" applyBorder="1" applyAlignment="1" applyProtection="1">
      <alignment horizontal="right" vertical="center" shrinkToFit="1"/>
    </xf>
    <xf numFmtId="49" fontId="17" fillId="2" borderId="44" xfId="0" applyNumberFormat="1" applyFont="1" applyFill="1" applyBorder="1" applyAlignment="1" applyProtection="1">
      <alignment horizontal="left" vertical="center" wrapText="1"/>
    </xf>
    <xf numFmtId="49" fontId="17" fillId="2" borderId="45" xfId="0" applyNumberFormat="1" applyFont="1" applyFill="1" applyBorder="1" applyAlignment="1" applyProtection="1">
      <alignment horizontal="left" vertical="center" wrapText="1"/>
    </xf>
    <xf numFmtId="49" fontId="17" fillId="2" borderId="51" xfId="0" applyNumberFormat="1" applyFont="1" applyFill="1" applyBorder="1" applyAlignment="1" applyProtection="1">
      <alignment horizontal="left" vertical="center" wrapText="1"/>
    </xf>
    <xf numFmtId="49" fontId="17" fillId="2" borderId="45" xfId="0" applyNumberFormat="1" applyFont="1" applyFill="1" applyBorder="1" applyAlignment="1" applyProtection="1">
      <alignment horizontal="justify" vertical="center"/>
    </xf>
    <xf numFmtId="0" fontId="17" fillId="2" borderId="32" xfId="2" applyNumberFormat="1" applyFont="1" applyFill="1" applyBorder="1" applyAlignment="1" applyProtection="1">
      <alignment horizontal="right" vertical="center" shrinkToFit="1"/>
    </xf>
    <xf numFmtId="0" fontId="17" fillId="2" borderId="33" xfId="2" applyNumberFormat="1" applyFont="1" applyFill="1" applyBorder="1" applyAlignment="1" applyProtection="1">
      <alignment horizontal="right" vertical="center" shrinkToFit="1"/>
    </xf>
    <xf numFmtId="0" fontId="17" fillId="2" borderId="15" xfId="2" applyNumberFormat="1" applyFont="1" applyFill="1" applyBorder="1" applyAlignment="1" applyProtection="1">
      <alignment horizontal="right" vertical="center" shrinkToFit="1"/>
    </xf>
    <xf numFmtId="0" fontId="17" fillId="2" borderId="0" xfId="2" applyNumberFormat="1" applyFont="1" applyFill="1" applyBorder="1" applyAlignment="1" applyProtection="1">
      <alignment horizontal="right" vertical="center" shrinkToFit="1"/>
    </xf>
    <xf numFmtId="0" fontId="17" fillId="2" borderId="39" xfId="2" applyNumberFormat="1" applyFont="1" applyFill="1" applyBorder="1" applyAlignment="1" applyProtection="1">
      <alignment horizontal="right" vertical="center" shrinkToFit="1"/>
    </xf>
    <xf numFmtId="0" fontId="17" fillId="0" borderId="28" xfId="0" applyNumberFormat="1" applyFont="1" applyBorder="1" applyAlignment="1" applyProtection="1">
      <alignment horizontal="right" vertical="center" shrinkToFit="1"/>
    </xf>
    <xf numFmtId="0" fontId="17" fillId="2" borderId="27" xfId="2" applyNumberFormat="1" applyFont="1" applyFill="1" applyBorder="1" applyAlignment="1" applyProtection="1">
      <alignment horizontal="right" vertical="center" shrinkToFit="1"/>
    </xf>
    <xf numFmtId="0" fontId="17" fillId="0" borderId="24" xfId="0" applyNumberFormat="1" applyFont="1" applyBorder="1" applyAlignment="1" applyProtection="1">
      <alignment horizontal="right" vertical="center" shrinkToFit="1"/>
    </xf>
    <xf numFmtId="0" fontId="31" fillId="2" borderId="13" xfId="0" applyFont="1" applyFill="1" applyBorder="1" applyAlignment="1" applyProtection="1">
      <alignment horizontal="justify" vertical="top" wrapText="1"/>
      <protection locked="0"/>
    </xf>
    <xf numFmtId="0" fontId="31" fillId="2" borderId="14" xfId="0" applyFont="1" applyFill="1" applyBorder="1" applyAlignment="1" applyProtection="1">
      <alignment horizontal="justify" vertical="top" wrapText="1"/>
      <protection locked="0"/>
    </xf>
    <xf numFmtId="0" fontId="31" fillId="2" borderId="26" xfId="0" applyFont="1" applyFill="1" applyBorder="1" applyAlignment="1" applyProtection="1">
      <alignment horizontal="justify" vertical="top" wrapText="1"/>
      <protection locked="0"/>
    </xf>
    <xf numFmtId="177" fontId="14" fillId="2" borderId="13" xfId="0" applyNumberFormat="1" applyFont="1" applyFill="1" applyBorder="1" applyAlignment="1" applyProtection="1">
      <alignment horizontal="right" vertical="center"/>
    </xf>
    <xf numFmtId="177" fontId="14" fillId="2" borderId="14" xfId="0" applyNumberFormat="1" applyFont="1" applyFill="1" applyBorder="1" applyAlignment="1" applyProtection="1">
      <alignment horizontal="right" vertical="center"/>
    </xf>
    <xf numFmtId="0" fontId="17" fillId="2" borderId="27" xfId="2" quotePrefix="1" applyNumberFormat="1" applyFont="1" applyFill="1" applyBorder="1" applyAlignment="1" applyProtection="1">
      <alignment horizontal="right" vertical="center" shrinkToFit="1"/>
    </xf>
    <xf numFmtId="177" fontId="14" fillId="2" borderId="39" xfId="0" applyNumberFormat="1" applyFont="1" applyFill="1" applyBorder="1" applyAlignment="1" applyProtection="1">
      <alignment horizontal="right" vertical="center"/>
    </xf>
    <xf numFmtId="177" fontId="13" fillId="0" borderId="28" xfId="0" applyNumberFormat="1" applyFont="1" applyBorder="1" applyAlignment="1" applyProtection="1">
      <alignment horizontal="right" vertical="center"/>
    </xf>
    <xf numFmtId="177" fontId="14" fillId="2" borderId="27" xfId="0" applyNumberFormat="1" applyFont="1" applyFill="1" applyBorder="1" applyAlignment="1" applyProtection="1">
      <alignment horizontal="right" vertical="center"/>
    </xf>
    <xf numFmtId="177" fontId="14" fillId="2" borderId="24" xfId="0" applyNumberFormat="1" applyFont="1" applyFill="1" applyBorder="1" applyAlignment="1" applyProtection="1">
      <alignment horizontal="right" vertical="center"/>
    </xf>
    <xf numFmtId="177" fontId="14" fillId="2" borderId="32" xfId="0" applyNumberFormat="1" applyFont="1" applyFill="1" applyBorder="1" applyAlignment="1" applyProtection="1">
      <alignment horizontal="right" vertical="center"/>
    </xf>
    <xf numFmtId="177" fontId="14" fillId="2" borderId="33" xfId="0" applyNumberFormat="1" applyFont="1" applyFill="1" applyBorder="1" applyAlignment="1" applyProtection="1">
      <alignment horizontal="right" vertical="center"/>
    </xf>
    <xf numFmtId="0" fontId="29" fillId="0" borderId="24" xfId="0" applyFont="1" applyFill="1" applyBorder="1" applyAlignment="1" applyProtection="1">
      <alignment horizontal="center" vertical="center" wrapText="1"/>
    </xf>
    <xf numFmtId="0" fontId="8" fillId="0" borderId="16" xfId="0" applyFont="1" applyFill="1" applyBorder="1" applyAlignment="1" applyProtection="1">
      <alignment horizontal="left" wrapText="1"/>
    </xf>
    <xf numFmtId="0" fontId="14" fillId="2" borderId="33" xfId="2" applyNumberFormat="1" applyFont="1" applyFill="1" applyBorder="1" applyAlignment="1" applyProtection="1">
      <alignment horizontal="right" vertical="center"/>
    </xf>
    <xf numFmtId="0" fontId="14" fillId="2" borderId="27" xfId="2" applyNumberFormat="1" applyFont="1" applyFill="1" applyBorder="1" applyAlignment="1" applyProtection="1">
      <alignment horizontal="right" vertical="center"/>
    </xf>
    <xf numFmtId="0" fontId="14" fillId="2" borderId="24" xfId="2" applyNumberFormat="1" applyFont="1" applyFill="1" applyBorder="1" applyAlignment="1" applyProtection="1">
      <alignment horizontal="right" vertical="center"/>
    </xf>
    <xf numFmtId="49" fontId="5" fillId="2" borderId="2" xfId="0" applyNumberFormat="1" applyFont="1" applyFill="1" applyBorder="1" applyAlignment="1" applyProtection="1">
      <alignment horizontal="left" vertical="center"/>
    </xf>
    <xf numFmtId="49" fontId="5" fillId="2" borderId="35" xfId="0" applyNumberFormat="1" applyFont="1" applyFill="1" applyBorder="1" applyAlignment="1" applyProtection="1">
      <alignment horizontal="left" vertical="center"/>
    </xf>
    <xf numFmtId="49" fontId="5" fillId="2" borderId="9" xfId="0" applyNumberFormat="1" applyFont="1" applyFill="1" applyBorder="1" applyAlignment="1" applyProtection="1">
      <alignment horizontal="left" vertical="center"/>
    </xf>
    <xf numFmtId="49" fontId="5" fillId="2" borderId="45" xfId="0" applyNumberFormat="1" applyFont="1" applyFill="1" applyBorder="1" applyAlignment="1" applyProtection="1">
      <alignment horizontal="justify" vertical="center" wrapText="1"/>
    </xf>
    <xf numFmtId="49" fontId="5" fillId="2" borderId="1" xfId="0" applyNumberFormat="1" applyFont="1" applyFill="1" applyBorder="1" applyAlignment="1" applyProtection="1">
      <alignment horizontal="justify" vertical="center" wrapText="1"/>
    </xf>
    <xf numFmtId="0" fontId="14" fillId="2" borderId="32" xfId="2" applyNumberFormat="1" applyFont="1" applyFill="1" applyBorder="1" applyAlignment="1" applyProtection="1">
      <alignment horizontal="right" vertical="center"/>
    </xf>
    <xf numFmtId="0" fontId="14" fillId="2" borderId="0" xfId="2" applyNumberFormat="1" applyFont="1" applyFill="1" applyBorder="1" applyAlignment="1" applyProtection="1">
      <alignment horizontal="right" vertical="center"/>
    </xf>
    <xf numFmtId="0" fontId="14" fillId="2" borderId="39" xfId="2" applyNumberFormat="1" applyFont="1" applyFill="1" applyBorder="1" applyAlignment="1" applyProtection="1">
      <alignment horizontal="right" vertical="center"/>
    </xf>
    <xf numFmtId="0" fontId="13" fillId="0" borderId="28" xfId="2" applyNumberFormat="1" applyFont="1" applyBorder="1" applyAlignment="1" applyProtection="1">
      <alignment horizontal="right" vertical="center"/>
    </xf>
    <xf numFmtId="0" fontId="5" fillId="0" borderId="23" xfId="0" applyFont="1" applyFill="1" applyBorder="1" applyAlignment="1" applyProtection="1">
      <alignment horizontal="justify" vertical="center" wrapText="1"/>
    </xf>
    <xf numFmtId="0" fontId="5" fillId="0" borderId="25" xfId="0" applyFont="1" applyFill="1" applyBorder="1" applyAlignment="1" applyProtection="1">
      <alignment horizontal="justify" vertical="center" wrapText="1"/>
    </xf>
    <xf numFmtId="0" fontId="5" fillId="0" borderId="52" xfId="0" applyFont="1" applyFill="1" applyBorder="1" applyAlignment="1" applyProtection="1">
      <alignment horizontal="center"/>
    </xf>
    <xf numFmtId="0" fontId="5" fillId="0" borderId="8" xfId="0" applyFont="1" applyFill="1" applyBorder="1" applyAlignment="1" applyProtection="1">
      <alignment horizontal="center"/>
    </xf>
    <xf numFmtId="0" fontId="5" fillId="0" borderId="47" xfId="0" applyFont="1" applyFill="1" applyBorder="1" applyAlignment="1" applyProtection="1">
      <alignment vertical="center"/>
    </xf>
    <xf numFmtId="0" fontId="5" fillId="0" borderId="55" xfId="0" applyFont="1" applyFill="1" applyBorder="1" applyAlignment="1" applyProtection="1">
      <alignment vertical="center"/>
    </xf>
    <xf numFmtId="179" fontId="5" fillId="17" borderId="29" xfId="0" applyNumberFormat="1" applyFont="1" applyFill="1" applyBorder="1" applyAlignment="1" applyProtection="1">
      <alignment horizontal="right" vertical="center"/>
    </xf>
    <xf numFmtId="179" fontId="5" fillId="17" borderId="5" xfId="0" applyNumberFormat="1" applyFont="1" applyFill="1" applyBorder="1" applyAlignment="1" applyProtection="1">
      <alignment horizontal="right" vertical="center"/>
    </xf>
    <xf numFmtId="179" fontId="5" fillId="17" borderId="2" xfId="0" applyNumberFormat="1" applyFont="1" applyFill="1" applyBorder="1" applyAlignment="1" applyProtection="1">
      <alignment horizontal="right" vertical="center"/>
    </xf>
    <xf numFmtId="179" fontId="5" fillId="17" borderId="35" xfId="0" applyNumberFormat="1" applyFont="1" applyFill="1" applyBorder="1" applyAlignment="1" applyProtection="1">
      <alignment horizontal="right" vertical="center"/>
    </xf>
    <xf numFmtId="176" fontId="5" fillId="2" borderId="47" xfId="0" applyNumberFormat="1" applyFont="1" applyFill="1" applyBorder="1" applyAlignment="1" applyProtection="1">
      <alignment horizontal="right" vertical="center" shrinkToFit="1"/>
      <protection locked="0"/>
    </xf>
    <xf numFmtId="176" fontId="5" fillId="2" borderId="29" xfId="0" applyNumberFormat="1" applyFont="1" applyFill="1" applyBorder="1" applyAlignment="1" applyProtection="1">
      <alignment horizontal="right" vertical="center" shrinkToFit="1"/>
      <protection locked="0"/>
    </xf>
    <xf numFmtId="176" fontId="5" fillId="2" borderId="55" xfId="0" applyNumberFormat="1" applyFont="1" applyFill="1" applyBorder="1" applyAlignment="1" applyProtection="1">
      <alignment horizontal="right" vertical="center" shrinkToFit="1"/>
      <protection locked="0"/>
    </xf>
    <xf numFmtId="176" fontId="5" fillId="2" borderId="2" xfId="0" applyNumberFormat="1" applyFont="1" applyFill="1" applyBorder="1" applyAlignment="1" applyProtection="1">
      <alignment horizontal="right" vertical="center" shrinkToFit="1"/>
      <protection locked="0"/>
    </xf>
    <xf numFmtId="0" fontId="5" fillId="0" borderId="8" xfId="0" applyFont="1" applyFill="1" applyBorder="1" applyAlignment="1" applyProtection="1">
      <alignment horizontal="justify" vertical="center" wrapText="1"/>
    </xf>
    <xf numFmtId="0" fontId="8" fillId="0" borderId="12" xfId="0" applyFont="1" applyBorder="1" applyAlignment="1" applyProtection="1">
      <alignment horizontal="justify" vertical="center" wrapText="1"/>
    </xf>
    <xf numFmtId="0" fontId="5" fillId="17" borderId="44" xfId="0" applyNumberFormat="1" applyFont="1" applyFill="1" applyBorder="1" applyAlignment="1" applyProtection="1">
      <alignment horizontal="right" vertical="center"/>
    </xf>
    <xf numFmtId="0" fontId="5" fillId="17" borderId="45" xfId="0" applyNumberFormat="1" applyFont="1" applyFill="1" applyBorder="1" applyAlignment="1" applyProtection="1">
      <alignment horizontal="right" vertical="center"/>
    </xf>
    <xf numFmtId="0" fontId="5" fillId="17" borderId="45" xfId="0" applyNumberFormat="1" applyFont="1" applyFill="1" applyBorder="1" applyAlignment="1" applyProtection="1">
      <alignment horizontal="justify" vertical="center"/>
    </xf>
    <xf numFmtId="0" fontId="5" fillId="0" borderId="29" xfId="0" applyFont="1" applyFill="1" applyBorder="1" applyAlignment="1" applyProtection="1">
      <alignment horizontal="justify" vertical="center" wrapText="1"/>
    </xf>
    <xf numFmtId="0" fontId="5" fillId="0" borderId="11" xfId="0" applyFont="1" applyFill="1" applyBorder="1" applyAlignment="1" applyProtection="1">
      <alignment horizontal="justify" vertical="center" wrapText="1"/>
    </xf>
    <xf numFmtId="176" fontId="5" fillId="2" borderId="35" xfId="0" applyNumberFormat="1" applyFont="1" applyFill="1" applyBorder="1" applyAlignment="1" applyProtection="1">
      <alignment horizontal="right" vertical="center" shrinkToFit="1"/>
      <protection locked="0"/>
    </xf>
    <xf numFmtId="176" fontId="5" fillId="2" borderId="8" xfId="0" applyNumberFormat="1" applyFont="1" applyFill="1" applyBorder="1" applyAlignment="1" applyProtection="1">
      <alignment horizontal="right" vertical="center" shrinkToFit="1"/>
      <protection locked="0"/>
    </xf>
    <xf numFmtId="0" fontId="5" fillId="2" borderId="24" xfId="2" applyNumberFormat="1" applyFont="1" applyFill="1" applyBorder="1" applyAlignment="1" applyProtection="1">
      <alignment horizontal="right" vertical="center" shrinkToFit="1"/>
      <protection locked="0"/>
    </xf>
    <xf numFmtId="38" fontId="5" fillId="0" borderId="52" xfId="2" applyFont="1" applyFill="1" applyBorder="1" applyAlignment="1" applyProtection="1">
      <alignment horizontal="center" vertical="center" wrapText="1"/>
    </xf>
    <xf numFmtId="38" fontId="5" fillId="0" borderId="8" xfId="2" applyFont="1" applyFill="1" applyBorder="1" applyAlignment="1" applyProtection="1">
      <alignment horizontal="center" vertical="center" wrapText="1"/>
    </xf>
    <xf numFmtId="0" fontId="8" fillId="0" borderId="22" xfId="0" applyFont="1" applyBorder="1" applyAlignment="1" applyProtection="1">
      <alignment horizontal="justify" vertical="center" wrapText="1"/>
    </xf>
    <xf numFmtId="49" fontId="6" fillId="2" borderId="44" xfId="0" applyNumberFormat="1" applyFont="1" applyFill="1" applyBorder="1" applyAlignment="1" applyProtection="1">
      <alignment horizontal="left" vertical="center" wrapText="1"/>
    </xf>
    <xf numFmtId="49" fontId="6" fillId="2" borderId="45" xfId="0" applyNumberFormat="1" applyFont="1" applyFill="1" applyBorder="1" applyAlignment="1" applyProtection="1">
      <alignment horizontal="left" vertical="center" wrapText="1"/>
    </xf>
    <xf numFmtId="49" fontId="6" fillId="2" borderId="51" xfId="0" applyNumberFormat="1" applyFont="1" applyFill="1" applyBorder="1" applyAlignment="1" applyProtection="1">
      <alignment horizontal="left" vertical="center" wrapText="1"/>
    </xf>
    <xf numFmtId="0" fontId="8" fillId="0" borderId="23" xfId="0" applyFont="1" applyBorder="1" applyAlignment="1" applyProtection="1">
      <alignment horizontal="justify" vertical="center" wrapText="1"/>
    </xf>
    <xf numFmtId="0" fontId="8" fillId="0" borderId="25" xfId="0" applyFont="1" applyBorder="1" applyAlignment="1" applyProtection="1">
      <alignment horizontal="justify" vertical="center" wrapText="1"/>
    </xf>
    <xf numFmtId="0" fontId="5" fillId="0" borderId="2" xfId="0" applyFont="1" applyFill="1" applyBorder="1" applyAlignment="1" applyProtection="1">
      <alignment horizontal="left" vertical="center"/>
    </xf>
    <xf numFmtId="0" fontId="5" fillId="0" borderId="35" xfId="0" applyFont="1" applyFill="1" applyBorder="1" applyAlignment="1" applyProtection="1">
      <alignment horizontal="left" vertical="center"/>
    </xf>
    <xf numFmtId="0" fontId="5" fillId="0" borderId="9" xfId="0" applyFont="1" applyFill="1" applyBorder="1" applyAlignment="1" applyProtection="1">
      <alignment horizontal="left" vertical="center"/>
    </xf>
    <xf numFmtId="0" fontId="5" fillId="0" borderId="43" xfId="0" applyFont="1" applyFill="1" applyBorder="1" applyAlignment="1" applyProtection="1">
      <alignment horizontal="center" vertical="center"/>
    </xf>
    <xf numFmtId="176" fontId="5" fillId="17" borderId="55" xfId="0" applyNumberFormat="1" applyFont="1" applyFill="1" applyBorder="1" applyAlignment="1" applyProtection="1">
      <alignment horizontal="right" vertical="center" shrinkToFit="1"/>
    </xf>
    <xf numFmtId="176" fontId="5" fillId="17" borderId="2" xfId="0" applyNumberFormat="1" applyFont="1" applyFill="1" applyBorder="1" applyAlignment="1" applyProtection="1">
      <alignment horizontal="right" vertical="center" shrinkToFit="1"/>
    </xf>
    <xf numFmtId="0" fontId="5" fillId="0" borderId="5" xfId="0" applyFont="1" applyFill="1" applyBorder="1" applyAlignment="1" applyProtection="1">
      <alignment horizontal="justify" vertical="center" wrapText="1"/>
    </xf>
    <xf numFmtId="0" fontId="5" fillId="0" borderId="10" xfId="0" applyFont="1" applyFill="1" applyBorder="1" applyAlignment="1" applyProtection="1">
      <alignment horizontal="justify" vertical="center" wrapText="1"/>
    </xf>
    <xf numFmtId="49" fontId="5" fillId="2" borderId="2" xfId="0" applyNumberFormat="1" applyFont="1" applyFill="1" applyBorder="1" applyAlignment="1" applyProtection="1">
      <alignment horizontal="left" vertical="center" wrapText="1"/>
      <protection locked="0"/>
    </xf>
    <xf numFmtId="49" fontId="5" fillId="2" borderId="35" xfId="0" applyNumberFormat="1" applyFont="1" applyFill="1" applyBorder="1" applyAlignment="1" applyProtection="1">
      <alignment horizontal="left" vertical="center" wrapText="1"/>
      <protection locked="0"/>
    </xf>
    <xf numFmtId="49" fontId="5" fillId="2" borderId="9" xfId="0" applyNumberFormat="1" applyFont="1" applyFill="1" applyBorder="1" applyAlignment="1" applyProtection="1">
      <alignment horizontal="left" vertical="center" wrapText="1"/>
      <protection locked="0"/>
    </xf>
    <xf numFmtId="0" fontId="5" fillId="0" borderId="54" xfId="0" applyFont="1" applyFill="1" applyBorder="1" applyAlignment="1" applyProtection="1">
      <alignment horizontal="justify" vertical="center" wrapText="1"/>
    </xf>
    <xf numFmtId="0" fontId="5" fillId="0" borderId="53" xfId="0" applyFont="1" applyFill="1" applyBorder="1" applyAlignment="1" applyProtection="1">
      <alignment horizontal="justify" vertical="center" wrapText="1"/>
    </xf>
    <xf numFmtId="38" fontId="5" fillId="0" borderId="27" xfId="2" applyFont="1" applyFill="1" applyBorder="1" applyAlignment="1" applyProtection="1">
      <alignment horizontal="justify" vertical="center" wrapText="1"/>
    </xf>
    <xf numFmtId="0" fontId="5" fillId="2" borderId="2" xfId="2" applyNumberFormat="1" applyFont="1" applyFill="1" applyBorder="1" applyAlignment="1" applyProtection="1">
      <alignment horizontal="right" vertical="center" shrinkToFit="1"/>
      <protection locked="0"/>
    </xf>
    <xf numFmtId="0" fontId="5" fillId="2" borderId="35" xfId="2" applyNumberFormat="1" applyFont="1" applyFill="1" applyBorder="1" applyAlignment="1" applyProtection="1">
      <alignment horizontal="right" vertical="center" shrinkToFit="1"/>
      <protection locked="0"/>
    </xf>
    <xf numFmtId="0" fontId="14" fillId="0" borderId="16" xfId="0" applyFont="1" applyFill="1" applyBorder="1" applyAlignment="1" applyProtection="1">
      <alignment horizontal="left" vertical="top" wrapText="1"/>
    </xf>
    <xf numFmtId="0" fontId="14" fillId="0" borderId="14" xfId="0" applyFont="1" applyFill="1" applyBorder="1" applyAlignment="1" applyProtection="1">
      <alignment horizontal="left" vertical="top" wrapText="1"/>
    </xf>
    <xf numFmtId="0" fontId="5" fillId="0" borderId="12" xfId="0" applyFont="1" applyFill="1" applyBorder="1" applyAlignment="1" applyProtection="1">
      <alignment horizontal="justify" vertical="center" wrapText="1"/>
    </xf>
    <xf numFmtId="0" fontId="5" fillId="0" borderId="16" xfId="0" applyFont="1" applyFill="1" applyBorder="1" applyAlignment="1" applyProtection="1">
      <alignment horizontal="center"/>
    </xf>
    <xf numFmtId="0" fontId="5" fillId="0" borderId="24" xfId="0" applyFont="1" applyFill="1" applyBorder="1" applyAlignment="1" applyProtection="1">
      <alignment horizontal="center" vertical="top" wrapText="1"/>
    </xf>
    <xf numFmtId="0" fontId="8" fillId="0" borderId="9" xfId="0" applyFont="1" applyBorder="1" applyAlignment="1" applyProtection="1">
      <alignment horizontal="justify" vertical="center" wrapText="1"/>
    </xf>
    <xf numFmtId="0" fontId="8" fillId="0" borderId="2" xfId="0" applyFont="1" applyBorder="1" applyAlignment="1" applyProtection="1">
      <alignment horizontal="justify" vertical="center" wrapText="1"/>
    </xf>
    <xf numFmtId="0" fontId="8" fillId="0" borderId="29" xfId="0" applyFont="1" applyBorder="1" applyAlignment="1" applyProtection="1">
      <alignment horizontal="justify" vertical="center" wrapText="1"/>
    </xf>
    <xf numFmtId="0" fontId="8" fillId="0" borderId="11" xfId="0" applyFont="1" applyBorder="1" applyAlignment="1" applyProtection="1">
      <alignment horizontal="justify" vertical="center" wrapText="1"/>
    </xf>
    <xf numFmtId="0" fontId="5" fillId="2" borderId="29" xfId="2" applyNumberFormat="1" applyFont="1" applyFill="1" applyBorder="1" applyAlignment="1" applyProtection="1">
      <alignment horizontal="right" vertical="center" shrinkToFit="1"/>
      <protection locked="0"/>
    </xf>
    <xf numFmtId="0" fontId="5" fillId="2" borderId="5" xfId="2" applyNumberFormat="1" applyFont="1" applyFill="1" applyBorder="1" applyAlignment="1" applyProtection="1">
      <alignment horizontal="right" vertical="center" shrinkToFit="1"/>
      <protection locked="0"/>
    </xf>
    <xf numFmtId="0" fontId="8" fillId="0" borderId="51" xfId="0" applyFont="1" applyBorder="1" applyAlignment="1" applyProtection="1">
      <alignment horizontal="justify" vertical="center" wrapText="1"/>
    </xf>
    <xf numFmtId="176" fontId="5" fillId="2" borderId="44" xfId="0" applyNumberFormat="1" applyFont="1" applyFill="1" applyBorder="1" applyAlignment="1" applyProtection="1">
      <alignment horizontal="right" vertical="center" shrinkToFit="1"/>
      <protection locked="0"/>
    </xf>
    <xf numFmtId="176" fontId="5" fillId="2" borderId="45" xfId="0" applyNumberFormat="1" applyFont="1" applyFill="1" applyBorder="1" applyAlignment="1" applyProtection="1">
      <alignment horizontal="right" vertical="center" shrinkToFit="1"/>
      <protection locked="0"/>
    </xf>
    <xf numFmtId="38" fontId="5" fillId="0" borderId="29" xfId="2" applyFont="1" applyFill="1" applyBorder="1" applyAlignment="1" applyProtection="1">
      <alignment horizontal="justify" vertical="center" wrapText="1"/>
    </xf>
    <xf numFmtId="38" fontId="5" fillId="0" borderId="11" xfId="2" applyFont="1" applyFill="1" applyBorder="1" applyAlignment="1" applyProtection="1">
      <alignment horizontal="justify" vertical="center" wrapText="1"/>
    </xf>
    <xf numFmtId="0" fontId="5" fillId="0" borderId="56" xfId="0" applyFont="1" applyFill="1" applyBorder="1" applyAlignment="1" applyProtection="1">
      <alignment horizontal="center" vertical="center"/>
    </xf>
    <xf numFmtId="0" fontId="8" fillId="0" borderId="57" xfId="0" applyFont="1" applyBorder="1" applyAlignment="1" applyProtection="1">
      <alignment horizontal="center"/>
    </xf>
    <xf numFmtId="0" fontId="8" fillId="0" borderId="58" xfId="0" applyFont="1" applyBorder="1" applyAlignment="1" applyProtection="1">
      <alignment horizontal="center"/>
    </xf>
    <xf numFmtId="0" fontId="8" fillId="0" borderId="59" xfId="0" applyFont="1" applyBorder="1" applyAlignment="1" applyProtection="1">
      <alignment horizontal="center"/>
    </xf>
    <xf numFmtId="0" fontId="5" fillId="0" borderId="24" xfId="0" applyFont="1" applyFill="1" applyBorder="1" applyAlignment="1" applyProtection="1">
      <alignment horizontal="justify" vertical="center" wrapText="1"/>
    </xf>
    <xf numFmtId="0" fontId="5" fillId="0" borderId="49" xfId="0" applyFont="1" applyFill="1" applyBorder="1" applyAlignment="1" applyProtection="1">
      <alignment horizontal="justify" vertical="center" wrapText="1"/>
    </xf>
    <xf numFmtId="0" fontId="5" fillId="0" borderId="35" xfId="0" applyFont="1" applyFill="1" applyBorder="1" applyAlignment="1" applyProtection="1">
      <alignment vertical="center"/>
    </xf>
    <xf numFmtId="0" fontId="5" fillId="0" borderId="9" xfId="0" applyFont="1" applyFill="1" applyBorder="1" applyAlignment="1" applyProtection="1">
      <alignment vertical="center"/>
    </xf>
    <xf numFmtId="0" fontId="8" fillId="0" borderId="53" xfId="0" applyFont="1" applyBorder="1" applyAlignment="1" applyProtection="1">
      <alignment horizontal="justify" vertical="center" wrapText="1"/>
    </xf>
    <xf numFmtId="176" fontId="5" fillId="2" borderId="55" xfId="0" applyNumberFormat="1" applyFont="1" applyFill="1" applyBorder="1" applyAlignment="1" applyProtection="1">
      <alignment horizontal="right" vertical="center" shrinkToFit="1"/>
    </xf>
    <xf numFmtId="176" fontId="5" fillId="2" borderId="2" xfId="0" applyNumberFormat="1" applyFont="1" applyFill="1" applyBorder="1" applyAlignment="1" applyProtection="1">
      <alignment horizontal="right" vertical="center" shrinkToFit="1"/>
    </xf>
    <xf numFmtId="0" fontId="5" fillId="17" borderId="44" xfId="0" applyNumberFormat="1" applyFont="1" applyFill="1" applyBorder="1" applyAlignment="1" applyProtection="1">
      <alignment horizontal="left" vertical="center" wrapText="1"/>
    </xf>
    <xf numFmtId="0" fontId="5" fillId="17" borderId="45" xfId="0" applyNumberFormat="1" applyFont="1" applyFill="1" applyBorder="1" applyAlignment="1" applyProtection="1">
      <alignment horizontal="left" vertical="center" wrapText="1"/>
    </xf>
    <xf numFmtId="0" fontId="5" fillId="17" borderId="51" xfId="0" applyNumberFormat="1" applyFont="1" applyFill="1" applyBorder="1" applyAlignment="1" applyProtection="1">
      <alignment horizontal="left" vertical="center" wrapText="1"/>
    </xf>
    <xf numFmtId="0" fontId="5" fillId="17" borderId="2" xfId="2" quotePrefix="1" applyNumberFormat="1" applyFont="1" applyFill="1" applyBorder="1" applyAlignment="1" applyProtection="1">
      <alignment horizontal="right" vertical="center" shrinkToFit="1"/>
    </xf>
    <xf numFmtId="0" fontId="5" fillId="17" borderId="35" xfId="2" applyNumberFormat="1" applyFont="1" applyFill="1" applyBorder="1" applyAlignment="1" applyProtection="1">
      <alignment horizontal="right" vertical="center" shrinkToFit="1"/>
    </xf>
    <xf numFmtId="0" fontId="5" fillId="17" borderId="35" xfId="0" applyFont="1" applyFill="1" applyBorder="1" applyAlignment="1" applyProtection="1">
      <alignment horizontal="justify" vertical="center" wrapText="1"/>
    </xf>
    <xf numFmtId="0" fontId="5" fillId="17" borderId="4" xfId="0" applyFont="1" applyFill="1" applyBorder="1" applyAlignment="1" applyProtection="1">
      <alignment horizontal="justify" vertical="center" wrapText="1"/>
    </xf>
    <xf numFmtId="0" fontId="5" fillId="0" borderId="52"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176" fontId="5" fillId="17" borderId="35" xfId="0" applyNumberFormat="1" applyFont="1" applyFill="1" applyBorder="1" applyAlignment="1" applyProtection="1">
      <alignment horizontal="right" vertical="center" shrinkToFit="1"/>
    </xf>
    <xf numFmtId="0" fontId="5" fillId="2" borderId="24" xfId="2" quotePrefix="1" applyNumberFormat="1" applyFont="1" applyFill="1" applyBorder="1" applyAlignment="1" applyProtection="1">
      <alignment horizontal="right" vertical="center" shrinkToFit="1"/>
      <protection locked="0"/>
    </xf>
    <xf numFmtId="0" fontId="8" fillId="0" borderId="10" xfId="0" applyFont="1" applyBorder="1" applyAlignment="1" applyProtection="1">
      <alignment horizontal="justify" vertical="center" wrapText="1"/>
    </xf>
    <xf numFmtId="176" fontId="6" fillId="2" borderId="8" xfId="0" applyNumberFormat="1" applyFont="1" applyFill="1" applyBorder="1" applyAlignment="1" applyProtection="1">
      <alignment horizontal="right" vertical="center" shrinkToFit="1"/>
    </xf>
    <xf numFmtId="176" fontId="6" fillId="2" borderId="2" xfId="0" applyNumberFormat="1" applyFont="1" applyFill="1" applyBorder="1" applyAlignment="1" applyProtection="1">
      <alignment horizontal="right" vertical="center" shrinkToFit="1"/>
    </xf>
    <xf numFmtId="176" fontId="6" fillId="2" borderId="35" xfId="0" applyNumberFormat="1" applyFont="1" applyFill="1" applyBorder="1" applyAlignment="1" applyProtection="1">
      <alignment horizontal="right" vertical="center" shrinkToFit="1"/>
    </xf>
    <xf numFmtId="0" fontId="6" fillId="2" borderId="2" xfId="2" quotePrefix="1" applyNumberFormat="1" applyFont="1" applyFill="1" applyBorder="1" applyAlignment="1" applyProtection="1">
      <alignment horizontal="right" vertical="center" shrinkToFit="1"/>
    </xf>
    <xf numFmtId="0" fontId="6" fillId="2" borderId="35" xfId="2" applyNumberFormat="1" applyFont="1" applyFill="1" applyBorder="1" applyAlignment="1" applyProtection="1">
      <alignment horizontal="right" vertical="center" shrinkToFit="1"/>
    </xf>
    <xf numFmtId="0" fontId="5" fillId="0" borderId="35" xfId="0" applyFont="1" applyFill="1" applyBorder="1" applyAlignment="1" applyProtection="1">
      <alignment horizontal="justify" vertical="center" wrapText="1"/>
    </xf>
    <xf numFmtId="0" fontId="5" fillId="0" borderId="4" xfId="0" applyFont="1" applyFill="1" applyBorder="1" applyAlignment="1" applyProtection="1">
      <alignment horizontal="justify" vertical="center" wrapText="1"/>
    </xf>
    <xf numFmtId="0" fontId="13" fillId="2" borderId="13" xfId="0" applyFont="1" applyFill="1" applyBorder="1" applyAlignment="1" applyProtection="1">
      <alignment horizontal="justify" vertical="top" wrapText="1"/>
      <protection locked="0"/>
    </xf>
    <xf numFmtId="0" fontId="13" fillId="2" borderId="14" xfId="0" applyFont="1" applyFill="1" applyBorder="1" applyAlignment="1" applyProtection="1">
      <alignment horizontal="justify" vertical="top" wrapText="1"/>
      <protection locked="0"/>
    </xf>
    <xf numFmtId="0" fontId="13" fillId="2" borderId="26" xfId="0" applyFont="1" applyFill="1" applyBorder="1" applyAlignment="1" applyProtection="1">
      <alignment horizontal="justify" vertical="top" wrapText="1"/>
      <protection locked="0"/>
    </xf>
    <xf numFmtId="49" fontId="6" fillId="2" borderId="45" xfId="0" applyNumberFormat="1" applyFont="1" applyFill="1" applyBorder="1" applyAlignment="1" applyProtection="1">
      <alignment horizontal="justify" vertical="center" wrapText="1"/>
    </xf>
    <xf numFmtId="0" fontId="6" fillId="2" borderId="2" xfId="2" applyNumberFormat="1" applyFont="1" applyFill="1" applyBorder="1" applyAlignment="1" applyProtection="1">
      <alignment horizontal="right" vertical="center" shrinkToFit="1"/>
    </xf>
    <xf numFmtId="0" fontId="6" fillId="2" borderId="24" xfId="2" applyNumberFormat="1" applyFont="1" applyFill="1" applyBorder="1" applyAlignment="1" applyProtection="1">
      <alignment horizontal="right" vertical="center" shrinkToFit="1"/>
    </xf>
    <xf numFmtId="179" fontId="5" fillId="0" borderId="2" xfId="0" applyNumberFormat="1" applyFont="1" applyFill="1" applyBorder="1" applyAlignment="1" applyProtection="1">
      <alignment horizontal="right" vertical="center"/>
    </xf>
    <xf numFmtId="179" fontId="5" fillId="0" borderId="35" xfId="0" applyNumberFormat="1" applyFont="1" applyFill="1" applyBorder="1" applyAlignment="1" applyProtection="1">
      <alignment horizontal="right" vertical="center"/>
    </xf>
    <xf numFmtId="176" fontId="5" fillId="2" borderId="8" xfId="0" applyNumberFormat="1" applyFont="1" applyFill="1" applyBorder="1" applyAlignment="1" applyProtection="1">
      <alignment horizontal="right" vertical="center" shrinkToFit="1"/>
    </xf>
    <xf numFmtId="176" fontId="5" fillId="2" borderId="35" xfId="0" applyNumberFormat="1" applyFont="1" applyFill="1" applyBorder="1" applyAlignment="1" applyProtection="1">
      <alignment horizontal="right" vertical="center" shrinkToFit="1"/>
    </xf>
    <xf numFmtId="176" fontId="5" fillId="2" borderId="47" xfId="0" applyNumberFormat="1" applyFont="1" applyFill="1" applyBorder="1" applyAlignment="1" applyProtection="1">
      <alignment horizontal="right" vertical="center" shrinkToFit="1"/>
    </xf>
    <xf numFmtId="176" fontId="5" fillId="2" borderId="29" xfId="0" applyNumberFormat="1" applyFont="1" applyFill="1" applyBorder="1" applyAlignment="1" applyProtection="1">
      <alignment horizontal="right" vertical="center" shrinkToFit="1"/>
    </xf>
    <xf numFmtId="179" fontId="5" fillId="0" borderId="29" xfId="0" applyNumberFormat="1" applyFont="1" applyFill="1" applyBorder="1" applyAlignment="1" applyProtection="1">
      <alignment horizontal="right" vertical="center"/>
    </xf>
    <xf numFmtId="179" fontId="5" fillId="0" borderId="5" xfId="0" applyNumberFormat="1" applyFont="1" applyFill="1" applyBorder="1" applyAlignment="1" applyProtection="1">
      <alignment horizontal="right" vertical="center"/>
    </xf>
    <xf numFmtId="176" fontId="5" fillId="2" borderId="44" xfId="0" applyNumberFormat="1" applyFont="1" applyFill="1" applyBorder="1" applyAlignment="1" applyProtection="1">
      <alignment horizontal="right" vertical="center" shrinkToFit="1"/>
    </xf>
    <xf numFmtId="176" fontId="5" fillId="2" borderId="45" xfId="0" applyNumberFormat="1" applyFont="1" applyFill="1" applyBorder="1" applyAlignment="1" applyProtection="1">
      <alignment horizontal="right" vertical="center" shrinkToFit="1"/>
    </xf>
    <xf numFmtId="0" fontId="5" fillId="2" borderId="24" xfId="2" applyNumberFormat="1" applyFont="1" applyFill="1" applyBorder="1" applyAlignment="1" applyProtection="1">
      <alignment horizontal="right" vertical="center" shrinkToFit="1"/>
    </xf>
    <xf numFmtId="0" fontId="5" fillId="2" borderId="29" xfId="2" applyNumberFormat="1" applyFont="1" applyFill="1" applyBorder="1" applyAlignment="1" applyProtection="1">
      <alignment horizontal="right" vertical="center" shrinkToFit="1"/>
    </xf>
    <xf numFmtId="0" fontId="5" fillId="2" borderId="5" xfId="2" applyNumberFormat="1" applyFont="1" applyFill="1" applyBorder="1" applyAlignment="1" applyProtection="1">
      <alignment horizontal="right" vertical="center" shrinkToFit="1"/>
    </xf>
    <xf numFmtId="49" fontId="5" fillId="2" borderId="2" xfId="0" applyNumberFormat="1" applyFont="1" applyFill="1" applyBorder="1" applyAlignment="1" applyProtection="1">
      <alignment horizontal="left" vertical="center" wrapText="1"/>
    </xf>
    <xf numFmtId="49" fontId="5" fillId="2" borderId="35" xfId="0" applyNumberFormat="1" applyFont="1" applyFill="1" applyBorder="1" applyAlignment="1" applyProtection="1">
      <alignment horizontal="left" vertical="center" wrapText="1"/>
    </xf>
    <xf numFmtId="49" fontId="5" fillId="2" borderId="9" xfId="0" applyNumberFormat="1" applyFont="1" applyFill="1" applyBorder="1" applyAlignment="1" applyProtection="1">
      <alignment horizontal="left" vertical="center" wrapText="1"/>
    </xf>
    <xf numFmtId="0" fontId="5" fillId="2" borderId="2" xfId="2" applyNumberFormat="1" applyFont="1" applyFill="1" applyBorder="1" applyAlignment="1" applyProtection="1">
      <alignment horizontal="right" vertical="center" shrinkToFit="1"/>
    </xf>
    <xf numFmtId="0" fontId="5" fillId="2" borderId="35" xfId="2" applyNumberFormat="1" applyFont="1" applyFill="1" applyBorder="1" applyAlignment="1" applyProtection="1">
      <alignment horizontal="right" vertical="center" shrinkToFit="1"/>
    </xf>
    <xf numFmtId="49" fontId="5" fillId="3" borderId="43" xfId="0" applyNumberFormat="1" applyFont="1" applyFill="1" applyBorder="1" applyAlignment="1" applyProtection="1">
      <alignment horizontal="justify" vertical="center" wrapText="1"/>
      <protection locked="0"/>
    </xf>
    <xf numFmtId="49" fontId="5" fillId="3" borderId="56" xfId="0" applyNumberFormat="1" applyFont="1" applyFill="1" applyBorder="1" applyAlignment="1" applyProtection="1">
      <alignment horizontal="justify" vertical="center" wrapText="1"/>
      <protection locked="0"/>
    </xf>
    <xf numFmtId="0" fontId="5" fillId="0" borderId="60" xfId="0" applyFont="1" applyFill="1" applyBorder="1" applyAlignment="1" applyProtection="1">
      <alignment horizontal="justify" vertical="center" wrapText="1"/>
    </xf>
    <xf numFmtId="0" fontId="5" fillId="0" borderId="61" xfId="0" applyFont="1" applyFill="1" applyBorder="1" applyAlignment="1" applyProtection="1">
      <alignment horizontal="justify" vertical="center" wrapText="1"/>
    </xf>
    <xf numFmtId="0" fontId="5" fillId="0" borderId="45" xfId="0" applyFont="1" applyFill="1" applyBorder="1" applyAlignment="1" applyProtection="1">
      <alignment horizontal="left" vertical="center" wrapText="1"/>
    </xf>
    <xf numFmtId="0" fontId="5" fillId="0" borderId="51" xfId="0" applyFont="1" applyFill="1" applyBorder="1" applyAlignment="1" applyProtection="1">
      <alignment horizontal="left" vertical="center" wrapText="1"/>
    </xf>
    <xf numFmtId="176" fontId="5" fillId="17" borderId="29" xfId="0" applyNumberFormat="1" applyFont="1" applyFill="1" applyBorder="1" applyAlignment="1" applyProtection="1">
      <alignment horizontal="right" vertical="center" shrinkToFit="1"/>
    </xf>
    <xf numFmtId="176" fontId="5" fillId="17" borderId="5" xfId="0" applyNumberFormat="1" applyFont="1" applyFill="1" applyBorder="1" applyAlignment="1" applyProtection="1">
      <alignment horizontal="right" vertical="center" shrinkToFit="1"/>
    </xf>
    <xf numFmtId="0" fontId="5" fillId="0" borderId="5" xfId="0" applyFont="1" applyBorder="1" applyAlignment="1" applyProtection="1">
      <alignment horizontal="justify" vertical="center" wrapText="1"/>
    </xf>
    <xf numFmtId="0" fontId="5" fillId="0" borderId="10" xfId="0" applyFont="1" applyBorder="1" applyAlignment="1" applyProtection="1">
      <alignment horizontal="justify" vertical="center" wrapText="1"/>
    </xf>
    <xf numFmtId="0" fontId="5" fillId="3" borderId="45" xfId="0" applyNumberFormat="1" applyFont="1" applyFill="1" applyBorder="1" applyAlignment="1" applyProtection="1">
      <alignment horizontal="justify" vertical="center" wrapText="1"/>
      <protection locked="0"/>
    </xf>
    <xf numFmtId="0" fontId="5" fillId="17" borderId="2" xfId="0" quotePrefix="1" applyNumberFormat="1" applyFont="1" applyFill="1" applyBorder="1" applyAlignment="1" applyProtection="1">
      <alignment horizontal="right" vertical="center" shrinkToFit="1"/>
    </xf>
    <xf numFmtId="0" fontId="5" fillId="17" borderId="35" xfId="0" applyNumberFormat="1" applyFont="1" applyFill="1" applyBorder="1" applyAlignment="1" applyProtection="1">
      <alignment horizontal="right" vertical="center" shrinkToFit="1"/>
    </xf>
    <xf numFmtId="0" fontId="7" fillId="0" borderId="0" xfId="0" applyFont="1" applyFill="1" applyBorder="1" applyAlignment="1" applyProtection="1">
      <alignment horizontal="left" vertical="center"/>
    </xf>
    <xf numFmtId="0" fontId="5" fillId="0" borderId="46" xfId="0" applyFont="1" applyFill="1" applyBorder="1" applyAlignment="1" applyProtection="1">
      <alignment horizontal="distributed" vertical="center" wrapText="1"/>
    </xf>
    <xf numFmtId="0" fontId="5" fillId="0" borderId="47" xfId="0" applyFont="1" applyFill="1" applyBorder="1" applyAlignment="1" applyProtection="1">
      <alignment horizontal="distributed" vertical="center" wrapText="1"/>
    </xf>
    <xf numFmtId="0" fontId="5" fillId="2" borderId="24" xfId="0" applyNumberFormat="1" applyFont="1" applyFill="1" applyBorder="1" applyAlignment="1" applyProtection="1">
      <alignment horizontal="right" vertical="center" shrinkToFit="1"/>
      <protection locked="0"/>
    </xf>
    <xf numFmtId="0" fontId="5" fillId="0" borderId="5" xfId="0" applyFont="1" applyFill="1" applyBorder="1" applyAlignment="1" applyProtection="1">
      <alignment horizontal="left" vertical="center" wrapText="1"/>
    </xf>
    <xf numFmtId="0" fontId="5" fillId="0" borderId="10" xfId="0" applyFont="1" applyFill="1" applyBorder="1" applyAlignment="1" applyProtection="1">
      <alignment horizontal="left" vertical="center" wrapText="1"/>
    </xf>
    <xf numFmtId="0" fontId="5" fillId="3" borderId="44" xfId="0" applyNumberFormat="1" applyFont="1" applyFill="1" applyBorder="1" applyAlignment="1" applyProtection="1">
      <alignment horizontal="justify" vertical="center"/>
      <protection locked="0"/>
    </xf>
    <xf numFmtId="0" fontId="5" fillId="3" borderId="51" xfId="0" applyNumberFormat="1" applyFont="1" applyFill="1" applyBorder="1" applyAlignment="1" applyProtection="1">
      <alignment horizontal="justify" vertical="center"/>
      <protection locked="0"/>
    </xf>
    <xf numFmtId="0" fontId="5" fillId="2" borderId="2" xfId="0" applyNumberFormat="1" applyFont="1" applyFill="1" applyBorder="1" applyAlignment="1" applyProtection="1">
      <alignment horizontal="right" vertical="center" shrinkToFit="1"/>
      <protection locked="0"/>
    </xf>
    <xf numFmtId="0" fontId="5" fillId="2" borderId="35" xfId="0" applyNumberFormat="1" applyFont="1" applyFill="1" applyBorder="1" applyAlignment="1" applyProtection="1">
      <alignment horizontal="right" vertical="center" shrinkToFit="1"/>
      <protection locked="0"/>
    </xf>
    <xf numFmtId="0" fontId="5" fillId="0" borderId="0" xfId="0" applyFont="1" applyFill="1" applyAlignment="1" applyProtection="1">
      <alignment horizontal="center" vertical="center"/>
    </xf>
    <xf numFmtId="0" fontId="5" fillId="0" borderId="44" xfId="0" applyFont="1" applyFill="1" applyBorder="1" applyAlignment="1" applyProtection="1">
      <alignment horizontal="distributed" vertical="center" wrapText="1"/>
    </xf>
    <xf numFmtId="0" fontId="8" fillId="0" borderId="51" xfId="0" applyFont="1" applyBorder="1" applyAlignment="1" applyProtection="1">
      <alignment horizontal="distributed" vertical="center" wrapText="1"/>
    </xf>
    <xf numFmtId="176" fontId="5" fillId="2" borderId="54" xfId="0" applyNumberFormat="1" applyFont="1" applyFill="1" applyBorder="1" applyAlignment="1" applyProtection="1">
      <alignment horizontal="right" vertical="center" shrinkToFit="1"/>
      <protection locked="0"/>
    </xf>
    <xf numFmtId="49" fontId="69" fillId="2" borderId="24" xfId="1" applyNumberFormat="1" applyFill="1" applyBorder="1" applyAlignment="1" applyProtection="1">
      <alignment horizontal="left" vertical="center" shrinkToFit="1"/>
      <protection locked="0"/>
    </xf>
    <xf numFmtId="49" fontId="5" fillId="2" borderId="24" xfId="0" applyNumberFormat="1" applyFont="1" applyFill="1" applyBorder="1" applyAlignment="1" applyProtection="1">
      <alignment horizontal="left" vertical="center" shrinkToFit="1"/>
      <protection locked="0"/>
    </xf>
    <xf numFmtId="49" fontId="5" fillId="2" borderId="49" xfId="0" applyNumberFormat="1" applyFont="1" applyFill="1" applyBorder="1" applyAlignment="1" applyProtection="1">
      <alignment horizontal="left" vertical="center" shrinkToFit="1"/>
      <protection locked="0"/>
    </xf>
    <xf numFmtId="0" fontId="5" fillId="0" borderId="6" xfId="0" applyFont="1" applyFill="1" applyBorder="1" applyAlignment="1" applyProtection="1">
      <alignment horizontal="center" vertical="center" wrapText="1"/>
    </xf>
    <xf numFmtId="49" fontId="5" fillId="3" borderId="41" xfId="0" applyNumberFormat="1" applyFont="1" applyFill="1" applyBorder="1" applyAlignment="1" applyProtection="1">
      <alignment horizontal="justify" vertical="center" wrapText="1"/>
      <protection locked="0"/>
    </xf>
    <xf numFmtId="49" fontId="5" fillId="3" borderId="71" xfId="0" applyNumberFormat="1" applyFont="1" applyFill="1" applyBorder="1" applyAlignment="1" applyProtection="1">
      <alignment horizontal="justify" vertical="center" wrapText="1"/>
      <protection locked="0"/>
    </xf>
    <xf numFmtId="0" fontId="5" fillId="0" borderId="52" xfId="0" applyFont="1" applyFill="1" applyBorder="1" applyAlignment="1" applyProtection="1">
      <alignment horizontal="distributed" vertical="center" wrapText="1"/>
    </xf>
    <xf numFmtId="0" fontId="5" fillId="0" borderId="8" xfId="0" applyFont="1" applyFill="1" applyBorder="1" applyAlignment="1" applyProtection="1">
      <alignment horizontal="distributed" vertical="center" wrapText="1"/>
    </xf>
    <xf numFmtId="0" fontId="5" fillId="0" borderId="53" xfId="0" applyFont="1" applyFill="1" applyBorder="1" applyAlignment="1" applyProtection="1">
      <alignment horizontal="distributed" vertical="center" wrapText="1"/>
    </xf>
    <xf numFmtId="0" fontId="5" fillId="0" borderId="0" xfId="0" applyFont="1" applyFill="1" applyAlignment="1" applyProtection="1">
      <alignment horizontal="justify" vertical="top" wrapText="1"/>
    </xf>
    <xf numFmtId="0" fontId="5" fillId="0" borderId="60" xfId="0" applyFont="1" applyFill="1" applyBorder="1" applyAlignment="1" applyProtection="1">
      <alignment horizontal="distributed" vertical="center" wrapText="1"/>
    </xf>
    <xf numFmtId="0" fontId="5" fillId="0" borderId="45" xfId="0" applyFont="1" applyFill="1" applyBorder="1" applyAlignment="1" applyProtection="1">
      <alignment horizontal="distributed" vertical="center" wrapText="1"/>
    </xf>
    <xf numFmtId="0" fontId="5" fillId="0" borderId="51" xfId="0" applyFont="1" applyFill="1" applyBorder="1" applyAlignment="1" applyProtection="1">
      <alignment horizontal="distributed" vertical="center" wrapText="1"/>
    </xf>
    <xf numFmtId="0" fontId="5" fillId="0" borderId="0" xfId="0" quotePrefix="1" applyFont="1" applyFill="1" applyAlignment="1" applyProtection="1">
      <alignment horizontal="center" vertical="top"/>
    </xf>
    <xf numFmtId="49" fontId="6" fillId="2" borderId="43" xfId="0" applyNumberFormat="1" applyFont="1" applyFill="1" applyBorder="1" applyAlignment="1" applyProtection="1">
      <alignment horizontal="justify" vertical="center" wrapText="1"/>
    </xf>
    <xf numFmtId="49" fontId="6" fillId="2" borderId="56" xfId="0" applyNumberFormat="1" applyFont="1" applyFill="1" applyBorder="1" applyAlignment="1" applyProtection="1">
      <alignment horizontal="justify" vertical="center" wrapText="1"/>
    </xf>
    <xf numFmtId="49" fontId="6" fillId="2" borderId="47" xfId="0" applyNumberFormat="1" applyFont="1" applyFill="1" applyBorder="1" applyAlignment="1" applyProtection="1">
      <alignment horizontal="justify" vertical="center" wrapText="1"/>
    </xf>
    <xf numFmtId="49" fontId="6" fillId="2" borderId="62" xfId="0" applyNumberFormat="1" applyFont="1" applyFill="1" applyBorder="1" applyAlignment="1" applyProtection="1">
      <alignment horizontal="justify" vertical="center" wrapText="1"/>
    </xf>
    <xf numFmtId="176" fontId="6" fillId="2" borderId="54" xfId="0" applyNumberFormat="1" applyFont="1" applyFill="1" applyBorder="1" applyAlignment="1" applyProtection="1">
      <alignment horizontal="right" vertical="center" shrinkToFit="1"/>
    </xf>
    <xf numFmtId="49" fontId="6" fillId="2" borderId="14" xfId="0" applyNumberFormat="1" applyFont="1" applyFill="1" applyBorder="1" applyAlignment="1" applyProtection="1">
      <alignment horizontal="left" vertical="center" shrinkToFit="1"/>
    </xf>
    <xf numFmtId="49" fontId="6" fillId="2" borderId="26" xfId="0" applyNumberFormat="1" applyFont="1" applyFill="1" applyBorder="1" applyAlignment="1" applyProtection="1">
      <alignment horizontal="left" vertical="center" shrinkToFit="1"/>
    </xf>
    <xf numFmtId="176" fontId="6" fillId="2" borderId="29" xfId="0" applyNumberFormat="1" applyFont="1" applyFill="1" applyBorder="1" applyAlignment="1" applyProtection="1">
      <alignment horizontal="right" vertical="center" shrinkToFit="1"/>
    </xf>
    <xf numFmtId="176" fontId="6" fillId="2" borderId="5" xfId="0" applyNumberFormat="1" applyFont="1" applyFill="1" applyBorder="1" applyAlignment="1" applyProtection="1">
      <alignment horizontal="right" vertical="center" shrinkToFit="1"/>
    </xf>
    <xf numFmtId="0" fontId="16" fillId="3" borderId="24" xfId="0" applyFont="1" applyFill="1" applyBorder="1" applyAlignment="1" applyProtection="1">
      <alignment vertical="center"/>
    </xf>
    <xf numFmtId="0" fontId="16" fillId="3" borderId="49" xfId="0" applyFont="1" applyFill="1" applyBorder="1" applyAlignment="1" applyProtection="1">
      <alignment vertical="center"/>
    </xf>
    <xf numFmtId="176" fontId="6" fillId="2" borderId="44" xfId="0" applyNumberFormat="1" applyFont="1" applyFill="1" applyBorder="1" applyAlignment="1" applyProtection="1">
      <alignment horizontal="right" vertical="center" shrinkToFit="1"/>
    </xf>
    <xf numFmtId="176" fontId="6" fillId="2" borderId="45" xfId="0" applyNumberFormat="1" applyFont="1" applyFill="1" applyBorder="1" applyAlignment="1" applyProtection="1">
      <alignment horizontal="right" vertical="center" shrinkToFit="1"/>
    </xf>
    <xf numFmtId="0" fontId="6" fillId="2" borderId="24" xfId="0" applyNumberFormat="1" applyFont="1" applyFill="1" applyBorder="1" applyAlignment="1" applyProtection="1">
      <alignment horizontal="right" vertical="center" shrinkToFit="1"/>
    </xf>
    <xf numFmtId="0" fontId="6" fillId="2" borderId="2" xfId="0" quotePrefix="1" applyNumberFormat="1" applyFont="1" applyFill="1" applyBorder="1" applyAlignment="1" applyProtection="1">
      <alignment horizontal="right" vertical="center" shrinkToFit="1"/>
    </xf>
    <xf numFmtId="0" fontId="6" fillId="2" borderId="35" xfId="0" applyNumberFormat="1" applyFont="1" applyFill="1" applyBorder="1" applyAlignment="1" applyProtection="1">
      <alignment horizontal="right" vertical="center" shrinkToFit="1"/>
    </xf>
    <xf numFmtId="49" fontId="6" fillId="2" borderId="44" xfId="0" applyNumberFormat="1" applyFont="1" applyFill="1" applyBorder="1" applyAlignment="1" applyProtection="1">
      <alignment horizontal="justify" vertical="center"/>
    </xf>
    <xf numFmtId="49" fontId="6" fillId="2" borderId="45" xfId="0" applyNumberFormat="1" applyFont="1" applyFill="1" applyBorder="1" applyAlignment="1" applyProtection="1">
      <alignment horizontal="justify" vertical="center"/>
    </xf>
    <xf numFmtId="49" fontId="6" fillId="2" borderId="51" xfId="0" applyNumberFormat="1" applyFont="1" applyFill="1" applyBorder="1" applyAlignment="1" applyProtection="1">
      <alignment horizontal="justify" vertical="center"/>
    </xf>
    <xf numFmtId="0" fontId="6" fillId="2" borderId="2" xfId="0" applyNumberFormat="1" applyFont="1" applyFill="1" applyBorder="1" applyAlignment="1" applyProtection="1">
      <alignment horizontal="right" vertical="center" shrinkToFit="1"/>
    </xf>
    <xf numFmtId="0" fontId="64" fillId="4" borderId="52" xfId="10" applyFont="1" applyFill="1" applyBorder="1" applyAlignment="1" applyProtection="1">
      <alignment horizontal="right" vertical="top"/>
    </xf>
    <xf numFmtId="0" fontId="64" fillId="4" borderId="8" xfId="10" applyFont="1" applyFill="1" applyBorder="1" applyAlignment="1" applyProtection="1">
      <alignment horizontal="right" vertical="top"/>
    </xf>
    <xf numFmtId="0" fontId="64" fillId="0" borderId="0" xfId="10" applyFont="1" applyAlignment="1" applyProtection="1">
      <alignment horizontal="left" vertical="center"/>
    </xf>
    <xf numFmtId="0" fontId="64" fillId="4" borderId="0" xfId="10" applyFont="1" applyFill="1" applyAlignment="1" applyProtection="1">
      <alignment horizontal="left" vertical="center"/>
    </xf>
    <xf numFmtId="0" fontId="64" fillId="4" borderId="20" xfId="10" applyFont="1" applyFill="1" applyBorder="1" applyAlignment="1" applyProtection="1">
      <alignment horizontal="center" vertical="top"/>
    </xf>
    <xf numFmtId="0" fontId="64" fillId="4" borderId="14" xfId="10" applyFont="1" applyFill="1" applyBorder="1" applyAlignment="1" applyProtection="1">
      <alignment horizontal="center" vertical="top"/>
    </xf>
    <xf numFmtId="0" fontId="64" fillId="4" borderId="26" xfId="10" applyFont="1" applyFill="1" applyBorder="1" applyAlignment="1" applyProtection="1">
      <alignment horizontal="center" vertical="top"/>
    </xf>
    <xf numFmtId="0" fontId="64" fillId="4" borderId="20" xfId="10" applyFont="1" applyFill="1" applyBorder="1" applyAlignment="1" applyProtection="1">
      <alignment horizontal="center" vertical="top" wrapText="1"/>
    </xf>
    <xf numFmtId="0" fontId="64" fillId="4" borderId="16" xfId="10" applyFont="1" applyFill="1" applyBorder="1" applyAlignment="1" applyProtection="1">
      <alignment horizontal="center" vertical="center"/>
    </xf>
    <xf numFmtId="0" fontId="64" fillId="4" borderId="0" xfId="10" applyFont="1" applyFill="1" applyAlignment="1" applyProtection="1">
      <alignment horizontal="center" vertical="center"/>
    </xf>
    <xf numFmtId="0" fontId="64" fillId="4" borderId="6" xfId="10" applyFont="1" applyFill="1" applyBorder="1" applyAlignment="1" applyProtection="1">
      <alignment horizontal="center" vertical="center"/>
    </xf>
    <xf numFmtId="0" fontId="64" fillId="0" borderId="64" xfId="10" applyFont="1" applyBorder="1" applyAlignment="1" applyProtection="1">
      <alignment horizontal="center" vertical="top" wrapText="1"/>
    </xf>
    <xf numFmtId="0" fontId="64" fillId="0" borderId="70" xfId="10" applyFont="1" applyBorder="1" applyAlignment="1" applyProtection="1">
      <alignment horizontal="center" vertical="top" wrapText="1"/>
    </xf>
    <xf numFmtId="0" fontId="64" fillId="0" borderId="7" xfId="10" applyFont="1" applyBorder="1" applyAlignment="1" applyProtection="1">
      <alignment horizontal="center" vertical="top" wrapText="1"/>
    </xf>
    <xf numFmtId="0" fontId="64" fillId="0" borderId="7" xfId="10" applyFont="1" applyBorder="1" applyAlignment="1" applyProtection="1">
      <alignment horizontal="left" vertical="top" wrapText="1"/>
    </xf>
    <xf numFmtId="0" fontId="64" fillId="0" borderId="64" xfId="10" applyFont="1" applyBorder="1" applyAlignment="1" applyProtection="1">
      <alignment horizontal="left" vertical="top" wrapText="1"/>
    </xf>
    <xf numFmtId="0" fontId="64" fillId="4" borderId="52" xfId="10" applyFont="1" applyFill="1" applyBorder="1" applyAlignment="1" applyProtection="1">
      <alignment vertical="center" shrinkToFit="1"/>
    </xf>
    <xf numFmtId="0" fontId="64" fillId="4" borderId="8" xfId="10" applyFont="1" applyFill="1" applyBorder="1" applyAlignment="1" applyProtection="1">
      <alignment vertical="center" shrinkToFit="1"/>
    </xf>
    <xf numFmtId="0" fontId="64" fillId="4" borderId="12" xfId="10" applyFont="1" applyFill="1" applyBorder="1" applyAlignment="1" applyProtection="1">
      <alignment vertical="center" shrinkToFit="1"/>
    </xf>
    <xf numFmtId="183" fontId="64" fillId="0" borderId="0" xfId="10" applyNumberFormat="1" applyFont="1" applyAlignment="1" applyProtection="1">
      <alignment horizontal="left" vertical="center"/>
    </xf>
    <xf numFmtId="183" fontId="64" fillId="4" borderId="0" xfId="10" applyNumberFormat="1" applyFont="1" applyFill="1" applyAlignment="1" applyProtection="1">
      <alignment horizontal="left" vertical="center"/>
    </xf>
    <xf numFmtId="0" fontId="67" fillId="4" borderId="16" xfId="10" applyFont="1" applyFill="1" applyBorder="1" applyAlignment="1" applyProtection="1">
      <alignment horizontal="center" vertical="center"/>
    </xf>
    <xf numFmtId="0" fontId="67" fillId="4" borderId="0" xfId="10" applyFont="1" applyFill="1" applyAlignment="1" applyProtection="1">
      <alignment horizontal="center" vertical="center"/>
    </xf>
    <xf numFmtId="0" fontId="67" fillId="4" borderId="6" xfId="10" applyFont="1" applyFill="1" applyBorder="1" applyAlignment="1" applyProtection="1">
      <alignment horizontal="center" vertical="center"/>
    </xf>
    <xf numFmtId="0" fontId="67" fillId="4" borderId="23" xfId="10" applyFont="1" applyFill="1" applyBorder="1" applyAlignment="1" applyProtection="1">
      <alignment horizontal="center" vertical="center"/>
    </xf>
    <xf numFmtId="0" fontId="67" fillId="4" borderId="24" xfId="10" applyFont="1" applyFill="1" applyBorder="1" applyAlignment="1" applyProtection="1">
      <alignment horizontal="center" vertical="center"/>
    </xf>
    <xf numFmtId="0" fontId="67" fillId="4" borderId="49" xfId="10" applyFont="1" applyFill="1" applyBorder="1" applyAlignment="1" applyProtection="1">
      <alignment horizontal="center" vertical="center"/>
    </xf>
    <xf numFmtId="0" fontId="64" fillId="4" borderId="23" xfId="10" applyFont="1" applyFill="1" applyBorder="1" applyAlignment="1" applyProtection="1">
      <alignment horizontal="center" vertical="center"/>
    </xf>
    <xf numFmtId="0" fontId="64" fillId="4" borderId="24" xfId="10" applyFont="1" applyFill="1" applyBorder="1" applyAlignment="1" applyProtection="1">
      <alignment horizontal="center" vertical="center"/>
    </xf>
    <xf numFmtId="0" fontId="64" fillId="4" borderId="49" xfId="10" applyFont="1" applyFill="1" applyBorder="1" applyAlignment="1" applyProtection="1">
      <alignment horizontal="center" vertical="center"/>
    </xf>
    <xf numFmtId="0" fontId="64" fillId="0" borderId="116" xfId="10" applyFont="1" applyBorder="1" applyAlignment="1" applyProtection="1">
      <alignment horizontal="center" vertical="top" wrapText="1"/>
    </xf>
    <xf numFmtId="0" fontId="64" fillId="0" borderId="117" xfId="10" applyFont="1" applyBorder="1" applyAlignment="1" applyProtection="1">
      <alignment horizontal="center" vertical="top" wrapText="1"/>
    </xf>
    <xf numFmtId="0" fontId="64" fillId="0" borderId="119" xfId="10" applyFont="1" applyBorder="1" applyAlignment="1" applyProtection="1">
      <alignment horizontal="center" vertical="top" wrapText="1"/>
    </xf>
    <xf numFmtId="0" fontId="64" fillId="0" borderId="85" xfId="10" applyFont="1" applyBorder="1" applyAlignment="1" applyProtection="1">
      <alignment horizontal="left" vertical="top" wrapText="1"/>
    </xf>
    <xf numFmtId="0" fontId="64" fillId="0" borderId="105" xfId="10" applyFont="1" applyBorder="1" applyAlignment="1" applyProtection="1">
      <alignment horizontal="left" vertical="top" wrapText="1"/>
    </xf>
    <xf numFmtId="0" fontId="67" fillId="0" borderId="52" xfId="10" applyFont="1" applyBorder="1" applyAlignment="1" applyProtection="1">
      <alignment horizontal="left" vertical="top" wrapText="1"/>
    </xf>
    <xf numFmtId="0" fontId="64" fillId="0" borderId="7" xfId="0" applyFont="1" applyBorder="1" applyAlignment="1" applyProtection="1">
      <alignment horizontal="left" vertical="top" wrapText="1"/>
    </xf>
    <xf numFmtId="0" fontId="64" fillId="0" borderId="20" xfId="0" applyFont="1" applyBorder="1" applyAlignment="1" applyProtection="1">
      <alignment horizontal="left" vertical="top" wrapText="1"/>
    </xf>
    <xf numFmtId="0" fontId="64" fillId="0" borderId="26" xfId="0" applyFont="1" applyBorder="1" applyAlignment="1" applyProtection="1">
      <alignment horizontal="left" vertical="top" wrapText="1"/>
    </xf>
    <xf numFmtId="0" fontId="64" fillId="0" borderId="16" xfId="0" applyFont="1" applyBorder="1" applyAlignment="1" applyProtection="1">
      <alignment horizontal="left" vertical="top" wrapText="1"/>
    </xf>
    <xf numFmtId="0" fontId="64" fillId="0" borderId="6" xfId="0" applyFont="1" applyBorder="1" applyAlignment="1" applyProtection="1">
      <alignment horizontal="left" vertical="top" wrapText="1"/>
    </xf>
    <xf numFmtId="0" fontId="64" fillId="0" borderId="23" xfId="0" applyFont="1" applyBorder="1" applyAlignment="1" applyProtection="1">
      <alignment horizontal="left" vertical="top" wrapText="1"/>
    </xf>
    <xf numFmtId="0" fontId="64" fillId="0" borderId="49" xfId="0" applyFont="1" applyBorder="1" applyAlignment="1" applyProtection="1">
      <alignment horizontal="left" vertical="top" wrapText="1"/>
    </xf>
    <xf numFmtId="0" fontId="64" fillId="0" borderId="70" xfId="10" applyFont="1" applyBorder="1" applyAlignment="1" applyProtection="1">
      <alignment horizontal="left" vertical="top" wrapText="1"/>
    </xf>
    <xf numFmtId="0" fontId="64" fillId="0" borderId="73" xfId="10" applyFont="1" applyBorder="1" applyAlignment="1" applyProtection="1">
      <alignment horizontal="left" vertical="top" wrapText="1"/>
    </xf>
    <xf numFmtId="0" fontId="64" fillId="0" borderId="73" xfId="10" applyFont="1" applyBorder="1" applyAlignment="1" applyProtection="1">
      <alignment horizontal="center" vertical="top" wrapText="1"/>
    </xf>
    <xf numFmtId="0" fontId="67" fillId="0" borderId="64" xfId="10" applyFont="1" applyBorder="1" applyAlignment="1" applyProtection="1">
      <alignment horizontal="left" vertical="top" wrapText="1"/>
    </xf>
    <xf numFmtId="0" fontId="67" fillId="0" borderId="73" xfId="10" applyFont="1" applyBorder="1" applyAlignment="1" applyProtection="1">
      <alignment horizontal="left" vertical="top" wrapText="1"/>
    </xf>
    <xf numFmtId="0" fontId="64" fillId="4" borderId="73" xfId="10" applyFont="1" applyFill="1" applyBorder="1" applyAlignment="1" applyProtection="1">
      <alignment horizontal="center" vertical="top"/>
    </xf>
    <xf numFmtId="0" fontId="67" fillId="12" borderId="52" xfId="10" applyFont="1" applyFill="1" applyBorder="1" applyAlignment="1" applyProtection="1">
      <alignment horizontal="left" vertical="top" wrapText="1"/>
    </xf>
    <xf numFmtId="0" fontId="67" fillId="19" borderId="52" xfId="10" applyFont="1" applyFill="1" applyBorder="1" applyAlignment="1" applyProtection="1">
      <alignment horizontal="left" vertical="top" wrapText="1"/>
    </xf>
    <xf numFmtId="0" fontId="64" fillId="0" borderId="20" xfId="10" applyFont="1" applyBorder="1" applyAlignment="1" applyProtection="1">
      <alignment horizontal="center" vertical="center" wrapText="1"/>
    </xf>
    <xf numFmtId="0" fontId="64" fillId="0" borderId="16" xfId="10" applyFont="1" applyBorder="1" applyAlignment="1" applyProtection="1">
      <alignment horizontal="center" vertical="center" wrapText="1"/>
    </xf>
    <xf numFmtId="0" fontId="64" fillId="0" borderId="23" xfId="10" applyFont="1" applyBorder="1" applyAlignment="1" applyProtection="1">
      <alignment horizontal="center" vertical="center" wrapText="1"/>
    </xf>
    <xf numFmtId="0" fontId="70" fillId="0" borderId="64" xfId="0" applyFont="1" applyBorder="1" applyAlignment="1" applyProtection="1">
      <alignment horizontal="center" vertical="top" wrapText="1"/>
    </xf>
    <xf numFmtId="0" fontId="70" fillId="0" borderId="70" xfId="0" applyFont="1" applyBorder="1" applyAlignment="1" applyProtection="1">
      <alignment horizontal="center" vertical="top" wrapText="1"/>
    </xf>
    <xf numFmtId="0" fontId="70" fillId="0" borderId="73" xfId="0" applyFont="1" applyBorder="1" applyAlignment="1" applyProtection="1">
      <alignment horizontal="center" vertical="top" wrapText="1"/>
    </xf>
    <xf numFmtId="0" fontId="70" fillId="0" borderId="64" xfId="0" applyFont="1" applyBorder="1" applyAlignment="1" applyProtection="1">
      <alignment horizontal="left" vertical="top"/>
    </xf>
    <xf numFmtId="0" fontId="70" fillId="0" borderId="70" xfId="0" applyFont="1" applyBorder="1" applyAlignment="1" applyProtection="1">
      <alignment horizontal="left" vertical="top"/>
    </xf>
    <xf numFmtId="0" fontId="70" fillId="0" borderId="73" xfId="0" applyFont="1" applyBorder="1" applyAlignment="1" applyProtection="1">
      <alignment horizontal="left" vertical="top"/>
    </xf>
    <xf numFmtId="0" fontId="70" fillId="0" borderId="64" xfId="0" applyFont="1" applyBorder="1" applyAlignment="1" applyProtection="1">
      <alignment horizontal="left" vertical="top" wrapText="1"/>
    </xf>
    <xf numFmtId="0" fontId="70" fillId="0" borderId="70" xfId="0" applyFont="1" applyBorder="1" applyAlignment="1" applyProtection="1">
      <alignment horizontal="left" vertical="top" wrapText="1"/>
    </xf>
    <xf numFmtId="0" fontId="70" fillId="0" borderId="73" xfId="0" applyFont="1" applyBorder="1" applyAlignment="1" applyProtection="1">
      <alignment horizontal="left" vertical="top" wrapText="1"/>
    </xf>
    <xf numFmtId="0" fontId="64" fillId="12" borderId="7" xfId="10" applyFont="1" applyFill="1" applyBorder="1" applyAlignment="1" applyProtection="1">
      <alignment horizontal="left" vertical="top" wrapText="1"/>
    </xf>
    <xf numFmtId="0" fontId="64" fillId="19" borderId="7" xfId="10" applyFont="1" applyFill="1" applyBorder="1" applyAlignment="1" applyProtection="1">
      <alignment horizontal="left" vertical="top" wrapText="1"/>
    </xf>
    <xf numFmtId="0" fontId="64" fillId="12" borderId="64" xfId="10" applyFont="1" applyFill="1" applyBorder="1" applyAlignment="1" applyProtection="1">
      <alignment horizontal="center" vertical="top" wrapText="1"/>
    </xf>
    <xf numFmtId="0" fontId="64" fillId="19" borderId="70" xfId="10" applyFont="1" applyFill="1" applyBorder="1" applyAlignment="1" applyProtection="1">
      <alignment horizontal="center" vertical="top" wrapText="1"/>
    </xf>
    <xf numFmtId="0" fontId="64" fillId="19" borderId="7" xfId="10" applyFont="1" applyFill="1" applyBorder="1" applyAlignment="1" applyProtection="1">
      <alignment horizontal="center" vertical="top" wrapText="1"/>
    </xf>
    <xf numFmtId="177" fontId="67" fillId="0" borderId="52" xfId="10" applyNumberFormat="1" applyFont="1" applyBorder="1" applyAlignment="1" applyProtection="1">
      <alignment horizontal="center" vertical="center" shrinkToFit="1"/>
    </xf>
    <xf numFmtId="177" fontId="67" fillId="0" borderId="8" xfId="10" applyNumberFormat="1" applyFont="1" applyBorder="1" applyAlignment="1" applyProtection="1">
      <alignment horizontal="center" vertical="center" shrinkToFit="1"/>
    </xf>
    <xf numFmtId="177" fontId="67" fillId="0" borderId="12" xfId="10" applyNumberFormat="1" applyFont="1" applyBorder="1" applyAlignment="1" applyProtection="1">
      <alignment horizontal="center" vertical="center" shrinkToFit="1"/>
    </xf>
    <xf numFmtId="0" fontId="70" fillId="0" borderId="20" xfId="0" applyFont="1" applyBorder="1" applyAlignment="1" applyProtection="1">
      <alignment horizontal="center" vertical="top" wrapText="1"/>
    </xf>
    <xf numFmtId="0" fontId="70" fillId="0" borderId="16" xfId="0" applyFont="1" applyBorder="1" applyAlignment="1" applyProtection="1">
      <alignment horizontal="center" vertical="top" wrapText="1"/>
    </xf>
    <xf numFmtId="0" fontId="70" fillId="0" borderId="23" xfId="0" applyFont="1" applyBorder="1" applyAlignment="1" applyProtection="1">
      <alignment horizontal="center" vertical="top" wrapText="1"/>
    </xf>
    <xf numFmtId="0" fontId="67" fillId="0" borderId="26" xfId="0" applyFont="1" applyBorder="1" applyAlignment="1" applyProtection="1">
      <alignment horizontal="left" vertical="center"/>
    </xf>
    <xf numFmtId="0" fontId="67" fillId="0" borderId="49" xfId="0" applyFont="1" applyBorder="1" applyAlignment="1" applyProtection="1">
      <alignment horizontal="left" vertical="center"/>
    </xf>
    <xf numFmtId="0" fontId="64" fillId="0" borderId="7" xfId="10" applyFont="1" applyFill="1" applyBorder="1" applyAlignment="1" applyProtection="1">
      <alignment horizontal="left" vertical="top" wrapText="1"/>
    </xf>
    <xf numFmtId="0" fontId="64" fillId="0" borderId="64" xfId="10" applyFont="1" applyBorder="1" applyAlignment="1" applyProtection="1">
      <alignment horizontal="center" vertical="center" wrapText="1"/>
    </xf>
    <xf numFmtId="0" fontId="64" fillId="0" borderId="70" xfId="10" applyFont="1" applyBorder="1" applyAlignment="1" applyProtection="1">
      <alignment horizontal="center" vertical="center" wrapText="1"/>
    </xf>
    <xf numFmtId="0" fontId="64" fillId="0" borderId="73" xfId="10" applyFont="1" applyBorder="1" applyAlignment="1" applyProtection="1">
      <alignment horizontal="center" vertical="center" wrapText="1"/>
    </xf>
    <xf numFmtId="0" fontId="64" fillId="0" borderId="20" xfId="10" applyFont="1" applyBorder="1" applyAlignment="1" applyProtection="1">
      <alignment horizontal="center" vertical="top"/>
    </xf>
    <xf numFmtId="0" fontId="64" fillId="0" borderId="26" xfId="10" applyFont="1" applyBorder="1" applyAlignment="1" applyProtection="1">
      <alignment horizontal="center" vertical="top"/>
    </xf>
    <xf numFmtId="0" fontId="64" fillId="0" borderId="16" xfId="10" applyFont="1" applyBorder="1" applyAlignment="1" applyProtection="1">
      <alignment horizontal="center" vertical="top"/>
    </xf>
    <xf numFmtId="0" fontId="64" fillId="0" borderId="6" xfId="10" applyFont="1" applyBorder="1" applyAlignment="1" applyProtection="1">
      <alignment horizontal="center" vertical="top"/>
    </xf>
    <xf numFmtId="0" fontId="64" fillId="0" borderId="23" xfId="10" applyFont="1" applyBorder="1" applyAlignment="1" applyProtection="1">
      <alignment horizontal="center" vertical="top"/>
    </xf>
    <xf numFmtId="0" fontId="64" fillId="0" borderId="49" xfId="10" applyFont="1" applyBorder="1" applyAlignment="1" applyProtection="1">
      <alignment horizontal="center" vertical="top"/>
    </xf>
  </cellXfs>
  <cellStyles count="17">
    <cellStyle name="どちらでもない 2" xfId="13" xr:uid="{00000000-0005-0000-0000-000000000000}"/>
    <cellStyle name="パーセント 2" xfId="15" xr:uid="{00000000-0005-0000-0000-000001000000}"/>
    <cellStyle name="パーセント 2 2" xfId="16" xr:uid="{00000000-0005-0000-0000-000002000000}"/>
    <cellStyle name="ハイパーリンク" xfId="1" builtinId="8" customBuiltin="1"/>
    <cellStyle name="ハイパーリンク 2" xfId="5" xr:uid="{00000000-0005-0000-0000-000004000000}"/>
    <cellStyle name="ハイパーリンク 3" xfId="11" xr:uid="{00000000-0005-0000-0000-000005000000}"/>
    <cellStyle name="悪い 2" xfId="12" xr:uid="{00000000-0005-0000-0000-000006000000}"/>
    <cellStyle name="桁区切り" xfId="2" builtinId="6"/>
    <cellStyle name="桁区切り 2" xfId="7" xr:uid="{00000000-0005-0000-0000-000008000000}"/>
    <cellStyle name="桁区切り 3" xfId="8" xr:uid="{00000000-0005-0000-0000-000009000000}"/>
    <cellStyle name="桁区切り 4" xfId="14" xr:uid="{00000000-0005-0000-0000-00000A000000}"/>
    <cellStyle name="標準" xfId="0" builtinId="0"/>
    <cellStyle name="標準 2" xfId="4" xr:uid="{00000000-0005-0000-0000-00000C000000}"/>
    <cellStyle name="標準 3" xfId="6" xr:uid="{00000000-0005-0000-0000-00000D000000}"/>
    <cellStyle name="標準 4" xfId="9" xr:uid="{00000000-0005-0000-0000-00000E000000}"/>
    <cellStyle name="標準 4 2" xfId="10" xr:uid="{00000000-0005-0000-0000-00000F000000}"/>
    <cellStyle name="表示済みのハイパーリンク" xfId="3" builtinId="9" customBuiltin="1"/>
  </cellStyles>
  <dxfs count="10">
    <dxf>
      <fill>
        <patternFill>
          <bgColor rgb="FFFFC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s>
  <tableStyles count="0" defaultTableStyle="TableStyleMedium9" defaultPivotStyle="PivotStyleLight16"/>
  <colors>
    <mruColors>
      <color rgb="FFFFFF99"/>
      <color rgb="FF0563C1"/>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40</xdr:row>
      <xdr:rowOff>0</xdr:rowOff>
    </xdr:from>
    <xdr:to>
      <xdr:col>0</xdr:col>
      <xdr:colOff>0</xdr:colOff>
      <xdr:row>40</xdr:row>
      <xdr:rowOff>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flipV="1">
          <a:off x="0" y="10115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40</xdr:row>
      <xdr:rowOff>0</xdr:rowOff>
    </xdr:from>
    <xdr:to>
      <xdr:col>0</xdr:col>
      <xdr:colOff>0</xdr:colOff>
      <xdr:row>40</xdr:row>
      <xdr:rowOff>0</xdr:rowOff>
    </xdr:to>
    <xdr:sp macro="" textlink="">
      <xdr:nvSpPr>
        <xdr:cNvPr id="3" name="Line 2">
          <a:extLst>
            <a:ext uri="{FF2B5EF4-FFF2-40B4-BE49-F238E27FC236}">
              <a16:creationId xmlns:a16="http://schemas.microsoft.com/office/drawing/2014/main" id="{00000000-0008-0000-0500-000003000000}"/>
            </a:ext>
          </a:extLst>
        </xdr:cNvPr>
        <xdr:cNvSpPr>
          <a:spLocks noChangeShapeType="1"/>
        </xdr:cNvSpPr>
      </xdr:nvSpPr>
      <xdr:spPr bwMode="auto">
        <a:xfrm flipV="1">
          <a:off x="0" y="10115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40</xdr:row>
      <xdr:rowOff>0</xdr:rowOff>
    </xdr:from>
    <xdr:to>
      <xdr:col>0</xdr:col>
      <xdr:colOff>0</xdr:colOff>
      <xdr:row>40</xdr:row>
      <xdr:rowOff>0</xdr:rowOff>
    </xdr:to>
    <xdr:sp macro="" textlink="">
      <xdr:nvSpPr>
        <xdr:cNvPr id="4" name="Line 3">
          <a:extLst>
            <a:ext uri="{FF2B5EF4-FFF2-40B4-BE49-F238E27FC236}">
              <a16:creationId xmlns:a16="http://schemas.microsoft.com/office/drawing/2014/main" id="{00000000-0008-0000-0500-000004000000}"/>
            </a:ext>
          </a:extLst>
        </xdr:cNvPr>
        <xdr:cNvSpPr>
          <a:spLocks noChangeShapeType="1"/>
        </xdr:cNvSpPr>
      </xdr:nvSpPr>
      <xdr:spPr bwMode="auto">
        <a:xfrm flipV="1">
          <a:off x="0" y="10115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30</xdr:col>
      <xdr:colOff>91439</xdr:colOff>
      <xdr:row>5</xdr:row>
      <xdr:rowOff>8830</xdr:rowOff>
    </xdr:from>
    <xdr:ext cx="1912621" cy="259045"/>
    <xdr:sp macro="" textlink="">
      <xdr:nvSpPr>
        <xdr:cNvPr id="22" name="正方形/長方形 21">
          <a:extLst>
            <a:ext uri="{FF2B5EF4-FFF2-40B4-BE49-F238E27FC236}">
              <a16:creationId xmlns:a16="http://schemas.microsoft.com/office/drawing/2014/main" id="{00000000-0008-0000-0500-000016000000}"/>
            </a:ext>
          </a:extLst>
        </xdr:cNvPr>
        <xdr:cNvSpPr/>
      </xdr:nvSpPr>
      <xdr:spPr>
        <a:xfrm>
          <a:off x="9174479" y="854650"/>
          <a:ext cx="1912621" cy="259045"/>
        </a:xfrm>
        <a:prstGeom prst="rect">
          <a:avLst/>
        </a:prstGeom>
        <a:solidFill>
          <a:schemeClr val="tx2">
            <a:lumMod val="40000"/>
            <a:lumOff val="60000"/>
          </a:schemeClr>
        </a:solidFill>
        <a:ln w="6350" cmpd="sng"/>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wrap="square" rtlCol="0" anchor="ctr">
          <a:spAutoFit/>
        </a:bodyPr>
        <a:lstStyle/>
        <a:p>
          <a:pPr algn="ctr"/>
          <a:r>
            <a:rPr kumimoji="1" lang="ja-JP" altLang="en-US" sz="1000" b="1" baseline="0">
              <a:solidFill>
                <a:schemeClr val="tx1"/>
              </a:solidFill>
            </a:rPr>
            <a:t>県ホームページで公表します。</a:t>
          </a:r>
        </a:p>
      </xdr:txBody>
    </xdr:sp>
    <xdr:clientData/>
  </xdr:oneCellAnchor>
  <xdr:twoCellAnchor>
    <xdr:from>
      <xdr:col>28</xdr:col>
      <xdr:colOff>165258</xdr:colOff>
      <xdr:row>6</xdr:row>
      <xdr:rowOff>16415</xdr:rowOff>
    </xdr:from>
    <xdr:to>
      <xdr:col>32</xdr:col>
      <xdr:colOff>354330</xdr:colOff>
      <xdr:row>15</xdr:row>
      <xdr:rowOff>430532</xdr:rowOff>
    </xdr:to>
    <xdr:cxnSp macro="">
      <xdr:nvCxnSpPr>
        <xdr:cNvPr id="24" name="直線コネクタ 23">
          <a:extLst>
            <a:ext uri="{FF2B5EF4-FFF2-40B4-BE49-F238E27FC236}">
              <a16:creationId xmlns:a16="http://schemas.microsoft.com/office/drawing/2014/main" id="{00000000-0008-0000-0500-000018000000}"/>
            </a:ext>
          </a:extLst>
        </xdr:cNvPr>
        <xdr:cNvCxnSpPr>
          <a:stCxn id="22" idx="2"/>
          <a:endCxn id="101" idx="1"/>
        </xdr:cNvCxnSpPr>
      </xdr:nvCxnSpPr>
      <xdr:spPr>
        <a:xfrm flipH="1">
          <a:off x="8958738" y="1113695"/>
          <a:ext cx="1172052" cy="2258157"/>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112395</xdr:colOff>
      <xdr:row>6</xdr:row>
      <xdr:rowOff>159391</xdr:rowOff>
    </xdr:from>
    <xdr:ext cx="1266825" cy="692497"/>
    <xdr:sp macro="" textlink="">
      <xdr:nvSpPr>
        <xdr:cNvPr id="26" name="正方形/長方形 25">
          <a:extLst>
            <a:ext uri="{FF2B5EF4-FFF2-40B4-BE49-F238E27FC236}">
              <a16:creationId xmlns:a16="http://schemas.microsoft.com/office/drawing/2014/main" id="{00000000-0008-0000-0500-00001A000000}"/>
            </a:ext>
          </a:extLst>
        </xdr:cNvPr>
        <xdr:cNvSpPr/>
      </xdr:nvSpPr>
      <xdr:spPr>
        <a:xfrm>
          <a:off x="10109835" y="1256671"/>
          <a:ext cx="1266825" cy="692497"/>
        </a:xfrm>
        <a:prstGeom prst="rect">
          <a:avLst/>
        </a:prstGeom>
        <a:solidFill>
          <a:schemeClr val="accent3">
            <a:lumMod val="40000"/>
            <a:lumOff val="60000"/>
          </a:schemeClr>
        </a:solidFill>
        <a:ln w="6350" cmpd="sng">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wrap="square" rtlCol="0" anchor="ctr">
          <a:spAutoFit/>
        </a:bodyPr>
        <a:lstStyle/>
        <a:p>
          <a:r>
            <a:rPr lang="ja-JP" altLang="en-US" sz="900" baseline="0">
              <a:solidFill>
                <a:schemeClr val="tx1"/>
              </a:solidFill>
              <a:effectLst/>
              <a:latin typeface="+mn-ea"/>
              <a:ea typeface="+mn-ea"/>
              <a:cs typeface="+mn-cs"/>
            </a:rPr>
            <a:t>原油換算</a:t>
          </a:r>
          <a:r>
            <a:rPr lang="ja-JP" altLang="ja-JP" sz="900" baseline="0">
              <a:solidFill>
                <a:schemeClr val="tx1"/>
              </a:solidFill>
              <a:effectLst/>
              <a:latin typeface="+mn-ea"/>
              <a:ea typeface="+mn-ea"/>
              <a:cs typeface="+mn-cs"/>
            </a:rPr>
            <a:t>エネルギー使用量</a:t>
          </a:r>
          <a:r>
            <a:rPr lang="ja-JP" altLang="en-US" sz="900" baseline="0">
              <a:solidFill>
                <a:schemeClr val="tx1"/>
              </a:solidFill>
              <a:effectLst/>
              <a:latin typeface="+mn-ea"/>
              <a:ea typeface="+mn-ea"/>
              <a:cs typeface="+mn-cs"/>
            </a:rPr>
            <a:t>の合計量</a:t>
          </a:r>
          <a:r>
            <a:rPr lang="ja-JP" altLang="ja-JP" sz="900" baseline="0">
              <a:solidFill>
                <a:schemeClr val="tx1"/>
              </a:solidFill>
              <a:effectLst/>
              <a:latin typeface="+mn-ea"/>
              <a:ea typeface="+mn-ea"/>
              <a:cs typeface="+mn-cs"/>
            </a:rPr>
            <a:t>以外</a:t>
          </a:r>
          <a:r>
            <a:rPr lang="ja-JP" altLang="en-US" sz="900" baseline="0">
              <a:solidFill>
                <a:schemeClr val="tx1"/>
              </a:solidFill>
              <a:effectLst/>
              <a:latin typeface="+mn-ea"/>
              <a:ea typeface="+mn-ea"/>
              <a:cs typeface="+mn-cs"/>
            </a:rPr>
            <a:t>の内容</a:t>
          </a:r>
          <a:r>
            <a:rPr lang="ja-JP" altLang="ja-JP" sz="900" baseline="0">
              <a:solidFill>
                <a:schemeClr val="tx1"/>
              </a:solidFill>
              <a:effectLst/>
              <a:latin typeface="+mn-ea"/>
              <a:ea typeface="+mn-ea"/>
              <a:cs typeface="+mn-cs"/>
            </a:rPr>
            <a:t>は県ホームページで</a:t>
          </a:r>
          <a:r>
            <a:rPr lang="ja-JP" altLang="en-US" sz="900" baseline="0">
              <a:solidFill>
                <a:schemeClr val="tx1"/>
              </a:solidFill>
              <a:effectLst/>
              <a:latin typeface="+mn-ea"/>
              <a:ea typeface="+mn-ea"/>
              <a:cs typeface="+mn-cs"/>
            </a:rPr>
            <a:t>公表し</a:t>
          </a:r>
          <a:r>
            <a:rPr lang="ja-JP" altLang="ja-JP" sz="900" baseline="0">
              <a:solidFill>
                <a:schemeClr val="tx1"/>
              </a:solidFill>
              <a:effectLst/>
              <a:latin typeface="+mn-ea"/>
              <a:ea typeface="+mn-ea"/>
              <a:cs typeface="+mn-cs"/>
            </a:rPr>
            <a:t>ます</a:t>
          </a:r>
          <a:endParaRPr lang="ja-JP" altLang="ja-JP" sz="700">
            <a:solidFill>
              <a:schemeClr val="tx1"/>
            </a:solidFill>
            <a:effectLst/>
            <a:latin typeface="+mn-ea"/>
            <a:ea typeface="+mn-ea"/>
          </a:endParaRPr>
        </a:p>
      </xdr:txBody>
    </xdr:sp>
    <xdr:clientData/>
  </xdr:oneCellAnchor>
  <xdr:twoCellAnchor>
    <xdr:from>
      <xdr:col>28</xdr:col>
      <xdr:colOff>60959</xdr:colOff>
      <xdr:row>14</xdr:row>
      <xdr:rowOff>245745</xdr:rowOff>
    </xdr:from>
    <xdr:to>
      <xdr:col>28</xdr:col>
      <xdr:colOff>200024</xdr:colOff>
      <xdr:row>16</xdr:row>
      <xdr:rowOff>424818</xdr:rowOff>
    </xdr:to>
    <xdr:sp macro="" textlink="">
      <xdr:nvSpPr>
        <xdr:cNvPr id="101" name="左右矢印 3">
          <a:extLst>
            <a:ext uri="{FF2B5EF4-FFF2-40B4-BE49-F238E27FC236}">
              <a16:creationId xmlns:a16="http://schemas.microsoft.com/office/drawing/2014/main" id="{00000000-0008-0000-0500-000065000000}"/>
            </a:ext>
          </a:extLst>
        </xdr:cNvPr>
        <xdr:cNvSpPr/>
      </xdr:nvSpPr>
      <xdr:spPr>
        <a:xfrm rot="5400000">
          <a:off x="9337355" y="3294699"/>
          <a:ext cx="864873" cy="139065"/>
        </a:xfrm>
        <a:prstGeom prst="leftRightArrow">
          <a:avLst>
            <a:gd name="adj1" fmla="val 50000"/>
            <a:gd name="adj2" fmla="val 65931"/>
          </a:avLst>
        </a:prstGeom>
        <a:solidFill>
          <a:schemeClr val="tx2">
            <a:lumMod val="40000"/>
            <a:lumOff val="60000"/>
          </a:schemeClr>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51433</xdr:colOff>
      <xdr:row>23</xdr:row>
      <xdr:rowOff>28578</xdr:rowOff>
    </xdr:from>
    <xdr:to>
      <xdr:col>28</xdr:col>
      <xdr:colOff>200024</xdr:colOff>
      <xdr:row>33</xdr:row>
      <xdr:rowOff>264796</xdr:rowOff>
    </xdr:to>
    <xdr:sp macro="" textlink="">
      <xdr:nvSpPr>
        <xdr:cNvPr id="102" name="左右矢印 3">
          <a:extLst>
            <a:ext uri="{FF2B5EF4-FFF2-40B4-BE49-F238E27FC236}">
              <a16:creationId xmlns:a16="http://schemas.microsoft.com/office/drawing/2014/main" id="{00000000-0008-0000-0500-000066000000}"/>
            </a:ext>
          </a:extLst>
        </xdr:cNvPr>
        <xdr:cNvSpPr/>
      </xdr:nvSpPr>
      <xdr:spPr>
        <a:xfrm rot="5400000">
          <a:off x="8646795" y="6597016"/>
          <a:ext cx="2236468" cy="148591"/>
        </a:xfrm>
        <a:prstGeom prst="leftRightArrow">
          <a:avLst>
            <a:gd name="adj1" fmla="val 50000"/>
            <a:gd name="adj2" fmla="val 65931"/>
          </a:avLst>
        </a:prstGeom>
        <a:solidFill>
          <a:schemeClr val="tx2">
            <a:lumMod val="40000"/>
            <a:lumOff val="60000"/>
          </a:schemeClr>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44560</xdr:colOff>
      <xdr:row>17</xdr:row>
      <xdr:rowOff>20212</xdr:rowOff>
    </xdr:from>
    <xdr:to>
      <xdr:col>28</xdr:col>
      <xdr:colOff>209549</xdr:colOff>
      <xdr:row>22</xdr:row>
      <xdr:rowOff>231915</xdr:rowOff>
    </xdr:to>
    <xdr:sp macro="" textlink="">
      <xdr:nvSpPr>
        <xdr:cNvPr id="104" name="左右矢印 3">
          <a:extLst>
            <a:ext uri="{FF2B5EF4-FFF2-40B4-BE49-F238E27FC236}">
              <a16:creationId xmlns:a16="http://schemas.microsoft.com/office/drawing/2014/main" id="{00000000-0008-0000-0500-000068000000}"/>
            </a:ext>
          </a:extLst>
        </xdr:cNvPr>
        <xdr:cNvSpPr/>
      </xdr:nvSpPr>
      <xdr:spPr>
        <a:xfrm rot="5400000">
          <a:off x="8941366" y="4572706"/>
          <a:ext cx="1649978" cy="164989"/>
        </a:xfrm>
        <a:prstGeom prst="leftRightArrow">
          <a:avLst>
            <a:gd name="adj1" fmla="val 50000"/>
            <a:gd name="adj2" fmla="val 65931"/>
          </a:avLst>
        </a:prstGeom>
        <a:solidFill>
          <a:schemeClr val="accent3">
            <a:lumMod val="40000"/>
            <a:lumOff val="60000"/>
          </a:schemeClr>
        </a:solid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endParaRPr lang="ja-JP" altLang="en-US" sz="900" baseline="0">
            <a:solidFill>
              <a:schemeClr val="tx1"/>
            </a:solidFill>
          </a:endParaRPr>
        </a:p>
      </xdr:txBody>
    </xdr:sp>
    <xdr:clientData/>
  </xdr:twoCellAnchor>
  <xdr:twoCellAnchor>
    <xdr:from>
      <xdr:col>28</xdr:col>
      <xdr:colOff>162877</xdr:colOff>
      <xdr:row>6</xdr:row>
      <xdr:rowOff>16415</xdr:rowOff>
    </xdr:from>
    <xdr:to>
      <xdr:col>32</xdr:col>
      <xdr:colOff>354330</xdr:colOff>
      <xdr:row>28</xdr:row>
      <xdr:rowOff>146687</xdr:rowOff>
    </xdr:to>
    <xdr:cxnSp macro="">
      <xdr:nvCxnSpPr>
        <xdr:cNvPr id="109" name="直線コネクタ 108">
          <a:extLst>
            <a:ext uri="{FF2B5EF4-FFF2-40B4-BE49-F238E27FC236}">
              <a16:creationId xmlns:a16="http://schemas.microsoft.com/office/drawing/2014/main" id="{00000000-0008-0000-0500-00006D000000}"/>
            </a:ext>
          </a:extLst>
        </xdr:cNvPr>
        <xdr:cNvCxnSpPr>
          <a:stCxn id="22" idx="2"/>
          <a:endCxn id="102" idx="1"/>
        </xdr:cNvCxnSpPr>
      </xdr:nvCxnSpPr>
      <xdr:spPr>
        <a:xfrm flipH="1">
          <a:off x="8956357" y="1113695"/>
          <a:ext cx="1174433" cy="5555712"/>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168302</xdr:colOff>
      <xdr:row>10</xdr:row>
      <xdr:rowOff>28928</xdr:rowOff>
    </xdr:from>
    <xdr:to>
      <xdr:col>35</xdr:col>
      <xdr:colOff>204788</xdr:colOff>
      <xdr:row>19</xdr:row>
      <xdr:rowOff>232744</xdr:rowOff>
    </xdr:to>
    <xdr:cxnSp macro="">
      <xdr:nvCxnSpPr>
        <xdr:cNvPr id="112" name="直線コネクタ 111">
          <a:extLst>
            <a:ext uri="{FF2B5EF4-FFF2-40B4-BE49-F238E27FC236}">
              <a16:creationId xmlns:a16="http://schemas.microsoft.com/office/drawing/2014/main" id="{00000000-0008-0000-0500-000070000000}"/>
            </a:ext>
          </a:extLst>
        </xdr:cNvPr>
        <xdr:cNvCxnSpPr>
          <a:stCxn id="26" idx="2"/>
          <a:endCxn id="104" idx="1"/>
        </xdr:cNvCxnSpPr>
      </xdr:nvCxnSpPr>
      <xdr:spPr>
        <a:xfrm flipH="1">
          <a:off x="8794142" y="1949168"/>
          <a:ext cx="1949106" cy="2718416"/>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91440</xdr:colOff>
      <xdr:row>1</xdr:row>
      <xdr:rowOff>43815</xdr:rowOff>
    </xdr:from>
    <xdr:ext cx="3615116" cy="295275"/>
    <xdr:sp macro="" textlink="">
      <xdr:nvSpPr>
        <xdr:cNvPr id="36" name="正方形/長方形 35">
          <a:extLst>
            <a:ext uri="{FF2B5EF4-FFF2-40B4-BE49-F238E27FC236}">
              <a16:creationId xmlns:a16="http://schemas.microsoft.com/office/drawing/2014/main" id="{00000000-0008-0000-0500-000024000000}"/>
            </a:ext>
          </a:extLst>
        </xdr:cNvPr>
        <xdr:cNvSpPr/>
      </xdr:nvSpPr>
      <xdr:spPr>
        <a:xfrm>
          <a:off x="8717280" y="196215"/>
          <a:ext cx="3615116" cy="29527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r>
            <a:rPr kumimoji="1" lang="ja-JP" altLang="en-US" sz="1600"/>
            <a:t>記載例</a:t>
          </a:r>
          <a:r>
            <a:rPr kumimoji="1" lang="ja-JP" altLang="en-US" sz="1000"/>
            <a:t>　（詳しい説明は、記載の手引きをご覧ください。）</a:t>
          </a:r>
        </a:p>
      </xdr:txBody>
    </xdr:sp>
    <xdr:clientData/>
  </xdr:oneCellAnchor>
  <xdr:oneCellAnchor>
    <xdr:from>
      <xdr:col>46</xdr:col>
      <xdr:colOff>190837</xdr:colOff>
      <xdr:row>12</xdr:row>
      <xdr:rowOff>106564</xdr:rowOff>
    </xdr:from>
    <xdr:ext cx="1254236" cy="438453"/>
    <xdr:sp macro="" textlink="">
      <xdr:nvSpPr>
        <xdr:cNvPr id="37" name="正方形/長方形 36">
          <a:extLst>
            <a:ext uri="{FF2B5EF4-FFF2-40B4-BE49-F238E27FC236}">
              <a16:creationId xmlns:a16="http://schemas.microsoft.com/office/drawing/2014/main" id="{00000000-0008-0000-0500-000025000000}"/>
            </a:ext>
          </a:extLst>
        </xdr:cNvPr>
        <xdr:cNvSpPr/>
      </xdr:nvSpPr>
      <xdr:spPr>
        <a:xfrm>
          <a:off x="14954587" y="2392564"/>
          <a:ext cx="1254236" cy="438453"/>
        </a:xfrm>
        <a:prstGeom prst="rect">
          <a:avLst/>
        </a:prstGeom>
        <a:solidFill>
          <a:srgbClr val="00B0F0"/>
        </a:solidFill>
        <a:ln w="6350" cmpd="sng"/>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wrap="square" rtlCol="0" anchor="ctr">
          <a:spAutoFit/>
        </a:bodyPr>
        <a:lstStyle/>
        <a:p>
          <a:pPr algn="l"/>
          <a:r>
            <a:rPr kumimoji="1" lang="ja-JP" altLang="en-US" sz="1000" b="0" baseline="0">
              <a:solidFill>
                <a:sysClr val="windowText" lastClr="000000"/>
              </a:solidFill>
            </a:rPr>
            <a:t>␣　は全角ブランク一文字　を示す</a:t>
          </a:r>
        </a:p>
      </xdr:txBody>
    </xdr:sp>
    <xdr:clientData/>
  </xdr:oneCellAnchor>
  <xdr:twoCellAnchor>
    <xdr:from>
      <xdr:col>44</xdr:col>
      <xdr:colOff>344847</xdr:colOff>
      <xdr:row>12</xdr:row>
      <xdr:rowOff>6569</xdr:rowOff>
    </xdr:from>
    <xdr:to>
      <xdr:col>46</xdr:col>
      <xdr:colOff>190837</xdr:colOff>
      <xdr:row>13</xdr:row>
      <xdr:rowOff>176112</xdr:rowOff>
    </xdr:to>
    <xdr:cxnSp macro="">
      <xdr:nvCxnSpPr>
        <xdr:cNvPr id="38" name="直線矢印コネクタ 37">
          <a:extLst>
            <a:ext uri="{FF2B5EF4-FFF2-40B4-BE49-F238E27FC236}">
              <a16:creationId xmlns:a16="http://schemas.microsoft.com/office/drawing/2014/main" id="{00000000-0008-0000-0500-000026000000}"/>
            </a:ext>
          </a:extLst>
        </xdr:cNvPr>
        <xdr:cNvCxnSpPr>
          <a:stCxn id="37" idx="1"/>
        </xdr:cNvCxnSpPr>
      </xdr:nvCxnSpPr>
      <xdr:spPr bwMode="auto">
        <a:xfrm flipH="1" flipV="1">
          <a:off x="14469061" y="2292569"/>
          <a:ext cx="485526" cy="319222"/>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77558</xdr:colOff>
      <xdr:row>13</xdr:row>
      <xdr:rowOff>176112</xdr:rowOff>
    </xdr:from>
    <xdr:to>
      <xdr:col>46</xdr:col>
      <xdr:colOff>190837</xdr:colOff>
      <xdr:row>15</xdr:row>
      <xdr:rowOff>90103</xdr:rowOff>
    </xdr:to>
    <xdr:cxnSp macro="">
      <xdr:nvCxnSpPr>
        <xdr:cNvPr id="39" name="直線矢印コネクタ 38">
          <a:extLst>
            <a:ext uri="{FF2B5EF4-FFF2-40B4-BE49-F238E27FC236}">
              <a16:creationId xmlns:a16="http://schemas.microsoft.com/office/drawing/2014/main" id="{00000000-0008-0000-0500-000027000000}"/>
            </a:ext>
          </a:extLst>
        </xdr:cNvPr>
        <xdr:cNvCxnSpPr>
          <a:stCxn id="37" idx="1"/>
        </xdr:cNvCxnSpPr>
      </xdr:nvCxnSpPr>
      <xdr:spPr bwMode="auto">
        <a:xfrm flipH="1">
          <a:off x="13208451" y="2611791"/>
          <a:ext cx="1746136" cy="403848"/>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258532</xdr:colOff>
      <xdr:row>13</xdr:row>
      <xdr:rowOff>176112</xdr:rowOff>
    </xdr:from>
    <xdr:to>
      <xdr:col>46</xdr:col>
      <xdr:colOff>190837</xdr:colOff>
      <xdr:row>16</xdr:row>
      <xdr:rowOff>198428</xdr:rowOff>
    </xdr:to>
    <xdr:cxnSp macro="">
      <xdr:nvCxnSpPr>
        <xdr:cNvPr id="40" name="直線矢印コネクタ 39">
          <a:extLst>
            <a:ext uri="{FF2B5EF4-FFF2-40B4-BE49-F238E27FC236}">
              <a16:creationId xmlns:a16="http://schemas.microsoft.com/office/drawing/2014/main" id="{00000000-0008-0000-0500-000028000000}"/>
            </a:ext>
          </a:extLst>
        </xdr:cNvPr>
        <xdr:cNvCxnSpPr>
          <a:stCxn id="37" idx="1"/>
        </xdr:cNvCxnSpPr>
      </xdr:nvCxnSpPr>
      <xdr:spPr bwMode="auto">
        <a:xfrm flipH="1">
          <a:off x="13008425" y="2611791"/>
          <a:ext cx="1946162" cy="947601"/>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11615</xdr:colOff>
      <xdr:row>11</xdr:row>
      <xdr:rowOff>190499</xdr:rowOff>
    </xdr:from>
    <xdr:to>
      <xdr:col>46</xdr:col>
      <xdr:colOff>190837</xdr:colOff>
      <xdr:row>13</xdr:row>
      <xdr:rowOff>176112</xdr:rowOff>
    </xdr:to>
    <xdr:cxnSp macro="">
      <xdr:nvCxnSpPr>
        <xdr:cNvPr id="41" name="直線矢印コネクタ 40">
          <a:extLst>
            <a:ext uri="{FF2B5EF4-FFF2-40B4-BE49-F238E27FC236}">
              <a16:creationId xmlns:a16="http://schemas.microsoft.com/office/drawing/2014/main" id="{00000000-0008-0000-0500-000029000000}"/>
            </a:ext>
          </a:extLst>
        </xdr:cNvPr>
        <xdr:cNvCxnSpPr>
          <a:stCxn id="37" idx="1"/>
        </xdr:cNvCxnSpPr>
      </xdr:nvCxnSpPr>
      <xdr:spPr bwMode="auto">
        <a:xfrm flipH="1" flipV="1">
          <a:off x="14135829" y="2285999"/>
          <a:ext cx="818758" cy="325792"/>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25</xdr:col>
      <xdr:colOff>220980</xdr:colOff>
      <xdr:row>4</xdr:row>
      <xdr:rowOff>6724</xdr:rowOff>
    </xdr:from>
    <xdr:ext cx="2484120" cy="609600"/>
    <xdr:sp macro="" textlink="">
      <xdr:nvSpPr>
        <xdr:cNvPr id="64" name="四角形吹き出し 15">
          <a:extLst>
            <a:ext uri="{FF2B5EF4-FFF2-40B4-BE49-F238E27FC236}">
              <a16:creationId xmlns:a16="http://schemas.microsoft.com/office/drawing/2014/main" id="{00000000-0008-0000-0500-000040000000}"/>
            </a:ext>
          </a:extLst>
        </xdr:cNvPr>
        <xdr:cNvSpPr/>
      </xdr:nvSpPr>
      <xdr:spPr>
        <a:xfrm>
          <a:off x="6278880" y="715384"/>
          <a:ext cx="2484120" cy="609600"/>
        </a:xfrm>
        <a:prstGeom prst="wedgeRectCallout">
          <a:avLst>
            <a:gd name="adj1" fmla="val -56868"/>
            <a:gd name="adj2" fmla="val -7225"/>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kumimoji="1" lang="ja-JP" altLang="en-US" sz="900" u="none">
              <a:solidFill>
                <a:schemeClr val="tx1"/>
              </a:solidFill>
              <a:latin typeface="+mn-ea"/>
              <a:ea typeface="+mn-ea"/>
            </a:rPr>
            <a:t>　</a:t>
          </a:r>
          <a:r>
            <a:rPr kumimoji="1" lang="ja-JP" altLang="en-US" sz="900" u="sng">
              <a:solidFill>
                <a:schemeClr val="tx1"/>
              </a:solidFill>
              <a:latin typeface="+mn-ea"/>
              <a:ea typeface="+mn-ea"/>
            </a:rPr>
            <a:t>電子申請申込日</a:t>
          </a:r>
          <a:r>
            <a:rPr kumimoji="1" lang="ja-JP" altLang="en-US" sz="900" u="none">
              <a:solidFill>
                <a:schemeClr val="tx1"/>
              </a:solidFill>
              <a:latin typeface="+mn-ea"/>
              <a:ea typeface="+mn-ea"/>
            </a:rPr>
            <a:t>を記載してください。</a:t>
          </a:r>
          <a:endParaRPr kumimoji="1" lang="en-US" altLang="ja-JP" sz="900" u="none">
            <a:solidFill>
              <a:schemeClr val="tx1"/>
            </a:solidFill>
            <a:latin typeface="+mn-ea"/>
            <a:ea typeface="+mn-ea"/>
          </a:endParaRPr>
        </a:p>
        <a:p>
          <a:pPr algn="l">
            <a:lnSpc>
              <a:spcPts val="1200"/>
            </a:lnSpc>
          </a:pPr>
          <a:r>
            <a:rPr kumimoji="1" lang="ja-JP" altLang="en-US" sz="900" u="none">
              <a:solidFill>
                <a:schemeClr val="tx1"/>
              </a:solidFill>
              <a:latin typeface="+mn-ea"/>
              <a:ea typeface="+mn-ea"/>
            </a:rPr>
            <a:t>　</a:t>
          </a:r>
          <a:r>
            <a:rPr kumimoji="1" lang="ja-JP" altLang="en-US" sz="900" u="sng">
              <a:solidFill>
                <a:schemeClr val="tx1"/>
              </a:solidFill>
              <a:latin typeface="+mn-ea"/>
              <a:ea typeface="+mn-ea"/>
            </a:rPr>
            <a:t>（郵送の場合は発送日</a:t>
          </a:r>
          <a:r>
            <a:rPr kumimoji="1" lang="ja-JP" altLang="en-US" sz="900">
              <a:solidFill>
                <a:schemeClr val="tx1"/>
              </a:solidFill>
              <a:latin typeface="+mn-ea"/>
              <a:ea typeface="+mn-ea"/>
            </a:rPr>
            <a:t>を入力）</a:t>
          </a:r>
          <a:endParaRPr kumimoji="1" lang="ja-JP" altLang="en-US" sz="600">
            <a:solidFill>
              <a:schemeClr val="tx1"/>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25</xdr:col>
          <xdr:colOff>220980</xdr:colOff>
          <xdr:row>4</xdr:row>
          <xdr:rowOff>30480</xdr:rowOff>
        </xdr:from>
        <xdr:to>
          <xdr:col>25</xdr:col>
          <xdr:colOff>502920</xdr:colOff>
          <xdr:row>5</xdr:row>
          <xdr:rowOff>182880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5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6</xdr:row>
          <xdr:rowOff>198120</xdr:rowOff>
        </xdr:from>
        <xdr:to>
          <xdr:col>25</xdr:col>
          <xdr:colOff>594360</xdr:colOff>
          <xdr:row>8</xdr:row>
          <xdr:rowOff>68580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5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17</xdr:row>
          <xdr:rowOff>22860</xdr:rowOff>
        </xdr:from>
        <xdr:to>
          <xdr:col>25</xdr:col>
          <xdr:colOff>617220</xdr:colOff>
          <xdr:row>18</xdr:row>
          <xdr:rowOff>22860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5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350520</xdr:colOff>
          <xdr:row>21</xdr:row>
          <xdr:rowOff>121920</xdr:rowOff>
        </xdr:from>
        <xdr:to>
          <xdr:col>25</xdr:col>
          <xdr:colOff>632460</xdr:colOff>
          <xdr:row>22</xdr:row>
          <xdr:rowOff>152400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5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213360</xdr:colOff>
      <xdr:row>32</xdr:row>
      <xdr:rowOff>106680</xdr:rowOff>
    </xdr:from>
    <xdr:ext cx="2491740" cy="619125"/>
    <xdr:sp macro="" textlink="">
      <xdr:nvSpPr>
        <xdr:cNvPr id="69" name="四角形吹き出し 68">
          <a:extLst>
            <a:ext uri="{FF2B5EF4-FFF2-40B4-BE49-F238E27FC236}">
              <a16:creationId xmlns:a16="http://schemas.microsoft.com/office/drawing/2014/main" id="{00000000-0008-0000-0500-000045000000}"/>
            </a:ext>
          </a:extLst>
        </xdr:cNvPr>
        <xdr:cNvSpPr/>
      </xdr:nvSpPr>
      <xdr:spPr>
        <a:xfrm>
          <a:off x="6271260" y="7421880"/>
          <a:ext cx="2491740" cy="619125"/>
        </a:xfrm>
        <a:prstGeom prst="wedgeRectCallout">
          <a:avLst>
            <a:gd name="adj1" fmla="val -58001"/>
            <a:gd name="adj2" fmla="val -9876"/>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endParaRPr lang="ja-JP" altLang="ja-JP" sz="800" b="1">
            <a:solidFill>
              <a:schemeClr val="tx1"/>
            </a:solidFill>
            <a:effectLst/>
            <a:latin typeface="+mn-ea"/>
            <a:ea typeface="+mn-ea"/>
          </a:endParaRPr>
        </a:p>
        <a:p>
          <a:pPr algn="l">
            <a:lnSpc>
              <a:spcPts val="1100"/>
            </a:lnSpc>
          </a:pPr>
          <a:r>
            <a:rPr kumimoji="1" lang="ja-JP" altLang="en-US" sz="1000" b="1">
              <a:solidFill>
                <a:schemeClr val="tx1"/>
              </a:solidFill>
              <a:latin typeface="+mn-ea"/>
              <a:ea typeface="+mn-ea"/>
            </a:rPr>
            <a:t>中分類</a:t>
          </a:r>
          <a:r>
            <a:rPr kumimoji="1" lang="ja-JP" altLang="en-US" sz="1000">
              <a:solidFill>
                <a:schemeClr val="tx1"/>
              </a:solidFill>
              <a:latin typeface="+mn-ea"/>
              <a:ea typeface="+mn-ea"/>
            </a:rPr>
            <a:t>も忘れずにﾌﾟﾙﾀﾞｳﾝﾘｽﾄから選択してください。</a:t>
          </a:r>
        </a:p>
      </xdr:txBody>
    </xdr:sp>
    <xdr:clientData/>
  </xdr:oneCellAnchor>
  <xdr:oneCellAnchor>
    <xdr:from>
      <xdr:col>25</xdr:col>
      <xdr:colOff>213360</xdr:colOff>
      <xdr:row>34</xdr:row>
      <xdr:rowOff>240124</xdr:rowOff>
    </xdr:from>
    <xdr:ext cx="2491741" cy="566822"/>
    <xdr:sp macro="" textlink="">
      <xdr:nvSpPr>
        <xdr:cNvPr id="70" name="四角形吹き出し 69">
          <a:extLst>
            <a:ext uri="{FF2B5EF4-FFF2-40B4-BE49-F238E27FC236}">
              <a16:creationId xmlns:a16="http://schemas.microsoft.com/office/drawing/2014/main" id="{00000000-0008-0000-0500-000046000000}"/>
            </a:ext>
          </a:extLst>
        </xdr:cNvPr>
        <xdr:cNvSpPr/>
      </xdr:nvSpPr>
      <xdr:spPr>
        <a:xfrm>
          <a:off x="6271260" y="8065864"/>
          <a:ext cx="2491741" cy="566822"/>
        </a:xfrm>
        <a:prstGeom prst="wedgeRectCallout">
          <a:avLst>
            <a:gd name="adj1" fmla="val -55894"/>
            <a:gd name="adj2" fmla="val -31277"/>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endParaRPr lang="ja-JP" altLang="ja-JP" sz="800" b="1">
            <a:solidFill>
              <a:schemeClr val="tx1"/>
            </a:solidFill>
            <a:effectLst/>
            <a:latin typeface="+mn-ea"/>
            <a:ea typeface="+mn-ea"/>
          </a:endParaRPr>
        </a:p>
        <a:p>
          <a:pPr algn="l">
            <a:lnSpc>
              <a:spcPts val="1100"/>
            </a:lnSpc>
          </a:pPr>
          <a:r>
            <a:rPr kumimoji="1" lang="ja-JP" altLang="en-US" sz="1000">
              <a:solidFill>
                <a:schemeClr val="tx1"/>
              </a:solidFill>
              <a:latin typeface="+mn-ea"/>
              <a:ea typeface="+mn-ea"/>
            </a:rPr>
            <a:t>担当者が明確になっている場合は、</a:t>
          </a:r>
          <a:r>
            <a:rPr kumimoji="1" lang="ja-JP" altLang="en-US" sz="1000" b="1">
              <a:solidFill>
                <a:schemeClr val="tx1"/>
              </a:solidFill>
              <a:latin typeface="+mn-ea"/>
              <a:ea typeface="+mn-ea"/>
            </a:rPr>
            <a:t>部署名欄</a:t>
          </a:r>
          <a:r>
            <a:rPr kumimoji="1" lang="ja-JP" altLang="en-US" sz="1000">
              <a:solidFill>
                <a:schemeClr val="tx1"/>
              </a:solidFill>
              <a:latin typeface="+mn-ea"/>
              <a:ea typeface="+mn-ea"/>
            </a:rPr>
            <a:t>に担当者名も記載してください。</a:t>
          </a:r>
        </a:p>
      </xdr:txBody>
    </xdr:sp>
    <xdr:clientData/>
  </xdr:oneCellAnchor>
  <xdr:oneCellAnchor>
    <xdr:from>
      <xdr:col>25</xdr:col>
      <xdr:colOff>220980</xdr:colOff>
      <xdr:row>39</xdr:row>
      <xdr:rowOff>296362</xdr:rowOff>
    </xdr:from>
    <xdr:ext cx="2506980" cy="605294"/>
    <xdr:sp macro="" textlink="">
      <xdr:nvSpPr>
        <xdr:cNvPr id="71" name="四角形吹き出し 70">
          <a:extLst>
            <a:ext uri="{FF2B5EF4-FFF2-40B4-BE49-F238E27FC236}">
              <a16:creationId xmlns:a16="http://schemas.microsoft.com/office/drawing/2014/main" id="{00000000-0008-0000-0500-000047000000}"/>
            </a:ext>
          </a:extLst>
        </xdr:cNvPr>
        <xdr:cNvSpPr/>
      </xdr:nvSpPr>
      <xdr:spPr>
        <a:xfrm>
          <a:off x="6278880" y="9265102"/>
          <a:ext cx="2506980" cy="605294"/>
        </a:xfrm>
        <a:prstGeom prst="wedgeRectCallout">
          <a:avLst>
            <a:gd name="adj1" fmla="val -57584"/>
            <a:gd name="adj2" fmla="val -33316"/>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endParaRPr lang="ja-JP" altLang="ja-JP" sz="800" b="1">
            <a:solidFill>
              <a:schemeClr val="tx1"/>
            </a:solidFill>
            <a:effectLst/>
            <a:latin typeface="+mn-ea"/>
            <a:ea typeface="+mn-ea"/>
          </a:endParaRPr>
        </a:p>
        <a:p>
          <a:pPr algn="l">
            <a:lnSpc>
              <a:spcPts val="900"/>
            </a:lnSpc>
          </a:pPr>
          <a:r>
            <a:rPr lang="ja-JP" altLang="ja-JP" sz="1000">
              <a:solidFill>
                <a:schemeClr val="tx1"/>
              </a:solidFill>
              <a:effectLst/>
              <a:latin typeface="+mn-lt"/>
              <a:ea typeface="+mn-ea"/>
              <a:cs typeface="+mn-cs"/>
            </a:rPr>
            <a:t>書類作成等を委託した事業者への問合せを希望する場合は、</a:t>
          </a:r>
          <a:r>
            <a:rPr lang="ja-JP" altLang="ja-JP" sz="1000" b="1">
              <a:solidFill>
                <a:schemeClr val="tx1"/>
              </a:solidFill>
              <a:effectLst/>
              <a:latin typeface="+mn-lt"/>
              <a:ea typeface="+mn-ea"/>
              <a:cs typeface="+mn-cs"/>
            </a:rPr>
            <a:t>特記欄</a:t>
          </a:r>
          <a:r>
            <a:rPr lang="ja-JP" altLang="en-US" sz="1000">
              <a:solidFill>
                <a:schemeClr val="tx1"/>
              </a:solidFill>
              <a:effectLst/>
              <a:latin typeface="+mn-lt"/>
              <a:ea typeface="+mn-ea"/>
              <a:cs typeface="+mn-cs"/>
            </a:rPr>
            <a:t>に委託先の連絡先を</a:t>
          </a:r>
          <a:r>
            <a:rPr kumimoji="1" lang="ja-JP" altLang="en-US" sz="1000">
              <a:solidFill>
                <a:schemeClr val="tx1"/>
              </a:solidFill>
              <a:latin typeface="+mn-ea"/>
              <a:ea typeface="+mn-ea"/>
            </a:rPr>
            <a:t>記載してください。</a:t>
          </a:r>
        </a:p>
      </xdr:txBody>
    </xdr:sp>
    <xdr:clientData/>
  </xdr:oneCellAnchor>
  <mc:AlternateContent xmlns:mc="http://schemas.openxmlformats.org/markup-compatibility/2006">
    <mc:Choice xmlns:a14="http://schemas.microsoft.com/office/drawing/2010/main" Requires="a14">
      <xdr:twoCellAnchor editAs="oneCell">
        <xdr:from>
          <xdr:col>25</xdr:col>
          <xdr:colOff>266700</xdr:colOff>
          <xdr:row>32</xdr:row>
          <xdr:rowOff>121920</xdr:rowOff>
        </xdr:from>
        <xdr:to>
          <xdr:col>25</xdr:col>
          <xdr:colOff>533400</xdr:colOff>
          <xdr:row>33</xdr:row>
          <xdr:rowOff>228600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5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289560</xdr:colOff>
          <xdr:row>34</xdr:row>
          <xdr:rowOff>220980</xdr:rowOff>
        </xdr:from>
        <xdr:to>
          <xdr:col>25</xdr:col>
          <xdr:colOff>563880</xdr:colOff>
          <xdr:row>36</xdr:row>
          <xdr:rowOff>30480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5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39</xdr:row>
          <xdr:rowOff>251460</xdr:rowOff>
        </xdr:from>
        <xdr:to>
          <xdr:col>25</xdr:col>
          <xdr:colOff>579120</xdr:colOff>
          <xdr:row>39</xdr:row>
          <xdr:rowOff>556260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5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247651</xdr:colOff>
      <xdr:row>1</xdr:row>
      <xdr:rowOff>47625</xdr:rowOff>
    </xdr:from>
    <xdr:ext cx="2358390" cy="276225"/>
    <xdr:sp macro="" textlink="">
      <xdr:nvSpPr>
        <xdr:cNvPr id="75" name="正方形/長方形 74">
          <a:extLst>
            <a:ext uri="{FF2B5EF4-FFF2-40B4-BE49-F238E27FC236}">
              <a16:creationId xmlns:a16="http://schemas.microsoft.com/office/drawing/2014/main" id="{00000000-0008-0000-0500-00004B000000}"/>
            </a:ext>
          </a:extLst>
        </xdr:cNvPr>
        <xdr:cNvSpPr/>
      </xdr:nvSpPr>
      <xdr:spPr>
        <a:xfrm>
          <a:off x="6305551" y="200025"/>
          <a:ext cx="2358390" cy="27622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600"/>
            <a:t>チェック欄　　</a:t>
          </a:r>
          <a:r>
            <a:rPr kumimoji="1" lang="ja-JP" altLang="en-US" sz="1050"/>
            <a:t>記載例はこちら⇒</a:t>
          </a:r>
        </a:p>
      </xdr:txBody>
    </xdr:sp>
    <xdr:clientData/>
  </xdr:oneCellAnchor>
  <xdr:oneCellAnchor>
    <xdr:from>
      <xdr:col>25</xdr:col>
      <xdr:colOff>221316</xdr:colOff>
      <xdr:row>7</xdr:row>
      <xdr:rowOff>12665</xdr:rowOff>
    </xdr:from>
    <xdr:ext cx="2487097" cy="588420"/>
    <xdr:sp macro="" textlink="">
      <xdr:nvSpPr>
        <xdr:cNvPr id="76" name="四角形吹き出し 75">
          <a:extLst>
            <a:ext uri="{FF2B5EF4-FFF2-40B4-BE49-F238E27FC236}">
              <a16:creationId xmlns:a16="http://schemas.microsoft.com/office/drawing/2014/main" id="{00000000-0008-0000-0500-00004C000000}"/>
            </a:ext>
          </a:extLst>
        </xdr:cNvPr>
        <xdr:cNvSpPr/>
      </xdr:nvSpPr>
      <xdr:spPr>
        <a:xfrm>
          <a:off x="6279216" y="1361405"/>
          <a:ext cx="2487097" cy="588420"/>
        </a:xfrm>
        <a:prstGeom prst="wedgeRectCallout">
          <a:avLst>
            <a:gd name="adj1" fmla="val -57362"/>
            <a:gd name="adj2" fmla="val 25194"/>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4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lang="ja-JP" altLang="en-US" sz="900">
              <a:solidFill>
                <a:schemeClr val="tx1"/>
              </a:solidFill>
              <a:effectLst/>
              <a:latin typeface="+mn-ea"/>
              <a:ea typeface="+mn-ea"/>
              <a:cs typeface="+mn-cs"/>
            </a:rPr>
            <a:t>ビル名は</a:t>
          </a:r>
          <a:r>
            <a:rPr lang="ja-JP" altLang="en-US" sz="900" b="1">
              <a:solidFill>
                <a:schemeClr val="tx1"/>
              </a:solidFill>
              <a:effectLst/>
              <a:latin typeface="+mn-ea"/>
              <a:ea typeface="+mn-ea"/>
              <a:cs typeface="+mn-cs"/>
            </a:rPr>
            <a:t>住所欄</a:t>
          </a:r>
          <a:r>
            <a:rPr lang="ja-JP" altLang="en-US" sz="900">
              <a:solidFill>
                <a:schemeClr val="tx1"/>
              </a:solidFill>
              <a:effectLst/>
              <a:latin typeface="+mn-ea"/>
              <a:ea typeface="+mn-ea"/>
              <a:cs typeface="+mn-cs"/>
            </a:rPr>
            <a:t>の</a:t>
          </a:r>
          <a:r>
            <a:rPr lang="ja-JP" altLang="en-US" sz="900" b="1">
              <a:solidFill>
                <a:schemeClr val="tx1"/>
              </a:solidFill>
              <a:effectLst/>
              <a:latin typeface="+mn-ea"/>
              <a:ea typeface="+mn-ea"/>
              <a:cs typeface="+mn-cs"/>
            </a:rPr>
            <a:t>２行目</a:t>
          </a:r>
          <a:r>
            <a:rPr lang="ja-JP" altLang="en-US" sz="900">
              <a:solidFill>
                <a:schemeClr val="tx1"/>
              </a:solidFill>
              <a:effectLst/>
              <a:latin typeface="+mn-ea"/>
              <a:ea typeface="+mn-ea"/>
              <a:cs typeface="+mn-cs"/>
            </a:rPr>
            <a:t>に記載してください。</a:t>
          </a:r>
          <a:endParaRPr lang="en-US" altLang="ja-JP" sz="900">
            <a:solidFill>
              <a:schemeClr val="tx1"/>
            </a:solidFill>
            <a:effectLst/>
            <a:latin typeface="+mn-ea"/>
            <a:ea typeface="+mn-ea"/>
            <a:cs typeface="+mn-cs"/>
          </a:endParaRPr>
        </a:p>
        <a:p>
          <a:pPr algn="l">
            <a:lnSpc>
              <a:spcPts val="1200"/>
            </a:lnSpc>
          </a:pPr>
          <a:r>
            <a:rPr lang="ja-JP" altLang="en-US" sz="900">
              <a:solidFill>
                <a:schemeClr val="tx1"/>
              </a:solidFill>
              <a:effectLst/>
              <a:latin typeface="+mn-ea"/>
              <a:ea typeface="+mn-ea"/>
              <a:cs typeface="+mn-cs"/>
            </a:rPr>
            <a:t>（ビル名がない場合は２行目への記載不要）</a:t>
          </a:r>
          <a:endParaRPr kumimoji="1" lang="ja-JP" altLang="en-US" sz="900">
            <a:solidFill>
              <a:schemeClr val="tx1"/>
            </a:solidFill>
            <a:latin typeface="+mn-ea"/>
            <a:ea typeface="+mn-ea"/>
          </a:endParaRPr>
        </a:p>
      </xdr:txBody>
    </xdr:sp>
    <xdr:clientData/>
  </xdr:oneCellAnchor>
  <xdr:oneCellAnchor>
    <xdr:from>
      <xdr:col>25</xdr:col>
      <xdr:colOff>220980</xdr:colOff>
      <xdr:row>10</xdr:row>
      <xdr:rowOff>78442</xdr:rowOff>
    </xdr:from>
    <xdr:ext cx="2484120" cy="1456768"/>
    <xdr:sp macro="" textlink="">
      <xdr:nvSpPr>
        <xdr:cNvPr id="77" name="四角形吹き出し 16">
          <a:extLst>
            <a:ext uri="{FF2B5EF4-FFF2-40B4-BE49-F238E27FC236}">
              <a16:creationId xmlns:a16="http://schemas.microsoft.com/office/drawing/2014/main" id="{00000000-0008-0000-0500-00004D000000}"/>
            </a:ext>
          </a:extLst>
        </xdr:cNvPr>
        <xdr:cNvSpPr/>
      </xdr:nvSpPr>
      <xdr:spPr>
        <a:xfrm>
          <a:off x="6278880" y="1998682"/>
          <a:ext cx="2484120" cy="1456768"/>
        </a:xfrm>
        <a:prstGeom prst="wedgeRectCallout">
          <a:avLst>
            <a:gd name="adj1" fmla="val -57183"/>
            <a:gd name="adj2" fmla="val -51093"/>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kumimoji="1" lang="ja-JP" altLang="en-US" sz="900" b="1">
              <a:solidFill>
                <a:schemeClr val="tx1"/>
              </a:solidFill>
              <a:latin typeface="+mn-ea"/>
              <a:ea typeface="+mn-ea"/>
            </a:rPr>
            <a:t>氏名欄</a:t>
          </a:r>
          <a:r>
            <a:rPr kumimoji="1" lang="ja-JP" altLang="en-US" sz="900">
              <a:solidFill>
                <a:schemeClr val="tx1"/>
              </a:solidFill>
              <a:latin typeface="+mn-ea"/>
              <a:ea typeface="+mn-ea"/>
            </a:rPr>
            <a:t>の</a:t>
          </a:r>
          <a:r>
            <a:rPr kumimoji="1" lang="ja-JP" altLang="en-US" sz="900" b="1" u="sng">
              <a:solidFill>
                <a:schemeClr val="tx1"/>
              </a:solidFill>
              <a:latin typeface="+mn-ea"/>
              <a:ea typeface="+mn-ea"/>
            </a:rPr>
            <a:t>１行目</a:t>
          </a:r>
          <a:r>
            <a:rPr kumimoji="1" lang="ja-JP" altLang="en-US" sz="900" u="sng">
              <a:solidFill>
                <a:schemeClr val="tx1"/>
              </a:solidFill>
              <a:latin typeface="+mn-ea"/>
              <a:ea typeface="+mn-ea"/>
            </a:rPr>
            <a:t>に企業・団体名</a:t>
          </a:r>
          <a:r>
            <a:rPr kumimoji="1" lang="ja-JP" altLang="en-US" sz="900">
              <a:solidFill>
                <a:schemeClr val="tx1"/>
              </a:solidFill>
              <a:latin typeface="+mn-ea"/>
              <a:ea typeface="+mn-ea"/>
            </a:rPr>
            <a:t>、</a:t>
          </a:r>
          <a:r>
            <a:rPr kumimoji="1" lang="ja-JP" altLang="en-US" sz="900" b="1" u="sng">
              <a:solidFill>
                <a:schemeClr val="tx1"/>
              </a:solidFill>
              <a:latin typeface="+mn-ea"/>
              <a:ea typeface="+mn-ea"/>
            </a:rPr>
            <a:t>２行目</a:t>
          </a:r>
          <a:r>
            <a:rPr kumimoji="1" lang="ja-JP" altLang="en-US" sz="900" u="sng">
              <a:solidFill>
                <a:schemeClr val="tx1"/>
              </a:solidFill>
              <a:latin typeface="+mn-ea"/>
              <a:ea typeface="+mn-ea"/>
            </a:rPr>
            <a:t>に代表者役職、代表者名</a:t>
          </a:r>
          <a:r>
            <a:rPr kumimoji="1" lang="ja-JP" altLang="en-US" sz="900">
              <a:solidFill>
                <a:schemeClr val="tx1"/>
              </a:solidFill>
              <a:latin typeface="+mn-ea"/>
              <a:ea typeface="+mn-ea"/>
            </a:rPr>
            <a:t>を記載してください。</a:t>
          </a:r>
          <a:endParaRPr kumimoji="1" lang="en-US" altLang="ja-JP" sz="700">
            <a:solidFill>
              <a:schemeClr val="tx1"/>
            </a:solidFill>
            <a:latin typeface="+mn-ea"/>
            <a:ea typeface="+mn-ea"/>
          </a:endParaRPr>
        </a:p>
        <a:p>
          <a:r>
            <a:rPr kumimoji="1" lang="en-US" altLang="ja-JP" sz="800">
              <a:solidFill>
                <a:schemeClr val="tx1"/>
              </a:solidFill>
              <a:effectLst/>
              <a:latin typeface="+mn-ea"/>
              <a:ea typeface="+mn-ea"/>
              <a:cs typeface="+mn-cs"/>
            </a:rPr>
            <a:t>※</a:t>
          </a:r>
          <a:r>
            <a:rPr kumimoji="1" lang="ja-JP" altLang="ja-JP" sz="800" b="1" u="sng">
              <a:solidFill>
                <a:srgbClr val="FF0000"/>
              </a:solidFill>
              <a:effectLst/>
              <a:latin typeface="+mn-ea"/>
              <a:ea typeface="+mn-ea"/>
              <a:cs typeface="+mn-cs"/>
            </a:rPr>
            <a:t>押印は不要</a:t>
          </a:r>
          <a:r>
            <a:rPr kumimoji="1" lang="ja-JP" altLang="ja-JP" sz="800" u="sng">
              <a:solidFill>
                <a:schemeClr val="tx1"/>
              </a:solidFill>
              <a:effectLst/>
              <a:latin typeface="+mn-ea"/>
              <a:ea typeface="+mn-ea"/>
              <a:cs typeface="+mn-cs"/>
            </a:rPr>
            <a:t>です</a:t>
          </a:r>
          <a:r>
            <a:rPr kumimoji="1" lang="ja-JP" altLang="en-US" sz="800" u="sng">
              <a:solidFill>
                <a:schemeClr val="tx1"/>
              </a:solidFill>
              <a:effectLst/>
              <a:latin typeface="+mn-ea"/>
              <a:ea typeface="+mn-ea"/>
              <a:cs typeface="+mn-cs"/>
            </a:rPr>
            <a:t>。</a:t>
          </a:r>
          <a:endParaRPr kumimoji="1" lang="en-US" altLang="ja-JP" sz="800" u="sng">
            <a:solidFill>
              <a:schemeClr val="tx1"/>
            </a:solidFill>
            <a:effectLst/>
            <a:latin typeface="+mn-ea"/>
            <a:ea typeface="+mn-ea"/>
            <a:cs typeface="+mn-cs"/>
          </a:endParaRPr>
        </a:p>
        <a:p>
          <a:pPr eaLnBrk="1" fontAlgn="auto" latinLnBrk="0" hangingPunct="1"/>
          <a:r>
            <a:rPr kumimoji="1" lang="ja-JP" altLang="en-US" sz="800" b="0" u="none">
              <a:solidFill>
                <a:schemeClr val="tx1"/>
              </a:solidFill>
              <a:effectLst/>
              <a:latin typeface="+mn-ea"/>
              <a:ea typeface="+mn-ea"/>
              <a:cs typeface="+mn-cs"/>
            </a:rPr>
            <a:t>　　</a:t>
          </a:r>
          <a:r>
            <a:rPr lang="ja-JP" altLang="ja-JP" sz="700" b="1">
              <a:solidFill>
                <a:sysClr val="windowText" lastClr="000000"/>
              </a:solidFill>
              <a:effectLst/>
              <a:latin typeface="+mn-lt"/>
              <a:ea typeface="+mn-ea"/>
              <a:cs typeface="+mn-cs"/>
            </a:rPr>
            <a:t>チェック</a:t>
          </a:r>
          <a:endParaRPr lang="ja-JP" altLang="ja-JP" sz="700" b="1">
            <a:solidFill>
              <a:sysClr val="windowText" lastClr="000000"/>
            </a:solidFill>
            <a:effectLst/>
          </a:endParaRPr>
        </a:p>
        <a:p>
          <a:r>
            <a:rPr lang="ja-JP" altLang="ja-JP" sz="900">
              <a:solidFill>
                <a:sysClr val="windowText" lastClr="000000"/>
              </a:solidFill>
              <a:effectLst/>
              <a:latin typeface="+mn-lt"/>
              <a:ea typeface="+mn-ea"/>
              <a:cs typeface="+mn-cs"/>
            </a:rPr>
            <a:t>新規で事業所長名等で提出される場合や、前回提出の書類に記載されている「委任受託者」</a:t>
          </a:r>
          <a:r>
            <a:rPr lang="ja-JP" altLang="en-US" sz="900" b="0">
              <a:solidFill>
                <a:sysClr val="windowText" lastClr="000000"/>
              </a:solidFill>
              <a:effectLst/>
              <a:latin typeface="+mn-lt"/>
              <a:ea typeface="+mn-ea"/>
              <a:cs typeface="+mn-cs"/>
            </a:rPr>
            <a:t>、「委任者」</a:t>
          </a:r>
          <a:r>
            <a:rPr lang="ja-JP" altLang="ja-JP" sz="900">
              <a:solidFill>
                <a:sysClr val="windowText" lastClr="000000"/>
              </a:solidFill>
              <a:effectLst/>
              <a:latin typeface="+mn-lt"/>
              <a:ea typeface="+mn-ea"/>
              <a:cs typeface="+mn-cs"/>
            </a:rPr>
            <a:t>の変更</a:t>
          </a:r>
          <a:r>
            <a:rPr lang="ja-JP" altLang="en-US" sz="900">
              <a:solidFill>
                <a:sysClr val="windowText" lastClr="000000"/>
              </a:solidFill>
              <a:effectLst/>
              <a:latin typeface="+mn-lt"/>
              <a:ea typeface="+mn-ea"/>
              <a:cs typeface="+mn-cs"/>
            </a:rPr>
            <a:t>が</a:t>
          </a:r>
          <a:r>
            <a:rPr lang="ja-JP" altLang="ja-JP" sz="900">
              <a:solidFill>
                <a:sysClr val="windowText" lastClr="000000"/>
              </a:solidFill>
              <a:effectLst/>
              <a:latin typeface="+mn-lt"/>
              <a:ea typeface="+mn-ea"/>
              <a:cs typeface="+mn-cs"/>
            </a:rPr>
            <a:t>ある場合</a:t>
          </a:r>
          <a:r>
            <a:rPr lang="ja-JP" altLang="en-US" sz="900">
              <a:solidFill>
                <a:sysClr val="windowText" lastClr="000000"/>
              </a:solidFill>
              <a:effectLst/>
              <a:latin typeface="+mn-lt"/>
              <a:ea typeface="+mn-ea"/>
              <a:cs typeface="+mn-cs"/>
            </a:rPr>
            <a:t>は</a:t>
          </a:r>
          <a:r>
            <a:rPr lang="ja-JP" altLang="ja-JP" sz="900">
              <a:solidFill>
                <a:sysClr val="windowText" lastClr="000000"/>
              </a:solidFill>
              <a:effectLst/>
              <a:latin typeface="+mn-lt"/>
              <a:ea typeface="+mn-ea"/>
              <a:cs typeface="+mn-cs"/>
            </a:rPr>
            <a:t>、</a:t>
          </a:r>
          <a:r>
            <a:rPr lang="ja-JP" altLang="ja-JP" sz="900" u="sng">
              <a:solidFill>
                <a:sysClr val="windowText" lastClr="000000"/>
              </a:solidFill>
              <a:effectLst/>
              <a:latin typeface="+mn-lt"/>
              <a:ea typeface="+mn-ea"/>
              <a:cs typeface="+mn-cs"/>
            </a:rPr>
            <a:t>「</a:t>
          </a:r>
          <a:r>
            <a:rPr lang="ja-JP" altLang="ja-JP" sz="900" b="1" u="sng">
              <a:solidFill>
                <a:sysClr val="windowText" lastClr="000000"/>
              </a:solidFill>
              <a:effectLst/>
              <a:latin typeface="+mn-lt"/>
              <a:ea typeface="+mn-ea"/>
              <a:cs typeface="+mn-cs"/>
            </a:rPr>
            <a:t>委任状」の提出が必要</a:t>
          </a:r>
          <a:r>
            <a:rPr lang="ja-JP" altLang="ja-JP" sz="900" u="sng">
              <a:solidFill>
                <a:sysClr val="windowText" lastClr="000000"/>
              </a:solidFill>
              <a:effectLst/>
              <a:latin typeface="+mn-lt"/>
              <a:ea typeface="+mn-ea"/>
              <a:cs typeface="+mn-cs"/>
            </a:rPr>
            <a:t>となります。</a:t>
          </a:r>
          <a:endParaRPr lang="ja-JP" altLang="ja-JP" sz="900">
            <a:solidFill>
              <a:sysClr val="windowText" lastClr="000000"/>
            </a:solidFill>
            <a:effectLst/>
          </a:endParaRPr>
        </a:p>
        <a:p>
          <a:endParaRPr lang="ja-JP" altLang="ja-JP" sz="900">
            <a:solidFill>
              <a:schemeClr val="tx1"/>
            </a:solidFill>
            <a:effectLst/>
            <a:latin typeface="+mn-ea"/>
            <a:ea typeface="+mn-ea"/>
          </a:endParaRPr>
        </a:p>
      </xdr:txBody>
    </xdr:sp>
    <xdr:clientData/>
  </xdr:oneCellAnchor>
  <xdr:oneCellAnchor>
    <xdr:from>
      <xdr:col>25</xdr:col>
      <xdr:colOff>220981</xdr:colOff>
      <xdr:row>16</xdr:row>
      <xdr:rowOff>103992</xdr:rowOff>
    </xdr:from>
    <xdr:ext cx="2484120" cy="1511447"/>
    <xdr:sp macro="" textlink="">
      <xdr:nvSpPr>
        <xdr:cNvPr id="78" name="四角形吹き出し 15">
          <a:extLst>
            <a:ext uri="{FF2B5EF4-FFF2-40B4-BE49-F238E27FC236}">
              <a16:creationId xmlns:a16="http://schemas.microsoft.com/office/drawing/2014/main" id="{00000000-0008-0000-0500-00004E000000}"/>
            </a:ext>
          </a:extLst>
        </xdr:cNvPr>
        <xdr:cNvSpPr/>
      </xdr:nvSpPr>
      <xdr:spPr>
        <a:xfrm>
          <a:off x="6278881" y="3487272"/>
          <a:ext cx="2484120" cy="1511447"/>
        </a:xfrm>
        <a:prstGeom prst="wedgeRectCallout">
          <a:avLst>
            <a:gd name="adj1" fmla="val -57091"/>
            <a:gd name="adj2" fmla="val -46564"/>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kumimoji="1" lang="ja-JP" altLang="en-US" sz="900" b="1">
              <a:solidFill>
                <a:schemeClr val="tx1"/>
              </a:solidFill>
              <a:latin typeface="+mn-ea"/>
              <a:ea typeface="+mn-ea"/>
            </a:rPr>
            <a:t>事業者の氏名等の欄</a:t>
          </a:r>
          <a:r>
            <a:rPr kumimoji="1" lang="ja-JP" altLang="en-US" sz="900">
              <a:solidFill>
                <a:schemeClr val="tx1"/>
              </a:solidFill>
              <a:latin typeface="+mn-ea"/>
              <a:ea typeface="+mn-ea"/>
            </a:rPr>
            <a:t>には、企業・団体名、代表者役職及び氏名、</a:t>
          </a:r>
          <a:r>
            <a:rPr kumimoji="1" lang="ja-JP" altLang="en-US" sz="900" b="1">
              <a:solidFill>
                <a:schemeClr val="tx1"/>
              </a:solidFill>
              <a:latin typeface="+mn-ea"/>
              <a:ea typeface="+mn-ea"/>
            </a:rPr>
            <a:t>事業者の住所等の欄</a:t>
          </a:r>
          <a:r>
            <a:rPr kumimoji="1" lang="ja-JP" altLang="en-US" sz="900">
              <a:solidFill>
                <a:schemeClr val="tx1"/>
              </a:solidFill>
              <a:latin typeface="+mn-ea"/>
              <a:ea typeface="+mn-ea"/>
            </a:rPr>
            <a:t>には、住所又は主たる事務所の所在地が</a:t>
          </a:r>
          <a:r>
            <a:rPr kumimoji="1" lang="ja-JP" altLang="en-US" sz="900" b="1">
              <a:solidFill>
                <a:srgbClr val="FF0000"/>
              </a:solidFill>
              <a:latin typeface="+mn-ea"/>
              <a:ea typeface="+mn-ea"/>
            </a:rPr>
            <a:t>自動転記</a:t>
          </a:r>
          <a:r>
            <a:rPr kumimoji="1" lang="ja-JP" altLang="en-US" sz="900">
              <a:solidFill>
                <a:schemeClr val="tx1"/>
              </a:solidFill>
              <a:latin typeface="+mn-ea"/>
              <a:ea typeface="+mn-ea"/>
            </a:rPr>
            <a:t>されます。</a:t>
          </a:r>
          <a:endParaRPr kumimoji="1" lang="en-US" altLang="ja-JP" sz="900">
            <a:solidFill>
              <a:schemeClr val="tx1"/>
            </a:solidFill>
            <a:latin typeface="+mn-ea"/>
            <a:ea typeface="+mn-ea"/>
          </a:endParaRPr>
        </a:p>
        <a:p>
          <a:pPr algn="l">
            <a:lnSpc>
              <a:spcPts val="1200"/>
            </a:lnSpc>
          </a:pPr>
          <a:r>
            <a:rPr lang="ja-JP" altLang="ja-JP" sz="700" b="1">
              <a:solidFill>
                <a:schemeClr val="lt1"/>
              </a:solidFill>
              <a:effectLst/>
              <a:latin typeface="+mn-lt"/>
              <a:ea typeface="+mn-ea"/>
              <a:cs typeface="+mn-cs"/>
            </a:rPr>
            <a:t>　</a:t>
          </a:r>
          <a:r>
            <a:rPr lang="ja-JP" altLang="en-US" sz="700" b="1">
              <a:solidFill>
                <a:schemeClr val="lt1"/>
              </a:solidFill>
              <a:effectLst/>
              <a:latin typeface="+mn-lt"/>
              <a:ea typeface="+mn-ea"/>
              <a:cs typeface="+mn-cs"/>
            </a:rPr>
            <a:t>　　</a:t>
          </a:r>
          <a:r>
            <a:rPr lang="ja-JP" altLang="ja-JP" sz="700" b="1">
              <a:solidFill>
                <a:sysClr val="windowText" lastClr="000000"/>
              </a:solidFill>
              <a:effectLst/>
              <a:latin typeface="+mn-lt"/>
              <a:ea typeface="+mn-ea"/>
              <a:cs typeface="+mn-cs"/>
            </a:rPr>
            <a:t>チェック</a:t>
          </a:r>
          <a:endParaRPr kumimoji="1" lang="en-US" altLang="ja-JP" sz="900">
            <a:solidFill>
              <a:schemeClr val="tx1"/>
            </a:solidFill>
            <a:latin typeface="+mn-ea"/>
            <a:ea typeface="+mn-ea"/>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900" b="0">
              <a:solidFill>
                <a:sysClr val="windowText" lastClr="000000"/>
              </a:solidFill>
              <a:effectLst/>
              <a:latin typeface="+mn-lt"/>
              <a:ea typeface="+mn-ea"/>
              <a:cs typeface="+mn-cs"/>
            </a:rPr>
            <a:t>前回提出の書類に記載されている「事業者名、本社住所」に変更</a:t>
          </a:r>
          <a:r>
            <a:rPr kumimoji="1" lang="ja-JP" altLang="en-US" sz="900" b="0">
              <a:solidFill>
                <a:sysClr val="windowText" lastClr="000000"/>
              </a:solidFill>
              <a:effectLst/>
              <a:latin typeface="+mn-lt"/>
              <a:ea typeface="+mn-ea"/>
              <a:cs typeface="+mn-cs"/>
            </a:rPr>
            <a:t>がある</a:t>
          </a:r>
          <a:r>
            <a:rPr kumimoji="1" lang="ja-JP" altLang="ja-JP" sz="900" b="0">
              <a:solidFill>
                <a:sysClr val="windowText" lastClr="000000"/>
              </a:solidFill>
              <a:effectLst/>
              <a:latin typeface="+mn-lt"/>
              <a:ea typeface="+mn-ea"/>
              <a:cs typeface="+mn-cs"/>
            </a:rPr>
            <a:t>場合</a:t>
          </a:r>
          <a:r>
            <a:rPr kumimoji="1" lang="ja-JP" altLang="en-US" sz="900" b="0">
              <a:solidFill>
                <a:sysClr val="windowText" lastClr="000000"/>
              </a:solidFill>
              <a:effectLst/>
              <a:latin typeface="+mn-lt"/>
              <a:ea typeface="+mn-ea"/>
              <a:cs typeface="+mn-cs"/>
            </a:rPr>
            <a:t>は</a:t>
          </a:r>
          <a:r>
            <a:rPr kumimoji="1" lang="ja-JP" altLang="ja-JP" sz="900" b="0">
              <a:solidFill>
                <a:sysClr val="windowText" lastClr="000000"/>
              </a:solidFill>
              <a:effectLst/>
              <a:latin typeface="+mn-lt"/>
              <a:ea typeface="+mn-ea"/>
              <a:cs typeface="+mn-cs"/>
            </a:rPr>
            <a:t>、</a:t>
          </a:r>
          <a:r>
            <a:rPr kumimoji="1" lang="ja-JP" altLang="ja-JP" sz="900" b="1" u="sng">
              <a:solidFill>
                <a:sysClr val="windowText" lastClr="000000"/>
              </a:solidFill>
              <a:effectLst/>
              <a:latin typeface="+mn-lt"/>
              <a:ea typeface="+mn-ea"/>
              <a:cs typeface="+mn-cs"/>
            </a:rPr>
            <a:t>変更届の提出が必要</a:t>
          </a:r>
          <a:r>
            <a:rPr kumimoji="1" lang="ja-JP" altLang="ja-JP" sz="900" b="0" u="sng">
              <a:solidFill>
                <a:sysClr val="windowText" lastClr="000000"/>
              </a:solidFill>
              <a:effectLst/>
              <a:latin typeface="+mn-lt"/>
              <a:ea typeface="+mn-ea"/>
              <a:cs typeface="+mn-cs"/>
            </a:rPr>
            <a:t>となります。</a:t>
          </a:r>
          <a:endParaRPr kumimoji="1" lang="ja-JP" altLang="en-US" sz="800">
            <a:solidFill>
              <a:sysClr val="windowText" lastClr="000000"/>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25</xdr:col>
          <xdr:colOff>251460</xdr:colOff>
          <xdr:row>7</xdr:row>
          <xdr:rowOff>22860</xdr:rowOff>
        </xdr:from>
        <xdr:to>
          <xdr:col>25</xdr:col>
          <xdr:colOff>525780</xdr:colOff>
          <xdr:row>8</xdr:row>
          <xdr:rowOff>137160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5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251460</xdr:colOff>
          <xdr:row>10</xdr:row>
          <xdr:rowOff>83820</xdr:rowOff>
        </xdr:from>
        <xdr:to>
          <xdr:col>25</xdr:col>
          <xdr:colOff>533400</xdr:colOff>
          <xdr:row>12</xdr:row>
          <xdr:rowOff>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5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251460</xdr:colOff>
          <xdr:row>13</xdr:row>
          <xdr:rowOff>121920</xdr:rowOff>
        </xdr:from>
        <xdr:to>
          <xdr:col>25</xdr:col>
          <xdr:colOff>533400</xdr:colOff>
          <xdr:row>14</xdr:row>
          <xdr:rowOff>198120</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5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16</xdr:row>
          <xdr:rowOff>106680</xdr:rowOff>
        </xdr:from>
        <xdr:to>
          <xdr:col>25</xdr:col>
          <xdr:colOff>556260</xdr:colOff>
          <xdr:row>16</xdr:row>
          <xdr:rowOff>411480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5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220981</xdr:colOff>
      <xdr:row>21</xdr:row>
      <xdr:rowOff>50988</xdr:rowOff>
    </xdr:from>
    <xdr:ext cx="2484120" cy="1236792"/>
    <xdr:sp macro="" textlink="">
      <xdr:nvSpPr>
        <xdr:cNvPr id="83" name="四角形吹き出し 82">
          <a:extLst>
            <a:ext uri="{FF2B5EF4-FFF2-40B4-BE49-F238E27FC236}">
              <a16:creationId xmlns:a16="http://schemas.microsoft.com/office/drawing/2014/main" id="{00000000-0008-0000-0500-000053000000}"/>
            </a:ext>
          </a:extLst>
        </xdr:cNvPr>
        <xdr:cNvSpPr/>
      </xdr:nvSpPr>
      <xdr:spPr>
        <a:xfrm>
          <a:off x="6278881" y="5034468"/>
          <a:ext cx="2484120" cy="1236792"/>
        </a:xfrm>
        <a:prstGeom prst="wedgeRectCallout">
          <a:avLst>
            <a:gd name="adj1" fmla="val -57939"/>
            <a:gd name="adj2" fmla="val -55264"/>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kumimoji="1" lang="ja-JP" altLang="en-US" sz="900" b="1">
              <a:solidFill>
                <a:schemeClr val="tx1"/>
              </a:solidFill>
              <a:latin typeface="+mn-ea"/>
              <a:ea typeface="+mn-ea"/>
            </a:rPr>
            <a:t>原油換算ｴﾈﾙｷﾞｰ使用量</a:t>
          </a:r>
          <a:r>
            <a:rPr kumimoji="1" lang="en-US" altLang="ja-JP" sz="900" b="1">
              <a:solidFill>
                <a:schemeClr val="tx1"/>
              </a:solidFill>
              <a:latin typeface="+mn-ea"/>
              <a:ea typeface="+mn-ea"/>
            </a:rPr>
            <a:t>(</a:t>
          </a:r>
          <a:r>
            <a:rPr kumimoji="1" lang="ja-JP" altLang="en-US" sz="900" b="1">
              <a:solidFill>
                <a:schemeClr val="tx1"/>
              </a:solidFill>
              <a:latin typeface="+mn-ea"/>
              <a:ea typeface="+mn-ea"/>
            </a:rPr>
            <a:t>又は使用台数</a:t>
          </a:r>
          <a:r>
            <a:rPr kumimoji="1" lang="en-US" altLang="ja-JP" sz="900" b="1">
              <a:solidFill>
                <a:schemeClr val="tx1"/>
              </a:solidFill>
              <a:latin typeface="+mn-ea"/>
              <a:ea typeface="+mn-ea"/>
            </a:rPr>
            <a:t>)</a:t>
          </a:r>
          <a:r>
            <a:rPr kumimoji="1" lang="ja-JP" altLang="en-US" sz="900" b="1">
              <a:solidFill>
                <a:schemeClr val="tx1"/>
              </a:solidFill>
              <a:latin typeface="+mn-ea"/>
              <a:ea typeface="+mn-ea"/>
            </a:rPr>
            <a:t>欄</a:t>
          </a:r>
          <a:r>
            <a:rPr kumimoji="1" lang="ja-JP" altLang="en-US" sz="900">
              <a:solidFill>
                <a:schemeClr val="tx1"/>
              </a:solidFill>
              <a:latin typeface="+mn-ea"/>
              <a:ea typeface="+mn-ea"/>
            </a:rPr>
            <a:t>には</a:t>
          </a:r>
          <a:endParaRPr kumimoji="1" lang="en-US" altLang="ja-JP" sz="900">
            <a:solidFill>
              <a:schemeClr val="tx1"/>
            </a:solidFill>
            <a:latin typeface="+mn-ea"/>
            <a:ea typeface="+mn-ea"/>
          </a:endParaRPr>
        </a:p>
        <a:p>
          <a:pPr algn="l">
            <a:lnSpc>
              <a:spcPts val="1200"/>
            </a:lnSpc>
          </a:pPr>
          <a:r>
            <a:rPr kumimoji="1" lang="ja-JP" altLang="en-US" sz="900">
              <a:solidFill>
                <a:schemeClr val="tx1"/>
              </a:solidFill>
              <a:latin typeface="+mn-ea"/>
              <a:ea typeface="+mn-ea"/>
            </a:rPr>
            <a:t>エネルギー使用量等入力ファイルで算出された数値のうち</a:t>
          </a:r>
          <a:r>
            <a:rPr kumimoji="1" lang="ja-JP" altLang="en-US" sz="900" b="1" u="sng">
              <a:solidFill>
                <a:schemeClr val="tx1"/>
              </a:solidFill>
              <a:latin typeface="+mn-ea"/>
              <a:ea typeface="+mn-ea"/>
            </a:rPr>
            <a:t>全県</a:t>
          </a:r>
          <a:r>
            <a:rPr kumimoji="1" lang="ja-JP" altLang="en-US" sz="900" u="none">
              <a:solidFill>
                <a:schemeClr val="tx1"/>
              </a:solidFill>
              <a:latin typeface="+mn-ea"/>
              <a:ea typeface="+mn-ea"/>
            </a:rPr>
            <a:t>（県内全域）</a:t>
          </a:r>
          <a:r>
            <a:rPr kumimoji="1" lang="ja-JP" altLang="en-US" sz="900">
              <a:solidFill>
                <a:schemeClr val="tx1"/>
              </a:solidFill>
              <a:latin typeface="+mn-ea"/>
              <a:ea typeface="+mn-ea"/>
            </a:rPr>
            <a:t>の値を</a:t>
          </a:r>
          <a:r>
            <a:rPr kumimoji="1" lang="ja-JP" altLang="en-US" sz="900" b="1">
              <a:solidFill>
                <a:schemeClr val="tx1"/>
              </a:solidFill>
              <a:latin typeface="+mn-ea"/>
              <a:ea typeface="+mn-ea"/>
            </a:rPr>
            <a:t>上段</a:t>
          </a:r>
          <a:r>
            <a:rPr kumimoji="1" lang="ja-JP" altLang="en-US" sz="900" b="0">
              <a:solidFill>
                <a:schemeClr val="tx1"/>
              </a:solidFill>
              <a:latin typeface="+mn-ea"/>
              <a:ea typeface="+mn-ea"/>
            </a:rPr>
            <a:t>に、</a:t>
          </a:r>
          <a:r>
            <a:rPr kumimoji="1" lang="ja-JP" altLang="en-US" sz="900" b="1" u="sng">
              <a:solidFill>
                <a:schemeClr val="tx1"/>
              </a:solidFill>
              <a:latin typeface="+mn-ea"/>
              <a:ea typeface="+mn-ea"/>
            </a:rPr>
            <a:t>横浜・川崎市を除いた県域</a:t>
          </a:r>
          <a:r>
            <a:rPr kumimoji="1" lang="ja-JP" altLang="en-US" sz="900">
              <a:solidFill>
                <a:schemeClr val="tx1"/>
              </a:solidFill>
              <a:latin typeface="+mn-ea"/>
              <a:ea typeface="+mn-ea"/>
            </a:rPr>
            <a:t>の値を</a:t>
          </a:r>
          <a:r>
            <a:rPr kumimoji="1" lang="ja-JP" altLang="en-US" sz="900" b="1">
              <a:solidFill>
                <a:schemeClr val="tx1"/>
              </a:solidFill>
              <a:latin typeface="+mn-ea"/>
              <a:ea typeface="+mn-ea"/>
            </a:rPr>
            <a:t>下段</a:t>
          </a:r>
          <a:r>
            <a:rPr kumimoji="1" lang="ja-JP" altLang="en-US" sz="900">
              <a:solidFill>
                <a:schemeClr val="tx1"/>
              </a:solidFill>
              <a:latin typeface="+mn-ea"/>
              <a:ea typeface="+mn-ea"/>
            </a:rPr>
            <a:t>に自動転記します。転記される値には非化石エネルギー使用量も含まれます。</a:t>
          </a:r>
        </a:p>
      </xdr:txBody>
    </xdr:sp>
    <xdr:clientData/>
  </xdr:oneCellAnchor>
  <xdr:oneCellAnchor>
    <xdr:from>
      <xdr:col>25</xdr:col>
      <xdr:colOff>213361</xdr:colOff>
      <xdr:row>26</xdr:row>
      <xdr:rowOff>178417</xdr:rowOff>
    </xdr:from>
    <xdr:ext cx="2491740" cy="1089156"/>
    <xdr:sp macro="" textlink="">
      <xdr:nvSpPr>
        <xdr:cNvPr id="84" name="四角形吹き出し 83">
          <a:extLst>
            <a:ext uri="{FF2B5EF4-FFF2-40B4-BE49-F238E27FC236}">
              <a16:creationId xmlns:a16="http://schemas.microsoft.com/office/drawing/2014/main" id="{00000000-0008-0000-0500-000054000000}"/>
            </a:ext>
          </a:extLst>
        </xdr:cNvPr>
        <xdr:cNvSpPr/>
      </xdr:nvSpPr>
      <xdr:spPr>
        <a:xfrm>
          <a:off x="6271261" y="6304897"/>
          <a:ext cx="2491740" cy="1089156"/>
        </a:xfrm>
        <a:prstGeom prst="wedgeRectCallout">
          <a:avLst>
            <a:gd name="adj1" fmla="val -57729"/>
            <a:gd name="adj2" fmla="val -56896"/>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endParaRPr lang="ja-JP" altLang="ja-JP" sz="1000" b="1">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計画対象欄（Ｙ列）</a:t>
          </a:r>
          <a:r>
            <a:rPr kumimoji="0" lang="ja-JP" altLang="en-US" sz="1000">
              <a:solidFill>
                <a:schemeClr val="tx1"/>
              </a:solidFill>
              <a:effectLst/>
              <a:latin typeface="+mn-ea"/>
              <a:ea typeface="+mn-ea"/>
              <a:cs typeface="+mn-cs"/>
            </a:rPr>
            <a:t>は、</a:t>
          </a:r>
          <a:endParaRPr kumimoji="0" lang="en-US" altLang="ja-JP" sz="1000">
            <a:solidFill>
              <a:schemeClr val="tx1"/>
            </a:solidFill>
            <a:effectLst/>
            <a:latin typeface="+mn-ea"/>
            <a:ea typeface="+mn-ea"/>
            <a:cs typeface="+mn-cs"/>
          </a:endParaRPr>
        </a:p>
        <a:p>
          <a:pPr algn="l">
            <a:lnSpc>
              <a:spcPts val="1100"/>
            </a:lnSpc>
          </a:pPr>
          <a:r>
            <a:rPr kumimoji="0" lang="ja-JP" altLang="en-US" sz="1000">
              <a:solidFill>
                <a:schemeClr val="tx1"/>
              </a:solidFill>
              <a:effectLst/>
              <a:latin typeface="+mn-ea"/>
              <a:ea typeface="+mn-ea"/>
              <a:cs typeface="+mn-cs"/>
            </a:rPr>
            <a:t>計画の対象地域が</a:t>
          </a:r>
          <a:r>
            <a:rPr kumimoji="0" lang="ja-JP" altLang="en-US" sz="1000" b="1">
              <a:solidFill>
                <a:schemeClr val="tx1"/>
              </a:solidFill>
              <a:effectLst/>
              <a:latin typeface="+mn-ea"/>
              <a:ea typeface="+mn-ea"/>
              <a:cs typeface="+mn-cs"/>
            </a:rPr>
            <a:t>「全県」の場合は上段</a:t>
          </a:r>
          <a:r>
            <a:rPr kumimoji="0" lang="ja-JP" altLang="en-US" sz="1000">
              <a:solidFill>
                <a:schemeClr val="tx1"/>
              </a:solidFill>
              <a:effectLst/>
              <a:latin typeface="+mn-ea"/>
              <a:ea typeface="+mn-ea"/>
              <a:cs typeface="+mn-cs"/>
            </a:rPr>
            <a:t>、</a:t>
          </a:r>
          <a:endParaRPr kumimoji="0" lang="en-US" altLang="ja-JP" sz="1000">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「県域」</a:t>
          </a:r>
          <a:r>
            <a:rPr kumimoji="0" lang="ja-JP" altLang="en-US" sz="1000" b="0">
              <a:solidFill>
                <a:schemeClr val="tx1"/>
              </a:solidFill>
              <a:effectLst/>
              <a:latin typeface="+mn-ea"/>
              <a:ea typeface="+mn-ea"/>
              <a:cs typeface="+mn-cs"/>
            </a:rPr>
            <a:t>（</a:t>
          </a:r>
          <a:r>
            <a:rPr kumimoji="0" lang="en-US" altLang="ja-JP" sz="1000" b="0">
              <a:solidFill>
                <a:schemeClr val="tx1"/>
              </a:solidFill>
              <a:effectLst/>
              <a:latin typeface="+mn-ea"/>
              <a:ea typeface="+mn-ea"/>
              <a:cs typeface="+mn-cs"/>
            </a:rPr>
            <a:t>※</a:t>
          </a:r>
          <a:r>
            <a:rPr kumimoji="0" lang="ja-JP" altLang="en-US" sz="1000" b="0">
              <a:solidFill>
                <a:schemeClr val="tx1"/>
              </a:solidFill>
              <a:effectLst/>
              <a:latin typeface="+mn-ea"/>
              <a:ea typeface="+mn-ea"/>
              <a:cs typeface="+mn-cs"/>
            </a:rPr>
            <a:t>）</a:t>
          </a:r>
          <a:r>
            <a:rPr kumimoji="0" lang="ja-JP" altLang="en-US" sz="1000" b="1">
              <a:solidFill>
                <a:schemeClr val="tx1"/>
              </a:solidFill>
              <a:effectLst/>
              <a:latin typeface="+mn-ea"/>
              <a:ea typeface="+mn-ea"/>
              <a:cs typeface="+mn-cs"/>
            </a:rPr>
            <a:t>の場合は下段</a:t>
          </a:r>
          <a:r>
            <a:rPr kumimoji="0" lang="ja-JP" altLang="en-US" sz="1000">
              <a:solidFill>
                <a:schemeClr val="tx1"/>
              </a:solidFill>
              <a:effectLst/>
              <a:latin typeface="+mn-ea"/>
              <a:ea typeface="+mn-ea"/>
              <a:cs typeface="+mn-cs"/>
            </a:rPr>
            <a:t>で○を選択してください。</a:t>
          </a:r>
          <a:endParaRPr kumimoji="0" lang="en-US" altLang="ja-JP" sz="900">
            <a:solidFill>
              <a:schemeClr val="tx1"/>
            </a:solidFill>
            <a:effectLst/>
            <a:latin typeface="+mn-ea"/>
            <a:ea typeface="+mn-ea"/>
            <a:cs typeface="+mn-cs"/>
          </a:endParaRPr>
        </a:p>
        <a:p>
          <a:pPr algn="l">
            <a:lnSpc>
              <a:spcPts val="1100"/>
            </a:lnSpc>
          </a:pPr>
          <a:r>
            <a:rPr kumimoji="0" lang="en-US" altLang="ja-JP" sz="900" u="none">
              <a:solidFill>
                <a:srgbClr val="FF0000"/>
              </a:solidFill>
              <a:effectLst/>
              <a:latin typeface="+mn-ea"/>
              <a:ea typeface="+mn-ea"/>
              <a:cs typeface="+mn-cs"/>
            </a:rPr>
            <a:t>※</a:t>
          </a:r>
          <a:r>
            <a:rPr kumimoji="0" lang="ja-JP" altLang="en-US" sz="900" b="0">
              <a:solidFill>
                <a:srgbClr val="FF0000"/>
              </a:solidFill>
              <a:effectLst/>
              <a:latin typeface="+mn-ea"/>
              <a:ea typeface="+mn-ea"/>
              <a:cs typeface="+mn-cs"/>
            </a:rPr>
            <a:t>横浜・川崎市内に対象事業所が無い場合は、</a:t>
          </a:r>
          <a:r>
            <a:rPr kumimoji="0" lang="ja-JP" altLang="en-US" sz="900" b="1">
              <a:solidFill>
                <a:srgbClr val="FF0000"/>
              </a:solidFill>
              <a:effectLst/>
              <a:latin typeface="+mn-ea"/>
              <a:ea typeface="+mn-ea"/>
              <a:cs typeface="+mn-cs"/>
            </a:rPr>
            <a:t>「県域」</a:t>
          </a:r>
          <a:r>
            <a:rPr kumimoji="0" lang="ja-JP" altLang="en-US" sz="900" b="0">
              <a:solidFill>
                <a:srgbClr val="FF0000"/>
              </a:solidFill>
              <a:effectLst/>
              <a:latin typeface="+mn-ea"/>
              <a:ea typeface="+mn-ea"/>
              <a:cs typeface="+mn-cs"/>
            </a:rPr>
            <a:t>を選択</a:t>
          </a:r>
          <a:r>
            <a:rPr kumimoji="0" lang="ja-JP" altLang="en-US" sz="900">
              <a:solidFill>
                <a:schemeClr val="tx1"/>
              </a:solidFill>
              <a:effectLst/>
              <a:latin typeface="+mn-ea"/>
              <a:ea typeface="+mn-ea"/>
              <a:cs typeface="+mn-cs"/>
            </a:rPr>
            <a:t>してください。</a:t>
          </a:r>
          <a:endParaRPr kumimoji="0" lang="en-US" altLang="ja-JP" sz="900">
            <a:solidFill>
              <a:schemeClr val="tx1"/>
            </a:solidFill>
            <a:effectLst/>
            <a:latin typeface="+mn-ea"/>
            <a:ea typeface="+mn-ea"/>
            <a:cs typeface="+mn-cs"/>
          </a:endParaRPr>
        </a:p>
      </xdr:txBody>
    </xdr:sp>
    <xdr:clientData/>
  </xdr:oneCellAnchor>
  <mc:AlternateContent xmlns:mc="http://schemas.openxmlformats.org/markup-compatibility/2006">
    <mc:Choice xmlns:a14="http://schemas.microsoft.com/office/drawing/2010/main" Requires="a14">
      <xdr:twoCellAnchor editAs="oneCell">
        <xdr:from>
          <xdr:col>25</xdr:col>
          <xdr:colOff>289560</xdr:colOff>
          <xdr:row>21</xdr:row>
          <xdr:rowOff>38100</xdr:rowOff>
        </xdr:from>
        <xdr:to>
          <xdr:col>25</xdr:col>
          <xdr:colOff>571500</xdr:colOff>
          <xdr:row>22</xdr:row>
          <xdr:rowOff>76200</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5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297180</xdr:colOff>
          <xdr:row>26</xdr:row>
          <xdr:rowOff>114300</xdr:rowOff>
        </xdr:from>
        <xdr:to>
          <xdr:col>25</xdr:col>
          <xdr:colOff>579120</xdr:colOff>
          <xdr:row>28</xdr:row>
          <xdr:rowOff>30480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5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274320</xdr:colOff>
          <xdr:row>18</xdr:row>
          <xdr:rowOff>152400</xdr:rowOff>
        </xdr:from>
        <xdr:to>
          <xdr:col>25</xdr:col>
          <xdr:colOff>556260</xdr:colOff>
          <xdr:row>19</xdr:row>
          <xdr:rowOff>160020</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5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17</xdr:col>
      <xdr:colOff>287991</xdr:colOff>
      <xdr:row>16</xdr:row>
      <xdr:rowOff>1585698</xdr:rowOff>
    </xdr:from>
    <xdr:ext cx="2544856" cy="707922"/>
    <xdr:sp macro="" textlink="">
      <xdr:nvSpPr>
        <xdr:cNvPr id="108" name="正方形/長方形 107">
          <a:extLst>
            <a:ext uri="{FF2B5EF4-FFF2-40B4-BE49-F238E27FC236}">
              <a16:creationId xmlns:a16="http://schemas.microsoft.com/office/drawing/2014/main" id="{00000000-0008-0000-0600-00006C000000}"/>
            </a:ext>
          </a:extLst>
        </xdr:cNvPr>
        <xdr:cNvSpPr/>
      </xdr:nvSpPr>
      <xdr:spPr>
        <a:xfrm>
          <a:off x="6338271" y="5197578"/>
          <a:ext cx="2544856" cy="707922"/>
        </a:xfrm>
        <a:prstGeom prst="rect">
          <a:avLst/>
        </a:prstGeom>
        <a:solidFill>
          <a:schemeClr val="accent3">
            <a:lumMod val="20000"/>
            <a:lumOff val="80000"/>
          </a:schemeClr>
        </a:solid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b="0">
              <a:solidFill>
                <a:schemeClr val="tx1"/>
              </a:solidFill>
              <a:effectLst/>
              <a:latin typeface="+mn-ea"/>
              <a:ea typeface="+mn-ea"/>
              <a:cs typeface="+mn-cs"/>
            </a:rPr>
            <a:t>報告対象年度における排出量の合計量は</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されます。また、原単位目標を設定している場合は、報告対象年度における排出量原単位についても同様に</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a:t>
          </a:r>
          <a:endParaRPr lang="ja-JP" altLang="ja-JP" sz="900" b="0">
            <a:solidFill>
              <a:schemeClr val="tx1"/>
            </a:solidFill>
            <a:effectLst/>
            <a:latin typeface="+mn-ea"/>
            <a:ea typeface="+mn-ea"/>
            <a:cs typeface="+mn-cs"/>
          </a:endParaRPr>
        </a:p>
      </xdr:txBody>
    </xdr:sp>
    <xdr:clientData/>
  </xdr:oneCellAnchor>
  <xdr:twoCellAnchor>
    <xdr:from>
      <xdr:col>0</xdr:col>
      <xdr:colOff>0</xdr:colOff>
      <xdr:row>5</xdr:row>
      <xdr:rowOff>0</xdr:rowOff>
    </xdr:from>
    <xdr:to>
      <xdr:col>0</xdr:col>
      <xdr:colOff>0</xdr:colOff>
      <xdr:row>5</xdr:row>
      <xdr:rowOff>0</xdr:rowOff>
    </xdr:to>
    <xdr:sp macro="" textlink="">
      <xdr:nvSpPr>
        <xdr:cNvPr id="42127" name="Line 1">
          <a:extLst>
            <a:ext uri="{FF2B5EF4-FFF2-40B4-BE49-F238E27FC236}">
              <a16:creationId xmlns:a16="http://schemas.microsoft.com/office/drawing/2014/main" id="{00000000-0008-0000-0600-00008FA40000}"/>
            </a:ext>
          </a:extLst>
        </xdr:cNvPr>
        <xdr:cNvSpPr>
          <a:spLocks noChangeShapeType="1"/>
        </xdr:cNvSpPr>
      </xdr:nvSpPr>
      <xdr:spPr bwMode="auto">
        <a:xfrm flipV="1">
          <a:off x="0" y="10668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2128" name="Line 2">
          <a:extLst>
            <a:ext uri="{FF2B5EF4-FFF2-40B4-BE49-F238E27FC236}">
              <a16:creationId xmlns:a16="http://schemas.microsoft.com/office/drawing/2014/main" id="{00000000-0008-0000-0600-000090A40000}"/>
            </a:ext>
          </a:extLst>
        </xdr:cNvPr>
        <xdr:cNvSpPr>
          <a:spLocks noChangeShapeType="1"/>
        </xdr:cNvSpPr>
      </xdr:nvSpPr>
      <xdr:spPr bwMode="auto">
        <a:xfrm flipV="1">
          <a:off x="0" y="10668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15</xdr:row>
      <xdr:rowOff>0</xdr:rowOff>
    </xdr:from>
    <xdr:to>
      <xdr:col>0</xdr:col>
      <xdr:colOff>0</xdr:colOff>
      <xdr:row>15</xdr:row>
      <xdr:rowOff>0</xdr:rowOff>
    </xdr:to>
    <xdr:sp macro="" textlink="">
      <xdr:nvSpPr>
        <xdr:cNvPr id="42129" name="Line 3">
          <a:extLst>
            <a:ext uri="{FF2B5EF4-FFF2-40B4-BE49-F238E27FC236}">
              <a16:creationId xmlns:a16="http://schemas.microsoft.com/office/drawing/2014/main" id="{00000000-0008-0000-0600-000091A40000}"/>
            </a:ext>
          </a:extLst>
        </xdr:cNvPr>
        <xdr:cNvSpPr>
          <a:spLocks noChangeShapeType="1"/>
        </xdr:cNvSpPr>
      </xdr:nvSpPr>
      <xdr:spPr bwMode="auto">
        <a:xfrm flipV="1">
          <a:off x="0" y="35814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41910</xdr:colOff>
      <xdr:row>7</xdr:row>
      <xdr:rowOff>68580</xdr:rowOff>
    </xdr:from>
    <xdr:to>
      <xdr:col>5</xdr:col>
      <xdr:colOff>262274</xdr:colOff>
      <xdr:row>7</xdr:row>
      <xdr:rowOff>194818</xdr:rowOff>
    </xdr:to>
    <xdr:sp macro="" textlink="">
      <xdr:nvSpPr>
        <xdr:cNvPr id="34890" name="Text Box 74">
          <a:extLst>
            <a:ext uri="{FF2B5EF4-FFF2-40B4-BE49-F238E27FC236}">
              <a16:creationId xmlns:a16="http://schemas.microsoft.com/office/drawing/2014/main" id="{00000000-0008-0000-0600-00004A880000}"/>
            </a:ext>
          </a:extLst>
        </xdr:cNvPr>
        <xdr:cNvSpPr txBox="1">
          <a:spLocks noChangeArrowheads="1"/>
        </xdr:cNvSpPr>
      </xdr:nvSpPr>
      <xdr:spPr bwMode="auto">
        <a:xfrm>
          <a:off x="1638300" y="1760220"/>
          <a:ext cx="205740" cy="13525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5</xdr:col>
      <xdr:colOff>41910</xdr:colOff>
      <xdr:row>8</xdr:row>
      <xdr:rowOff>68580</xdr:rowOff>
    </xdr:from>
    <xdr:to>
      <xdr:col>5</xdr:col>
      <xdr:colOff>254417</xdr:colOff>
      <xdr:row>8</xdr:row>
      <xdr:rowOff>220980</xdr:rowOff>
    </xdr:to>
    <xdr:sp macro="" textlink="">
      <xdr:nvSpPr>
        <xdr:cNvPr id="34891" name="Text Box 75">
          <a:extLst>
            <a:ext uri="{FF2B5EF4-FFF2-40B4-BE49-F238E27FC236}">
              <a16:creationId xmlns:a16="http://schemas.microsoft.com/office/drawing/2014/main" id="{00000000-0008-0000-0600-00004B880000}"/>
            </a:ext>
          </a:extLst>
        </xdr:cNvPr>
        <xdr:cNvSpPr txBox="1">
          <a:spLocks noChangeArrowheads="1"/>
        </xdr:cNvSpPr>
      </xdr:nvSpPr>
      <xdr:spPr bwMode="auto">
        <a:xfrm>
          <a:off x="1638300" y="1996440"/>
          <a:ext cx="190500" cy="15240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12</xdr:col>
      <xdr:colOff>41910</xdr:colOff>
      <xdr:row>7</xdr:row>
      <xdr:rowOff>68580</xdr:rowOff>
    </xdr:from>
    <xdr:to>
      <xdr:col>12</xdr:col>
      <xdr:colOff>254980</xdr:colOff>
      <xdr:row>7</xdr:row>
      <xdr:rowOff>213360</xdr:rowOff>
    </xdr:to>
    <xdr:sp macro="" textlink="">
      <xdr:nvSpPr>
        <xdr:cNvPr id="34896" name="Text Box 80">
          <a:extLst>
            <a:ext uri="{FF2B5EF4-FFF2-40B4-BE49-F238E27FC236}">
              <a16:creationId xmlns:a16="http://schemas.microsoft.com/office/drawing/2014/main" id="{00000000-0008-0000-0600-000050880000}"/>
            </a:ext>
          </a:extLst>
        </xdr:cNvPr>
        <xdr:cNvSpPr txBox="1">
          <a:spLocks noChangeArrowheads="1"/>
        </xdr:cNvSpPr>
      </xdr:nvSpPr>
      <xdr:spPr bwMode="auto">
        <a:xfrm>
          <a:off x="4229100" y="1760220"/>
          <a:ext cx="198120" cy="14478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12</xdr:col>
      <xdr:colOff>41910</xdr:colOff>
      <xdr:row>8</xdr:row>
      <xdr:rowOff>76200</xdr:rowOff>
    </xdr:from>
    <xdr:to>
      <xdr:col>12</xdr:col>
      <xdr:colOff>231305</xdr:colOff>
      <xdr:row>8</xdr:row>
      <xdr:rowOff>213360</xdr:rowOff>
    </xdr:to>
    <xdr:sp macro="" textlink="">
      <xdr:nvSpPr>
        <xdr:cNvPr id="34897" name="Text Box 81">
          <a:extLst>
            <a:ext uri="{FF2B5EF4-FFF2-40B4-BE49-F238E27FC236}">
              <a16:creationId xmlns:a16="http://schemas.microsoft.com/office/drawing/2014/main" id="{00000000-0008-0000-0600-000051880000}"/>
            </a:ext>
          </a:extLst>
        </xdr:cNvPr>
        <xdr:cNvSpPr txBox="1">
          <a:spLocks noChangeArrowheads="1"/>
        </xdr:cNvSpPr>
      </xdr:nvSpPr>
      <xdr:spPr bwMode="auto">
        <a:xfrm>
          <a:off x="4229100" y="2004060"/>
          <a:ext cx="175260" cy="13716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5</xdr:col>
      <xdr:colOff>41910</xdr:colOff>
      <xdr:row>9</xdr:row>
      <xdr:rowOff>83820</xdr:rowOff>
    </xdr:from>
    <xdr:to>
      <xdr:col>5</xdr:col>
      <xdr:colOff>231305</xdr:colOff>
      <xdr:row>9</xdr:row>
      <xdr:rowOff>220980</xdr:rowOff>
    </xdr:to>
    <xdr:sp macro="" textlink="">
      <xdr:nvSpPr>
        <xdr:cNvPr id="34898" name="Text Box 82">
          <a:extLst>
            <a:ext uri="{FF2B5EF4-FFF2-40B4-BE49-F238E27FC236}">
              <a16:creationId xmlns:a16="http://schemas.microsoft.com/office/drawing/2014/main" id="{00000000-0008-0000-0600-000052880000}"/>
            </a:ext>
          </a:extLst>
        </xdr:cNvPr>
        <xdr:cNvSpPr txBox="1">
          <a:spLocks noChangeArrowheads="1"/>
        </xdr:cNvSpPr>
      </xdr:nvSpPr>
      <xdr:spPr bwMode="auto">
        <a:xfrm>
          <a:off x="1638300" y="2247900"/>
          <a:ext cx="175260" cy="13716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5</xdr:col>
      <xdr:colOff>41910</xdr:colOff>
      <xdr:row>10</xdr:row>
      <xdr:rowOff>53340</xdr:rowOff>
    </xdr:from>
    <xdr:to>
      <xdr:col>5</xdr:col>
      <xdr:colOff>224038</xdr:colOff>
      <xdr:row>10</xdr:row>
      <xdr:rowOff>190793</xdr:rowOff>
    </xdr:to>
    <xdr:sp macro="" textlink="">
      <xdr:nvSpPr>
        <xdr:cNvPr id="34899" name="Text Box 83">
          <a:extLst>
            <a:ext uri="{FF2B5EF4-FFF2-40B4-BE49-F238E27FC236}">
              <a16:creationId xmlns:a16="http://schemas.microsoft.com/office/drawing/2014/main" id="{00000000-0008-0000-0600-000053880000}"/>
            </a:ext>
          </a:extLst>
        </xdr:cNvPr>
        <xdr:cNvSpPr txBox="1">
          <a:spLocks noChangeArrowheads="1"/>
        </xdr:cNvSpPr>
      </xdr:nvSpPr>
      <xdr:spPr bwMode="auto">
        <a:xfrm>
          <a:off x="1638300" y="2453640"/>
          <a:ext cx="167640" cy="12763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5</xdr:col>
      <xdr:colOff>41910</xdr:colOff>
      <xdr:row>12</xdr:row>
      <xdr:rowOff>45720</xdr:rowOff>
    </xdr:from>
    <xdr:to>
      <xdr:col>5</xdr:col>
      <xdr:colOff>269595</xdr:colOff>
      <xdr:row>12</xdr:row>
      <xdr:rowOff>180975</xdr:rowOff>
    </xdr:to>
    <xdr:sp macro="" textlink="">
      <xdr:nvSpPr>
        <xdr:cNvPr id="34900" name="Text Box 84">
          <a:extLst>
            <a:ext uri="{FF2B5EF4-FFF2-40B4-BE49-F238E27FC236}">
              <a16:creationId xmlns:a16="http://schemas.microsoft.com/office/drawing/2014/main" id="{00000000-0008-0000-0600-000054880000}"/>
            </a:ext>
          </a:extLst>
        </xdr:cNvPr>
        <xdr:cNvSpPr txBox="1">
          <a:spLocks noChangeArrowheads="1"/>
        </xdr:cNvSpPr>
      </xdr:nvSpPr>
      <xdr:spPr bwMode="auto">
        <a:xfrm>
          <a:off x="1638300" y="3162300"/>
          <a:ext cx="213360" cy="13525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5</xdr:col>
      <xdr:colOff>41910</xdr:colOff>
      <xdr:row>13</xdr:row>
      <xdr:rowOff>60960</xdr:rowOff>
    </xdr:from>
    <xdr:to>
      <xdr:col>5</xdr:col>
      <xdr:colOff>269595</xdr:colOff>
      <xdr:row>13</xdr:row>
      <xdr:rowOff>180975</xdr:rowOff>
    </xdr:to>
    <xdr:sp macro="" textlink="">
      <xdr:nvSpPr>
        <xdr:cNvPr id="34901" name="Text Box 85">
          <a:extLst>
            <a:ext uri="{FF2B5EF4-FFF2-40B4-BE49-F238E27FC236}">
              <a16:creationId xmlns:a16="http://schemas.microsoft.com/office/drawing/2014/main" id="{00000000-0008-0000-0600-000055880000}"/>
            </a:ext>
          </a:extLst>
        </xdr:cNvPr>
        <xdr:cNvSpPr txBox="1">
          <a:spLocks noChangeArrowheads="1"/>
        </xdr:cNvSpPr>
      </xdr:nvSpPr>
      <xdr:spPr bwMode="auto">
        <a:xfrm>
          <a:off x="1638300" y="3413760"/>
          <a:ext cx="213360" cy="12001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12</xdr:col>
      <xdr:colOff>41910</xdr:colOff>
      <xdr:row>12</xdr:row>
      <xdr:rowOff>76200</xdr:rowOff>
    </xdr:from>
    <xdr:to>
      <xdr:col>12</xdr:col>
      <xdr:colOff>254417</xdr:colOff>
      <xdr:row>12</xdr:row>
      <xdr:rowOff>195012</xdr:rowOff>
    </xdr:to>
    <xdr:sp macro="" textlink="">
      <xdr:nvSpPr>
        <xdr:cNvPr id="34902" name="Text Box 86">
          <a:extLst>
            <a:ext uri="{FF2B5EF4-FFF2-40B4-BE49-F238E27FC236}">
              <a16:creationId xmlns:a16="http://schemas.microsoft.com/office/drawing/2014/main" id="{00000000-0008-0000-0600-000056880000}"/>
            </a:ext>
          </a:extLst>
        </xdr:cNvPr>
        <xdr:cNvSpPr txBox="1">
          <a:spLocks noChangeArrowheads="1"/>
        </xdr:cNvSpPr>
      </xdr:nvSpPr>
      <xdr:spPr bwMode="auto">
        <a:xfrm>
          <a:off x="4229100" y="3185160"/>
          <a:ext cx="190500" cy="13525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12</xdr:col>
      <xdr:colOff>41910</xdr:colOff>
      <xdr:row>13</xdr:row>
      <xdr:rowOff>38100</xdr:rowOff>
    </xdr:from>
    <xdr:to>
      <xdr:col>12</xdr:col>
      <xdr:colOff>262274</xdr:colOff>
      <xdr:row>13</xdr:row>
      <xdr:rowOff>180975</xdr:rowOff>
    </xdr:to>
    <xdr:sp macro="" textlink="">
      <xdr:nvSpPr>
        <xdr:cNvPr id="34903" name="Text Box 87">
          <a:extLst>
            <a:ext uri="{FF2B5EF4-FFF2-40B4-BE49-F238E27FC236}">
              <a16:creationId xmlns:a16="http://schemas.microsoft.com/office/drawing/2014/main" id="{00000000-0008-0000-0600-000057880000}"/>
            </a:ext>
          </a:extLst>
        </xdr:cNvPr>
        <xdr:cNvSpPr txBox="1">
          <a:spLocks noChangeArrowheads="1"/>
        </xdr:cNvSpPr>
      </xdr:nvSpPr>
      <xdr:spPr bwMode="auto">
        <a:xfrm>
          <a:off x="4229100" y="3390900"/>
          <a:ext cx="205740" cy="14287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5</xdr:col>
      <xdr:colOff>41910</xdr:colOff>
      <xdr:row>14</xdr:row>
      <xdr:rowOff>68580</xdr:rowOff>
    </xdr:from>
    <xdr:to>
      <xdr:col>5</xdr:col>
      <xdr:colOff>262274</xdr:colOff>
      <xdr:row>14</xdr:row>
      <xdr:rowOff>221403</xdr:rowOff>
    </xdr:to>
    <xdr:sp macro="" textlink="">
      <xdr:nvSpPr>
        <xdr:cNvPr id="34904" name="Text Box 88">
          <a:extLst>
            <a:ext uri="{FF2B5EF4-FFF2-40B4-BE49-F238E27FC236}">
              <a16:creationId xmlns:a16="http://schemas.microsoft.com/office/drawing/2014/main" id="{00000000-0008-0000-0600-000058880000}"/>
            </a:ext>
          </a:extLst>
        </xdr:cNvPr>
        <xdr:cNvSpPr txBox="1">
          <a:spLocks noChangeArrowheads="1"/>
        </xdr:cNvSpPr>
      </xdr:nvSpPr>
      <xdr:spPr bwMode="auto">
        <a:xfrm>
          <a:off x="1638300" y="3657600"/>
          <a:ext cx="205740" cy="14478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5</xdr:col>
      <xdr:colOff>41910</xdr:colOff>
      <xdr:row>15</xdr:row>
      <xdr:rowOff>60960</xdr:rowOff>
    </xdr:from>
    <xdr:to>
      <xdr:col>5</xdr:col>
      <xdr:colOff>318793</xdr:colOff>
      <xdr:row>15</xdr:row>
      <xdr:rowOff>220980</xdr:rowOff>
    </xdr:to>
    <xdr:sp macro="" textlink="">
      <xdr:nvSpPr>
        <xdr:cNvPr id="34905" name="Text Box 89">
          <a:extLst>
            <a:ext uri="{FF2B5EF4-FFF2-40B4-BE49-F238E27FC236}">
              <a16:creationId xmlns:a16="http://schemas.microsoft.com/office/drawing/2014/main" id="{00000000-0008-0000-0600-000059880000}"/>
            </a:ext>
          </a:extLst>
        </xdr:cNvPr>
        <xdr:cNvSpPr txBox="1">
          <a:spLocks noChangeArrowheads="1"/>
        </xdr:cNvSpPr>
      </xdr:nvSpPr>
      <xdr:spPr bwMode="auto">
        <a:xfrm>
          <a:off x="1638300" y="3886200"/>
          <a:ext cx="251460" cy="16002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7</xdr:col>
      <xdr:colOff>11430</xdr:colOff>
      <xdr:row>18</xdr:row>
      <xdr:rowOff>40005</xdr:rowOff>
    </xdr:from>
    <xdr:to>
      <xdr:col>7</xdr:col>
      <xdr:colOff>203638</xdr:colOff>
      <xdr:row>18</xdr:row>
      <xdr:rowOff>156546</xdr:rowOff>
    </xdr:to>
    <xdr:sp macro="" textlink="">
      <xdr:nvSpPr>
        <xdr:cNvPr id="34918" name="Text Box 102">
          <a:extLst>
            <a:ext uri="{FF2B5EF4-FFF2-40B4-BE49-F238E27FC236}">
              <a16:creationId xmlns:a16="http://schemas.microsoft.com/office/drawing/2014/main" id="{00000000-0008-0000-0600-000066880000}"/>
            </a:ext>
          </a:extLst>
        </xdr:cNvPr>
        <xdr:cNvSpPr txBox="1">
          <a:spLocks noChangeArrowheads="1"/>
        </xdr:cNvSpPr>
      </xdr:nvSpPr>
      <xdr:spPr bwMode="auto">
        <a:xfrm>
          <a:off x="2638425" y="78009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7</xdr:col>
      <xdr:colOff>11430</xdr:colOff>
      <xdr:row>19</xdr:row>
      <xdr:rowOff>64770</xdr:rowOff>
    </xdr:from>
    <xdr:to>
      <xdr:col>7</xdr:col>
      <xdr:colOff>203638</xdr:colOff>
      <xdr:row>19</xdr:row>
      <xdr:rowOff>181311</xdr:rowOff>
    </xdr:to>
    <xdr:sp macro="" textlink="">
      <xdr:nvSpPr>
        <xdr:cNvPr id="34919" name="Text Box 103">
          <a:extLst>
            <a:ext uri="{FF2B5EF4-FFF2-40B4-BE49-F238E27FC236}">
              <a16:creationId xmlns:a16="http://schemas.microsoft.com/office/drawing/2014/main" id="{00000000-0008-0000-0600-000067880000}"/>
            </a:ext>
          </a:extLst>
        </xdr:cNvPr>
        <xdr:cNvSpPr txBox="1">
          <a:spLocks noChangeArrowheads="1"/>
        </xdr:cNvSpPr>
      </xdr:nvSpPr>
      <xdr:spPr bwMode="auto">
        <a:xfrm>
          <a:off x="2638425" y="804862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13</xdr:col>
      <xdr:colOff>11430</xdr:colOff>
      <xdr:row>18</xdr:row>
      <xdr:rowOff>40005</xdr:rowOff>
    </xdr:from>
    <xdr:to>
      <xdr:col>13</xdr:col>
      <xdr:colOff>203638</xdr:colOff>
      <xdr:row>18</xdr:row>
      <xdr:rowOff>156546</xdr:rowOff>
    </xdr:to>
    <xdr:sp macro="" textlink="">
      <xdr:nvSpPr>
        <xdr:cNvPr id="34920" name="Text Box 104">
          <a:extLst>
            <a:ext uri="{FF2B5EF4-FFF2-40B4-BE49-F238E27FC236}">
              <a16:creationId xmlns:a16="http://schemas.microsoft.com/office/drawing/2014/main" id="{00000000-0008-0000-0600-000068880000}"/>
            </a:ext>
          </a:extLst>
        </xdr:cNvPr>
        <xdr:cNvSpPr txBox="1">
          <a:spLocks noChangeArrowheads="1"/>
        </xdr:cNvSpPr>
      </xdr:nvSpPr>
      <xdr:spPr bwMode="auto">
        <a:xfrm>
          <a:off x="5124450" y="78009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13</xdr:col>
      <xdr:colOff>11430</xdr:colOff>
      <xdr:row>19</xdr:row>
      <xdr:rowOff>64770</xdr:rowOff>
    </xdr:from>
    <xdr:to>
      <xdr:col>13</xdr:col>
      <xdr:colOff>203638</xdr:colOff>
      <xdr:row>19</xdr:row>
      <xdr:rowOff>181311</xdr:rowOff>
    </xdr:to>
    <xdr:sp macro="" textlink="">
      <xdr:nvSpPr>
        <xdr:cNvPr id="34921" name="Text Box 105">
          <a:extLst>
            <a:ext uri="{FF2B5EF4-FFF2-40B4-BE49-F238E27FC236}">
              <a16:creationId xmlns:a16="http://schemas.microsoft.com/office/drawing/2014/main" id="{00000000-0008-0000-0600-000069880000}"/>
            </a:ext>
          </a:extLst>
        </xdr:cNvPr>
        <xdr:cNvSpPr txBox="1">
          <a:spLocks noChangeArrowheads="1"/>
        </xdr:cNvSpPr>
      </xdr:nvSpPr>
      <xdr:spPr bwMode="auto">
        <a:xfrm>
          <a:off x="5124450" y="804862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7</xdr:col>
      <xdr:colOff>11430</xdr:colOff>
      <xdr:row>20</xdr:row>
      <xdr:rowOff>40005</xdr:rowOff>
    </xdr:from>
    <xdr:to>
      <xdr:col>7</xdr:col>
      <xdr:colOff>203638</xdr:colOff>
      <xdr:row>20</xdr:row>
      <xdr:rowOff>156546</xdr:rowOff>
    </xdr:to>
    <xdr:sp macro="" textlink="">
      <xdr:nvSpPr>
        <xdr:cNvPr id="34922" name="Text Box 106">
          <a:extLst>
            <a:ext uri="{FF2B5EF4-FFF2-40B4-BE49-F238E27FC236}">
              <a16:creationId xmlns:a16="http://schemas.microsoft.com/office/drawing/2014/main" id="{00000000-0008-0000-0600-00006A880000}"/>
            </a:ext>
          </a:extLst>
        </xdr:cNvPr>
        <xdr:cNvSpPr txBox="1">
          <a:spLocks noChangeArrowheads="1"/>
        </xdr:cNvSpPr>
      </xdr:nvSpPr>
      <xdr:spPr bwMode="auto">
        <a:xfrm>
          <a:off x="2638425" y="827722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7</xdr:col>
      <xdr:colOff>11430</xdr:colOff>
      <xdr:row>21</xdr:row>
      <xdr:rowOff>57150</xdr:rowOff>
    </xdr:from>
    <xdr:to>
      <xdr:col>7</xdr:col>
      <xdr:colOff>203638</xdr:colOff>
      <xdr:row>21</xdr:row>
      <xdr:rowOff>180975</xdr:rowOff>
    </xdr:to>
    <xdr:sp macro="" textlink="">
      <xdr:nvSpPr>
        <xdr:cNvPr id="34923" name="Text Box 107">
          <a:extLst>
            <a:ext uri="{FF2B5EF4-FFF2-40B4-BE49-F238E27FC236}">
              <a16:creationId xmlns:a16="http://schemas.microsoft.com/office/drawing/2014/main" id="{00000000-0008-0000-0600-00006B880000}"/>
            </a:ext>
          </a:extLst>
        </xdr:cNvPr>
        <xdr:cNvSpPr txBox="1">
          <a:spLocks noChangeArrowheads="1"/>
        </xdr:cNvSpPr>
      </xdr:nvSpPr>
      <xdr:spPr bwMode="auto">
        <a:xfrm>
          <a:off x="2638425" y="85248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7</xdr:col>
      <xdr:colOff>11430</xdr:colOff>
      <xdr:row>23</xdr:row>
      <xdr:rowOff>47625</xdr:rowOff>
    </xdr:from>
    <xdr:to>
      <xdr:col>7</xdr:col>
      <xdr:colOff>203638</xdr:colOff>
      <xdr:row>23</xdr:row>
      <xdr:rowOff>164166</xdr:rowOff>
    </xdr:to>
    <xdr:sp macro="" textlink="">
      <xdr:nvSpPr>
        <xdr:cNvPr id="34924" name="Text Box 108">
          <a:extLst>
            <a:ext uri="{FF2B5EF4-FFF2-40B4-BE49-F238E27FC236}">
              <a16:creationId xmlns:a16="http://schemas.microsoft.com/office/drawing/2014/main" id="{00000000-0008-0000-0600-00006C880000}"/>
            </a:ext>
          </a:extLst>
        </xdr:cNvPr>
        <xdr:cNvSpPr txBox="1">
          <a:spLocks noChangeArrowheads="1"/>
        </xdr:cNvSpPr>
      </xdr:nvSpPr>
      <xdr:spPr bwMode="auto">
        <a:xfrm>
          <a:off x="2638425" y="922972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7</xdr:col>
      <xdr:colOff>11430</xdr:colOff>
      <xdr:row>24</xdr:row>
      <xdr:rowOff>57150</xdr:rowOff>
    </xdr:from>
    <xdr:to>
      <xdr:col>7</xdr:col>
      <xdr:colOff>203638</xdr:colOff>
      <xdr:row>24</xdr:row>
      <xdr:rowOff>180975</xdr:rowOff>
    </xdr:to>
    <xdr:sp macro="" textlink="">
      <xdr:nvSpPr>
        <xdr:cNvPr id="34925" name="Text Box 109">
          <a:extLst>
            <a:ext uri="{FF2B5EF4-FFF2-40B4-BE49-F238E27FC236}">
              <a16:creationId xmlns:a16="http://schemas.microsoft.com/office/drawing/2014/main" id="{00000000-0008-0000-0600-00006D880000}"/>
            </a:ext>
          </a:extLst>
        </xdr:cNvPr>
        <xdr:cNvSpPr txBox="1">
          <a:spLocks noChangeArrowheads="1"/>
        </xdr:cNvSpPr>
      </xdr:nvSpPr>
      <xdr:spPr bwMode="auto">
        <a:xfrm>
          <a:off x="2638425" y="94773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13</xdr:col>
      <xdr:colOff>11430</xdr:colOff>
      <xdr:row>23</xdr:row>
      <xdr:rowOff>47625</xdr:rowOff>
    </xdr:from>
    <xdr:to>
      <xdr:col>13</xdr:col>
      <xdr:colOff>203638</xdr:colOff>
      <xdr:row>23</xdr:row>
      <xdr:rowOff>164166</xdr:rowOff>
    </xdr:to>
    <xdr:sp macro="" textlink="">
      <xdr:nvSpPr>
        <xdr:cNvPr id="34926" name="Text Box 110">
          <a:extLst>
            <a:ext uri="{FF2B5EF4-FFF2-40B4-BE49-F238E27FC236}">
              <a16:creationId xmlns:a16="http://schemas.microsoft.com/office/drawing/2014/main" id="{00000000-0008-0000-0600-00006E880000}"/>
            </a:ext>
          </a:extLst>
        </xdr:cNvPr>
        <xdr:cNvSpPr txBox="1">
          <a:spLocks noChangeArrowheads="1"/>
        </xdr:cNvSpPr>
      </xdr:nvSpPr>
      <xdr:spPr bwMode="auto">
        <a:xfrm>
          <a:off x="5124450" y="922972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13</xdr:col>
      <xdr:colOff>11430</xdr:colOff>
      <xdr:row>24</xdr:row>
      <xdr:rowOff>57150</xdr:rowOff>
    </xdr:from>
    <xdr:to>
      <xdr:col>13</xdr:col>
      <xdr:colOff>203638</xdr:colOff>
      <xdr:row>24</xdr:row>
      <xdr:rowOff>180975</xdr:rowOff>
    </xdr:to>
    <xdr:sp macro="" textlink="">
      <xdr:nvSpPr>
        <xdr:cNvPr id="34927" name="Text Box 111">
          <a:extLst>
            <a:ext uri="{FF2B5EF4-FFF2-40B4-BE49-F238E27FC236}">
              <a16:creationId xmlns:a16="http://schemas.microsoft.com/office/drawing/2014/main" id="{00000000-0008-0000-0600-00006F880000}"/>
            </a:ext>
          </a:extLst>
        </xdr:cNvPr>
        <xdr:cNvSpPr txBox="1">
          <a:spLocks noChangeArrowheads="1"/>
        </xdr:cNvSpPr>
      </xdr:nvSpPr>
      <xdr:spPr bwMode="auto">
        <a:xfrm>
          <a:off x="5124450" y="94773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7</xdr:col>
      <xdr:colOff>11430</xdr:colOff>
      <xdr:row>25</xdr:row>
      <xdr:rowOff>47625</xdr:rowOff>
    </xdr:from>
    <xdr:to>
      <xdr:col>7</xdr:col>
      <xdr:colOff>203638</xdr:colOff>
      <xdr:row>25</xdr:row>
      <xdr:rowOff>164166</xdr:rowOff>
    </xdr:to>
    <xdr:sp macro="" textlink="">
      <xdr:nvSpPr>
        <xdr:cNvPr id="34928" name="Text Box 112">
          <a:extLst>
            <a:ext uri="{FF2B5EF4-FFF2-40B4-BE49-F238E27FC236}">
              <a16:creationId xmlns:a16="http://schemas.microsoft.com/office/drawing/2014/main" id="{00000000-0008-0000-0600-000070880000}"/>
            </a:ext>
          </a:extLst>
        </xdr:cNvPr>
        <xdr:cNvSpPr txBox="1">
          <a:spLocks noChangeArrowheads="1"/>
        </xdr:cNvSpPr>
      </xdr:nvSpPr>
      <xdr:spPr bwMode="auto">
        <a:xfrm>
          <a:off x="2638425" y="97059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7</xdr:col>
      <xdr:colOff>11430</xdr:colOff>
      <xdr:row>26</xdr:row>
      <xdr:rowOff>57150</xdr:rowOff>
    </xdr:from>
    <xdr:to>
      <xdr:col>7</xdr:col>
      <xdr:colOff>203638</xdr:colOff>
      <xdr:row>26</xdr:row>
      <xdr:rowOff>180975</xdr:rowOff>
    </xdr:to>
    <xdr:sp macro="" textlink="">
      <xdr:nvSpPr>
        <xdr:cNvPr id="34929" name="Text Box 113">
          <a:extLst>
            <a:ext uri="{FF2B5EF4-FFF2-40B4-BE49-F238E27FC236}">
              <a16:creationId xmlns:a16="http://schemas.microsoft.com/office/drawing/2014/main" id="{00000000-0008-0000-0600-000071880000}"/>
            </a:ext>
          </a:extLst>
        </xdr:cNvPr>
        <xdr:cNvSpPr txBox="1">
          <a:spLocks noChangeArrowheads="1"/>
        </xdr:cNvSpPr>
      </xdr:nvSpPr>
      <xdr:spPr bwMode="auto">
        <a:xfrm>
          <a:off x="2638425" y="995362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22</xdr:col>
      <xdr:colOff>49529</xdr:colOff>
      <xdr:row>2</xdr:row>
      <xdr:rowOff>3810</xdr:rowOff>
    </xdr:from>
    <xdr:to>
      <xdr:col>22</xdr:col>
      <xdr:colOff>219074</xdr:colOff>
      <xdr:row>26</xdr:row>
      <xdr:rowOff>209550</xdr:rowOff>
    </xdr:to>
    <xdr:sp macro="" textlink="">
      <xdr:nvSpPr>
        <xdr:cNvPr id="30" name="左右矢印 29">
          <a:extLst>
            <a:ext uri="{FF2B5EF4-FFF2-40B4-BE49-F238E27FC236}">
              <a16:creationId xmlns:a16="http://schemas.microsoft.com/office/drawing/2014/main" id="{00000000-0008-0000-0600-00001E000000}"/>
            </a:ext>
          </a:extLst>
        </xdr:cNvPr>
        <xdr:cNvSpPr/>
      </xdr:nvSpPr>
      <xdr:spPr>
        <a:xfrm rot="5400000">
          <a:off x="6270307" y="5127307"/>
          <a:ext cx="9711690" cy="169545"/>
        </a:xfrm>
        <a:prstGeom prst="leftRightArrow">
          <a:avLst>
            <a:gd name="adj1" fmla="val 50000"/>
            <a:gd name="adj2" fmla="val 103333"/>
          </a:avLst>
        </a:prstGeom>
        <a:solidFill>
          <a:schemeClr val="tx2">
            <a:lumMod val="40000"/>
            <a:lumOff val="60000"/>
          </a:schemeClr>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33</xdr:col>
      <xdr:colOff>81578</xdr:colOff>
      <xdr:row>0</xdr:row>
      <xdr:rowOff>16809</xdr:rowOff>
    </xdr:from>
    <xdr:to>
      <xdr:col>40</xdr:col>
      <xdr:colOff>205740</xdr:colOff>
      <xdr:row>1</xdr:row>
      <xdr:rowOff>171450</xdr:rowOff>
    </xdr:to>
    <xdr:sp macro="" textlink="">
      <xdr:nvSpPr>
        <xdr:cNvPr id="31" name="正方形/長方形 30">
          <a:extLst>
            <a:ext uri="{FF2B5EF4-FFF2-40B4-BE49-F238E27FC236}">
              <a16:creationId xmlns:a16="http://schemas.microsoft.com/office/drawing/2014/main" id="{00000000-0008-0000-0600-00001F000000}"/>
            </a:ext>
          </a:extLst>
        </xdr:cNvPr>
        <xdr:cNvSpPr/>
      </xdr:nvSpPr>
      <xdr:spPr>
        <a:xfrm>
          <a:off x="12685058" y="16809"/>
          <a:ext cx="2707342" cy="307041"/>
        </a:xfrm>
        <a:prstGeom prst="rect">
          <a:avLst/>
        </a:prstGeom>
        <a:solidFill>
          <a:schemeClr val="tx2">
            <a:lumMod val="40000"/>
            <a:lumOff val="60000"/>
          </a:schemeClr>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000" b="1" baseline="0">
              <a:solidFill>
                <a:schemeClr val="tx1"/>
              </a:solidFill>
            </a:rPr>
            <a:t>本面はすべて、県ホームページで公表します。</a:t>
          </a:r>
        </a:p>
      </xdr:txBody>
    </xdr:sp>
    <xdr:clientData/>
  </xdr:twoCellAnchor>
  <xdr:twoCellAnchor>
    <xdr:from>
      <xdr:col>29</xdr:col>
      <xdr:colOff>41910</xdr:colOff>
      <xdr:row>7</xdr:row>
      <xdr:rowOff>68580</xdr:rowOff>
    </xdr:from>
    <xdr:to>
      <xdr:col>29</xdr:col>
      <xdr:colOff>262274</xdr:colOff>
      <xdr:row>7</xdr:row>
      <xdr:rowOff>194818</xdr:rowOff>
    </xdr:to>
    <xdr:sp macro="" textlink="">
      <xdr:nvSpPr>
        <xdr:cNvPr id="32" name="Text Box 74">
          <a:extLst>
            <a:ext uri="{FF2B5EF4-FFF2-40B4-BE49-F238E27FC236}">
              <a16:creationId xmlns:a16="http://schemas.microsoft.com/office/drawing/2014/main" id="{00000000-0008-0000-0600-000020000000}"/>
            </a:ext>
          </a:extLst>
        </xdr:cNvPr>
        <xdr:cNvSpPr txBox="1">
          <a:spLocks noChangeArrowheads="1"/>
        </xdr:cNvSpPr>
      </xdr:nvSpPr>
      <xdr:spPr bwMode="auto">
        <a:xfrm>
          <a:off x="1635760" y="1775460"/>
          <a:ext cx="205740" cy="13525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8</xdr:row>
      <xdr:rowOff>68580</xdr:rowOff>
    </xdr:from>
    <xdr:to>
      <xdr:col>29</xdr:col>
      <xdr:colOff>254417</xdr:colOff>
      <xdr:row>8</xdr:row>
      <xdr:rowOff>220980</xdr:rowOff>
    </xdr:to>
    <xdr:sp macro="" textlink="">
      <xdr:nvSpPr>
        <xdr:cNvPr id="33" name="Text Box 75">
          <a:extLst>
            <a:ext uri="{FF2B5EF4-FFF2-40B4-BE49-F238E27FC236}">
              <a16:creationId xmlns:a16="http://schemas.microsoft.com/office/drawing/2014/main" id="{00000000-0008-0000-0600-000021000000}"/>
            </a:ext>
          </a:extLst>
        </xdr:cNvPr>
        <xdr:cNvSpPr txBox="1">
          <a:spLocks noChangeArrowheads="1"/>
        </xdr:cNvSpPr>
      </xdr:nvSpPr>
      <xdr:spPr bwMode="auto">
        <a:xfrm>
          <a:off x="1635760" y="2009140"/>
          <a:ext cx="190500" cy="15240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7</xdr:row>
      <xdr:rowOff>68580</xdr:rowOff>
    </xdr:from>
    <xdr:to>
      <xdr:col>36</xdr:col>
      <xdr:colOff>254980</xdr:colOff>
      <xdr:row>7</xdr:row>
      <xdr:rowOff>213360</xdr:rowOff>
    </xdr:to>
    <xdr:sp macro="" textlink="">
      <xdr:nvSpPr>
        <xdr:cNvPr id="34" name="Text Box 80">
          <a:extLst>
            <a:ext uri="{FF2B5EF4-FFF2-40B4-BE49-F238E27FC236}">
              <a16:creationId xmlns:a16="http://schemas.microsoft.com/office/drawing/2014/main" id="{00000000-0008-0000-0600-000022000000}"/>
            </a:ext>
          </a:extLst>
        </xdr:cNvPr>
        <xdr:cNvSpPr txBox="1">
          <a:spLocks noChangeArrowheads="1"/>
        </xdr:cNvSpPr>
      </xdr:nvSpPr>
      <xdr:spPr bwMode="auto">
        <a:xfrm>
          <a:off x="4226560" y="1775460"/>
          <a:ext cx="198120" cy="14478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8</xdr:row>
      <xdr:rowOff>76200</xdr:rowOff>
    </xdr:from>
    <xdr:to>
      <xdr:col>36</xdr:col>
      <xdr:colOff>231305</xdr:colOff>
      <xdr:row>8</xdr:row>
      <xdr:rowOff>213360</xdr:rowOff>
    </xdr:to>
    <xdr:sp macro="" textlink="">
      <xdr:nvSpPr>
        <xdr:cNvPr id="35" name="Text Box 81">
          <a:extLst>
            <a:ext uri="{FF2B5EF4-FFF2-40B4-BE49-F238E27FC236}">
              <a16:creationId xmlns:a16="http://schemas.microsoft.com/office/drawing/2014/main" id="{00000000-0008-0000-0600-000023000000}"/>
            </a:ext>
          </a:extLst>
        </xdr:cNvPr>
        <xdr:cNvSpPr txBox="1">
          <a:spLocks noChangeArrowheads="1"/>
        </xdr:cNvSpPr>
      </xdr:nvSpPr>
      <xdr:spPr bwMode="auto">
        <a:xfrm>
          <a:off x="4226560" y="2016760"/>
          <a:ext cx="175260" cy="13716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9</xdr:row>
      <xdr:rowOff>83820</xdr:rowOff>
    </xdr:from>
    <xdr:to>
      <xdr:col>29</xdr:col>
      <xdr:colOff>231305</xdr:colOff>
      <xdr:row>9</xdr:row>
      <xdr:rowOff>220980</xdr:rowOff>
    </xdr:to>
    <xdr:sp macro="" textlink="">
      <xdr:nvSpPr>
        <xdr:cNvPr id="36" name="Text Box 82">
          <a:extLst>
            <a:ext uri="{FF2B5EF4-FFF2-40B4-BE49-F238E27FC236}">
              <a16:creationId xmlns:a16="http://schemas.microsoft.com/office/drawing/2014/main" id="{00000000-0008-0000-0600-000024000000}"/>
            </a:ext>
          </a:extLst>
        </xdr:cNvPr>
        <xdr:cNvSpPr txBox="1">
          <a:spLocks noChangeArrowheads="1"/>
        </xdr:cNvSpPr>
      </xdr:nvSpPr>
      <xdr:spPr bwMode="auto">
        <a:xfrm>
          <a:off x="1635760" y="2258060"/>
          <a:ext cx="175260" cy="13716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10</xdr:row>
      <xdr:rowOff>53340</xdr:rowOff>
    </xdr:from>
    <xdr:to>
      <xdr:col>29</xdr:col>
      <xdr:colOff>224038</xdr:colOff>
      <xdr:row>10</xdr:row>
      <xdr:rowOff>190793</xdr:rowOff>
    </xdr:to>
    <xdr:sp macro="" textlink="">
      <xdr:nvSpPr>
        <xdr:cNvPr id="37" name="Text Box 83">
          <a:extLst>
            <a:ext uri="{FF2B5EF4-FFF2-40B4-BE49-F238E27FC236}">
              <a16:creationId xmlns:a16="http://schemas.microsoft.com/office/drawing/2014/main" id="{00000000-0008-0000-0600-000025000000}"/>
            </a:ext>
          </a:extLst>
        </xdr:cNvPr>
        <xdr:cNvSpPr txBox="1">
          <a:spLocks noChangeArrowheads="1"/>
        </xdr:cNvSpPr>
      </xdr:nvSpPr>
      <xdr:spPr bwMode="auto">
        <a:xfrm>
          <a:off x="1635760" y="2461260"/>
          <a:ext cx="167640" cy="12763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12</xdr:row>
      <xdr:rowOff>45720</xdr:rowOff>
    </xdr:from>
    <xdr:to>
      <xdr:col>29</xdr:col>
      <xdr:colOff>269595</xdr:colOff>
      <xdr:row>12</xdr:row>
      <xdr:rowOff>180975</xdr:rowOff>
    </xdr:to>
    <xdr:sp macro="" textlink="">
      <xdr:nvSpPr>
        <xdr:cNvPr id="38" name="Text Box 84">
          <a:extLst>
            <a:ext uri="{FF2B5EF4-FFF2-40B4-BE49-F238E27FC236}">
              <a16:creationId xmlns:a16="http://schemas.microsoft.com/office/drawing/2014/main" id="{00000000-0008-0000-0600-000026000000}"/>
            </a:ext>
          </a:extLst>
        </xdr:cNvPr>
        <xdr:cNvSpPr txBox="1">
          <a:spLocks noChangeArrowheads="1"/>
        </xdr:cNvSpPr>
      </xdr:nvSpPr>
      <xdr:spPr bwMode="auto">
        <a:xfrm>
          <a:off x="1635760" y="3164840"/>
          <a:ext cx="213360" cy="13525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13</xdr:row>
      <xdr:rowOff>60960</xdr:rowOff>
    </xdr:from>
    <xdr:to>
      <xdr:col>29</xdr:col>
      <xdr:colOff>269595</xdr:colOff>
      <xdr:row>13</xdr:row>
      <xdr:rowOff>180975</xdr:rowOff>
    </xdr:to>
    <xdr:sp macro="" textlink="">
      <xdr:nvSpPr>
        <xdr:cNvPr id="39" name="Text Box 85">
          <a:extLst>
            <a:ext uri="{FF2B5EF4-FFF2-40B4-BE49-F238E27FC236}">
              <a16:creationId xmlns:a16="http://schemas.microsoft.com/office/drawing/2014/main" id="{00000000-0008-0000-0600-000027000000}"/>
            </a:ext>
          </a:extLst>
        </xdr:cNvPr>
        <xdr:cNvSpPr txBox="1">
          <a:spLocks noChangeArrowheads="1"/>
        </xdr:cNvSpPr>
      </xdr:nvSpPr>
      <xdr:spPr bwMode="auto">
        <a:xfrm>
          <a:off x="1635760" y="3413760"/>
          <a:ext cx="213360" cy="12001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12</xdr:row>
      <xdr:rowOff>76200</xdr:rowOff>
    </xdr:from>
    <xdr:to>
      <xdr:col>36</xdr:col>
      <xdr:colOff>254417</xdr:colOff>
      <xdr:row>12</xdr:row>
      <xdr:rowOff>195012</xdr:rowOff>
    </xdr:to>
    <xdr:sp macro="" textlink="">
      <xdr:nvSpPr>
        <xdr:cNvPr id="40" name="Text Box 86">
          <a:extLst>
            <a:ext uri="{FF2B5EF4-FFF2-40B4-BE49-F238E27FC236}">
              <a16:creationId xmlns:a16="http://schemas.microsoft.com/office/drawing/2014/main" id="{00000000-0008-0000-0600-000028000000}"/>
            </a:ext>
          </a:extLst>
        </xdr:cNvPr>
        <xdr:cNvSpPr txBox="1">
          <a:spLocks noChangeArrowheads="1"/>
        </xdr:cNvSpPr>
      </xdr:nvSpPr>
      <xdr:spPr bwMode="auto">
        <a:xfrm>
          <a:off x="4226560" y="3187700"/>
          <a:ext cx="190500" cy="13525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13</xdr:row>
      <xdr:rowOff>38100</xdr:rowOff>
    </xdr:from>
    <xdr:to>
      <xdr:col>36</xdr:col>
      <xdr:colOff>262274</xdr:colOff>
      <xdr:row>13</xdr:row>
      <xdr:rowOff>180975</xdr:rowOff>
    </xdr:to>
    <xdr:sp macro="" textlink="">
      <xdr:nvSpPr>
        <xdr:cNvPr id="41" name="Text Box 87">
          <a:extLst>
            <a:ext uri="{FF2B5EF4-FFF2-40B4-BE49-F238E27FC236}">
              <a16:creationId xmlns:a16="http://schemas.microsoft.com/office/drawing/2014/main" id="{00000000-0008-0000-0600-000029000000}"/>
            </a:ext>
          </a:extLst>
        </xdr:cNvPr>
        <xdr:cNvSpPr txBox="1">
          <a:spLocks noChangeArrowheads="1"/>
        </xdr:cNvSpPr>
      </xdr:nvSpPr>
      <xdr:spPr bwMode="auto">
        <a:xfrm>
          <a:off x="4226560" y="3390900"/>
          <a:ext cx="205740" cy="14287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14</xdr:row>
      <xdr:rowOff>68580</xdr:rowOff>
    </xdr:from>
    <xdr:to>
      <xdr:col>29</xdr:col>
      <xdr:colOff>262274</xdr:colOff>
      <xdr:row>14</xdr:row>
      <xdr:rowOff>221403</xdr:rowOff>
    </xdr:to>
    <xdr:sp macro="" textlink="">
      <xdr:nvSpPr>
        <xdr:cNvPr id="42" name="Text Box 88">
          <a:extLst>
            <a:ext uri="{FF2B5EF4-FFF2-40B4-BE49-F238E27FC236}">
              <a16:creationId xmlns:a16="http://schemas.microsoft.com/office/drawing/2014/main" id="{00000000-0008-0000-0600-00002A000000}"/>
            </a:ext>
          </a:extLst>
        </xdr:cNvPr>
        <xdr:cNvSpPr txBox="1">
          <a:spLocks noChangeArrowheads="1"/>
        </xdr:cNvSpPr>
      </xdr:nvSpPr>
      <xdr:spPr bwMode="auto">
        <a:xfrm>
          <a:off x="1635760" y="3655060"/>
          <a:ext cx="205740" cy="14478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15</xdr:row>
      <xdr:rowOff>60960</xdr:rowOff>
    </xdr:from>
    <xdr:to>
      <xdr:col>29</xdr:col>
      <xdr:colOff>318793</xdr:colOff>
      <xdr:row>15</xdr:row>
      <xdr:rowOff>220980</xdr:rowOff>
    </xdr:to>
    <xdr:sp macro="" textlink="">
      <xdr:nvSpPr>
        <xdr:cNvPr id="43" name="Text Box 89">
          <a:extLst>
            <a:ext uri="{FF2B5EF4-FFF2-40B4-BE49-F238E27FC236}">
              <a16:creationId xmlns:a16="http://schemas.microsoft.com/office/drawing/2014/main" id="{00000000-0008-0000-0600-00002B000000}"/>
            </a:ext>
          </a:extLst>
        </xdr:cNvPr>
        <xdr:cNvSpPr txBox="1">
          <a:spLocks noChangeArrowheads="1"/>
        </xdr:cNvSpPr>
      </xdr:nvSpPr>
      <xdr:spPr bwMode="auto">
        <a:xfrm>
          <a:off x="1635760" y="3881120"/>
          <a:ext cx="251460" cy="16002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31</xdr:col>
      <xdr:colOff>11430</xdr:colOff>
      <xdr:row>18</xdr:row>
      <xdr:rowOff>40005</xdr:rowOff>
    </xdr:from>
    <xdr:to>
      <xdr:col>31</xdr:col>
      <xdr:colOff>203638</xdr:colOff>
      <xdr:row>18</xdr:row>
      <xdr:rowOff>156546</xdr:rowOff>
    </xdr:to>
    <xdr:sp macro="" textlink="">
      <xdr:nvSpPr>
        <xdr:cNvPr id="44" name="Text Box 102">
          <a:extLst>
            <a:ext uri="{FF2B5EF4-FFF2-40B4-BE49-F238E27FC236}">
              <a16:creationId xmlns:a16="http://schemas.microsoft.com/office/drawing/2014/main" id="{00000000-0008-0000-0600-00002C000000}"/>
            </a:ext>
          </a:extLst>
        </xdr:cNvPr>
        <xdr:cNvSpPr txBox="1">
          <a:spLocks noChangeArrowheads="1"/>
        </xdr:cNvSpPr>
      </xdr:nvSpPr>
      <xdr:spPr bwMode="auto">
        <a:xfrm>
          <a:off x="2348230" y="7799705"/>
          <a:ext cx="173107" cy="116541"/>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31</xdr:col>
      <xdr:colOff>11430</xdr:colOff>
      <xdr:row>19</xdr:row>
      <xdr:rowOff>64770</xdr:rowOff>
    </xdr:from>
    <xdr:to>
      <xdr:col>31</xdr:col>
      <xdr:colOff>203638</xdr:colOff>
      <xdr:row>19</xdr:row>
      <xdr:rowOff>181311</xdr:rowOff>
    </xdr:to>
    <xdr:sp macro="" textlink="">
      <xdr:nvSpPr>
        <xdr:cNvPr id="45" name="Text Box 103">
          <a:extLst>
            <a:ext uri="{FF2B5EF4-FFF2-40B4-BE49-F238E27FC236}">
              <a16:creationId xmlns:a16="http://schemas.microsoft.com/office/drawing/2014/main" id="{00000000-0008-0000-0600-00002D000000}"/>
            </a:ext>
          </a:extLst>
        </xdr:cNvPr>
        <xdr:cNvSpPr txBox="1">
          <a:spLocks noChangeArrowheads="1"/>
        </xdr:cNvSpPr>
      </xdr:nvSpPr>
      <xdr:spPr bwMode="auto">
        <a:xfrm>
          <a:off x="2348230" y="8042910"/>
          <a:ext cx="173107"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37</xdr:col>
      <xdr:colOff>11430</xdr:colOff>
      <xdr:row>18</xdr:row>
      <xdr:rowOff>40005</xdr:rowOff>
    </xdr:from>
    <xdr:to>
      <xdr:col>37</xdr:col>
      <xdr:colOff>203638</xdr:colOff>
      <xdr:row>18</xdr:row>
      <xdr:rowOff>156546</xdr:rowOff>
    </xdr:to>
    <xdr:sp macro="" textlink="">
      <xdr:nvSpPr>
        <xdr:cNvPr id="46" name="Text Box 104">
          <a:extLst>
            <a:ext uri="{FF2B5EF4-FFF2-40B4-BE49-F238E27FC236}">
              <a16:creationId xmlns:a16="http://schemas.microsoft.com/office/drawing/2014/main" id="{00000000-0008-0000-0600-00002E000000}"/>
            </a:ext>
          </a:extLst>
        </xdr:cNvPr>
        <xdr:cNvSpPr txBox="1">
          <a:spLocks noChangeArrowheads="1"/>
        </xdr:cNvSpPr>
      </xdr:nvSpPr>
      <xdr:spPr bwMode="auto">
        <a:xfrm>
          <a:off x="4573270" y="7799705"/>
          <a:ext cx="173107" cy="116541"/>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37</xdr:col>
      <xdr:colOff>11430</xdr:colOff>
      <xdr:row>19</xdr:row>
      <xdr:rowOff>64770</xdr:rowOff>
    </xdr:from>
    <xdr:to>
      <xdr:col>37</xdr:col>
      <xdr:colOff>203638</xdr:colOff>
      <xdr:row>19</xdr:row>
      <xdr:rowOff>181311</xdr:rowOff>
    </xdr:to>
    <xdr:sp macro="" textlink="">
      <xdr:nvSpPr>
        <xdr:cNvPr id="47" name="Text Box 105">
          <a:extLst>
            <a:ext uri="{FF2B5EF4-FFF2-40B4-BE49-F238E27FC236}">
              <a16:creationId xmlns:a16="http://schemas.microsoft.com/office/drawing/2014/main" id="{00000000-0008-0000-0600-00002F000000}"/>
            </a:ext>
          </a:extLst>
        </xdr:cNvPr>
        <xdr:cNvSpPr txBox="1">
          <a:spLocks noChangeArrowheads="1"/>
        </xdr:cNvSpPr>
      </xdr:nvSpPr>
      <xdr:spPr bwMode="auto">
        <a:xfrm>
          <a:off x="4573270" y="8042910"/>
          <a:ext cx="173107"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31</xdr:col>
      <xdr:colOff>11430</xdr:colOff>
      <xdr:row>20</xdr:row>
      <xdr:rowOff>40005</xdr:rowOff>
    </xdr:from>
    <xdr:to>
      <xdr:col>31</xdr:col>
      <xdr:colOff>203638</xdr:colOff>
      <xdr:row>20</xdr:row>
      <xdr:rowOff>156546</xdr:rowOff>
    </xdr:to>
    <xdr:sp macro="" textlink="">
      <xdr:nvSpPr>
        <xdr:cNvPr id="48" name="Text Box 106">
          <a:extLst>
            <a:ext uri="{FF2B5EF4-FFF2-40B4-BE49-F238E27FC236}">
              <a16:creationId xmlns:a16="http://schemas.microsoft.com/office/drawing/2014/main" id="{00000000-0008-0000-0600-000030000000}"/>
            </a:ext>
          </a:extLst>
        </xdr:cNvPr>
        <xdr:cNvSpPr txBox="1">
          <a:spLocks noChangeArrowheads="1"/>
        </xdr:cNvSpPr>
      </xdr:nvSpPr>
      <xdr:spPr bwMode="auto">
        <a:xfrm>
          <a:off x="2348230" y="8267065"/>
          <a:ext cx="173107" cy="116541"/>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31</xdr:col>
      <xdr:colOff>11430</xdr:colOff>
      <xdr:row>21</xdr:row>
      <xdr:rowOff>57150</xdr:rowOff>
    </xdr:from>
    <xdr:to>
      <xdr:col>31</xdr:col>
      <xdr:colOff>203638</xdr:colOff>
      <xdr:row>21</xdr:row>
      <xdr:rowOff>180975</xdr:rowOff>
    </xdr:to>
    <xdr:sp macro="" textlink="">
      <xdr:nvSpPr>
        <xdr:cNvPr id="49" name="Text Box 107">
          <a:extLst>
            <a:ext uri="{FF2B5EF4-FFF2-40B4-BE49-F238E27FC236}">
              <a16:creationId xmlns:a16="http://schemas.microsoft.com/office/drawing/2014/main" id="{00000000-0008-0000-0600-000031000000}"/>
            </a:ext>
          </a:extLst>
        </xdr:cNvPr>
        <xdr:cNvSpPr txBox="1">
          <a:spLocks noChangeArrowheads="1"/>
        </xdr:cNvSpPr>
      </xdr:nvSpPr>
      <xdr:spPr bwMode="auto">
        <a:xfrm>
          <a:off x="2348230" y="8510270"/>
          <a:ext cx="173107"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31</xdr:col>
      <xdr:colOff>11430</xdr:colOff>
      <xdr:row>23</xdr:row>
      <xdr:rowOff>47625</xdr:rowOff>
    </xdr:from>
    <xdr:to>
      <xdr:col>31</xdr:col>
      <xdr:colOff>203638</xdr:colOff>
      <xdr:row>23</xdr:row>
      <xdr:rowOff>164166</xdr:rowOff>
    </xdr:to>
    <xdr:sp macro="" textlink="">
      <xdr:nvSpPr>
        <xdr:cNvPr id="50" name="Text Box 108">
          <a:extLst>
            <a:ext uri="{FF2B5EF4-FFF2-40B4-BE49-F238E27FC236}">
              <a16:creationId xmlns:a16="http://schemas.microsoft.com/office/drawing/2014/main" id="{00000000-0008-0000-0600-000032000000}"/>
            </a:ext>
          </a:extLst>
        </xdr:cNvPr>
        <xdr:cNvSpPr txBox="1">
          <a:spLocks noChangeArrowheads="1"/>
        </xdr:cNvSpPr>
      </xdr:nvSpPr>
      <xdr:spPr bwMode="auto">
        <a:xfrm>
          <a:off x="2348230" y="9211945"/>
          <a:ext cx="173107" cy="116541"/>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31</xdr:col>
      <xdr:colOff>11430</xdr:colOff>
      <xdr:row>24</xdr:row>
      <xdr:rowOff>57150</xdr:rowOff>
    </xdr:from>
    <xdr:to>
      <xdr:col>31</xdr:col>
      <xdr:colOff>203638</xdr:colOff>
      <xdr:row>24</xdr:row>
      <xdr:rowOff>180975</xdr:rowOff>
    </xdr:to>
    <xdr:sp macro="" textlink="">
      <xdr:nvSpPr>
        <xdr:cNvPr id="51" name="Text Box 109">
          <a:extLst>
            <a:ext uri="{FF2B5EF4-FFF2-40B4-BE49-F238E27FC236}">
              <a16:creationId xmlns:a16="http://schemas.microsoft.com/office/drawing/2014/main" id="{00000000-0008-0000-0600-000033000000}"/>
            </a:ext>
          </a:extLst>
        </xdr:cNvPr>
        <xdr:cNvSpPr txBox="1">
          <a:spLocks noChangeArrowheads="1"/>
        </xdr:cNvSpPr>
      </xdr:nvSpPr>
      <xdr:spPr bwMode="auto">
        <a:xfrm>
          <a:off x="2348230" y="9455150"/>
          <a:ext cx="173107"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37</xdr:col>
      <xdr:colOff>11430</xdr:colOff>
      <xdr:row>23</xdr:row>
      <xdr:rowOff>47625</xdr:rowOff>
    </xdr:from>
    <xdr:to>
      <xdr:col>37</xdr:col>
      <xdr:colOff>203638</xdr:colOff>
      <xdr:row>23</xdr:row>
      <xdr:rowOff>164166</xdr:rowOff>
    </xdr:to>
    <xdr:sp macro="" textlink="">
      <xdr:nvSpPr>
        <xdr:cNvPr id="52" name="Text Box 110">
          <a:extLst>
            <a:ext uri="{FF2B5EF4-FFF2-40B4-BE49-F238E27FC236}">
              <a16:creationId xmlns:a16="http://schemas.microsoft.com/office/drawing/2014/main" id="{00000000-0008-0000-0600-000034000000}"/>
            </a:ext>
          </a:extLst>
        </xdr:cNvPr>
        <xdr:cNvSpPr txBox="1">
          <a:spLocks noChangeArrowheads="1"/>
        </xdr:cNvSpPr>
      </xdr:nvSpPr>
      <xdr:spPr bwMode="auto">
        <a:xfrm>
          <a:off x="4573270" y="9211945"/>
          <a:ext cx="173107" cy="116541"/>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37</xdr:col>
      <xdr:colOff>11430</xdr:colOff>
      <xdr:row>24</xdr:row>
      <xdr:rowOff>57150</xdr:rowOff>
    </xdr:from>
    <xdr:to>
      <xdr:col>37</xdr:col>
      <xdr:colOff>203638</xdr:colOff>
      <xdr:row>24</xdr:row>
      <xdr:rowOff>180975</xdr:rowOff>
    </xdr:to>
    <xdr:sp macro="" textlink="">
      <xdr:nvSpPr>
        <xdr:cNvPr id="53" name="Text Box 111">
          <a:extLst>
            <a:ext uri="{FF2B5EF4-FFF2-40B4-BE49-F238E27FC236}">
              <a16:creationId xmlns:a16="http://schemas.microsoft.com/office/drawing/2014/main" id="{00000000-0008-0000-0600-000035000000}"/>
            </a:ext>
          </a:extLst>
        </xdr:cNvPr>
        <xdr:cNvSpPr txBox="1">
          <a:spLocks noChangeArrowheads="1"/>
        </xdr:cNvSpPr>
      </xdr:nvSpPr>
      <xdr:spPr bwMode="auto">
        <a:xfrm>
          <a:off x="4573270" y="9455150"/>
          <a:ext cx="173107"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twoCellAnchor>
    <xdr:from>
      <xdr:col>31</xdr:col>
      <xdr:colOff>11430</xdr:colOff>
      <xdr:row>25</xdr:row>
      <xdr:rowOff>47625</xdr:rowOff>
    </xdr:from>
    <xdr:to>
      <xdr:col>31</xdr:col>
      <xdr:colOff>203638</xdr:colOff>
      <xdr:row>25</xdr:row>
      <xdr:rowOff>164166</xdr:rowOff>
    </xdr:to>
    <xdr:sp macro="" textlink="">
      <xdr:nvSpPr>
        <xdr:cNvPr id="54" name="Text Box 112">
          <a:extLst>
            <a:ext uri="{FF2B5EF4-FFF2-40B4-BE49-F238E27FC236}">
              <a16:creationId xmlns:a16="http://schemas.microsoft.com/office/drawing/2014/main" id="{00000000-0008-0000-0600-000036000000}"/>
            </a:ext>
          </a:extLst>
        </xdr:cNvPr>
        <xdr:cNvSpPr txBox="1">
          <a:spLocks noChangeArrowheads="1"/>
        </xdr:cNvSpPr>
      </xdr:nvSpPr>
      <xdr:spPr bwMode="auto">
        <a:xfrm>
          <a:off x="2348230" y="9679305"/>
          <a:ext cx="173107" cy="116541"/>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基</a:t>
          </a:r>
          <a:r>
            <a:rPr lang="en-US" altLang="ja-JP" sz="750" b="0" i="0" u="none" strike="noStrike" baseline="0">
              <a:solidFill>
                <a:srgbClr val="000000"/>
              </a:solidFill>
              <a:latin typeface="ＭＳ Ｐ明朝"/>
              <a:ea typeface="ＭＳ Ｐ明朝"/>
            </a:rPr>
            <a:t>)</a:t>
          </a:r>
        </a:p>
      </xdr:txBody>
    </xdr:sp>
    <xdr:clientData/>
  </xdr:twoCellAnchor>
  <xdr:twoCellAnchor>
    <xdr:from>
      <xdr:col>31</xdr:col>
      <xdr:colOff>11430</xdr:colOff>
      <xdr:row>26</xdr:row>
      <xdr:rowOff>57150</xdr:rowOff>
    </xdr:from>
    <xdr:to>
      <xdr:col>31</xdr:col>
      <xdr:colOff>203638</xdr:colOff>
      <xdr:row>26</xdr:row>
      <xdr:rowOff>180975</xdr:rowOff>
    </xdr:to>
    <xdr:sp macro="" textlink="">
      <xdr:nvSpPr>
        <xdr:cNvPr id="55" name="Text Box 113">
          <a:extLst>
            <a:ext uri="{FF2B5EF4-FFF2-40B4-BE49-F238E27FC236}">
              <a16:creationId xmlns:a16="http://schemas.microsoft.com/office/drawing/2014/main" id="{00000000-0008-0000-0600-000037000000}"/>
            </a:ext>
          </a:extLst>
        </xdr:cNvPr>
        <xdr:cNvSpPr txBox="1">
          <a:spLocks noChangeArrowheads="1"/>
        </xdr:cNvSpPr>
      </xdr:nvSpPr>
      <xdr:spPr bwMode="auto">
        <a:xfrm>
          <a:off x="2348230" y="9922510"/>
          <a:ext cx="173107"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750" b="0" i="0" u="none" strike="noStrike" baseline="0">
              <a:solidFill>
                <a:srgbClr val="000000"/>
              </a:solidFill>
              <a:latin typeface="ＭＳ Ｐ明朝"/>
              <a:ea typeface="ＭＳ Ｐ明朝"/>
            </a:rPr>
            <a:t>(</a:t>
          </a:r>
          <a:r>
            <a:rPr lang="ja-JP" altLang="en-US" sz="750" b="0" i="0" u="none" strike="noStrike" baseline="0">
              <a:solidFill>
                <a:srgbClr val="000000"/>
              </a:solidFill>
              <a:latin typeface="ＭＳ Ｐ明朝"/>
              <a:ea typeface="ＭＳ Ｐ明朝"/>
            </a:rPr>
            <a:t>調</a:t>
          </a:r>
          <a:r>
            <a:rPr lang="en-US" altLang="ja-JP" sz="750" b="0" i="0" u="none" strike="noStrike" baseline="0">
              <a:solidFill>
                <a:srgbClr val="000000"/>
              </a:solidFill>
              <a:latin typeface="ＭＳ Ｐ明朝"/>
              <a:ea typeface="ＭＳ Ｐ明朝"/>
            </a:rPr>
            <a:t>)</a:t>
          </a:r>
        </a:p>
      </xdr:txBody>
    </xdr:sp>
    <xdr:clientData/>
  </xdr:twoCellAnchor>
  <xdr:oneCellAnchor>
    <xdr:from>
      <xdr:col>17</xdr:col>
      <xdr:colOff>309730</xdr:colOff>
      <xdr:row>16</xdr:row>
      <xdr:rowOff>2453640</xdr:rowOff>
    </xdr:from>
    <xdr:ext cx="2554942" cy="1790700"/>
    <xdr:sp macro="" textlink="">
      <xdr:nvSpPr>
        <xdr:cNvPr id="63" name="四角形吹き出し 62">
          <a:extLst>
            <a:ext uri="{FF2B5EF4-FFF2-40B4-BE49-F238E27FC236}">
              <a16:creationId xmlns:a16="http://schemas.microsoft.com/office/drawing/2014/main" id="{00000000-0008-0000-0600-00003F000000}"/>
            </a:ext>
          </a:extLst>
        </xdr:cNvPr>
        <xdr:cNvSpPr/>
      </xdr:nvSpPr>
      <xdr:spPr>
        <a:xfrm>
          <a:off x="6360010" y="6065520"/>
          <a:ext cx="2554942" cy="1790700"/>
        </a:xfrm>
        <a:prstGeom prst="wedgeRectCallout">
          <a:avLst>
            <a:gd name="adj1" fmla="val -58300"/>
            <a:gd name="adj2" fmla="val -29038"/>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000">
              <a:solidFill>
                <a:schemeClr val="tx1"/>
              </a:solidFill>
              <a:effectLst/>
              <a:latin typeface="+mn-ea"/>
              <a:ea typeface="+mn-ea"/>
              <a:cs typeface="+mn-cs"/>
            </a:rPr>
            <a:t>報告対象年度の</a:t>
          </a:r>
          <a:r>
            <a:rPr kumimoji="0" lang="en-US" altLang="ja-JP" sz="1000">
              <a:solidFill>
                <a:schemeClr val="tx1"/>
              </a:solidFill>
              <a:effectLst/>
              <a:latin typeface="+mn-ea"/>
              <a:ea typeface="+mn-ea"/>
              <a:cs typeface="+mn-cs"/>
            </a:rPr>
            <a:t>CO2</a:t>
          </a:r>
          <a:r>
            <a:rPr kumimoji="0" lang="ja-JP" altLang="en-US" sz="1000">
              <a:solidFill>
                <a:schemeClr val="tx1"/>
              </a:solidFill>
              <a:effectLst/>
              <a:latin typeface="+mn-ea"/>
              <a:ea typeface="+mn-ea"/>
              <a:cs typeface="+mn-cs"/>
            </a:rPr>
            <a:t>排出量及び原単位</a:t>
          </a:r>
          <a:endParaRPr kumimoji="0" lang="en-US" altLang="ja-JP" sz="1000">
            <a:solidFill>
              <a:schemeClr val="tx1"/>
            </a:solidFill>
            <a:effectLst/>
            <a:latin typeface="+mn-ea"/>
            <a:ea typeface="+mn-ea"/>
            <a:cs typeface="+mn-cs"/>
          </a:endParaRPr>
        </a:p>
        <a:p>
          <a:pPr algn="l">
            <a:lnSpc>
              <a:spcPts val="1100"/>
            </a:lnSpc>
          </a:pPr>
          <a:r>
            <a:rPr kumimoji="0" lang="ja-JP" altLang="en-US" sz="1000">
              <a:solidFill>
                <a:schemeClr val="tx1"/>
              </a:solidFill>
              <a:effectLst/>
              <a:latin typeface="+mn-ea"/>
              <a:ea typeface="+mn-ea"/>
              <a:cs typeface="+mn-cs"/>
            </a:rPr>
            <a:t>（基礎排出係数ベース）について、</a:t>
          </a:r>
          <a:endParaRPr kumimoji="0" lang="en-US" altLang="ja-JP" sz="1000">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前年度からの増減率</a:t>
          </a:r>
          <a:endParaRPr kumimoji="0" lang="en-US" altLang="ja-JP" sz="1000" b="1" u="sng">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主な増減理由</a:t>
          </a:r>
          <a:r>
            <a:rPr kumimoji="0" lang="en-US" altLang="ja-JP" sz="1000" b="1" u="sng">
              <a:solidFill>
                <a:sysClr val="windowText" lastClr="000000"/>
              </a:solidFill>
              <a:effectLst/>
              <a:latin typeface="+mn-ea"/>
              <a:ea typeface="+mn-ea"/>
              <a:cs typeface="+mn-cs"/>
            </a:rPr>
            <a:t>(</a:t>
          </a:r>
          <a:r>
            <a:rPr kumimoji="0" lang="ja-JP" altLang="en-US" sz="1000" b="1" u="sng">
              <a:solidFill>
                <a:sysClr val="windowText" lastClr="000000"/>
              </a:solidFill>
              <a:effectLst/>
              <a:latin typeface="+mn-ea"/>
              <a:ea typeface="+mn-ea"/>
              <a:cs typeface="+mn-cs"/>
            </a:rPr>
            <a:t>削減対策以外</a:t>
          </a:r>
          <a:r>
            <a:rPr kumimoji="0" lang="en-US" altLang="ja-JP" sz="1000" b="1" u="sng">
              <a:solidFill>
                <a:sysClr val="windowText" lastClr="000000"/>
              </a:solidFill>
              <a:effectLst/>
              <a:latin typeface="+mn-ea"/>
              <a:ea typeface="+mn-ea"/>
              <a:cs typeface="+mn-cs"/>
            </a:rPr>
            <a:t>)</a:t>
          </a:r>
        </a:p>
        <a:p>
          <a:pPr algn="l">
            <a:lnSpc>
              <a:spcPts val="12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対象年度に実施した主な削減対策の内容</a:t>
          </a:r>
        </a:p>
        <a:p>
          <a:pPr algn="l">
            <a:lnSpc>
              <a:spcPts val="1200"/>
            </a:lnSpc>
          </a:pPr>
          <a:r>
            <a:rPr lang="ja-JP" altLang="ja-JP" sz="1100" b="1">
              <a:solidFill>
                <a:sysClr val="windowText" lastClr="000000"/>
              </a:solidFill>
              <a:effectLst/>
              <a:latin typeface="+mn-lt"/>
              <a:ea typeface="+mn-ea"/>
              <a:cs typeface="+mn-cs"/>
            </a:rPr>
            <a:t>・</a:t>
          </a:r>
          <a:r>
            <a:rPr kumimoji="0" lang="ja-JP" altLang="en-US" sz="1000" b="1" u="sng">
              <a:solidFill>
                <a:sysClr val="windowText" lastClr="000000"/>
              </a:solidFill>
              <a:effectLst/>
              <a:latin typeface="+mn-ea"/>
              <a:ea typeface="+mn-ea"/>
              <a:cs typeface="+mn-cs"/>
            </a:rPr>
            <a:t>今期の達成見込み</a:t>
          </a:r>
          <a:endParaRPr kumimoji="0" lang="en-US" altLang="ja-JP" sz="1000" b="1" u="sng">
            <a:solidFill>
              <a:sysClr val="windowText" lastClr="000000"/>
            </a:solidFill>
            <a:effectLst/>
            <a:latin typeface="+mn-ea"/>
            <a:ea typeface="+mn-ea"/>
            <a:cs typeface="+mn-cs"/>
          </a:endParaRPr>
        </a:p>
        <a:p>
          <a:pPr algn="l">
            <a:lnSpc>
              <a:spcPts val="1000"/>
            </a:lnSpc>
          </a:pPr>
          <a:r>
            <a:rPr kumimoji="0" lang="ja-JP" altLang="en-US" sz="1000">
              <a:solidFill>
                <a:schemeClr val="tx1"/>
              </a:solidFill>
              <a:effectLst/>
              <a:latin typeface="+mn-ea"/>
              <a:ea typeface="+mn-ea"/>
              <a:cs typeface="+mn-cs"/>
            </a:rPr>
            <a:t>を必ず記載してください。</a:t>
          </a:r>
          <a:endParaRPr kumimoji="0" lang="en-US" altLang="ja-JP" sz="1000">
            <a:solidFill>
              <a:schemeClr val="tx1"/>
            </a:solidFill>
            <a:effectLst/>
            <a:latin typeface="+mn-ea"/>
            <a:ea typeface="+mn-ea"/>
            <a:cs typeface="+mn-cs"/>
          </a:endParaRPr>
        </a:p>
        <a:p>
          <a:pPr algn="l">
            <a:lnSpc>
              <a:spcPts val="900"/>
            </a:lnSpc>
          </a:pPr>
          <a:endParaRPr kumimoji="0" lang="en-US" altLang="ja-JP" sz="800">
            <a:solidFill>
              <a:schemeClr val="tx1"/>
            </a:solidFill>
            <a:effectLst/>
            <a:latin typeface="+mn-ea"/>
            <a:ea typeface="+mn-ea"/>
            <a:cs typeface="+mn-cs"/>
          </a:endParaRPr>
        </a:p>
        <a:p>
          <a:pPr eaLnBrk="1" fontAlgn="auto" latinLnBrk="0" hangingPunct="1"/>
          <a:r>
            <a:rPr lang="en-US" altLang="ja-JP" sz="900">
              <a:solidFill>
                <a:schemeClr val="tx1"/>
              </a:solidFill>
              <a:effectLst/>
              <a:latin typeface="+mn-lt"/>
              <a:ea typeface="+mn-ea"/>
              <a:cs typeface="+mn-cs"/>
            </a:rPr>
            <a:t>※</a:t>
          </a:r>
          <a:r>
            <a:rPr lang="ja-JP" altLang="ja-JP" sz="900">
              <a:solidFill>
                <a:schemeClr val="tx1"/>
              </a:solidFill>
              <a:effectLst/>
              <a:latin typeface="+mn-lt"/>
              <a:ea typeface="+mn-ea"/>
              <a:cs typeface="+mn-cs"/>
            </a:rPr>
            <a:t>あらかじめ記載されている</a:t>
          </a:r>
          <a:r>
            <a:rPr lang="ja-JP" altLang="en-US" sz="900">
              <a:solidFill>
                <a:schemeClr val="tx1"/>
              </a:solidFill>
              <a:effectLst/>
              <a:latin typeface="+mn-lt"/>
              <a:ea typeface="+mn-ea"/>
              <a:cs typeface="+mn-cs"/>
            </a:rPr>
            <a:t>内容を、</a:t>
          </a:r>
          <a:r>
            <a:rPr lang="ja-JP" altLang="ja-JP" sz="900">
              <a:solidFill>
                <a:schemeClr val="tx1"/>
              </a:solidFill>
              <a:effectLst/>
              <a:latin typeface="+mn-lt"/>
              <a:ea typeface="+mn-ea"/>
              <a:cs typeface="+mn-cs"/>
            </a:rPr>
            <a:t>適宜修正して</a:t>
          </a:r>
          <a:r>
            <a:rPr lang="ja-JP" altLang="en-US" sz="900">
              <a:solidFill>
                <a:schemeClr val="tx1"/>
              </a:solidFill>
              <a:effectLst/>
              <a:latin typeface="+mn-lt"/>
              <a:ea typeface="+mn-ea"/>
              <a:cs typeface="+mn-cs"/>
            </a:rPr>
            <a:t>ください</a:t>
          </a:r>
          <a:r>
            <a:rPr lang="ja-JP" altLang="ja-JP" sz="900">
              <a:solidFill>
                <a:schemeClr val="tx1"/>
              </a:solidFill>
              <a:effectLst/>
              <a:latin typeface="+mn-lt"/>
              <a:ea typeface="+mn-ea"/>
              <a:cs typeface="+mn-cs"/>
            </a:rPr>
            <a:t>。</a:t>
          </a:r>
          <a:endParaRPr lang="ja-JP" altLang="ja-JP" sz="900">
            <a:solidFill>
              <a:schemeClr val="tx1"/>
            </a:solidFill>
            <a:effectLst/>
          </a:endParaRPr>
        </a:p>
        <a:p>
          <a:pPr algn="l">
            <a:lnSpc>
              <a:spcPts val="900"/>
            </a:lnSpc>
          </a:pPr>
          <a:r>
            <a:rPr kumimoji="0" lang="en-US" altLang="ja-JP" sz="900">
              <a:solidFill>
                <a:schemeClr val="tx1"/>
              </a:solidFill>
              <a:effectLst/>
              <a:latin typeface="+mn-ea"/>
              <a:ea typeface="+mn-ea"/>
              <a:cs typeface="+mn-cs"/>
            </a:rPr>
            <a:t>※</a:t>
          </a:r>
          <a:r>
            <a:rPr kumimoji="0" lang="ja-JP" altLang="en-US" sz="900">
              <a:solidFill>
                <a:schemeClr val="tx1"/>
              </a:solidFill>
              <a:effectLst/>
              <a:latin typeface="+mn-ea"/>
              <a:ea typeface="+mn-ea"/>
              <a:cs typeface="+mn-cs"/>
            </a:rPr>
            <a:t>クレジットの取得状況は任意記載です。</a:t>
          </a:r>
          <a:endParaRPr kumimoji="1" lang="ja-JP" altLang="en-US" sz="900">
            <a:solidFill>
              <a:schemeClr val="tx1"/>
            </a:solidFill>
            <a:latin typeface="+mn-ea"/>
            <a:ea typeface="+mn-ea"/>
          </a:endParaRPr>
        </a:p>
      </xdr:txBody>
    </xdr:sp>
    <xdr:clientData/>
  </xdr:oneCellAnchor>
  <xdr:oneCellAnchor>
    <xdr:from>
      <xdr:col>17</xdr:col>
      <xdr:colOff>266700</xdr:colOff>
      <xdr:row>1</xdr:row>
      <xdr:rowOff>161925</xdr:rowOff>
    </xdr:from>
    <xdr:ext cx="2555422" cy="542925"/>
    <xdr:sp macro="" textlink="">
      <xdr:nvSpPr>
        <xdr:cNvPr id="66" name="正方形/長方形 65">
          <a:extLst>
            <a:ext uri="{FF2B5EF4-FFF2-40B4-BE49-F238E27FC236}">
              <a16:creationId xmlns:a16="http://schemas.microsoft.com/office/drawing/2014/main" id="{00000000-0008-0000-0600-000042000000}"/>
            </a:ext>
          </a:extLst>
        </xdr:cNvPr>
        <xdr:cNvSpPr/>
      </xdr:nvSpPr>
      <xdr:spPr>
        <a:xfrm>
          <a:off x="7029450" y="314325"/>
          <a:ext cx="2555422" cy="542925"/>
        </a:xfrm>
        <a:prstGeom prst="rect">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100" b="1">
              <a:solidFill>
                <a:schemeClr val="tx1"/>
              </a:solidFill>
              <a:effectLst/>
              <a:latin typeface="+mn-ea"/>
              <a:ea typeface="+mn-ea"/>
              <a:cs typeface="+mn-cs"/>
            </a:rPr>
            <a:t>当期の計画書に記載した値を転記</a:t>
          </a:r>
          <a:r>
            <a:rPr kumimoji="0" lang="ja-JP" altLang="en-US" sz="1100" b="0">
              <a:solidFill>
                <a:schemeClr val="tx1"/>
              </a:solidFill>
              <a:effectLst/>
              <a:latin typeface="+mn-ea"/>
              <a:ea typeface="+mn-ea"/>
              <a:cs typeface="+mn-cs"/>
            </a:rPr>
            <a:t>してください</a:t>
          </a:r>
          <a:r>
            <a:rPr kumimoji="0" lang="ja-JP" altLang="en-US" sz="1100" b="1">
              <a:solidFill>
                <a:schemeClr val="tx1"/>
              </a:solidFill>
              <a:effectLst/>
              <a:latin typeface="+mn-ea"/>
              <a:ea typeface="+mn-ea"/>
              <a:cs typeface="+mn-cs"/>
            </a:rPr>
            <a:t>。</a:t>
          </a:r>
          <a:r>
            <a:rPr kumimoji="0" lang="en-US" altLang="ja-JP" sz="900" b="1">
              <a:solidFill>
                <a:srgbClr val="FF0000"/>
              </a:solidFill>
              <a:effectLst/>
              <a:latin typeface="+mn-ea"/>
              <a:ea typeface="+mn-ea"/>
              <a:cs typeface="+mn-cs"/>
            </a:rPr>
            <a:t>※</a:t>
          </a:r>
          <a:r>
            <a:rPr kumimoji="0" lang="ja-JP" altLang="en-US" sz="900" b="1">
              <a:solidFill>
                <a:srgbClr val="FF0000"/>
              </a:solidFill>
              <a:effectLst/>
              <a:latin typeface="+mn-ea"/>
              <a:ea typeface="+mn-ea"/>
              <a:cs typeface="+mn-cs"/>
            </a:rPr>
            <a:t>年度は西暦４桁で入力願います。</a:t>
          </a:r>
          <a:endParaRPr kumimoji="1" lang="ja-JP" altLang="en-US" sz="700" b="1">
            <a:solidFill>
              <a:srgbClr val="FF0000"/>
            </a:solidFill>
            <a:latin typeface="+mn-ea"/>
            <a:ea typeface="+mn-ea"/>
          </a:endParaRPr>
        </a:p>
      </xdr:txBody>
    </xdr:sp>
    <xdr:clientData/>
  </xdr:oneCellAnchor>
  <xdr:oneCellAnchor>
    <xdr:from>
      <xdr:col>23</xdr:col>
      <xdr:colOff>41910</xdr:colOff>
      <xdr:row>0</xdr:row>
      <xdr:rowOff>11431</xdr:rowOff>
    </xdr:from>
    <xdr:ext cx="3409502" cy="266476"/>
    <xdr:sp macro="" textlink="">
      <xdr:nvSpPr>
        <xdr:cNvPr id="77" name="正方形/長方形 76">
          <a:extLst>
            <a:ext uri="{FF2B5EF4-FFF2-40B4-BE49-F238E27FC236}">
              <a16:creationId xmlns:a16="http://schemas.microsoft.com/office/drawing/2014/main" id="{00000000-0008-0000-0600-00004D000000}"/>
            </a:ext>
          </a:extLst>
        </xdr:cNvPr>
        <xdr:cNvSpPr/>
      </xdr:nvSpPr>
      <xdr:spPr>
        <a:xfrm>
          <a:off x="9248663" y="11431"/>
          <a:ext cx="3409502" cy="266476"/>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r>
            <a:rPr kumimoji="1" lang="ja-JP" altLang="en-US" sz="1600"/>
            <a:t>記載例</a:t>
          </a:r>
          <a:r>
            <a:rPr kumimoji="1" lang="ja-JP" altLang="en-US" sz="1000"/>
            <a:t>　（詳しい説明は、記載の手引きをご覧ください。）</a:t>
          </a:r>
        </a:p>
      </xdr:txBody>
    </xdr:sp>
    <xdr:clientData/>
  </xdr:oneCellAnchor>
  <mc:AlternateContent xmlns:mc="http://schemas.openxmlformats.org/markup-compatibility/2006">
    <mc:Choice xmlns:a14="http://schemas.microsoft.com/office/drawing/2010/main" Requires="a14">
      <xdr:twoCellAnchor editAs="oneCell">
        <xdr:from>
          <xdr:col>17</xdr:col>
          <xdr:colOff>335280</xdr:colOff>
          <xdr:row>1</xdr:row>
          <xdr:rowOff>137160</xdr:rowOff>
        </xdr:from>
        <xdr:to>
          <xdr:col>17</xdr:col>
          <xdr:colOff>655320</xdr:colOff>
          <xdr:row>2</xdr:row>
          <xdr:rowOff>190500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6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342900</xdr:colOff>
          <xdr:row>16</xdr:row>
          <xdr:rowOff>2430780</xdr:rowOff>
        </xdr:from>
        <xdr:to>
          <xdr:col>17</xdr:col>
          <xdr:colOff>655320</xdr:colOff>
          <xdr:row>16</xdr:row>
          <xdr:rowOff>2727960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47625</xdr:colOff>
      <xdr:row>9</xdr:row>
      <xdr:rowOff>55245</xdr:rowOff>
    </xdr:from>
    <xdr:to>
      <xdr:col>17</xdr:col>
      <xdr:colOff>267989</xdr:colOff>
      <xdr:row>9</xdr:row>
      <xdr:rowOff>181483</xdr:rowOff>
    </xdr:to>
    <xdr:sp macro="" textlink="">
      <xdr:nvSpPr>
        <xdr:cNvPr id="81" name="Text Box 74">
          <a:extLst>
            <a:ext uri="{FF2B5EF4-FFF2-40B4-BE49-F238E27FC236}">
              <a16:creationId xmlns:a16="http://schemas.microsoft.com/office/drawing/2014/main" id="{00000000-0008-0000-0600-000051000000}"/>
            </a:ext>
          </a:extLst>
        </xdr:cNvPr>
        <xdr:cNvSpPr txBox="1">
          <a:spLocks noChangeArrowheads="1"/>
        </xdr:cNvSpPr>
      </xdr:nvSpPr>
      <xdr:spPr bwMode="auto">
        <a:xfrm>
          <a:off x="6810375" y="1922145"/>
          <a:ext cx="220364" cy="126238"/>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17</xdr:col>
      <xdr:colOff>47625</xdr:colOff>
      <xdr:row>10</xdr:row>
      <xdr:rowOff>55245</xdr:rowOff>
    </xdr:from>
    <xdr:to>
      <xdr:col>17</xdr:col>
      <xdr:colOff>260132</xdr:colOff>
      <xdr:row>10</xdr:row>
      <xdr:rowOff>207645</xdr:rowOff>
    </xdr:to>
    <xdr:sp macro="" textlink="">
      <xdr:nvSpPr>
        <xdr:cNvPr id="82" name="Text Box 75">
          <a:extLst>
            <a:ext uri="{FF2B5EF4-FFF2-40B4-BE49-F238E27FC236}">
              <a16:creationId xmlns:a16="http://schemas.microsoft.com/office/drawing/2014/main" id="{00000000-0008-0000-0600-000052000000}"/>
            </a:ext>
          </a:extLst>
        </xdr:cNvPr>
        <xdr:cNvSpPr txBox="1">
          <a:spLocks noChangeArrowheads="1"/>
        </xdr:cNvSpPr>
      </xdr:nvSpPr>
      <xdr:spPr bwMode="auto">
        <a:xfrm>
          <a:off x="6810375" y="2150745"/>
          <a:ext cx="212507" cy="15240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17</xdr:col>
      <xdr:colOff>47625</xdr:colOff>
      <xdr:row>14</xdr:row>
      <xdr:rowOff>55245</xdr:rowOff>
    </xdr:from>
    <xdr:to>
      <xdr:col>17</xdr:col>
      <xdr:colOff>267989</xdr:colOff>
      <xdr:row>14</xdr:row>
      <xdr:rowOff>181483</xdr:rowOff>
    </xdr:to>
    <xdr:sp macro="" textlink="">
      <xdr:nvSpPr>
        <xdr:cNvPr id="83" name="Text Box 74">
          <a:extLst>
            <a:ext uri="{FF2B5EF4-FFF2-40B4-BE49-F238E27FC236}">
              <a16:creationId xmlns:a16="http://schemas.microsoft.com/office/drawing/2014/main" id="{00000000-0008-0000-0600-000053000000}"/>
            </a:ext>
          </a:extLst>
        </xdr:cNvPr>
        <xdr:cNvSpPr txBox="1">
          <a:spLocks noChangeArrowheads="1"/>
        </xdr:cNvSpPr>
      </xdr:nvSpPr>
      <xdr:spPr bwMode="auto">
        <a:xfrm>
          <a:off x="6810375" y="1922145"/>
          <a:ext cx="220364" cy="126238"/>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17</xdr:col>
      <xdr:colOff>47625</xdr:colOff>
      <xdr:row>15</xdr:row>
      <xdr:rowOff>55245</xdr:rowOff>
    </xdr:from>
    <xdr:to>
      <xdr:col>17</xdr:col>
      <xdr:colOff>260132</xdr:colOff>
      <xdr:row>15</xdr:row>
      <xdr:rowOff>207645</xdr:rowOff>
    </xdr:to>
    <xdr:sp macro="" textlink="">
      <xdr:nvSpPr>
        <xdr:cNvPr id="84" name="Text Box 75">
          <a:extLst>
            <a:ext uri="{FF2B5EF4-FFF2-40B4-BE49-F238E27FC236}">
              <a16:creationId xmlns:a16="http://schemas.microsoft.com/office/drawing/2014/main" id="{00000000-0008-0000-0600-000054000000}"/>
            </a:ext>
          </a:extLst>
        </xdr:cNvPr>
        <xdr:cNvSpPr txBox="1">
          <a:spLocks noChangeArrowheads="1"/>
        </xdr:cNvSpPr>
      </xdr:nvSpPr>
      <xdr:spPr bwMode="auto">
        <a:xfrm>
          <a:off x="6810375" y="2150745"/>
          <a:ext cx="212507" cy="15240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26</xdr:col>
      <xdr:colOff>381000</xdr:colOff>
      <xdr:row>2</xdr:row>
      <xdr:rowOff>19050</xdr:rowOff>
    </xdr:from>
    <xdr:to>
      <xdr:col>31</xdr:col>
      <xdr:colOff>409575</xdr:colOff>
      <xdr:row>3</xdr:row>
      <xdr:rowOff>28575</xdr:rowOff>
    </xdr:to>
    <xdr:sp macro="" textlink="">
      <xdr:nvSpPr>
        <xdr:cNvPr id="12" name="角丸四角形 11">
          <a:extLst>
            <a:ext uri="{FF2B5EF4-FFF2-40B4-BE49-F238E27FC236}">
              <a16:creationId xmlns:a16="http://schemas.microsoft.com/office/drawing/2014/main" id="{00000000-0008-0000-0600-00000C000000}"/>
            </a:ext>
          </a:extLst>
        </xdr:cNvPr>
        <xdr:cNvSpPr/>
      </xdr:nvSpPr>
      <xdr:spPr>
        <a:xfrm>
          <a:off x="10810875" y="371475"/>
          <a:ext cx="2076450" cy="2476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7</xdr:row>
      <xdr:rowOff>35858</xdr:rowOff>
    </xdr:from>
    <xdr:to>
      <xdr:col>40</xdr:col>
      <xdr:colOff>361950</xdr:colOff>
      <xdr:row>8</xdr:row>
      <xdr:rowOff>219073</xdr:rowOff>
    </xdr:to>
    <xdr:sp macro="" textlink="">
      <xdr:nvSpPr>
        <xdr:cNvPr id="90" name="角丸四角形 89">
          <a:extLst>
            <a:ext uri="{FF2B5EF4-FFF2-40B4-BE49-F238E27FC236}">
              <a16:creationId xmlns:a16="http://schemas.microsoft.com/office/drawing/2014/main" id="{00000000-0008-0000-0600-00005A000000}"/>
            </a:ext>
          </a:extLst>
        </xdr:cNvPr>
        <xdr:cNvSpPr/>
      </xdr:nvSpPr>
      <xdr:spPr>
        <a:xfrm>
          <a:off x="11134165" y="1443317"/>
          <a:ext cx="4449856" cy="41629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19050</xdr:colOff>
      <xdr:row>12</xdr:row>
      <xdr:rowOff>15240</xdr:rowOff>
    </xdr:from>
    <xdr:to>
      <xdr:col>41</xdr:col>
      <xdr:colOff>9525</xdr:colOff>
      <xdr:row>13</xdr:row>
      <xdr:rowOff>219075</xdr:rowOff>
    </xdr:to>
    <xdr:sp macro="" textlink="">
      <xdr:nvSpPr>
        <xdr:cNvPr id="91" name="角丸四角形 90">
          <a:extLst>
            <a:ext uri="{FF2B5EF4-FFF2-40B4-BE49-F238E27FC236}">
              <a16:creationId xmlns:a16="http://schemas.microsoft.com/office/drawing/2014/main" id="{00000000-0008-0000-0600-00005B000000}"/>
            </a:ext>
          </a:extLst>
        </xdr:cNvPr>
        <xdr:cNvSpPr/>
      </xdr:nvSpPr>
      <xdr:spPr>
        <a:xfrm>
          <a:off x="11129010" y="2712720"/>
          <a:ext cx="4432935" cy="43243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119116</xdr:colOff>
      <xdr:row>3</xdr:row>
      <xdr:rowOff>58393</xdr:rowOff>
    </xdr:from>
    <xdr:to>
      <xdr:col>29</xdr:col>
      <xdr:colOff>8964</xdr:colOff>
      <xdr:row>7</xdr:row>
      <xdr:rowOff>195356</xdr:rowOff>
    </xdr:to>
    <xdr:sp macro="" textlink="">
      <xdr:nvSpPr>
        <xdr:cNvPr id="20" name="フリーフォーム 19">
          <a:extLst>
            <a:ext uri="{FF2B5EF4-FFF2-40B4-BE49-F238E27FC236}">
              <a16:creationId xmlns:a16="http://schemas.microsoft.com/office/drawing/2014/main" id="{00000000-0008-0000-0600-000014000000}"/>
            </a:ext>
          </a:extLst>
        </xdr:cNvPr>
        <xdr:cNvSpPr/>
      </xdr:nvSpPr>
      <xdr:spPr>
        <a:xfrm>
          <a:off x="9325869" y="641099"/>
          <a:ext cx="1817260" cy="961716"/>
        </a:xfrm>
        <a:custGeom>
          <a:avLst/>
          <a:gdLst>
            <a:gd name="connsiteX0" fmla="*/ 1771650 w 1771650"/>
            <a:gd name="connsiteY0" fmla="*/ 581025 h 581025"/>
            <a:gd name="connsiteX1" fmla="*/ 0 w 1771650"/>
            <a:gd name="connsiteY1" fmla="*/ 581025 h 581025"/>
            <a:gd name="connsiteX2" fmla="*/ 0 w 1771650"/>
            <a:gd name="connsiteY2" fmla="*/ 0 h 581025"/>
          </a:gdLst>
          <a:ahLst/>
          <a:cxnLst>
            <a:cxn ang="0">
              <a:pos x="connsiteX0" y="connsiteY0"/>
            </a:cxn>
            <a:cxn ang="0">
              <a:pos x="connsiteX1" y="connsiteY1"/>
            </a:cxn>
            <a:cxn ang="0">
              <a:pos x="connsiteX2" y="connsiteY2"/>
            </a:cxn>
          </a:cxnLst>
          <a:rect l="l" t="t" r="r" b="b"/>
          <a:pathLst>
            <a:path w="1771650" h="581025">
              <a:moveTo>
                <a:pt x="1771650" y="581025"/>
              </a:moveTo>
              <a:lnTo>
                <a:pt x="0" y="581025"/>
              </a:ln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117100</xdr:colOff>
      <xdr:row>7</xdr:row>
      <xdr:rowOff>197418</xdr:rowOff>
    </xdr:from>
    <xdr:to>
      <xdr:col>29</xdr:col>
      <xdr:colOff>8963</xdr:colOff>
      <xdr:row>12</xdr:row>
      <xdr:rowOff>220979</xdr:rowOff>
    </xdr:to>
    <xdr:sp macro="" textlink="">
      <xdr:nvSpPr>
        <xdr:cNvPr id="22" name="フリーフォーム 21">
          <a:extLst>
            <a:ext uri="{FF2B5EF4-FFF2-40B4-BE49-F238E27FC236}">
              <a16:creationId xmlns:a16="http://schemas.microsoft.com/office/drawing/2014/main" id="{00000000-0008-0000-0600-000016000000}"/>
            </a:ext>
          </a:extLst>
        </xdr:cNvPr>
        <xdr:cNvSpPr/>
      </xdr:nvSpPr>
      <xdr:spPr>
        <a:xfrm>
          <a:off x="9306820" y="1599498"/>
          <a:ext cx="1812103" cy="1318961"/>
        </a:xfrm>
        <a:custGeom>
          <a:avLst/>
          <a:gdLst>
            <a:gd name="connsiteX0" fmla="*/ 1800225 w 1800225"/>
            <a:gd name="connsiteY0" fmla="*/ 1066800 h 1066800"/>
            <a:gd name="connsiteX1" fmla="*/ 0 w 1800225"/>
            <a:gd name="connsiteY1" fmla="*/ 1066800 h 1066800"/>
            <a:gd name="connsiteX2" fmla="*/ 0 w 1800225"/>
            <a:gd name="connsiteY2" fmla="*/ 0 h 1066800"/>
          </a:gdLst>
          <a:ahLst/>
          <a:cxnLst>
            <a:cxn ang="0">
              <a:pos x="connsiteX0" y="connsiteY0"/>
            </a:cxn>
            <a:cxn ang="0">
              <a:pos x="connsiteX1" y="connsiteY1"/>
            </a:cxn>
            <a:cxn ang="0">
              <a:pos x="connsiteX2" y="connsiteY2"/>
            </a:cxn>
          </a:cxnLst>
          <a:rect l="l" t="t" r="r" b="b"/>
          <a:pathLst>
            <a:path w="1800225" h="1066800">
              <a:moveTo>
                <a:pt x="1800225" y="1066800"/>
              </a:moveTo>
              <a:lnTo>
                <a:pt x="0" y="1066800"/>
              </a:ln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400050</xdr:colOff>
      <xdr:row>9</xdr:row>
      <xdr:rowOff>19049</xdr:rowOff>
    </xdr:from>
    <xdr:to>
      <xdr:col>32</xdr:col>
      <xdr:colOff>0</xdr:colOff>
      <xdr:row>10</xdr:row>
      <xdr:rowOff>209550</xdr:rowOff>
    </xdr:to>
    <xdr:sp macro="" textlink="">
      <xdr:nvSpPr>
        <xdr:cNvPr id="100" name="角丸四角形 99">
          <a:extLst>
            <a:ext uri="{FF2B5EF4-FFF2-40B4-BE49-F238E27FC236}">
              <a16:creationId xmlns:a16="http://schemas.microsoft.com/office/drawing/2014/main" id="{00000000-0008-0000-0600-000064000000}"/>
            </a:ext>
          </a:extLst>
        </xdr:cNvPr>
        <xdr:cNvSpPr/>
      </xdr:nvSpPr>
      <xdr:spPr>
        <a:xfrm>
          <a:off x="10829925" y="1885949"/>
          <a:ext cx="2076450" cy="419101"/>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9525</xdr:colOff>
      <xdr:row>14</xdr:row>
      <xdr:rowOff>19049</xdr:rowOff>
    </xdr:from>
    <xdr:to>
      <xdr:col>34</xdr:col>
      <xdr:colOff>6927</xdr:colOff>
      <xdr:row>15</xdr:row>
      <xdr:rowOff>209550</xdr:rowOff>
    </xdr:to>
    <xdr:sp macro="" textlink="">
      <xdr:nvSpPr>
        <xdr:cNvPr id="102" name="角丸四角形 101">
          <a:extLst>
            <a:ext uri="{FF2B5EF4-FFF2-40B4-BE49-F238E27FC236}">
              <a16:creationId xmlns:a16="http://schemas.microsoft.com/office/drawing/2014/main" id="{00000000-0008-0000-0600-000066000000}"/>
            </a:ext>
          </a:extLst>
        </xdr:cNvPr>
        <xdr:cNvSpPr/>
      </xdr:nvSpPr>
      <xdr:spPr>
        <a:xfrm>
          <a:off x="10310380" y="3177885"/>
          <a:ext cx="2692111" cy="419101"/>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1021976</xdr:colOff>
      <xdr:row>2</xdr:row>
      <xdr:rowOff>142875</xdr:rowOff>
    </xdr:from>
    <xdr:to>
      <xdr:col>26</xdr:col>
      <xdr:colOff>356152</xdr:colOff>
      <xdr:row>3</xdr:row>
      <xdr:rowOff>53788</xdr:rowOff>
    </xdr:to>
    <xdr:sp macro="" textlink="">
      <xdr:nvSpPr>
        <xdr:cNvPr id="29" name="フリーフォーム 28">
          <a:extLst>
            <a:ext uri="{FF2B5EF4-FFF2-40B4-BE49-F238E27FC236}">
              <a16:creationId xmlns:a16="http://schemas.microsoft.com/office/drawing/2014/main" id="{00000000-0008-0000-0600-00001D000000}"/>
            </a:ext>
          </a:extLst>
        </xdr:cNvPr>
        <xdr:cNvSpPr/>
      </xdr:nvSpPr>
      <xdr:spPr>
        <a:xfrm>
          <a:off x="8892988" y="492499"/>
          <a:ext cx="1396058" cy="143995"/>
        </a:xfrm>
        <a:custGeom>
          <a:avLst/>
          <a:gdLst>
            <a:gd name="connsiteX0" fmla="*/ 1485900 w 1485900"/>
            <a:gd name="connsiteY0" fmla="*/ 0 h 171450"/>
            <a:gd name="connsiteX1" fmla="*/ 457200 w 1485900"/>
            <a:gd name="connsiteY1" fmla="*/ 0 h 171450"/>
            <a:gd name="connsiteX2" fmla="*/ 457200 w 1485900"/>
            <a:gd name="connsiteY2" fmla="*/ 171450 h 171450"/>
            <a:gd name="connsiteX3" fmla="*/ 0 w 1485900"/>
            <a:gd name="connsiteY3" fmla="*/ 171450 h 171450"/>
          </a:gdLst>
          <a:ahLst/>
          <a:cxnLst>
            <a:cxn ang="0">
              <a:pos x="connsiteX0" y="connsiteY0"/>
            </a:cxn>
            <a:cxn ang="0">
              <a:pos x="connsiteX1" y="connsiteY1"/>
            </a:cxn>
            <a:cxn ang="0">
              <a:pos x="connsiteX2" y="connsiteY2"/>
            </a:cxn>
            <a:cxn ang="0">
              <a:pos x="connsiteX3" y="connsiteY3"/>
            </a:cxn>
          </a:cxnLst>
          <a:rect l="l" t="t" r="r" b="b"/>
          <a:pathLst>
            <a:path w="1485900" h="171450">
              <a:moveTo>
                <a:pt x="1485900" y="0"/>
              </a:moveTo>
              <a:lnTo>
                <a:pt x="457200" y="0"/>
              </a:lnTo>
              <a:lnTo>
                <a:pt x="457200" y="171450"/>
              </a:lnTo>
              <a:lnTo>
                <a:pt x="0" y="17145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95250</xdr:colOff>
      <xdr:row>10</xdr:row>
      <xdr:rowOff>133350</xdr:rowOff>
    </xdr:from>
    <xdr:to>
      <xdr:col>26</xdr:col>
      <xdr:colOff>390525</xdr:colOff>
      <xdr:row>10</xdr:row>
      <xdr:rowOff>133350</xdr:rowOff>
    </xdr:to>
    <xdr:sp macro="" textlink="">
      <xdr:nvSpPr>
        <xdr:cNvPr id="42112" name="フリーフォーム 42111">
          <a:extLst>
            <a:ext uri="{FF2B5EF4-FFF2-40B4-BE49-F238E27FC236}">
              <a16:creationId xmlns:a16="http://schemas.microsoft.com/office/drawing/2014/main" id="{00000000-0008-0000-0600-000080A40000}"/>
            </a:ext>
          </a:extLst>
        </xdr:cNvPr>
        <xdr:cNvSpPr/>
      </xdr:nvSpPr>
      <xdr:spPr>
        <a:xfrm>
          <a:off x="10191750" y="2228850"/>
          <a:ext cx="866775" cy="0"/>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982980</xdr:colOff>
      <xdr:row>15</xdr:row>
      <xdr:rowOff>106680</xdr:rowOff>
    </xdr:from>
    <xdr:to>
      <xdr:col>27</xdr:col>
      <xdr:colOff>22860</xdr:colOff>
      <xdr:row>16</xdr:row>
      <xdr:rowOff>1828801</xdr:rowOff>
    </xdr:to>
    <xdr:sp macro="" textlink="">
      <xdr:nvSpPr>
        <xdr:cNvPr id="42113" name="フリーフォーム 42112">
          <a:extLst>
            <a:ext uri="{FF2B5EF4-FFF2-40B4-BE49-F238E27FC236}">
              <a16:creationId xmlns:a16="http://schemas.microsoft.com/office/drawing/2014/main" id="{00000000-0008-0000-0600-000081A40000}"/>
            </a:ext>
          </a:extLst>
        </xdr:cNvPr>
        <xdr:cNvSpPr/>
      </xdr:nvSpPr>
      <xdr:spPr>
        <a:xfrm>
          <a:off x="8839200" y="3489960"/>
          <a:ext cx="1463040" cy="1950721"/>
        </a:xfrm>
        <a:custGeom>
          <a:avLst/>
          <a:gdLst>
            <a:gd name="connsiteX0" fmla="*/ 1495425 w 1495425"/>
            <a:gd name="connsiteY0" fmla="*/ 0 h 1838325"/>
            <a:gd name="connsiteX1" fmla="*/ 342900 w 1495425"/>
            <a:gd name="connsiteY1" fmla="*/ 0 h 1838325"/>
            <a:gd name="connsiteX2" fmla="*/ 342900 w 1495425"/>
            <a:gd name="connsiteY2" fmla="*/ 1838325 h 1838325"/>
            <a:gd name="connsiteX3" fmla="*/ 0 w 1495425"/>
            <a:gd name="connsiteY3" fmla="*/ 1838325 h 1838325"/>
          </a:gdLst>
          <a:ahLst/>
          <a:cxnLst>
            <a:cxn ang="0">
              <a:pos x="connsiteX0" y="connsiteY0"/>
            </a:cxn>
            <a:cxn ang="0">
              <a:pos x="connsiteX1" y="connsiteY1"/>
            </a:cxn>
            <a:cxn ang="0">
              <a:pos x="connsiteX2" y="connsiteY2"/>
            </a:cxn>
            <a:cxn ang="0">
              <a:pos x="connsiteX3" y="connsiteY3"/>
            </a:cxn>
          </a:cxnLst>
          <a:rect l="l" t="t" r="r" b="b"/>
          <a:pathLst>
            <a:path w="1495425" h="1838325">
              <a:moveTo>
                <a:pt x="1495425" y="0"/>
              </a:moveTo>
              <a:lnTo>
                <a:pt x="342900" y="0"/>
              </a:lnTo>
              <a:lnTo>
                <a:pt x="342900" y="1838325"/>
              </a:lnTo>
              <a:lnTo>
                <a:pt x="0" y="1838325"/>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241401</xdr:colOff>
      <xdr:row>10</xdr:row>
      <xdr:rowOff>142315</xdr:rowOff>
    </xdr:from>
    <xdr:to>
      <xdr:col>23</xdr:col>
      <xdr:colOff>38574</xdr:colOff>
      <xdr:row>15</xdr:row>
      <xdr:rowOff>180415</xdr:rowOff>
    </xdr:to>
    <xdr:sp macro="" textlink="">
      <xdr:nvSpPr>
        <xdr:cNvPr id="42114" name="フリーフォーム 42113">
          <a:extLst>
            <a:ext uri="{FF2B5EF4-FFF2-40B4-BE49-F238E27FC236}">
              <a16:creationId xmlns:a16="http://schemas.microsoft.com/office/drawing/2014/main" id="{00000000-0008-0000-0600-000082A40000}"/>
            </a:ext>
          </a:extLst>
        </xdr:cNvPr>
        <xdr:cNvSpPr/>
      </xdr:nvSpPr>
      <xdr:spPr>
        <a:xfrm>
          <a:off x="9188177" y="2249021"/>
          <a:ext cx="57150" cy="1355912"/>
        </a:xfrm>
        <a:custGeom>
          <a:avLst/>
          <a:gdLst>
            <a:gd name="connsiteX0" fmla="*/ 0 w 57150"/>
            <a:gd name="connsiteY0" fmla="*/ 1333500 h 1333500"/>
            <a:gd name="connsiteX1" fmla="*/ 0 w 57150"/>
            <a:gd name="connsiteY1" fmla="*/ 0 h 1333500"/>
            <a:gd name="connsiteX2" fmla="*/ 57150 w 57150"/>
            <a:gd name="connsiteY2" fmla="*/ 0 h 1333500"/>
          </a:gdLst>
          <a:ahLst/>
          <a:cxnLst>
            <a:cxn ang="0">
              <a:pos x="connsiteX0" y="connsiteY0"/>
            </a:cxn>
            <a:cxn ang="0">
              <a:pos x="connsiteX1" y="connsiteY1"/>
            </a:cxn>
            <a:cxn ang="0">
              <a:pos x="connsiteX2" y="connsiteY2"/>
            </a:cxn>
          </a:cxnLst>
          <a:rect l="l" t="t" r="r" b="b"/>
          <a:pathLst>
            <a:path w="57150" h="1333500">
              <a:moveTo>
                <a:pt x="0" y="1333500"/>
              </a:moveTo>
              <a:lnTo>
                <a:pt x="0" y="0"/>
              </a:lnTo>
              <a:lnTo>
                <a:pt x="5715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41721</xdr:colOff>
      <xdr:row>10</xdr:row>
      <xdr:rowOff>16095</xdr:rowOff>
    </xdr:from>
    <xdr:to>
      <xdr:col>24</xdr:col>
      <xdr:colOff>7329</xdr:colOff>
      <xdr:row>10</xdr:row>
      <xdr:rowOff>155499</xdr:rowOff>
    </xdr:to>
    <xdr:sp macro="" textlink="">
      <xdr:nvSpPr>
        <xdr:cNvPr id="42115" name="フリーフォーム 42114">
          <a:extLst>
            <a:ext uri="{FF2B5EF4-FFF2-40B4-BE49-F238E27FC236}">
              <a16:creationId xmlns:a16="http://schemas.microsoft.com/office/drawing/2014/main" id="{00000000-0008-0000-0600-000083A40000}"/>
            </a:ext>
          </a:extLst>
        </xdr:cNvPr>
        <xdr:cNvSpPr/>
      </xdr:nvSpPr>
      <xdr:spPr>
        <a:xfrm>
          <a:off x="9203306" y="2102803"/>
          <a:ext cx="176623" cy="139404"/>
        </a:xfrm>
        <a:custGeom>
          <a:avLst/>
          <a:gdLst>
            <a:gd name="connsiteX0" fmla="*/ 0 w 87923"/>
            <a:gd name="connsiteY0" fmla="*/ 109923 h 117250"/>
            <a:gd name="connsiteX1" fmla="*/ 36634 w 87923"/>
            <a:gd name="connsiteY1" fmla="*/ 19 h 117250"/>
            <a:gd name="connsiteX2" fmla="*/ 87923 w 87923"/>
            <a:gd name="connsiteY2" fmla="*/ 117250 h 117250"/>
          </a:gdLst>
          <a:ahLst/>
          <a:cxnLst>
            <a:cxn ang="0">
              <a:pos x="connsiteX0" y="connsiteY0"/>
            </a:cxn>
            <a:cxn ang="0">
              <a:pos x="connsiteX1" y="connsiteY1"/>
            </a:cxn>
            <a:cxn ang="0">
              <a:pos x="connsiteX2" y="connsiteY2"/>
            </a:cxn>
          </a:cxnLst>
          <a:rect l="l" t="t" r="r" b="b"/>
          <a:pathLst>
            <a:path w="87923" h="117250">
              <a:moveTo>
                <a:pt x="0" y="109923"/>
              </a:moveTo>
              <a:cubicBezTo>
                <a:pt x="10990" y="54360"/>
                <a:pt x="21980" y="-1202"/>
                <a:pt x="36634" y="19"/>
              </a:cubicBezTo>
              <a:cubicBezTo>
                <a:pt x="51288" y="1240"/>
                <a:pt x="69605" y="59245"/>
                <a:pt x="87923" y="117250"/>
              </a:cubicBez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219808</xdr:colOff>
      <xdr:row>10</xdr:row>
      <xdr:rowOff>131885</xdr:rowOff>
    </xdr:from>
    <xdr:to>
      <xdr:col>24</xdr:col>
      <xdr:colOff>95250</xdr:colOff>
      <xdr:row>10</xdr:row>
      <xdr:rowOff>131885</xdr:rowOff>
    </xdr:to>
    <xdr:sp macro="" textlink="">
      <xdr:nvSpPr>
        <xdr:cNvPr id="42116" name="フリーフォーム 42115">
          <a:extLst>
            <a:ext uri="{FF2B5EF4-FFF2-40B4-BE49-F238E27FC236}">
              <a16:creationId xmlns:a16="http://schemas.microsoft.com/office/drawing/2014/main" id="{00000000-0008-0000-0600-000084A40000}"/>
            </a:ext>
          </a:extLst>
        </xdr:cNvPr>
        <xdr:cNvSpPr/>
      </xdr:nvSpPr>
      <xdr:spPr>
        <a:xfrm>
          <a:off x="10103827" y="2227385"/>
          <a:ext cx="117231" cy="0"/>
        </a:xfrm>
        <a:custGeom>
          <a:avLst/>
          <a:gdLst>
            <a:gd name="connsiteX0" fmla="*/ 0 w 117231"/>
            <a:gd name="connsiteY0" fmla="*/ 0 h 0"/>
            <a:gd name="connsiteX1" fmla="*/ 117231 w 117231"/>
            <a:gd name="connsiteY1" fmla="*/ 0 h 0"/>
          </a:gdLst>
          <a:ahLst/>
          <a:cxnLst>
            <a:cxn ang="0">
              <a:pos x="connsiteX0" y="connsiteY0"/>
            </a:cxn>
            <a:cxn ang="0">
              <a:pos x="connsiteX1" y="connsiteY1"/>
            </a:cxn>
          </a:cxnLst>
          <a:rect l="l" t="t" r="r" b="b"/>
          <a:pathLst>
            <a:path w="117231">
              <a:moveTo>
                <a:pt x="0" y="0"/>
              </a:moveTo>
              <a:lnTo>
                <a:pt x="117231"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428625</xdr:colOff>
      <xdr:row>18</xdr:row>
      <xdr:rowOff>34177</xdr:rowOff>
    </xdr:from>
    <xdr:ext cx="2381250" cy="1280273"/>
    <xdr:sp macro="" textlink="">
      <xdr:nvSpPr>
        <xdr:cNvPr id="89" name="四角形吹き出し 88">
          <a:extLst>
            <a:ext uri="{FF2B5EF4-FFF2-40B4-BE49-F238E27FC236}">
              <a16:creationId xmlns:a16="http://schemas.microsoft.com/office/drawing/2014/main" id="{00000000-0008-0000-0600-000059000000}"/>
            </a:ext>
          </a:extLst>
        </xdr:cNvPr>
        <xdr:cNvSpPr/>
      </xdr:nvSpPr>
      <xdr:spPr>
        <a:xfrm>
          <a:off x="7191375" y="7987552"/>
          <a:ext cx="2381250" cy="1280273"/>
        </a:xfrm>
        <a:prstGeom prst="wedgeRectCallout">
          <a:avLst>
            <a:gd name="adj1" fmla="val -56401"/>
            <a:gd name="adj2" fmla="val -29376"/>
          </a:avLst>
        </a:prstGeom>
        <a:solidFill>
          <a:schemeClr val="bg1"/>
        </a:solid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200"/>
            </a:lnSpc>
          </a:pPr>
          <a:r>
            <a:rPr kumimoji="0" lang="ja-JP" altLang="en-US" sz="1100" b="1" u="sng">
              <a:solidFill>
                <a:schemeClr val="tx1"/>
              </a:solidFill>
              <a:effectLst/>
              <a:latin typeface="+mn-ea"/>
              <a:ea typeface="+mn-ea"/>
              <a:cs typeface="+mn-cs"/>
            </a:rPr>
            <a:t>当期の計画書に全国的な目標値を設定している場合のみ記載</a:t>
          </a:r>
          <a:r>
            <a:rPr kumimoji="0" lang="ja-JP" altLang="en-US" sz="1100" b="0">
              <a:solidFill>
                <a:schemeClr val="tx1"/>
              </a:solidFill>
              <a:effectLst/>
              <a:latin typeface="+mn-ea"/>
              <a:ea typeface="+mn-ea"/>
              <a:cs typeface="+mn-cs"/>
            </a:rPr>
            <a:t>してください。</a:t>
          </a:r>
          <a:r>
            <a:rPr kumimoji="0" lang="ja-JP" altLang="en-US" sz="1100" b="1">
              <a:solidFill>
                <a:schemeClr val="tx1"/>
              </a:solidFill>
              <a:effectLst/>
              <a:latin typeface="+mn-ea"/>
              <a:ea typeface="+mn-ea"/>
              <a:cs typeface="+mn-cs"/>
            </a:rPr>
            <a:t>（</a:t>
          </a:r>
          <a:r>
            <a:rPr kumimoji="0" lang="ja-JP" altLang="en-US" sz="1100" b="1">
              <a:solidFill>
                <a:srgbClr val="FF0000"/>
              </a:solidFill>
              <a:effectLst/>
              <a:latin typeface="+mn-ea"/>
              <a:ea typeface="+mn-ea"/>
              <a:cs typeface="+mn-cs"/>
            </a:rPr>
            <a:t>通常該当なし</a:t>
          </a:r>
          <a:r>
            <a:rPr kumimoji="0" lang="ja-JP" altLang="en-US" sz="1100" b="1">
              <a:solidFill>
                <a:schemeClr val="tx1"/>
              </a:solidFill>
              <a:effectLst/>
              <a:latin typeface="+mn-ea"/>
              <a:ea typeface="+mn-ea"/>
              <a:cs typeface="+mn-cs"/>
            </a:rPr>
            <a:t>）</a:t>
          </a:r>
          <a:endParaRPr kumimoji="0" lang="en-US" altLang="ja-JP" sz="1100" b="1">
            <a:solidFill>
              <a:schemeClr val="tx1"/>
            </a:solidFill>
            <a:effectLst/>
            <a:latin typeface="+mn-ea"/>
            <a:ea typeface="+mn-ea"/>
            <a:cs typeface="+mn-cs"/>
          </a:endParaRPr>
        </a:p>
        <a:p>
          <a:pPr algn="l">
            <a:lnSpc>
              <a:spcPts val="1200"/>
            </a:lnSpc>
          </a:pPr>
          <a:r>
            <a:rPr kumimoji="0" lang="en-US" altLang="ja-JP" sz="1000">
              <a:solidFill>
                <a:schemeClr val="tx1"/>
              </a:solidFill>
              <a:effectLst/>
              <a:latin typeface="+mn-ea"/>
              <a:ea typeface="+mn-ea"/>
              <a:cs typeface="+mn-cs"/>
            </a:rPr>
            <a:t>※</a:t>
          </a:r>
          <a:r>
            <a:rPr kumimoji="0" lang="ja-JP" altLang="en-US" sz="1000">
              <a:solidFill>
                <a:schemeClr val="tx1"/>
              </a:solidFill>
              <a:effectLst/>
              <a:latin typeface="+mn-ea"/>
              <a:ea typeface="+mn-ea"/>
              <a:cs typeface="+mn-cs"/>
            </a:rPr>
            <a:t>入力があった場合、注意喚起としてセルがオレンジ色に網掛けされますが、誤入力でなければ特段対応は不要です。</a:t>
          </a:r>
          <a:endParaRPr kumimoji="1" lang="ja-JP" altLang="en-US" sz="1000">
            <a:solidFill>
              <a:schemeClr val="tx1"/>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17</xdr:col>
          <xdr:colOff>495300</xdr:colOff>
          <xdr:row>18</xdr:row>
          <xdr:rowOff>0</xdr:rowOff>
        </xdr:from>
        <xdr:to>
          <xdr:col>17</xdr:col>
          <xdr:colOff>807720</xdr:colOff>
          <xdr:row>19</xdr:row>
          <xdr:rowOff>68580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85725</xdr:colOff>
      <xdr:row>18</xdr:row>
      <xdr:rowOff>0</xdr:rowOff>
    </xdr:from>
    <xdr:to>
      <xdr:col>17</xdr:col>
      <xdr:colOff>238125</xdr:colOff>
      <xdr:row>26</xdr:row>
      <xdr:rowOff>209550</xdr:rowOff>
    </xdr:to>
    <xdr:sp macro="" textlink="">
      <xdr:nvSpPr>
        <xdr:cNvPr id="92" name="右中かっこ 91">
          <a:extLst>
            <a:ext uri="{FF2B5EF4-FFF2-40B4-BE49-F238E27FC236}">
              <a16:creationId xmlns:a16="http://schemas.microsoft.com/office/drawing/2014/main" id="{00000000-0008-0000-0600-00005C000000}"/>
            </a:ext>
          </a:extLst>
        </xdr:cNvPr>
        <xdr:cNvSpPr/>
      </xdr:nvSpPr>
      <xdr:spPr>
        <a:xfrm>
          <a:off x="6848475" y="7953375"/>
          <a:ext cx="152400" cy="2114550"/>
        </a:xfrm>
        <a:prstGeom prst="rightBrace">
          <a:avLst>
            <a:gd name="adj1" fmla="val 33333"/>
            <a:gd name="adj2" fmla="val 14964"/>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179294</xdr:colOff>
      <xdr:row>1</xdr:row>
      <xdr:rowOff>170330</xdr:rowOff>
    </xdr:from>
    <xdr:to>
      <xdr:col>35</xdr:col>
      <xdr:colOff>0</xdr:colOff>
      <xdr:row>6</xdr:row>
      <xdr:rowOff>57150</xdr:rowOff>
    </xdr:to>
    <xdr:sp macro="" textlink="">
      <xdr:nvSpPr>
        <xdr:cNvPr id="6" name="フリーフォーム 5">
          <a:extLst>
            <a:ext uri="{FF2B5EF4-FFF2-40B4-BE49-F238E27FC236}">
              <a16:creationId xmlns:a16="http://schemas.microsoft.com/office/drawing/2014/main" id="{00000000-0008-0000-0600-000006000000}"/>
            </a:ext>
          </a:extLst>
        </xdr:cNvPr>
        <xdr:cNvSpPr/>
      </xdr:nvSpPr>
      <xdr:spPr>
        <a:xfrm>
          <a:off x="9386047" y="322730"/>
          <a:ext cx="3881718" cy="908796"/>
        </a:xfrm>
        <a:custGeom>
          <a:avLst/>
          <a:gdLst>
            <a:gd name="connsiteX0" fmla="*/ 3724275 w 3724275"/>
            <a:gd name="connsiteY0" fmla="*/ 0 h 933450"/>
            <a:gd name="connsiteX1" fmla="*/ 3724275 w 3724275"/>
            <a:gd name="connsiteY1" fmla="*/ 619125 h 933450"/>
            <a:gd name="connsiteX2" fmla="*/ 76200 w 3724275"/>
            <a:gd name="connsiteY2" fmla="*/ 619125 h 933450"/>
            <a:gd name="connsiteX3" fmla="*/ 76200 w 3724275"/>
            <a:gd name="connsiteY3" fmla="*/ 933450 h 933450"/>
            <a:gd name="connsiteX4" fmla="*/ 0 w 3724275"/>
            <a:gd name="connsiteY4" fmla="*/ 933450 h 9334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724275" h="933450">
              <a:moveTo>
                <a:pt x="3724275" y="0"/>
              </a:moveTo>
              <a:lnTo>
                <a:pt x="3724275" y="619125"/>
              </a:lnTo>
              <a:lnTo>
                <a:pt x="76200" y="619125"/>
              </a:lnTo>
              <a:lnTo>
                <a:pt x="76200" y="933450"/>
              </a:lnTo>
              <a:lnTo>
                <a:pt x="0" y="933450"/>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26893</xdr:colOff>
      <xdr:row>5</xdr:row>
      <xdr:rowOff>152400</xdr:rowOff>
    </xdr:from>
    <xdr:to>
      <xdr:col>23</xdr:col>
      <xdr:colOff>188258</xdr:colOff>
      <xdr:row>6</xdr:row>
      <xdr:rowOff>71718</xdr:rowOff>
    </xdr:to>
    <xdr:sp macro="" textlink="">
      <xdr:nvSpPr>
        <xdr:cNvPr id="7" name="フリーフォーム 6">
          <a:extLst>
            <a:ext uri="{FF2B5EF4-FFF2-40B4-BE49-F238E27FC236}">
              <a16:creationId xmlns:a16="http://schemas.microsoft.com/office/drawing/2014/main" id="{00000000-0008-0000-0600-000007000000}"/>
            </a:ext>
          </a:extLst>
        </xdr:cNvPr>
        <xdr:cNvSpPr/>
      </xdr:nvSpPr>
      <xdr:spPr>
        <a:xfrm>
          <a:off x="9233646" y="1093694"/>
          <a:ext cx="161365" cy="152400"/>
        </a:xfrm>
        <a:custGeom>
          <a:avLst/>
          <a:gdLst>
            <a:gd name="connsiteX0" fmla="*/ 123825 w 123825"/>
            <a:gd name="connsiteY0" fmla="*/ 104775 h 104775"/>
            <a:gd name="connsiteX1" fmla="*/ 76200 w 123825"/>
            <a:gd name="connsiteY1" fmla="*/ 0 h 104775"/>
            <a:gd name="connsiteX2" fmla="*/ 0 w 123825"/>
            <a:gd name="connsiteY2" fmla="*/ 104775 h 104775"/>
          </a:gdLst>
          <a:ahLst/>
          <a:cxnLst>
            <a:cxn ang="0">
              <a:pos x="connsiteX0" y="connsiteY0"/>
            </a:cxn>
            <a:cxn ang="0">
              <a:pos x="connsiteX1" y="connsiteY1"/>
            </a:cxn>
            <a:cxn ang="0">
              <a:pos x="connsiteX2" y="connsiteY2"/>
            </a:cxn>
          </a:cxnLst>
          <a:rect l="l" t="t" r="r" b="b"/>
          <a:pathLst>
            <a:path w="123825" h="104775">
              <a:moveTo>
                <a:pt x="123825" y="104775"/>
              </a:moveTo>
              <a:cubicBezTo>
                <a:pt x="110331" y="52387"/>
                <a:pt x="96837" y="0"/>
                <a:pt x="76200" y="0"/>
              </a:cubicBezTo>
              <a:cubicBezTo>
                <a:pt x="55563" y="0"/>
                <a:pt x="27781" y="52387"/>
                <a:pt x="0" y="104775"/>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171450</xdr:colOff>
      <xdr:row>6</xdr:row>
      <xdr:rowOff>76199</xdr:rowOff>
    </xdr:from>
    <xdr:to>
      <xdr:col>23</xdr:col>
      <xdr:colOff>26894</xdr:colOff>
      <xdr:row>6</xdr:row>
      <xdr:rowOff>121918</xdr:rowOff>
    </xdr:to>
    <xdr:sp macro="" textlink="">
      <xdr:nvSpPr>
        <xdr:cNvPr id="8" name="フリーフォーム 7">
          <a:extLst>
            <a:ext uri="{FF2B5EF4-FFF2-40B4-BE49-F238E27FC236}">
              <a16:creationId xmlns:a16="http://schemas.microsoft.com/office/drawing/2014/main" id="{00000000-0008-0000-0600-000008000000}"/>
            </a:ext>
          </a:extLst>
        </xdr:cNvPr>
        <xdr:cNvSpPr/>
      </xdr:nvSpPr>
      <xdr:spPr>
        <a:xfrm>
          <a:off x="9118226" y="1250575"/>
          <a:ext cx="115421" cy="45719"/>
        </a:xfrm>
        <a:custGeom>
          <a:avLst/>
          <a:gdLst>
            <a:gd name="connsiteX0" fmla="*/ 171450 w 171450"/>
            <a:gd name="connsiteY0" fmla="*/ 0 h 0"/>
            <a:gd name="connsiteX1" fmla="*/ 0 w 171450"/>
            <a:gd name="connsiteY1" fmla="*/ 0 h 0"/>
          </a:gdLst>
          <a:ahLst/>
          <a:cxnLst>
            <a:cxn ang="0">
              <a:pos x="connsiteX0" y="connsiteY0"/>
            </a:cxn>
            <a:cxn ang="0">
              <a:pos x="connsiteX1" y="connsiteY1"/>
            </a:cxn>
          </a:cxnLst>
          <a:rect l="l" t="t" r="r" b="b"/>
          <a:pathLst>
            <a:path w="171450">
              <a:moveTo>
                <a:pt x="171450" y="0"/>
              </a:moveTo>
              <a:lnTo>
                <a:pt x="0" y="0"/>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19050</xdr:colOff>
      <xdr:row>0</xdr:row>
      <xdr:rowOff>9525</xdr:rowOff>
    </xdr:from>
    <xdr:ext cx="2305051" cy="276225"/>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6781800" y="9525"/>
          <a:ext cx="2305051" cy="27622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600"/>
            <a:t>チェック欄　　</a:t>
          </a:r>
          <a:r>
            <a:rPr kumimoji="1" lang="ja-JP" altLang="en-US" sz="1050"/>
            <a:t>記載例はこちら⇒</a:t>
          </a:r>
        </a:p>
      </xdr:txBody>
    </xdr:sp>
    <xdr:clientData/>
  </xdr:oneCellAnchor>
  <xdr:twoCellAnchor>
    <xdr:from>
      <xdr:col>33</xdr:col>
      <xdr:colOff>198285</xdr:colOff>
      <xdr:row>16</xdr:row>
      <xdr:rowOff>2269766</xdr:rowOff>
    </xdr:from>
    <xdr:to>
      <xdr:col>36</xdr:col>
      <xdr:colOff>129540</xdr:colOff>
      <xdr:row>16</xdr:row>
      <xdr:rowOff>2790824</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2733185" y="5889266"/>
          <a:ext cx="1017105" cy="521058"/>
        </a:xfrm>
        <a:prstGeom prst="rect">
          <a:avLst/>
        </a:prstGeom>
        <a:solidFill>
          <a:schemeClr val="accent6">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実施した設備対策を、定量的に記入してください</a:t>
          </a:r>
        </a:p>
      </xdr:txBody>
    </xdr:sp>
    <xdr:clientData/>
  </xdr:twoCellAnchor>
  <xdr:twoCellAnchor>
    <xdr:from>
      <xdr:col>36</xdr:col>
      <xdr:colOff>65597</xdr:colOff>
      <xdr:row>14</xdr:row>
      <xdr:rowOff>55244</xdr:rowOff>
    </xdr:from>
    <xdr:to>
      <xdr:col>41</xdr:col>
      <xdr:colOff>22860</xdr:colOff>
      <xdr:row>16</xdr:row>
      <xdr:rowOff>152399</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3766357" y="3209924"/>
          <a:ext cx="1808923" cy="554355"/>
        </a:xfrm>
        <a:prstGeom prst="rect">
          <a:avLst/>
        </a:prstGeom>
        <a:solidFill>
          <a:schemeClr val="accent2">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solidFill>
                <a:sysClr val="windowText" lastClr="000000"/>
              </a:solidFill>
            </a:rPr>
            <a:t>対前年度増減率＝（報告対象年度における排出量</a:t>
          </a:r>
          <a:r>
            <a:rPr kumimoji="1" lang="en-US" altLang="ja-JP" sz="700">
              <a:solidFill>
                <a:sysClr val="windowText" lastClr="000000"/>
              </a:solidFill>
            </a:rPr>
            <a:t>or</a:t>
          </a:r>
          <a:r>
            <a:rPr kumimoji="1" lang="ja-JP" altLang="en-US" sz="700">
              <a:solidFill>
                <a:sysClr val="windowText" lastClr="000000"/>
              </a:solidFill>
            </a:rPr>
            <a:t>原単位の合計量）</a:t>
          </a:r>
          <a:r>
            <a:rPr kumimoji="1" lang="en-US" altLang="ja-JP" sz="700">
              <a:solidFill>
                <a:sysClr val="windowText" lastClr="000000"/>
              </a:solidFill>
            </a:rPr>
            <a:t>÷</a:t>
          </a:r>
          <a:r>
            <a:rPr kumimoji="1" lang="ja-JP" altLang="en-US" sz="700">
              <a:solidFill>
                <a:sysClr val="windowText" lastClr="000000"/>
              </a:solidFill>
            </a:rPr>
            <a:t>（</a:t>
          </a:r>
          <a:r>
            <a:rPr kumimoji="1" lang="en-US" altLang="ja-JP" sz="700">
              <a:solidFill>
                <a:sysClr val="windowText" lastClr="000000"/>
              </a:solidFill>
            </a:rPr>
            <a:t>(</a:t>
          </a:r>
          <a:r>
            <a:rPr kumimoji="1" lang="ja-JP" altLang="en-US" sz="700">
              <a:solidFill>
                <a:sysClr val="windowText" lastClr="000000"/>
              </a:solidFill>
            </a:rPr>
            <a:t>前年度の排出量</a:t>
          </a:r>
          <a:r>
            <a:rPr kumimoji="1" lang="en-US" altLang="ja-JP" sz="700">
              <a:solidFill>
                <a:sysClr val="windowText" lastClr="000000"/>
              </a:solidFill>
            </a:rPr>
            <a:t>or</a:t>
          </a:r>
          <a:r>
            <a:rPr kumimoji="1" lang="ja-JP" altLang="en-US" sz="700">
              <a:solidFill>
                <a:sysClr val="windowText" lastClr="000000"/>
              </a:solidFill>
            </a:rPr>
            <a:t>原単位の合計量）</a:t>
          </a:r>
          <a:r>
            <a:rPr kumimoji="1" lang="en-US" altLang="ja-JP" sz="700">
              <a:solidFill>
                <a:sysClr val="windowText" lastClr="000000"/>
              </a:solidFill>
            </a:rPr>
            <a:t>×100</a:t>
          </a:r>
          <a:r>
            <a:rPr kumimoji="1" lang="ja-JP" altLang="en-US" sz="700">
              <a:solidFill>
                <a:sysClr val="windowText" lastClr="000000"/>
              </a:solidFill>
            </a:rPr>
            <a:t>－</a:t>
          </a:r>
          <a:r>
            <a:rPr kumimoji="1" lang="en-US" altLang="ja-JP" sz="700">
              <a:solidFill>
                <a:sysClr val="windowText" lastClr="000000"/>
              </a:solidFill>
            </a:rPr>
            <a:t>100</a:t>
          </a:r>
          <a:endParaRPr kumimoji="1" lang="ja-JP" altLang="en-US" sz="700">
            <a:solidFill>
              <a:sysClr val="windowText" lastClr="000000"/>
            </a:solidFill>
          </a:endParaRPr>
        </a:p>
      </xdr:txBody>
    </xdr:sp>
    <xdr:clientData/>
  </xdr:twoCellAnchor>
  <xdr:twoCellAnchor>
    <xdr:from>
      <xdr:col>34</xdr:col>
      <xdr:colOff>0</xdr:colOff>
      <xdr:row>11</xdr:row>
      <xdr:rowOff>7620</xdr:rowOff>
    </xdr:from>
    <xdr:to>
      <xdr:col>39</xdr:col>
      <xdr:colOff>186690</xdr:colOff>
      <xdr:row>11</xdr:row>
      <xdr:rowOff>373381</xdr:rowOff>
    </xdr:to>
    <xdr:sp macro="" textlink="">
      <xdr:nvSpPr>
        <xdr:cNvPr id="94" name="角丸四角形 93">
          <a:extLst>
            <a:ext uri="{FF2B5EF4-FFF2-40B4-BE49-F238E27FC236}">
              <a16:creationId xmlns:a16="http://schemas.microsoft.com/office/drawing/2014/main" id="{00000000-0008-0000-0600-00005E000000}"/>
            </a:ext>
          </a:extLst>
        </xdr:cNvPr>
        <xdr:cNvSpPr/>
      </xdr:nvSpPr>
      <xdr:spPr>
        <a:xfrm>
          <a:off x="12995564" y="2328256"/>
          <a:ext cx="2043199" cy="36576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0</xdr:colOff>
      <xdr:row>11</xdr:row>
      <xdr:rowOff>7620</xdr:rowOff>
    </xdr:from>
    <xdr:to>
      <xdr:col>32</xdr:col>
      <xdr:colOff>7620</xdr:colOff>
      <xdr:row>11</xdr:row>
      <xdr:rowOff>373381</xdr:rowOff>
    </xdr:to>
    <xdr:sp macro="" textlink="">
      <xdr:nvSpPr>
        <xdr:cNvPr id="95" name="角丸四角形 94">
          <a:extLst>
            <a:ext uri="{FF2B5EF4-FFF2-40B4-BE49-F238E27FC236}">
              <a16:creationId xmlns:a16="http://schemas.microsoft.com/office/drawing/2014/main" id="{00000000-0008-0000-0600-00005F000000}"/>
            </a:ext>
          </a:extLst>
        </xdr:cNvPr>
        <xdr:cNvSpPr/>
      </xdr:nvSpPr>
      <xdr:spPr>
        <a:xfrm>
          <a:off x="10300855" y="2328256"/>
          <a:ext cx="1961110" cy="36576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106681</xdr:colOff>
      <xdr:row>11</xdr:row>
      <xdr:rowOff>159719</xdr:rowOff>
    </xdr:from>
    <xdr:to>
      <xdr:col>27</xdr:col>
      <xdr:colOff>7621</xdr:colOff>
      <xdr:row>11</xdr:row>
      <xdr:rowOff>243839</xdr:rowOff>
    </xdr:to>
    <xdr:sp macro="" textlink="">
      <xdr:nvSpPr>
        <xdr:cNvPr id="97" name="フリーフォーム 96">
          <a:extLst>
            <a:ext uri="{FF2B5EF4-FFF2-40B4-BE49-F238E27FC236}">
              <a16:creationId xmlns:a16="http://schemas.microsoft.com/office/drawing/2014/main" id="{00000000-0008-0000-0600-000061000000}"/>
            </a:ext>
          </a:extLst>
        </xdr:cNvPr>
        <xdr:cNvSpPr/>
      </xdr:nvSpPr>
      <xdr:spPr>
        <a:xfrm flipV="1">
          <a:off x="9296401" y="2476199"/>
          <a:ext cx="990600" cy="84120"/>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17585</xdr:colOff>
      <xdr:row>11</xdr:row>
      <xdr:rowOff>124550</xdr:rowOff>
    </xdr:from>
    <xdr:to>
      <xdr:col>34</xdr:col>
      <xdr:colOff>0</xdr:colOff>
      <xdr:row>11</xdr:row>
      <xdr:rowOff>170269</xdr:rowOff>
    </xdr:to>
    <xdr:sp macro="" textlink="">
      <xdr:nvSpPr>
        <xdr:cNvPr id="98" name="フリーフォーム 97">
          <a:extLst>
            <a:ext uri="{FF2B5EF4-FFF2-40B4-BE49-F238E27FC236}">
              <a16:creationId xmlns:a16="http://schemas.microsoft.com/office/drawing/2014/main" id="{00000000-0008-0000-0600-000062000000}"/>
            </a:ext>
          </a:extLst>
        </xdr:cNvPr>
        <xdr:cNvSpPr/>
      </xdr:nvSpPr>
      <xdr:spPr>
        <a:xfrm flipV="1">
          <a:off x="12271930" y="2445186"/>
          <a:ext cx="723634" cy="45719"/>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46996</xdr:colOff>
      <xdr:row>11</xdr:row>
      <xdr:rowOff>339823</xdr:rowOff>
    </xdr:from>
    <xdr:ext cx="1850383" cy="521154"/>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903216" y="2656303"/>
          <a:ext cx="1850383" cy="521154"/>
        </a:xfrm>
        <a:prstGeom prst="rect">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lnSpc>
              <a:spcPts val="1100"/>
            </a:lnSpc>
          </a:pPr>
          <a:r>
            <a:rPr kumimoji="1" lang="ja-JP" altLang="en-US" sz="900" b="0">
              <a:solidFill>
                <a:schemeClr val="tx1"/>
              </a:solidFill>
              <a:latin typeface="+mn-ea"/>
              <a:ea typeface="+mn-ea"/>
            </a:rPr>
            <a:t>原単位目標を設定している場合は</a:t>
          </a:r>
          <a:r>
            <a:rPr kumimoji="1" lang="en-US" altLang="ja-JP" sz="900" b="1">
              <a:solidFill>
                <a:schemeClr val="tx1"/>
              </a:solidFill>
              <a:latin typeface="+mn-ea"/>
              <a:ea typeface="+mn-ea"/>
            </a:rPr>
            <a:t>S</a:t>
          </a:r>
          <a:r>
            <a:rPr kumimoji="1" lang="ja-JP" altLang="en-US" sz="900" b="1">
              <a:solidFill>
                <a:schemeClr val="tx1"/>
              </a:solidFill>
              <a:latin typeface="+mn-ea"/>
              <a:ea typeface="+mn-ea"/>
            </a:rPr>
            <a:t>列</a:t>
          </a:r>
          <a:r>
            <a:rPr kumimoji="1" lang="ja-JP" altLang="en-US" sz="900" b="0">
              <a:solidFill>
                <a:schemeClr val="tx1"/>
              </a:solidFill>
              <a:latin typeface="+mn-ea"/>
              <a:ea typeface="+mn-ea"/>
            </a:rPr>
            <a:t>の太枠内に</a:t>
          </a:r>
          <a:r>
            <a:rPr kumimoji="1" lang="ja-JP" altLang="en-US" sz="900" b="1">
              <a:solidFill>
                <a:srgbClr val="FF0000"/>
              </a:solidFill>
              <a:latin typeface="+mn-ea"/>
              <a:ea typeface="+mn-ea"/>
            </a:rPr>
            <a:t>報告対象年度の原単位指標の量を入力</a:t>
          </a:r>
          <a:r>
            <a:rPr kumimoji="1" lang="ja-JP" altLang="en-US" sz="900" b="0">
              <a:solidFill>
                <a:schemeClr val="tx1"/>
              </a:solidFill>
              <a:latin typeface="+mn-ea"/>
              <a:ea typeface="+mn-ea"/>
            </a:rPr>
            <a:t>してください。</a:t>
          </a:r>
          <a:endParaRPr kumimoji="1" lang="en-US" altLang="ja-JP" sz="900" b="0">
            <a:solidFill>
              <a:schemeClr val="tx1"/>
            </a:solidFill>
            <a:latin typeface="+mn-ea"/>
            <a:ea typeface="+mn-ea"/>
          </a:endParaRPr>
        </a:p>
      </xdr:txBody>
    </xdr:sp>
    <xdr:clientData/>
  </xdr:oneCellAnchor>
  <xdr:twoCellAnchor>
    <xdr:from>
      <xdr:col>18</xdr:col>
      <xdr:colOff>791394</xdr:colOff>
      <xdr:row>11</xdr:row>
      <xdr:rowOff>17963</xdr:rowOff>
    </xdr:from>
    <xdr:to>
      <xdr:col>19</xdr:col>
      <xdr:colOff>395427</xdr:colOff>
      <xdr:row>11</xdr:row>
      <xdr:rowOff>335280</xdr:rowOff>
    </xdr:to>
    <xdr:sp macro="" textlink="">
      <xdr:nvSpPr>
        <xdr:cNvPr id="99" name="曲折矢印 98">
          <a:extLst>
            <a:ext uri="{FF2B5EF4-FFF2-40B4-BE49-F238E27FC236}">
              <a16:creationId xmlns:a16="http://schemas.microsoft.com/office/drawing/2014/main" id="{00000000-0008-0000-0600-000063000000}"/>
            </a:ext>
          </a:extLst>
        </xdr:cNvPr>
        <xdr:cNvSpPr/>
      </xdr:nvSpPr>
      <xdr:spPr>
        <a:xfrm flipH="1">
          <a:off x="7847514" y="2334443"/>
          <a:ext cx="404133" cy="317317"/>
        </a:xfrm>
        <a:prstGeom prst="bentArrow">
          <a:avLst>
            <a:gd name="adj1" fmla="val 32692"/>
            <a:gd name="adj2" fmla="val 35256"/>
            <a:gd name="adj3" fmla="val 40385"/>
            <a:gd name="adj4" fmla="val 43750"/>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281940</xdr:colOff>
      <xdr:row>16</xdr:row>
      <xdr:rowOff>91440</xdr:rowOff>
    </xdr:from>
    <xdr:to>
      <xdr:col>19</xdr:col>
      <xdr:colOff>1021080</xdr:colOff>
      <xdr:row>16</xdr:row>
      <xdr:rowOff>1524000</xdr:rowOff>
    </xdr:to>
    <xdr:sp macro="" textlink="">
      <xdr:nvSpPr>
        <xdr:cNvPr id="9" name="四角形吹き出し 8">
          <a:extLst>
            <a:ext uri="{FF2B5EF4-FFF2-40B4-BE49-F238E27FC236}">
              <a16:creationId xmlns:a16="http://schemas.microsoft.com/office/drawing/2014/main" id="{00000000-0008-0000-0600-000009000000}"/>
            </a:ext>
          </a:extLst>
        </xdr:cNvPr>
        <xdr:cNvSpPr/>
      </xdr:nvSpPr>
      <xdr:spPr>
        <a:xfrm>
          <a:off x="6332220" y="3703320"/>
          <a:ext cx="2545080" cy="1432560"/>
        </a:xfrm>
        <a:prstGeom prst="wedgeRectCallout">
          <a:avLst>
            <a:gd name="adj1" fmla="val -42090"/>
            <a:gd name="adj2" fmla="val -54726"/>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b="1">
              <a:solidFill>
                <a:sysClr val="windowText" lastClr="000000"/>
              </a:solidFill>
              <a:latin typeface="+mn-ea"/>
              <a:ea typeface="+mn-ea"/>
            </a:rPr>
            <a:t>R</a:t>
          </a:r>
          <a:r>
            <a:rPr kumimoji="1" lang="ja-JP" altLang="en-US" sz="900" b="1">
              <a:solidFill>
                <a:sysClr val="windowText" lastClr="000000"/>
              </a:solidFill>
              <a:latin typeface="+mn-ea"/>
              <a:ea typeface="+mn-ea"/>
            </a:rPr>
            <a:t>列</a:t>
          </a:r>
          <a:r>
            <a:rPr kumimoji="1" lang="ja-JP" altLang="en-US" sz="900">
              <a:solidFill>
                <a:sysClr val="windowText" lastClr="000000"/>
              </a:solidFill>
            </a:rPr>
            <a:t>の太枠内に報告対象年度の前年度の値を入力することで、増減率を自動計算します。</a:t>
          </a:r>
          <a:r>
            <a:rPr kumimoji="1" lang="ja-JP" altLang="en-US" sz="900">
              <a:solidFill>
                <a:srgbClr val="FF0000"/>
              </a:solidFill>
            </a:rPr>
            <a:t>排出量（セル</a:t>
          </a:r>
          <a:r>
            <a:rPr kumimoji="1" lang="en-US" altLang="ja-JP" sz="900">
              <a:solidFill>
                <a:srgbClr val="FF0000"/>
              </a:solidFill>
              <a:latin typeface="+mn-ea"/>
              <a:ea typeface="+mn-ea"/>
            </a:rPr>
            <a:t>R10</a:t>
          </a:r>
          <a:r>
            <a:rPr kumimoji="1" lang="ja-JP" altLang="en-US" sz="900">
              <a:solidFill>
                <a:srgbClr val="FF0000"/>
              </a:solidFill>
            </a:rPr>
            <a:t>および</a:t>
          </a:r>
          <a:r>
            <a:rPr kumimoji="1" lang="en-US" altLang="ja-JP" sz="900">
              <a:solidFill>
                <a:srgbClr val="FF0000"/>
              </a:solidFill>
              <a:latin typeface="+mn-ea"/>
              <a:ea typeface="+mn-ea"/>
            </a:rPr>
            <a:t>R11</a:t>
          </a:r>
          <a:r>
            <a:rPr kumimoji="1" lang="ja-JP" altLang="en-US" sz="900">
              <a:solidFill>
                <a:srgbClr val="FF0000"/>
              </a:solidFill>
            </a:rPr>
            <a:t>）は自動転記されるため入力不要</a:t>
          </a:r>
          <a:r>
            <a:rPr kumimoji="1" lang="ja-JP" altLang="en-US" sz="900">
              <a:solidFill>
                <a:sysClr val="windowText" lastClr="000000"/>
              </a:solidFill>
            </a:rPr>
            <a:t>ですが、原単位目標の設定がある場合は</a:t>
          </a:r>
          <a:r>
            <a:rPr kumimoji="1" lang="ja-JP" altLang="en-US" sz="900">
              <a:solidFill>
                <a:srgbClr val="FF0000"/>
              </a:solidFill>
            </a:rPr>
            <a:t>前年度の原単位の値をセル</a:t>
          </a:r>
          <a:r>
            <a:rPr kumimoji="1" lang="en-US" altLang="ja-JP" sz="900">
              <a:solidFill>
                <a:srgbClr val="FF0000"/>
              </a:solidFill>
              <a:latin typeface="+mn-ea"/>
              <a:ea typeface="+mn-ea"/>
            </a:rPr>
            <a:t>R15</a:t>
          </a:r>
          <a:r>
            <a:rPr kumimoji="1" lang="ja-JP" altLang="en-US" sz="900">
              <a:solidFill>
                <a:srgbClr val="FF0000"/>
              </a:solidFill>
            </a:rPr>
            <a:t>および</a:t>
          </a:r>
          <a:r>
            <a:rPr kumimoji="1" lang="en-US" altLang="ja-JP" sz="900">
              <a:solidFill>
                <a:srgbClr val="FF0000"/>
              </a:solidFill>
              <a:latin typeface="+mn-ea"/>
              <a:ea typeface="+mn-ea"/>
            </a:rPr>
            <a:t>R16</a:t>
          </a:r>
          <a:r>
            <a:rPr kumimoji="1" lang="ja-JP" altLang="en-US" sz="900">
              <a:solidFill>
                <a:srgbClr val="FF0000"/>
              </a:solidFill>
            </a:rPr>
            <a:t>に入力</a:t>
          </a:r>
          <a:r>
            <a:rPr kumimoji="1" lang="ja-JP" altLang="en-US" sz="900">
              <a:solidFill>
                <a:sysClr val="windowText" lastClr="000000"/>
              </a:solidFill>
            </a:rPr>
            <a:t>してください。自動計算した増減率は</a:t>
          </a:r>
          <a:r>
            <a:rPr kumimoji="1" lang="ja-JP" altLang="en-US" sz="900" b="1">
              <a:solidFill>
                <a:sysClr val="windowText" lastClr="000000"/>
              </a:solidFill>
            </a:rPr>
            <a:t>「報告対象年度におけるエネルギー起源二酸化炭素の排出の状況に関する説明」</a:t>
          </a:r>
          <a:r>
            <a:rPr kumimoji="1" lang="ja-JP" altLang="en-US" sz="900">
              <a:solidFill>
                <a:sysClr val="windowText" lastClr="000000"/>
              </a:solidFill>
            </a:rPr>
            <a:t>に転記するとともに、増減要因等を考察して記載してください。</a:t>
          </a: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17</xdr:row>
      <xdr:rowOff>0</xdr:rowOff>
    </xdr:from>
    <xdr:to>
      <xdr:col>5</xdr:col>
      <xdr:colOff>0</xdr:colOff>
      <xdr:row>17</xdr:row>
      <xdr:rowOff>0</xdr:rowOff>
    </xdr:to>
    <xdr:sp macro="" textlink="">
      <xdr:nvSpPr>
        <xdr:cNvPr id="38674" name="Line 34">
          <a:extLst>
            <a:ext uri="{FF2B5EF4-FFF2-40B4-BE49-F238E27FC236}">
              <a16:creationId xmlns:a16="http://schemas.microsoft.com/office/drawing/2014/main" id="{00000000-0008-0000-0700-000012970000}"/>
            </a:ext>
          </a:extLst>
        </xdr:cNvPr>
        <xdr:cNvSpPr>
          <a:spLocks noChangeShapeType="1"/>
        </xdr:cNvSpPr>
      </xdr:nvSpPr>
      <xdr:spPr bwMode="auto">
        <a:xfrm flipH="1">
          <a:off x="1800225"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17</xdr:row>
      <xdr:rowOff>0</xdr:rowOff>
    </xdr:from>
    <xdr:to>
      <xdr:col>5</xdr:col>
      <xdr:colOff>0</xdr:colOff>
      <xdr:row>17</xdr:row>
      <xdr:rowOff>0</xdr:rowOff>
    </xdr:to>
    <xdr:sp macro="" textlink="">
      <xdr:nvSpPr>
        <xdr:cNvPr id="38675" name="Line 35">
          <a:extLst>
            <a:ext uri="{FF2B5EF4-FFF2-40B4-BE49-F238E27FC236}">
              <a16:creationId xmlns:a16="http://schemas.microsoft.com/office/drawing/2014/main" id="{00000000-0008-0000-0700-000013970000}"/>
            </a:ext>
          </a:extLst>
        </xdr:cNvPr>
        <xdr:cNvSpPr>
          <a:spLocks noChangeShapeType="1"/>
        </xdr:cNvSpPr>
      </xdr:nvSpPr>
      <xdr:spPr bwMode="auto">
        <a:xfrm flipH="1">
          <a:off x="1800225"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17</xdr:row>
      <xdr:rowOff>0</xdr:rowOff>
    </xdr:from>
    <xdr:to>
      <xdr:col>5</xdr:col>
      <xdr:colOff>0</xdr:colOff>
      <xdr:row>17</xdr:row>
      <xdr:rowOff>0</xdr:rowOff>
    </xdr:to>
    <xdr:sp macro="" textlink="">
      <xdr:nvSpPr>
        <xdr:cNvPr id="38676" name="Line 36">
          <a:extLst>
            <a:ext uri="{FF2B5EF4-FFF2-40B4-BE49-F238E27FC236}">
              <a16:creationId xmlns:a16="http://schemas.microsoft.com/office/drawing/2014/main" id="{00000000-0008-0000-0700-000014970000}"/>
            </a:ext>
          </a:extLst>
        </xdr:cNvPr>
        <xdr:cNvSpPr>
          <a:spLocks noChangeShapeType="1"/>
        </xdr:cNvSpPr>
      </xdr:nvSpPr>
      <xdr:spPr bwMode="auto">
        <a:xfrm flipH="1">
          <a:off x="1800225"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17</xdr:row>
      <xdr:rowOff>0</xdr:rowOff>
    </xdr:from>
    <xdr:to>
      <xdr:col>29</xdr:col>
      <xdr:colOff>0</xdr:colOff>
      <xdr:row>17</xdr:row>
      <xdr:rowOff>0</xdr:rowOff>
    </xdr:to>
    <xdr:sp macro="" textlink="">
      <xdr:nvSpPr>
        <xdr:cNvPr id="38677" name="Line 34">
          <a:extLst>
            <a:ext uri="{FF2B5EF4-FFF2-40B4-BE49-F238E27FC236}">
              <a16:creationId xmlns:a16="http://schemas.microsoft.com/office/drawing/2014/main" id="{00000000-0008-0000-0700-000015970000}"/>
            </a:ext>
          </a:extLst>
        </xdr:cNvPr>
        <xdr:cNvSpPr>
          <a:spLocks noChangeShapeType="1"/>
        </xdr:cNvSpPr>
      </xdr:nvSpPr>
      <xdr:spPr bwMode="auto">
        <a:xfrm flipH="1">
          <a:off x="9163050"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17</xdr:row>
      <xdr:rowOff>0</xdr:rowOff>
    </xdr:from>
    <xdr:to>
      <xdr:col>29</xdr:col>
      <xdr:colOff>0</xdr:colOff>
      <xdr:row>17</xdr:row>
      <xdr:rowOff>0</xdr:rowOff>
    </xdr:to>
    <xdr:sp macro="" textlink="">
      <xdr:nvSpPr>
        <xdr:cNvPr id="38678" name="Line 35">
          <a:extLst>
            <a:ext uri="{FF2B5EF4-FFF2-40B4-BE49-F238E27FC236}">
              <a16:creationId xmlns:a16="http://schemas.microsoft.com/office/drawing/2014/main" id="{00000000-0008-0000-0700-000016970000}"/>
            </a:ext>
          </a:extLst>
        </xdr:cNvPr>
        <xdr:cNvSpPr>
          <a:spLocks noChangeShapeType="1"/>
        </xdr:cNvSpPr>
      </xdr:nvSpPr>
      <xdr:spPr bwMode="auto">
        <a:xfrm flipH="1">
          <a:off x="9163050"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17</xdr:row>
      <xdr:rowOff>0</xdr:rowOff>
    </xdr:from>
    <xdr:to>
      <xdr:col>29</xdr:col>
      <xdr:colOff>0</xdr:colOff>
      <xdr:row>17</xdr:row>
      <xdr:rowOff>0</xdr:rowOff>
    </xdr:to>
    <xdr:sp macro="" textlink="">
      <xdr:nvSpPr>
        <xdr:cNvPr id="38679" name="Line 36">
          <a:extLst>
            <a:ext uri="{FF2B5EF4-FFF2-40B4-BE49-F238E27FC236}">
              <a16:creationId xmlns:a16="http://schemas.microsoft.com/office/drawing/2014/main" id="{00000000-0008-0000-0700-000017970000}"/>
            </a:ext>
          </a:extLst>
        </xdr:cNvPr>
        <xdr:cNvSpPr>
          <a:spLocks noChangeShapeType="1"/>
        </xdr:cNvSpPr>
      </xdr:nvSpPr>
      <xdr:spPr bwMode="auto">
        <a:xfrm flipH="1">
          <a:off x="9163050"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2</xdr:row>
      <xdr:rowOff>15240</xdr:rowOff>
    </xdr:from>
    <xdr:to>
      <xdr:col>22</xdr:col>
      <xdr:colOff>213369</xdr:colOff>
      <xdr:row>22</xdr:row>
      <xdr:rowOff>0</xdr:rowOff>
    </xdr:to>
    <xdr:sp macro="" textlink="">
      <xdr:nvSpPr>
        <xdr:cNvPr id="9" name="左右矢印 8">
          <a:extLst>
            <a:ext uri="{FF2B5EF4-FFF2-40B4-BE49-F238E27FC236}">
              <a16:creationId xmlns:a16="http://schemas.microsoft.com/office/drawing/2014/main" id="{00000000-0008-0000-0700-000009000000}"/>
            </a:ext>
          </a:extLst>
        </xdr:cNvPr>
        <xdr:cNvSpPr/>
      </xdr:nvSpPr>
      <xdr:spPr>
        <a:xfrm rot="5400000">
          <a:off x="4730202" y="5179442"/>
          <a:ext cx="9824499" cy="175269"/>
        </a:xfrm>
        <a:prstGeom prst="leftRightArrow">
          <a:avLst>
            <a:gd name="adj1" fmla="val 50000"/>
            <a:gd name="adj2" fmla="val 103333"/>
          </a:avLst>
        </a:prstGeom>
        <a:solidFill>
          <a:schemeClr val="tx2">
            <a:lumMod val="40000"/>
            <a:lumOff val="60000"/>
          </a:schemeClr>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23</xdr:col>
      <xdr:colOff>28239</xdr:colOff>
      <xdr:row>0</xdr:row>
      <xdr:rowOff>1</xdr:rowOff>
    </xdr:from>
    <xdr:ext cx="3484582" cy="304800"/>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9210339" y="1"/>
          <a:ext cx="3484582" cy="304800"/>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r>
            <a:rPr kumimoji="1" lang="ja-JP" altLang="en-US" sz="1600"/>
            <a:t>記載例</a:t>
          </a:r>
          <a:r>
            <a:rPr kumimoji="1" lang="ja-JP" altLang="en-US" sz="1000"/>
            <a:t>　（詳しい説明は、記載の手引きをご覧ください。）</a:t>
          </a:r>
        </a:p>
      </xdr:txBody>
    </xdr:sp>
    <xdr:clientData/>
  </xdr:oneCellAnchor>
  <xdr:twoCellAnchor>
    <xdr:from>
      <xdr:col>33</xdr:col>
      <xdr:colOff>157555</xdr:colOff>
      <xdr:row>0</xdr:row>
      <xdr:rowOff>3474</xdr:rowOff>
    </xdr:from>
    <xdr:to>
      <xdr:col>40</xdr:col>
      <xdr:colOff>297180</xdr:colOff>
      <xdr:row>1</xdr:row>
      <xdr:rowOff>148590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2722935" y="3474"/>
          <a:ext cx="2699945" cy="297516"/>
        </a:xfrm>
        <a:prstGeom prst="rect">
          <a:avLst/>
        </a:prstGeom>
        <a:solidFill>
          <a:schemeClr val="tx2">
            <a:lumMod val="40000"/>
            <a:lumOff val="60000"/>
          </a:schemeClr>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000" b="1" baseline="0">
              <a:solidFill>
                <a:schemeClr val="tx1"/>
              </a:solidFill>
            </a:rPr>
            <a:t>本面はすべて、県ホームページで公表します。</a:t>
          </a:r>
        </a:p>
      </xdr:txBody>
    </xdr:sp>
    <xdr:clientData/>
  </xdr:twoCellAnchor>
  <xdr:oneCellAnchor>
    <xdr:from>
      <xdr:col>17</xdr:col>
      <xdr:colOff>259256</xdr:colOff>
      <xdr:row>9</xdr:row>
      <xdr:rowOff>2567940</xdr:rowOff>
    </xdr:from>
    <xdr:ext cx="2568612" cy="1663048"/>
    <xdr:sp macro="" textlink="">
      <xdr:nvSpPr>
        <xdr:cNvPr id="70" name="四角形吹き出し 69">
          <a:extLst>
            <a:ext uri="{FF2B5EF4-FFF2-40B4-BE49-F238E27FC236}">
              <a16:creationId xmlns:a16="http://schemas.microsoft.com/office/drawing/2014/main" id="{00000000-0008-0000-0700-000046000000}"/>
            </a:ext>
          </a:extLst>
        </xdr:cNvPr>
        <xdr:cNvSpPr/>
      </xdr:nvSpPr>
      <xdr:spPr>
        <a:xfrm>
          <a:off x="6324776" y="5654040"/>
          <a:ext cx="2568612" cy="1663048"/>
        </a:xfrm>
        <a:prstGeom prst="wedgeRectCallout">
          <a:avLst>
            <a:gd name="adj1" fmla="val -58300"/>
            <a:gd name="adj2" fmla="val -38505"/>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000">
              <a:solidFill>
                <a:schemeClr val="tx1"/>
              </a:solidFill>
              <a:effectLst/>
              <a:latin typeface="+mn-ea"/>
              <a:ea typeface="+mn-ea"/>
              <a:cs typeface="+mn-cs"/>
            </a:rPr>
            <a:t>報告対象年度の</a:t>
          </a:r>
          <a:r>
            <a:rPr kumimoji="0" lang="en-US" altLang="ja-JP" sz="1000">
              <a:solidFill>
                <a:schemeClr val="tx1"/>
              </a:solidFill>
              <a:effectLst/>
              <a:latin typeface="+mn-ea"/>
              <a:ea typeface="+mn-ea"/>
              <a:cs typeface="+mn-cs"/>
            </a:rPr>
            <a:t>CO2</a:t>
          </a:r>
          <a:r>
            <a:rPr kumimoji="0" lang="ja-JP" altLang="en-US" sz="1000">
              <a:solidFill>
                <a:schemeClr val="tx1"/>
              </a:solidFill>
              <a:effectLst/>
              <a:latin typeface="+mn-ea"/>
              <a:ea typeface="+mn-ea"/>
              <a:cs typeface="+mn-cs"/>
            </a:rPr>
            <a:t>排出量及び原単位</a:t>
          </a:r>
          <a:endParaRPr kumimoji="0" lang="en-US" altLang="ja-JP" sz="1000">
            <a:solidFill>
              <a:schemeClr val="tx1"/>
            </a:solidFill>
            <a:effectLst/>
            <a:latin typeface="+mn-ea"/>
            <a:ea typeface="+mn-ea"/>
            <a:cs typeface="+mn-cs"/>
          </a:endParaRPr>
        </a:p>
        <a:p>
          <a:pPr algn="l">
            <a:lnSpc>
              <a:spcPts val="1100"/>
            </a:lnSpc>
          </a:pPr>
          <a:r>
            <a:rPr kumimoji="0" lang="ja-JP" altLang="en-US" sz="1000">
              <a:solidFill>
                <a:schemeClr val="tx1"/>
              </a:solidFill>
              <a:effectLst/>
              <a:latin typeface="+mn-ea"/>
              <a:ea typeface="+mn-ea"/>
              <a:cs typeface="+mn-cs"/>
            </a:rPr>
            <a:t>（基礎排出係数ベース）について、</a:t>
          </a:r>
          <a:endParaRPr kumimoji="0" lang="en-US" altLang="ja-JP" sz="1000">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前年度からの増減率</a:t>
          </a:r>
          <a:endParaRPr kumimoji="0" lang="en-US" altLang="ja-JP" sz="1000" b="1" u="sng">
            <a:solidFill>
              <a:sysClr val="windowText" lastClr="000000"/>
            </a:solidFill>
            <a:effectLst/>
            <a:latin typeface="+mn-ea"/>
            <a:ea typeface="+mn-ea"/>
            <a:cs typeface="+mn-cs"/>
          </a:endParaRPr>
        </a:p>
        <a:p>
          <a:pPr marL="0" marR="0" lvl="0" indent="0" algn="l" defTabSz="914400" eaLnBrk="1" fontAlgn="auto" latinLnBrk="0" hangingPunct="1">
            <a:lnSpc>
              <a:spcPts val="1100"/>
            </a:lnSpc>
            <a:spcBef>
              <a:spcPts val="0"/>
            </a:spcBef>
            <a:spcAft>
              <a:spcPts val="0"/>
            </a:spcAft>
            <a:buClrTx/>
            <a:buSzTx/>
            <a:buFontTx/>
            <a:buNone/>
            <a:tabLst/>
            <a:defRPr/>
          </a:pPr>
          <a:r>
            <a:rPr kumimoji="0" lang="ja-JP" altLang="en-US" sz="1000" b="1">
              <a:solidFill>
                <a:sysClr val="windowText" lastClr="000000"/>
              </a:solidFill>
              <a:effectLst/>
              <a:latin typeface="+mn-ea"/>
              <a:ea typeface="+mn-ea"/>
              <a:cs typeface="+mn-cs"/>
            </a:rPr>
            <a:t>・</a:t>
          </a:r>
          <a:r>
            <a:rPr kumimoji="0" lang="ja-JP" altLang="en-US" sz="1000" b="1" u="sng">
              <a:solidFill>
                <a:sysClr val="windowText" lastClr="000000"/>
              </a:solidFill>
              <a:effectLst/>
              <a:latin typeface="+mn-ea"/>
              <a:ea typeface="+mn-ea"/>
              <a:cs typeface="+mn-cs"/>
            </a:rPr>
            <a:t>主な増減理由</a:t>
          </a:r>
          <a:r>
            <a:rPr lang="en-US" altLang="ja-JP" sz="1100" b="1" u="sng">
              <a:solidFill>
                <a:sysClr val="windowText" lastClr="000000"/>
              </a:solidFill>
              <a:effectLst/>
              <a:latin typeface="+mn-lt"/>
              <a:ea typeface="+mn-ea"/>
              <a:cs typeface="+mn-cs"/>
            </a:rPr>
            <a:t>(</a:t>
          </a:r>
          <a:r>
            <a:rPr lang="ja-JP" altLang="ja-JP" sz="1100" b="1" u="sng">
              <a:solidFill>
                <a:sysClr val="windowText" lastClr="000000"/>
              </a:solidFill>
              <a:effectLst/>
              <a:latin typeface="+mn-lt"/>
              <a:ea typeface="+mn-ea"/>
              <a:cs typeface="+mn-cs"/>
            </a:rPr>
            <a:t>削減対策以外</a:t>
          </a:r>
          <a:r>
            <a:rPr lang="en-US" altLang="ja-JP" sz="1100" b="1" u="sng">
              <a:solidFill>
                <a:sysClr val="windowText" lastClr="000000"/>
              </a:solidFill>
              <a:effectLst/>
              <a:latin typeface="+mn-lt"/>
              <a:ea typeface="+mn-ea"/>
              <a:cs typeface="+mn-cs"/>
            </a:rPr>
            <a:t>)</a:t>
          </a:r>
          <a:endParaRPr kumimoji="0" lang="en-US" altLang="ja-JP" sz="1000" b="1" u="sng">
            <a:solidFill>
              <a:sysClr val="windowText" lastClr="000000"/>
            </a:solidFill>
            <a:effectLst/>
            <a:latin typeface="+mn-ea"/>
            <a:ea typeface="+mn-ea"/>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対象年度に実施した主な削減対策の内容</a:t>
          </a:r>
        </a:p>
        <a:p>
          <a:pPr marL="0" marR="0" lvl="0" indent="0" algn="l" defTabSz="914400" eaLnBrk="1" fontAlgn="auto" latinLnBrk="0" hangingPunct="1">
            <a:lnSpc>
              <a:spcPts val="1200"/>
            </a:lnSpc>
            <a:spcBef>
              <a:spcPts val="0"/>
            </a:spcBef>
            <a:spcAft>
              <a:spcPts val="0"/>
            </a:spcAft>
            <a:buClrTx/>
            <a:buSzTx/>
            <a:buFontTx/>
            <a:buNone/>
            <a:tabLst/>
            <a:defRPr/>
          </a:pPr>
          <a:r>
            <a:rPr lang="ja-JP" altLang="ja-JP" sz="1100" b="1">
              <a:solidFill>
                <a:sysClr val="windowText" lastClr="000000"/>
              </a:solidFill>
              <a:effectLst/>
              <a:latin typeface="+mn-lt"/>
              <a:ea typeface="+mn-ea"/>
              <a:cs typeface="+mn-cs"/>
            </a:rPr>
            <a:t>・</a:t>
          </a:r>
          <a:r>
            <a:rPr lang="ja-JP" altLang="ja-JP" sz="1100" b="1" u="sng">
              <a:solidFill>
                <a:sysClr val="windowText" lastClr="000000"/>
              </a:solidFill>
              <a:effectLst/>
              <a:latin typeface="+mn-lt"/>
              <a:ea typeface="+mn-ea"/>
              <a:cs typeface="+mn-cs"/>
            </a:rPr>
            <a:t>今期の達成見込み</a:t>
          </a:r>
          <a:endParaRPr kumimoji="0" lang="en-US" altLang="ja-JP" sz="1000" b="1" u="sng">
            <a:solidFill>
              <a:sysClr val="windowText" lastClr="000000"/>
            </a:solidFill>
            <a:effectLst/>
            <a:latin typeface="+mn-ea"/>
            <a:ea typeface="+mn-ea"/>
            <a:cs typeface="+mn-cs"/>
          </a:endParaRPr>
        </a:p>
        <a:p>
          <a:pPr algn="l">
            <a:lnSpc>
              <a:spcPts val="1000"/>
            </a:lnSpc>
          </a:pPr>
          <a:r>
            <a:rPr kumimoji="0" lang="ja-JP" altLang="en-US" sz="1000">
              <a:solidFill>
                <a:schemeClr val="tx1"/>
              </a:solidFill>
              <a:effectLst/>
              <a:latin typeface="+mn-ea"/>
              <a:ea typeface="+mn-ea"/>
              <a:cs typeface="+mn-cs"/>
            </a:rPr>
            <a:t>を必ず記載してください。</a:t>
          </a:r>
          <a:endParaRPr kumimoji="0" lang="en-US" altLang="ja-JP" sz="1000">
            <a:solidFill>
              <a:schemeClr val="tx1"/>
            </a:solidFill>
            <a:effectLst/>
            <a:latin typeface="+mn-ea"/>
            <a:ea typeface="+mn-ea"/>
            <a:cs typeface="+mn-cs"/>
          </a:endParaRPr>
        </a:p>
        <a:p>
          <a:pPr algn="l">
            <a:lnSpc>
              <a:spcPts val="900"/>
            </a:lnSpc>
          </a:pPr>
          <a:endParaRPr kumimoji="0" lang="en-US" altLang="ja-JP" sz="800">
            <a:solidFill>
              <a:schemeClr val="tx1"/>
            </a:solidFill>
            <a:effectLst/>
            <a:latin typeface="+mn-ea"/>
            <a:ea typeface="+mn-ea"/>
            <a:cs typeface="+mn-cs"/>
          </a:endParaRPr>
        </a:p>
        <a:p>
          <a:pPr eaLnBrk="1" fontAlgn="auto" latinLnBrk="0" hangingPunct="1"/>
          <a:r>
            <a:rPr lang="en-US" altLang="ja-JP" sz="900">
              <a:solidFill>
                <a:schemeClr val="tx1"/>
              </a:solidFill>
              <a:effectLst/>
              <a:latin typeface="+mn-lt"/>
              <a:ea typeface="+mn-ea"/>
              <a:cs typeface="+mn-cs"/>
            </a:rPr>
            <a:t>※</a:t>
          </a:r>
          <a:r>
            <a:rPr lang="ja-JP" altLang="ja-JP" sz="900">
              <a:solidFill>
                <a:schemeClr val="tx1"/>
              </a:solidFill>
              <a:effectLst/>
              <a:latin typeface="+mn-lt"/>
              <a:ea typeface="+mn-ea"/>
              <a:cs typeface="+mn-cs"/>
            </a:rPr>
            <a:t>あらかじめ記載されている</a:t>
          </a:r>
          <a:r>
            <a:rPr lang="ja-JP" altLang="en-US" sz="900">
              <a:solidFill>
                <a:schemeClr val="tx1"/>
              </a:solidFill>
              <a:effectLst/>
              <a:latin typeface="+mn-lt"/>
              <a:ea typeface="+mn-ea"/>
              <a:cs typeface="+mn-cs"/>
            </a:rPr>
            <a:t>内容を、</a:t>
          </a:r>
          <a:r>
            <a:rPr lang="ja-JP" altLang="ja-JP" sz="900">
              <a:solidFill>
                <a:schemeClr val="tx1"/>
              </a:solidFill>
              <a:effectLst/>
              <a:latin typeface="+mn-lt"/>
              <a:ea typeface="+mn-ea"/>
              <a:cs typeface="+mn-cs"/>
            </a:rPr>
            <a:t>適宜修正して</a:t>
          </a:r>
          <a:r>
            <a:rPr lang="ja-JP" altLang="en-US" sz="900">
              <a:solidFill>
                <a:schemeClr val="tx1"/>
              </a:solidFill>
              <a:effectLst/>
              <a:latin typeface="+mn-lt"/>
              <a:ea typeface="+mn-ea"/>
              <a:cs typeface="+mn-cs"/>
            </a:rPr>
            <a:t>ください。</a:t>
          </a:r>
          <a:endParaRPr lang="ja-JP" altLang="ja-JP" sz="500">
            <a:solidFill>
              <a:schemeClr val="tx1"/>
            </a:solidFill>
            <a:effectLst/>
          </a:endParaRPr>
        </a:p>
      </xdr:txBody>
    </xdr:sp>
    <xdr:clientData/>
  </xdr:oneCellAnchor>
  <mc:AlternateContent xmlns:mc="http://schemas.openxmlformats.org/markup-compatibility/2006">
    <mc:Choice xmlns:a14="http://schemas.microsoft.com/office/drawing/2010/main" Requires="a14">
      <xdr:twoCellAnchor editAs="oneCell">
        <xdr:from>
          <xdr:col>17</xdr:col>
          <xdr:colOff>335280</xdr:colOff>
          <xdr:row>9</xdr:row>
          <xdr:rowOff>2537460</xdr:rowOff>
        </xdr:from>
        <xdr:to>
          <xdr:col>17</xdr:col>
          <xdr:colOff>647700</xdr:colOff>
          <xdr:row>9</xdr:row>
          <xdr:rowOff>2827020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7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5446</xdr:colOff>
      <xdr:row>4</xdr:row>
      <xdr:rowOff>28575</xdr:rowOff>
    </xdr:from>
    <xdr:to>
      <xdr:col>41</xdr:col>
      <xdr:colOff>9525</xdr:colOff>
      <xdr:row>4</xdr:row>
      <xdr:rowOff>438150</xdr:rowOff>
    </xdr:to>
    <xdr:sp macro="" textlink="">
      <xdr:nvSpPr>
        <xdr:cNvPr id="85" name="角丸四角形 84">
          <a:extLst>
            <a:ext uri="{FF2B5EF4-FFF2-40B4-BE49-F238E27FC236}">
              <a16:creationId xmlns:a16="http://schemas.microsoft.com/office/drawing/2014/main" id="{00000000-0008-0000-0700-000055000000}"/>
            </a:ext>
          </a:extLst>
        </xdr:cNvPr>
        <xdr:cNvSpPr/>
      </xdr:nvSpPr>
      <xdr:spPr>
        <a:xfrm>
          <a:off x="12168871" y="828675"/>
          <a:ext cx="5738129" cy="4095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5446</xdr:colOff>
      <xdr:row>7</xdr:row>
      <xdr:rowOff>25399</xdr:rowOff>
    </xdr:from>
    <xdr:to>
      <xdr:col>41</xdr:col>
      <xdr:colOff>3599</xdr:colOff>
      <xdr:row>7</xdr:row>
      <xdr:rowOff>447674</xdr:rowOff>
    </xdr:to>
    <xdr:sp macro="" textlink="">
      <xdr:nvSpPr>
        <xdr:cNvPr id="86" name="角丸四角形 85">
          <a:extLst>
            <a:ext uri="{FF2B5EF4-FFF2-40B4-BE49-F238E27FC236}">
              <a16:creationId xmlns:a16="http://schemas.microsoft.com/office/drawing/2014/main" id="{00000000-0008-0000-0700-000056000000}"/>
            </a:ext>
          </a:extLst>
        </xdr:cNvPr>
        <xdr:cNvSpPr/>
      </xdr:nvSpPr>
      <xdr:spPr>
        <a:xfrm>
          <a:off x="10241646" y="2201332"/>
          <a:ext cx="5196686" cy="4222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390527</xdr:colOff>
      <xdr:row>5</xdr:row>
      <xdr:rowOff>23131</xdr:rowOff>
    </xdr:from>
    <xdr:to>
      <xdr:col>33</xdr:col>
      <xdr:colOff>400049</xdr:colOff>
      <xdr:row>5</xdr:row>
      <xdr:rowOff>444953</xdr:rowOff>
    </xdr:to>
    <xdr:sp macro="" textlink="">
      <xdr:nvSpPr>
        <xdr:cNvPr id="92" name="角丸四角形 91">
          <a:extLst>
            <a:ext uri="{FF2B5EF4-FFF2-40B4-BE49-F238E27FC236}">
              <a16:creationId xmlns:a16="http://schemas.microsoft.com/office/drawing/2014/main" id="{00000000-0008-0000-0700-00005C000000}"/>
            </a:ext>
          </a:extLst>
        </xdr:cNvPr>
        <xdr:cNvSpPr/>
      </xdr:nvSpPr>
      <xdr:spPr>
        <a:xfrm>
          <a:off x="12144377" y="1280431"/>
          <a:ext cx="2876547" cy="421822"/>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400052</xdr:colOff>
      <xdr:row>8</xdr:row>
      <xdr:rowOff>23131</xdr:rowOff>
    </xdr:from>
    <xdr:to>
      <xdr:col>33</xdr:col>
      <xdr:colOff>409574</xdr:colOff>
      <xdr:row>8</xdr:row>
      <xdr:rowOff>444953</xdr:rowOff>
    </xdr:to>
    <xdr:sp macro="" textlink="">
      <xdr:nvSpPr>
        <xdr:cNvPr id="96" name="角丸四角形 95">
          <a:extLst>
            <a:ext uri="{FF2B5EF4-FFF2-40B4-BE49-F238E27FC236}">
              <a16:creationId xmlns:a16="http://schemas.microsoft.com/office/drawing/2014/main" id="{00000000-0008-0000-0700-000060000000}"/>
            </a:ext>
          </a:extLst>
        </xdr:cNvPr>
        <xdr:cNvSpPr/>
      </xdr:nvSpPr>
      <xdr:spPr>
        <a:xfrm>
          <a:off x="12153902" y="2652031"/>
          <a:ext cx="2876547" cy="421822"/>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211456</xdr:colOff>
      <xdr:row>7</xdr:row>
      <xdr:rowOff>73023</xdr:rowOff>
    </xdr:from>
    <xdr:to>
      <xdr:col>27</xdr:col>
      <xdr:colOff>9526</xdr:colOff>
      <xdr:row>7</xdr:row>
      <xdr:rowOff>120649</xdr:rowOff>
    </xdr:to>
    <xdr:sp macro="" textlink="">
      <xdr:nvSpPr>
        <xdr:cNvPr id="5" name="フリーフォーム 4">
          <a:extLst>
            <a:ext uri="{FF2B5EF4-FFF2-40B4-BE49-F238E27FC236}">
              <a16:creationId xmlns:a16="http://schemas.microsoft.com/office/drawing/2014/main" id="{00000000-0008-0000-0700-000005000000}"/>
            </a:ext>
          </a:extLst>
        </xdr:cNvPr>
        <xdr:cNvSpPr/>
      </xdr:nvSpPr>
      <xdr:spPr>
        <a:xfrm flipV="1">
          <a:off x="9363923" y="2248956"/>
          <a:ext cx="881803" cy="47626"/>
        </a:xfrm>
        <a:custGeom>
          <a:avLst/>
          <a:gdLst>
            <a:gd name="connsiteX0" fmla="*/ 904875 w 904875"/>
            <a:gd name="connsiteY0" fmla="*/ 0 h 0"/>
            <a:gd name="connsiteX1" fmla="*/ 0 w 904875"/>
            <a:gd name="connsiteY1" fmla="*/ 0 h 0"/>
          </a:gdLst>
          <a:ahLst/>
          <a:cxnLst>
            <a:cxn ang="0">
              <a:pos x="connsiteX0" y="connsiteY0"/>
            </a:cxn>
            <a:cxn ang="0">
              <a:pos x="connsiteX1" y="connsiteY1"/>
            </a:cxn>
          </a:cxnLst>
          <a:rect l="l" t="t" r="r" b="b"/>
          <a:pathLst>
            <a:path w="904875">
              <a:moveTo>
                <a:pt x="904875" y="0"/>
              </a:move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114300</xdr:colOff>
      <xdr:row>8</xdr:row>
      <xdr:rowOff>307282</xdr:rowOff>
    </xdr:from>
    <xdr:to>
      <xdr:col>27</xdr:col>
      <xdr:colOff>1905</xdr:colOff>
      <xdr:row>8</xdr:row>
      <xdr:rowOff>411480</xdr:rowOff>
    </xdr:to>
    <xdr:sp macro="" textlink="">
      <xdr:nvSpPr>
        <xdr:cNvPr id="100" name="フリーフォーム 99">
          <a:extLst>
            <a:ext uri="{FF2B5EF4-FFF2-40B4-BE49-F238E27FC236}">
              <a16:creationId xmlns:a16="http://schemas.microsoft.com/office/drawing/2014/main" id="{00000000-0008-0000-0700-000064000000}"/>
            </a:ext>
          </a:extLst>
        </xdr:cNvPr>
        <xdr:cNvSpPr/>
      </xdr:nvSpPr>
      <xdr:spPr>
        <a:xfrm flipV="1">
          <a:off x="9296400" y="2936182"/>
          <a:ext cx="977265" cy="104198"/>
        </a:xfrm>
        <a:custGeom>
          <a:avLst/>
          <a:gdLst>
            <a:gd name="connsiteX0" fmla="*/ 704850 w 704850"/>
            <a:gd name="connsiteY0" fmla="*/ 0 h 0"/>
            <a:gd name="connsiteX1" fmla="*/ 0 w 704850"/>
            <a:gd name="connsiteY1" fmla="*/ 0 h 0"/>
          </a:gdLst>
          <a:ahLst/>
          <a:cxnLst>
            <a:cxn ang="0">
              <a:pos x="connsiteX0" y="connsiteY0"/>
            </a:cxn>
            <a:cxn ang="0">
              <a:pos x="connsiteX1" y="connsiteY1"/>
            </a:cxn>
          </a:cxnLst>
          <a:rect l="l" t="t" r="r" b="b"/>
          <a:pathLst>
            <a:path w="704850">
              <a:moveTo>
                <a:pt x="704850" y="0"/>
              </a:moveTo>
              <a:lnTo>
                <a:pt x="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1074421</xdr:colOff>
      <xdr:row>5</xdr:row>
      <xdr:rowOff>352424</xdr:rowOff>
    </xdr:from>
    <xdr:to>
      <xdr:col>27</xdr:col>
      <xdr:colOff>113</xdr:colOff>
      <xdr:row>9</xdr:row>
      <xdr:rowOff>2049779</xdr:rowOff>
    </xdr:to>
    <xdr:sp macro="" textlink="">
      <xdr:nvSpPr>
        <xdr:cNvPr id="8" name="フリーフォーム 7">
          <a:extLst>
            <a:ext uri="{FF2B5EF4-FFF2-40B4-BE49-F238E27FC236}">
              <a16:creationId xmlns:a16="http://schemas.microsoft.com/office/drawing/2014/main" id="{00000000-0008-0000-0700-000008000000}"/>
            </a:ext>
          </a:extLst>
        </xdr:cNvPr>
        <xdr:cNvSpPr/>
      </xdr:nvSpPr>
      <xdr:spPr>
        <a:xfrm>
          <a:off x="8884921" y="1609724"/>
          <a:ext cx="1386952" cy="3526155"/>
        </a:xfrm>
        <a:custGeom>
          <a:avLst/>
          <a:gdLst>
            <a:gd name="connsiteX0" fmla="*/ 0 w 1238250"/>
            <a:gd name="connsiteY0" fmla="*/ 3457575 h 3457575"/>
            <a:gd name="connsiteX1" fmla="*/ 361950 w 1238250"/>
            <a:gd name="connsiteY1" fmla="*/ 3457575 h 3457575"/>
            <a:gd name="connsiteX2" fmla="*/ 361950 w 1238250"/>
            <a:gd name="connsiteY2" fmla="*/ 0 h 3457575"/>
            <a:gd name="connsiteX3" fmla="*/ 1238250 w 1238250"/>
            <a:gd name="connsiteY3" fmla="*/ 0 h 3457575"/>
          </a:gdLst>
          <a:ahLst/>
          <a:cxnLst>
            <a:cxn ang="0">
              <a:pos x="connsiteX0" y="connsiteY0"/>
            </a:cxn>
            <a:cxn ang="0">
              <a:pos x="connsiteX1" y="connsiteY1"/>
            </a:cxn>
            <a:cxn ang="0">
              <a:pos x="connsiteX2" y="connsiteY2"/>
            </a:cxn>
            <a:cxn ang="0">
              <a:pos x="connsiteX3" y="connsiteY3"/>
            </a:cxn>
          </a:cxnLst>
          <a:rect l="l" t="t" r="r" b="b"/>
          <a:pathLst>
            <a:path w="1238250" h="3457575">
              <a:moveTo>
                <a:pt x="0" y="3457575"/>
              </a:moveTo>
              <a:lnTo>
                <a:pt x="361950" y="3457575"/>
              </a:lnTo>
              <a:lnTo>
                <a:pt x="361950" y="0"/>
              </a:lnTo>
              <a:lnTo>
                <a:pt x="123825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53340</xdr:colOff>
      <xdr:row>7</xdr:row>
      <xdr:rowOff>15858</xdr:rowOff>
    </xdr:from>
    <xdr:to>
      <xdr:col>23</xdr:col>
      <xdr:colOff>211455</xdr:colOff>
      <xdr:row>7</xdr:row>
      <xdr:rowOff>121919</xdr:rowOff>
    </xdr:to>
    <xdr:sp macro="" textlink="">
      <xdr:nvSpPr>
        <xdr:cNvPr id="16" name="フリーフォーム 15">
          <a:extLst>
            <a:ext uri="{FF2B5EF4-FFF2-40B4-BE49-F238E27FC236}">
              <a16:creationId xmlns:a16="http://schemas.microsoft.com/office/drawing/2014/main" id="{00000000-0008-0000-0700-000010000000}"/>
            </a:ext>
          </a:extLst>
        </xdr:cNvPr>
        <xdr:cNvSpPr/>
      </xdr:nvSpPr>
      <xdr:spPr>
        <a:xfrm>
          <a:off x="9235440" y="2187558"/>
          <a:ext cx="158115" cy="106061"/>
        </a:xfrm>
        <a:custGeom>
          <a:avLst/>
          <a:gdLst>
            <a:gd name="connsiteX0" fmla="*/ 114300 w 114300"/>
            <a:gd name="connsiteY0" fmla="*/ 104794 h 104794"/>
            <a:gd name="connsiteX1" fmla="*/ 47625 w 114300"/>
            <a:gd name="connsiteY1" fmla="*/ 19 h 104794"/>
            <a:gd name="connsiteX2" fmla="*/ 0 w 114300"/>
            <a:gd name="connsiteY2" fmla="*/ 95269 h 104794"/>
            <a:gd name="connsiteX3" fmla="*/ 0 w 114300"/>
            <a:gd name="connsiteY3" fmla="*/ 95269 h 104794"/>
          </a:gdLst>
          <a:ahLst/>
          <a:cxnLst>
            <a:cxn ang="0">
              <a:pos x="connsiteX0" y="connsiteY0"/>
            </a:cxn>
            <a:cxn ang="0">
              <a:pos x="connsiteX1" y="connsiteY1"/>
            </a:cxn>
            <a:cxn ang="0">
              <a:pos x="connsiteX2" y="connsiteY2"/>
            </a:cxn>
            <a:cxn ang="0">
              <a:pos x="connsiteX3" y="connsiteY3"/>
            </a:cxn>
          </a:cxnLst>
          <a:rect l="l" t="t" r="r" b="b"/>
          <a:pathLst>
            <a:path w="114300" h="104794">
              <a:moveTo>
                <a:pt x="114300" y="104794"/>
              </a:moveTo>
              <a:cubicBezTo>
                <a:pt x="90487" y="53200"/>
                <a:pt x="66675" y="1606"/>
                <a:pt x="47625" y="19"/>
              </a:cubicBezTo>
              <a:cubicBezTo>
                <a:pt x="28575" y="-1568"/>
                <a:pt x="0" y="95269"/>
                <a:pt x="0" y="95269"/>
              </a:cubicBezTo>
              <a:lnTo>
                <a:pt x="0" y="95269"/>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47626</xdr:colOff>
      <xdr:row>17</xdr:row>
      <xdr:rowOff>19050</xdr:rowOff>
    </xdr:from>
    <xdr:to>
      <xdr:col>17</xdr:col>
      <xdr:colOff>249116</xdr:colOff>
      <xdr:row>21</xdr:row>
      <xdr:rowOff>428625</xdr:rowOff>
    </xdr:to>
    <xdr:sp macro="" textlink="">
      <xdr:nvSpPr>
        <xdr:cNvPr id="39" name="右中かっこ 38">
          <a:extLst>
            <a:ext uri="{FF2B5EF4-FFF2-40B4-BE49-F238E27FC236}">
              <a16:creationId xmlns:a16="http://schemas.microsoft.com/office/drawing/2014/main" id="{00000000-0008-0000-0700-000027000000}"/>
            </a:ext>
          </a:extLst>
        </xdr:cNvPr>
        <xdr:cNvSpPr/>
      </xdr:nvSpPr>
      <xdr:spPr>
        <a:xfrm>
          <a:off x="6773741" y="8034704"/>
          <a:ext cx="201490" cy="2109421"/>
        </a:xfrm>
        <a:prstGeom prst="rightBrace">
          <a:avLst>
            <a:gd name="adj1" fmla="val 33333"/>
            <a:gd name="adj2" fmla="val 40868"/>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17</xdr:col>
      <xdr:colOff>400049</xdr:colOff>
      <xdr:row>18</xdr:row>
      <xdr:rowOff>123826</xdr:rowOff>
    </xdr:from>
    <xdr:ext cx="2450728" cy="1310528"/>
    <xdr:sp macro="" textlink="">
      <xdr:nvSpPr>
        <xdr:cNvPr id="42" name="四角形吹き出し 41">
          <a:extLst>
            <a:ext uri="{FF2B5EF4-FFF2-40B4-BE49-F238E27FC236}">
              <a16:creationId xmlns:a16="http://schemas.microsoft.com/office/drawing/2014/main" id="{00000000-0008-0000-0700-00002A000000}"/>
            </a:ext>
          </a:extLst>
        </xdr:cNvPr>
        <xdr:cNvSpPr/>
      </xdr:nvSpPr>
      <xdr:spPr>
        <a:xfrm>
          <a:off x="6487084" y="8595473"/>
          <a:ext cx="2450728" cy="1310528"/>
        </a:xfrm>
        <a:prstGeom prst="wedgeRectCallout">
          <a:avLst>
            <a:gd name="adj1" fmla="val -56486"/>
            <a:gd name="adj2" fmla="val -25925"/>
          </a:avLst>
        </a:prstGeom>
        <a:solidFill>
          <a:schemeClr val="bg1"/>
        </a:solid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200"/>
            </a:lnSpc>
          </a:pPr>
          <a:r>
            <a:rPr kumimoji="0" lang="ja-JP" altLang="en-US" sz="1100" b="1" u="sng">
              <a:solidFill>
                <a:schemeClr val="tx1"/>
              </a:solidFill>
              <a:effectLst/>
              <a:latin typeface="+mn-ea"/>
              <a:ea typeface="+mn-ea"/>
              <a:cs typeface="+mn-cs"/>
            </a:rPr>
            <a:t>当期の計画書に全国的な目標値を設定している場合のみ記載</a:t>
          </a:r>
          <a:r>
            <a:rPr kumimoji="0" lang="ja-JP" altLang="en-US" sz="1100" b="0">
              <a:solidFill>
                <a:schemeClr val="tx1"/>
              </a:solidFill>
              <a:effectLst/>
              <a:latin typeface="+mn-ea"/>
              <a:ea typeface="+mn-ea"/>
              <a:cs typeface="+mn-cs"/>
            </a:rPr>
            <a:t>してください。</a:t>
          </a:r>
          <a:endParaRPr kumimoji="0" lang="en-US" altLang="ja-JP" sz="1100" b="0">
            <a:solidFill>
              <a:schemeClr val="tx1"/>
            </a:solidFill>
            <a:effectLst/>
            <a:latin typeface="+mn-ea"/>
            <a:ea typeface="+mn-ea"/>
            <a:cs typeface="+mn-cs"/>
          </a:endParaRPr>
        </a:p>
        <a:p>
          <a:pPr algn="l">
            <a:lnSpc>
              <a:spcPts val="1200"/>
            </a:lnSpc>
          </a:pPr>
          <a:r>
            <a:rPr kumimoji="0" lang="ja-JP" altLang="en-US" sz="1100" b="1">
              <a:solidFill>
                <a:schemeClr val="tx1"/>
              </a:solidFill>
              <a:effectLst/>
              <a:latin typeface="+mn-ea"/>
              <a:ea typeface="+mn-ea"/>
              <a:cs typeface="+mn-cs"/>
            </a:rPr>
            <a:t>（</a:t>
          </a:r>
          <a:r>
            <a:rPr kumimoji="0" lang="ja-JP" altLang="en-US" sz="1100" b="1">
              <a:solidFill>
                <a:srgbClr val="FF0000"/>
              </a:solidFill>
              <a:effectLst/>
              <a:latin typeface="+mn-ea"/>
              <a:ea typeface="+mn-ea"/>
              <a:cs typeface="+mn-cs"/>
            </a:rPr>
            <a:t>通常該当なし</a:t>
          </a:r>
          <a:r>
            <a:rPr kumimoji="0" lang="ja-JP" altLang="en-US" sz="1100" b="1">
              <a:solidFill>
                <a:schemeClr val="tx1"/>
              </a:solidFill>
              <a:effectLst/>
              <a:latin typeface="+mn-ea"/>
              <a:ea typeface="+mn-ea"/>
              <a:cs typeface="+mn-cs"/>
            </a:rPr>
            <a:t>）</a:t>
          </a:r>
          <a:endParaRPr kumimoji="0" lang="en-US" altLang="ja-JP" sz="1100" b="1">
            <a:solidFill>
              <a:schemeClr val="tx1"/>
            </a:solidFill>
            <a:effectLst/>
            <a:latin typeface="+mn-ea"/>
            <a:ea typeface="+mn-ea"/>
            <a:cs typeface="+mn-cs"/>
          </a:endParaRPr>
        </a:p>
        <a:p>
          <a:pPr algn="l">
            <a:lnSpc>
              <a:spcPts val="1200"/>
            </a:lnSpc>
          </a:pPr>
          <a:r>
            <a:rPr kumimoji="0" lang="en-US" altLang="ja-JP" sz="1000">
              <a:solidFill>
                <a:schemeClr val="tx1"/>
              </a:solidFill>
              <a:effectLst/>
              <a:latin typeface="+mn-ea"/>
              <a:ea typeface="+mn-ea"/>
              <a:cs typeface="+mn-cs"/>
            </a:rPr>
            <a:t>※</a:t>
          </a:r>
          <a:r>
            <a:rPr kumimoji="0" lang="ja-JP" altLang="en-US" sz="1000">
              <a:solidFill>
                <a:schemeClr val="tx1"/>
              </a:solidFill>
              <a:effectLst/>
              <a:latin typeface="+mn-ea"/>
              <a:ea typeface="+mn-ea"/>
              <a:cs typeface="+mn-cs"/>
            </a:rPr>
            <a:t>入力があった場合、注意喚起としてセルがオレンジ色に網掛けされますが、誤入力でなければ特段対応は不要です。</a:t>
          </a:r>
        </a:p>
        <a:p>
          <a:pPr algn="l">
            <a:lnSpc>
              <a:spcPts val="1200"/>
            </a:lnSpc>
          </a:pPr>
          <a:r>
            <a:rPr kumimoji="0" lang="ja-JP" altLang="en-US" sz="1000">
              <a:solidFill>
                <a:schemeClr val="tx1"/>
              </a:solidFill>
              <a:effectLst/>
              <a:latin typeface="+mn-ea"/>
              <a:ea typeface="+mn-ea"/>
              <a:cs typeface="+mn-cs"/>
            </a:rPr>
            <a:t>。</a:t>
          </a:r>
          <a:endParaRPr kumimoji="1" lang="ja-JP" altLang="en-US" sz="1000">
            <a:solidFill>
              <a:schemeClr val="tx1"/>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17</xdr:col>
          <xdr:colOff>457200</xdr:colOff>
          <xdr:row>18</xdr:row>
          <xdr:rowOff>68580</xdr:rowOff>
        </xdr:from>
        <xdr:to>
          <xdr:col>17</xdr:col>
          <xdr:colOff>769620</xdr:colOff>
          <xdr:row>18</xdr:row>
          <xdr:rowOff>365760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7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356234</xdr:colOff>
      <xdr:row>10</xdr:row>
      <xdr:rowOff>7327</xdr:rowOff>
    </xdr:from>
    <xdr:to>
      <xdr:col>17</xdr:col>
      <xdr:colOff>129540</xdr:colOff>
      <xdr:row>16</xdr:row>
      <xdr:rowOff>122359</xdr:rowOff>
    </xdr:to>
    <xdr:sp macro="" textlink="">
      <xdr:nvSpPr>
        <xdr:cNvPr id="43" name="右中かっこ 42">
          <a:extLst>
            <a:ext uri="{FF2B5EF4-FFF2-40B4-BE49-F238E27FC236}">
              <a16:creationId xmlns:a16="http://schemas.microsoft.com/office/drawing/2014/main" id="{00000000-0008-0000-0700-00002B000000}"/>
            </a:ext>
          </a:extLst>
        </xdr:cNvPr>
        <xdr:cNvSpPr/>
      </xdr:nvSpPr>
      <xdr:spPr>
        <a:xfrm>
          <a:off x="6055994" y="6751027"/>
          <a:ext cx="139066" cy="1258032"/>
        </a:xfrm>
        <a:prstGeom prst="rightBrace">
          <a:avLst>
            <a:gd name="adj1" fmla="val 33333"/>
            <a:gd name="adj2" fmla="val 6502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17</xdr:col>
      <xdr:colOff>264582</xdr:colOff>
      <xdr:row>13</xdr:row>
      <xdr:rowOff>39705</xdr:rowOff>
    </xdr:from>
    <xdr:ext cx="2563285" cy="1104901"/>
    <xdr:sp macro="" textlink="">
      <xdr:nvSpPr>
        <xdr:cNvPr id="44" name="四角形吹き出し 43">
          <a:extLst>
            <a:ext uri="{FF2B5EF4-FFF2-40B4-BE49-F238E27FC236}">
              <a16:creationId xmlns:a16="http://schemas.microsoft.com/office/drawing/2014/main" id="{00000000-0008-0000-0700-00002C000000}"/>
            </a:ext>
          </a:extLst>
        </xdr:cNvPr>
        <xdr:cNvSpPr/>
      </xdr:nvSpPr>
      <xdr:spPr>
        <a:xfrm>
          <a:off x="6330102" y="7354905"/>
          <a:ext cx="2563285" cy="1104901"/>
        </a:xfrm>
        <a:prstGeom prst="wedgeRectCallout">
          <a:avLst>
            <a:gd name="adj1" fmla="val -55931"/>
            <a:gd name="adj2" fmla="val -32007"/>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000"/>
            </a:lnSpc>
          </a:pPr>
          <a:r>
            <a:rPr kumimoji="0" lang="ja-JP" altLang="en-US" sz="1000">
              <a:solidFill>
                <a:schemeClr val="tx1"/>
              </a:solidFill>
              <a:effectLst/>
              <a:latin typeface="+mn-ea"/>
              <a:ea typeface="+mn-ea"/>
              <a:cs typeface="+mn-cs"/>
            </a:rPr>
            <a:t>計画の対象地域に使用の本拠を置く自動車のうち</a:t>
          </a:r>
          <a:r>
            <a:rPr kumimoji="0" lang="ja-JP" altLang="en-US" sz="1000" b="1">
              <a:solidFill>
                <a:schemeClr val="tx1"/>
              </a:solidFill>
              <a:effectLst/>
              <a:latin typeface="+mn-ea"/>
              <a:ea typeface="+mn-ea"/>
              <a:cs typeface="+mn-cs"/>
            </a:rPr>
            <a:t>電気自動車等の台数の内訳</a:t>
          </a:r>
          <a:r>
            <a:rPr kumimoji="0" lang="ja-JP" altLang="en-US" sz="900">
              <a:solidFill>
                <a:schemeClr val="tx1"/>
              </a:solidFill>
              <a:effectLst/>
              <a:latin typeface="+mn-ea"/>
              <a:ea typeface="+mn-ea"/>
              <a:cs typeface="+mn-cs"/>
            </a:rPr>
            <a:t>（</a:t>
          </a:r>
          <a:r>
            <a:rPr lang="ja-JP" altLang="en-US" sz="900" b="0" strike="noStrike" baseline="0">
              <a:solidFill>
                <a:sysClr val="windowText" lastClr="000000"/>
              </a:solidFill>
              <a:effectLst/>
              <a:latin typeface="+mn-lt"/>
              <a:ea typeface="+mn-ea"/>
              <a:cs typeface="+mn-cs"/>
            </a:rPr>
            <a:t>報告対象</a:t>
          </a:r>
          <a:r>
            <a:rPr kumimoji="0" lang="ja-JP" altLang="en-US" sz="900" b="0" strike="noStrike" baseline="0">
              <a:solidFill>
                <a:sysClr val="windowText" lastClr="000000"/>
              </a:solidFill>
              <a:effectLst/>
              <a:latin typeface="+mn-ea"/>
              <a:ea typeface="+mn-ea"/>
              <a:cs typeface="+mn-cs"/>
            </a:rPr>
            <a:t>の年度</a:t>
          </a:r>
          <a:r>
            <a:rPr kumimoji="0" lang="ja-JP" altLang="en-US" sz="900" b="0">
              <a:solidFill>
                <a:sysClr val="windowText" lastClr="000000"/>
              </a:solidFill>
              <a:effectLst/>
              <a:latin typeface="+mn-ea"/>
              <a:ea typeface="+mn-ea"/>
              <a:cs typeface="+mn-cs"/>
            </a:rPr>
            <a:t>末</a:t>
          </a:r>
          <a:r>
            <a:rPr lang="ja-JP" altLang="ja-JP" sz="900">
              <a:solidFill>
                <a:schemeClr val="tx1"/>
              </a:solidFill>
              <a:effectLst/>
              <a:latin typeface="+mn-lt"/>
              <a:ea typeface="+mn-ea"/>
              <a:cs typeface="+mn-cs"/>
            </a:rPr>
            <a:t>現在</a:t>
          </a:r>
          <a:r>
            <a:rPr kumimoji="0" lang="ja-JP" altLang="en-US" sz="900">
              <a:solidFill>
                <a:schemeClr val="tx1"/>
              </a:solidFill>
              <a:effectLst/>
              <a:latin typeface="+mn-ea"/>
              <a:ea typeface="+mn-ea"/>
              <a:cs typeface="+mn-cs"/>
            </a:rPr>
            <a:t>）</a:t>
          </a:r>
          <a:r>
            <a:rPr kumimoji="0" lang="ja-JP" altLang="en-US" sz="1000">
              <a:solidFill>
                <a:schemeClr val="tx1"/>
              </a:solidFill>
              <a:effectLst/>
              <a:latin typeface="+mn-ea"/>
              <a:ea typeface="+mn-ea"/>
              <a:cs typeface="+mn-cs"/>
            </a:rPr>
            <a:t>を記入してください。</a:t>
          </a:r>
          <a:endParaRPr kumimoji="0" lang="en-US" altLang="ja-JP" sz="1000">
            <a:solidFill>
              <a:schemeClr val="tx1"/>
            </a:solidFill>
            <a:effectLst/>
            <a:latin typeface="+mn-ea"/>
            <a:ea typeface="+mn-ea"/>
            <a:cs typeface="+mn-cs"/>
          </a:endParaRPr>
        </a:p>
        <a:p>
          <a:pPr algn="l">
            <a:lnSpc>
              <a:spcPts val="900"/>
            </a:lnSpc>
          </a:pPr>
          <a:r>
            <a:rPr kumimoji="0" lang="en-US" altLang="ja-JP" sz="800">
              <a:solidFill>
                <a:schemeClr val="tx1"/>
              </a:solidFill>
              <a:effectLst/>
              <a:latin typeface="+mn-ea"/>
              <a:ea typeface="+mn-ea"/>
              <a:cs typeface="+mn-cs"/>
            </a:rPr>
            <a:t>※</a:t>
          </a:r>
          <a:r>
            <a:rPr kumimoji="0" lang="ja-JP" altLang="en-US" sz="800">
              <a:solidFill>
                <a:schemeClr val="tx1"/>
              </a:solidFill>
              <a:effectLst/>
              <a:latin typeface="+mn-ea"/>
              <a:ea typeface="+mn-ea"/>
              <a:cs typeface="+mn-cs"/>
            </a:rPr>
            <a:t>総数は第１面の数値と同じになります。</a:t>
          </a:r>
          <a:endParaRPr kumimoji="0" lang="en-US" altLang="ja-JP" sz="800">
            <a:solidFill>
              <a:schemeClr val="tx1"/>
            </a:solidFill>
            <a:effectLst/>
            <a:latin typeface="+mn-ea"/>
            <a:ea typeface="+mn-ea"/>
            <a:cs typeface="+mn-cs"/>
          </a:endParaRPr>
        </a:p>
        <a:p>
          <a:pPr algn="l">
            <a:lnSpc>
              <a:spcPts val="900"/>
            </a:lnSpc>
          </a:pPr>
          <a:r>
            <a:rPr kumimoji="0" lang="en-US" altLang="ja-JP" sz="800">
              <a:solidFill>
                <a:schemeClr val="tx1"/>
              </a:solidFill>
              <a:effectLst/>
              <a:latin typeface="+mn-ea"/>
              <a:ea typeface="+mn-ea"/>
              <a:cs typeface="+mn-cs"/>
            </a:rPr>
            <a:t>※</a:t>
          </a:r>
          <a:r>
            <a:rPr kumimoji="0" lang="ja-JP" altLang="en-US" sz="800">
              <a:solidFill>
                <a:schemeClr val="tx1"/>
              </a:solidFill>
              <a:effectLst/>
              <a:latin typeface="+mn-ea"/>
              <a:ea typeface="+mn-ea"/>
              <a:cs typeface="+mn-cs"/>
            </a:rPr>
            <a:t>ディーゼル代替ＬＰガス自動車を１台以上使用していると記入された場合、当該車両の型式等を確認させていただく場合があります。</a:t>
          </a:r>
          <a:endParaRPr kumimoji="1" lang="ja-JP" altLang="en-US" sz="800">
            <a:solidFill>
              <a:schemeClr val="tx1"/>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17</xdr:col>
          <xdr:colOff>327660</xdr:colOff>
          <xdr:row>13</xdr:row>
          <xdr:rowOff>0</xdr:rowOff>
        </xdr:from>
        <xdr:to>
          <xdr:col>17</xdr:col>
          <xdr:colOff>655320</xdr:colOff>
          <xdr:row>14</xdr:row>
          <xdr:rowOff>106680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7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173131</xdr:colOff>
      <xdr:row>1</xdr:row>
      <xdr:rowOff>179294</xdr:rowOff>
    </xdr:from>
    <xdr:to>
      <xdr:col>35</xdr:col>
      <xdr:colOff>211231</xdr:colOff>
      <xdr:row>3</xdr:row>
      <xdr:rowOff>112619</xdr:rowOff>
    </xdr:to>
    <xdr:sp macro="" textlink="">
      <xdr:nvSpPr>
        <xdr:cNvPr id="2" name="フリーフォーム 1">
          <a:extLst>
            <a:ext uri="{FF2B5EF4-FFF2-40B4-BE49-F238E27FC236}">
              <a16:creationId xmlns:a16="http://schemas.microsoft.com/office/drawing/2014/main" id="{00000000-0008-0000-0700-000002000000}"/>
            </a:ext>
          </a:extLst>
        </xdr:cNvPr>
        <xdr:cNvSpPr/>
      </xdr:nvSpPr>
      <xdr:spPr>
        <a:xfrm>
          <a:off x="9821396" y="336176"/>
          <a:ext cx="4811806" cy="347943"/>
        </a:xfrm>
        <a:custGeom>
          <a:avLst/>
          <a:gdLst>
            <a:gd name="connsiteX0" fmla="*/ 4772025 w 4772025"/>
            <a:gd name="connsiteY0" fmla="*/ 0 h 352425"/>
            <a:gd name="connsiteX1" fmla="*/ 4772025 w 4772025"/>
            <a:gd name="connsiteY1" fmla="*/ 352425 h 352425"/>
            <a:gd name="connsiteX2" fmla="*/ 0 w 4772025"/>
            <a:gd name="connsiteY2" fmla="*/ 352425 h 352425"/>
          </a:gdLst>
          <a:ahLst/>
          <a:cxnLst>
            <a:cxn ang="0">
              <a:pos x="connsiteX0" y="connsiteY0"/>
            </a:cxn>
            <a:cxn ang="0">
              <a:pos x="connsiteX1" y="connsiteY1"/>
            </a:cxn>
            <a:cxn ang="0">
              <a:pos x="connsiteX2" y="connsiteY2"/>
            </a:cxn>
          </a:cxnLst>
          <a:rect l="l" t="t" r="r" b="b"/>
          <a:pathLst>
            <a:path w="4772025" h="352425">
              <a:moveTo>
                <a:pt x="4772025" y="0"/>
              </a:moveTo>
              <a:lnTo>
                <a:pt x="4772025" y="352425"/>
              </a:lnTo>
              <a:lnTo>
                <a:pt x="0" y="352425"/>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28575</xdr:colOff>
      <xdr:row>0</xdr:row>
      <xdr:rowOff>0</xdr:rowOff>
    </xdr:from>
    <xdr:ext cx="2305051" cy="276225"/>
    <xdr:sp macro="" textlink="">
      <xdr:nvSpPr>
        <xdr:cNvPr id="46" name="正方形/長方形 45">
          <a:extLst>
            <a:ext uri="{FF2B5EF4-FFF2-40B4-BE49-F238E27FC236}">
              <a16:creationId xmlns:a16="http://schemas.microsoft.com/office/drawing/2014/main" id="{00000000-0008-0000-0700-00002E000000}"/>
            </a:ext>
          </a:extLst>
        </xdr:cNvPr>
        <xdr:cNvSpPr/>
      </xdr:nvSpPr>
      <xdr:spPr>
        <a:xfrm>
          <a:off x="6743700" y="0"/>
          <a:ext cx="2305051" cy="27622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600"/>
            <a:t>チェック欄　　</a:t>
          </a:r>
          <a:r>
            <a:rPr kumimoji="1" lang="ja-JP" altLang="en-US" sz="1050"/>
            <a:t>記載例はこちら⇒</a:t>
          </a:r>
        </a:p>
      </xdr:txBody>
    </xdr:sp>
    <xdr:clientData/>
  </xdr:oneCellAnchor>
  <xdr:twoCellAnchor>
    <xdr:from>
      <xdr:col>34</xdr:col>
      <xdr:colOff>8466</xdr:colOff>
      <xdr:row>6</xdr:row>
      <xdr:rowOff>42334</xdr:rowOff>
    </xdr:from>
    <xdr:to>
      <xdr:col>39</xdr:col>
      <xdr:colOff>185583</xdr:colOff>
      <xdr:row>6</xdr:row>
      <xdr:rowOff>408095</xdr:rowOff>
    </xdr:to>
    <xdr:sp macro="" textlink="">
      <xdr:nvSpPr>
        <xdr:cNvPr id="45" name="角丸四角形 44">
          <a:extLst>
            <a:ext uri="{FF2B5EF4-FFF2-40B4-BE49-F238E27FC236}">
              <a16:creationId xmlns:a16="http://schemas.microsoft.com/office/drawing/2014/main" id="{00000000-0008-0000-0700-00002D000000}"/>
            </a:ext>
          </a:extLst>
        </xdr:cNvPr>
        <xdr:cNvSpPr/>
      </xdr:nvSpPr>
      <xdr:spPr>
        <a:xfrm>
          <a:off x="12894733" y="1761067"/>
          <a:ext cx="1997450" cy="365761"/>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347134</xdr:colOff>
      <xdr:row>6</xdr:row>
      <xdr:rowOff>42334</xdr:rowOff>
    </xdr:from>
    <xdr:to>
      <xdr:col>31</xdr:col>
      <xdr:colOff>328246</xdr:colOff>
      <xdr:row>6</xdr:row>
      <xdr:rowOff>408095</xdr:rowOff>
    </xdr:to>
    <xdr:sp macro="" textlink="">
      <xdr:nvSpPr>
        <xdr:cNvPr id="47" name="角丸四角形 46">
          <a:extLst>
            <a:ext uri="{FF2B5EF4-FFF2-40B4-BE49-F238E27FC236}">
              <a16:creationId xmlns:a16="http://schemas.microsoft.com/office/drawing/2014/main" id="{00000000-0008-0000-0700-00002F000000}"/>
            </a:ext>
          </a:extLst>
        </xdr:cNvPr>
        <xdr:cNvSpPr/>
      </xdr:nvSpPr>
      <xdr:spPr>
        <a:xfrm>
          <a:off x="10219267" y="1761067"/>
          <a:ext cx="1903046" cy="365761"/>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126999</xdr:colOff>
      <xdr:row>6</xdr:row>
      <xdr:rowOff>194434</xdr:rowOff>
    </xdr:from>
    <xdr:to>
      <xdr:col>26</xdr:col>
      <xdr:colOff>355600</xdr:colOff>
      <xdr:row>6</xdr:row>
      <xdr:rowOff>245533</xdr:rowOff>
    </xdr:to>
    <xdr:sp macro="" textlink="">
      <xdr:nvSpPr>
        <xdr:cNvPr id="48" name="フリーフォーム 47">
          <a:extLst>
            <a:ext uri="{FF2B5EF4-FFF2-40B4-BE49-F238E27FC236}">
              <a16:creationId xmlns:a16="http://schemas.microsoft.com/office/drawing/2014/main" id="{00000000-0008-0000-0700-000030000000}"/>
            </a:ext>
          </a:extLst>
        </xdr:cNvPr>
        <xdr:cNvSpPr/>
      </xdr:nvSpPr>
      <xdr:spPr>
        <a:xfrm flipV="1">
          <a:off x="9279466" y="1913167"/>
          <a:ext cx="948267" cy="51099"/>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338211</xdr:colOff>
      <xdr:row>6</xdr:row>
      <xdr:rowOff>159263</xdr:rowOff>
    </xdr:from>
    <xdr:to>
      <xdr:col>34</xdr:col>
      <xdr:colOff>0</xdr:colOff>
      <xdr:row>6</xdr:row>
      <xdr:rowOff>237066</xdr:rowOff>
    </xdr:to>
    <xdr:sp macro="" textlink="">
      <xdr:nvSpPr>
        <xdr:cNvPr id="49" name="フリーフォーム 48">
          <a:extLst>
            <a:ext uri="{FF2B5EF4-FFF2-40B4-BE49-F238E27FC236}">
              <a16:creationId xmlns:a16="http://schemas.microsoft.com/office/drawing/2014/main" id="{00000000-0008-0000-0700-000031000000}"/>
            </a:ext>
          </a:extLst>
        </xdr:cNvPr>
        <xdr:cNvSpPr/>
      </xdr:nvSpPr>
      <xdr:spPr>
        <a:xfrm flipV="1">
          <a:off x="12132278" y="1877996"/>
          <a:ext cx="753989" cy="77803"/>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30480</xdr:colOff>
      <xdr:row>6</xdr:row>
      <xdr:rowOff>25401</xdr:rowOff>
    </xdr:from>
    <xdr:ext cx="2910840" cy="416559"/>
    <xdr:sp macro="" textlink="">
      <xdr:nvSpPr>
        <xdr:cNvPr id="71" name="正方形/長方形 70">
          <a:extLst>
            <a:ext uri="{FF2B5EF4-FFF2-40B4-BE49-F238E27FC236}">
              <a16:creationId xmlns:a16="http://schemas.microsoft.com/office/drawing/2014/main" id="{00000000-0008-0000-0700-000047000000}"/>
            </a:ext>
          </a:extLst>
        </xdr:cNvPr>
        <xdr:cNvSpPr/>
      </xdr:nvSpPr>
      <xdr:spPr>
        <a:xfrm>
          <a:off x="6096000" y="1739901"/>
          <a:ext cx="2910840" cy="416559"/>
        </a:xfrm>
        <a:prstGeom prst="rect">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100" b="1">
              <a:solidFill>
                <a:schemeClr val="tx1"/>
              </a:solidFill>
              <a:effectLst/>
              <a:latin typeface="+mn-ea"/>
              <a:ea typeface="+mn-ea"/>
              <a:cs typeface="+mn-cs"/>
            </a:rPr>
            <a:t>今期の計画書に記載した値を転記</a:t>
          </a:r>
          <a:r>
            <a:rPr kumimoji="0" lang="ja-JP" altLang="en-US" sz="1100" b="0">
              <a:solidFill>
                <a:schemeClr val="tx1"/>
              </a:solidFill>
              <a:effectLst/>
              <a:latin typeface="+mn-ea"/>
              <a:ea typeface="+mn-ea"/>
              <a:cs typeface="+mn-cs"/>
            </a:rPr>
            <a:t>してください。</a:t>
          </a:r>
          <a:endParaRPr kumimoji="1" lang="ja-JP" altLang="en-US" sz="700" b="0">
            <a:solidFill>
              <a:srgbClr val="FF0000"/>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17</xdr:col>
          <xdr:colOff>99060</xdr:colOff>
          <xdr:row>6</xdr:row>
          <xdr:rowOff>7620</xdr:rowOff>
        </xdr:from>
        <xdr:to>
          <xdr:col>17</xdr:col>
          <xdr:colOff>419100</xdr:colOff>
          <xdr:row>6</xdr:row>
          <xdr:rowOff>266700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7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251460</xdr:colOff>
      <xdr:row>9</xdr:row>
      <xdr:rowOff>1615440</xdr:rowOff>
    </xdr:from>
    <xdr:ext cx="2544856" cy="845082"/>
    <xdr:sp macro="" textlink="">
      <xdr:nvSpPr>
        <xdr:cNvPr id="51" name="正方形/長方形 50">
          <a:extLst>
            <a:ext uri="{FF2B5EF4-FFF2-40B4-BE49-F238E27FC236}">
              <a16:creationId xmlns:a16="http://schemas.microsoft.com/office/drawing/2014/main" id="{00000000-0008-0000-0700-000033000000}"/>
            </a:ext>
          </a:extLst>
        </xdr:cNvPr>
        <xdr:cNvSpPr/>
      </xdr:nvSpPr>
      <xdr:spPr>
        <a:xfrm>
          <a:off x="6316980" y="4701540"/>
          <a:ext cx="2544856" cy="845082"/>
        </a:xfrm>
        <a:prstGeom prst="rect">
          <a:avLst/>
        </a:prstGeom>
        <a:solidFill>
          <a:schemeClr val="accent3">
            <a:lumMod val="20000"/>
            <a:lumOff val="80000"/>
          </a:schemeClr>
        </a:solid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b="0">
              <a:solidFill>
                <a:schemeClr val="tx1"/>
              </a:solidFill>
              <a:effectLst/>
              <a:latin typeface="+mn-ea"/>
              <a:ea typeface="+mn-ea"/>
              <a:cs typeface="+mn-cs"/>
            </a:rPr>
            <a:t>報告対象年度における排出量の合計量は</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されます。また、原単位目標を設定している場合は、報告対象年度における排出量原単位及び原単位指標の種類並びに単位についても同様に</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a:t>
          </a:r>
          <a:endParaRPr lang="ja-JP" altLang="ja-JP" sz="900" b="0">
            <a:solidFill>
              <a:schemeClr val="tx1"/>
            </a:solidFill>
            <a:effectLst/>
            <a:latin typeface="+mn-ea"/>
            <a:ea typeface="+mn-ea"/>
            <a:cs typeface="+mn-cs"/>
          </a:endParaRPr>
        </a:p>
      </xdr:txBody>
    </xdr:sp>
    <xdr:clientData/>
  </xdr:oneCellAnchor>
  <xdr:twoCellAnchor>
    <xdr:from>
      <xdr:col>22</xdr:col>
      <xdr:colOff>190500</xdr:colOff>
      <xdr:row>4</xdr:row>
      <xdr:rowOff>251460</xdr:rowOff>
    </xdr:from>
    <xdr:to>
      <xdr:col>27</xdr:col>
      <xdr:colOff>7620</xdr:colOff>
      <xdr:row>7</xdr:row>
      <xdr:rowOff>121920</xdr:rowOff>
    </xdr:to>
    <xdr:sp macro="" textlink="">
      <xdr:nvSpPr>
        <xdr:cNvPr id="4" name="フリーフォーム 3">
          <a:extLst>
            <a:ext uri="{FF2B5EF4-FFF2-40B4-BE49-F238E27FC236}">
              <a16:creationId xmlns:a16="http://schemas.microsoft.com/office/drawing/2014/main" id="{00000000-0008-0000-0700-000004000000}"/>
            </a:ext>
          </a:extLst>
        </xdr:cNvPr>
        <xdr:cNvSpPr/>
      </xdr:nvSpPr>
      <xdr:spPr>
        <a:xfrm>
          <a:off x="9159240" y="1051560"/>
          <a:ext cx="1120140" cy="1242060"/>
        </a:xfrm>
        <a:custGeom>
          <a:avLst/>
          <a:gdLst>
            <a:gd name="connsiteX0" fmla="*/ 83820 w 1120140"/>
            <a:gd name="connsiteY0" fmla="*/ 1242060 h 1242060"/>
            <a:gd name="connsiteX1" fmla="*/ 7620 w 1120140"/>
            <a:gd name="connsiteY1" fmla="*/ 1242060 h 1242060"/>
            <a:gd name="connsiteX2" fmla="*/ 0 w 1120140"/>
            <a:gd name="connsiteY2" fmla="*/ 15240 h 1242060"/>
            <a:gd name="connsiteX3" fmla="*/ 1120140 w 1120140"/>
            <a:gd name="connsiteY3" fmla="*/ 0 h 1242060"/>
          </a:gdLst>
          <a:ahLst/>
          <a:cxnLst>
            <a:cxn ang="0">
              <a:pos x="connsiteX0" y="connsiteY0"/>
            </a:cxn>
            <a:cxn ang="0">
              <a:pos x="connsiteX1" y="connsiteY1"/>
            </a:cxn>
            <a:cxn ang="0">
              <a:pos x="connsiteX2" y="connsiteY2"/>
            </a:cxn>
            <a:cxn ang="0">
              <a:pos x="connsiteX3" y="connsiteY3"/>
            </a:cxn>
          </a:cxnLst>
          <a:rect l="l" t="t" r="r" b="b"/>
          <a:pathLst>
            <a:path w="1120140" h="1242060">
              <a:moveTo>
                <a:pt x="83820" y="1242060"/>
              </a:moveTo>
              <a:lnTo>
                <a:pt x="7620" y="1242060"/>
              </a:lnTo>
              <a:lnTo>
                <a:pt x="0" y="15240"/>
              </a:lnTo>
              <a:lnTo>
                <a:pt x="112014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38100</xdr:colOff>
      <xdr:row>6</xdr:row>
      <xdr:rowOff>233681</xdr:rowOff>
    </xdr:from>
    <xdr:to>
      <xdr:col>22</xdr:col>
      <xdr:colOff>190500</xdr:colOff>
      <xdr:row>6</xdr:row>
      <xdr:rowOff>236220</xdr:rowOff>
    </xdr:to>
    <xdr:cxnSp macro="">
      <xdr:nvCxnSpPr>
        <xdr:cNvPr id="10" name="直線コネクタ 9">
          <a:extLst>
            <a:ext uri="{FF2B5EF4-FFF2-40B4-BE49-F238E27FC236}">
              <a16:creationId xmlns:a16="http://schemas.microsoft.com/office/drawing/2014/main" id="{00000000-0008-0000-0700-00000A000000}"/>
            </a:ext>
          </a:extLst>
        </xdr:cNvPr>
        <xdr:cNvCxnSpPr>
          <a:stCxn id="71" idx="3"/>
        </xdr:cNvCxnSpPr>
      </xdr:nvCxnSpPr>
      <xdr:spPr>
        <a:xfrm>
          <a:off x="9006840" y="1948181"/>
          <a:ext cx="152400" cy="2539"/>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243840</xdr:colOff>
      <xdr:row>9</xdr:row>
      <xdr:rowOff>83820</xdr:rowOff>
    </xdr:from>
    <xdr:to>
      <xdr:col>19</xdr:col>
      <xdr:colOff>1043940</xdr:colOff>
      <xdr:row>9</xdr:row>
      <xdr:rowOff>1516380</xdr:rowOff>
    </xdr:to>
    <xdr:sp macro="" textlink="">
      <xdr:nvSpPr>
        <xdr:cNvPr id="50" name="四角形吹き出し 49">
          <a:extLst>
            <a:ext uri="{FF2B5EF4-FFF2-40B4-BE49-F238E27FC236}">
              <a16:creationId xmlns:a16="http://schemas.microsoft.com/office/drawing/2014/main" id="{00000000-0008-0000-0700-000032000000}"/>
            </a:ext>
          </a:extLst>
        </xdr:cNvPr>
        <xdr:cNvSpPr/>
      </xdr:nvSpPr>
      <xdr:spPr>
        <a:xfrm>
          <a:off x="6309360" y="3169920"/>
          <a:ext cx="2545080" cy="1432560"/>
        </a:xfrm>
        <a:prstGeom prst="wedgeRectCallout">
          <a:avLst>
            <a:gd name="adj1" fmla="val -42090"/>
            <a:gd name="adj2" fmla="val -54726"/>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ysClr val="windowText" lastClr="000000"/>
              </a:solidFill>
              <a:latin typeface="+mn-ea"/>
              <a:ea typeface="+mn-ea"/>
            </a:rPr>
            <a:t>R</a:t>
          </a:r>
          <a:r>
            <a:rPr kumimoji="1" lang="ja-JP" altLang="en-US" sz="900">
              <a:solidFill>
                <a:sysClr val="windowText" lastClr="000000"/>
              </a:solidFill>
            </a:rPr>
            <a:t>列の太枠内に報告対象年度の前年度の値を入力することで、増減率を自動計算します。</a:t>
          </a:r>
          <a:r>
            <a:rPr kumimoji="1" lang="ja-JP" altLang="en-US" sz="900">
              <a:solidFill>
                <a:srgbClr val="FF0000"/>
              </a:solidFill>
            </a:rPr>
            <a:t>排出量（セル</a:t>
          </a:r>
          <a:r>
            <a:rPr kumimoji="1" lang="en-US" altLang="ja-JP" sz="900">
              <a:solidFill>
                <a:srgbClr val="FF0000"/>
              </a:solidFill>
              <a:latin typeface="+mn-ea"/>
              <a:ea typeface="+mn-ea"/>
            </a:rPr>
            <a:t>R6</a:t>
          </a:r>
          <a:r>
            <a:rPr kumimoji="1" lang="ja-JP" altLang="en-US" sz="900">
              <a:solidFill>
                <a:srgbClr val="FF0000"/>
              </a:solidFill>
            </a:rPr>
            <a:t>）は自動転記されるため入力不要</a:t>
          </a:r>
          <a:r>
            <a:rPr kumimoji="1" lang="ja-JP" altLang="en-US" sz="900">
              <a:solidFill>
                <a:sysClr val="windowText" lastClr="000000"/>
              </a:solidFill>
            </a:rPr>
            <a:t>ですが、原単位目標の設定がある場合は</a:t>
          </a:r>
          <a:r>
            <a:rPr kumimoji="1" lang="ja-JP" altLang="en-US" sz="900">
              <a:solidFill>
                <a:srgbClr val="FF0000"/>
              </a:solidFill>
            </a:rPr>
            <a:t>前年度の原単位の値をセル</a:t>
          </a:r>
          <a:r>
            <a:rPr kumimoji="1" lang="en-US" altLang="ja-JP" sz="900">
              <a:solidFill>
                <a:srgbClr val="FF0000"/>
              </a:solidFill>
              <a:latin typeface="+mn-ea"/>
              <a:ea typeface="+mn-ea"/>
            </a:rPr>
            <a:t>R9</a:t>
          </a:r>
          <a:r>
            <a:rPr kumimoji="1" lang="ja-JP" altLang="en-US" sz="900">
              <a:solidFill>
                <a:srgbClr val="FF0000"/>
              </a:solidFill>
            </a:rPr>
            <a:t>に入力</a:t>
          </a:r>
          <a:r>
            <a:rPr kumimoji="1" lang="ja-JP" altLang="en-US" sz="900">
              <a:solidFill>
                <a:sysClr val="windowText" lastClr="000000"/>
              </a:solidFill>
            </a:rPr>
            <a:t>してください。</a:t>
          </a:r>
          <a:endParaRPr kumimoji="1" lang="en-US" altLang="ja-JP" sz="900">
            <a:solidFill>
              <a:sysClr val="windowText" lastClr="000000"/>
            </a:solidFill>
          </a:endParaRPr>
        </a:p>
        <a:p>
          <a:pPr algn="l"/>
          <a:r>
            <a:rPr kumimoji="1" lang="ja-JP" altLang="en-US" sz="900">
              <a:solidFill>
                <a:sysClr val="windowText" lastClr="000000"/>
              </a:solidFill>
            </a:rPr>
            <a:t>自動計算した増減率は</a:t>
          </a:r>
          <a:r>
            <a:rPr kumimoji="1" lang="ja-JP" altLang="en-US" sz="900" b="1">
              <a:solidFill>
                <a:sysClr val="windowText" lastClr="000000"/>
              </a:solidFill>
            </a:rPr>
            <a:t>「報告対象年度におけるエネルギー起源二酸化炭素の排出の状況に関する説明」</a:t>
          </a:r>
          <a:r>
            <a:rPr kumimoji="1" lang="ja-JP" altLang="en-US" sz="900">
              <a:solidFill>
                <a:sysClr val="windowText" lastClr="000000"/>
              </a:solidFill>
            </a:rPr>
            <a:t>に転記するとともに、増減要因等を考察して記載してください。</a:t>
          </a:r>
        </a:p>
        <a:p>
          <a:pPr algn="l"/>
          <a:endParaRPr kumimoji="1" lang="ja-JP" altLang="en-US" sz="9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59055</xdr:colOff>
      <xdr:row>13</xdr:row>
      <xdr:rowOff>152400</xdr:rowOff>
    </xdr:from>
    <xdr:to>
      <xdr:col>6</xdr:col>
      <xdr:colOff>261805</xdr:colOff>
      <xdr:row>13</xdr:row>
      <xdr:rowOff>276225</xdr:rowOff>
    </xdr:to>
    <xdr:sp macro="" textlink="">
      <xdr:nvSpPr>
        <xdr:cNvPr id="36889" name="Text Box 25">
          <a:extLst>
            <a:ext uri="{FF2B5EF4-FFF2-40B4-BE49-F238E27FC236}">
              <a16:creationId xmlns:a16="http://schemas.microsoft.com/office/drawing/2014/main" id="{00000000-0008-0000-0800-000019900000}"/>
            </a:ext>
          </a:extLst>
        </xdr:cNvPr>
        <xdr:cNvSpPr txBox="1">
          <a:spLocks noChangeArrowheads="1"/>
        </xdr:cNvSpPr>
      </xdr:nvSpPr>
      <xdr:spPr bwMode="auto">
        <a:xfrm>
          <a:off x="2019300" y="3419475"/>
          <a:ext cx="20002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15</xdr:col>
      <xdr:colOff>41910</xdr:colOff>
      <xdr:row>13</xdr:row>
      <xdr:rowOff>152400</xdr:rowOff>
    </xdr:from>
    <xdr:to>
      <xdr:col>15</xdr:col>
      <xdr:colOff>246121</xdr:colOff>
      <xdr:row>13</xdr:row>
      <xdr:rowOff>276225</xdr:rowOff>
    </xdr:to>
    <xdr:sp macro="" textlink="">
      <xdr:nvSpPr>
        <xdr:cNvPr id="36890" name="Text Box 26">
          <a:extLst>
            <a:ext uri="{FF2B5EF4-FFF2-40B4-BE49-F238E27FC236}">
              <a16:creationId xmlns:a16="http://schemas.microsoft.com/office/drawing/2014/main" id="{00000000-0008-0000-0800-00001A900000}"/>
            </a:ext>
          </a:extLst>
        </xdr:cNvPr>
        <xdr:cNvSpPr txBox="1">
          <a:spLocks noChangeArrowheads="1"/>
        </xdr:cNvSpPr>
      </xdr:nvSpPr>
      <xdr:spPr bwMode="auto">
        <a:xfrm>
          <a:off x="4981575" y="34194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6</xdr:col>
      <xdr:colOff>59055</xdr:colOff>
      <xdr:row>14</xdr:row>
      <xdr:rowOff>152400</xdr:rowOff>
    </xdr:from>
    <xdr:to>
      <xdr:col>6</xdr:col>
      <xdr:colOff>245870</xdr:colOff>
      <xdr:row>14</xdr:row>
      <xdr:rowOff>276225</xdr:rowOff>
    </xdr:to>
    <xdr:sp macro="" textlink="">
      <xdr:nvSpPr>
        <xdr:cNvPr id="36891" name="Text Box 27">
          <a:extLst>
            <a:ext uri="{FF2B5EF4-FFF2-40B4-BE49-F238E27FC236}">
              <a16:creationId xmlns:a16="http://schemas.microsoft.com/office/drawing/2014/main" id="{00000000-0008-0000-0800-00001B900000}"/>
            </a:ext>
          </a:extLst>
        </xdr:cNvPr>
        <xdr:cNvSpPr txBox="1">
          <a:spLocks noChangeArrowheads="1"/>
        </xdr:cNvSpPr>
      </xdr:nvSpPr>
      <xdr:spPr bwMode="auto">
        <a:xfrm>
          <a:off x="2019300" y="3848100"/>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6</xdr:col>
      <xdr:colOff>59055</xdr:colOff>
      <xdr:row>16</xdr:row>
      <xdr:rowOff>152400</xdr:rowOff>
    </xdr:from>
    <xdr:to>
      <xdr:col>6</xdr:col>
      <xdr:colOff>245870</xdr:colOff>
      <xdr:row>16</xdr:row>
      <xdr:rowOff>276225</xdr:rowOff>
    </xdr:to>
    <xdr:sp macro="" textlink="">
      <xdr:nvSpPr>
        <xdr:cNvPr id="36892" name="Text Box 28">
          <a:extLst>
            <a:ext uri="{FF2B5EF4-FFF2-40B4-BE49-F238E27FC236}">
              <a16:creationId xmlns:a16="http://schemas.microsoft.com/office/drawing/2014/main" id="{00000000-0008-0000-0800-00001C900000}"/>
            </a:ext>
          </a:extLst>
        </xdr:cNvPr>
        <xdr:cNvSpPr txBox="1">
          <a:spLocks noChangeArrowheads="1"/>
        </xdr:cNvSpPr>
      </xdr:nvSpPr>
      <xdr:spPr bwMode="auto">
        <a:xfrm>
          <a:off x="2019300" y="4705350"/>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15</xdr:col>
      <xdr:colOff>41910</xdr:colOff>
      <xdr:row>16</xdr:row>
      <xdr:rowOff>152400</xdr:rowOff>
    </xdr:from>
    <xdr:to>
      <xdr:col>15</xdr:col>
      <xdr:colOff>246121</xdr:colOff>
      <xdr:row>16</xdr:row>
      <xdr:rowOff>276225</xdr:rowOff>
    </xdr:to>
    <xdr:sp macro="" textlink="">
      <xdr:nvSpPr>
        <xdr:cNvPr id="36893" name="Text Box 29">
          <a:extLst>
            <a:ext uri="{FF2B5EF4-FFF2-40B4-BE49-F238E27FC236}">
              <a16:creationId xmlns:a16="http://schemas.microsoft.com/office/drawing/2014/main" id="{00000000-0008-0000-0800-00001D900000}"/>
            </a:ext>
          </a:extLst>
        </xdr:cNvPr>
        <xdr:cNvSpPr txBox="1">
          <a:spLocks noChangeArrowheads="1"/>
        </xdr:cNvSpPr>
      </xdr:nvSpPr>
      <xdr:spPr bwMode="auto">
        <a:xfrm>
          <a:off x="4981575" y="4705350"/>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6</xdr:col>
      <xdr:colOff>59055</xdr:colOff>
      <xdr:row>17</xdr:row>
      <xdr:rowOff>152400</xdr:rowOff>
    </xdr:from>
    <xdr:to>
      <xdr:col>6</xdr:col>
      <xdr:colOff>245870</xdr:colOff>
      <xdr:row>17</xdr:row>
      <xdr:rowOff>276225</xdr:rowOff>
    </xdr:to>
    <xdr:sp macro="" textlink="">
      <xdr:nvSpPr>
        <xdr:cNvPr id="36894" name="Text Box 30">
          <a:extLst>
            <a:ext uri="{FF2B5EF4-FFF2-40B4-BE49-F238E27FC236}">
              <a16:creationId xmlns:a16="http://schemas.microsoft.com/office/drawing/2014/main" id="{00000000-0008-0000-0800-00001E900000}"/>
            </a:ext>
          </a:extLst>
        </xdr:cNvPr>
        <xdr:cNvSpPr txBox="1">
          <a:spLocks noChangeArrowheads="1"/>
        </xdr:cNvSpPr>
      </xdr:nvSpPr>
      <xdr:spPr bwMode="auto">
        <a:xfrm>
          <a:off x="2019300" y="5133975"/>
          <a:ext cx="18097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33</xdr:col>
      <xdr:colOff>49530</xdr:colOff>
      <xdr:row>13</xdr:row>
      <xdr:rowOff>152400</xdr:rowOff>
    </xdr:from>
    <xdr:to>
      <xdr:col>33</xdr:col>
      <xdr:colOff>262951</xdr:colOff>
      <xdr:row>13</xdr:row>
      <xdr:rowOff>276225</xdr:rowOff>
    </xdr:to>
    <xdr:sp macro="" textlink="">
      <xdr:nvSpPr>
        <xdr:cNvPr id="8" name="Text Box 25">
          <a:extLst>
            <a:ext uri="{FF2B5EF4-FFF2-40B4-BE49-F238E27FC236}">
              <a16:creationId xmlns:a16="http://schemas.microsoft.com/office/drawing/2014/main" id="{00000000-0008-0000-0800-000008000000}"/>
            </a:ext>
          </a:extLst>
        </xdr:cNvPr>
        <xdr:cNvSpPr txBox="1">
          <a:spLocks noChangeArrowheads="1"/>
        </xdr:cNvSpPr>
      </xdr:nvSpPr>
      <xdr:spPr bwMode="auto">
        <a:xfrm>
          <a:off x="1797050" y="3474720"/>
          <a:ext cx="176945"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42</xdr:col>
      <xdr:colOff>49530</xdr:colOff>
      <xdr:row>13</xdr:row>
      <xdr:rowOff>152400</xdr:rowOff>
    </xdr:from>
    <xdr:to>
      <xdr:col>42</xdr:col>
      <xdr:colOff>236345</xdr:colOff>
      <xdr:row>13</xdr:row>
      <xdr:rowOff>276225</xdr:rowOff>
    </xdr:to>
    <xdr:sp macro="" textlink="">
      <xdr:nvSpPr>
        <xdr:cNvPr id="9" name="Text Box 26">
          <a:extLst>
            <a:ext uri="{FF2B5EF4-FFF2-40B4-BE49-F238E27FC236}">
              <a16:creationId xmlns:a16="http://schemas.microsoft.com/office/drawing/2014/main" id="{00000000-0008-0000-0800-000009000000}"/>
            </a:ext>
          </a:extLst>
        </xdr:cNvPr>
        <xdr:cNvSpPr txBox="1">
          <a:spLocks noChangeArrowheads="1"/>
        </xdr:cNvSpPr>
      </xdr:nvSpPr>
      <xdr:spPr bwMode="auto">
        <a:xfrm>
          <a:off x="4458970" y="3474720"/>
          <a:ext cx="165238"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33</xdr:col>
      <xdr:colOff>49530</xdr:colOff>
      <xdr:row>14</xdr:row>
      <xdr:rowOff>152400</xdr:rowOff>
    </xdr:from>
    <xdr:to>
      <xdr:col>33</xdr:col>
      <xdr:colOff>236345</xdr:colOff>
      <xdr:row>14</xdr:row>
      <xdr:rowOff>276225</xdr:rowOff>
    </xdr:to>
    <xdr:sp macro="" textlink="">
      <xdr:nvSpPr>
        <xdr:cNvPr id="10" name="Text Box 27">
          <a:extLst>
            <a:ext uri="{FF2B5EF4-FFF2-40B4-BE49-F238E27FC236}">
              <a16:creationId xmlns:a16="http://schemas.microsoft.com/office/drawing/2014/main" id="{00000000-0008-0000-0800-00000A000000}"/>
            </a:ext>
          </a:extLst>
        </xdr:cNvPr>
        <xdr:cNvSpPr txBox="1">
          <a:spLocks noChangeArrowheads="1"/>
        </xdr:cNvSpPr>
      </xdr:nvSpPr>
      <xdr:spPr bwMode="auto">
        <a:xfrm>
          <a:off x="1797050" y="3901440"/>
          <a:ext cx="165238"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33</xdr:col>
      <xdr:colOff>49530</xdr:colOff>
      <xdr:row>16</xdr:row>
      <xdr:rowOff>152400</xdr:rowOff>
    </xdr:from>
    <xdr:to>
      <xdr:col>33</xdr:col>
      <xdr:colOff>236345</xdr:colOff>
      <xdr:row>16</xdr:row>
      <xdr:rowOff>276225</xdr:rowOff>
    </xdr:to>
    <xdr:sp macro="" textlink="">
      <xdr:nvSpPr>
        <xdr:cNvPr id="11" name="Text Box 28">
          <a:extLst>
            <a:ext uri="{FF2B5EF4-FFF2-40B4-BE49-F238E27FC236}">
              <a16:creationId xmlns:a16="http://schemas.microsoft.com/office/drawing/2014/main" id="{00000000-0008-0000-0800-00000B000000}"/>
            </a:ext>
          </a:extLst>
        </xdr:cNvPr>
        <xdr:cNvSpPr txBox="1">
          <a:spLocks noChangeArrowheads="1"/>
        </xdr:cNvSpPr>
      </xdr:nvSpPr>
      <xdr:spPr bwMode="auto">
        <a:xfrm>
          <a:off x="1797050" y="4754880"/>
          <a:ext cx="165238"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42</xdr:col>
      <xdr:colOff>49530</xdr:colOff>
      <xdr:row>16</xdr:row>
      <xdr:rowOff>152400</xdr:rowOff>
    </xdr:from>
    <xdr:to>
      <xdr:col>42</xdr:col>
      <xdr:colOff>236345</xdr:colOff>
      <xdr:row>16</xdr:row>
      <xdr:rowOff>276225</xdr:rowOff>
    </xdr:to>
    <xdr:sp macro="" textlink="">
      <xdr:nvSpPr>
        <xdr:cNvPr id="12" name="Text Box 29">
          <a:extLst>
            <a:ext uri="{FF2B5EF4-FFF2-40B4-BE49-F238E27FC236}">
              <a16:creationId xmlns:a16="http://schemas.microsoft.com/office/drawing/2014/main" id="{00000000-0008-0000-0800-00000C000000}"/>
            </a:ext>
          </a:extLst>
        </xdr:cNvPr>
        <xdr:cNvSpPr txBox="1">
          <a:spLocks noChangeArrowheads="1"/>
        </xdr:cNvSpPr>
      </xdr:nvSpPr>
      <xdr:spPr bwMode="auto">
        <a:xfrm>
          <a:off x="4458970" y="4754880"/>
          <a:ext cx="165238"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33</xdr:col>
      <xdr:colOff>49530</xdr:colOff>
      <xdr:row>17</xdr:row>
      <xdr:rowOff>152400</xdr:rowOff>
    </xdr:from>
    <xdr:to>
      <xdr:col>33</xdr:col>
      <xdr:colOff>236345</xdr:colOff>
      <xdr:row>17</xdr:row>
      <xdr:rowOff>276225</xdr:rowOff>
    </xdr:to>
    <xdr:sp macro="" textlink="">
      <xdr:nvSpPr>
        <xdr:cNvPr id="13" name="Text Box 30">
          <a:extLst>
            <a:ext uri="{FF2B5EF4-FFF2-40B4-BE49-F238E27FC236}">
              <a16:creationId xmlns:a16="http://schemas.microsoft.com/office/drawing/2014/main" id="{00000000-0008-0000-0800-00000D000000}"/>
            </a:ext>
          </a:extLst>
        </xdr:cNvPr>
        <xdr:cNvSpPr txBox="1">
          <a:spLocks noChangeArrowheads="1"/>
        </xdr:cNvSpPr>
      </xdr:nvSpPr>
      <xdr:spPr bwMode="auto">
        <a:xfrm>
          <a:off x="1797050" y="5181600"/>
          <a:ext cx="165238" cy="12382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25</xdr:col>
      <xdr:colOff>38100</xdr:colOff>
      <xdr:row>3</xdr:row>
      <xdr:rowOff>150495</xdr:rowOff>
    </xdr:from>
    <xdr:to>
      <xdr:col>25</xdr:col>
      <xdr:colOff>219075</xdr:colOff>
      <xdr:row>18</xdr:row>
      <xdr:rowOff>3762375</xdr:rowOff>
    </xdr:to>
    <xdr:sp macro="" textlink="">
      <xdr:nvSpPr>
        <xdr:cNvPr id="14" name="左右矢印 13">
          <a:extLst>
            <a:ext uri="{FF2B5EF4-FFF2-40B4-BE49-F238E27FC236}">
              <a16:creationId xmlns:a16="http://schemas.microsoft.com/office/drawing/2014/main" id="{00000000-0008-0000-0800-00000E000000}"/>
            </a:ext>
          </a:extLst>
        </xdr:cNvPr>
        <xdr:cNvSpPr/>
      </xdr:nvSpPr>
      <xdr:spPr>
        <a:xfrm rot="5400000">
          <a:off x="6914198" y="4752022"/>
          <a:ext cx="8393430" cy="180975"/>
        </a:xfrm>
        <a:prstGeom prst="leftRightArrow">
          <a:avLst>
            <a:gd name="adj1" fmla="val 50000"/>
            <a:gd name="adj2" fmla="val 103333"/>
          </a:avLst>
        </a:prstGeom>
        <a:solidFill>
          <a:schemeClr val="accent4">
            <a:lumMod val="20000"/>
            <a:lumOff val="80000"/>
          </a:schemeClr>
        </a:solidFill>
        <a:ln w="635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32</xdr:col>
      <xdr:colOff>1</xdr:colOff>
      <xdr:row>5</xdr:row>
      <xdr:rowOff>15240</xdr:rowOff>
    </xdr:from>
    <xdr:to>
      <xdr:col>40</xdr:col>
      <xdr:colOff>8468</xdr:colOff>
      <xdr:row>6</xdr:row>
      <xdr:rowOff>355599</xdr:rowOff>
    </xdr:to>
    <xdr:sp macro="" textlink="">
      <xdr:nvSpPr>
        <xdr:cNvPr id="17" name="角丸四角形 16">
          <a:extLst>
            <a:ext uri="{FF2B5EF4-FFF2-40B4-BE49-F238E27FC236}">
              <a16:creationId xmlns:a16="http://schemas.microsoft.com/office/drawing/2014/main" id="{00000000-0008-0000-0800-000011000000}"/>
            </a:ext>
          </a:extLst>
        </xdr:cNvPr>
        <xdr:cNvSpPr/>
      </xdr:nvSpPr>
      <xdr:spPr>
        <a:xfrm>
          <a:off x="10736581" y="1036320"/>
          <a:ext cx="2401147" cy="721359"/>
        </a:xfrm>
        <a:prstGeom prst="roundRect">
          <a:avLst>
            <a:gd name="adj" fmla="val 34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20</xdr:col>
      <xdr:colOff>112395</xdr:colOff>
      <xdr:row>6</xdr:row>
      <xdr:rowOff>11093</xdr:rowOff>
    </xdr:from>
    <xdr:ext cx="2702523" cy="964367"/>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6246495" y="1413173"/>
          <a:ext cx="2702523" cy="964367"/>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r>
            <a:rPr kumimoji="0" lang="ja-JP" altLang="en-US" sz="1000" b="1">
              <a:solidFill>
                <a:schemeClr val="tx1"/>
              </a:solidFill>
              <a:effectLst/>
              <a:latin typeface="+mn-ea"/>
              <a:ea typeface="+mn-ea"/>
              <a:cs typeface="+mn-cs"/>
            </a:rPr>
            <a:t>今期の計画書に記載した内容をそのまま転記</a:t>
          </a:r>
          <a:r>
            <a:rPr kumimoji="0" lang="ja-JP" altLang="en-US" sz="1000" b="0">
              <a:solidFill>
                <a:schemeClr val="tx1"/>
              </a:solidFill>
              <a:effectLst/>
              <a:latin typeface="+mn-ea"/>
              <a:ea typeface="+mn-ea"/>
              <a:cs typeface="+mn-cs"/>
            </a:rPr>
            <a:t>してください。（</a:t>
          </a:r>
          <a:r>
            <a:rPr kumimoji="0" lang="ja-JP" altLang="en-US" sz="1000" b="1">
              <a:solidFill>
                <a:srgbClr val="FF0000"/>
              </a:solidFill>
              <a:effectLst/>
              <a:latin typeface="+mn-ea"/>
              <a:ea typeface="+mn-ea"/>
              <a:cs typeface="+mn-cs"/>
            </a:rPr>
            <a:t>工場等名称はプルダウン選択</a:t>
          </a:r>
          <a:r>
            <a:rPr kumimoji="0" lang="ja-JP" altLang="en-US" sz="1000" b="0">
              <a:solidFill>
                <a:schemeClr val="tx1"/>
              </a:solidFill>
              <a:effectLst/>
              <a:latin typeface="+mn-ea"/>
              <a:ea typeface="+mn-ea"/>
              <a:cs typeface="+mn-cs"/>
            </a:rPr>
            <a:t>）</a:t>
          </a:r>
          <a:endParaRPr kumimoji="0" lang="en-US" altLang="ja-JP" sz="1000" b="0">
            <a:solidFill>
              <a:schemeClr val="tx1"/>
            </a:solidFill>
            <a:effectLst/>
            <a:latin typeface="+mn-ea"/>
            <a:ea typeface="+mn-ea"/>
            <a:cs typeface="+mn-cs"/>
          </a:endParaRPr>
        </a:p>
        <a:p>
          <a:pPr algn="l">
            <a:lnSpc>
              <a:spcPts val="900"/>
            </a:lnSpc>
          </a:pPr>
          <a:endParaRPr kumimoji="0" lang="en-US" altLang="ja-JP" sz="800">
            <a:solidFill>
              <a:schemeClr val="tx1"/>
            </a:solidFill>
            <a:effectLst/>
            <a:latin typeface="+mn-ea"/>
            <a:ea typeface="+mn-ea"/>
            <a:cs typeface="+mn-cs"/>
          </a:endParaRPr>
        </a:p>
        <a:p>
          <a:pPr algn="l">
            <a:lnSpc>
              <a:spcPts val="900"/>
            </a:lnSpc>
          </a:pPr>
          <a:r>
            <a:rPr kumimoji="0" lang="en-US" altLang="ja-JP" sz="800">
              <a:solidFill>
                <a:schemeClr val="tx1"/>
              </a:solidFill>
              <a:effectLst/>
              <a:latin typeface="+mn-ea"/>
              <a:ea typeface="+mn-ea"/>
              <a:cs typeface="+mn-cs"/>
            </a:rPr>
            <a:t>※</a:t>
          </a:r>
          <a:r>
            <a:rPr kumimoji="0" lang="ja-JP" altLang="en-US" sz="800">
              <a:solidFill>
                <a:schemeClr val="tx1"/>
              </a:solidFill>
              <a:effectLst/>
              <a:latin typeface="+mn-ea"/>
              <a:ea typeface="+mn-ea"/>
              <a:cs typeface="+mn-cs"/>
            </a:rPr>
            <a:t>名称</a:t>
          </a:r>
          <a:r>
            <a:rPr kumimoji="0" lang="en-US" altLang="ja-JP" sz="800">
              <a:solidFill>
                <a:schemeClr val="tx1"/>
              </a:solidFill>
              <a:effectLst/>
              <a:latin typeface="+mn-ea"/>
              <a:ea typeface="+mn-ea"/>
              <a:cs typeface="+mn-cs"/>
            </a:rPr>
            <a:t>/</a:t>
          </a:r>
          <a:r>
            <a:rPr kumimoji="0" lang="ja-JP" altLang="en-US" sz="800">
              <a:solidFill>
                <a:schemeClr val="tx1"/>
              </a:solidFill>
              <a:effectLst/>
              <a:latin typeface="+mn-ea"/>
              <a:ea typeface="+mn-ea"/>
              <a:cs typeface="+mn-cs"/>
            </a:rPr>
            <a:t>地番表示</a:t>
          </a:r>
          <a:r>
            <a:rPr kumimoji="0" lang="en-US" altLang="ja-JP" sz="800">
              <a:solidFill>
                <a:schemeClr val="tx1"/>
              </a:solidFill>
              <a:effectLst/>
              <a:latin typeface="+mn-ea"/>
              <a:ea typeface="+mn-ea"/>
              <a:cs typeface="+mn-cs"/>
            </a:rPr>
            <a:t>/</a:t>
          </a:r>
          <a:r>
            <a:rPr kumimoji="0" lang="ja-JP" altLang="en-US" sz="800">
              <a:solidFill>
                <a:schemeClr val="tx1"/>
              </a:solidFill>
              <a:effectLst/>
              <a:latin typeface="+mn-ea"/>
              <a:ea typeface="+mn-ea"/>
              <a:cs typeface="+mn-cs"/>
            </a:rPr>
            <a:t>面積変更があった場合は、データ送信時にメール本文にその旨を注記してお知らせください。</a:t>
          </a:r>
          <a:endParaRPr kumimoji="1" lang="ja-JP" altLang="en-US" sz="600">
            <a:solidFill>
              <a:schemeClr val="tx1"/>
            </a:solidFill>
            <a:latin typeface="+mn-ea"/>
            <a:ea typeface="+mn-ea"/>
          </a:endParaRPr>
        </a:p>
      </xdr:txBody>
    </xdr:sp>
    <xdr:clientData/>
  </xdr:oneCellAnchor>
  <xdr:twoCellAnchor>
    <xdr:from>
      <xdr:col>30</xdr:col>
      <xdr:colOff>405765</xdr:colOff>
      <xdr:row>13</xdr:row>
      <xdr:rowOff>0</xdr:rowOff>
    </xdr:from>
    <xdr:to>
      <xdr:col>47</xdr:col>
      <xdr:colOff>0</xdr:colOff>
      <xdr:row>13</xdr:row>
      <xdr:rowOff>428625</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12569190" y="2990850"/>
          <a:ext cx="5699760" cy="428625"/>
        </a:xfrm>
        <a:prstGeom prst="roundRect">
          <a:avLst>
            <a:gd name="adj" fmla="val 34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26</xdr:col>
      <xdr:colOff>28575</xdr:colOff>
      <xdr:row>0</xdr:row>
      <xdr:rowOff>1</xdr:rowOff>
    </xdr:from>
    <xdr:ext cx="3458695" cy="304800"/>
    <xdr:sp macro="" textlink="">
      <xdr:nvSpPr>
        <xdr:cNvPr id="31" name="正方形/長方形 30">
          <a:extLst>
            <a:ext uri="{FF2B5EF4-FFF2-40B4-BE49-F238E27FC236}">
              <a16:creationId xmlns:a16="http://schemas.microsoft.com/office/drawing/2014/main" id="{00000000-0008-0000-0800-00001F000000}"/>
            </a:ext>
          </a:extLst>
        </xdr:cNvPr>
        <xdr:cNvSpPr/>
      </xdr:nvSpPr>
      <xdr:spPr>
        <a:xfrm>
          <a:off x="9154646" y="1"/>
          <a:ext cx="3458695" cy="304800"/>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r>
            <a:rPr kumimoji="1" lang="ja-JP" altLang="en-US" sz="1600"/>
            <a:t>記載例</a:t>
          </a:r>
          <a:r>
            <a:rPr kumimoji="1" lang="ja-JP" altLang="en-US" sz="1000"/>
            <a:t>　（詳しい説明は、記載の手引きをご覧ください。）</a:t>
          </a:r>
        </a:p>
      </xdr:txBody>
    </xdr:sp>
    <xdr:clientData/>
  </xdr:oneCellAnchor>
  <xdr:oneCellAnchor>
    <xdr:from>
      <xdr:col>20</xdr:col>
      <xdr:colOff>123265</xdr:colOff>
      <xdr:row>2</xdr:row>
      <xdr:rowOff>43732</xdr:rowOff>
    </xdr:from>
    <xdr:ext cx="2696136" cy="1054135"/>
    <xdr:sp macro="" textlink="">
      <xdr:nvSpPr>
        <xdr:cNvPr id="29" name="正方形/長方形 28">
          <a:extLst>
            <a:ext uri="{FF2B5EF4-FFF2-40B4-BE49-F238E27FC236}">
              <a16:creationId xmlns:a16="http://schemas.microsoft.com/office/drawing/2014/main" id="{00000000-0008-0000-0800-00001D000000}"/>
            </a:ext>
          </a:extLst>
        </xdr:cNvPr>
        <xdr:cNvSpPr/>
      </xdr:nvSpPr>
      <xdr:spPr>
        <a:xfrm>
          <a:off x="6947647" y="357497"/>
          <a:ext cx="2696136" cy="1054135"/>
        </a:xfrm>
        <a:prstGeom prst="rect">
          <a:avLst/>
        </a:prstGeom>
        <a:solidFill>
          <a:schemeClr val="accent5">
            <a:lumMod val="20000"/>
            <a:lumOff val="80000"/>
          </a:schemeClr>
        </a:solidFill>
        <a:ln w="38100" cmpd="dbl">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lnSpc>
              <a:spcPts val="1500"/>
            </a:lnSpc>
          </a:pPr>
          <a:r>
            <a:rPr kumimoji="1" lang="ja-JP" altLang="en-US" sz="1100" b="1" u="none">
              <a:solidFill>
                <a:schemeClr val="tx1"/>
              </a:solidFill>
            </a:rPr>
            <a:t>この第４面は、今期計画書提出時に</a:t>
          </a:r>
          <a:endParaRPr kumimoji="1" lang="en-US" altLang="ja-JP" sz="1100" b="1" u="none">
            <a:solidFill>
              <a:schemeClr val="tx1"/>
            </a:solidFill>
          </a:endParaRPr>
        </a:p>
        <a:p>
          <a:pPr algn="l">
            <a:lnSpc>
              <a:spcPts val="1500"/>
            </a:lnSpc>
          </a:pPr>
          <a:r>
            <a:rPr kumimoji="1" lang="ja-JP" altLang="en-US" sz="1100" b="1" u="none">
              <a:solidFill>
                <a:schemeClr val="tx1"/>
              </a:solidFill>
            </a:rPr>
            <a:t>エネルギー管理指定工場に指定された</a:t>
          </a:r>
          <a:endParaRPr kumimoji="1" lang="en-US" altLang="ja-JP" sz="1100" b="1" u="none">
            <a:solidFill>
              <a:schemeClr val="tx1"/>
            </a:solidFill>
          </a:endParaRPr>
        </a:p>
        <a:p>
          <a:pPr algn="l">
            <a:lnSpc>
              <a:spcPts val="1500"/>
            </a:lnSpc>
          </a:pPr>
          <a:r>
            <a:rPr kumimoji="1" lang="ja-JP" altLang="en-US" sz="1100" b="1" u="none">
              <a:solidFill>
                <a:schemeClr val="tx1"/>
              </a:solidFill>
            </a:rPr>
            <a:t>工場がある場合のみ記載してください。</a:t>
          </a:r>
          <a:endParaRPr kumimoji="1" lang="en-US" altLang="ja-JP" sz="1100" b="1" u="none">
            <a:solidFill>
              <a:schemeClr val="tx1"/>
            </a:solidFill>
          </a:endParaRPr>
        </a:p>
        <a:p>
          <a:pPr algn="l">
            <a:lnSpc>
              <a:spcPts val="1500"/>
            </a:lnSpc>
          </a:pPr>
          <a:r>
            <a:rPr kumimoji="1" lang="en-US" altLang="ja-JP" sz="1100" b="1" u="none">
              <a:solidFill>
                <a:srgbClr val="FF0000"/>
              </a:solidFill>
            </a:rPr>
            <a:t>※</a:t>
          </a:r>
          <a:r>
            <a:rPr kumimoji="1" lang="ja-JP" altLang="en-US" sz="1100" b="1" u="none">
              <a:solidFill>
                <a:srgbClr val="FF0000"/>
              </a:solidFill>
            </a:rPr>
            <a:t>指定工場が複数ある場合はシートをコピーしてください。</a:t>
          </a:r>
          <a:endParaRPr kumimoji="1" lang="en-US" altLang="ja-JP" sz="1100" b="1" u="none">
            <a:solidFill>
              <a:srgbClr val="FF0000"/>
            </a:solidFill>
          </a:endParaRPr>
        </a:p>
      </xdr:txBody>
    </xdr:sp>
    <xdr:clientData/>
  </xdr:oneCellAnchor>
  <mc:AlternateContent xmlns:mc="http://schemas.openxmlformats.org/markup-compatibility/2006">
    <mc:Choice xmlns:a14="http://schemas.microsoft.com/office/drawing/2010/main" Requires="a14">
      <xdr:twoCellAnchor editAs="oneCell">
        <xdr:from>
          <xdr:col>20</xdr:col>
          <xdr:colOff>182880</xdr:colOff>
          <xdr:row>6</xdr:row>
          <xdr:rowOff>7620</xdr:rowOff>
        </xdr:from>
        <xdr:to>
          <xdr:col>20</xdr:col>
          <xdr:colOff>495300</xdr:colOff>
          <xdr:row>6</xdr:row>
          <xdr:rowOff>266700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8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28575</xdr:colOff>
      <xdr:row>18</xdr:row>
      <xdr:rowOff>6803</xdr:rowOff>
    </xdr:from>
    <xdr:to>
      <xdr:col>21</xdr:col>
      <xdr:colOff>438148</xdr:colOff>
      <xdr:row>18</xdr:row>
      <xdr:rowOff>387804</xdr:rowOff>
    </xdr:to>
    <xdr:sp macro="" textlink="">
      <xdr:nvSpPr>
        <xdr:cNvPr id="41" name="曲折矢印 40">
          <a:extLst>
            <a:ext uri="{FF2B5EF4-FFF2-40B4-BE49-F238E27FC236}">
              <a16:creationId xmlns:a16="http://schemas.microsoft.com/office/drawing/2014/main" id="{00000000-0008-0000-0800-000029000000}"/>
            </a:ext>
          </a:extLst>
        </xdr:cNvPr>
        <xdr:cNvSpPr/>
      </xdr:nvSpPr>
      <xdr:spPr>
        <a:xfrm rot="10800000">
          <a:off x="6781800" y="5283653"/>
          <a:ext cx="1314448" cy="381001"/>
        </a:xfrm>
        <a:prstGeom prst="bentArrow">
          <a:avLst>
            <a:gd name="adj1" fmla="val 31677"/>
            <a:gd name="adj2" fmla="val 42171"/>
            <a:gd name="adj3" fmla="val 42500"/>
            <a:gd name="adj4" fmla="val 43750"/>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20</xdr:col>
      <xdr:colOff>285753</xdr:colOff>
      <xdr:row>18</xdr:row>
      <xdr:rowOff>312166</xdr:rowOff>
    </xdr:from>
    <xdr:ext cx="2533650" cy="676274"/>
    <xdr:sp macro="" textlink="">
      <xdr:nvSpPr>
        <xdr:cNvPr id="42" name="正方形/長方形 41">
          <a:extLst>
            <a:ext uri="{FF2B5EF4-FFF2-40B4-BE49-F238E27FC236}">
              <a16:creationId xmlns:a16="http://schemas.microsoft.com/office/drawing/2014/main" id="{00000000-0008-0000-0800-00002A000000}"/>
            </a:ext>
          </a:extLst>
        </xdr:cNvPr>
        <xdr:cNvSpPr/>
      </xdr:nvSpPr>
      <xdr:spPr>
        <a:xfrm>
          <a:off x="7110135" y="5601342"/>
          <a:ext cx="2533650" cy="676274"/>
        </a:xfrm>
        <a:prstGeom prst="rect">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lnSpc>
              <a:spcPts val="1100"/>
            </a:lnSpc>
          </a:pPr>
          <a:r>
            <a:rPr kumimoji="1" lang="en-US" altLang="ja-JP" sz="900">
              <a:solidFill>
                <a:schemeClr val="tx1"/>
              </a:solidFill>
              <a:latin typeface="+mn-ea"/>
              <a:ea typeface="+mn-ea"/>
            </a:rPr>
            <a:t>※</a:t>
          </a:r>
          <a:r>
            <a:rPr kumimoji="1" lang="ja-JP" altLang="en-US" sz="900">
              <a:solidFill>
                <a:schemeClr val="tx1"/>
              </a:solidFill>
              <a:latin typeface="+mn-ea"/>
              <a:ea typeface="+mn-ea"/>
            </a:rPr>
            <a:t>自動計算した増減率は</a:t>
          </a:r>
          <a:endParaRPr kumimoji="1" lang="en-US" altLang="ja-JP" sz="900">
            <a:solidFill>
              <a:schemeClr val="tx1"/>
            </a:solidFill>
            <a:latin typeface="+mn-ea"/>
            <a:ea typeface="+mn-ea"/>
          </a:endParaRPr>
        </a:p>
        <a:p>
          <a:pPr algn="l">
            <a:lnSpc>
              <a:spcPts val="1100"/>
            </a:lnSpc>
          </a:pPr>
          <a:r>
            <a:rPr kumimoji="1" lang="ja-JP" altLang="en-US" sz="900" b="1">
              <a:solidFill>
                <a:schemeClr val="tx1"/>
              </a:solidFill>
              <a:latin typeface="+mn-ea"/>
              <a:ea typeface="+mn-ea"/>
            </a:rPr>
            <a:t>「報告対象年度におけるエネルギー起源二酸化炭素の排出の状況に関する説明」</a:t>
          </a:r>
          <a:r>
            <a:rPr kumimoji="1" lang="ja-JP" altLang="en-US" sz="900">
              <a:solidFill>
                <a:schemeClr val="tx1"/>
              </a:solidFill>
              <a:latin typeface="+mn-ea"/>
              <a:ea typeface="+mn-ea"/>
            </a:rPr>
            <a:t>に転記するとともに、増減要因等を考察して記載してください。</a:t>
          </a:r>
        </a:p>
      </xdr:txBody>
    </xdr:sp>
    <xdr:clientData/>
  </xdr:oneCellAnchor>
  <xdr:twoCellAnchor>
    <xdr:from>
      <xdr:col>20</xdr:col>
      <xdr:colOff>133356</xdr:colOff>
      <xdr:row>10</xdr:row>
      <xdr:rowOff>88449</xdr:rowOff>
    </xdr:from>
    <xdr:to>
      <xdr:col>20</xdr:col>
      <xdr:colOff>504833</xdr:colOff>
      <xdr:row>12</xdr:row>
      <xdr:rowOff>121107</xdr:rowOff>
    </xdr:to>
    <xdr:sp macro="" textlink="">
      <xdr:nvSpPr>
        <xdr:cNvPr id="43" name="曲折矢印 42">
          <a:extLst>
            <a:ext uri="{FF2B5EF4-FFF2-40B4-BE49-F238E27FC236}">
              <a16:creationId xmlns:a16="http://schemas.microsoft.com/office/drawing/2014/main" id="{00000000-0008-0000-0800-00002B000000}"/>
            </a:ext>
          </a:extLst>
        </xdr:cNvPr>
        <xdr:cNvSpPr/>
      </xdr:nvSpPr>
      <xdr:spPr>
        <a:xfrm rot="16200000" flipH="1">
          <a:off x="6870253" y="2581277"/>
          <a:ext cx="404133" cy="371477"/>
        </a:xfrm>
        <a:prstGeom prst="bentArrow">
          <a:avLst>
            <a:gd name="adj1" fmla="val 32692"/>
            <a:gd name="adj2" fmla="val 35256"/>
            <a:gd name="adj3" fmla="val 40385"/>
            <a:gd name="adj4" fmla="val 43750"/>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20</xdr:col>
      <xdr:colOff>453841</xdr:colOff>
      <xdr:row>9</xdr:row>
      <xdr:rowOff>190500</xdr:rowOff>
    </xdr:from>
    <xdr:ext cx="2232212" cy="523875"/>
    <xdr:sp macro="" textlink="">
      <xdr:nvSpPr>
        <xdr:cNvPr id="44" name="正方形/長方形 43">
          <a:extLst>
            <a:ext uri="{FF2B5EF4-FFF2-40B4-BE49-F238E27FC236}">
              <a16:creationId xmlns:a16="http://schemas.microsoft.com/office/drawing/2014/main" id="{00000000-0008-0000-0800-00002C000000}"/>
            </a:ext>
          </a:extLst>
        </xdr:cNvPr>
        <xdr:cNvSpPr/>
      </xdr:nvSpPr>
      <xdr:spPr>
        <a:xfrm>
          <a:off x="7207066" y="2438400"/>
          <a:ext cx="2232212" cy="523875"/>
        </a:xfrm>
        <a:prstGeom prst="rect">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lnSpc>
              <a:spcPts val="1100"/>
            </a:lnSpc>
          </a:pPr>
          <a:r>
            <a:rPr kumimoji="1" lang="en-US" altLang="ja-JP" sz="900" b="1">
              <a:solidFill>
                <a:schemeClr val="tx1"/>
              </a:solidFill>
              <a:latin typeface="+mn-ea"/>
              <a:ea typeface="+mn-ea"/>
            </a:rPr>
            <a:t>U</a:t>
          </a:r>
          <a:r>
            <a:rPr kumimoji="1" lang="ja-JP" altLang="en-US" sz="900" b="1">
              <a:solidFill>
                <a:schemeClr val="tx1"/>
              </a:solidFill>
              <a:latin typeface="+mn-ea"/>
              <a:ea typeface="+mn-ea"/>
            </a:rPr>
            <a:t>列</a:t>
          </a:r>
          <a:r>
            <a:rPr kumimoji="1" lang="ja-JP" altLang="en-US" sz="900" b="0">
              <a:solidFill>
                <a:schemeClr val="tx1"/>
              </a:solidFill>
              <a:latin typeface="+mn-ea"/>
              <a:ea typeface="+mn-ea"/>
            </a:rPr>
            <a:t>の太枠内に報告対象年度の前年度（前回報告時）の値を入力すると、増減率を自動計算しますのでご活用ください。</a:t>
          </a:r>
          <a:endParaRPr kumimoji="1" lang="en-US" altLang="ja-JP" sz="900" b="0">
            <a:solidFill>
              <a:schemeClr val="tx1"/>
            </a:solidFill>
            <a:latin typeface="+mn-ea"/>
            <a:ea typeface="+mn-ea"/>
          </a:endParaRPr>
        </a:p>
      </xdr:txBody>
    </xdr:sp>
    <xdr:clientData/>
  </xdr:oneCellAnchor>
  <xdr:oneCellAnchor>
    <xdr:from>
      <xdr:col>20</xdr:col>
      <xdr:colOff>277906</xdr:colOff>
      <xdr:row>18</xdr:row>
      <xdr:rowOff>2001820</xdr:rowOff>
    </xdr:from>
    <xdr:ext cx="2545976" cy="2105025"/>
    <xdr:sp macro="" textlink="">
      <xdr:nvSpPr>
        <xdr:cNvPr id="45" name="四角形吹き出し 44">
          <a:extLst>
            <a:ext uri="{FF2B5EF4-FFF2-40B4-BE49-F238E27FC236}">
              <a16:creationId xmlns:a16="http://schemas.microsoft.com/office/drawing/2014/main" id="{00000000-0008-0000-0800-00002D000000}"/>
            </a:ext>
          </a:extLst>
        </xdr:cNvPr>
        <xdr:cNvSpPr/>
      </xdr:nvSpPr>
      <xdr:spPr>
        <a:xfrm>
          <a:off x="6412006" y="7259620"/>
          <a:ext cx="2545976" cy="2105025"/>
        </a:xfrm>
        <a:prstGeom prst="wedgeRectCallout">
          <a:avLst>
            <a:gd name="adj1" fmla="val -58300"/>
            <a:gd name="adj2" fmla="val -29038"/>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000">
              <a:solidFill>
                <a:schemeClr val="tx1"/>
              </a:solidFill>
              <a:effectLst/>
              <a:latin typeface="+mn-ea"/>
              <a:ea typeface="+mn-ea"/>
              <a:cs typeface="+mn-cs"/>
            </a:rPr>
            <a:t>報告対象年度の</a:t>
          </a:r>
          <a:r>
            <a:rPr kumimoji="0" lang="en-US" altLang="ja-JP" sz="1000">
              <a:solidFill>
                <a:schemeClr val="tx1"/>
              </a:solidFill>
              <a:effectLst/>
              <a:latin typeface="+mn-ea"/>
              <a:ea typeface="+mn-ea"/>
              <a:cs typeface="+mn-cs"/>
            </a:rPr>
            <a:t>CO2</a:t>
          </a:r>
          <a:r>
            <a:rPr kumimoji="0" lang="ja-JP" altLang="en-US" sz="1000">
              <a:solidFill>
                <a:schemeClr val="tx1"/>
              </a:solidFill>
              <a:effectLst/>
              <a:latin typeface="+mn-ea"/>
              <a:ea typeface="+mn-ea"/>
              <a:cs typeface="+mn-cs"/>
            </a:rPr>
            <a:t>排出量及び原単位</a:t>
          </a:r>
          <a:endParaRPr kumimoji="0" lang="en-US" altLang="ja-JP" sz="1000">
            <a:solidFill>
              <a:schemeClr val="tx1"/>
            </a:solidFill>
            <a:effectLst/>
            <a:latin typeface="+mn-ea"/>
            <a:ea typeface="+mn-ea"/>
            <a:cs typeface="+mn-cs"/>
          </a:endParaRPr>
        </a:p>
        <a:p>
          <a:pPr algn="l">
            <a:lnSpc>
              <a:spcPts val="1100"/>
            </a:lnSpc>
          </a:pPr>
          <a:r>
            <a:rPr kumimoji="0" lang="ja-JP" altLang="en-US" sz="1000">
              <a:solidFill>
                <a:schemeClr val="tx1"/>
              </a:solidFill>
              <a:effectLst/>
              <a:latin typeface="+mn-ea"/>
              <a:ea typeface="+mn-ea"/>
              <a:cs typeface="+mn-cs"/>
            </a:rPr>
            <a:t>（基礎排出係数ベース）について、</a:t>
          </a:r>
          <a:endParaRPr kumimoji="0" lang="en-US" altLang="ja-JP" sz="1000">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前年度からの増減率</a:t>
          </a:r>
          <a:endParaRPr kumimoji="0" lang="en-US" altLang="ja-JP" sz="1000" b="1" u="sng">
            <a:solidFill>
              <a:schemeClr val="tx1"/>
            </a:solidFill>
            <a:effectLst/>
            <a:latin typeface="+mn-ea"/>
            <a:ea typeface="+mn-ea"/>
            <a:cs typeface="+mn-cs"/>
          </a:endParaRPr>
        </a:p>
        <a:p>
          <a:pPr marL="0" marR="0" lvl="0" indent="0" algn="l" defTabSz="914400" eaLnBrk="1" fontAlgn="auto" latinLnBrk="0" hangingPunct="1">
            <a:lnSpc>
              <a:spcPts val="1100"/>
            </a:lnSpc>
            <a:spcBef>
              <a:spcPts val="0"/>
            </a:spcBef>
            <a:spcAft>
              <a:spcPts val="0"/>
            </a:spcAft>
            <a:buClrTx/>
            <a:buSzTx/>
            <a:buFontTx/>
            <a:buNone/>
            <a:tabLst/>
            <a:defRPr/>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主な増減理由</a:t>
          </a:r>
          <a:r>
            <a:rPr lang="en-US" altLang="ja-JP" sz="1100" b="1" u="sng">
              <a:solidFill>
                <a:sysClr val="windowText" lastClr="000000"/>
              </a:solidFill>
              <a:effectLst/>
              <a:latin typeface="+mn-lt"/>
              <a:ea typeface="+mn-ea"/>
              <a:cs typeface="+mn-cs"/>
            </a:rPr>
            <a:t>(</a:t>
          </a:r>
          <a:r>
            <a:rPr lang="ja-JP" altLang="ja-JP" sz="1100" b="1" u="sng">
              <a:solidFill>
                <a:sysClr val="windowText" lastClr="000000"/>
              </a:solidFill>
              <a:effectLst/>
              <a:latin typeface="+mn-lt"/>
              <a:ea typeface="+mn-ea"/>
              <a:cs typeface="+mn-cs"/>
            </a:rPr>
            <a:t>削減対策以外</a:t>
          </a:r>
          <a:r>
            <a:rPr lang="en-US" altLang="ja-JP" sz="1100" b="1" u="sng">
              <a:solidFill>
                <a:sysClr val="windowText" lastClr="000000"/>
              </a:solidFill>
              <a:effectLst/>
              <a:latin typeface="+mn-lt"/>
              <a:ea typeface="+mn-ea"/>
              <a:cs typeface="+mn-cs"/>
            </a:rPr>
            <a:t>)</a:t>
          </a:r>
          <a:endParaRPr kumimoji="0" lang="en-US" altLang="ja-JP" sz="1000" b="1" u="sng">
            <a:solidFill>
              <a:sysClr val="windowText" lastClr="000000"/>
            </a:solidFill>
            <a:effectLst/>
            <a:latin typeface="+mn-ea"/>
            <a:ea typeface="+mn-ea"/>
            <a:cs typeface="+mn-cs"/>
          </a:endParaRPr>
        </a:p>
        <a:p>
          <a:pPr algn="l">
            <a:lnSpc>
              <a:spcPts val="12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対象年度に実施した主な削減対策の内容</a:t>
          </a:r>
          <a:endParaRPr kumimoji="0" lang="en-US" altLang="ja-JP" sz="1000" b="1" u="sng">
            <a:solidFill>
              <a:schemeClr val="tx1"/>
            </a:solidFill>
            <a:effectLst/>
            <a:latin typeface="+mn-ea"/>
            <a:ea typeface="+mn-ea"/>
            <a:cs typeface="+mn-cs"/>
          </a:endParaRPr>
        </a:p>
        <a:p>
          <a:pPr algn="l">
            <a:lnSpc>
              <a:spcPts val="1000"/>
            </a:lnSpc>
          </a:pPr>
          <a:r>
            <a:rPr kumimoji="0" lang="ja-JP" altLang="en-US" sz="1000">
              <a:solidFill>
                <a:schemeClr val="tx1"/>
              </a:solidFill>
              <a:effectLst/>
              <a:latin typeface="+mn-ea"/>
              <a:ea typeface="+mn-ea"/>
              <a:cs typeface="+mn-cs"/>
            </a:rPr>
            <a:t>を必ず記載してください。</a:t>
          </a:r>
          <a:endParaRPr kumimoji="0" lang="en-US" altLang="ja-JP" sz="1000">
            <a:solidFill>
              <a:schemeClr val="tx1"/>
            </a:solidFill>
            <a:effectLst/>
            <a:latin typeface="+mn-ea"/>
            <a:ea typeface="+mn-ea"/>
            <a:cs typeface="+mn-cs"/>
          </a:endParaRPr>
        </a:p>
        <a:p>
          <a:pPr algn="l">
            <a:lnSpc>
              <a:spcPts val="900"/>
            </a:lnSpc>
          </a:pPr>
          <a:endParaRPr kumimoji="0" lang="en-US" altLang="ja-JP" sz="900">
            <a:solidFill>
              <a:schemeClr val="tx1"/>
            </a:solidFill>
            <a:effectLst/>
            <a:latin typeface="+mn-ea"/>
            <a:ea typeface="+mn-ea"/>
            <a:cs typeface="+mn-cs"/>
          </a:endParaRPr>
        </a:p>
        <a:p>
          <a:pPr eaLnBrk="1" fontAlgn="auto" latinLnBrk="0" hangingPunct="1"/>
          <a:r>
            <a:rPr lang="en-US" altLang="ja-JP" sz="900">
              <a:solidFill>
                <a:schemeClr val="tx1"/>
              </a:solidFill>
              <a:effectLst/>
              <a:latin typeface="+mn-lt"/>
              <a:ea typeface="+mn-ea"/>
              <a:cs typeface="+mn-cs"/>
            </a:rPr>
            <a:t>※</a:t>
          </a:r>
          <a:r>
            <a:rPr lang="ja-JP" altLang="ja-JP" sz="900">
              <a:solidFill>
                <a:schemeClr val="tx1"/>
              </a:solidFill>
              <a:effectLst/>
              <a:latin typeface="+mn-lt"/>
              <a:ea typeface="+mn-ea"/>
              <a:cs typeface="+mn-cs"/>
            </a:rPr>
            <a:t>あらかじめ記載されている</a:t>
          </a:r>
          <a:r>
            <a:rPr lang="ja-JP" altLang="en-US" sz="900">
              <a:solidFill>
                <a:schemeClr val="tx1"/>
              </a:solidFill>
              <a:effectLst/>
              <a:latin typeface="+mn-lt"/>
              <a:ea typeface="+mn-ea"/>
              <a:cs typeface="+mn-cs"/>
            </a:rPr>
            <a:t>内容を、</a:t>
          </a:r>
          <a:r>
            <a:rPr lang="ja-JP" altLang="ja-JP" sz="900">
              <a:solidFill>
                <a:schemeClr val="tx1"/>
              </a:solidFill>
              <a:effectLst/>
              <a:latin typeface="+mn-lt"/>
              <a:ea typeface="+mn-ea"/>
              <a:cs typeface="+mn-cs"/>
            </a:rPr>
            <a:t>適宜修正して</a:t>
          </a:r>
          <a:r>
            <a:rPr lang="ja-JP" altLang="en-US" sz="900">
              <a:solidFill>
                <a:schemeClr val="tx1"/>
              </a:solidFill>
              <a:effectLst/>
              <a:latin typeface="+mn-lt"/>
              <a:ea typeface="+mn-ea"/>
              <a:cs typeface="+mn-cs"/>
            </a:rPr>
            <a:t>ください</a:t>
          </a:r>
          <a:r>
            <a:rPr lang="ja-JP" altLang="ja-JP" sz="900">
              <a:solidFill>
                <a:schemeClr val="tx1"/>
              </a:solidFill>
              <a:effectLst/>
              <a:latin typeface="+mn-lt"/>
              <a:ea typeface="+mn-ea"/>
              <a:cs typeface="+mn-cs"/>
            </a:rPr>
            <a:t>。</a:t>
          </a:r>
          <a:endParaRPr lang="ja-JP" altLang="ja-JP" sz="900">
            <a:solidFill>
              <a:schemeClr val="tx1"/>
            </a:solidFill>
            <a:effectLst/>
          </a:endParaRPr>
        </a:p>
        <a:p>
          <a:pPr eaLnBrk="1" fontAlgn="auto" latinLnBrk="0" hangingPunct="1"/>
          <a:r>
            <a:rPr kumimoji="0" lang="en-US" altLang="ja-JP" sz="900">
              <a:solidFill>
                <a:srgbClr val="FF0000"/>
              </a:solidFill>
              <a:effectLst/>
              <a:latin typeface="+mn-ea"/>
              <a:ea typeface="+mn-ea"/>
              <a:cs typeface="+mn-cs"/>
            </a:rPr>
            <a:t>※</a:t>
          </a:r>
          <a:r>
            <a:rPr lang="ja-JP" altLang="ja-JP" sz="900">
              <a:solidFill>
                <a:srgbClr val="FF0000"/>
              </a:solidFill>
              <a:effectLst/>
              <a:latin typeface="+mn-ea"/>
              <a:ea typeface="+mn-ea"/>
              <a:cs typeface="+mn-cs"/>
            </a:rPr>
            <a:t>計画した区域（全県</a:t>
          </a:r>
          <a:r>
            <a:rPr lang="en-US" altLang="ja-JP" sz="900">
              <a:solidFill>
                <a:srgbClr val="FF0000"/>
              </a:solidFill>
              <a:effectLst/>
              <a:latin typeface="+mn-ea"/>
              <a:ea typeface="+mn-ea"/>
              <a:cs typeface="+mn-cs"/>
            </a:rPr>
            <a:t>or</a:t>
          </a:r>
          <a:r>
            <a:rPr lang="ja-JP" altLang="ja-JP" sz="900">
              <a:solidFill>
                <a:srgbClr val="FF0000"/>
              </a:solidFill>
              <a:effectLst/>
              <a:latin typeface="+mn-ea"/>
              <a:ea typeface="+mn-ea"/>
              <a:cs typeface="+mn-cs"/>
            </a:rPr>
            <a:t>横浜・川崎市を除く県域）に削減対策の対象となる工場等が１つしかない場合は、第２面の記載をそのまま転記していただいて構いません。</a:t>
          </a:r>
          <a:endParaRPr kumimoji="1" lang="ja-JP" altLang="en-US" sz="900">
            <a:solidFill>
              <a:srgbClr val="FF0000"/>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20</xdr:col>
          <xdr:colOff>381000</xdr:colOff>
          <xdr:row>18</xdr:row>
          <xdr:rowOff>1965960</xdr:rowOff>
        </xdr:from>
        <xdr:to>
          <xdr:col>20</xdr:col>
          <xdr:colOff>693420</xdr:colOff>
          <xdr:row>18</xdr:row>
          <xdr:rowOff>2270760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8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0</xdr:colOff>
      <xdr:row>17</xdr:row>
      <xdr:rowOff>28575</xdr:rowOff>
    </xdr:from>
    <xdr:to>
      <xdr:col>39</xdr:col>
      <xdr:colOff>400050</xdr:colOff>
      <xdr:row>17</xdr:row>
      <xdr:rowOff>447676</xdr:rowOff>
    </xdr:to>
    <xdr:sp macro="" textlink="">
      <xdr:nvSpPr>
        <xdr:cNvPr id="52" name="角丸四角形 51">
          <a:extLst>
            <a:ext uri="{FF2B5EF4-FFF2-40B4-BE49-F238E27FC236}">
              <a16:creationId xmlns:a16="http://schemas.microsoft.com/office/drawing/2014/main" id="{00000000-0008-0000-0800-000034000000}"/>
            </a:ext>
          </a:extLst>
        </xdr:cNvPr>
        <xdr:cNvSpPr/>
      </xdr:nvSpPr>
      <xdr:spPr>
        <a:xfrm>
          <a:off x="12573000" y="4848225"/>
          <a:ext cx="2952750" cy="419101"/>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0</xdr:colOff>
      <xdr:row>14</xdr:row>
      <xdr:rowOff>19050</xdr:rowOff>
    </xdr:from>
    <xdr:to>
      <xdr:col>39</xdr:col>
      <xdr:colOff>400050</xdr:colOff>
      <xdr:row>14</xdr:row>
      <xdr:rowOff>438151</xdr:rowOff>
    </xdr:to>
    <xdr:sp macro="" textlink="">
      <xdr:nvSpPr>
        <xdr:cNvPr id="53" name="角丸四角形 52">
          <a:extLst>
            <a:ext uri="{FF2B5EF4-FFF2-40B4-BE49-F238E27FC236}">
              <a16:creationId xmlns:a16="http://schemas.microsoft.com/office/drawing/2014/main" id="{00000000-0008-0000-0800-000035000000}"/>
            </a:ext>
          </a:extLst>
        </xdr:cNvPr>
        <xdr:cNvSpPr/>
      </xdr:nvSpPr>
      <xdr:spPr>
        <a:xfrm>
          <a:off x="12573000" y="3467100"/>
          <a:ext cx="2952750" cy="419101"/>
        </a:xfrm>
        <a:prstGeom prst="round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1693</xdr:colOff>
      <xdr:row>16</xdr:row>
      <xdr:rowOff>16933</xdr:rowOff>
    </xdr:from>
    <xdr:to>
      <xdr:col>46</xdr:col>
      <xdr:colOff>302895</xdr:colOff>
      <xdr:row>16</xdr:row>
      <xdr:rowOff>447675</xdr:rowOff>
    </xdr:to>
    <xdr:sp macro="" textlink="">
      <xdr:nvSpPr>
        <xdr:cNvPr id="54" name="角丸四角形 53">
          <a:extLst>
            <a:ext uri="{FF2B5EF4-FFF2-40B4-BE49-F238E27FC236}">
              <a16:creationId xmlns:a16="http://schemas.microsoft.com/office/drawing/2014/main" id="{00000000-0008-0000-0800-000036000000}"/>
            </a:ext>
          </a:extLst>
        </xdr:cNvPr>
        <xdr:cNvSpPr/>
      </xdr:nvSpPr>
      <xdr:spPr>
        <a:xfrm>
          <a:off x="10373360" y="4360333"/>
          <a:ext cx="5313468" cy="430742"/>
        </a:xfrm>
        <a:prstGeom prst="roundRect">
          <a:avLst>
            <a:gd name="adj" fmla="val 34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1086523</xdr:colOff>
      <xdr:row>6</xdr:row>
      <xdr:rowOff>84665</xdr:rowOff>
    </xdr:from>
    <xdr:to>
      <xdr:col>31</xdr:col>
      <xdr:colOff>361950</xdr:colOff>
      <xdr:row>7</xdr:row>
      <xdr:rowOff>9524</xdr:rowOff>
    </xdr:to>
    <xdr:sp macro="" textlink="">
      <xdr:nvSpPr>
        <xdr:cNvPr id="18" name="フリーフォーム 17">
          <a:extLst>
            <a:ext uri="{FF2B5EF4-FFF2-40B4-BE49-F238E27FC236}">
              <a16:creationId xmlns:a16="http://schemas.microsoft.com/office/drawing/2014/main" id="{00000000-0008-0000-0800-000012000000}"/>
            </a:ext>
          </a:extLst>
        </xdr:cNvPr>
        <xdr:cNvSpPr/>
      </xdr:nvSpPr>
      <xdr:spPr>
        <a:xfrm>
          <a:off x="8943590" y="1490132"/>
          <a:ext cx="1790027" cy="305859"/>
        </a:xfrm>
        <a:custGeom>
          <a:avLst/>
          <a:gdLst>
            <a:gd name="connsiteX0" fmla="*/ 2019300 w 2019300"/>
            <a:gd name="connsiteY0" fmla="*/ 0 h 781050"/>
            <a:gd name="connsiteX1" fmla="*/ 342900 w 2019300"/>
            <a:gd name="connsiteY1" fmla="*/ 0 h 781050"/>
            <a:gd name="connsiteX2" fmla="*/ 342900 w 2019300"/>
            <a:gd name="connsiteY2" fmla="*/ 781050 h 781050"/>
            <a:gd name="connsiteX3" fmla="*/ 0 w 2019300"/>
            <a:gd name="connsiteY3" fmla="*/ 781050 h 781050"/>
          </a:gdLst>
          <a:ahLst/>
          <a:cxnLst>
            <a:cxn ang="0">
              <a:pos x="connsiteX0" y="connsiteY0"/>
            </a:cxn>
            <a:cxn ang="0">
              <a:pos x="connsiteX1" y="connsiteY1"/>
            </a:cxn>
            <a:cxn ang="0">
              <a:pos x="connsiteX2" y="connsiteY2"/>
            </a:cxn>
            <a:cxn ang="0">
              <a:pos x="connsiteX3" y="connsiteY3"/>
            </a:cxn>
          </a:cxnLst>
          <a:rect l="l" t="t" r="r" b="b"/>
          <a:pathLst>
            <a:path w="2019300" h="781050">
              <a:moveTo>
                <a:pt x="2019300" y="0"/>
              </a:moveTo>
              <a:lnTo>
                <a:pt x="342900" y="0"/>
              </a:lnTo>
              <a:lnTo>
                <a:pt x="342900" y="781050"/>
              </a:lnTo>
              <a:lnTo>
                <a:pt x="0" y="78105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84667</xdr:colOff>
      <xdr:row>7</xdr:row>
      <xdr:rowOff>10085</xdr:rowOff>
    </xdr:from>
    <xdr:to>
      <xdr:col>30</xdr:col>
      <xdr:colOff>338642</xdr:colOff>
      <xdr:row>13</xdr:row>
      <xdr:rowOff>67235</xdr:rowOff>
    </xdr:to>
    <xdr:sp macro="" textlink="">
      <xdr:nvSpPr>
        <xdr:cNvPr id="23" name="フリーフォーム 22">
          <a:extLst>
            <a:ext uri="{FF2B5EF4-FFF2-40B4-BE49-F238E27FC236}">
              <a16:creationId xmlns:a16="http://schemas.microsoft.com/office/drawing/2014/main" id="{00000000-0008-0000-0800-000017000000}"/>
            </a:ext>
          </a:extLst>
        </xdr:cNvPr>
        <xdr:cNvSpPr/>
      </xdr:nvSpPr>
      <xdr:spPr>
        <a:xfrm>
          <a:off x="9245600" y="1796552"/>
          <a:ext cx="1100642" cy="1242483"/>
        </a:xfrm>
        <a:custGeom>
          <a:avLst/>
          <a:gdLst>
            <a:gd name="connsiteX0" fmla="*/ 1257300 w 1257300"/>
            <a:gd name="connsiteY0" fmla="*/ 1257300 h 1257300"/>
            <a:gd name="connsiteX1" fmla="*/ 0 w 1257300"/>
            <a:gd name="connsiteY1" fmla="*/ 1257300 h 1257300"/>
            <a:gd name="connsiteX2" fmla="*/ 0 w 1257300"/>
            <a:gd name="connsiteY2" fmla="*/ 0 h 1257300"/>
          </a:gdLst>
          <a:ahLst/>
          <a:cxnLst>
            <a:cxn ang="0">
              <a:pos x="connsiteX0" y="connsiteY0"/>
            </a:cxn>
            <a:cxn ang="0">
              <a:pos x="connsiteX1" y="connsiteY1"/>
            </a:cxn>
            <a:cxn ang="0">
              <a:pos x="connsiteX2" y="connsiteY2"/>
            </a:cxn>
          </a:cxnLst>
          <a:rect l="l" t="t" r="r" b="b"/>
          <a:pathLst>
            <a:path w="1257300" h="1257300">
              <a:moveTo>
                <a:pt x="1257300" y="1257300"/>
              </a:moveTo>
              <a:lnTo>
                <a:pt x="0" y="1257300"/>
              </a:ln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84667</xdr:colOff>
      <xdr:row>13</xdr:row>
      <xdr:rowOff>85725</xdr:rowOff>
    </xdr:from>
    <xdr:to>
      <xdr:col>30</xdr:col>
      <xdr:colOff>363631</xdr:colOff>
      <xdr:row>16</xdr:row>
      <xdr:rowOff>110067</xdr:rowOff>
    </xdr:to>
    <xdr:sp macro="" textlink="">
      <xdr:nvSpPr>
        <xdr:cNvPr id="25" name="フリーフォーム 24">
          <a:extLst>
            <a:ext uri="{FF2B5EF4-FFF2-40B4-BE49-F238E27FC236}">
              <a16:creationId xmlns:a16="http://schemas.microsoft.com/office/drawing/2014/main" id="{00000000-0008-0000-0800-000019000000}"/>
            </a:ext>
          </a:extLst>
        </xdr:cNvPr>
        <xdr:cNvSpPr/>
      </xdr:nvSpPr>
      <xdr:spPr>
        <a:xfrm>
          <a:off x="9245600" y="3057525"/>
          <a:ext cx="1125631" cy="1395942"/>
        </a:xfrm>
        <a:custGeom>
          <a:avLst/>
          <a:gdLst>
            <a:gd name="connsiteX0" fmla="*/ 1285875 w 1285875"/>
            <a:gd name="connsiteY0" fmla="*/ 981075 h 981075"/>
            <a:gd name="connsiteX1" fmla="*/ 0 w 1285875"/>
            <a:gd name="connsiteY1" fmla="*/ 981075 h 981075"/>
            <a:gd name="connsiteX2" fmla="*/ 0 w 1285875"/>
            <a:gd name="connsiteY2" fmla="*/ 0 h 981075"/>
          </a:gdLst>
          <a:ahLst/>
          <a:cxnLst>
            <a:cxn ang="0">
              <a:pos x="connsiteX0" y="connsiteY0"/>
            </a:cxn>
            <a:cxn ang="0">
              <a:pos x="connsiteX1" y="connsiteY1"/>
            </a:cxn>
            <a:cxn ang="0">
              <a:pos x="connsiteX2" y="connsiteY2"/>
            </a:cxn>
          </a:cxnLst>
          <a:rect l="l" t="t" r="r" b="b"/>
          <a:pathLst>
            <a:path w="1285875" h="981075">
              <a:moveTo>
                <a:pt x="1285875" y="981075"/>
              </a:moveTo>
              <a:lnTo>
                <a:pt x="0" y="981075"/>
              </a:ln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1049867</xdr:colOff>
      <xdr:row>17</xdr:row>
      <xdr:rowOff>323850</xdr:rowOff>
    </xdr:from>
    <xdr:to>
      <xdr:col>31</xdr:col>
      <xdr:colOff>25401</xdr:colOff>
      <xdr:row>18</xdr:row>
      <xdr:rowOff>1549400</xdr:rowOff>
    </xdr:to>
    <xdr:sp macro="" textlink="">
      <xdr:nvSpPr>
        <xdr:cNvPr id="28" name="フリーフォーム 27">
          <a:extLst>
            <a:ext uri="{FF2B5EF4-FFF2-40B4-BE49-F238E27FC236}">
              <a16:creationId xmlns:a16="http://schemas.microsoft.com/office/drawing/2014/main" id="{00000000-0008-0000-0800-00001C000000}"/>
            </a:ext>
          </a:extLst>
        </xdr:cNvPr>
        <xdr:cNvSpPr/>
      </xdr:nvSpPr>
      <xdr:spPr>
        <a:xfrm>
          <a:off x="8906934" y="5124450"/>
          <a:ext cx="1490134" cy="1682750"/>
        </a:xfrm>
        <a:custGeom>
          <a:avLst/>
          <a:gdLst>
            <a:gd name="connsiteX0" fmla="*/ 1647825 w 1647825"/>
            <a:gd name="connsiteY0" fmla="*/ 0 h 1895475"/>
            <a:gd name="connsiteX1" fmla="*/ 523875 w 1647825"/>
            <a:gd name="connsiteY1" fmla="*/ 0 h 1895475"/>
            <a:gd name="connsiteX2" fmla="*/ 523875 w 1647825"/>
            <a:gd name="connsiteY2" fmla="*/ 1895475 h 1895475"/>
            <a:gd name="connsiteX3" fmla="*/ 0 w 1647825"/>
            <a:gd name="connsiteY3" fmla="*/ 1895475 h 1895475"/>
          </a:gdLst>
          <a:ahLst/>
          <a:cxnLst>
            <a:cxn ang="0">
              <a:pos x="connsiteX0" y="connsiteY0"/>
            </a:cxn>
            <a:cxn ang="0">
              <a:pos x="connsiteX1" y="connsiteY1"/>
            </a:cxn>
            <a:cxn ang="0">
              <a:pos x="connsiteX2" y="connsiteY2"/>
            </a:cxn>
            <a:cxn ang="0">
              <a:pos x="connsiteX3" y="connsiteY3"/>
            </a:cxn>
          </a:cxnLst>
          <a:rect l="l" t="t" r="r" b="b"/>
          <a:pathLst>
            <a:path w="1647825" h="1895475">
              <a:moveTo>
                <a:pt x="1647825" y="0"/>
              </a:moveTo>
              <a:lnTo>
                <a:pt x="523875" y="0"/>
              </a:lnTo>
              <a:lnTo>
                <a:pt x="523875" y="1895475"/>
              </a:lnTo>
              <a:lnTo>
                <a:pt x="0" y="1895475"/>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5863</xdr:colOff>
      <xdr:row>16</xdr:row>
      <xdr:rowOff>199293</xdr:rowOff>
    </xdr:from>
    <xdr:to>
      <xdr:col>28</xdr:col>
      <xdr:colOff>11724</xdr:colOff>
      <xdr:row>17</xdr:row>
      <xdr:rowOff>329713</xdr:rowOff>
    </xdr:to>
    <xdr:sp macro="" textlink="">
      <xdr:nvSpPr>
        <xdr:cNvPr id="30" name="フリーフォーム 29">
          <a:extLst>
            <a:ext uri="{FF2B5EF4-FFF2-40B4-BE49-F238E27FC236}">
              <a16:creationId xmlns:a16="http://schemas.microsoft.com/office/drawing/2014/main" id="{00000000-0008-0000-0800-00001E000000}"/>
            </a:ext>
          </a:extLst>
        </xdr:cNvPr>
        <xdr:cNvSpPr/>
      </xdr:nvSpPr>
      <xdr:spPr>
        <a:xfrm>
          <a:off x="9349155" y="4542693"/>
          <a:ext cx="123092" cy="587620"/>
        </a:xfrm>
        <a:custGeom>
          <a:avLst/>
          <a:gdLst>
            <a:gd name="connsiteX0" fmla="*/ 0 w 0"/>
            <a:gd name="connsiteY0" fmla="*/ 962025 h 962025"/>
            <a:gd name="connsiteX1" fmla="*/ 0 w 0"/>
            <a:gd name="connsiteY1" fmla="*/ 0 h 962025"/>
          </a:gdLst>
          <a:ahLst/>
          <a:cxnLst>
            <a:cxn ang="0">
              <a:pos x="connsiteX0" y="connsiteY0"/>
            </a:cxn>
            <a:cxn ang="0">
              <a:pos x="connsiteX1" y="connsiteY1"/>
            </a:cxn>
          </a:cxnLst>
          <a:rect l="l" t="t" r="r" b="b"/>
          <a:pathLst>
            <a:path h="962025">
              <a:moveTo>
                <a:pt x="0" y="962025"/>
              </a:moveTo>
              <a:lnTo>
                <a:pt x="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12112</xdr:colOff>
      <xdr:row>16</xdr:row>
      <xdr:rowOff>0</xdr:rowOff>
    </xdr:from>
    <xdr:to>
      <xdr:col>28</xdr:col>
      <xdr:colOff>10448</xdr:colOff>
      <xdr:row>16</xdr:row>
      <xdr:rowOff>209550</xdr:rowOff>
    </xdr:to>
    <xdr:sp macro="" textlink="">
      <xdr:nvSpPr>
        <xdr:cNvPr id="33" name="フリーフォーム 32">
          <a:extLst>
            <a:ext uri="{FF2B5EF4-FFF2-40B4-BE49-F238E27FC236}">
              <a16:creationId xmlns:a16="http://schemas.microsoft.com/office/drawing/2014/main" id="{00000000-0008-0000-0800-000021000000}"/>
            </a:ext>
          </a:extLst>
        </xdr:cNvPr>
        <xdr:cNvSpPr/>
      </xdr:nvSpPr>
      <xdr:spPr>
        <a:xfrm>
          <a:off x="9355404" y="4343400"/>
          <a:ext cx="115567" cy="209550"/>
        </a:xfrm>
        <a:custGeom>
          <a:avLst/>
          <a:gdLst>
            <a:gd name="connsiteX0" fmla="*/ 9525 w 133379"/>
            <a:gd name="connsiteY0" fmla="*/ 0 h 209550"/>
            <a:gd name="connsiteX1" fmla="*/ 133350 w 133379"/>
            <a:gd name="connsiteY1" fmla="*/ 95250 h 209550"/>
            <a:gd name="connsiteX2" fmla="*/ 0 w 133379"/>
            <a:gd name="connsiteY2" fmla="*/ 209550 h 209550"/>
          </a:gdLst>
          <a:ahLst/>
          <a:cxnLst>
            <a:cxn ang="0">
              <a:pos x="connsiteX0" y="connsiteY0"/>
            </a:cxn>
            <a:cxn ang="0">
              <a:pos x="connsiteX1" y="connsiteY1"/>
            </a:cxn>
            <a:cxn ang="0">
              <a:pos x="connsiteX2" y="connsiteY2"/>
            </a:cxn>
          </a:cxnLst>
          <a:rect l="l" t="t" r="r" b="b"/>
          <a:pathLst>
            <a:path w="133379" h="209550">
              <a:moveTo>
                <a:pt x="9525" y="0"/>
              </a:moveTo>
              <a:cubicBezTo>
                <a:pt x="72231" y="30162"/>
                <a:pt x="134938" y="60325"/>
                <a:pt x="133350" y="95250"/>
              </a:cubicBezTo>
              <a:cubicBezTo>
                <a:pt x="131762" y="130175"/>
                <a:pt x="65881" y="169862"/>
                <a:pt x="0" y="209550"/>
              </a:cubicBez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92858</xdr:colOff>
      <xdr:row>0</xdr:row>
      <xdr:rowOff>3026</xdr:rowOff>
    </xdr:from>
    <xdr:to>
      <xdr:col>46</xdr:col>
      <xdr:colOff>137942</xdr:colOff>
      <xdr:row>2</xdr:row>
      <xdr:rowOff>1120</xdr:rowOff>
    </xdr:to>
    <xdr:sp macro="" textlink="">
      <xdr:nvSpPr>
        <xdr:cNvPr id="46" name="正方形/長方形 45">
          <a:extLst>
            <a:ext uri="{FF2B5EF4-FFF2-40B4-BE49-F238E27FC236}">
              <a16:creationId xmlns:a16="http://schemas.microsoft.com/office/drawing/2014/main" id="{00000000-0008-0000-0800-00002E000000}"/>
            </a:ext>
          </a:extLst>
        </xdr:cNvPr>
        <xdr:cNvSpPr/>
      </xdr:nvSpPr>
      <xdr:spPr>
        <a:xfrm>
          <a:off x="12696338" y="3026"/>
          <a:ext cx="2826384" cy="302894"/>
        </a:xfrm>
        <a:prstGeom prst="rect">
          <a:avLst/>
        </a:prstGeom>
        <a:solidFill>
          <a:schemeClr val="accent4">
            <a:lumMod val="20000"/>
            <a:lumOff val="80000"/>
          </a:schemeClr>
        </a:solidFill>
        <a:ln w="1905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000" b="0" baseline="0">
              <a:solidFill>
                <a:schemeClr val="tx1"/>
              </a:solidFill>
            </a:rPr>
            <a:t>本面はすべて、県ホームページで</a:t>
          </a:r>
          <a:r>
            <a:rPr kumimoji="1" lang="ja-JP" altLang="en-US" sz="1000" b="1" u="sng" baseline="0">
              <a:solidFill>
                <a:schemeClr val="tx1"/>
              </a:solidFill>
            </a:rPr>
            <a:t>公表しません</a:t>
          </a:r>
          <a:r>
            <a:rPr kumimoji="1" lang="ja-JP" altLang="en-US" sz="1000" b="0" baseline="0">
              <a:solidFill>
                <a:schemeClr val="tx1"/>
              </a:solidFill>
            </a:rPr>
            <a:t>。</a:t>
          </a:r>
        </a:p>
      </xdr:txBody>
    </xdr:sp>
    <xdr:clientData/>
  </xdr:twoCellAnchor>
  <xdr:twoCellAnchor>
    <xdr:from>
      <xdr:col>25</xdr:col>
      <xdr:colOff>102646</xdr:colOff>
      <xdr:row>2</xdr:row>
      <xdr:rowOff>1120</xdr:rowOff>
    </xdr:from>
    <xdr:to>
      <xdr:col>42</xdr:col>
      <xdr:colOff>266680</xdr:colOff>
      <xdr:row>4</xdr:row>
      <xdr:rowOff>299422</xdr:rowOff>
    </xdr:to>
    <xdr:cxnSp macro="">
      <xdr:nvCxnSpPr>
        <xdr:cNvPr id="48" name="直線コネクタ 47">
          <a:extLst>
            <a:ext uri="{FF2B5EF4-FFF2-40B4-BE49-F238E27FC236}">
              <a16:creationId xmlns:a16="http://schemas.microsoft.com/office/drawing/2014/main" id="{00000000-0008-0000-0800-000030000000}"/>
            </a:ext>
          </a:extLst>
        </xdr:cNvPr>
        <xdr:cNvCxnSpPr>
          <a:stCxn id="46" idx="2"/>
        </xdr:cNvCxnSpPr>
      </xdr:nvCxnSpPr>
      <xdr:spPr>
        <a:xfrm flipH="1">
          <a:off x="9048526" y="305920"/>
          <a:ext cx="5017974" cy="633582"/>
        </a:xfrm>
        <a:prstGeom prst="line">
          <a:avLst/>
        </a:prstGeom>
        <a:ln w="19050">
          <a:solidFill>
            <a:schemeClr val="accent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13335</xdr:colOff>
      <xdr:row>0</xdr:row>
      <xdr:rowOff>19050</xdr:rowOff>
    </xdr:from>
    <xdr:ext cx="2305051" cy="276225"/>
    <xdr:sp macro="" textlink="">
      <xdr:nvSpPr>
        <xdr:cNvPr id="49" name="正方形/長方形 48">
          <a:extLst>
            <a:ext uri="{FF2B5EF4-FFF2-40B4-BE49-F238E27FC236}">
              <a16:creationId xmlns:a16="http://schemas.microsoft.com/office/drawing/2014/main" id="{00000000-0008-0000-0800-000031000000}"/>
            </a:ext>
          </a:extLst>
        </xdr:cNvPr>
        <xdr:cNvSpPr/>
      </xdr:nvSpPr>
      <xdr:spPr>
        <a:xfrm>
          <a:off x="6147435" y="19050"/>
          <a:ext cx="2305051" cy="27622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600"/>
            <a:t>チェック欄　　</a:t>
          </a:r>
          <a:r>
            <a:rPr kumimoji="1" lang="ja-JP" altLang="en-US" sz="1050"/>
            <a:t>記載例はこちら⇒</a:t>
          </a:r>
        </a:p>
      </xdr:txBody>
    </xdr:sp>
    <xdr:clientData/>
  </xdr:oneCellAnchor>
  <xdr:twoCellAnchor>
    <xdr:from>
      <xdr:col>41</xdr:col>
      <xdr:colOff>60080</xdr:colOff>
      <xdr:row>18</xdr:row>
      <xdr:rowOff>2412902</xdr:rowOff>
    </xdr:from>
    <xdr:to>
      <xdr:col>43</xdr:col>
      <xdr:colOff>381000</xdr:colOff>
      <xdr:row>18</xdr:row>
      <xdr:rowOff>2931795</xdr:rowOff>
    </xdr:to>
    <xdr:sp macro="" textlink="">
      <xdr:nvSpPr>
        <xdr:cNvPr id="47" name="テキスト ボックス 46">
          <a:extLst>
            <a:ext uri="{FF2B5EF4-FFF2-40B4-BE49-F238E27FC236}">
              <a16:creationId xmlns:a16="http://schemas.microsoft.com/office/drawing/2014/main" id="{00000000-0008-0000-0800-00002F000000}"/>
            </a:ext>
          </a:extLst>
        </xdr:cNvPr>
        <xdr:cNvSpPr txBox="1"/>
      </xdr:nvSpPr>
      <xdr:spPr>
        <a:xfrm>
          <a:off x="13471280" y="7661177"/>
          <a:ext cx="987670" cy="518893"/>
        </a:xfrm>
        <a:prstGeom prst="rect">
          <a:avLst/>
        </a:prstGeom>
        <a:solidFill>
          <a:schemeClr val="accent6">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実施した設備対策を、定量的に記入してください</a:t>
          </a:r>
        </a:p>
      </xdr:txBody>
    </xdr:sp>
    <xdr:clientData/>
  </xdr:twoCellAnchor>
  <xdr:twoCellAnchor>
    <xdr:from>
      <xdr:col>29</xdr:col>
      <xdr:colOff>25401</xdr:colOff>
      <xdr:row>4</xdr:row>
      <xdr:rowOff>12699</xdr:rowOff>
    </xdr:from>
    <xdr:to>
      <xdr:col>35</xdr:col>
      <xdr:colOff>237068</xdr:colOff>
      <xdr:row>4</xdr:row>
      <xdr:rowOff>365760</xdr:rowOff>
    </xdr:to>
    <xdr:sp macro="" textlink="">
      <xdr:nvSpPr>
        <xdr:cNvPr id="51" name="角丸四角形 50">
          <a:extLst>
            <a:ext uri="{FF2B5EF4-FFF2-40B4-BE49-F238E27FC236}">
              <a16:creationId xmlns:a16="http://schemas.microsoft.com/office/drawing/2014/main" id="{00000000-0008-0000-0800-000033000000}"/>
            </a:ext>
          </a:extLst>
        </xdr:cNvPr>
        <xdr:cNvSpPr/>
      </xdr:nvSpPr>
      <xdr:spPr>
        <a:xfrm>
          <a:off x="9664701" y="652779"/>
          <a:ext cx="2512907" cy="35306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76200</xdr:colOff>
      <xdr:row>4</xdr:row>
      <xdr:rowOff>205740</xdr:rowOff>
    </xdr:from>
    <xdr:to>
      <xdr:col>28</xdr:col>
      <xdr:colOff>144781</xdr:colOff>
      <xdr:row>6</xdr:row>
      <xdr:rowOff>99060</xdr:rowOff>
    </xdr:to>
    <xdr:sp macro="" textlink="">
      <xdr:nvSpPr>
        <xdr:cNvPr id="6" name="フリーフォーム 5">
          <a:extLst>
            <a:ext uri="{FF2B5EF4-FFF2-40B4-BE49-F238E27FC236}">
              <a16:creationId xmlns:a16="http://schemas.microsoft.com/office/drawing/2014/main" id="{00000000-0008-0000-0800-000006000000}"/>
            </a:ext>
          </a:extLst>
        </xdr:cNvPr>
        <xdr:cNvSpPr/>
      </xdr:nvSpPr>
      <xdr:spPr>
        <a:xfrm>
          <a:off x="9235440" y="845820"/>
          <a:ext cx="396241" cy="655320"/>
        </a:xfrm>
        <a:custGeom>
          <a:avLst/>
          <a:gdLst>
            <a:gd name="connsiteX0" fmla="*/ 8466 w 262466"/>
            <a:gd name="connsiteY0" fmla="*/ 364066 h 364066"/>
            <a:gd name="connsiteX1" fmla="*/ 0 w 262466"/>
            <a:gd name="connsiteY1" fmla="*/ 0 h 364066"/>
            <a:gd name="connsiteX2" fmla="*/ 262466 w 262466"/>
            <a:gd name="connsiteY2" fmla="*/ 0 h 364066"/>
          </a:gdLst>
          <a:ahLst/>
          <a:cxnLst>
            <a:cxn ang="0">
              <a:pos x="connsiteX0" y="connsiteY0"/>
            </a:cxn>
            <a:cxn ang="0">
              <a:pos x="connsiteX1" y="connsiteY1"/>
            </a:cxn>
            <a:cxn ang="0">
              <a:pos x="connsiteX2" y="connsiteY2"/>
            </a:cxn>
          </a:cxnLst>
          <a:rect l="l" t="t" r="r" b="b"/>
          <a:pathLst>
            <a:path w="262466" h="364066">
              <a:moveTo>
                <a:pt x="8466" y="364066"/>
              </a:moveTo>
              <a:lnTo>
                <a:pt x="0" y="0"/>
              </a:lnTo>
              <a:lnTo>
                <a:pt x="262466"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22860</xdr:colOff>
      <xdr:row>15</xdr:row>
      <xdr:rowOff>33864</xdr:rowOff>
    </xdr:from>
    <xdr:to>
      <xdr:col>45</xdr:col>
      <xdr:colOff>99060</xdr:colOff>
      <xdr:row>15</xdr:row>
      <xdr:rowOff>399625</xdr:rowOff>
    </xdr:to>
    <xdr:sp macro="" textlink="">
      <xdr:nvSpPr>
        <xdr:cNvPr id="59" name="角丸四角形 58">
          <a:extLst>
            <a:ext uri="{FF2B5EF4-FFF2-40B4-BE49-F238E27FC236}">
              <a16:creationId xmlns:a16="http://schemas.microsoft.com/office/drawing/2014/main" id="{00000000-0008-0000-0800-00003B000000}"/>
            </a:ext>
          </a:extLst>
        </xdr:cNvPr>
        <xdr:cNvSpPr/>
      </xdr:nvSpPr>
      <xdr:spPr>
        <a:xfrm>
          <a:off x="13152120" y="3920064"/>
          <a:ext cx="1965960" cy="36576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7620</xdr:colOff>
      <xdr:row>15</xdr:row>
      <xdr:rowOff>33864</xdr:rowOff>
    </xdr:from>
    <xdr:to>
      <xdr:col>36</xdr:col>
      <xdr:colOff>143669</xdr:colOff>
      <xdr:row>15</xdr:row>
      <xdr:rowOff>399625</xdr:rowOff>
    </xdr:to>
    <xdr:sp macro="" textlink="">
      <xdr:nvSpPr>
        <xdr:cNvPr id="60" name="角丸四角形 59">
          <a:extLst>
            <a:ext uri="{FF2B5EF4-FFF2-40B4-BE49-F238E27FC236}">
              <a16:creationId xmlns:a16="http://schemas.microsoft.com/office/drawing/2014/main" id="{00000000-0008-0000-0800-00003C000000}"/>
            </a:ext>
          </a:extLst>
        </xdr:cNvPr>
        <xdr:cNvSpPr/>
      </xdr:nvSpPr>
      <xdr:spPr>
        <a:xfrm>
          <a:off x="10378440" y="3920064"/>
          <a:ext cx="1957229" cy="36576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68580</xdr:colOff>
      <xdr:row>15</xdr:row>
      <xdr:rowOff>185962</xdr:rowOff>
    </xdr:from>
    <xdr:to>
      <xdr:col>30</xdr:col>
      <xdr:colOff>358141</xdr:colOff>
      <xdr:row>15</xdr:row>
      <xdr:rowOff>259079</xdr:rowOff>
    </xdr:to>
    <xdr:sp macro="" textlink="">
      <xdr:nvSpPr>
        <xdr:cNvPr id="61" name="フリーフォーム 60">
          <a:extLst>
            <a:ext uri="{FF2B5EF4-FFF2-40B4-BE49-F238E27FC236}">
              <a16:creationId xmlns:a16="http://schemas.microsoft.com/office/drawing/2014/main" id="{00000000-0008-0000-0800-00003D000000}"/>
            </a:ext>
          </a:extLst>
        </xdr:cNvPr>
        <xdr:cNvSpPr/>
      </xdr:nvSpPr>
      <xdr:spPr>
        <a:xfrm flipV="1">
          <a:off x="9227820" y="4072162"/>
          <a:ext cx="1135381" cy="73117"/>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153633</xdr:colOff>
      <xdr:row>15</xdr:row>
      <xdr:rowOff>150794</xdr:rowOff>
    </xdr:from>
    <xdr:to>
      <xdr:col>40</xdr:col>
      <xdr:colOff>0</xdr:colOff>
      <xdr:row>15</xdr:row>
      <xdr:rowOff>236220</xdr:rowOff>
    </xdr:to>
    <xdr:sp macro="" textlink="">
      <xdr:nvSpPr>
        <xdr:cNvPr id="62" name="フリーフォーム 61">
          <a:extLst>
            <a:ext uri="{FF2B5EF4-FFF2-40B4-BE49-F238E27FC236}">
              <a16:creationId xmlns:a16="http://schemas.microsoft.com/office/drawing/2014/main" id="{00000000-0008-0000-0800-00003E000000}"/>
            </a:ext>
          </a:extLst>
        </xdr:cNvPr>
        <xdr:cNvSpPr/>
      </xdr:nvSpPr>
      <xdr:spPr>
        <a:xfrm flipV="1">
          <a:off x="12345633" y="4036994"/>
          <a:ext cx="783627" cy="85426"/>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xdr:colOff>
      <xdr:row>14</xdr:row>
      <xdr:rowOff>256301</xdr:rowOff>
    </xdr:from>
    <xdr:to>
      <xdr:col>30</xdr:col>
      <xdr:colOff>357555</xdr:colOff>
      <xdr:row>14</xdr:row>
      <xdr:rowOff>302020</xdr:rowOff>
    </xdr:to>
    <xdr:sp macro="" textlink="">
      <xdr:nvSpPr>
        <xdr:cNvPr id="63" name="フリーフォーム 62">
          <a:extLst>
            <a:ext uri="{FF2B5EF4-FFF2-40B4-BE49-F238E27FC236}">
              <a16:creationId xmlns:a16="http://schemas.microsoft.com/office/drawing/2014/main" id="{00000000-0008-0000-0800-00003F000000}"/>
            </a:ext>
          </a:extLst>
        </xdr:cNvPr>
        <xdr:cNvSpPr/>
      </xdr:nvSpPr>
      <xdr:spPr>
        <a:xfrm flipV="1">
          <a:off x="9343293" y="3685301"/>
          <a:ext cx="990600" cy="45719"/>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274320</xdr:colOff>
      <xdr:row>18</xdr:row>
      <xdr:rowOff>1059180</xdr:rowOff>
    </xdr:from>
    <xdr:ext cx="2544856" cy="708660"/>
    <xdr:sp macro="" textlink="">
      <xdr:nvSpPr>
        <xdr:cNvPr id="64" name="正方形/長方形 63">
          <a:extLst>
            <a:ext uri="{FF2B5EF4-FFF2-40B4-BE49-F238E27FC236}">
              <a16:creationId xmlns:a16="http://schemas.microsoft.com/office/drawing/2014/main" id="{00000000-0008-0000-0800-000040000000}"/>
            </a:ext>
          </a:extLst>
        </xdr:cNvPr>
        <xdr:cNvSpPr/>
      </xdr:nvSpPr>
      <xdr:spPr>
        <a:xfrm>
          <a:off x="6408420" y="6316980"/>
          <a:ext cx="2544856" cy="708660"/>
        </a:xfrm>
        <a:prstGeom prst="rect">
          <a:avLst/>
        </a:prstGeom>
        <a:solidFill>
          <a:schemeClr val="accent3">
            <a:lumMod val="20000"/>
            <a:lumOff val="80000"/>
          </a:schemeClr>
        </a:solid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b="0">
              <a:solidFill>
                <a:schemeClr val="tx1"/>
              </a:solidFill>
              <a:effectLst/>
              <a:latin typeface="+mn-ea"/>
              <a:ea typeface="+mn-ea"/>
              <a:cs typeface="+mn-cs"/>
            </a:rPr>
            <a:t>報告対象年度における排出量の合計量は</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されます。また、原単位目標を設定している場合は、報告対象年度における排出量原単位についても同様に</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a:t>
          </a:r>
          <a:endParaRPr lang="en-US" altLang="ja-JP" sz="900" b="0">
            <a:solidFill>
              <a:schemeClr val="tx1"/>
            </a:solidFill>
            <a:effectLst/>
            <a:latin typeface="+mn-ea"/>
            <a:ea typeface="+mn-ea"/>
            <a:cs typeface="+mn-cs"/>
          </a:endParaRPr>
        </a:p>
      </xdr:txBody>
    </xdr:sp>
    <xdr:clientData/>
  </xdr:oneCellAnchor>
  <xdr:twoCellAnchor>
    <xdr:from>
      <xdr:col>27</xdr:col>
      <xdr:colOff>2117</xdr:colOff>
      <xdr:row>15</xdr:row>
      <xdr:rowOff>144356</xdr:rowOff>
    </xdr:from>
    <xdr:to>
      <xdr:col>28</xdr:col>
      <xdr:colOff>453</xdr:colOff>
      <xdr:row>15</xdr:row>
      <xdr:rowOff>355599</xdr:rowOff>
    </xdr:to>
    <xdr:sp macro="" textlink="">
      <xdr:nvSpPr>
        <xdr:cNvPr id="58" name="フリーフォーム 57">
          <a:extLst>
            <a:ext uri="{FF2B5EF4-FFF2-40B4-BE49-F238E27FC236}">
              <a16:creationId xmlns:a16="http://schemas.microsoft.com/office/drawing/2014/main" id="{00000000-0008-0000-0800-00003A000000}"/>
            </a:ext>
          </a:extLst>
        </xdr:cNvPr>
        <xdr:cNvSpPr/>
      </xdr:nvSpPr>
      <xdr:spPr>
        <a:xfrm>
          <a:off x="9374717" y="4030556"/>
          <a:ext cx="112636" cy="211243"/>
        </a:xfrm>
        <a:custGeom>
          <a:avLst/>
          <a:gdLst>
            <a:gd name="connsiteX0" fmla="*/ 9525 w 133379"/>
            <a:gd name="connsiteY0" fmla="*/ 0 h 209550"/>
            <a:gd name="connsiteX1" fmla="*/ 133350 w 133379"/>
            <a:gd name="connsiteY1" fmla="*/ 95250 h 209550"/>
            <a:gd name="connsiteX2" fmla="*/ 0 w 133379"/>
            <a:gd name="connsiteY2" fmla="*/ 209550 h 209550"/>
          </a:gdLst>
          <a:ahLst/>
          <a:cxnLst>
            <a:cxn ang="0">
              <a:pos x="connsiteX0" y="connsiteY0"/>
            </a:cxn>
            <a:cxn ang="0">
              <a:pos x="connsiteX1" y="connsiteY1"/>
            </a:cxn>
            <a:cxn ang="0">
              <a:pos x="connsiteX2" y="connsiteY2"/>
            </a:cxn>
          </a:cxnLst>
          <a:rect l="l" t="t" r="r" b="b"/>
          <a:pathLst>
            <a:path w="133379" h="209550">
              <a:moveTo>
                <a:pt x="9525" y="0"/>
              </a:moveTo>
              <a:cubicBezTo>
                <a:pt x="72231" y="30162"/>
                <a:pt x="134938" y="60325"/>
                <a:pt x="133350" y="95250"/>
              </a:cubicBezTo>
              <a:cubicBezTo>
                <a:pt x="131762" y="130175"/>
                <a:pt x="65881" y="169862"/>
                <a:pt x="0" y="209550"/>
              </a:cubicBezTo>
            </a:path>
          </a:pathLst>
        </a:cu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0</xdr:colOff>
      <xdr:row>15</xdr:row>
      <xdr:rowOff>365760</xdr:rowOff>
    </xdr:from>
    <xdr:to>
      <xdr:col>27</xdr:col>
      <xdr:colOff>20156</xdr:colOff>
      <xdr:row>16</xdr:row>
      <xdr:rowOff>0</xdr:rowOff>
    </xdr:to>
    <xdr:cxnSp macro="">
      <xdr:nvCxnSpPr>
        <xdr:cNvPr id="5" name="直線コネクタ 4">
          <a:extLst>
            <a:ext uri="{FF2B5EF4-FFF2-40B4-BE49-F238E27FC236}">
              <a16:creationId xmlns:a16="http://schemas.microsoft.com/office/drawing/2014/main" id="{00000000-0008-0000-0800-000005000000}"/>
            </a:ext>
          </a:extLst>
        </xdr:cNvPr>
        <xdr:cNvCxnSpPr>
          <a:endCxn id="33" idx="0"/>
        </xdr:cNvCxnSpPr>
      </xdr:nvCxnSpPr>
      <xdr:spPr>
        <a:xfrm>
          <a:off x="9372600" y="4251960"/>
          <a:ext cx="20156" cy="91440"/>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55702</xdr:colOff>
      <xdr:row>15</xdr:row>
      <xdr:rowOff>321860</xdr:rowOff>
    </xdr:from>
    <xdr:ext cx="1864537" cy="521154"/>
    <xdr:sp macro="" textlink="">
      <xdr:nvSpPr>
        <xdr:cNvPr id="65" name="正方形/長方形 64">
          <a:extLst>
            <a:ext uri="{FF2B5EF4-FFF2-40B4-BE49-F238E27FC236}">
              <a16:creationId xmlns:a16="http://schemas.microsoft.com/office/drawing/2014/main" id="{00000000-0008-0000-0800-000041000000}"/>
            </a:ext>
          </a:extLst>
        </xdr:cNvPr>
        <xdr:cNvSpPr/>
      </xdr:nvSpPr>
      <xdr:spPr>
        <a:xfrm>
          <a:off x="7911922" y="4208060"/>
          <a:ext cx="1864537" cy="521154"/>
        </a:xfrm>
        <a:prstGeom prst="rect">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lnSpc>
              <a:spcPts val="1100"/>
            </a:lnSpc>
          </a:pPr>
          <a:r>
            <a:rPr kumimoji="1" lang="ja-JP" altLang="en-US" sz="900" b="0">
              <a:solidFill>
                <a:schemeClr val="tx1"/>
              </a:solidFill>
              <a:latin typeface="+mn-ea"/>
              <a:ea typeface="+mn-ea"/>
            </a:rPr>
            <a:t>原単位目標を設定している場合は</a:t>
          </a:r>
          <a:r>
            <a:rPr kumimoji="1" lang="en-US" altLang="ja-JP" sz="900" b="1">
              <a:solidFill>
                <a:schemeClr val="tx1"/>
              </a:solidFill>
              <a:latin typeface="+mn-ea"/>
              <a:ea typeface="+mn-ea"/>
            </a:rPr>
            <a:t>V</a:t>
          </a:r>
          <a:r>
            <a:rPr kumimoji="1" lang="ja-JP" altLang="en-US" sz="900" b="1">
              <a:solidFill>
                <a:schemeClr val="tx1"/>
              </a:solidFill>
              <a:latin typeface="+mn-ea"/>
              <a:ea typeface="+mn-ea"/>
            </a:rPr>
            <a:t>列</a:t>
          </a:r>
          <a:r>
            <a:rPr kumimoji="1" lang="ja-JP" altLang="en-US" sz="900" b="0">
              <a:solidFill>
                <a:schemeClr val="tx1"/>
              </a:solidFill>
              <a:latin typeface="+mn-ea"/>
              <a:ea typeface="+mn-ea"/>
            </a:rPr>
            <a:t>の太枠内に</a:t>
          </a:r>
          <a:r>
            <a:rPr kumimoji="1" lang="ja-JP" altLang="en-US" sz="900" b="1">
              <a:solidFill>
                <a:srgbClr val="FF0000"/>
              </a:solidFill>
              <a:latin typeface="+mn-ea"/>
              <a:ea typeface="+mn-ea"/>
            </a:rPr>
            <a:t>報告対象年度の原単位指標の量を入力</a:t>
          </a:r>
          <a:r>
            <a:rPr kumimoji="1" lang="ja-JP" altLang="en-US" sz="900" b="0">
              <a:solidFill>
                <a:schemeClr val="tx1"/>
              </a:solidFill>
              <a:latin typeface="+mn-ea"/>
              <a:ea typeface="+mn-ea"/>
            </a:rPr>
            <a:t>してください。</a:t>
          </a:r>
          <a:endParaRPr kumimoji="1" lang="en-US" altLang="ja-JP" sz="900" b="0">
            <a:solidFill>
              <a:schemeClr val="tx1"/>
            </a:solidFill>
            <a:latin typeface="+mn-ea"/>
            <a:ea typeface="+mn-ea"/>
          </a:endParaRPr>
        </a:p>
      </xdr:txBody>
    </xdr:sp>
    <xdr:clientData/>
  </xdr:oneCellAnchor>
  <xdr:twoCellAnchor>
    <xdr:from>
      <xdr:col>22</xdr:col>
      <xdr:colOff>0</xdr:colOff>
      <xdr:row>15</xdr:row>
      <xdr:rowOff>0</xdr:rowOff>
    </xdr:from>
    <xdr:to>
      <xdr:col>22</xdr:col>
      <xdr:colOff>404133</xdr:colOff>
      <xdr:row>15</xdr:row>
      <xdr:rowOff>317317</xdr:rowOff>
    </xdr:to>
    <xdr:sp macro="" textlink="">
      <xdr:nvSpPr>
        <xdr:cNvPr id="66" name="曲折矢印 65">
          <a:extLst>
            <a:ext uri="{FF2B5EF4-FFF2-40B4-BE49-F238E27FC236}">
              <a16:creationId xmlns:a16="http://schemas.microsoft.com/office/drawing/2014/main" id="{00000000-0008-0000-0800-000042000000}"/>
            </a:ext>
          </a:extLst>
        </xdr:cNvPr>
        <xdr:cNvSpPr/>
      </xdr:nvSpPr>
      <xdr:spPr>
        <a:xfrm flipH="1">
          <a:off x="7856220" y="3886200"/>
          <a:ext cx="404133" cy="317317"/>
        </a:xfrm>
        <a:prstGeom prst="bentArrow">
          <a:avLst>
            <a:gd name="adj1" fmla="val 32692"/>
            <a:gd name="adj2" fmla="val 35256"/>
            <a:gd name="adj3" fmla="val 40385"/>
            <a:gd name="adj4" fmla="val 43750"/>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27</xdr:col>
      <xdr:colOff>1</xdr:colOff>
      <xdr:row>14</xdr:row>
      <xdr:rowOff>302020</xdr:rowOff>
    </xdr:from>
    <xdr:to>
      <xdr:col>27</xdr:col>
      <xdr:colOff>10161</xdr:colOff>
      <xdr:row>15</xdr:row>
      <xdr:rowOff>144356</xdr:rowOff>
    </xdr:to>
    <xdr:cxnSp macro="">
      <xdr:nvCxnSpPr>
        <xdr:cNvPr id="4" name="直線コネクタ 3">
          <a:extLst>
            <a:ext uri="{FF2B5EF4-FFF2-40B4-BE49-F238E27FC236}">
              <a16:creationId xmlns:a16="http://schemas.microsoft.com/office/drawing/2014/main" id="{00000000-0008-0000-0800-000004000000}"/>
            </a:ext>
          </a:extLst>
        </xdr:cNvPr>
        <xdr:cNvCxnSpPr>
          <a:stCxn id="63" idx="1"/>
          <a:endCxn id="58" idx="0"/>
        </xdr:cNvCxnSpPr>
      </xdr:nvCxnSpPr>
      <xdr:spPr>
        <a:xfrm>
          <a:off x="9372601" y="3731020"/>
          <a:ext cx="10160" cy="299536"/>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74317326\Desktop\&#35336;&#30011;&#26360;&#12539;&#23455;&#32318;&#22577;&#21578;&#26360;&#12501;&#12449;&#12452;&#12523;&#65288;&#22823;&#35215;&#27169;&#29992;&#65289;_20250331.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5336;&#30011;&#26360;&#12539;&#23455;&#32318;&#22577;&#21578;&#26360;&#12501;&#12449;&#12452;&#12523;&#65288;&#22823;&#35215;&#27169;&#29992;&#65289;_2025ver3&#65288;&#26696;&#65289;&#20445;&#35703;&#264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非表示_作業履歴"/>
      <sheetName val="非表示_備忘メモ"/>
      <sheetName val="非表示_集計用シート"/>
      <sheetName val="非表示_評価基準"/>
      <sheetName val="非表示_リスト"/>
      <sheetName val="作業の流れ"/>
      <sheetName val="A.貼付_2025提出"/>
      <sheetName val="A.貼付_2026提出"/>
      <sheetName val="A.貼付_2027提出"/>
      <sheetName val="A.貼付_2028提出"/>
      <sheetName val="B1.入力_第1面"/>
      <sheetName val="B2.入力_第2~4面"/>
      <sheetName val="参考1_評価結果"/>
      <sheetName val="参考2_エネ使用量経年"/>
      <sheetName val="参考3_排出量経年"/>
    </sheetNames>
    <sheetDataSet>
      <sheetData sheetId="0"/>
      <sheetData sheetId="1"/>
      <sheetData sheetId="2"/>
      <sheetData sheetId="3"/>
      <sheetData sheetId="4"/>
      <sheetData sheetId="5"/>
      <sheetData sheetId="6">
        <row r="7">
          <cell r="HL7" t="str">
            <v>２　工場等の名称確認用</v>
          </cell>
        </row>
        <row r="9">
          <cell r="B9" t="str">
            <v>報告対象年度2024年度</v>
          </cell>
        </row>
        <row r="226">
          <cell r="B226" t="str">
            <v>集計_2024</v>
          </cell>
        </row>
        <row r="246">
          <cell r="B246" t="str">
            <v>原単位_2024</v>
          </cell>
        </row>
      </sheetData>
      <sheetData sheetId="7">
        <row r="7">
          <cell r="HL7" t="str">
            <v>２　工場等の名称確認用</v>
          </cell>
        </row>
        <row r="9">
          <cell r="B9" t="str">
            <v>報告対象年度2025年度</v>
          </cell>
        </row>
        <row r="226">
          <cell r="B226" t="str">
            <v>集計_2025</v>
          </cell>
        </row>
        <row r="246">
          <cell r="B246" t="str">
            <v>原単位_2025</v>
          </cell>
        </row>
      </sheetData>
      <sheetData sheetId="8">
        <row r="7">
          <cell r="HL7" t="str">
            <v>２　工場等の名称確認用</v>
          </cell>
        </row>
        <row r="9">
          <cell r="B9" t="str">
            <v>報告対象年度2026年度</v>
          </cell>
        </row>
        <row r="226">
          <cell r="B226" t="str">
            <v>集計_2026</v>
          </cell>
        </row>
        <row r="246">
          <cell r="B246" t="str">
            <v>原単位_2026</v>
          </cell>
        </row>
      </sheetData>
      <sheetData sheetId="9">
        <row r="7">
          <cell r="HL7" t="str">
            <v>２　工場等の名称確認用</v>
          </cell>
        </row>
        <row r="9">
          <cell r="B9" t="str">
            <v>報告対象年度2027年度</v>
          </cell>
        </row>
        <row r="226">
          <cell r="B226" t="str">
            <v>集計_2027</v>
          </cell>
        </row>
        <row r="246">
          <cell r="B246" t="str">
            <v>原単位_2027</v>
          </cell>
        </row>
        <row r="318">
          <cell r="B318" t="str">
            <v>集計_その他欄</v>
          </cell>
        </row>
        <row r="340">
          <cell r="B340" t="str">
            <v>集計_基礎情報</v>
          </cell>
        </row>
      </sheetData>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非表示_リス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1" Type="http://schemas.openxmlformats.org/officeDocument/2006/relationships/hyperlink" Target="mailto:abc@&#12295;&#12295;&#12295;&#12295;.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omments" Target="../comments5.xml"/><Relationship Id="rId4" Type="http://schemas.openxmlformats.org/officeDocument/2006/relationships/vmlDrawing" Target="../drawings/vmlDrawing5.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1.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J170"/>
  <sheetViews>
    <sheetView topLeftCell="A136" workbookViewId="0">
      <selection activeCell="G158" sqref="G158"/>
    </sheetView>
  </sheetViews>
  <sheetFormatPr defaultColWidth="9.6640625" defaultRowHeight="18" customHeight="1" outlineLevelRow="1"/>
  <cols>
    <col min="1" max="4" width="4.109375" style="129" customWidth="1"/>
    <col min="5" max="5" width="6.21875" style="129" customWidth="1"/>
    <col min="6" max="6" width="33" style="129" customWidth="1"/>
    <col min="7" max="16384" width="9.6640625" style="129"/>
  </cols>
  <sheetData>
    <row r="1" spans="2:28" ht="18" customHeight="1">
      <c r="B1" s="128" t="s">
        <v>975</v>
      </c>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row>
    <row r="2" spans="2:28" ht="18" customHeight="1">
      <c r="C2" s="130" t="s">
        <v>976</v>
      </c>
      <c r="D2" s="130"/>
      <c r="E2" s="130"/>
      <c r="F2" s="130"/>
      <c r="G2" s="130"/>
      <c r="H2" s="130"/>
      <c r="I2" s="130"/>
      <c r="J2" s="130"/>
      <c r="K2" s="130"/>
      <c r="L2" s="130"/>
      <c r="M2" s="130"/>
      <c r="N2" s="130"/>
      <c r="O2" s="130"/>
      <c r="P2" s="130"/>
      <c r="Q2" s="130"/>
      <c r="R2" s="130"/>
      <c r="S2" s="130"/>
      <c r="T2" s="130"/>
      <c r="U2" s="130"/>
      <c r="V2" s="130"/>
      <c r="W2" s="130"/>
      <c r="X2" s="130"/>
      <c r="Y2" s="130"/>
      <c r="Z2" s="130"/>
      <c r="AA2" s="130"/>
      <c r="AB2" s="130"/>
    </row>
    <row r="3" spans="2:28" ht="18" customHeight="1">
      <c r="C3" s="131"/>
      <c r="D3" s="131" t="s">
        <v>977</v>
      </c>
      <c r="E3" s="131"/>
      <c r="F3" s="131"/>
      <c r="G3" s="131"/>
      <c r="H3" s="131"/>
      <c r="I3" s="131"/>
      <c r="J3" s="131"/>
      <c r="K3" s="131"/>
      <c r="L3" s="131"/>
      <c r="M3" s="131"/>
      <c r="N3" s="131"/>
      <c r="O3" s="131"/>
      <c r="P3" s="131"/>
      <c r="Q3" s="131"/>
      <c r="R3" s="131"/>
      <c r="S3" s="131"/>
      <c r="T3" s="131"/>
      <c r="U3" s="131"/>
      <c r="V3" s="131"/>
      <c r="W3" s="131"/>
      <c r="X3" s="131"/>
      <c r="Y3" s="131"/>
      <c r="Z3" s="131"/>
      <c r="AA3" s="131"/>
      <c r="AB3" s="131"/>
    </row>
    <row r="4" spans="2:28" ht="18" customHeight="1">
      <c r="C4" s="131"/>
      <c r="D4" s="131"/>
      <c r="E4" s="131"/>
      <c r="F4" s="131" t="s">
        <v>978</v>
      </c>
      <c r="G4" s="131" t="s">
        <v>979</v>
      </c>
      <c r="H4" s="131" t="s">
        <v>980</v>
      </c>
      <c r="I4" s="131" t="s">
        <v>981</v>
      </c>
      <c r="J4" s="131" t="s">
        <v>982</v>
      </c>
      <c r="K4" s="131" t="s">
        <v>983</v>
      </c>
      <c r="L4" s="131" t="s">
        <v>984</v>
      </c>
      <c r="M4" s="131"/>
      <c r="N4" s="131"/>
      <c r="O4" s="131"/>
      <c r="P4" s="131"/>
      <c r="Q4" s="131"/>
      <c r="R4" s="131"/>
      <c r="S4" s="131"/>
      <c r="T4" s="131"/>
      <c r="U4" s="131"/>
      <c r="V4" s="131"/>
      <c r="W4" s="131"/>
      <c r="X4" s="131"/>
      <c r="Y4" s="131"/>
      <c r="Z4" s="131"/>
      <c r="AA4" s="131"/>
      <c r="AB4" s="131"/>
    </row>
    <row r="5" spans="2:28" ht="18" customHeight="1">
      <c r="C5" s="131"/>
      <c r="D5" s="131"/>
      <c r="E5" s="131"/>
      <c r="F5" s="131" t="s">
        <v>985</v>
      </c>
      <c r="G5" s="131" t="s">
        <v>979</v>
      </c>
      <c r="H5" s="131" t="s">
        <v>980</v>
      </c>
      <c r="I5" s="131" t="s">
        <v>981</v>
      </c>
      <c r="J5" s="131" t="s">
        <v>982</v>
      </c>
      <c r="K5" s="131" t="s">
        <v>983</v>
      </c>
      <c r="L5" s="131"/>
      <c r="M5" s="131"/>
      <c r="N5" s="131"/>
      <c r="O5" s="131"/>
      <c r="P5" s="131"/>
      <c r="Q5" s="131"/>
      <c r="R5" s="131"/>
      <c r="S5" s="131"/>
      <c r="T5" s="131"/>
      <c r="U5" s="131"/>
      <c r="V5" s="131"/>
      <c r="W5" s="131"/>
      <c r="X5" s="131"/>
      <c r="Y5" s="131"/>
      <c r="Z5" s="131"/>
      <c r="AA5" s="131"/>
      <c r="AB5" s="131"/>
    </row>
    <row r="6" spans="2:28" ht="18" customHeight="1">
      <c r="C6" s="131"/>
      <c r="D6" s="131"/>
      <c r="E6" s="131"/>
      <c r="F6" s="131" t="s">
        <v>986</v>
      </c>
      <c r="G6" s="131" t="s">
        <v>979</v>
      </c>
      <c r="H6" s="131" t="s">
        <v>980</v>
      </c>
      <c r="I6" s="131" t="s">
        <v>981</v>
      </c>
      <c r="J6" s="131" t="s">
        <v>982</v>
      </c>
      <c r="K6" s="131" t="s">
        <v>983</v>
      </c>
      <c r="L6" s="131"/>
      <c r="M6" s="131"/>
      <c r="N6" s="131"/>
      <c r="O6" s="131"/>
      <c r="P6" s="131"/>
      <c r="Q6" s="131"/>
      <c r="R6" s="131"/>
      <c r="S6" s="131"/>
      <c r="T6" s="131"/>
      <c r="U6" s="131"/>
      <c r="V6" s="131"/>
      <c r="W6" s="131"/>
      <c r="X6" s="131"/>
      <c r="Y6" s="131"/>
      <c r="Z6" s="131"/>
      <c r="AA6" s="131"/>
      <c r="AB6" s="131"/>
    </row>
    <row r="7" spans="2:28" ht="18" customHeight="1">
      <c r="C7" s="131"/>
      <c r="D7" s="131"/>
      <c r="E7" s="131"/>
      <c r="F7" s="131" t="s">
        <v>987</v>
      </c>
      <c r="G7" s="131" t="s">
        <v>979</v>
      </c>
      <c r="H7" s="131" t="s">
        <v>980</v>
      </c>
      <c r="I7" s="131" t="s">
        <v>981</v>
      </c>
      <c r="J7" s="131" t="s">
        <v>982</v>
      </c>
      <c r="K7" s="131" t="s">
        <v>983</v>
      </c>
      <c r="L7" s="131"/>
      <c r="M7" s="131"/>
      <c r="N7" s="131"/>
      <c r="O7" s="131"/>
      <c r="P7" s="131"/>
      <c r="Q7" s="131"/>
      <c r="R7" s="131"/>
      <c r="S7" s="131"/>
      <c r="T7" s="131"/>
      <c r="U7" s="131"/>
      <c r="V7" s="131"/>
      <c r="W7" s="131"/>
      <c r="X7" s="131"/>
      <c r="Y7" s="131"/>
      <c r="Z7" s="131"/>
      <c r="AA7" s="131"/>
      <c r="AB7" s="131"/>
    </row>
    <row r="8" spans="2:28" ht="18" customHeight="1">
      <c r="C8" s="131"/>
      <c r="D8" s="131" t="s">
        <v>988</v>
      </c>
      <c r="E8" s="131"/>
      <c r="F8" s="131"/>
      <c r="G8" s="131"/>
      <c r="H8" s="131"/>
      <c r="I8" s="131"/>
      <c r="J8" s="131"/>
      <c r="K8" s="131"/>
      <c r="L8" s="131"/>
      <c r="M8" s="131"/>
      <c r="N8" s="131"/>
      <c r="O8" s="131"/>
      <c r="P8" s="131"/>
      <c r="Q8" s="131"/>
      <c r="R8" s="131"/>
      <c r="S8" s="131"/>
      <c r="T8" s="131"/>
      <c r="U8" s="131"/>
      <c r="V8" s="131"/>
      <c r="W8" s="131"/>
      <c r="X8" s="131"/>
      <c r="Y8" s="131"/>
      <c r="Z8" s="131"/>
      <c r="AA8" s="131"/>
      <c r="AB8" s="131"/>
    </row>
    <row r="9" spans="2:28" ht="18" customHeight="1">
      <c r="C9" s="131"/>
      <c r="D9" s="131"/>
      <c r="E9" s="1006" t="s">
        <v>989</v>
      </c>
      <c r="F9" s="131" t="s">
        <v>990</v>
      </c>
      <c r="G9" s="131" t="s">
        <v>991</v>
      </c>
      <c r="H9" s="131" t="s">
        <v>992</v>
      </c>
      <c r="I9" s="131"/>
      <c r="J9" s="131"/>
      <c r="K9" s="131"/>
      <c r="L9" s="131"/>
      <c r="M9" s="131"/>
      <c r="N9" s="131"/>
      <c r="O9" s="131"/>
      <c r="P9" s="131"/>
      <c r="Q9" s="131"/>
      <c r="R9" s="131"/>
      <c r="S9" s="131"/>
      <c r="T9" s="131"/>
      <c r="U9" s="131"/>
      <c r="V9" s="131"/>
      <c r="W9" s="131"/>
      <c r="X9" s="131"/>
      <c r="Y9" s="131"/>
      <c r="Z9" s="131"/>
      <c r="AA9" s="131"/>
      <c r="AB9" s="131"/>
    </row>
    <row r="10" spans="2:28" ht="18" customHeight="1">
      <c r="C10" s="131"/>
      <c r="D10" s="131"/>
      <c r="E10" s="1007"/>
      <c r="F10" s="131" t="s">
        <v>993</v>
      </c>
      <c r="G10" s="131" t="s">
        <v>991</v>
      </c>
      <c r="H10" s="131" t="s">
        <v>992</v>
      </c>
      <c r="I10" s="131"/>
      <c r="J10" s="131"/>
      <c r="K10" s="131"/>
      <c r="L10" s="131"/>
      <c r="M10" s="131"/>
      <c r="N10" s="131"/>
      <c r="O10" s="131"/>
      <c r="P10" s="131"/>
      <c r="Q10" s="131"/>
      <c r="R10" s="131"/>
      <c r="S10" s="131"/>
      <c r="T10" s="131"/>
      <c r="U10" s="131"/>
      <c r="V10" s="131"/>
      <c r="W10" s="131"/>
      <c r="X10" s="131"/>
      <c r="Y10" s="131"/>
      <c r="Z10" s="131"/>
      <c r="AA10" s="131"/>
      <c r="AB10" s="131"/>
    </row>
    <row r="11" spans="2:28" ht="18" customHeight="1">
      <c r="C11" s="131"/>
      <c r="D11" s="131"/>
      <c r="E11" s="1008"/>
      <c r="F11" s="131" t="s">
        <v>994</v>
      </c>
      <c r="G11" s="131" t="s">
        <v>991</v>
      </c>
      <c r="H11" s="131" t="s">
        <v>992</v>
      </c>
      <c r="I11" s="131"/>
      <c r="J11" s="131"/>
      <c r="K11" s="131"/>
      <c r="L11" s="131"/>
      <c r="M11" s="131"/>
      <c r="N11" s="131"/>
      <c r="O11" s="131"/>
      <c r="P11" s="131"/>
      <c r="Q11" s="131"/>
      <c r="R11" s="131"/>
      <c r="S11" s="131"/>
      <c r="T11" s="131"/>
      <c r="U11" s="131"/>
      <c r="V11" s="131"/>
      <c r="W11" s="131"/>
      <c r="X11" s="131"/>
      <c r="Y11" s="131"/>
      <c r="Z11" s="131"/>
      <c r="AA11" s="131"/>
      <c r="AB11" s="131"/>
    </row>
    <row r="12" spans="2:28" ht="18" customHeight="1">
      <c r="C12" s="131"/>
      <c r="D12" s="131"/>
      <c r="E12" s="1006" t="s">
        <v>995</v>
      </c>
      <c r="F12" s="131" t="s">
        <v>990</v>
      </c>
      <c r="G12" s="131" t="s">
        <v>991</v>
      </c>
      <c r="H12" s="131" t="s">
        <v>992</v>
      </c>
      <c r="I12" s="131"/>
      <c r="J12" s="131"/>
      <c r="K12" s="131"/>
      <c r="L12" s="131"/>
      <c r="M12" s="131"/>
      <c r="N12" s="131"/>
      <c r="O12" s="131"/>
      <c r="P12" s="131"/>
      <c r="Q12" s="131"/>
      <c r="R12" s="131"/>
      <c r="S12" s="131"/>
      <c r="T12" s="131"/>
      <c r="U12" s="131"/>
      <c r="V12" s="131"/>
      <c r="W12" s="131"/>
      <c r="X12" s="131"/>
      <c r="Y12" s="131"/>
      <c r="Z12" s="131"/>
      <c r="AA12" s="131"/>
      <c r="AB12" s="131"/>
    </row>
    <row r="13" spans="2:28" ht="18" customHeight="1">
      <c r="C13" s="131"/>
      <c r="D13" s="131"/>
      <c r="E13" s="1007"/>
      <c r="F13" s="131" t="s">
        <v>993</v>
      </c>
      <c r="G13" s="131" t="s">
        <v>991</v>
      </c>
      <c r="H13" s="131" t="s">
        <v>992</v>
      </c>
      <c r="I13" s="131"/>
      <c r="J13" s="131"/>
      <c r="K13" s="131"/>
      <c r="L13" s="131"/>
      <c r="M13" s="131"/>
      <c r="N13" s="131"/>
      <c r="O13" s="131"/>
      <c r="P13" s="131"/>
      <c r="Q13" s="131"/>
      <c r="R13" s="131"/>
      <c r="S13" s="131"/>
      <c r="T13" s="131"/>
      <c r="U13" s="131"/>
      <c r="V13" s="131"/>
      <c r="W13" s="131"/>
      <c r="X13" s="131"/>
      <c r="Y13" s="131"/>
      <c r="Z13" s="131"/>
      <c r="AA13" s="131"/>
      <c r="AB13" s="131"/>
    </row>
    <row r="14" spans="2:28" ht="18" customHeight="1">
      <c r="C14" s="131"/>
      <c r="D14" s="131"/>
      <c r="E14" s="1008"/>
      <c r="F14" s="131" t="s">
        <v>994</v>
      </c>
      <c r="G14" s="131" t="s">
        <v>991</v>
      </c>
      <c r="H14" s="131" t="s">
        <v>992</v>
      </c>
      <c r="I14" s="131"/>
      <c r="J14" s="131"/>
      <c r="K14" s="131"/>
      <c r="L14" s="131"/>
      <c r="M14" s="131"/>
      <c r="N14" s="131"/>
      <c r="O14" s="131"/>
      <c r="P14" s="131"/>
      <c r="Q14" s="131"/>
      <c r="R14" s="131"/>
      <c r="S14" s="131"/>
      <c r="T14" s="131"/>
      <c r="U14" s="131"/>
      <c r="V14" s="131"/>
      <c r="W14" s="131"/>
      <c r="X14" s="131"/>
      <c r="Y14" s="131"/>
      <c r="Z14" s="131"/>
      <c r="AA14" s="131"/>
      <c r="AB14" s="131"/>
    </row>
    <row r="15" spans="2:28" ht="18" customHeight="1">
      <c r="C15" s="131"/>
      <c r="D15" s="131"/>
      <c r="E15" s="1006" t="s">
        <v>996</v>
      </c>
      <c r="F15" s="131" t="s">
        <v>990</v>
      </c>
      <c r="G15" s="131" t="s">
        <v>991</v>
      </c>
      <c r="H15" s="131" t="s">
        <v>992</v>
      </c>
      <c r="I15" s="131"/>
      <c r="J15" s="131"/>
      <c r="K15" s="131"/>
      <c r="L15" s="131"/>
      <c r="M15" s="131"/>
      <c r="N15" s="131"/>
      <c r="O15" s="131"/>
      <c r="P15" s="131"/>
      <c r="Q15" s="131"/>
      <c r="R15" s="131"/>
      <c r="S15" s="131"/>
      <c r="T15" s="131"/>
      <c r="U15" s="131"/>
      <c r="V15" s="131"/>
      <c r="W15" s="131"/>
      <c r="X15" s="131"/>
      <c r="Y15" s="131"/>
      <c r="Z15" s="131"/>
      <c r="AA15" s="131"/>
      <c r="AB15" s="131"/>
    </row>
    <row r="16" spans="2:28" ht="18" customHeight="1">
      <c r="C16" s="131"/>
      <c r="D16" s="131"/>
      <c r="E16" s="1007"/>
      <c r="F16" s="131" t="s">
        <v>993</v>
      </c>
      <c r="G16" s="131" t="s">
        <v>991</v>
      </c>
      <c r="H16" s="131" t="s">
        <v>992</v>
      </c>
      <c r="I16" s="131"/>
      <c r="J16" s="131"/>
      <c r="K16" s="131"/>
      <c r="L16" s="131"/>
      <c r="M16" s="131"/>
      <c r="N16" s="131"/>
      <c r="O16" s="131"/>
      <c r="P16" s="131"/>
      <c r="Q16" s="131"/>
      <c r="R16" s="131"/>
      <c r="S16" s="131"/>
      <c r="T16" s="131"/>
      <c r="U16" s="131"/>
      <c r="V16" s="131"/>
      <c r="W16" s="131"/>
      <c r="X16" s="131"/>
      <c r="Y16" s="131"/>
      <c r="Z16" s="131"/>
      <c r="AA16" s="131"/>
      <c r="AB16" s="131"/>
    </row>
    <row r="17" spans="3:28" ht="18" customHeight="1">
      <c r="C17" s="131"/>
      <c r="D17" s="131"/>
      <c r="E17" s="1008"/>
      <c r="F17" s="131" t="s">
        <v>994</v>
      </c>
      <c r="G17" s="131" t="s">
        <v>991</v>
      </c>
      <c r="H17" s="131" t="s">
        <v>992</v>
      </c>
      <c r="I17" s="131"/>
      <c r="J17" s="131"/>
      <c r="K17" s="131"/>
      <c r="L17" s="131"/>
      <c r="M17" s="131"/>
      <c r="N17" s="131"/>
      <c r="O17" s="131"/>
      <c r="P17" s="131"/>
      <c r="Q17" s="131"/>
      <c r="R17" s="131"/>
      <c r="S17" s="131"/>
      <c r="T17" s="131"/>
      <c r="U17" s="131"/>
      <c r="V17" s="131"/>
      <c r="W17" s="131"/>
      <c r="X17" s="131"/>
      <c r="Y17" s="131"/>
      <c r="Z17" s="131"/>
      <c r="AA17" s="131"/>
      <c r="AB17" s="131"/>
    </row>
    <row r="18" spans="3:28" ht="18" customHeight="1">
      <c r="C18" s="131"/>
      <c r="D18" s="131"/>
      <c r="E18" s="1006" t="s">
        <v>997</v>
      </c>
      <c r="F18" s="131" t="s">
        <v>990</v>
      </c>
      <c r="G18" s="131" t="s">
        <v>991</v>
      </c>
      <c r="H18" s="131" t="s">
        <v>992</v>
      </c>
      <c r="I18" s="131"/>
      <c r="J18" s="131"/>
      <c r="K18" s="131"/>
      <c r="L18" s="131"/>
      <c r="M18" s="131"/>
      <c r="N18" s="131"/>
      <c r="O18" s="131"/>
      <c r="P18" s="131"/>
      <c r="Q18" s="131"/>
      <c r="R18" s="131"/>
      <c r="S18" s="131"/>
      <c r="T18" s="131"/>
      <c r="U18" s="131"/>
      <c r="V18" s="131"/>
      <c r="W18" s="131"/>
      <c r="X18" s="131"/>
      <c r="Y18" s="131"/>
      <c r="Z18" s="131"/>
      <c r="AA18" s="131"/>
      <c r="AB18" s="131"/>
    </row>
    <row r="19" spans="3:28" ht="18" customHeight="1">
      <c r="C19" s="131"/>
      <c r="D19" s="131"/>
      <c r="E19" s="1007"/>
      <c r="F19" s="131" t="s">
        <v>993</v>
      </c>
      <c r="G19" s="131" t="s">
        <v>991</v>
      </c>
      <c r="H19" s="131" t="s">
        <v>992</v>
      </c>
      <c r="I19" s="131"/>
      <c r="J19" s="131"/>
      <c r="K19" s="131"/>
      <c r="L19" s="131"/>
      <c r="M19" s="131"/>
      <c r="N19" s="131"/>
      <c r="O19" s="131"/>
      <c r="P19" s="131"/>
      <c r="Q19" s="131"/>
      <c r="R19" s="131"/>
      <c r="S19" s="131"/>
      <c r="T19" s="131"/>
      <c r="U19" s="131"/>
      <c r="V19" s="131"/>
      <c r="W19" s="131"/>
      <c r="X19" s="131"/>
      <c r="Y19" s="131"/>
      <c r="Z19" s="131"/>
      <c r="AA19" s="131"/>
      <c r="AB19" s="131"/>
    </row>
    <row r="20" spans="3:28" ht="18" customHeight="1">
      <c r="C20" s="131"/>
      <c r="D20" s="131"/>
      <c r="E20" s="1008"/>
      <c r="F20" s="131" t="s">
        <v>994</v>
      </c>
      <c r="G20" s="131" t="s">
        <v>991</v>
      </c>
      <c r="H20" s="131" t="s">
        <v>992</v>
      </c>
      <c r="I20" s="131"/>
      <c r="J20" s="131"/>
      <c r="K20" s="131"/>
      <c r="L20" s="131"/>
      <c r="M20" s="131"/>
      <c r="N20" s="131"/>
      <c r="O20" s="131"/>
      <c r="P20" s="131"/>
      <c r="Q20" s="131"/>
      <c r="R20" s="131"/>
      <c r="S20" s="131"/>
      <c r="T20" s="131"/>
      <c r="U20" s="131"/>
      <c r="V20" s="131"/>
      <c r="W20" s="131"/>
      <c r="X20" s="131"/>
      <c r="Y20" s="131"/>
      <c r="Z20" s="131"/>
      <c r="AA20" s="131"/>
      <c r="AB20" s="131"/>
    </row>
    <row r="21" spans="3:28" ht="18" customHeight="1">
      <c r="C21" s="131"/>
      <c r="D21" s="131" t="s">
        <v>998</v>
      </c>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row>
    <row r="22" spans="3:28" ht="18" customHeight="1">
      <c r="C22" s="131"/>
      <c r="D22" s="131"/>
      <c r="E22" s="1006" t="s">
        <v>989</v>
      </c>
      <c r="F22" s="131" t="s">
        <v>999</v>
      </c>
      <c r="G22" s="131" t="s">
        <v>991</v>
      </c>
      <c r="H22" s="131" t="s">
        <v>992</v>
      </c>
      <c r="I22" s="131"/>
      <c r="J22" s="131"/>
      <c r="K22" s="131"/>
      <c r="L22" s="131"/>
      <c r="M22" s="131"/>
      <c r="N22" s="131"/>
      <c r="O22" s="131"/>
      <c r="P22" s="131"/>
      <c r="Q22" s="131"/>
      <c r="R22" s="131"/>
      <c r="S22" s="131"/>
      <c r="T22" s="131"/>
      <c r="U22" s="131"/>
      <c r="V22" s="131"/>
      <c r="W22" s="131"/>
      <c r="X22" s="131"/>
      <c r="Y22" s="131"/>
      <c r="Z22" s="131"/>
      <c r="AA22" s="131"/>
      <c r="AB22" s="131"/>
    </row>
    <row r="23" spans="3:28" ht="18" customHeight="1">
      <c r="C23" s="131"/>
      <c r="D23" s="131"/>
      <c r="E23" s="1007"/>
      <c r="F23" s="131" t="s">
        <v>1000</v>
      </c>
      <c r="G23" s="131" t="s">
        <v>991</v>
      </c>
      <c r="H23" s="131" t="s">
        <v>992</v>
      </c>
      <c r="I23" s="131"/>
      <c r="J23" s="131"/>
      <c r="K23" s="131"/>
      <c r="L23" s="131"/>
      <c r="M23" s="131"/>
      <c r="N23" s="131"/>
      <c r="O23" s="131"/>
      <c r="P23" s="131"/>
      <c r="Q23" s="131"/>
      <c r="R23" s="131"/>
      <c r="S23" s="131"/>
      <c r="T23" s="131"/>
      <c r="U23" s="131"/>
      <c r="V23" s="131"/>
      <c r="W23" s="131"/>
      <c r="X23" s="131"/>
      <c r="Y23" s="131"/>
      <c r="Z23" s="131"/>
      <c r="AA23" s="131"/>
      <c r="AB23" s="131"/>
    </row>
    <row r="24" spans="3:28" ht="18" customHeight="1">
      <c r="C24" s="131"/>
      <c r="D24" s="131"/>
      <c r="E24" s="1006" t="s">
        <v>995</v>
      </c>
      <c r="F24" s="131" t="s">
        <v>999</v>
      </c>
      <c r="G24" s="131" t="s">
        <v>991</v>
      </c>
      <c r="H24" s="131" t="s">
        <v>992</v>
      </c>
      <c r="I24" s="131"/>
      <c r="J24" s="131"/>
      <c r="K24" s="131"/>
      <c r="L24" s="131"/>
      <c r="M24" s="131"/>
      <c r="N24" s="131"/>
      <c r="O24" s="131"/>
      <c r="P24" s="131"/>
      <c r="Q24" s="131"/>
      <c r="R24" s="131"/>
      <c r="S24" s="131"/>
      <c r="T24" s="131"/>
      <c r="U24" s="131"/>
      <c r="V24" s="131"/>
      <c r="W24" s="131"/>
      <c r="X24" s="131"/>
      <c r="Y24" s="131"/>
      <c r="Z24" s="131"/>
      <c r="AA24" s="131"/>
      <c r="AB24" s="131"/>
    </row>
    <row r="25" spans="3:28" ht="18" customHeight="1">
      <c r="C25" s="131"/>
      <c r="D25" s="131"/>
      <c r="E25" s="1007"/>
      <c r="F25" s="131" t="s">
        <v>1000</v>
      </c>
      <c r="G25" s="131" t="s">
        <v>991</v>
      </c>
      <c r="H25" s="131" t="s">
        <v>992</v>
      </c>
      <c r="I25" s="131"/>
      <c r="J25" s="131"/>
      <c r="K25" s="131"/>
      <c r="L25" s="131"/>
      <c r="M25" s="131"/>
      <c r="N25" s="131"/>
      <c r="O25" s="131"/>
      <c r="P25" s="131"/>
      <c r="Q25" s="131"/>
      <c r="R25" s="131"/>
      <c r="S25" s="131"/>
      <c r="T25" s="131"/>
      <c r="U25" s="131"/>
      <c r="V25" s="131"/>
      <c r="W25" s="131"/>
      <c r="X25" s="131"/>
      <c r="Y25" s="131"/>
      <c r="Z25" s="131"/>
      <c r="AA25" s="131"/>
      <c r="AB25" s="131"/>
    </row>
    <row r="26" spans="3:28" ht="18" customHeight="1">
      <c r="C26" s="131"/>
      <c r="D26" s="131"/>
      <c r="E26" s="1006" t="s">
        <v>996</v>
      </c>
      <c r="F26" s="131" t="s">
        <v>999</v>
      </c>
      <c r="G26" s="131" t="s">
        <v>991</v>
      </c>
      <c r="H26" s="131" t="s">
        <v>992</v>
      </c>
      <c r="I26" s="131"/>
      <c r="J26" s="131"/>
      <c r="K26" s="131"/>
      <c r="L26" s="131"/>
      <c r="M26" s="131"/>
      <c r="N26" s="131"/>
      <c r="O26" s="131"/>
      <c r="P26" s="131"/>
      <c r="Q26" s="131"/>
      <c r="R26" s="131"/>
      <c r="S26" s="131"/>
      <c r="T26" s="131"/>
      <c r="U26" s="131"/>
      <c r="V26" s="131"/>
      <c r="W26" s="131"/>
      <c r="X26" s="131"/>
      <c r="Y26" s="131"/>
      <c r="Z26" s="131"/>
      <c r="AA26" s="131"/>
      <c r="AB26" s="131"/>
    </row>
    <row r="27" spans="3:28" ht="18" customHeight="1">
      <c r="C27" s="131"/>
      <c r="D27" s="131"/>
      <c r="E27" s="1007"/>
      <c r="F27" s="131" t="s">
        <v>1000</v>
      </c>
      <c r="G27" s="131" t="s">
        <v>991</v>
      </c>
      <c r="H27" s="131" t="s">
        <v>992</v>
      </c>
      <c r="I27" s="131"/>
      <c r="J27" s="131"/>
      <c r="K27" s="131"/>
      <c r="L27" s="131"/>
      <c r="M27" s="131"/>
      <c r="N27" s="131"/>
      <c r="O27" s="131"/>
      <c r="P27" s="131"/>
      <c r="Q27" s="131"/>
      <c r="R27" s="131"/>
      <c r="S27" s="131"/>
      <c r="T27" s="131"/>
      <c r="U27" s="131"/>
      <c r="V27" s="131"/>
      <c r="W27" s="131"/>
      <c r="X27" s="131"/>
      <c r="Y27" s="131"/>
      <c r="Z27" s="131"/>
      <c r="AA27" s="131"/>
      <c r="AB27" s="131"/>
    </row>
    <row r="28" spans="3:28" ht="18" customHeight="1">
      <c r="C28" s="131"/>
      <c r="D28" s="131"/>
      <c r="E28" s="1006" t="s">
        <v>997</v>
      </c>
      <c r="F28" s="131" t="s">
        <v>999</v>
      </c>
      <c r="G28" s="131" t="s">
        <v>991</v>
      </c>
      <c r="H28" s="131" t="s">
        <v>992</v>
      </c>
      <c r="I28" s="131"/>
      <c r="J28" s="131"/>
      <c r="K28" s="131"/>
      <c r="L28" s="131"/>
      <c r="M28" s="131"/>
      <c r="N28" s="131"/>
      <c r="O28" s="131"/>
      <c r="P28" s="131"/>
      <c r="Q28" s="131"/>
      <c r="R28" s="131"/>
      <c r="S28" s="131"/>
      <c r="T28" s="131"/>
      <c r="U28" s="131"/>
      <c r="V28" s="131"/>
      <c r="W28" s="131"/>
      <c r="X28" s="131"/>
      <c r="Y28" s="131"/>
      <c r="Z28" s="131"/>
      <c r="AA28" s="131"/>
      <c r="AB28" s="131"/>
    </row>
    <row r="29" spans="3:28" ht="18" customHeight="1">
      <c r="C29" s="131"/>
      <c r="D29" s="131"/>
      <c r="E29" s="1007"/>
      <c r="F29" s="131" t="s">
        <v>1000</v>
      </c>
      <c r="G29" s="131" t="s">
        <v>991</v>
      </c>
      <c r="H29" s="131" t="s">
        <v>992</v>
      </c>
      <c r="I29" s="131"/>
      <c r="J29" s="131"/>
      <c r="K29" s="131"/>
      <c r="L29" s="131"/>
      <c r="M29" s="131"/>
      <c r="N29" s="131"/>
      <c r="O29" s="131"/>
      <c r="P29" s="131"/>
      <c r="Q29" s="131"/>
      <c r="R29" s="131"/>
      <c r="S29" s="131"/>
      <c r="T29" s="131"/>
      <c r="U29" s="131"/>
      <c r="V29" s="131"/>
      <c r="W29" s="131"/>
      <c r="X29" s="131"/>
      <c r="Y29" s="131"/>
      <c r="Z29" s="131"/>
      <c r="AA29" s="131"/>
      <c r="AB29" s="131"/>
    </row>
    <row r="30" spans="3:28" ht="18" customHeight="1">
      <c r="C30" s="131"/>
      <c r="D30" s="131" t="s">
        <v>1001</v>
      </c>
      <c r="E30" s="132"/>
      <c r="F30" s="131"/>
      <c r="G30" s="131"/>
      <c r="H30" s="131"/>
      <c r="I30" s="131"/>
      <c r="J30" s="131"/>
      <c r="K30" s="131"/>
      <c r="L30" s="131"/>
      <c r="M30" s="131"/>
      <c r="N30" s="131"/>
      <c r="O30" s="131"/>
      <c r="P30" s="131"/>
      <c r="Q30" s="131"/>
      <c r="R30" s="131"/>
      <c r="S30" s="131"/>
      <c r="T30" s="131"/>
      <c r="U30" s="131"/>
      <c r="V30" s="131"/>
      <c r="W30" s="131"/>
      <c r="X30" s="131"/>
      <c r="Y30" s="131"/>
      <c r="Z30" s="131"/>
      <c r="AA30" s="131"/>
      <c r="AB30" s="131"/>
    </row>
    <row r="31" spans="3:28" ht="18" customHeight="1">
      <c r="C31" s="131"/>
      <c r="D31" s="131"/>
      <c r="E31" s="132" t="s">
        <v>504</v>
      </c>
      <c r="F31" s="131" t="s">
        <v>1002</v>
      </c>
      <c r="G31" s="131" t="s">
        <v>1003</v>
      </c>
      <c r="H31" s="131" t="s">
        <v>1004</v>
      </c>
      <c r="I31" s="131" t="s">
        <v>1005</v>
      </c>
      <c r="J31" s="131" t="s">
        <v>1006</v>
      </c>
      <c r="K31" s="131" t="s">
        <v>1007</v>
      </c>
      <c r="L31" s="131" t="s">
        <v>1008</v>
      </c>
      <c r="M31" s="131"/>
      <c r="N31" s="131"/>
      <c r="O31" s="131"/>
      <c r="P31" s="131"/>
      <c r="Q31" s="131"/>
      <c r="R31" s="131"/>
      <c r="S31" s="131"/>
      <c r="T31" s="131"/>
      <c r="U31" s="131"/>
      <c r="V31" s="131"/>
      <c r="W31" s="131"/>
      <c r="X31" s="131"/>
      <c r="Y31" s="131"/>
      <c r="Z31" s="131"/>
      <c r="AA31" s="131"/>
      <c r="AB31" s="131"/>
    </row>
    <row r="32" spans="3:28" ht="18" customHeight="1">
      <c r="C32" s="131"/>
      <c r="D32" s="131"/>
      <c r="E32" s="132" t="s">
        <v>1009</v>
      </c>
      <c r="F32" s="131" t="s">
        <v>1010</v>
      </c>
      <c r="G32" s="131" t="s">
        <v>1003</v>
      </c>
      <c r="H32" s="131" t="s">
        <v>1004</v>
      </c>
      <c r="I32" s="131" t="s">
        <v>1005</v>
      </c>
      <c r="J32" s="131" t="s">
        <v>1006</v>
      </c>
      <c r="K32" s="131" t="s">
        <v>1007</v>
      </c>
      <c r="L32" s="131" t="s">
        <v>1008</v>
      </c>
      <c r="M32" s="131"/>
      <c r="N32" s="131"/>
      <c r="O32" s="131"/>
      <c r="P32" s="131"/>
      <c r="Q32" s="131"/>
      <c r="R32" s="131"/>
      <c r="S32" s="131"/>
      <c r="T32" s="131"/>
      <c r="U32" s="131"/>
      <c r="V32" s="131"/>
      <c r="W32" s="131"/>
      <c r="X32" s="131"/>
      <c r="Y32" s="131"/>
      <c r="Z32" s="131"/>
      <c r="AA32" s="131"/>
      <c r="AB32" s="131"/>
    </row>
    <row r="33" spans="3:28" ht="18" customHeight="1">
      <c r="C33" s="131"/>
      <c r="D33" s="131"/>
      <c r="E33" s="132" t="s">
        <v>504</v>
      </c>
      <c r="F33" s="131" t="s">
        <v>1011</v>
      </c>
      <c r="G33" s="131" t="s">
        <v>1003</v>
      </c>
      <c r="H33" s="131" t="s">
        <v>1004</v>
      </c>
      <c r="I33" s="131" t="s">
        <v>1005</v>
      </c>
      <c r="J33" s="131" t="s">
        <v>1006</v>
      </c>
      <c r="K33" s="131" t="s">
        <v>1007</v>
      </c>
      <c r="L33" s="131" t="s">
        <v>1008</v>
      </c>
      <c r="M33" s="131"/>
      <c r="N33" s="131"/>
      <c r="O33" s="131"/>
      <c r="P33" s="131"/>
      <c r="Q33" s="131"/>
      <c r="R33" s="131"/>
      <c r="S33" s="131"/>
      <c r="T33" s="131"/>
      <c r="U33" s="131"/>
      <c r="V33" s="131"/>
      <c r="W33" s="131"/>
      <c r="X33" s="131"/>
      <c r="Y33" s="131"/>
      <c r="Z33" s="131"/>
      <c r="AA33" s="131"/>
      <c r="AB33" s="131"/>
    </row>
    <row r="34" spans="3:28" ht="18" customHeight="1">
      <c r="C34" s="131"/>
      <c r="D34" s="131"/>
      <c r="E34" s="132" t="s">
        <v>1009</v>
      </c>
      <c r="F34" s="131" t="s">
        <v>1012</v>
      </c>
      <c r="G34" s="131" t="s">
        <v>1003</v>
      </c>
      <c r="H34" s="131" t="s">
        <v>1004</v>
      </c>
      <c r="I34" s="131" t="s">
        <v>1005</v>
      </c>
      <c r="J34" s="131" t="s">
        <v>1006</v>
      </c>
      <c r="K34" s="131" t="s">
        <v>1007</v>
      </c>
      <c r="L34" s="131" t="s">
        <v>1008</v>
      </c>
      <c r="M34" s="131"/>
      <c r="N34" s="131"/>
      <c r="O34" s="131"/>
      <c r="P34" s="131"/>
      <c r="Q34" s="131"/>
      <c r="R34" s="131"/>
      <c r="S34" s="131"/>
      <c r="T34" s="131"/>
      <c r="U34" s="131"/>
      <c r="V34" s="131"/>
      <c r="W34" s="131"/>
      <c r="X34" s="131"/>
      <c r="Y34" s="131"/>
      <c r="Z34" s="131"/>
      <c r="AA34" s="131"/>
      <c r="AB34" s="131"/>
    </row>
    <row r="35" spans="3:28" ht="18" customHeight="1">
      <c r="C35" s="131"/>
      <c r="D35" s="131" t="s">
        <v>1013</v>
      </c>
      <c r="E35" s="132"/>
      <c r="F35" s="131"/>
      <c r="G35" s="131"/>
      <c r="H35" s="131"/>
      <c r="I35" s="131"/>
      <c r="J35" s="131"/>
      <c r="K35" s="131"/>
      <c r="L35" s="131"/>
      <c r="M35" s="131"/>
      <c r="N35" s="131"/>
      <c r="O35" s="131"/>
      <c r="P35" s="131"/>
      <c r="Q35" s="131"/>
      <c r="R35" s="131"/>
      <c r="S35" s="131"/>
      <c r="T35" s="131"/>
      <c r="U35" s="131"/>
      <c r="V35" s="131"/>
      <c r="W35" s="131"/>
      <c r="X35" s="131"/>
      <c r="Y35" s="131"/>
      <c r="Z35" s="131"/>
      <c r="AA35" s="131"/>
      <c r="AB35" s="131"/>
    </row>
    <row r="36" spans="3:28" ht="18" customHeight="1">
      <c r="C36" s="131"/>
      <c r="D36" s="131"/>
      <c r="E36" s="132" t="s">
        <v>504</v>
      </c>
      <c r="F36" s="131" t="s">
        <v>1014</v>
      </c>
      <c r="G36" s="131" t="s">
        <v>455</v>
      </c>
      <c r="H36" s="131" t="s">
        <v>1015</v>
      </c>
      <c r="I36" s="131" t="s">
        <v>627</v>
      </c>
      <c r="J36" s="131" t="s">
        <v>1016</v>
      </c>
      <c r="K36" s="131" t="s">
        <v>1017</v>
      </c>
      <c r="L36" s="131" t="s">
        <v>1018</v>
      </c>
      <c r="M36" s="131"/>
      <c r="N36" s="131"/>
      <c r="O36" s="131"/>
      <c r="P36" s="131"/>
      <c r="Q36" s="131"/>
      <c r="R36" s="131"/>
      <c r="S36" s="131"/>
      <c r="T36" s="131"/>
      <c r="U36" s="131"/>
      <c r="V36" s="131"/>
      <c r="W36" s="131"/>
      <c r="X36" s="131"/>
      <c r="Y36" s="131"/>
      <c r="Z36" s="131"/>
      <c r="AA36" s="131"/>
      <c r="AB36" s="131"/>
    </row>
    <row r="37" spans="3:28" ht="18" customHeight="1">
      <c r="C37" s="131"/>
      <c r="D37" s="131"/>
      <c r="E37" s="132" t="s">
        <v>1009</v>
      </c>
      <c r="F37" s="131" t="s">
        <v>1019</v>
      </c>
      <c r="G37" s="131" t="s">
        <v>455</v>
      </c>
      <c r="H37" s="131" t="s">
        <v>1015</v>
      </c>
      <c r="I37" s="131" t="s">
        <v>627</v>
      </c>
      <c r="J37" s="131" t="s">
        <v>1016</v>
      </c>
      <c r="K37" s="131" t="s">
        <v>1017</v>
      </c>
      <c r="L37" s="131" t="s">
        <v>1018</v>
      </c>
      <c r="M37" s="131"/>
      <c r="N37" s="131"/>
      <c r="O37" s="131"/>
      <c r="P37" s="131"/>
      <c r="Q37" s="131"/>
      <c r="R37" s="131"/>
      <c r="S37" s="131"/>
      <c r="T37" s="131"/>
      <c r="U37" s="131"/>
      <c r="V37" s="131"/>
      <c r="W37" s="131"/>
      <c r="X37" s="131"/>
      <c r="Y37" s="131"/>
      <c r="Z37" s="131"/>
      <c r="AA37" s="131"/>
      <c r="AB37" s="131"/>
    </row>
    <row r="38" spans="3:28" ht="18" customHeight="1">
      <c r="C38" s="131"/>
      <c r="D38" s="131"/>
      <c r="E38" s="132" t="s">
        <v>504</v>
      </c>
      <c r="F38" s="131" t="s">
        <v>1020</v>
      </c>
      <c r="G38" s="131" t="s">
        <v>455</v>
      </c>
      <c r="H38" s="131" t="s">
        <v>1015</v>
      </c>
      <c r="I38" s="131" t="s">
        <v>627</v>
      </c>
      <c r="J38" s="131" t="s">
        <v>1016</v>
      </c>
      <c r="K38" s="131" t="s">
        <v>1017</v>
      </c>
      <c r="L38" s="131" t="s">
        <v>1018</v>
      </c>
      <c r="M38" s="131"/>
      <c r="N38" s="131"/>
      <c r="O38" s="131"/>
      <c r="P38" s="131"/>
      <c r="Q38" s="131"/>
      <c r="R38" s="131"/>
      <c r="S38" s="131"/>
      <c r="T38" s="131"/>
      <c r="U38" s="131"/>
      <c r="V38" s="131"/>
      <c r="W38" s="131"/>
      <c r="X38" s="131"/>
      <c r="Y38" s="131"/>
      <c r="Z38" s="131"/>
      <c r="AA38" s="131"/>
      <c r="AB38" s="131"/>
    </row>
    <row r="39" spans="3:28" ht="18" customHeight="1">
      <c r="C39" s="131"/>
      <c r="D39" s="131"/>
      <c r="E39" s="132" t="s">
        <v>1009</v>
      </c>
      <c r="F39" s="131" t="s">
        <v>1021</v>
      </c>
      <c r="G39" s="131" t="s">
        <v>455</v>
      </c>
      <c r="H39" s="131" t="s">
        <v>1015</v>
      </c>
      <c r="I39" s="131" t="s">
        <v>627</v>
      </c>
      <c r="J39" s="131" t="s">
        <v>1016</v>
      </c>
      <c r="K39" s="131" t="s">
        <v>1017</v>
      </c>
      <c r="L39" s="131" t="s">
        <v>1018</v>
      </c>
      <c r="M39" s="131"/>
      <c r="N39" s="131"/>
      <c r="O39" s="131"/>
      <c r="P39" s="131"/>
      <c r="Q39" s="131"/>
      <c r="R39" s="131"/>
      <c r="S39" s="131"/>
      <c r="T39" s="131"/>
      <c r="U39" s="131"/>
      <c r="V39" s="131"/>
      <c r="W39" s="131"/>
      <c r="X39" s="131"/>
      <c r="Y39" s="131"/>
      <c r="Z39" s="131"/>
      <c r="AA39" s="131"/>
      <c r="AB39" s="131"/>
    </row>
    <row r="40" spans="3:28" ht="18" customHeight="1">
      <c r="C40" s="131"/>
      <c r="D40" s="131" t="s">
        <v>1022</v>
      </c>
      <c r="E40" s="132"/>
      <c r="F40" s="131"/>
      <c r="G40" s="131"/>
      <c r="H40" s="131"/>
      <c r="I40" s="131"/>
      <c r="J40" s="131"/>
      <c r="K40" s="131"/>
      <c r="L40" s="131"/>
      <c r="M40" s="131"/>
      <c r="N40" s="131"/>
      <c r="O40" s="131"/>
      <c r="P40" s="131"/>
      <c r="Q40" s="131"/>
      <c r="R40" s="131"/>
      <c r="S40" s="131"/>
      <c r="T40" s="131"/>
      <c r="U40" s="131"/>
      <c r="V40" s="131"/>
      <c r="W40" s="131"/>
      <c r="X40" s="131"/>
      <c r="Y40" s="131"/>
      <c r="Z40" s="131"/>
      <c r="AA40" s="131"/>
      <c r="AB40" s="131"/>
    </row>
    <row r="41" spans="3:28" ht="18" customHeight="1">
      <c r="C41" s="131"/>
      <c r="D41" s="131"/>
      <c r="E41" s="132" t="s">
        <v>504</v>
      </c>
      <c r="F41" s="131" t="s">
        <v>1023</v>
      </c>
      <c r="G41" s="131" t="s">
        <v>1024</v>
      </c>
      <c r="H41" s="131" t="s">
        <v>1025</v>
      </c>
      <c r="I41" s="131" t="s">
        <v>1026</v>
      </c>
      <c r="J41" s="131"/>
      <c r="K41" s="131"/>
      <c r="L41" s="131"/>
      <c r="M41" s="131"/>
      <c r="N41" s="131"/>
      <c r="O41" s="131"/>
      <c r="P41" s="131"/>
      <c r="Q41" s="131"/>
      <c r="R41" s="131"/>
      <c r="S41" s="131"/>
      <c r="T41" s="131"/>
      <c r="U41" s="131"/>
      <c r="V41" s="131"/>
      <c r="W41" s="131"/>
      <c r="X41" s="131"/>
      <c r="Y41" s="131"/>
      <c r="Z41" s="131"/>
      <c r="AA41" s="131"/>
      <c r="AB41" s="131"/>
    </row>
    <row r="42" spans="3:28" ht="18" customHeight="1">
      <c r="C42" s="131"/>
      <c r="D42" s="131"/>
      <c r="E42" s="132" t="s">
        <v>1009</v>
      </c>
      <c r="F42" s="131" t="s">
        <v>1027</v>
      </c>
      <c r="G42" s="131" t="s">
        <v>1024</v>
      </c>
      <c r="H42" s="131" t="s">
        <v>1025</v>
      </c>
      <c r="I42" s="131" t="s">
        <v>1026</v>
      </c>
      <c r="J42" s="131"/>
      <c r="K42" s="131"/>
      <c r="L42" s="131"/>
      <c r="M42" s="131"/>
      <c r="N42" s="131"/>
      <c r="O42" s="131"/>
      <c r="P42" s="131"/>
      <c r="Q42" s="131"/>
      <c r="R42" s="131"/>
      <c r="S42" s="131"/>
      <c r="T42" s="131"/>
      <c r="U42" s="131"/>
      <c r="V42" s="131"/>
      <c r="W42" s="131"/>
      <c r="X42" s="131"/>
      <c r="Y42" s="131"/>
      <c r="Z42" s="131"/>
      <c r="AA42" s="131"/>
      <c r="AB42" s="131"/>
    </row>
    <row r="43" spans="3:28" ht="18" customHeight="1">
      <c r="C43" s="131"/>
      <c r="D43" s="131" t="s">
        <v>1028</v>
      </c>
      <c r="E43" s="132"/>
      <c r="F43" s="131"/>
      <c r="G43" s="131"/>
      <c r="H43" s="131"/>
      <c r="I43" s="131"/>
      <c r="J43" s="131"/>
      <c r="K43" s="131"/>
      <c r="L43" s="131"/>
      <c r="M43" s="131"/>
      <c r="N43" s="131"/>
      <c r="O43" s="131"/>
      <c r="P43" s="131"/>
      <c r="Q43" s="131"/>
      <c r="R43" s="131"/>
      <c r="S43" s="131"/>
      <c r="T43" s="131"/>
      <c r="U43" s="131"/>
      <c r="V43" s="131"/>
      <c r="W43" s="131"/>
      <c r="X43" s="131"/>
      <c r="Y43" s="131"/>
      <c r="Z43" s="131"/>
      <c r="AA43" s="131"/>
      <c r="AB43" s="131"/>
    </row>
    <row r="44" spans="3:28" ht="18" customHeight="1">
      <c r="C44" s="131"/>
      <c r="D44" s="131"/>
      <c r="E44" s="132" t="s">
        <v>504</v>
      </c>
      <c r="F44" s="131" t="s">
        <v>1029</v>
      </c>
      <c r="G44" s="131" t="s">
        <v>1030</v>
      </c>
      <c r="H44" s="131" t="s">
        <v>1031</v>
      </c>
      <c r="I44" s="131" t="s">
        <v>1016</v>
      </c>
      <c r="J44" s="131"/>
      <c r="K44" s="131"/>
      <c r="L44" s="131"/>
      <c r="M44" s="131"/>
      <c r="N44" s="131"/>
      <c r="O44" s="131"/>
      <c r="P44" s="131"/>
      <c r="Q44" s="131"/>
      <c r="R44" s="131"/>
      <c r="S44" s="131"/>
      <c r="T44" s="131"/>
      <c r="U44" s="131"/>
      <c r="V44" s="131"/>
      <c r="W44" s="131"/>
      <c r="X44" s="131"/>
      <c r="Y44" s="131"/>
      <c r="Z44" s="131"/>
      <c r="AA44" s="131"/>
      <c r="AB44" s="131"/>
    </row>
    <row r="45" spans="3:28" ht="18" customHeight="1">
      <c r="C45" s="131"/>
      <c r="D45" s="131"/>
      <c r="E45" s="132" t="s">
        <v>1009</v>
      </c>
      <c r="F45" s="131" t="s">
        <v>1032</v>
      </c>
      <c r="G45" s="131" t="s">
        <v>1030</v>
      </c>
      <c r="H45" s="131" t="s">
        <v>1031</v>
      </c>
      <c r="I45" s="131" t="s">
        <v>1016</v>
      </c>
      <c r="J45" s="131"/>
      <c r="K45" s="131"/>
      <c r="L45" s="131"/>
      <c r="M45" s="131"/>
      <c r="N45" s="131"/>
      <c r="O45" s="131"/>
      <c r="P45" s="131"/>
      <c r="Q45" s="131"/>
      <c r="R45" s="131"/>
      <c r="S45" s="131"/>
      <c r="T45" s="131"/>
      <c r="U45" s="131"/>
      <c r="V45" s="131"/>
      <c r="W45" s="131"/>
      <c r="X45" s="131"/>
      <c r="Y45" s="131"/>
      <c r="Z45" s="131"/>
      <c r="AA45" s="131"/>
      <c r="AB45" s="131"/>
    </row>
    <row r="46" spans="3:28" ht="18" customHeight="1">
      <c r="C46" s="131"/>
      <c r="D46" s="131" t="s">
        <v>1001</v>
      </c>
      <c r="E46" s="132"/>
      <c r="F46" s="131"/>
      <c r="G46" s="131"/>
      <c r="H46" s="131"/>
      <c r="I46" s="131"/>
      <c r="J46" s="131"/>
      <c r="K46" s="131"/>
      <c r="L46" s="131"/>
      <c r="M46" s="131"/>
      <c r="N46" s="131"/>
      <c r="O46" s="131"/>
      <c r="P46" s="131"/>
      <c r="Q46" s="131"/>
      <c r="R46" s="131"/>
      <c r="S46" s="131"/>
      <c r="T46" s="131"/>
      <c r="U46" s="131"/>
      <c r="V46" s="131"/>
      <c r="W46" s="131"/>
      <c r="X46" s="131"/>
      <c r="Y46" s="131"/>
      <c r="Z46" s="131"/>
      <c r="AA46" s="131"/>
      <c r="AB46" s="131"/>
    </row>
    <row r="47" spans="3:28" ht="18" customHeight="1">
      <c r="C47" s="131"/>
      <c r="D47" s="131"/>
      <c r="E47" s="133" t="s">
        <v>1033</v>
      </c>
      <c r="F47" s="131" t="s">
        <v>1034</v>
      </c>
      <c r="G47" s="131" t="s">
        <v>1003</v>
      </c>
      <c r="H47" s="131" t="s">
        <v>1004</v>
      </c>
      <c r="I47" s="131" t="s">
        <v>1005</v>
      </c>
      <c r="J47" s="131" t="s">
        <v>1006</v>
      </c>
      <c r="K47" s="131" t="s">
        <v>1007</v>
      </c>
      <c r="L47" s="131" t="s">
        <v>1008</v>
      </c>
      <c r="M47" s="131"/>
      <c r="N47" s="131"/>
      <c r="O47" s="131"/>
      <c r="P47" s="131"/>
      <c r="Q47" s="131"/>
      <c r="R47" s="131"/>
      <c r="S47" s="131"/>
      <c r="T47" s="131"/>
      <c r="U47" s="131"/>
      <c r="V47" s="131"/>
      <c r="W47" s="131"/>
      <c r="X47" s="131"/>
      <c r="Y47" s="131"/>
      <c r="Z47" s="131"/>
      <c r="AA47" s="131"/>
      <c r="AB47" s="131"/>
    </row>
    <row r="48" spans="3:28" ht="18" customHeight="1">
      <c r="C48" s="131"/>
      <c r="D48" s="131" t="s">
        <v>1013</v>
      </c>
      <c r="E48" s="132"/>
      <c r="F48" s="131"/>
      <c r="G48" s="131"/>
      <c r="H48" s="131"/>
      <c r="I48" s="131"/>
      <c r="J48" s="131"/>
      <c r="K48" s="131"/>
      <c r="L48" s="131"/>
      <c r="M48" s="131"/>
      <c r="N48" s="131"/>
      <c r="O48" s="131"/>
      <c r="P48" s="131"/>
      <c r="Q48" s="131"/>
      <c r="R48" s="131"/>
      <c r="S48" s="131"/>
      <c r="T48" s="131"/>
      <c r="U48" s="131"/>
      <c r="V48" s="131"/>
      <c r="W48" s="131"/>
      <c r="X48" s="131"/>
      <c r="Y48" s="131"/>
      <c r="Z48" s="131"/>
      <c r="AA48" s="131"/>
      <c r="AB48" s="131"/>
    </row>
    <row r="49" spans="2:28" ht="18" customHeight="1">
      <c r="C49" s="131"/>
      <c r="D49" s="131"/>
      <c r="E49" s="133" t="s">
        <v>1033</v>
      </c>
      <c r="F49" s="131" t="s">
        <v>1035</v>
      </c>
      <c r="G49" s="131" t="s">
        <v>455</v>
      </c>
      <c r="H49" s="131" t="s">
        <v>1015</v>
      </c>
      <c r="I49" s="131" t="s">
        <v>627</v>
      </c>
      <c r="J49" s="131" t="s">
        <v>1016</v>
      </c>
      <c r="K49" s="131" t="s">
        <v>1017</v>
      </c>
      <c r="L49" s="131" t="s">
        <v>1018</v>
      </c>
      <c r="M49" s="131"/>
      <c r="N49" s="131"/>
      <c r="O49" s="131"/>
      <c r="P49" s="131"/>
      <c r="Q49" s="131"/>
      <c r="R49" s="131"/>
      <c r="S49" s="131"/>
      <c r="T49" s="131"/>
      <c r="U49" s="131"/>
      <c r="V49" s="131"/>
      <c r="W49" s="131"/>
      <c r="X49" s="131"/>
      <c r="Y49" s="131"/>
      <c r="Z49" s="131"/>
      <c r="AA49" s="131"/>
      <c r="AB49" s="131"/>
    </row>
    <row r="50" spans="2:28" ht="18" customHeight="1">
      <c r="C50" s="131"/>
      <c r="D50" s="131" t="s">
        <v>1036</v>
      </c>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row>
    <row r="51" spans="2:28" ht="18" customHeight="1">
      <c r="C51" s="131"/>
      <c r="D51" s="131"/>
      <c r="E51" s="134" t="s">
        <v>989</v>
      </c>
      <c r="F51" s="131" t="s">
        <v>1037</v>
      </c>
      <c r="G51" s="131" t="s">
        <v>991</v>
      </c>
      <c r="H51" s="131" t="s">
        <v>992</v>
      </c>
      <c r="I51" s="131"/>
      <c r="J51" s="131"/>
      <c r="K51" s="131"/>
      <c r="L51" s="131"/>
      <c r="M51" s="131"/>
      <c r="N51" s="131"/>
      <c r="O51" s="131"/>
      <c r="P51" s="131"/>
      <c r="Q51" s="131"/>
      <c r="R51" s="131"/>
      <c r="S51" s="131"/>
      <c r="T51" s="131"/>
      <c r="U51" s="131"/>
      <c r="V51" s="131"/>
      <c r="W51" s="131"/>
      <c r="X51" s="131"/>
      <c r="Y51" s="131"/>
      <c r="Z51" s="131"/>
      <c r="AA51" s="131"/>
      <c r="AB51" s="131"/>
    </row>
    <row r="52" spans="2:28" ht="18" customHeight="1">
      <c r="C52" s="131"/>
      <c r="D52" s="131"/>
      <c r="E52" s="134" t="s">
        <v>995</v>
      </c>
      <c r="F52" s="131" t="s">
        <v>1037</v>
      </c>
      <c r="G52" s="131" t="s">
        <v>991</v>
      </c>
      <c r="H52" s="131" t="s">
        <v>992</v>
      </c>
      <c r="I52" s="131"/>
      <c r="J52" s="131"/>
      <c r="K52" s="131"/>
      <c r="L52" s="131"/>
      <c r="M52" s="131"/>
      <c r="N52" s="131"/>
      <c r="O52" s="131"/>
      <c r="P52" s="131"/>
      <c r="Q52" s="131"/>
      <c r="R52" s="131"/>
      <c r="S52" s="131"/>
      <c r="T52" s="131"/>
      <c r="U52" s="131"/>
      <c r="V52" s="131"/>
      <c r="W52" s="131"/>
      <c r="X52" s="131"/>
      <c r="Y52" s="131"/>
      <c r="Z52" s="131"/>
      <c r="AA52" s="131"/>
      <c r="AB52" s="131"/>
    </row>
    <row r="53" spans="2:28" ht="18" customHeight="1">
      <c r="C53" s="131"/>
      <c r="D53" s="131"/>
      <c r="E53" s="134" t="s">
        <v>996</v>
      </c>
      <c r="F53" s="131" t="s">
        <v>1037</v>
      </c>
      <c r="G53" s="131" t="s">
        <v>991</v>
      </c>
      <c r="H53" s="131" t="s">
        <v>992</v>
      </c>
      <c r="I53" s="131"/>
      <c r="J53" s="131"/>
      <c r="K53" s="131"/>
      <c r="L53" s="131"/>
      <c r="M53" s="131"/>
      <c r="N53" s="131"/>
      <c r="O53" s="131"/>
      <c r="P53" s="131"/>
      <c r="Q53" s="131"/>
      <c r="R53" s="131"/>
      <c r="S53" s="131"/>
      <c r="T53" s="131"/>
      <c r="U53" s="131"/>
      <c r="V53" s="131"/>
      <c r="W53" s="131"/>
      <c r="X53" s="131"/>
      <c r="Y53" s="131"/>
      <c r="Z53" s="131"/>
      <c r="AA53" s="131"/>
      <c r="AB53" s="131"/>
    </row>
    <row r="54" spans="2:28" ht="18" customHeight="1">
      <c r="C54" s="131"/>
      <c r="D54" s="131"/>
      <c r="E54" s="134" t="s">
        <v>997</v>
      </c>
      <c r="F54" s="131" t="s">
        <v>1037</v>
      </c>
      <c r="G54" s="131" t="s">
        <v>991</v>
      </c>
      <c r="H54" s="131" t="s">
        <v>992</v>
      </c>
      <c r="I54" s="131"/>
      <c r="J54" s="131"/>
      <c r="K54" s="131"/>
      <c r="L54" s="131"/>
      <c r="M54" s="131"/>
      <c r="N54" s="131"/>
      <c r="O54" s="131"/>
      <c r="P54" s="131"/>
      <c r="Q54" s="131"/>
      <c r="R54" s="131"/>
      <c r="S54" s="131"/>
      <c r="T54" s="131"/>
      <c r="U54" s="131"/>
      <c r="V54" s="131"/>
      <c r="W54" s="131"/>
      <c r="X54" s="131"/>
      <c r="Y54" s="131"/>
      <c r="Z54" s="131"/>
      <c r="AA54" s="131"/>
      <c r="AB54" s="131"/>
    </row>
    <row r="57" spans="2:28" ht="18" customHeight="1" outlineLevel="1">
      <c r="B57" s="128" t="s">
        <v>1038</v>
      </c>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row>
    <row r="58" spans="2:28" ht="18" customHeight="1" outlineLevel="1">
      <c r="C58" s="130" t="s">
        <v>1039</v>
      </c>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row>
    <row r="59" spans="2:28" ht="18" customHeight="1" outlineLevel="1">
      <c r="C59" s="131"/>
      <c r="D59" s="135" t="s">
        <v>1040</v>
      </c>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row>
    <row r="60" spans="2:28" ht="18" customHeight="1" outlineLevel="1">
      <c r="C60" s="131"/>
      <c r="D60" s="131"/>
      <c r="E60" s="131" t="s">
        <v>1041</v>
      </c>
      <c r="F60" s="131"/>
      <c r="G60" s="131"/>
      <c r="H60" s="131"/>
      <c r="I60" s="131"/>
      <c r="J60" s="131"/>
      <c r="K60" s="131"/>
      <c r="L60" s="131"/>
      <c r="M60" s="131"/>
      <c r="N60" s="131"/>
      <c r="O60" s="131"/>
      <c r="P60" s="131"/>
      <c r="Q60" s="131"/>
      <c r="R60" s="131"/>
      <c r="S60" s="131"/>
      <c r="T60" s="131"/>
      <c r="U60" s="131"/>
      <c r="V60" s="131"/>
      <c r="W60" s="131"/>
      <c r="X60" s="131"/>
      <c r="Y60" s="131"/>
      <c r="Z60" s="131"/>
      <c r="AA60" s="131"/>
      <c r="AB60" s="131"/>
    </row>
    <row r="61" spans="2:28" ht="18" customHeight="1" outlineLevel="1">
      <c r="C61" s="131"/>
      <c r="D61" s="131"/>
      <c r="E61" s="131"/>
      <c r="F61" s="131" t="s">
        <v>1042</v>
      </c>
      <c r="G61" s="131" t="s">
        <v>991</v>
      </c>
      <c r="H61" s="131" t="s">
        <v>992</v>
      </c>
      <c r="I61" s="131"/>
      <c r="J61" s="131"/>
      <c r="K61" s="131"/>
      <c r="L61" s="131"/>
      <c r="M61" s="131"/>
      <c r="N61" s="131"/>
      <c r="O61" s="131"/>
      <c r="P61" s="131"/>
      <c r="Q61" s="131"/>
      <c r="R61" s="131"/>
      <c r="S61" s="131"/>
      <c r="T61" s="131"/>
      <c r="U61" s="131"/>
      <c r="V61" s="131"/>
      <c r="W61" s="131"/>
      <c r="X61" s="131"/>
      <c r="Y61" s="131"/>
      <c r="Z61" s="131"/>
      <c r="AA61" s="131"/>
      <c r="AB61" s="131"/>
    </row>
    <row r="62" spans="2:28" ht="18" customHeight="1" outlineLevel="1">
      <c r="C62" s="131"/>
      <c r="D62" s="131"/>
      <c r="E62" s="131"/>
      <c r="F62" s="131" t="s">
        <v>1043</v>
      </c>
      <c r="G62" s="131" t="s">
        <v>991</v>
      </c>
      <c r="H62" s="131" t="s">
        <v>992</v>
      </c>
      <c r="I62" s="131"/>
      <c r="J62" s="131"/>
      <c r="K62" s="131"/>
      <c r="L62" s="131"/>
      <c r="M62" s="131"/>
      <c r="N62" s="131"/>
      <c r="O62" s="131"/>
      <c r="P62" s="131"/>
      <c r="Q62" s="131"/>
      <c r="R62" s="131"/>
      <c r="S62" s="131"/>
      <c r="T62" s="131"/>
      <c r="U62" s="131"/>
      <c r="V62" s="131"/>
      <c r="W62" s="131"/>
      <c r="X62" s="131"/>
      <c r="Y62" s="131"/>
      <c r="Z62" s="131"/>
      <c r="AA62" s="131"/>
      <c r="AB62" s="131"/>
    </row>
    <row r="63" spans="2:28" ht="18" customHeight="1" outlineLevel="1">
      <c r="C63" s="131"/>
      <c r="D63" s="131"/>
      <c r="E63" s="131"/>
      <c r="F63" s="131" t="s">
        <v>1044</v>
      </c>
      <c r="G63" s="131" t="s">
        <v>991</v>
      </c>
      <c r="H63" s="131" t="s">
        <v>992</v>
      </c>
      <c r="I63" s="131"/>
      <c r="J63" s="131"/>
      <c r="K63" s="131"/>
      <c r="L63" s="131"/>
      <c r="M63" s="131"/>
      <c r="N63" s="131"/>
      <c r="O63" s="131"/>
      <c r="P63" s="131"/>
      <c r="Q63" s="131"/>
      <c r="R63" s="131"/>
      <c r="S63" s="131"/>
      <c r="T63" s="131"/>
      <c r="U63" s="131"/>
      <c r="V63" s="131"/>
      <c r="W63" s="131"/>
      <c r="X63" s="131"/>
      <c r="Y63" s="131"/>
      <c r="Z63" s="131"/>
      <c r="AA63" s="131"/>
      <c r="AB63" s="131"/>
    </row>
    <row r="64" spans="2:28" ht="18" customHeight="1" outlineLevel="1">
      <c r="C64" s="131"/>
      <c r="D64" s="131"/>
      <c r="E64" s="131"/>
      <c r="F64" s="131" t="s">
        <v>1045</v>
      </c>
      <c r="G64" s="131" t="s">
        <v>763</v>
      </c>
      <c r="H64" s="131" t="s">
        <v>764</v>
      </c>
      <c r="I64" s="131"/>
      <c r="J64" s="131"/>
      <c r="K64" s="131"/>
      <c r="L64" s="131"/>
      <c r="M64" s="131"/>
      <c r="N64" s="131"/>
      <c r="O64" s="131"/>
      <c r="P64" s="131"/>
      <c r="Q64" s="131"/>
      <c r="R64" s="131"/>
      <c r="S64" s="131"/>
      <c r="T64" s="131"/>
      <c r="U64" s="131"/>
      <c r="V64" s="131"/>
      <c r="W64" s="131"/>
      <c r="X64" s="131"/>
      <c r="Y64" s="131"/>
      <c r="Z64" s="131"/>
      <c r="AA64" s="131"/>
      <c r="AB64" s="131"/>
    </row>
    <row r="65" spans="3:28" ht="18" customHeight="1" outlineLevel="1">
      <c r="C65" s="131"/>
      <c r="D65" s="131"/>
      <c r="E65" s="131"/>
      <c r="F65" s="131" t="s">
        <v>1046</v>
      </c>
      <c r="G65" s="131" t="s">
        <v>764</v>
      </c>
      <c r="H65" s="131" t="s">
        <v>1047</v>
      </c>
      <c r="I65" s="131"/>
      <c r="J65" s="131"/>
      <c r="K65" s="131"/>
      <c r="L65" s="131"/>
      <c r="M65" s="131"/>
      <c r="N65" s="131"/>
      <c r="O65" s="131"/>
      <c r="P65" s="131"/>
      <c r="Q65" s="131"/>
      <c r="R65" s="131"/>
      <c r="S65" s="131"/>
      <c r="T65" s="131"/>
      <c r="U65" s="131"/>
      <c r="V65" s="131"/>
      <c r="W65" s="131"/>
      <c r="X65" s="131"/>
      <c r="Y65" s="131"/>
      <c r="Z65" s="131"/>
      <c r="AA65" s="131"/>
      <c r="AB65" s="131"/>
    </row>
    <row r="66" spans="3:28" ht="18" customHeight="1" outlineLevel="1">
      <c r="C66" s="131"/>
      <c r="D66" s="131"/>
      <c r="E66" s="131"/>
      <c r="F66" s="131" t="s">
        <v>1048</v>
      </c>
      <c r="G66" s="131" t="s">
        <v>765</v>
      </c>
      <c r="H66" s="131" t="s">
        <v>1047</v>
      </c>
      <c r="I66" s="131"/>
      <c r="J66" s="131"/>
      <c r="K66" s="131"/>
      <c r="L66" s="131"/>
      <c r="M66" s="131"/>
      <c r="N66" s="131"/>
      <c r="O66" s="131"/>
      <c r="P66" s="131"/>
      <c r="Q66" s="131"/>
      <c r="R66" s="131"/>
      <c r="S66" s="131"/>
      <c r="T66" s="131"/>
      <c r="U66" s="131"/>
      <c r="V66" s="131"/>
      <c r="W66" s="131"/>
      <c r="X66" s="131"/>
      <c r="Y66" s="131"/>
      <c r="Z66" s="131"/>
      <c r="AA66" s="131"/>
      <c r="AB66" s="131"/>
    </row>
    <row r="67" spans="3:28" ht="18" customHeight="1" outlineLevel="1">
      <c r="C67" s="131"/>
      <c r="D67" s="131"/>
      <c r="E67" s="131" t="s">
        <v>1049</v>
      </c>
      <c r="F67" s="131"/>
      <c r="G67" s="131"/>
      <c r="H67" s="131"/>
      <c r="I67" s="131"/>
      <c r="J67" s="131"/>
      <c r="K67" s="131"/>
      <c r="L67" s="131"/>
      <c r="M67" s="131"/>
      <c r="N67" s="131"/>
      <c r="O67" s="131"/>
      <c r="P67" s="131"/>
      <c r="Q67" s="131"/>
      <c r="R67" s="131"/>
      <c r="S67" s="131"/>
      <c r="T67" s="131"/>
      <c r="U67" s="131"/>
      <c r="V67" s="131"/>
      <c r="W67" s="131"/>
      <c r="X67" s="131"/>
      <c r="Y67" s="131"/>
      <c r="Z67" s="131"/>
      <c r="AA67" s="131"/>
      <c r="AB67" s="131"/>
    </row>
    <row r="68" spans="3:28" ht="18" customHeight="1" outlineLevel="1">
      <c r="C68" s="131"/>
      <c r="D68" s="131"/>
      <c r="E68" s="131"/>
      <c r="F68" s="131" t="s">
        <v>1050</v>
      </c>
      <c r="H68" s="131"/>
      <c r="I68" s="135" t="s">
        <v>14</v>
      </c>
      <c r="J68" s="135" t="s">
        <v>16</v>
      </c>
      <c r="K68" s="135" t="s">
        <v>18</v>
      </c>
      <c r="L68" s="135" t="s">
        <v>20</v>
      </c>
      <c r="M68" s="135" t="s">
        <v>22</v>
      </c>
      <c r="N68" s="135" t="s">
        <v>24</v>
      </c>
      <c r="O68" s="135" t="s">
        <v>26</v>
      </c>
      <c r="P68" s="135" t="s">
        <v>28</v>
      </c>
      <c r="Q68" s="135" t="s">
        <v>30</v>
      </c>
      <c r="R68" s="135" t="s">
        <v>31</v>
      </c>
      <c r="S68" s="135" t="s">
        <v>15</v>
      </c>
      <c r="T68" s="135" t="s">
        <v>17</v>
      </c>
      <c r="U68" s="135" t="s">
        <v>19</v>
      </c>
      <c r="V68" s="135" t="s">
        <v>21</v>
      </c>
      <c r="W68" s="135" t="s">
        <v>23</v>
      </c>
      <c r="X68" s="135" t="s">
        <v>25</v>
      </c>
      <c r="Y68" s="135" t="s">
        <v>27</v>
      </c>
      <c r="Z68" s="135" t="s">
        <v>29</v>
      </c>
      <c r="AA68" s="135" t="s">
        <v>69</v>
      </c>
      <c r="AB68" s="136" t="s">
        <v>1051</v>
      </c>
    </row>
    <row r="69" spans="3:28" ht="18" customHeight="1" outlineLevel="1">
      <c r="C69" s="131"/>
      <c r="D69" s="131"/>
      <c r="E69" s="131"/>
      <c r="F69" s="131" t="s">
        <v>1052</v>
      </c>
      <c r="G69" s="147" t="s">
        <v>1265</v>
      </c>
      <c r="H69" s="147" t="s">
        <v>1265</v>
      </c>
      <c r="I69" s="135" t="s">
        <v>1053</v>
      </c>
      <c r="J69" s="135" t="s">
        <v>1054</v>
      </c>
      <c r="K69" s="135" t="s">
        <v>1055</v>
      </c>
      <c r="L69" s="135" t="s">
        <v>1056</v>
      </c>
      <c r="M69" s="135" t="s">
        <v>1057</v>
      </c>
      <c r="N69" s="135" t="s">
        <v>1058</v>
      </c>
      <c r="O69" s="135" t="s">
        <v>1059</v>
      </c>
      <c r="P69" s="135" t="s">
        <v>1060</v>
      </c>
      <c r="Q69" s="135" t="s">
        <v>1061</v>
      </c>
      <c r="R69" s="135" t="s">
        <v>1062</v>
      </c>
      <c r="S69" s="135" t="s">
        <v>1063</v>
      </c>
      <c r="T69" s="135" t="s">
        <v>1064</v>
      </c>
      <c r="U69" s="135" t="s">
        <v>1065</v>
      </c>
      <c r="V69" s="135" t="s">
        <v>1066</v>
      </c>
      <c r="W69" s="135" t="s">
        <v>1067</v>
      </c>
      <c r="X69" s="135" t="s">
        <v>1068</v>
      </c>
      <c r="Y69" s="135" t="s">
        <v>1069</v>
      </c>
      <c r="Z69" s="135" t="s">
        <v>1070</v>
      </c>
      <c r="AA69" s="135" t="s">
        <v>1071</v>
      </c>
      <c r="AB69" s="135" t="s">
        <v>1072</v>
      </c>
    </row>
    <row r="70" spans="3:28" ht="18" customHeight="1" outlineLevel="1">
      <c r="C70" s="131"/>
      <c r="D70" s="131"/>
      <c r="E70" s="131"/>
      <c r="F70" s="131"/>
      <c r="G70" s="131"/>
      <c r="H70" s="131"/>
      <c r="I70" s="136" t="s">
        <v>1073</v>
      </c>
      <c r="J70" s="136" t="s">
        <v>1074</v>
      </c>
      <c r="K70" s="136" t="s">
        <v>1075</v>
      </c>
      <c r="L70" s="136" t="s">
        <v>1076</v>
      </c>
      <c r="M70" s="136" t="s">
        <v>1077</v>
      </c>
      <c r="N70" s="136" t="s">
        <v>1078</v>
      </c>
      <c r="O70" s="136" t="s">
        <v>1079</v>
      </c>
      <c r="P70" s="136" t="s">
        <v>1080</v>
      </c>
      <c r="Q70" s="136" t="s">
        <v>1081</v>
      </c>
      <c r="R70" s="136" t="s">
        <v>1082</v>
      </c>
      <c r="S70" s="136" t="s">
        <v>1083</v>
      </c>
      <c r="T70" s="136" t="s">
        <v>1084</v>
      </c>
      <c r="U70" s="136" t="s">
        <v>1085</v>
      </c>
      <c r="V70" s="136" t="s">
        <v>1086</v>
      </c>
      <c r="W70" s="136" t="s">
        <v>1087</v>
      </c>
      <c r="X70" s="136" t="s">
        <v>1088</v>
      </c>
      <c r="Y70" s="136" t="s">
        <v>1089</v>
      </c>
      <c r="Z70" s="136" t="s">
        <v>1090</v>
      </c>
      <c r="AA70" s="136" t="s">
        <v>1091</v>
      </c>
      <c r="AB70" s="136" t="s">
        <v>1092</v>
      </c>
    </row>
    <row r="71" spans="3:28" ht="18" customHeight="1" outlineLevel="1">
      <c r="C71" s="131"/>
      <c r="D71" s="131"/>
      <c r="E71" s="131"/>
      <c r="F71" s="131"/>
      <c r="G71" s="131"/>
      <c r="H71" s="131"/>
      <c r="I71" s="136" t="s">
        <v>1093</v>
      </c>
      <c r="J71" s="136" t="s">
        <v>1094</v>
      </c>
      <c r="K71" s="135"/>
      <c r="L71" s="136" t="s">
        <v>1095</v>
      </c>
      <c r="M71" s="136" t="s">
        <v>1096</v>
      </c>
      <c r="N71" s="136" t="s">
        <v>1097</v>
      </c>
      <c r="O71" s="136" t="s">
        <v>1098</v>
      </c>
      <c r="P71" s="136" t="s">
        <v>1099</v>
      </c>
      <c r="Q71" s="136" t="s">
        <v>1100</v>
      </c>
      <c r="R71" s="136" t="s">
        <v>1101</v>
      </c>
      <c r="S71" s="136" t="s">
        <v>1102</v>
      </c>
      <c r="T71" s="136" t="s">
        <v>1103</v>
      </c>
      <c r="U71" s="136" t="s">
        <v>1104</v>
      </c>
      <c r="V71" s="136" t="s">
        <v>1105</v>
      </c>
      <c r="W71" s="136" t="s">
        <v>1106</v>
      </c>
      <c r="X71" s="136" t="s">
        <v>1107</v>
      </c>
      <c r="Y71" s="136" t="s">
        <v>1108</v>
      </c>
      <c r="Z71" s="136" t="s">
        <v>1109</v>
      </c>
      <c r="AA71" s="136" t="s">
        <v>1110</v>
      </c>
      <c r="AB71" s="131"/>
    </row>
    <row r="72" spans="3:28" ht="18" customHeight="1" outlineLevel="1">
      <c r="C72" s="131"/>
      <c r="D72" s="131"/>
      <c r="E72" s="131"/>
      <c r="F72" s="131"/>
      <c r="G72" s="131"/>
      <c r="H72" s="131"/>
      <c r="I72" s="131"/>
      <c r="J72" s="135"/>
      <c r="K72" s="135"/>
      <c r="L72" s="136" t="s">
        <v>1111</v>
      </c>
      <c r="M72" s="136" t="s">
        <v>1112</v>
      </c>
      <c r="N72" s="136" t="s">
        <v>1113</v>
      </c>
      <c r="O72" s="136" t="s">
        <v>1114</v>
      </c>
      <c r="P72" s="136" t="s">
        <v>1115</v>
      </c>
      <c r="Q72" s="136" t="s">
        <v>1116</v>
      </c>
      <c r="R72" s="136" t="s">
        <v>1117</v>
      </c>
      <c r="S72" s="136" t="s">
        <v>1118</v>
      </c>
      <c r="T72" s="136" t="s">
        <v>1119</v>
      </c>
      <c r="U72" s="136" t="s">
        <v>1120</v>
      </c>
      <c r="V72" s="136" t="s">
        <v>1121</v>
      </c>
      <c r="W72" s="131"/>
      <c r="X72" s="136" t="s">
        <v>1122</v>
      </c>
      <c r="Y72" s="131"/>
      <c r="Z72" s="136" t="s">
        <v>1123</v>
      </c>
      <c r="AA72" s="131"/>
      <c r="AB72" s="131"/>
    </row>
    <row r="73" spans="3:28" ht="18" customHeight="1" outlineLevel="1">
      <c r="C73" s="131"/>
      <c r="D73" s="131"/>
      <c r="E73" s="131"/>
      <c r="F73" s="131"/>
      <c r="G73" s="131"/>
      <c r="H73" s="131"/>
      <c r="I73" s="131"/>
      <c r="J73" s="135"/>
      <c r="K73" s="135"/>
      <c r="L73" s="131"/>
      <c r="M73" s="136" t="s">
        <v>1124</v>
      </c>
      <c r="N73" s="136" t="s">
        <v>1125</v>
      </c>
      <c r="O73" s="136" t="s">
        <v>1126</v>
      </c>
      <c r="P73" s="136" t="s">
        <v>1127</v>
      </c>
      <c r="Q73" s="136" t="s">
        <v>1128</v>
      </c>
      <c r="R73" s="136" t="s">
        <v>1129</v>
      </c>
      <c r="S73" s="131"/>
      <c r="T73" s="136" t="s">
        <v>1130</v>
      </c>
      <c r="U73" s="131"/>
      <c r="V73" s="131"/>
      <c r="W73" s="131"/>
      <c r="X73" s="131"/>
      <c r="Y73" s="131"/>
      <c r="Z73" s="136" t="s">
        <v>1131</v>
      </c>
      <c r="AA73" s="131"/>
      <c r="AB73" s="131"/>
    </row>
    <row r="74" spans="3:28" ht="18" customHeight="1" outlineLevel="1">
      <c r="C74" s="131"/>
      <c r="D74" s="131"/>
      <c r="E74" s="131"/>
      <c r="F74" s="131"/>
      <c r="G74" s="131"/>
      <c r="H74" s="131"/>
      <c r="I74" s="131"/>
      <c r="J74" s="135"/>
      <c r="K74" s="135"/>
      <c r="L74" s="131"/>
      <c r="M74" s="136" t="s">
        <v>1132</v>
      </c>
      <c r="N74" s="131"/>
      <c r="O74" s="136" t="s">
        <v>1133</v>
      </c>
      <c r="P74" s="136" t="s">
        <v>1134</v>
      </c>
      <c r="Q74" s="136" t="s">
        <v>1135</v>
      </c>
      <c r="R74" s="136" t="s">
        <v>1136</v>
      </c>
      <c r="S74" s="131"/>
      <c r="T74" s="131"/>
      <c r="U74" s="131"/>
      <c r="V74" s="131"/>
      <c r="W74" s="131"/>
      <c r="X74" s="131"/>
      <c r="Y74" s="131"/>
      <c r="Z74" s="136" t="s">
        <v>1137</v>
      </c>
      <c r="AA74" s="131"/>
      <c r="AB74" s="131"/>
    </row>
    <row r="75" spans="3:28" ht="18" customHeight="1" outlineLevel="1">
      <c r="C75" s="131"/>
      <c r="D75" s="131"/>
      <c r="E75" s="131"/>
      <c r="F75" s="131"/>
      <c r="G75" s="131"/>
      <c r="H75" s="131"/>
      <c r="I75" s="131"/>
      <c r="J75" s="135"/>
      <c r="K75" s="135"/>
      <c r="L75" s="131"/>
      <c r="M75" s="136" t="s">
        <v>1138</v>
      </c>
      <c r="N75" s="131"/>
      <c r="O75" s="131"/>
      <c r="P75" s="136" t="s">
        <v>1139</v>
      </c>
      <c r="Q75" s="136" t="s">
        <v>1140</v>
      </c>
      <c r="R75" s="136" t="s">
        <v>1141</v>
      </c>
      <c r="S75" s="131"/>
      <c r="T75" s="131"/>
      <c r="U75" s="131"/>
      <c r="V75" s="131"/>
      <c r="W75" s="131"/>
      <c r="X75" s="131"/>
      <c r="Y75" s="131"/>
      <c r="Z75" s="136" t="s">
        <v>1142</v>
      </c>
      <c r="AA75" s="131"/>
      <c r="AB75" s="131"/>
    </row>
    <row r="76" spans="3:28" ht="18" customHeight="1" outlineLevel="1">
      <c r="C76" s="131"/>
      <c r="D76" s="131"/>
      <c r="E76" s="131"/>
      <c r="F76" s="131"/>
      <c r="G76" s="131"/>
      <c r="H76" s="131"/>
      <c r="I76" s="131"/>
      <c r="J76" s="135"/>
      <c r="K76" s="135"/>
      <c r="L76" s="131"/>
      <c r="M76" s="136" t="s">
        <v>1143</v>
      </c>
      <c r="N76" s="131"/>
      <c r="O76" s="131"/>
      <c r="P76" s="136" t="s">
        <v>1144</v>
      </c>
      <c r="Q76" s="136" t="s">
        <v>1145</v>
      </c>
      <c r="R76" s="131"/>
      <c r="S76" s="131"/>
      <c r="T76" s="131"/>
      <c r="U76" s="131"/>
      <c r="V76" s="131"/>
      <c r="W76" s="131"/>
      <c r="X76" s="131"/>
      <c r="Y76" s="131"/>
      <c r="Z76" s="136" t="s">
        <v>1146</v>
      </c>
      <c r="AA76" s="131"/>
      <c r="AB76" s="131"/>
    </row>
    <row r="77" spans="3:28" ht="18" customHeight="1" outlineLevel="1">
      <c r="C77" s="131"/>
      <c r="D77" s="131"/>
      <c r="E77" s="131"/>
      <c r="F77" s="131"/>
      <c r="G77" s="131"/>
      <c r="H77" s="131"/>
      <c r="I77" s="131"/>
      <c r="J77" s="135"/>
      <c r="K77" s="135"/>
      <c r="L77" s="131"/>
      <c r="M77" s="136" t="s">
        <v>1147</v>
      </c>
      <c r="N77" s="131"/>
      <c r="O77" s="131"/>
      <c r="P77" s="136" t="s">
        <v>1148</v>
      </c>
      <c r="Q77" s="136" t="s">
        <v>1149</v>
      </c>
      <c r="R77" s="131"/>
      <c r="S77" s="131"/>
      <c r="T77" s="131"/>
      <c r="U77" s="131"/>
      <c r="V77" s="131"/>
      <c r="W77" s="131"/>
      <c r="X77" s="131"/>
      <c r="Y77" s="131"/>
      <c r="Z77" s="136" t="s">
        <v>1150</v>
      </c>
      <c r="AA77" s="131"/>
      <c r="AB77" s="131"/>
    </row>
    <row r="78" spans="3:28" ht="18" customHeight="1" outlineLevel="1">
      <c r="C78" s="131"/>
      <c r="D78" s="131"/>
      <c r="E78" s="131"/>
      <c r="F78" s="131"/>
      <c r="G78" s="131"/>
      <c r="H78" s="131"/>
      <c r="I78" s="131"/>
      <c r="J78" s="135"/>
      <c r="K78" s="135"/>
      <c r="L78" s="131"/>
      <c r="M78" s="136" t="s">
        <v>1151</v>
      </c>
      <c r="N78" s="131"/>
      <c r="O78" s="131"/>
      <c r="P78" s="131"/>
      <c r="Q78" s="136" t="s">
        <v>1152</v>
      </c>
      <c r="R78" s="131"/>
      <c r="S78" s="131"/>
      <c r="T78" s="131"/>
      <c r="U78" s="131"/>
      <c r="V78" s="131"/>
      <c r="W78" s="131"/>
      <c r="X78" s="131"/>
      <c r="Y78" s="131"/>
      <c r="Z78" s="136" t="s">
        <v>1153</v>
      </c>
      <c r="AA78" s="131"/>
      <c r="AB78" s="131"/>
    </row>
    <row r="79" spans="3:28" ht="18" customHeight="1" outlineLevel="1">
      <c r="C79" s="131"/>
      <c r="D79" s="131"/>
      <c r="E79" s="131"/>
      <c r="F79" s="131"/>
      <c r="G79" s="131"/>
      <c r="H79" s="131"/>
      <c r="I79" s="131"/>
      <c r="J79" s="135"/>
      <c r="K79" s="135"/>
      <c r="L79" s="131"/>
      <c r="M79" s="136" t="s">
        <v>1154</v>
      </c>
      <c r="N79" s="131"/>
      <c r="O79" s="131"/>
      <c r="P79" s="131"/>
      <c r="Q79" s="136" t="s">
        <v>1155</v>
      </c>
      <c r="R79" s="131"/>
      <c r="S79" s="131"/>
      <c r="T79" s="131"/>
      <c r="U79" s="131"/>
      <c r="V79" s="131"/>
      <c r="W79" s="131"/>
      <c r="X79" s="131"/>
      <c r="Y79" s="131"/>
      <c r="Z79" s="131"/>
      <c r="AA79" s="131"/>
      <c r="AB79" s="131"/>
    </row>
    <row r="80" spans="3:28" ht="18" customHeight="1" outlineLevel="1">
      <c r="C80" s="131"/>
      <c r="D80" s="131"/>
      <c r="E80" s="131"/>
      <c r="F80" s="131"/>
      <c r="G80" s="131"/>
      <c r="H80" s="131"/>
      <c r="I80" s="131"/>
      <c r="J80" s="135"/>
      <c r="K80" s="135"/>
      <c r="L80" s="131"/>
      <c r="M80" s="136" t="s">
        <v>1156</v>
      </c>
      <c r="N80" s="131"/>
      <c r="O80" s="131"/>
      <c r="P80" s="131"/>
      <c r="Q80" s="136" t="s">
        <v>1157</v>
      </c>
      <c r="R80" s="131"/>
      <c r="S80" s="131"/>
      <c r="T80" s="131"/>
      <c r="U80" s="131"/>
      <c r="V80" s="131"/>
      <c r="W80" s="131"/>
      <c r="X80" s="131"/>
      <c r="Y80" s="131"/>
      <c r="Z80" s="131"/>
      <c r="AA80" s="131"/>
      <c r="AB80" s="131"/>
    </row>
    <row r="81" spans="3:28" ht="18" customHeight="1" outlineLevel="1">
      <c r="C81" s="131"/>
      <c r="D81" s="131"/>
      <c r="E81" s="131"/>
      <c r="F81" s="131"/>
      <c r="G81" s="131"/>
      <c r="H81" s="131"/>
      <c r="I81" s="131"/>
      <c r="J81" s="135"/>
      <c r="K81" s="135"/>
      <c r="L81" s="131"/>
      <c r="M81" s="136" t="s">
        <v>1158</v>
      </c>
      <c r="N81" s="131"/>
      <c r="O81" s="131"/>
      <c r="P81" s="131"/>
      <c r="Q81" s="136" t="s">
        <v>1159</v>
      </c>
      <c r="R81" s="131"/>
      <c r="S81" s="131"/>
      <c r="T81" s="131"/>
      <c r="U81" s="131"/>
      <c r="V81" s="131"/>
      <c r="W81" s="131"/>
      <c r="X81" s="131"/>
      <c r="Y81" s="131"/>
      <c r="Z81" s="131"/>
      <c r="AA81" s="131"/>
      <c r="AB81" s="131"/>
    </row>
    <row r="82" spans="3:28" ht="18" customHeight="1" outlineLevel="1">
      <c r="C82" s="131"/>
      <c r="D82" s="131"/>
      <c r="E82" s="131"/>
      <c r="F82" s="131"/>
      <c r="G82" s="131"/>
      <c r="H82" s="131"/>
      <c r="I82" s="131"/>
      <c r="J82" s="135"/>
      <c r="K82" s="135"/>
      <c r="L82" s="131"/>
      <c r="M82" s="136" t="s">
        <v>1160</v>
      </c>
      <c r="N82" s="131"/>
      <c r="O82" s="131"/>
      <c r="P82" s="131"/>
      <c r="Q82" s="131"/>
      <c r="R82" s="131"/>
      <c r="S82" s="131"/>
      <c r="T82" s="131"/>
      <c r="U82" s="131"/>
      <c r="V82" s="131"/>
      <c r="W82" s="131"/>
      <c r="X82" s="131"/>
      <c r="Y82" s="131"/>
      <c r="Z82" s="131"/>
      <c r="AA82" s="131"/>
      <c r="AB82" s="131"/>
    </row>
    <row r="83" spans="3:28" ht="18" customHeight="1" outlineLevel="1">
      <c r="C83" s="131"/>
      <c r="D83" s="131"/>
      <c r="E83" s="131"/>
      <c r="F83" s="131"/>
      <c r="G83" s="131"/>
      <c r="H83" s="131"/>
      <c r="I83" s="131"/>
      <c r="J83" s="135"/>
      <c r="K83" s="135"/>
      <c r="L83" s="131"/>
      <c r="M83" s="136" t="s">
        <v>1161</v>
      </c>
      <c r="N83" s="131"/>
      <c r="O83" s="131"/>
      <c r="P83" s="131"/>
      <c r="Q83" s="131"/>
      <c r="R83" s="131"/>
      <c r="S83" s="131"/>
      <c r="T83" s="131"/>
      <c r="U83" s="131"/>
      <c r="V83" s="131"/>
      <c r="W83" s="131"/>
      <c r="X83" s="131"/>
      <c r="Y83" s="131"/>
      <c r="Z83" s="131"/>
      <c r="AA83" s="131"/>
      <c r="AB83" s="131"/>
    </row>
    <row r="84" spans="3:28" ht="18" customHeight="1" outlineLevel="1">
      <c r="C84" s="131"/>
      <c r="D84" s="131"/>
      <c r="E84" s="131"/>
      <c r="F84" s="131"/>
      <c r="G84" s="131"/>
      <c r="H84" s="131"/>
      <c r="I84" s="131"/>
      <c r="J84" s="135"/>
      <c r="K84" s="135"/>
      <c r="L84" s="131"/>
      <c r="M84" s="136" t="s">
        <v>1162</v>
      </c>
      <c r="N84" s="131"/>
      <c r="O84" s="131"/>
      <c r="P84" s="131"/>
      <c r="Q84" s="131"/>
      <c r="R84" s="131"/>
      <c r="S84" s="131"/>
      <c r="T84" s="131"/>
      <c r="U84" s="131"/>
      <c r="V84" s="131"/>
      <c r="W84" s="131"/>
      <c r="X84" s="131"/>
      <c r="Y84" s="131"/>
      <c r="Z84" s="131"/>
      <c r="AA84" s="131"/>
      <c r="AB84" s="131"/>
    </row>
    <row r="85" spans="3:28" ht="18" customHeight="1" outlineLevel="1">
      <c r="C85" s="131"/>
      <c r="D85" s="131"/>
      <c r="E85" s="131"/>
      <c r="F85" s="131"/>
      <c r="G85" s="131"/>
      <c r="H85" s="131"/>
      <c r="I85" s="131"/>
      <c r="J85" s="135"/>
      <c r="K85" s="135"/>
      <c r="L85" s="131"/>
      <c r="M85" s="136" t="s">
        <v>1163</v>
      </c>
      <c r="N85" s="131"/>
      <c r="O85" s="131"/>
      <c r="P85" s="131"/>
      <c r="Q85" s="131"/>
      <c r="R85" s="131"/>
      <c r="S85" s="131"/>
      <c r="T85" s="131"/>
      <c r="U85" s="131"/>
      <c r="V85" s="131"/>
      <c r="W85" s="131"/>
      <c r="X85" s="131"/>
      <c r="Y85" s="131"/>
      <c r="Z85" s="131"/>
      <c r="AA85" s="131"/>
      <c r="AB85" s="131"/>
    </row>
    <row r="86" spans="3:28" ht="18" customHeight="1" outlineLevel="1">
      <c r="C86" s="131"/>
      <c r="D86" s="131"/>
      <c r="E86" s="131"/>
      <c r="F86" s="131"/>
      <c r="G86" s="131"/>
      <c r="H86" s="131"/>
      <c r="I86" s="131"/>
      <c r="J86" s="135"/>
      <c r="K86" s="135"/>
      <c r="L86" s="131"/>
      <c r="M86" s="136" t="s">
        <v>1164</v>
      </c>
      <c r="N86" s="131"/>
      <c r="O86" s="131"/>
      <c r="P86" s="131"/>
      <c r="Q86" s="131"/>
      <c r="R86" s="131"/>
      <c r="S86" s="131"/>
      <c r="T86" s="131"/>
      <c r="U86" s="131"/>
      <c r="V86" s="131"/>
      <c r="W86" s="131"/>
      <c r="X86" s="131"/>
      <c r="Y86" s="131"/>
      <c r="Z86" s="131"/>
      <c r="AA86" s="131"/>
      <c r="AB86" s="131"/>
    </row>
    <row r="87" spans="3:28" ht="18" customHeight="1" outlineLevel="1">
      <c r="C87" s="131"/>
      <c r="D87" s="131"/>
      <c r="E87" s="131"/>
      <c r="F87" s="131"/>
      <c r="G87" s="131"/>
      <c r="H87" s="131"/>
      <c r="I87" s="131"/>
      <c r="J87" s="135"/>
      <c r="K87" s="135"/>
      <c r="L87" s="131"/>
      <c r="M87" s="136" t="s">
        <v>1165</v>
      </c>
      <c r="N87" s="131"/>
      <c r="O87" s="131"/>
      <c r="P87" s="131"/>
      <c r="Q87" s="131"/>
      <c r="R87" s="131"/>
      <c r="S87" s="131"/>
      <c r="T87" s="131"/>
      <c r="U87" s="131"/>
      <c r="V87" s="131"/>
      <c r="W87" s="131"/>
      <c r="X87" s="131"/>
      <c r="Y87" s="131"/>
      <c r="Z87" s="131"/>
      <c r="AA87" s="131"/>
      <c r="AB87" s="131"/>
    </row>
    <row r="88" spans="3:28" ht="18" customHeight="1" outlineLevel="1">
      <c r="C88" s="131"/>
      <c r="D88" s="131"/>
      <c r="E88" s="131"/>
      <c r="F88" s="131"/>
      <c r="G88" s="131"/>
      <c r="H88" s="131"/>
      <c r="I88" s="131"/>
      <c r="J88" s="135"/>
      <c r="K88" s="135"/>
      <c r="L88" s="131"/>
      <c r="M88" s="136" t="s">
        <v>1166</v>
      </c>
      <c r="N88" s="131"/>
      <c r="O88" s="131"/>
      <c r="P88" s="131"/>
      <c r="Q88" s="131"/>
      <c r="R88" s="131"/>
      <c r="S88" s="131"/>
      <c r="T88" s="131"/>
      <c r="U88" s="131"/>
      <c r="V88" s="131"/>
      <c r="W88" s="131"/>
      <c r="X88" s="131"/>
      <c r="Y88" s="131"/>
      <c r="Z88" s="131"/>
      <c r="AA88" s="131"/>
      <c r="AB88" s="131"/>
    </row>
    <row r="89" spans="3:28" ht="18" customHeight="1" outlineLevel="1">
      <c r="C89" s="131"/>
      <c r="D89" s="131"/>
      <c r="E89" s="131"/>
      <c r="F89" s="131"/>
      <c r="G89" s="131"/>
      <c r="H89" s="131"/>
      <c r="I89" s="131"/>
      <c r="J89" s="135"/>
      <c r="K89" s="135"/>
      <c r="L89" s="131"/>
      <c r="M89" s="136" t="s">
        <v>1167</v>
      </c>
      <c r="N89" s="131"/>
      <c r="O89" s="131"/>
      <c r="P89" s="131"/>
      <c r="Q89" s="131"/>
      <c r="R89" s="131"/>
      <c r="S89" s="131"/>
      <c r="T89" s="131"/>
      <c r="U89" s="131"/>
      <c r="V89" s="131"/>
      <c r="W89" s="131"/>
      <c r="X89" s="131"/>
      <c r="Y89" s="131"/>
      <c r="Z89" s="131"/>
      <c r="AA89" s="131"/>
      <c r="AB89" s="131"/>
    </row>
    <row r="90" spans="3:28" ht="18" customHeight="1" outlineLevel="1">
      <c r="C90" s="131"/>
      <c r="D90" s="131"/>
      <c r="E90" s="131"/>
      <c r="F90" s="131"/>
      <c r="G90" s="131"/>
      <c r="H90" s="131"/>
      <c r="I90" s="131"/>
      <c r="J90" s="131"/>
      <c r="K90" s="131"/>
      <c r="L90" s="131"/>
      <c r="M90" s="136" t="s">
        <v>1168</v>
      </c>
      <c r="N90" s="131"/>
      <c r="O90" s="131"/>
      <c r="P90" s="131"/>
      <c r="Q90" s="131"/>
      <c r="R90" s="131"/>
      <c r="S90" s="131"/>
      <c r="T90" s="131"/>
      <c r="U90" s="131"/>
      <c r="V90" s="131"/>
      <c r="W90" s="131"/>
      <c r="X90" s="131"/>
      <c r="Y90" s="131"/>
      <c r="Z90" s="131"/>
      <c r="AA90" s="131"/>
      <c r="AB90" s="131"/>
    </row>
    <row r="91" spans="3:28" ht="18" customHeight="1" outlineLevel="1">
      <c r="C91" s="131"/>
      <c r="D91" s="131"/>
      <c r="E91" s="131"/>
      <c r="F91" s="131"/>
      <c r="G91" s="131"/>
      <c r="H91" s="131"/>
      <c r="I91" s="131"/>
      <c r="J91" s="131"/>
      <c r="K91" s="131"/>
      <c r="L91" s="131"/>
      <c r="M91" s="136" t="s">
        <v>1169</v>
      </c>
      <c r="N91" s="131"/>
      <c r="O91" s="131"/>
      <c r="P91" s="131"/>
      <c r="Q91" s="131"/>
      <c r="R91" s="131"/>
      <c r="S91" s="131"/>
      <c r="T91" s="131"/>
      <c r="U91" s="131"/>
      <c r="V91" s="131"/>
      <c r="W91" s="131"/>
      <c r="X91" s="131"/>
      <c r="Y91" s="131"/>
      <c r="Z91" s="131"/>
      <c r="AA91" s="131"/>
      <c r="AB91" s="131"/>
    </row>
    <row r="92" spans="3:28" ht="18" customHeight="1" outlineLevel="1">
      <c r="C92" s="131"/>
      <c r="D92" s="131"/>
      <c r="E92" s="131"/>
      <c r="F92" s="131"/>
      <c r="G92" s="131"/>
      <c r="H92" s="131"/>
      <c r="I92" s="131"/>
      <c r="J92" s="131"/>
      <c r="K92" s="131"/>
      <c r="L92" s="131"/>
      <c r="M92" s="136" t="s">
        <v>1170</v>
      </c>
      <c r="N92" s="131"/>
      <c r="O92" s="131"/>
      <c r="P92" s="131"/>
      <c r="Q92" s="131"/>
      <c r="R92" s="131"/>
      <c r="S92" s="131"/>
      <c r="T92" s="131"/>
      <c r="U92" s="131"/>
      <c r="V92" s="131"/>
      <c r="W92" s="131"/>
      <c r="X92" s="131"/>
      <c r="Y92" s="131"/>
      <c r="Z92" s="131"/>
      <c r="AA92" s="131"/>
      <c r="AB92" s="131"/>
    </row>
    <row r="93" spans="3:28" ht="18" customHeight="1" outlineLevel="1">
      <c r="C93" s="131"/>
      <c r="D93" s="131"/>
      <c r="E93" s="131"/>
      <c r="G93" s="131"/>
      <c r="H93" s="131"/>
      <c r="I93" s="131"/>
      <c r="J93" s="131"/>
      <c r="K93" s="131"/>
      <c r="L93" s="131"/>
      <c r="M93" s="136" t="s">
        <v>1171</v>
      </c>
      <c r="N93" s="131"/>
      <c r="O93" s="131"/>
      <c r="P93" s="131"/>
      <c r="Q93" s="131"/>
      <c r="R93" s="131"/>
      <c r="S93" s="131"/>
      <c r="T93" s="131"/>
      <c r="U93" s="131"/>
      <c r="V93" s="131"/>
      <c r="W93" s="131"/>
      <c r="X93" s="131"/>
      <c r="Y93" s="131"/>
      <c r="Z93" s="131"/>
      <c r="AA93" s="131"/>
      <c r="AB93" s="131"/>
    </row>
    <row r="94" spans="3:28" ht="18" customHeight="1" outlineLevel="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row>
    <row r="95" spans="3:28" ht="18" customHeight="1" outlineLevel="1">
      <c r="C95" s="131"/>
      <c r="D95" s="131" t="s">
        <v>1172</v>
      </c>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row>
    <row r="96" spans="3:28" ht="18" customHeight="1" outlineLevel="1">
      <c r="C96" s="131"/>
      <c r="D96" s="131"/>
      <c r="E96" s="131"/>
      <c r="F96" s="131" t="s">
        <v>1173</v>
      </c>
      <c r="G96" s="131" t="s">
        <v>991</v>
      </c>
      <c r="H96" s="131" t="s">
        <v>992</v>
      </c>
      <c r="I96" s="131"/>
      <c r="J96" s="131"/>
      <c r="K96" s="131"/>
      <c r="L96" s="131"/>
      <c r="M96" s="131"/>
      <c r="N96" s="131"/>
      <c r="O96" s="131"/>
      <c r="P96" s="131"/>
      <c r="Q96" s="131"/>
      <c r="R96" s="131"/>
      <c r="S96" s="131"/>
      <c r="T96" s="131"/>
      <c r="U96" s="131"/>
      <c r="V96" s="131"/>
      <c r="W96" s="131"/>
      <c r="X96" s="131"/>
      <c r="Y96" s="131"/>
      <c r="Z96" s="131"/>
      <c r="AA96" s="131"/>
      <c r="AB96" s="131"/>
    </row>
    <row r="97" spans="3:28" ht="18" customHeight="1" outlineLevel="1">
      <c r="C97" s="131"/>
      <c r="D97" s="131"/>
      <c r="E97" s="131"/>
      <c r="F97" s="131" t="s">
        <v>1174</v>
      </c>
      <c r="G97" s="131" t="s">
        <v>991</v>
      </c>
      <c r="H97" s="131" t="s">
        <v>992</v>
      </c>
      <c r="I97" s="131"/>
      <c r="J97" s="131"/>
      <c r="K97" s="131"/>
      <c r="L97" s="131"/>
      <c r="M97" s="131"/>
      <c r="N97" s="131"/>
      <c r="O97" s="131"/>
      <c r="P97" s="131"/>
      <c r="Q97" s="131"/>
      <c r="R97" s="131"/>
      <c r="S97" s="131"/>
      <c r="T97" s="131"/>
      <c r="U97" s="131"/>
      <c r="V97" s="131"/>
      <c r="W97" s="131"/>
      <c r="X97" s="131"/>
      <c r="Y97" s="131"/>
      <c r="Z97" s="131"/>
      <c r="AA97" s="131"/>
      <c r="AB97" s="131"/>
    </row>
    <row r="98" spans="3:28" ht="18" customHeight="1" outlineLevel="1">
      <c r="C98" s="131"/>
      <c r="D98" s="131"/>
      <c r="E98" s="131"/>
      <c r="F98" s="131" t="s">
        <v>1175</v>
      </c>
      <c r="G98" s="131" t="s">
        <v>991</v>
      </c>
      <c r="H98" s="131" t="s">
        <v>992</v>
      </c>
      <c r="I98" s="131"/>
      <c r="J98" s="131"/>
      <c r="K98" s="131"/>
      <c r="L98" s="131"/>
      <c r="M98" s="131"/>
      <c r="N98" s="131"/>
      <c r="O98" s="131"/>
      <c r="P98" s="131"/>
      <c r="Q98" s="131"/>
      <c r="R98" s="131"/>
      <c r="S98" s="131"/>
      <c r="T98" s="131"/>
      <c r="U98" s="131"/>
      <c r="V98" s="131"/>
      <c r="W98" s="131"/>
      <c r="X98" s="131"/>
      <c r="Y98" s="131"/>
      <c r="Z98" s="131"/>
      <c r="AA98" s="131"/>
      <c r="AB98" s="131"/>
    </row>
    <row r="99" spans="3:28" ht="18" customHeight="1" outlineLevel="1">
      <c r="C99" s="131"/>
      <c r="D99" s="131"/>
      <c r="E99" s="131"/>
      <c r="F99" s="131" t="s">
        <v>1176</v>
      </c>
      <c r="G99" s="131" t="s">
        <v>991</v>
      </c>
      <c r="H99" s="131" t="s">
        <v>992</v>
      </c>
      <c r="I99" s="131"/>
      <c r="J99" s="131"/>
      <c r="K99" s="131"/>
      <c r="L99" s="131"/>
      <c r="M99" s="131"/>
      <c r="N99" s="131"/>
      <c r="O99" s="131"/>
      <c r="P99" s="131"/>
      <c r="Q99" s="131"/>
      <c r="R99" s="131"/>
      <c r="S99" s="131"/>
      <c r="T99" s="131"/>
      <c r="U99" s="131"/>
      <c r="V99" s="131"/>
      <c r="W99" s="131"/>
      <c r="X99" s="131"/>
      <c r="Y99" s="131"/>
      <c r="Z99" s="131"/>
      <c r="AA99" s="131"/>
      <c r="AB99" s="131"/>
    </row>
    <row r="100" spans="3:28" ht="18" customHeight="1" outlineLevel="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row>
    <row r="101" spans="3:28" ht="18" customHeight="1" outlineLevel="1">
      <c r="C101" s="131"/>
      <c r="D101" s="131" t="s">
        <v>1177</v>
      </c>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row>
    <row r="102" spans="3:28" ht="18" customHeight="1" outlineLevel="1">
      <c r="C102" s="131"/>
      <c r="D102" s="131"/>
      <c r="E102" s="131"/>
      <c r="F102" s="131" t="s">
        <v>1178</v>
      </c>
      <c r="G102" s="131">
        <v>2025</v>
      </c>
      <c r="H102" s="131">
        <v>2026</v>
      </c>
      <c r="I102" s="131">
        <v>2027</v>
      </c>
      <c r="J102" s="131"/>
      <c r="K102" s="131"/>
      <c r="L102" s="131"/>
      <c r="M102" s="131"/>
      <c r="N102" s="131"/>
      <c r="O102" s="131"/>
      <c r="P102" s="131"/>
      <c r="Q102" s="131"/>
      <c r="R102" s="131"/>
      <c r="S102" s="131"/>
      <c r="T102" s="131"/>
      <c r="U102" s="131"/>
      <c r="V102" s="131"/>
      <c r="W102" s="131"/>
      <c r="X102" s="131"/>
      <c r="Y102" s="131"/>
      <c r="Z102" s="131"/>
      <c r="AA102" s="131"/>
      <c r="AB102" s="131"/>
    </row>
    <row r="103" spans="3:28" ht="18" customHeight="1" outlineLevel="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row>
    <row r="104" spans="3:28" ht="18" customHeight="1" outlineLevel="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row>
    <row r="105" spans="3:28" ht="18" customHeight="1" outlineLevel="1">
      <c r="C105" s="137" t="s">
        <v>1179</v>
      </c>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row>
    <row r="106" spans="3:28" ht="18" customHeight="1" outlineLevel="1">
      <c r="C106" s="131"/>
      <c r="D106" s="131" t="s">
        <v>1180</v>
      </c>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row>
    <row r="107" spans="3:28" ht="18" customHeight="1" outlineLevel="1">
      <c r="C107" s="131"/>
      <c r="D107" s="131"/>
      <c r="E107" s="131" t="s">
        <v>1181</v>
      </c>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row>
    <row r="108" spans="3:28" ht="18" customHeight="1" outlineLevel="1">
      <c r="C108" s="131"/>
      <c r="D108" s="131"/>
      <c r="E108" s="131"/>
      <c r="F108" s="131" t="s">
        <v>1182</v>
      </c>
      <c r="G108" s="131">
        <v>2013</v>
      </c>
      <c r="H108" s="131">
        <v>2014</v>
      </c>
      <c r="I108" s="131">
        <v>2015</v>
      </c>
      <c r="J108" s="131">
        <v>2016</v>
      </c>
      <c r="K108" s="131">
        <v>2017</v>
      </c>
      <c r="L108" s="131">
        <v>2018</v>
      </c>
      <c r="M108" s="131">
        <v>2019</v>
      </c>
      <c r="N108" s="131">
        <v>2020</v>
      </c>
      <c r="O108" s="131">
        <v>2021</v>
      </c>
      <c r="P108" s="131">
        <v>2022</v>
      </c>
      <c r="Q108" s="131">
        <v>2023</v>
      </c>
      <c r="R108" s="131">
        <v>2024</v>
      </c>
      <c r="S108" s="131">
        <v>2025</v>
      </c>
      <c r="T108" s="131">
        <v>2026</v>
      </c>
      <c r="U108" s="131">
        <v>2027</v>
      </c>
      <c r="V108" s="131">
        <v>2028</v>
      </c>
      <c r="W108" s="131">
        <v>2029</v>
      </c>
      <c r="X108" s="131"/>
      <c r="Y108" s="131"/>
      <c r="Z108" s="131"/>
      <c r="AA108" s="131"/>
      <c r="AB108" s="131"/>
    </row>
    <row r="109" spans="3:28" ht="18" customHeight="1" outlineLevel="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row>
    <row r="110" spans="3:28" ht="18" customHeight="1" outlineLevel="1">
      <c r="C110" s="131"/>
      <c r="D110" s="131"/>
      <c r="E110" s="131" t="s">
        <v>1183</v>
      </c>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row>
    <row r="111" spans="3:28" ht="18" customHeight="1" outlineLevel="1">
      <c r="C111" s="131"/>
      <c r="D111" s="131"/>
      <c r="E111" s="131"/>
      <c r="F111" s="131" t="s">
        <v>1184</v>
      </c>
      <c r="G111" s="131" t="s">
        <v>1185</v>
      </c>
      <c r="H111" s="131" t="s">
        <v>1186</v>
      </c>
      <c r="I111" s="131" t="s">
        <v>1187</v>
      </c>
      <c r="J111" s="131"/>
      <c r="K111" s="131"/>
      <c r="L111" s="131"/>
      <c r="M111" s="131"/>
      <c r="N111" s="131"/>
      <c r="O111" s="131"/>
      <c r="P111" s="131"/>
      <c r="Q111" s="131"/>
      <c r="R111" s="131"/>
      <c r="S111" s="131"/>
      <c r="T111" s="131"/>
      <c r="U111" s="131"/>
      <c r="V111" s="131"/>
      <c r="W111" s="131"/>
      <c r="X111" s="131"/>
      <c r="Y111" s="131"/>
      <c r="Z111" s="131"/>
      <c r="AA111" s="131"/>
      <c r="AB111" s="131"/>
    </row>
    <row r="112" spans="3:28" ht="18" customHeight="1" outlineLevel="1">
      <c r="C112" s="131"/>
      <c r="D112" s="131"/>
      <c r="E112" s="131"/>
      <c r="F112" s="131" t="s">
        <v>1188</v>
      </c>
      <c r="G112" s="131" t="s">
        <v>1189</v>
      </c>
      <c r="H112" s="131" t="s">
        <v>1190</v>
      </c>
      <c r="I112" s="131" t="s">
        <v>1191</v>
      </c>
      <c r="J112" s="131"/>
      <c r="K112" s="131"/>
      <c r="L112" s="131"/>
      <c r="M112" s="131"/>
      <c r="N112" s="131"/>
      <c r="O112" s="131"/>
      <c r="P112" s="131"/>
      <c r="Q112" s="131"/>
      <c r="R112" s="131"/>
      <c r="S112" s="131"/>
      <c r="T112" s="131"/>
      <c r="U112" s="131"/>
      <c r="V112" s="131"/>
      <c r="W112" s="131"/>
      <c r="X112" s="131"/>
      <c r="Y112" s="131"/>
      <c r="Z112" s="131"/>
      <c r="AA112" s="131"/>
      <c r="AB112" s="131"/>
    </row>
    <row r="113" spans="3:36" ht="18" customHeight="1" outlineLevel="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row>
    <row r="114" spans="3:36" ht="18" customHeight="1" outlineLevel="1">
      <c r="C114" s="131"/>
      <c r="D114" s="131"/>
      <c r="E114" s="131" t="s">
        <v>1192</v>
      </c>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row>
    <row r="115" spans="3:36" ht="18" customHeight="1" outlineLevel="1">
      <c r="C115" s="131"/>
      <c r="D115" s="131"/>
      <c r="E115" s="131"/>
      <c r="F115" s="131" t="s">
        <v>1193</v>
      </c>
      <c r="G115" s="124" t="s">
        <v>331</v>
      </c>
      <c r="H115" s="124" t="s">
        <v>338</v>
      </c>
      <c r="I115" s="124" t="s">
        <v>335</v>
      </c>
      <c r="J115" s="124" t="s">
        <v>334</v>
      </c>
      <c r="K115" s="124" t="s">
        <v>329</v>
      </c>
      <c r="L115" s="124" t="s">
        <v>330</v>
      </c>
      <c r="M115" s="124" t="s">
        <v>337</v>
      </c>
      <c r="N115" s="124" t="s">
        <v>1194</v>
      </c>
      <c r="O115" s="124" t="s">
        <v>340</v>
      </c>
      <c r="P115" s="124" t="s">
        <v>339</v>
      </c>
      <c r="Q115" s="124" t="s">
        <v>328</v>
      </c>
      <c r="R115" s="124" t="s">
        <v>341</v>
      </c>
      <c r="S115" s="124" t="s">
        <v>336</v>
      </c>
      <c r="T115" s="124" t="s">
        <v>333</v>
      </c>
      <c r="U115" s="124" t="s">
        <v>1195</v>
      </c>
      <c r="V115" s="124" t="s">
        <v>332</v>
      </c>
      <c r="W115" s="124" t="s">
        <v>1196</v>
      </c>
      <c r="X115" s="124" t="s">
        <v>1197</v>
      </c>
      <c r="Y115" s="124" t="s">
        <v>1198</v>
      </c>
      <c r="Z115" s="124" t="s">
        <v>1199</v>
      </c>
      <c r="AA115" s="124" t="s">
        <v>1200</v>
      </c>
      <c r="AB115" s="124" t="s">
        <v>1201</v>
      </c>
      <c r="AC115" s="124" t="s">
        <v>1202</v>
      </c>
      <c r="AD115" s="124" t="s">
        <v>1203</v>
      </c>
      <c r="AE115" s="124" t="s">
        <v>1204</v>
      </c>
      <c r="AF115" s="124" t="s">
        <v>1205</v>
      </c>
      <c r="AG115" s="124" t="s">
        <v>1206</v>
      </c>
      <c r="AH115" s="124" t="s">
        <v>1207</v>
      </c>
      <c r="AI115" s="124" t="s">
        <v>1208</v>
      </c>
      <c r="AJ115" s="124" t="s">
        <v>1209</v>
      </c>
    </row>
    <row r="116" spans="3:36" ht="18" customHeight="1" outlineLevel="1"/>
    <row r="117" spans="3:36" ht="18" customHeight="1" outlineLevel="1">
      <c r="C117" s="131"/>
      <c r="D117" s="131" t="s">
        <v>1210</v>
      </c>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row>
    <row r="118" spans="3:36" ht="18" customHeight="1" outlineLevel="1">
      <c r="C118" s="131"/>
      <c r="D118" s="131"/>
      <c r="E118" s="131" t="s">
        <v>1211</v>
      </c>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row>
    <row r="119" spans="3:36" ht="18" customHeight="1" outlineLevel="1">
      <c r="C119" s="131"/>
      <c r="D119" s="131"/>
      <c r="E119" s="131"/>
      <c r="F119" s="131" t="s">
        <v>1212</v>
      </c>
      <c r="G119" s="131">
        <v>2013</v>
      </c>
      <c r="H119" s="131">
        <v>2014</v>
      </c>
      <c r="I119" s="131">
        <v>2015</v>
      </c>
      <c r="J119" s="131">
        <v>2016</v>
      </c>
      <c r="K119" s="131">
        <v>2017</v>
      </c>
      <c r="L119" s="131">
        <v>2018</v>
      </c>
      <c r="M119" s="131">
        <v>2019</v>
      </c>
      <c r="N119" s="131">
        <v>2020</v>
      </c>
      <c r="O119" s="131">
        <v>2021</v>
      </c>
      <c r="P119" s="131">
        <v>2022</v>
      </c>
      <c r="Q119" s="131">
        <v>2023</v>
      </c>
      <c r="R119" s="131">
        <v>2024</v>
      </c>
      <c r="S119" s="131">
        <v>2025</v>
      </c>
      <c r="T119" s="131">
        <v>2026</v>
      </c>
      <c r="U119" s="131">
        <v>2027</v>
      </c>
      <c r="V119" s="131">
        <v>2028</v>
      </c>
      <c r="W119" s="131">
        <v>2029</v>
      </c>
      <c r="X119" s="131"/>
      <c r="Y119" s="131"/>
      <c r="Z119" s="131"/>
      <c r="AA119" s="131"/>
      <c r="AB119" s="131"/>
    </row>
    <row r="120" spans="3:36" ht="18" customHeight="1" outlineLevel="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row>
    <row r="121" spans="3:36" ht="18" customHeight="1" outlineLevel="1">
      <c r="C121" s="131"/>
      <c r="D121" s="131"/>
      <c r="E121" s="131" t="s">
        <v>1183</v>
      </c>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row>
    <row r="122" spans="3:36" ht="18" customHeight="1" outlineLevel="1">
      <c r="C122" s="131"/>
      <c r="D122" s="131"/>
      <c r="E122" s="131"/>
      <c r="F122" s="131" t="s">
        <v>1213</v>
      </c>
      <c r="G122" s="131" t="s">
        <v>1185</v>
      </c>
      <c r="H122" s="131" t="s">
        <v>1186</v>
      </c>
      <c r="I122" s="131" t="s">
        <v>1187</v>
      </c>
      <c r="J122" s="131"/>
      <c r="K122" s="131"/>
      <c r="L122" s="131"/>
      <c r="M122" s="131"/>
      <c r="N122" s="131"/>
      <c r="O122" s="131"/>
      <c r="P122" s="131"/>
      <c r="Q122" s="131"/>
      <c r="R122" s="131"/>
      <c r="S122" s="131"/>
      <c r="T122" s="131"/>
      <c r="U122" s="131"/>
      <c r="V122" s="131"/>
      <c r="W122" s="131"/>
      <c r="X122" s="131"/>
      <c r="Y122" s="131"/>
      <c r="Z122" s="131"/>
      <c r="AA122" s="131"/>
      <c r="AB122" s="131"/>
    </row>
    <row r="123" spans="3:36" ht="18" customHeight="1" outlineLevel="1">
      <c r="C123" s="131"/>
      <c r="D123" s="131"/>
      <c r="E123" s="131"/>
      <c r="F123" s="131" t="s">
        <v>1214</v>
      </c>
      <c r="G123" s="131" t="s">
        <v>1189</v>
      </c>
      <c r="H123" s="131" t="s">
        <v>1190</v>
      </c>
      <c r="I123" s="131" t="s">
        <v>1191</v>
      </c>
      <c r="J123" s="131"/>
      <c r="K123" s="131"/>
      <c r="L123" s="131"/>
      <c r="M123" s="131"/>
      <c r="N123" s="131"/>
      <c r="O123" s="131"/>
      <c r="P123" s="131"/>
      <c r="Q123" s="131"/>
      <c r="R123" s="131"/>
      <c r="S123" s="131"/>
      <c r="T123" s="131"/>
      <c r="U123" s="131"/>
      <c r="V123" s="131"/>
      <c r="W123" s="131"/>
      <c r="X123" s="131"/>
      <c r="Y123" s="131"/>
      <c r="Z123" s="131"/>
      <c r="AA123" s="131"/>
      <c r="AB123" s="131"/>
    </row>
    <row r="124" spans="3:36" ht="18" customHeight="1" outlineLevel="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row>
    <row r="125" spans="3:36" ht="18" customHeight="1" outlineLevel="1">
      <c r="C125" s="131"/>
      <c r="D125" s="131" t="s">
        <v>1215</v>
      </c>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row>
    <row r="126" spans="3:36" ht="18" customHeight="1" outlineLevel="1">
      <c r="C126" s="131"/>
      <c r="D126" s="131"/>
      <c r="E126" s="131" t="s">
        <v>1216</v>
      </c>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row>
    <row r="127" spans="3:36" ht="18" customHeight="1" outlineLevel="1">
      <c r="C127" s="131"/>
      <c r="D127" s="131"/>
      <c r="E127" s="131"/>
      <c r="F127" s="131" t="s">
        <v>1217</v>
      </c>
      <c r="G127" s="131" t="s">
        <v>1218</v>
      </c>
      <c r="H127" s="131" t="s">
        <v>1219</v>
      </c>
      <c r="I127" s="131" t="s">
        <v>1220</v>
      </c>
      <c r="J127" s="131" t="s">
        <v>1221</v>
      </c>
      <c r="K127" s="131" t="s">
        <v>1222</v>
      </c>
      <c r="L127" s="131" t="s">
        <v>1223</v>
      </c>
      <c r="M127" s="131" t="s">
        <v>638</v>
      </c>
      <c r="N127" s="131"/>
      <c r="O127" s="131"/>
      <c r="P127" s="131"/>
      <c r="Q127" s="131"/>
      <c r="R127" s="131"/>
      <c r="S127" s="131"/>
      <c r="T127" s="131"/>
      <c r="U127" s="131"/>
      <c r="V127" s="131"/>
      <c r="W127" s="131"/>
      <c r="X127" s="131"/>
      <c r="Y127" s="131"/>
      <c r="Z127" s="131"/>
      <c r="AA127" s="131"/>
      <c r="AB127" s="131"/>
    </row>
    <row r="128" spans="3:36" ht="18" customHeight="1" outlineLevel="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row>
    <row r="129" spans="3:28" ht="18" customHeight="1" outlineLevel="1">
      <c r="C129" s="131"/>
      <c r="D129" s="131" t="s">
        <v>1224</v>
      </c>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row>
    <row r="130" spans="3:28" ht="18" customHeight="1" outlineLevel="1">
      <c r="C130" s="131"/>
      <c r="D130" s="131"/>
      <c r="E130" s="131" t="s">
        <v>1216</v>
      </c>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row>
    <row r="131" spans="3:28" ht="18" customHeight="1" outlineLevel="1">
      <c r="C131" s="131"/>
      <c r="D131" s="131"/>
      <c r="E131" s="131"/>
      <c r="F131" s="131" t="s">
        <v>1225</v>
      </c>
      <c r="G131" s="131" t="s">
        <v>1226</v>
      </c>
      <c r="H131" s="131" t="s">
        <v>1227</v>
      </c>
      <c r="I131" s="131" t="s">
        <v>1228</v>
      </c>
      <c r="J131" s="131" t="s">
        <v>1229</v>
      </c>
      <c r="K131" s="131"/>
      <c r="L131" s="131"/>
      <c r="M131" s="131"/>
      <c r="N131" s="131"/>
      <c r="O131" s="131"/>
      <c r="P131" s="131"/>
      <c r="Q131" s="131"/>
      <c r="R131" s="131"/>
      <c r="S131" s="131"/>
      <c r="T131" s="131"/>
      <c r="U131" s="131"/>
      <c r="V131" s="131"/>
      <c r="W131" s="131"/>
      <c r="X131" s="131"/>
      <c r="Y131" s="131"/>
      <c r="Z131" s="131"/>
      <c r="AA131" s="131"/>
      <c r="AB131" s="131"/>
    </row>
    <row r="132" spans="3:28" ht="18" customHeight="1" outlineLevel="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row>
    <row r="133" spans="3:28" ht="18" customHeight="1" outlineLevel="1">
      <c r="C133" s="131"/>
      <c r="D133" s="131" t="s">
        <v>1230</v>
      </c>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row>
    <row r="134" spans="3:28" ht="18" customHeight="1" outlineLevel="1">
      <c r="C134" s="131"/>
      <c r="D134" s="131"/>
      <c r="E134" s="131" t="s">
        <v>1231</v>
      </c>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row>
    <row r="135" spans="3:28" ht="18" customHeight="1" outlineLevel="1">
      <c r="C135" s="131"/>
      <c r="D135" s="131"/>
      <c r="E135" s="131"/>
      <c r="F135" s="131" t="s">
        <v>1232</v>
      </c>
      <c r="G135" s="131" t="s">
        <v>1233</v>
      </c>
      <c r="H135" s="131" t="s">
        <v>1234</v>
      </c>
      <c r="I135" s="131"/>
      <c r="J135" s="131"/>
      <c r="K135" s="131"/>
      <c r="L135" s="131"/>
      <c r="M135" s="131"/>
      <c r="N135" s="131"/>
      <c r="O135" s="131"/>
      <c r="P135" s="131"/>
      <c r="Q135" s="131"/>
      <c r="R135" s="131"/>
      <c r="S135" s="131"/>
      <c r="T135" s="131"/>
      <c r="U135" s="131"/>
      <c r="V135" s="131"/>
      <c r="W135" s="131"/>
      <c r="X135" s="131"/>
      <c r="Y135" s="131"/>
      <c r="Z135" s="131"/>
      <c r="AA135" s="131"/>
      <c r="AB135" s="131"/>
    </row>
    <row r="136" spans="3:28" ht="18" customHeight="1" outlineLevel="1">
      <c r="C136" s="131"/>
      <c r="D136" s="131"/>
      <c r="E136" s="131"/>
      <c r="F136" s="131" t="s">
        <v>1235</v>
      </c>
      <c r="G136" s="131" t="s">
        <v>1233</v>
      </c>
      <c r="H136" s="131" t="s">
        <v>1234</v>
      </c>
      <c r="I136" s="131" t="s">
        <v>1236</v>
      </c>
      <c r="J136" s="131"/>
      <c r="K136" s="131"/>
      <c r="L136" s="131"/>
      <c r="M136" s="131"/>
      <c r="N136" s="131"/>
      <c r="O136" s="131"/>
      <c r="P136" s="131"/>
      <c r="Q136" s="131"/>
      <c r="R136" s="131"/>
      <c r="S136" s="131"/>
      <c r="T136" s="131"/>
      <c r="U136" s="131"/>
      <c r="V136" s="131"/>
      <c r="W136" s="131"/>
      <c r="X136" s="131"/>
      <c r="Y136" s="131"/>
      <c r="Z136" s="131"/>
      <c r="AA136" s="131"/>
      <c r="AB136" s="131"/>
    </row>
    <row r="137" spans="3:28" ht="18" customHeight="1" outlineLevel="1">
      <c r="C137" s="131"/>
      <c r="D137" s="131"/>
      <c r="E137" s="131"/>
      <c r="F137" s="131" t="s">
        <v>1237</v>
      </c>
      <c r="G137" s="131" t="s">
        <v>1238</v>
      </c>
      <c r="H137" s="131" t="s">
        <v>1239</v>
      </c>
      <c r="I137" s="131" t="s">
        <v>1240</v>
      </c>
      <c r="J137" s="131" t="s">
        <v>1229</v>
      </c>
      <c r="L137" s="131"/>
      <c r="M137" s="131"/>
      <c r="N137" s="131"/>
      <c r="O137" s="131"/>
      <c r="P137" s="131"/>
      <c r="Q137" s="131"/>
      <c r="R137" s="131"/>
      <c r="S137" s="131"/>
      <c r="T137" s="131"/>
      <c r="U137" s="131"/>
      <c r="V137" s="131"/>
      <c r="W137" s="131"/>
      <c r="X137" s="131"/>
      <c r="Y137" s="131"/>
      <c r="Z137" s="131"/>
      <c r="AA137" s="131"/>
      <c r="AB137" s="131"/>
    </row>
    <row r="138" spans="3:28" ht="18" customHeight="1" outlineLevel="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row>
    <row r="139" spans="3:28" ht="18" customHeight="1" outlineLevel="1">
      <c r="C139" s="131"/>
      <c r="D139" s="131"/>
      <c r="E139" s="131" t="s">
        <v>1241</v>
      </c>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row>
    <row r="140" spans="3:28" ht="18" customHeight="1" outlineLevel="1">
      <c r="C140" s="131"/>
      <c r="D140" s="131"/>
      <c r="E140" s="131"/>
      <c r="F140" s="131" t="s">
        <v>1242</v>
      </c>
      <c r="G140" s="131" t="s">
        <v>1243</v>
      </c>
      <c r="H140" s="131" t="s">
        <v>1244</v>
      </c>
      <c r="I140" s="131" t="s">
        <v>1245</v>
      </c>
      <c r="J140" s="131"/>
      <c r="K140" s="131"/>
      <c r="L140" s="131"/>
      <c r="M140" s="131"/>
      <c r="N140" s="131"/>
      <c r="O140" s="131"/>
      <c r="P140" s="131"/>
      <c r="Q140" s="131"/>
      <c r="R140" s="131"/>
      <c r="S140" s="131"/>
      <c r="T140" s="131"/>
      <c r="U140" s="131"/>
      <c r="V140" s="131"/>
      <c r="W140" s="131"/>
      <c r="X140" s="131"/>
      <c r="Y140" s="131"/>
      <c r="Z140" s="131"/>
      <c r="AA140" s="131"/>
      <c r="AB140" s="131"/>
    </row>
    <row r="141" spans="3:28" ht="18" customHeight="1" outlineLevel="1">
      <c r="C141" s="131"/>
      <c r="D141" s="131"/>
      <c r="E141" s="131"/>
      <c r="F141" s="131" t="s">
        <v>1246</v>
      </c>
      <c r="G141" s="131" t="s">
        <v>1243</v>
      </c>
      <c r="H141" s="131" t="s">
        <v>1244</v>
      </c>
      <c r="I141" s="131" t="s">
        <v>1245</v>
      </c>
      <c r="J141" s="131" t="s">
        <v>1247</v>
      </c>
      <c r="K141" s="131"/>
      <c r="L141" s="131"/>
      <c r="M141" s="131"/>
      <c r="N141" s="131"/>
      <c r="O141" s="131"/>
      <c r="P141" s="131"/>
      <c r="Q141" s="131"/>
      <c r="R141" s="131"/>
      <c r="S141" s="131"/>
      <c r="T141" s="131"/>
      <c r="U141" s="131"/>
      <c r="V141" s="131"/>
      <c r="W141" s="131"/>
      <c r="X141" s="131"/>
      <c r="Y141" s="131"/>
      <c r="Z141" s="131"/>
      <c r="AA141" s="131"/>
      <c r="AB141" s="131"/>
    </row>
    <row r="142" spans="3:28" ht="18" customHeight="1" outlineLevel="1">
      <c r="C142" s="131"/>
      <c r="D142" s="131"/>
      <c r="E142" s="131"/>
      <c r="F142" s="131" t="s">
        <v>1248</v>
      </c>
      <c r="G142" s="131" t="s">
        <v>1238</v>
      </c>
      <c r="H142" s="131" t="s">
        <v>1239</v>
      </c>
      <c r="I142" s="131" t="s">
        <v>1240</v>
      </c>
      <c r="J142" s="131" t="s">
        <v>1229</v>
      </c>
      <c r="L142" s="131"/>
      <c r="M142" s="131"/>
      <c r="N142" s="131"/>
      <c r="O142" s="131"/>
      <c r="P142" s="131"/>
      <c r="Q142" s="131"/>
      <c r="R142" s="131"/>
      <c r="S142" s="131"/>
      <c r="T142" s="131"/>
      <c r="U142" s="131"/>
      <c r="V142" s="131"/>
      <c r="W142" s="131"/>
      <c r="X142" s="131"/>
      <c r="Y142" s="131"/>
      <c r="Z142" s="131"/>
      <c r="AA142" s="131"/>
      <c r="AB142" s="131"/>
    </row>
    <row r="143" spans="3:28" ht="18" customHeight="1" outlineLevel="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row>
    <row r="144" spans="3:28" ht="18" customHeight="1" outlineLevel="1">
      <c r="C144" s="131"/>
      <c r="D144" s="131"/>
      <c r="E144" s="131" t="s">
        <v>1249</v>
      </c>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row>
    <row r="145" spans="2:28" ht="18" customHeight="1" outlineLevel="1">
      <c r="C145" s="131"/>
      <c r="D145" s="131"/>
      <c r="E145" s="131"/>
      <c r="F145" s="131" t="s">
        <v>1250</v>
      </c>
      <c r="G145" s="131" t="s">
        <v>1233</v>
      </c>
      <c r="H145" s="131" t="s">
        <v>1234</v>
      </c>
      <c r="I145" s="131"/>
      <c r="J145" s="131"/>
      <c r="K145" s="131"/>
      <c r="L145" s="131"/>
      <c r="M145" s="131"/>
      <c r="N145" s="131"/>
      <c r="O145" s="131"/>
      <c r="P145" s="131"/>
      <c r="Q145" s="131"/>
      <c r="R145" s="131"/>
      <c r="S145" s="131"/>
      <c r="T145" s="131"/>
      <c r="U145" s="131"/>
      <c r="V145" s="131"/>
      <c r="W145" s="131"/>
      <c r="X145" s="131"/>
      <c r="Y145" s="131"/>
      <c r="Z145" s="131"/>
      <c r="AA145" s="131"/>
      <c r="AB145" s="131"/>
    </row>
    <row r="146" spans="2:28" ht="18" customHeight="1" outlineLevel="1">
      <c r="C146" s="131"/>
      <c r="D146" s="131"/>
      <c r="E146" s="131"/>
      <c r="F146" s="131" t="s">
        <v>1251</v>
      </c>
      <c r="G146" s="131" t="s">
        <v>1233</v>
      </c>
      <c r="H146" s="131" t="s">
        <v>1234</v>
      </c>
      <c r="I146" s="131" t="s">
        <v>1252</v>
      </c>
      <c r="J146" s="131"/>
      <c r="K146" s="131"/>
      <c r="L146" s="131"/>
      <c r="M146" s="131"/>
      <c r="N146" s="131"/>
      <c r="O146" s="131"/>
      <c r="P146" s="131"/>
      <c r="Q146" s="131"/>
      <c r="R146" s="131"/>
      <c r="S146" s="131"/>
      <c r="T146" s="131"/>
      <c r="U146" s="131"/>
      <c r="V146" s="131"/>
      <c r="W146" s="131"/>
      <c r="X146" s="131"/>
      <c r="Y146" s="131"/>
      <c r="Z146" s="131"/>
      <c r="AA146" s="131"/>
      <c r="AB146" s="131"/>
    </row>
    <row r="147" spans="2:28" ht="18" customHeight="1" outlineLevel="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row>
    <row r="148" spans="2:28" ht="18" customHeight="1" outlineLevel="1">
      <c r="C148" s="131"/>
      <c r="D148" s="131"/>
      <c r="E148" s="131" t="s">
        <v>1253</v>
      </c>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row>
    <row r="149" spans="2:28" ht="18" customHeight="1" outlineLevel="1">
      <c r="C149" s="131"/>
      <c r="D149" s="131"/>
      <c r="E149" s="131"/>
      <c r="F149" s="131" t="s">
        <v>1254</v>
      </c>
      <c r="G149" s="131" t="s">
        <v>1233</v>
      </c>
      <c r="H149" s="131" t="s">
        <v>1234</v>
      </c>
      <c r="I149" s="131"/>
      <c r="J149" s="131"/>
      <c r="K149" s="131"/>
      <c r="L149" s="131"/>
      <c r="M149" s="131"/>
      <c r="N149" s="131"/>
      <c r="O149" s="131"/>
      <c r="P149" s="131"/>
      <c r="Q149" s="131"/>
      <c r="R149" s="131"/>
      <c r="S149" s="131"/>
      <c r="T149" s="131"/>
      <c r="U149" s="131"/>
      <c r="V149" s="131"/>
      <c r="W149" s="131"/>
      <c r="X149" s="131"/>
      <c r="Y149" s="131"/>
      <c r="Z149" s="131"/>
      <c r="AA149" s="131"/>
      <c r="AB149" s="131"/>
    </row>
    <row r="150" spans="2:28" ht="18" customHeight="1" outlineLevel="1">
      <c r="C150" s="131"/>
      <c r="D150" s="131"/>
      <c r="E150" s="131"/>
      <c r="F150" s="131" t="s">
        <v>1254</v>
      </c>
      <c r="G150" s="131" t="s">
        <v>1233</v>
      </c>
      <c r="H150" s="131" t="s">
        <v>1234</v>
      </c>
      <c r="I150" s="131" t="s">
        <v>1236</v>
      </c>
      <c r="J150" s="131"/>
      <c r="K150" s="131"/>
      <c r="L150" s="131"/>
      <c r="M150" s="131"/>
      <c r="N150" s="131"/>
      <c r="O150" s="131"/>
      <c r="P150" s="131"/>
      <c r="Q150" s="131"/>
      <c r="R150" s="131"/>
      <c r="S150" s="131"/>
      <c r="T150" s="131"/>
      <c r="U150" s="131"/>
      <c r="V150" s="131"/>
      <c r="W150" s="131"/>
      <c r="X150" s="131"/>
      <c r="Y150" s="131"/>
      <c r="Z150" s="131"/>
      <c r="AA150" s="131"/>
      <c r="AB150" s="131"/>
    </row>
    <row r="151" spans="2:28" ht="18" customHeight="1" outlineLevel="1">
      <c r="C151" s="131"/>
      <c r="D151" s="131"/>
      <c r="E151" s="131"/>
      <c r="F151" s="131" t="s">
        <v>1255</v>
      </c>
      <c r="G151" s="131" t="s">
        <v>1189</v>
      </c>
      <c r="H151" s="131" t="s">
        <v>1256</v>
      </c>
      <c r="I151" s="131"/>
      <c r="J151" s="131"/>
      <c r="K151" s="131"/>
      <c r="L151" s="131"/>
      <c r="M151" s="131"/>
      <c r="N151" s="131"/>
      <c r="O151" s="131"/>
      <c r="P151" s="131"/>
      <c r="Q151" s="131"/>
      <c r="R151" s="131"/>
      <c r="S151" s="131"/>
      <c r="T151" s="131"/>
      <c r="U151" s="131"/>
      <c r="V151" s="131"/>
      <c r="W151" s="131"/>
      <c r="X151" s="131"/>
      <c r="Y151" s="131"/>
      <c r="Z151" s="131"/>
      <c r="AA151" s="131"/>
      <c r="AB151" s="131"/>
    </row>
    <row r="152" spans="2:28" ht="18" customHeight="1" outlineLevel="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row>
    <row r="153" spans="2:28" ht="18" customHeight="1" outlineLevel="1">
      <c r="C153" s="131"/>
      <c r="D153" s="131" t="s">
        <v>1257</v>
      </c>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row>
    <row r="154" spans="2:28" ht="18" customHeight="1" outlineLevel="1">
      <c r="C154" s="131"/>
      <c r="D154" s="131"/>
      <c r="E154" s="131"/>
      <c r="F154" s="131" t="s">
        <v>1258</v>
      </c>
      <c r="G154" s="131" t="s">
        <v>1233</v>
      </c>
      <c r="H154" s="131" t="s">
        <v>1234</v>
      </c>
      <c r="I154" s="131"/>
      <c r="J154" s="131"/>
      <c r="K154" s="131"/>
      <c r="L154" s="131"/>
      <c r="M154" s="131"/>
      <c r="N154" s="131"/>
      <c r="O154" s="131"/>
      <c r="P154" s="131"/>
      <c r="Q154" s="131"/>
      <c r="R154" s="131"/>
      <c r="S154" s="131"/>
      <c r="T154" s="131"/>
      <c r="U154" s="131"/>
      <c r="V154" s="131"/>
      <c r="W154" s="131"/>
      <c r="X154" s="131"/>
      <c r="Y154" s="131"/>
      <c r="Z154" s="131"/>
      <c r="AA154" s="131"/>
      <c r="AB154" s="131"/>
    </row>
    <row r="155" spans="2:28" ht="18" customHeight="1" outlineLevel="1">
      <c r="C155" s="131"/>
      <c r="D155" s="131"/>
      <c r="E155" s="131"/>
      <c r="F155" s="131" t="s">
        <v>1259</v>
      </c>
      <c r="G155" s="131" t="s">
        <v>1233</v>
      </c>
      <c r="H155" s="131" t="s">
        <v>1234</v>
      </c>
      <c r="I155" s="131" t="s">
        <v>1252</v>
      </c>
      <c r="J155" s="131"/>
      <c r="K155" s="131"/>
      <c r="L155" s="131"/>
      <c r="M155" s="131"/>
      <c r="N155" s="131"/>
      <c r="O155" s="131"/>
      <c r="P155" s="131"/>
      <c r="Q155" s="131"/>
      <c r="R155" s="131"/>
      <c r="S155" s="131"/>
      <c r="T155" s="131"/>
      <c r="U155" s="131"/>
      <c r="V155" s="131"/>
      <c r="W155" s="131"/>
      <c r="X155" s="131"/>
      <c r="Y155" s="131"/>
      <c r="Z155" s="131"/>
      <c r="AA155" s="131"/>
      <c r="AB155" s="131"/>
    </row>
    <row r="156" spans="2:28" ht="18" customHeight="1">
      <c r="B156" s="128" t="s">
        <v>1262</v>
      </c>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row>
    <row r="157" spans="2:28" ht="18" customHeight="1">
      <c r="C157" s="131"/>
      <c r="D157" s="131" t="s">
        <v>1263</v>
      </c>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row>
    <row r="158" spans="2:28" ht="18" customHeight="1">
      <c r="C158" s="131"/>
      <c r="D158" s="131"/>
      <c r="E158" s="131"/>
      <c r="F158" s="131" t="s">
        <v>1264</v>
      </c>
      <c r="G158" s="131" cm="1">
        <f t="array" aca="1" ref="G158" ca="1">INDIRECT("A.貼付_"&amp;報告1面!AU6&amp;"提出!AJ14")</f>
        <v>0</v>
      </c>
      <c r="H158" s="131" cm="1">
        <f t="array" aca="1" ref="H158" ca="1">INDIRECT("A.貼付_"&amp;報告1面!AU6&amp;"提出!AN14")</f>
        <v>0</v>
      </c>
      <c r="I158" s="131" cm="1">
        <f t="array" aca="1" ref="I158" ca="1">INDIRECT("A.貼付_"&amp;報告1面!AU6&amp;"提出!AR14")</f>
        <v>0</v>
      </c>
      <c r="J158" s="131" cm="1">
        <f t="array" aca="1" ref="J158" ca="1">INDIRECT("A.貼付_"&amp;報告1面!AU6&amp;"提出!AV14")</f>
        <v>0</v>
      </c>
      <c r="K158" s="131" cm="1">
        <f t="array" aca="1" ref="K158" ca="1">INDIRECT("A.貼付_"&amp;報告1面!AU6&amp;"提出!AZ14")</f>
        <v>0</v>
      </c>
      <c r="L158" s="129" cm="1">
        <f t="array" aca="1" ref="L158" ca="1">INDIRECT("A.貼付_"&amp;報告1面!AU6&amp;"提出!BD14")</f>
        <v>0</v>
      </c>
      <c r="M158" s="131" cm="1">
        <f t="array" aca="1" ref="M158" ca="1">INDIRECT("A.貼付_"&amp;報告1面!AU6&amp;"提出!BH14")</f>
        <v>0</v>
      </c>
      <c r="N158" s="131" cm="1">
        <f t="array" aca="1" ref="N158" ca="1">INDIRECT("A.貼付_"&amp;報告1面!AU6&amp;"提出!BL14")</f>
        <v>0</v>
      </c>
      <c r="O158" s="131" cm="1">
        <f t="array" aca="1" ref="O158" ca="1">INDIRECT("A.貼付_"&amp;報告1面!AU6&amp;"提出!BP14")</f>
        <v>0</v>
      </c>
      <c r="P158" s="131" cm="1">
        <f t="array" aca="1" ref="P158" ca="1">INDIRECT("A.貼付_"&amp;報告1面!AU6&amp;"提出!BT14")</f>
        <v>0</v>
      </c>
      <c r="Q158" s="131"/>
      <c r="R158" s="131"/>
      <c r="S158" s="131"/>
      <c r="T158" s="131"/>
      <c r="U158" s="131"/>
      <c r="V158" s="131"/>
      <c r="W158" s="131"/>
      <c r="X158" s="131"/>
      <c r="Y158" s="131"/>
      <c r="Z158" s="131"/>
      <c r="AA158" s="131"/>
      <c r="AB158" s="131"/>
    </row>
    <row r="159" spans="2:28" ht="18" customHeight="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row>
    <row r="160" spans="2:28" ht="18" customHeight="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row>
    <row r="161" spans="3:28" ht="18" customHeight="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row>
    <row r="162" spans="3:28" ht="18" customHeight="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row>
    <row r="163" spans="3:28" ht="18" customHeight="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row>
    <row r="164" spans="3:28" ht="18" customHeight="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row>
    <row r="165" spans="3:28" ht="18" customHeight="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row>
    <row r="166" spans="3:28" ht="18" customHeight="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row>
    <row r="167" spans="3:28" ht="18" customHeight="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row>
    <row r="168" spans="3:28" ht="18" customHeight="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row>
    <row r="169" spans="3:28" ht="18" customHeight="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row>
    <row r="170" spans="3:28" ht="18" customHeight="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row>
  </sheetData>
  <mergeCells count="8">
    <mergeCell ref="E26:E27"/>
    <mergeCell ref="E28:E29"/>
    <mergeCell ref="E9:E11"/>
    <mergeCell ref="E12:E14"/>
    <mergeCell ref="E15:E17"/>
    <mergeCell ref="E18:E20"/>
    <mergeCell ref="E22:E23"/>
    <mergeCell ref="E24:E25"/>
  </mergeCells>
  <phoneticPr fontId="4"/>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BP431"/>
  <sheetViews>
    <sheetView showGridLines="0" zoomScale="80" zoomScaleNormal="80" workbookViewId="0">
      <pane xSplit="7" ySplit="6" topLeftCell="H7" activePane="bottomRight" state="frozen"/>
      <selection activeCell="J149" sqref="J149"/>
      <selection pane="topRight" activeCell="J149" sqref="J149"/>
      <selection pane="bottomLeft" activeCell="J149" sqref="J149"/>
      <selection pane="bottomRight" activeCell="D5" sqref="D5"/>
    </sheetView>
  </sheetViews>
  <sheetFormatPr defaultColWidth="10" defaultRowHeight="19.8" outlineLevelRow="1"/>
  <cols>
    <col min="1" max="1" width="6.6640625" style="747" customWidth="1"/>
    <col min="2" max="2" width="4.44140625" style="747" customWidth="1"/>
    <col min="3" max="3" width="12.88671875" style="747" customWidth="1"/>
    <col min="4" max="4" width="24" style="747" customWidth="1"/>
    <col min="5" max="5" width="31.109375" style="747" customWidth="1"/>
    <col min="6" max="6" width="4.109375" style="747" customWidth="1"/>
    <col min="7" max="7" width="8.77734375" style="747" customWidth="1"/>
    <col min="8" max="67" width="9.44140625" style="747" customWidth="1"/>
    <col min="68" max="68" width="3.33203125" style="747" customWidth="1"/>
    <col min="69" max="16384" width="10" style="747"/>
  </cols>
  <sheetData>
    <row r="1" spans="1:68" ht="39.9" customHeight="1">
      <c r="A1" s="746" t="s">
        <v>481</v>
      </c>
      <c r="C1" s="748"/>
      <c r="D1" s="748"/>
      <c r="E1" s="748"/>
      <c r="F1" s="748"/>
      <c r="G1" s="749"/>
      <c r="H1" s="750" t="s">
        <v>766</v>
      </c>
      <c r="J1" s="744" t="s">
        <v>767</v>
      </c>
      <c r="K1" s="745"/>
      <c r="L1" s="751"/>
      <c r="M1" s="744" t="s">
        <v>768</v>
      </c>
      <c r="N1" s="749"/>
      <c r="O1" s="745"/>
      <c r="P1" s="744" t="s">
        <v>769</v>
      </c>
      <c r="Q1" s="752"/>
      <c r="R1" s="744" t="s">
        <v>770</v>
      </c>
      <c r="S1" s="751"/>
      <c r="T1" s="745"/>
      <c r="U1" s="744" t="s">
        <v>771</v>
      </c>
      <c r="V1" s="751"/>
      <c r="AB1" s="747" t="str">
        <f ca="1">IFERROR(OFFSET(A1_原単位2024,7,AE3+2),"")</f>
        <v/>
      </c>
      <c r="AC1" s="747" t="str">
        <f ca="1">IFERROR(OFFSET(A1_原単位2025,7,AE3+2),"")</f>
        <v/>
      </c>
      <c r="AD1" s="747" t="str">
        <f ca="1">IFERROR(OFFSET(A1_原単位2026,7,AE3+2),"")</f>
        <v/>
      </c>
      <c r="AE1" s="747" t="str">
        <f ca="1">IFERROR(OFFSET(A1_原単位2027,7,AE3+2),"")</f>
        <v/>
      </c>
      <c r="AF1" s="747" t="str">
        <f ca="1">IFERROR(OFFSET(A1_原単位2024,7,AI3+2),"")</f>
        <v/>
      </c>
      <c r="AG1" s="747" t="str">
        <f ca="1">IFERROR(OFFSET(A1_原単位2025,7,AI3+2),"")</f>
        <v/>
      </c>
      <c r="AH1" s="747" t="str">
        <f ca="1">IFERROR(OFFSET(A1_原単位2026,7,AI3+2),"")</f>
        <v/>
      </c>
      <c r="AI1" s="747" t="str">
        <f ca="1">IFERROR(OFFSET(A1_原単位2027,7,AI3+2),"")</f>
        <v/>
      </c>
      <c r="AJ1" s="747" t="str">
        <f ca="1">IFERROR(OFFSET(A1_原単位2024,7,AM3+2),"")</f>
        <v/>
      </c>
      <c r="AK1" s="747" t="str">
        <f ca="1">IFERROR(OFFSET(A1_原単位2025,7,AM3+2),"")</f>
        <v/>
      </c>
      <c r="AL1" s="747" t="str">
        <f ca="1">IFERROR(OFFSET(A1_原単位2026,7,AM3+2),"")</f>
        <v/>
      </c>
      <c r="AM1" s="747" t="str">
        <f ca="1">IFERROR(OFFSET(A1_原単位2027,7,AM3+2),"")</f>
        <v/>
      </c>
      <c r="AN1" s="747" t="str">
        <f ca="1">IFERROR(OFFSET(A1_原単位2024,7,AQ3+2),"")</f>
        <v/>
      </c>
      <c r="AO1" s="747" t="str">
        <f ca="1">IFERROR(OFFSET(A1_原単位2025,7,AQ3+2),"")</f>
        <v/>
      </c>
      <c r="AP1" s="747" t="str">
        <f ca="1">IFERROR(OFFSET(A1_原単位2026,7,AQ3+2),"")</f>
        <v/>
      </c>
      <c r="AQ1" s="747" t="str">
        <f ca="1">IFERROR(OFFSET(A1_原単位2027,7,AQ3+2),"")</f>
        <v/>
      </c>
      <c r="AR1" s="747" t="str">
        <f ca="1">IFERROR(OFFSET(A1_原単位2024,7,AU3+2),"")</f>
        <v/>
      </c>
      <c r="AS1" s="747" t="str">
        <f ca="1">IFERROR(OFFSET(A1_原単位2025,7,AU3+2),"")</f>
        <v/>
      </c>
      <c r="AT1" s="747" t="str">
        <f ca="1">IFERROR(OFFSET(A1_原単位2026,7,AU3+2),"")</f>
        <v/>
      </c>
      <c r="AU1" s="747" t="str">
        <f ca="1">IFERROR(OFFSET(A1_原単位2027,7,AU3+2),"")</f>
        <v/>
      </c>
      <c r="AV1" s="747" t="str">
        <f ca="1">IFERROR(OFFSET(A1_原単位2024,7,AY3+2),"")</f>
        <v/>
      </c>
      <c r="AW1" s="747" t="str">
        <f ca="1">IFERROR(OFFSET(A1_原単位2025,7,AY3+2),"")</f>
        <v/>
      </c>
      <c r="AX1" s="747" t="str">
        <f ca="1">IFERROR(OFFSET(A1_原単位2026,7,AY3+2),"")</f>
        <v/>
      </c>
      <c r="AY1" s="747" t="str">
        <f ca="1">IFERROR(OFFSET(A1_原単位2027,7,AY3+2),"")</f>
        <v/>
      </c>
      <c r="AZ1" s="747" t="str">
        <f ca="1">IFERROR(OFFSET(A1_原単位2024,7,BC3+2),"")</f>
        <v/>
      </c>
      <c r="BA1" s="747" t="str">
        <f ca="1">IFERROR(OFFSET(A1_原単位2025,7,BC3+2),"")</f>
        <v/>
      </c>
      <c r="BB1" s="747" t="str">
        <f ca="1">IFERROR(OFFSET(A1_原単位2026,7,BC3+2),"")</f>
        <v/>
      </c>
      <c r="BC1" s="747" t="str">
        <f ca="1">IFERROR(OFFSET(A1_原単位2027,7,BC3+2),"")</f>
        <v/>
      </c>
      <c r="BD1" s="747" t="str">
        <f ca="1">IFERROR(OFFSET(A1_原単位2024,7,BG3+2),"")</f>
        <v/>
      </c>
      <c r="BE1" s="747" t="str">
        <f ca="1">IFERROR(OFFSET(A1_原単位2025,7,BG3+2),"")</f>
        <v/>
      </c>
      <c r="BF1" s="747" t="str">
        <f ca="1">IFERROR(OFFSET(A1_原単位2026,7,BG3+2),"")</f>
        <v/>
      </c>
      <c r="BG1" s="747" t="str">
        <f ca="1">IFERROR(OFFSET(A1_原単位2027,7,BG3+2),"")</f>
        <v/>
      </c>
      <c r="BH1" s="747" t="str">
        <f ca="1">IFERROR(OFFSET(A1_原単位2024,7,BK3+2),"")</f>
        <v/>
      </c>
      <c r="BI1" s="747" t="str">
        <f ca="1">IFERROR(OFFSET(A1_原単位2025,7,BK3+2),"")</f>
        <v/>
      </c>
      <c r="BJ1" s="747" t="str">
        <f ca="1">IFERROR(OFFSET(A1_原単位2026,7,BK3+2),"")</f>
        <v/>
      </c>
      <c r="BK1" s="747" t="str">
        <f ca="1">IFERROR(OFFSET(A1_原単位2027,7,BK3+2),"")</f>
        <v/>
      </c>
      <c r="BL1" s="747" t="str">
        <f ca="1">IFERROR(OFFSET(A1_原単位2024,7,BO3+2),"")</f>
        <v/>
      </c>
      <c r="BM1" s="747" t="str">
        <f ca="1">IFERROR(OFFSET(A1_原単位2025,7,BO3+2),"")</f>
        <v/>
      </c>
      <c r="BN1" s="747" t="str">
        <f ca="1">IFERROR(OFFSET(A1_原単位2026,7,BO3+2),"")</f>
        <v/>
      </c>
      <c r="BO1" s="747" t="str">
        <f ca="1">IFERROR(OFFSET(A1_原単位2027,7,BO3+2),"")</f>
        <v/>
      </c>
    </row>
    <row r="2" spans="1:68" ht="20.100000000000001" customHeight="1">
      <c r="B2" s="753"/>
      <c r="C2" s="754" t="s">
        <v>772</v>
      </c>
      <c r="D2" s="1584" t="str">
        <f ca="1">OFFSET(A1_基礎情報集計,3,5)</f>
        <v/>
      </c>
      <c r="E2" s="1585"/>
      <c r="F2" s="750"/>
      <c r="H2" s="1586" t="s">
        <v>476</v>
      </c>
      <c r="I2" s="1587"/>
      <c r="J2" s="1587"/>
      <c r="K2" s="1588"/>
      <c r="L2" s="1589" t="s">
        <v>1274</v>
      </c>
      <c r="M2" s="1587"/>
      <c r="N2" s="1587"/>
      <c r="O2" s="1587"/>
      <c r="P2" s="1586" t="s">
        <v>773</v>
      </c>
      <c r="Q2" s="1587"/>
      <c r="R2" s="1587"/>
      <c r="S2" s="1588"/>
      <c r="T2" s="1586" t="s">
        <v>774</v>
      </c>
      <c r="U2" s="1587"/>
      <c r="V2" s="1587"/>
      <c r="W2" s="1587"/>
      <c r="X2" s="755"/>
      <c r="Y2" s="755"/>
      <c r="Z2" s="755"/>
      <c r="AA2" s="755"/>
      <c r="AB2" s="755"/>
      <c r="AC2" s="756"/>
      <c r="AD2" s="756"/>
      <c r="AE2" s="756"/>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757"/>
      <c r="BK2" s="757"/>
      <c r="BL2" s="757"/>
      <c r="BM2" s="757"/>
      <c r="BN2" s="757"/>
      <c r="BO2" s="758"/>
    </row>
    <row r="3" spans="1:68" ht="20.100000000000001" customHeight="1">
      <c r="C3" s="754" t="s">
        <v>775</v>
      </c>
      <c r="D3" s="1584" t="str">
        <f ca="1">OFFSET(A1_基礎情報集計,13,5)</f>
        <v/>
      </c>
      <c r="E3" s="1585"/>
      <c r="H3" s="759"/>
      <c r="I3" s="760"/>
      <c r="J3" s="761"/>
      <c r="K3" s="762"/>
      <c r="L3" s="763"/>
      <c r="M3" s="764"/>
      <c r="N3" s="764"/>
      <c r="O3" s="765"/>
      <c r="P3" s="759"/>
      <c r="Q3" s="760"/>
      <c r="R3" s="761"/>
      <c r="S3" s="762"/>
      <c r="T3" s="1590"/>
      <c r="U3" s="1591"/>
      <c r="V3" s="1591"/>
      <c r="W3" s="1592"/>
      <c r="X3" s="1590" t="s">
        <v>776</v>
      </c>
      <c r="Y3" s="1591"/>
      <c r="Z3" s="1591"/>
      <c r="AA3" s="1592"/>
      <c r="AB3" s="1582" t="s">
        <v>777</v>
      </c>
      <c r="AC3" s="1583"/>
      <c r="AD3" s="1583"/>
      <c r="AE3" s="766">
        <v>1</v>
      </c>
      <c r="AF3" s="1582" t="s">
        <v>777</v>
      </c>
      <c r="AG3" s="1583"/>
      <c r="AH3" s="1583"/>
      <c r="AI3" s="766">
        <v>2</v>
      </c>
      <c r="AJ3" s="1582" t="s">
        <v>777</v>
      </c>
      <c r="AK3" s="1583"/>
      <c r="AL3" s="1583"/>
      <c r="AM3" s="766">
        <v>3</v>
      </c>
      <c r="AN3" s="1582" t="s">
        <v>777</v>
      </c>
      <c r="AO3" s="1583"/>
      <c r="AP3" s="1583"/>
      <c r="AQ3" s="766">
        <v>4</v>
      </c>
      <c r="AR3" s="1582" t="s">
        <v>777</v>
      </c>
      <c r="AS3" s="1583"/>
      <c r="AT3" s="1583"/>
      <c r="AU3" s="766">
        <v>5</v>
      </c>
      <c r="AV3" s="1582" t="s">
        <v>777</v>
      </c>
      <c r="AW3" s="1583"/>
      <c r="AX3" s="1583"/>
      <c r="AY3" s="766">
        <v>6</v>
      </c>
      <c r="AZ3" s="1582" t="s">
        <v>777</v>
      </c>
      <c r="BA3" s="1583"/>
      <c r="BB3" s="1583"/>
      <c r="BC3" s="766">
        <v>7</v>
      </c>
      <c r="BD3" s="1582" t="s">
        <v>777</v>
      </c>
      <c r="BE3" s="1583"/>
      <c r="BF3" s="1583"/>
      <c r="BG3" s="766">
        <v>8</v>
      </c>
      <c r="BH3" s="1582" t="s">
        <v>777</v>
      </c>
      <c r="BI3" s="1583"/>
      <c r="BJ3" s="1583"/>
      <c r="BK3" s="766">
        <v>9</v>
      </c>
      <c r="BL3" s="1582" t="s">
        <v>777</v>
      </c>
      <c r="BM3" s="1583"/>
      <c r="BN3" s="1583"/>
      <c r="BO3" s="766">
        <v>10</v>
      </c>
    </row>
    <row r="4" spans="1:68" ht="20.100000000000001" customHeight="1">
      <c r="C4" s="754" t="s">
        <v>778</v>
      </c>
      <c r="D4" s="1601" t="str">
        <f ca="1">OFFSET(A1_基礎情報集計,15,5)</f>
        <v/>
      </c>
      <c r="E4" s="1602"/>
      <c r="F4" s="754"/>
      <c r="H4" s="759"/>
      <c r="I4" s="760"/>
      <c r="J4" s="761"/>
      <c r="K4" s="762"/>
      <c r="L4" s="1603"/>
      <c r="M4" s="1604"/>
      <c r="N4" s="1604"/>
      <c r="O4" s="1605"/>
      <c r="P4" s="759"/>
      <c r="Q4" s="760"/>
      <c r="R4" s="761"/>
      <c r="S4" s="762"/>
      <c r="T4" s="1603"/>
      <c r="U4" s="1604"/>
      <c r="V4" s="1604"/>
      <c r="W4" s="1605"/>
      <c r="X4" s="1590"/>
      <c r="Y4" s="1591"/>
      <c r="Z4" s="1591"/>
      <c r="AA4" s="1592"/>
      <c r="AB4" s="767" t="s">
        <v>779</v>
      </c>
      <c r="AC4" s="1598" t="str">
        <f ca="1">OFFSET(A1_原単位2027,52,AE3+2)</f>
        <v/>
      </c>
      <c r="AD4" s="1599"/>
      <c r="AE4" s="1600"/>
      <c r="AF4" s="767" t="s">
        <v>779</v>
      </c>
      <c r="AG4" s="1598" t="str">
        <f ca="1">OFFSET(A1_原単位2027,52,AI3+2)</f>
        <v/>
      </c>
      <c r="AH4" s="1599"/>
      <c r="AI4" s="1600"/>
      <c r="AJ4" s="767" t="s">
        <v>779</v>
      </c>
      <c r="AK4" s="1598" t="str">
        <f ca="1">OFFSET(A1_原単位2027,52,AM3+2)</f>
        <v/>
      </c>
      <c r="AL4" s="1599"/>
      <c r="AM4" s="1600"/>
      <c r="AN4" s="767" t="s">
        <v>779</v>
      </c>
      <c r="AO4" s="1598" t="str">
        <f ca="1">OFFSET(A1_原単位2027,52,AQ3+2)</f>
        <v/>
      </c>
      <c r="AP4" s="1599"/>
      <c r="AQ4" s="1600"/>
      <c r="AR4" s="767" t="s">
        <v>779</v>
      </c>
      <c r="AS4" s="1598" t="str">
        <f ca="1">OFFSET(A1_原単位2027,52,AU3+2)</f>
        <v/>
      </c>
      <c r="AT4" s="1599"/>
      <c r="AU4" s="1600"/>
      <c r="AV4" s="767" t="s">
        <v>779</v>
      </c>
      <c r="AW4" s="1598" t="str">
        <f ca="1">OFFSET(A1_原単位2027,52,AY3+2)</f>
        <v/>
      </c>
      <c r="AX4" s="1599"/>
      <c r="AY4" s="1600"/>
      <c r="AZ4" s="767" t="s">
        <v>779</v>
      </c>
      <c r="BA4" s="1598" t="str">
        <f ca="1">OFFSET(A1_原単位2027,52,BC3+2)</f>
        <v/>
      </c>
      <c r="BB4" s="1599"/>
      <c r="BC4" s="1600"/>
      <c r="BD4" s="767" t="s">
        <v>779</v>
      </c>
      <c r="BE4" s="1598" t="str">
        <f ca="1">OFFSET(A1_原単位2027,52,BG3+2)</f>
        <v/>
      </c>
      <c r="BF4" s="1599"/>
      <c r="BG4" s="1600"/>
      <c r="BH4" s="767" t="s">
        <v>779</v>
      </c>
      <c r="BI4" s="1598" t="str">
        <f ca="1">OFFSET(A1_原単位2027,52,BK3+2)</f>
        <v/>
      </c>
      <c r="BJ4" s="1599"/>
      <c r="BK4" s="1600"/>
      <c r="BL4" s="767" t="s">
        <v>779</v>
      </c>
      <c r="BM4" s="1598" t="str">
        <f ca="1">OFFSET(A1_原単位2027,52,BO3+2)</f>
        <v/>
      </c>
      <c r="BN4" s="1599"/>
      <c r="BO4" s="1600"/>
    </row>
    <row r="5" spans="1:68" ht="20.100000000000001" customHeight="1">
      <c r="C5" s="754" t="s">
        <v>1532</v>
      </c>
      <c r="D5" s="768">
        <f ca="1">OFFSET(A1_基礎情報集計,7,5)-1</f>
        <v>2024</v>
      </c>
      <c r="E5" s="768"/>
      <c r="F5" s="754"/>
      <c r="H5" s="759"/>
      <c r="I5" s="760"/>
      <c r="J5" s="761"/>
      <c r="K5" s="762"/>
      <c r="L5" s="769"/>
      <c r="M5" s="770"/>
      <c r="N5" s="770"/>
      <c r="O5" s="771"/>
      <c r="P5" s="759"/>
      <c r="Q5" s="760"/>
      <c r="R5" s="761"/>
      <c r="S5" s="762"/>
      <c r="T5" s="1606"/>
      <c r="U5" s="1607"/>
      <c r="V5" s="1607"/>
      <c r="W5" s="1608"/>
      <c r="X5" s="1609"/>
      <c r="Y5" s="1610"/>
      <c r="Z5" s="1610"/>
      <c r="AA5" s="1611"/>
      <c r="AB5" s="772" t="s">
        <v>446</v>
      </c>
      <c r="AC5" s="773" t="str">
        <f ca="1">OFFSET(A1_原単位2027,53,AE3+2)</f>
        <v/>
      </c>
      <c r="AD5" s="774"/>
      <c r="AE5" s="775"/>
      <c r="AF5" s="772" t="s">
        <v>446</v>
      </c>
      <c r="AG5" s="773" t="str">
        <f ca="1">OFFSET(A1_原単位2027,53,AI3+2)</f>
        <v/>
      </c>
      <c r="AH5" s="774"/>
      <c r="AI5" s="775"/>
      <c r="AJ5" s="772" t="s">
        <v>446</v>
      </c>
      <c r="AK5" s="773" t="str">
        <f ca="1">OFFSET(A1_原単位2027,53,AM3+2)</f>
        <v/>
      </c>
      <c r="AL5" s="774"/>
      <c r="AM5" s="775"/>
      <c r="AN5" s="772" t="s">
        <v>446</v>
      </c>
      <c r="AO5" s="773" t="str">
        <f ca="1">OFFSET(A1_原単位2027,53,AQ3+2)</f>
        <v/>
      </c>
      <c r="AP5" s="774"/>
      <c r="AQ5" s="775"/>
      <c r="AR5" s="772" t="s">
        <v>446</v>
      </c>
      <c r="AS5" s="773" t="str">
        <f ca="1">OFFSET(A1_原単位2027,53,AU3+2)</f>
        <v/>
      </c>
      <c r="AT5" s="774"/>
      <c r="AU5" s="775"/>
      <c r="AV5" s="772" t="s">
        <v>446</v>
      </c>
      <c r="AW5" s="773" t="str">
        <f ca="1">OFFSET(A1_原単位2027,53,AY3+2)</f>
        <v/>
      </c>
      <c r="AX5" s="774"/>
      <c r="AY5" s="775"/>
      <c r="AZ5" s="772" t="s">
        <v>446</v>
      </c>
      <c r="BA5" s="773" t="str">
        <f ca="1">OFFSET(A1_原単位2027,53,BC3+2)</f>
        <v/>
      </c>
      <c r="BB5" s="774"/>
      <c r="BC5" s="775"/>
      <c r="BD5" s="772" t="s">
        <v>446</v>
      </c>
      <c r="BE5" s="773" t="str">
        <f ca="1">OFFSET(A1_原単位2027,53,BG3+2)</f>
        <v/>
      </c>
      <c r="BF5" s="774"/>
      <c r="BG5" s="775"/>
      <c r="BH5" s="772" t="s">
        <v>446</v>
      </c>
      <c r="BI5" s="773" t="str">
        <f ca="1">OFFSET(A1_原単位2027,53,BK3+2)</f>
        <v/>
      </c>
      <c r="BJ5" s="774"/>
      <c r="BK5" s="775"/>
      <c r="BL5" s="772" t="s">
        <v>446</v>
      </c>
      <c r="BM5" s="773" t="str">
        <f ca="1">OFFSET(A1_原単位2027,53,BO3+2)</f>
        <v/>
      </c>
      <c r="BN5" s="774"/>
      <c r="BO5" s="775"/>
    </row>
    <row r="6" spans="1:68" ht="20.100000000000001" customHeight="1">
      <c r="D6" s="776"/>
      <c r="G6" s="777" t="s">
        <v>344</v>
      </c>
      <c r="H6" s="778">
        <v>2024</v>
      </c>
      <c r="I6" s="778">
        <v>2025</v>
      </c>
      <c r="J6" s="778">
        <v>2026</v>
      </c>
      <c r="K6" s="778">
        <v>2027</v>
      </c>
      <c r="L6" s="778">
        <v>2024</v>
      </c>
      <c r="M6" s="778">
        <v>2025</v>
      </c>
      <c r="N6" s="778">
        <v>2026</v>
      </c>
      <c r="O6" s="778">
        <v>2027</v>
      </c>
      <c r="P6" s="778">
        <v>2024</v>
      </c>
      <c r="Q6" s="778">
        <v>2025</v>
      </c>
      <c r="R6" s="778">
        <v>2026</v>
      </c>
      <c r="S6" s="778">
        <v>2027</v>
      </c>
      <c r="T6" s="778">
        <v>2024</v>
      </c>
      <c r="U6" s="778">
        <v>2025</v>
      </c>
      <c r="V6" s="778">
        <v>2026</v>
      </c>
      <c r="W6" s="778">
        <v>2027</v>
      </c>
      <c r="X6" s="778">
        <v>2024</v>
      </c>
      <c r="Y6" s="778">
        <v>2025</v>
      </c>
      <c r="Z6" s="778">
        <v>2026</v>
      </c>
      <c r="AA6" s="778">
        <v>2027</v>
      </c>
      <c r="AB6" s="778">
        <v>2024</v>
      </c>
      <c r="AC6" s="778">
        <v>2025</v>
      </c>
      <c r="AD6" s="778">
        <v>2026</v>
      </c>
      <c r="AE6" s="778">
        <v>2027</v>
      </c>
      <c r="AF6" s="778">
        <v>2024</v>
      </c>
      <c r="AG6" s="778">
        <v>2025</v>
      </c>
      <c r="AH6" s="778">
        <v>2026</v>
      </c>
      <c r="AI6" s="778">
        <v>2027</v>
      </c>
      <c r="AJ6" s="778">
        <v>2024</v>
      </c>
      <c r="AK6" s="778">
        <v>2025</v>
      </c>
      <c r="AL6" s="778">
        <v>2026</v>
      </c>
      <c r="AM6" s="778">
        <v>2027</v>
      </c>
      <c r="AN6" s="778">
        <v>2024</v>
      </c>
      <c r="AO6" s="778">
        <v>2025</v>
      </c>
      <c r="AP6" s="778">
        <v>2026</v>
      </c>
      <c r="AQ6" s="778">
        <v>2027</v>
      </c>
      <c r="AR6" s="778">
        <v>2024</v>
      </c>
      <c r="AS6" s="778">
        <v>2025</v>
      </c>
      <c r="AT6" s="778">
        <v>2026</v>
      </c>
      <c r="AU6" s="778">
        <v>2027</v>
      </c>
      <c r="AV6" s="778">
        <v>2024</v>
      </c>
      <c r="AW6" s="778">
        <v>2025</v>
      </c>
      <c r="AX6" s="778">
        <v>2026</v>
      </c>
      <c r="AY6" s="778">
        <v>2027</v>
      </c>
      <c r="AZ6" s="778">
        <v>2024</v>
      </c>
      <c r="BA6" s="778">
        <v>2025</v>
      </c>
      <c r="BB6" s="778">
        <v>2026</v>
      </c>
      <c r="BC6" s="778">
        <v>2027</v>
      </c>
      <c r="BD6" s="778">
        <v>2024</v>
      </c>
      <c r="BE6" s="778">
        <v>2025</v>
      </c>
      <c r="BF6" s="778">
        <v>2026</v>
      </c>
      <c r="BG6" s="778">
        <v>2027</v>
      </c>
      <c r="BH6" s="778">
        <v>2024</v>
      </c>
      <c r="BI6" s="778">
        <v>2025</v>
      </c>
      <c r="BJ6" s="778">
        <v>2026</v>
      </c>
      <c r="BK6" s="778">
        <v>2027</v>
      </c>
      <c r="BL6" s="778">
        <v>2024</v>
      </c>
      <c r="BM6" s="778">
        <v>2025</v>
      </c>
      <c r="BN6" s="778">
        <v>2026</v>
      </c>
      <c r="BO6" s="778">
        <v>2027</v>
      </c>
      <c r="BP6" s="779"/>
    </row>
    <row r="7" spans="1:68" ht="20.100000000000001" customHeight="1">
      <c r="A7" s="780">
        <v>1</v>
      </c>
      <c r="B7" s="780" t="s">
        <v>780</v>
      </c>
      <c r="C7" s="781"/>
      <c r="D7" s="781"/>
      <c r="E7" s="781"/>
      <c r="F7" s="781"/>
      <c r="G7" s="782"/>
      <c r="H7" s="782"/>
      <c r="I7" s="782"/>
      <c r="J7" s="782"/>
      <c r="K7" s="782"/>
      <c r="L7" s="782"/>
      <c r="M7" s="782"/>
      <c r="N7" s="782"/>
      <c r="O7" s="782"/>
      <c r="P7" s="782"/>
      <c r="Q7" s="782"/>
      <c r="R7" s="782"/>
      <c r="S7" s="782"/>
      <c r="T7" s="782"/>
      <c r="U7" s="782"/>
      <c r="V7" s="782"/>
      <c r="W7" s="782"/>
      <c r="X7" s="782"/>
      <c r="Y7" s="782"/>
      <c r="Z7" s="782"/>
      <c r="AA7" s="782"/>
      <c r="AB7" s="782"/>
      <c r="AC7" s="782"/>
      <c r="AD7" s="782"/>
      <c r="AE7" s="782"/>
      <c r="AF7" s="782"/>
      <c r="AG7" s="782"/>
      <c r="AH7" s="782"/>
      <c r="AI7" s="782"/>
      <c r="AJ7" s="782"/>
      <c r="AK7" s="782"/>
      <c r="AL7" s="782"/>
      <c r="AM7" s="782"/>
      <c r="AN7" s="782"/>
      <c r="AO7" s="782"/>
      <c r="AP7" s="782"/>
      <c r="AQ7" s="782"/>
      <c r="AR7" s="782"/>
      <c r="AS7" s="782"/>
      <c r="AT7" s="782"/>
      <c r="AU7" s="782"/>
      <c r="AV7" s="782"/>
      <c r="AW7" s="782"/>
      <c r="AX7" s="782"/>
      <c r="AY7" s="782"/>
      <c r="AZ7" s="782"/>
      <c r="BA7" s="782"/>
      <c r="BB7" s="782"/>
      <c r="BC7" s="782"/>
      <c r="BD7" s="782"/>
      <c r="BE7" s="782"/>
      <c r="BF7" s="782"/>
      <c r="BG7" s="782"/>
      <c r="BH7" s="782"/>
      <c r="BI7" s="782"/>
      <c r="BJ7" s="782"/>
      <c r="BK7" s="782"/>
      <c r="BL7" s="782"/>
      <c r="BM7" s="782"/>
      <c r="BN7" s="782"/>
      <c r="BO7" s="782"/>
    </row>
    <row r="8" spans="1:68" ht="20.100000000000001" customHeight="1">
      <c r="A8" s="783"/>
      <c r="B8" s="780">
        <v>1</v>
      </c>
      <c r="C8" s="780" t="s">
        <v>781</v>
      </c>
      <c r="D8" s="781"/>
      <c r="E8" s="781"/>
      <c r="F8" s="781"/>
      <c r="G8" s="782"/>
      <c r="H8" s="782"/>
      <c r="I8" s="782"/>
      <c r="J8" s="782"/>
      <c r="K8" s="782"/>
      <c r="L8" s="782"/>
      <c r="M8" s="782"/>
      <c r="N8" s="782"/>
      <c r="O8" s="782"/>
      <c r="P8" s="782"/>
      <c r="Q8" s="782"/>
      <c r="R8" s="782"/>
      <c r="S8" s="782"/>
      <c r="T8" s="782"/>
      <c r="U8" s="782"/>
      <c r="V8" s="782"/>
      <c r="W8" s="782"/>
      <c r="X8" s="782"/>
      <c r="Y8" s="782"/>
      <c r="Z8" s="782"/>
      <c r="AA8" s="782"/>
      <c r="AB8" s="782"/>
      <c r="AC8" s="782"/>
      <c r="AD8" s="782"/>
      <c r="AE8" s="782"/>
      <c r="AF8" s="782"/>
      <c r="AG8" s="782"/>
      <c r="AH8" s="782"/>
      <c r="AI8" s="782"/>
      <c r="AJ8" s="782"/>
      <c r="AK8" s="782"/>
      <c r="AL8" s="782"/>
      <c r="AM8" s="782"/>
      <c r="AN8" s="782"/>
      <c r="AO8" s="782"/>
      <c r="AP8" s="782"/>
      <c r="AQ8" s="782"/>
      <c r="AR8" s="782"/>
      <c r="AS8" s="782"/>
      <c r="AT8" s="782"/>
      <c r="AU8" s="782"/>
      <c r="AV8" s="782"/>
      <c r="AW8" s="782"/>
      <c r="AX8" s="782"/>
      <c r="AY8" s="782"/>
      <c r="AZ8" s="782"/>
      <c r="BA8" s="782"/>
      <c r="BB8" s="782"/>
      <c r="BC8" s="782"/>
      <c r="BD8" s="782"/>
      <c r="BE8" s="782"/>
      <c r="BF8" s="782"/>
      <c r="BG8" s="782"/>
      <c r="BH8" s="782"/>
      <c r="BI8" s="782"/>
      <c r="BJ8" s="782"/>
      <c r="BK8" s="782"/>
      <c r="BL8" s="782"/>
      <c r="BM8" s="782"/>
      <c r="BN8" s="782"/>
      <c r="BO8" s="782"/>
    </row>
    <row r="9" spans="1:68" ht="20.100000000000001" customHeight="1">
      <c r="A9" s="784">
        <v>8</v>
      </c>
      <c r="B9" s="1593" t="s">
        <v>420</v>
      </c>
      <c r="C9" s="1596" t="s">
        <v>345</v>
      </c>
      <c r="D9" s="785" t="s">
        <v>346</v>
      </c>
      <c r="E9" s="785"/>
      <c r="F9" s="786"/>
      <c r="G9" s="787" t="s">
        <v>453</v>
      </c>
      <c r="H9" s="788">
        <f t="shared" ref="H9:H40" ca="1" si="0">IFERROR(OFFSET(貼付け_2024実績,$A9,5),"")</f>
        <v>38.299999999999997</v>
      </c>
      <c r="I9" s="788">
        <f t="shared" ref="I9:I40" ca="1" si="1">IFERROR(OFFSET(貼付け_2025実績,$A9,5),"")</f>
        <v>38.299999999999997</v>
      </c>
      <c r="J9" s="788">
        <f t="shared" ref="J9:J40" ca="1" si="2">IFERROR(OFFSET(貼付け_2026実績,$A9,5),"")</f>
        <v>38.299999999999997</v>
      </c>
      <c r="K9" s="788">
        <f t="shared" ref="K9:K40" ca="1" si="3">IFERROR(OFFSET(貼付け_2027実績,$A9,5),"")</f>
        <v>38.299999999999997</v>
      </c>
      <c r="L9" s="789">
        <f ca="1">P9+T9</f>
        <v>0</v>
      </c>
      <c r="M9" s="789">
        <f t="shared" ref="M9:O24" ca="1" si="4">Q9+U9</f>
        <v>0</v>
      </c>
      <c r="N9" s="789">
        <f ca="1">R9+V9</f>
        <v>0</v>
      </c>
      <c r="O9" s="789">
        <f t="shared" ca="1" si="4"/>
        <v>0</v>
      </c>
      <c r="P9" s="789">
        <f ca="1">SUM(SUMIFS(OFFSET(貼付け_2024実績,$A9,9,1,199),OFFSET(貼付け_2024実績,4,9,1,199),{"横浜*","川崎*"}))</f>
        <v>0</v>
      </c>
      <c r="Q9" s="789">
        <f ca="1">SUM(SUMIFS(OFFSET(貼付け_2025実績,$A9,9,1,199),OFFSET(貼付け_2025実績,4,9,1,199),{"横浜*","川崎*"}))</f>
        <v>0</v>
      </c>
      <c r="R9" s="789">
        <f ca="1">SUM(SUMIFS(OFFSET(貼付け_2026実績,$A9,9,1,199),OFFSET(貼付け_2026実績,4,9,1,199),{"横浜*","川崎*"}))</f>
        <v>0</v>
      </c>
      <c r="S9" s="789">
        <f ca="1">SUM(SUMIFS(OFFSET(貼付け_2027実績,$A9,9,1,199),OFFSET(貼付け_2027実績,4,9,1,199),{"横浜*","川崎*"}))</f>
        <v>0</v>
      </c>
      <c r="T9" s="789">
        <f ca="1">SUM(X9,AB9,AF9,AJ9,AN9,AR9,AV9,AZ9,BD9,BH9,BL9)</f>
        <v>0</v>
      </c>
      <c r="U9" s="789">
        <f t="shared" ref="U9:W24" ca="1" si="5">SUM(Y9,AC9,AG9,AK9,AO9,AS9,AW9,BA9,BE9,BI9,BM9)</f>
        <v>0</v>
      </c>
      <c r="V9" s="789">
        <f t="shared" ca="1" si="5"/>
        <v>0</v>
      </c>
      <c r="W9" s="789">
        <f t="shared" ca="1" si="5"/>
        <v>0</v>
      </c>
      <c r="X9" s="789">
        <f t="shared" ref="X9:X40" ca="1" si="6">SUMIFS(OFFSET(貼付け_2024実績,$A9,9,1,199),OFFSET(貼付け_2024実績,4,9,1,199),"県域*")</f>
        <v>0</v>
      </c>
      <c r="Y9" s="789">
        <f t="shared" ref="Y9:Y40" ca="1" si="7">SUMIFS(OFFSET(貼付け_2025実績,$A9,9,1,199),OFFSET(貼付け_2025実績,4,9,1,199),"県域*")</f>
        <v>0</v>
      </c>
      <c r="Z9" s="789">
        <f t="shared" ref="Z9:Z40" ca="1" si="8">SUMIFS(OFFSET(貼付け_2026実績,$A9,9,1,199),OFFSET(貼付け_2026実績,4,9,1,199),"県域*")</f>
        <v>0</v>
      </c>
      <c r="AA9" s="789">
        <f t="shared" ref="AA9:AA40" ca="1" si="9">SUMIFS(OFFSET(貼付け_2027実績,$A9,9,1,199),OFFSET(貼付け_2027実績,4,9,1,199),"県域*")</f>
        <v>0</v>
      </c>
      <c r="AB9" s="789" t="str">
        <f ca="1">IFERROR(OFFSET(貼付け_2024実績,$A9,AB$1),"")</f>
        <v/>
      </c>
      <c r="AC9" s="789" t="str">
        <f t="shared" ref="AC9:AC40" ca="1" si="10">IFERROR(OFFSET(貼付け_2025実績,$A9,AC$1),"")</f>
        <v/>
      </c>
      <c r="AD9" s="789" t="str">
        <f t="shared" ref="AD9:AD40" ca="1" si="11">IFERROR(OFFSET(貼付け_2026実績,$A9,AD$1),"")</f>
        <v/>
      </c>
      <c r="AE9" s="789" t="str">
        <f t="shared" ref="AE9:AE40" ca="1" si="12">IFERROR(OFFSET(貼付け_2027実績,$A9,AE$1),"")</f>
        <v/>
      </c>
      <c r="AF9" s="789" t="str">
        <f t="shared" ref="AF9:AF40" ca="1" si="13">IFERROR(OFFSET(貼付け_2024実績,$A9,AF$1),"")</f>
        <v/>
      </c>
      <c r="AG9" s="789" t="str">
        <f t="shared" ref="AG9:AG40" ca="1" si="14">IFERROR(OFFSET(貼付け_2025実績,$A9,AG$1),"")</f>
        <v/>
      </c>
      <c r="AH9" s="789" t="str">
        <f t="shared" ref="AH9:AH40" ca="1" si="15">IFERROR(OFFSET(貼付け_2026実績,$A9,AH$1),"")</f>
        <v/>
      </c>
      <c r="AI9" s="789" t="str">
        <f t="shared" ref="AI9:AI40" ca="1" si="16">IFERROR(OFFSET(貼付け_2027実績,$A9,AI$1),"")</f>
        <v/>
      </c>
      <c r="AJ9" s="789" t="str">
        <f t="shared" ref="AJ9:AJ40" ca="1" si="17">IFERROR(OFFSET(貼付け_2024実績,$A9,AJ$1),"")</f>
        <v/>
      </c>
      <c r="AK9" s="789" t="str">
        <f t="shared" ref="AK9:AK40" ca="1" si="18">IFERROR(OFFSET(貼付け_2025実績,$A9,AK$1),"")</f>
        <v/>
      </c>
      <c r="AL9" s="789" t="str">
        <f t="shared" ref="AL9:AL40" ca="1" si="19">IFERROR(OFFSET(貼付け_2026実績,$A9,AL$1),"")</f>
        <v/>
      </c>
      <c r="AM9" s="789" t="str">
        <f t="shared" ref="AM9:AM40" ca="1" si="20">IFERROR(OFFSET(貼付け_2027実績,$A9,AM$1),"")</f>
        <v/>
      </c>
      <c r="AN9" s="789" t="str">
        <f t="shared" ref="AN9:AN40" ca="1" si="21">IFERROR(OFFSET(貼付け_2024実績,$A9,AN$1),"")</f>
        <v/>
      </c>
      <c r="AO9" s="789" t="str">
        <f t="shared" ref="AO9:AO40" ca="1" si="22">IFERROR(OFFSET(貼付け_2025実績,$A9,AO$1),"")</f>
        <v/>
      </c>
      <c r="AP9" s="789" t="str">
        <f t="shared" ref="AP9:AP40" ca="1" si="23">IFERROR(OFFSET(貼付け_2026実績,$A9,AP$1),"")</f>
        <v/>
      </c>
      <c r="AQ9" s="789" t="str">
        <f t="shared" ref="AQ9:AQ40" ca="1" si="24">IFERROR(OFFSET(貼付け_2027実績,$A9,AQ$1),"")</f>
        <v/>
      </c>
      <c r="AR9" s="789" t="str">
        <f t="shared" ref="AR9:AR40" ca="1" si="25">IFERROR(OFFSET(貼付け_2024実績,$A9,AR$1),"")</f>
        <v/>
      </c>
      <c r="AS9" s="789" t="str">
        <f t="shared" ref="AS9:AS40" ca="1" si="26">IFERROR(OFFSET(貼付け_2025実績,$A9,AS$1),"")</f>
        <v/>
      </c>
      <c r="AT9" s="789" t="str">
        <f t="shared" ref="AT9:AT40" ca="1" si="27">IFERROR(OFFSET(貼付け_2026実績,$A9,AT$1),"")</f>
        <v/>
      </c>
      <c r="AU9" s="789" t="str">
        <f t="shared" ref="AU9:AU40" ca="1" si="28">IFERROR(OFFSET(貼付け_2027実績,$A9,AU$1),"")</f>
        <v/>
      </c>
      <c r="AV9" s="789" t="str">
        <f t="shared" ref="AV9:AV40" ca="1" si="29">IFERROR(OFFSET(貼付け_2024実績,$A9,AV$1),"")</f>
        <v/>
      </c>
      <c r="AW9" s="789" t="str">
        <f t="shared" ref="AW9:AW40" ca="1" si="30">IFERROR(OFFSET(貼付け_2025実績,$A9,AW$1),"")</f>
        <v/>
      </c>
      <c r="AX9" s="789" t="str">
        <f t="shared" ref="AX9:AX40" ca="1" si="31">IFERROR(OFFSET(貼付け_2026実績,$A9,AX$1),"")</f>
        <v/>
      </c>
      <c r="AY9" s="789" t="str">
        <f t="shared" ref="AY9:AY40" ca="1" si="32">IFERROR(OFFSET(貼付け_2027実績,$A9,AY$1),"")</f>
        <v/>
      </c>
      <c r="AZ9" s="789" t="str">
        <f t="shared" ref="AZ9:AZ40" ca="1" si="33">IFERROR(OFFSET(貼付け_2024実績,$A9,AZ$1),"")</f>
        <v/>
      </c>
      <c r="BA9" s="789" t="str">
        <f t="shared" ref="BA9:BA40" ca="1" si="34">IFERROR(OFFSET(貼付け_2025実績,$A9,BA$1),"")</f>
        <v/>
      </c>
      <c r="BB9" s="789" t="str">
        <f t="shared" ref="BB9:BB40" ca="1" si="35">IFERROR(OFFSET(貼付け_2026実績,$A9,BB$1),"")</f>
        <v/>
      </c>
      <c r="BC9" s="789" t="str">
        <f t="shared" ref="BC9:BC40" ca="1" si="36">IFERROR(OFFSET(貼付け_2027実績,$A9,BC$1),"")</f>
        <v/>
      </c>
      <c r="BD9" s="789" t="str">
        <f t="shared" ref="BD9:BD40" ca="1" si="37">IFERROR(OFFSET(貼付け_2024実績,$A9,BD$1),"")</f>
        <v/>
      </c>
      <c r="BE9" s="789" t="str">
        <f t="shared" ref="BE9:BE40" ca="1" si="38">IFERROR(OFFSET(貼付け_2025実績,$A9,BE$1),"")</f>
        <v/>
      </c>
      <c r="BF9" s="789" t="str">
        <f t="shared" ref="BF9:BF40" ca="1" si="39">IFERROR(OFFSET(貼付け_2026実績,$A9,BF$1),"")</f>
        <v/>
      </c>
      <c r="BG9" s="789" t="str">
        <f t="shared" ref="BG9:BG40" ca="1" si="40">IFERROR(OFFSET(貼付け_2027実績,$A9,BG$1),"")</f>
        <v/>
      </c>
      <c r="BH9" s="789" t="str">
        <f t="shared" ref="BH9:BH40" ca="1" si="41">IFERROR(OFFSET(貼付け_2024実績,$A9,BH$1),"")</f>
        <v/>
      </c>
      <c r="BI9" s="789" t="str">
        <f t="shared" ref="BI9:BI40" ca="1" si="42">IFERROR(OFFSET(貼付け_2025実績,$A9,BI$1),"")</f>
        <v/>
      </c>
      <c r="BJ9" s="789" t="str">
        <f t="shared" ref="BJ9:BJ40" ca="1" si="43">IFERROR(OFFSET(貼付け_2026実績,$A9,BJ$1),"")</f>
        <v/>
      </c>
      <c r="BK9" s="789" t="str">
        <f t="shared" ref="BK9:BK40" ca="1" si="44">IFERROR(OFFSET(貼付け_2027実績,$A9,BK$1),"")</f>
        <v/>
      </c>
      <c r="BL9" s="789" t="str">
        <f t="shared" ref="BL9:BL40" ca="1" si="45">IFERROR(OFFSET(貼付け_2024実績,$A9,BL$1),"")</f>
        <v/>
      </c>
      <c r="BM9" s="789" t="str">
        <f t="shared" ref="BM9:BM40" ca="1" si="46">IFERROR(OFFSET(貼付け_2025実績,$A9,BM$1),"")</f>
        <v/>
      </c>
      <c r="BN9" s="789" t="str">
        <f t="shared" ref="BN9:BN40" ca="1" si="47">IFERROR(OFFSET(貼付け_2026実績,$A9,BN$1),"")</f>
        <v/>
      </c>
      <c r="BO9" s="789" t="str">
        <f t="shared" ref="BO9:BO40" ca="1" si="48">IFERROR(OFFSET(貼付け_2027実績,$A9,BO$1),"")</f>
        <v/>
      </c>
    </row>
    <row r="10" spans="1:68" ht="20.100000000000001" customHeight="1">
      <c r="A10" s="784">
        <v>9</v>
      </c>
      <c r="B10" s="1594"/>
      <c r="C10" s="1596"/>
      <c r="D10" s="785" t="s">
        <v>349</v>
      </c>
      <c r="E10" s="785"/>
      <c r="F10" s="786"/>
      <c r="G10" s="787" t="s">
        <v>453</v>
      </c>
      <c r="H10" s="788">
        <f t="shared" ca="1" si="0"/>
        <v>34.799999999999997</v>
      </c>
      <c r="I10" s="788">
        <f t="shared" ca="1" si="1"/>
        <v>34.799999999999997</v>
      </c>
      <c r="J10" s="788">
        <f t="shared" ca="1" si="2"/>
        <v>34.799999999999997</v>
      </c>
      <c r="K10" s="788">
        <f t="shared" ca="1" si="3"/>
        <v>34.799999999999997</v>
      </c>
      <c r="L10" s="789">
        <f t="shared" ref="L10:O75" ca="1" si="49">P10+T10</f>
        <v>0</v>
      </c>
      <c r="M10" s="789">
        <f t="shared" ca="1" si="4"/>
        <v>0</v>
      </c>
      <c r="N10" s="789">
        <f t="shared" ca="1" si="4"/>
        <v>0</v>
      </c>
      <c r="O10" s="789">
        <f t="shared" ca="1" si="4"/>
        <v>0</v>
      </c>
      <c r="P10" s="789">
        <f ca="1">SUM(SUMIFS(OFFSET(貼付け_2024実績,$A10,9,1,199),OFFSET(貼付け_2024実績,4,9,1,199),{"横浜*","川崎*"}))</f>
        <v>0</v>
      </c>
      <c r="Q10" s="789">
        <f ca="1">SUM(SUMIFS(OFFSET(貼付け_2025実績,$A10,9,1,199),OFFSET(貼付け_2025実績,4,9,1,199),{"横浜*","川崎*"}))</f>
        <v>0</v>
      </c>
      <c r="R10" s="789">
        <f ca="1">SUM(SUMIFS(OFFSET(貼付け_2026実績,$A10,9,1,199),OFFSET(貼付け_2026実績,4,9,1,199),{"横浜*","川崎*"}))</f>
        <v>0</v>
      </c>
      <c r="S10" s="789">
        <f ca="1">SUM(SUMIFS(OFFSET(貼付け_2027実績,$A10,9,1,199),OFFSET(貼付け_2027実績,4,9,1,199),{"横浜*","川崎*"}))</f>
        <v>0</v>
      </c>
      <c r="T10" s="789">
        <f t="shared" ref="T10:W75" ca="1" si="50">SUM(X10,AB10,AF10,AJ10,AN10,AR10,AV10,AZ10,BD10,BH10,BL10)</f>
        <v>0</v>
      </c>
      <c r="U10" s="789">
        <f t="shared" ca="1" si="5"/>
        <v>0</v>
      </c>
      <c r="V10" s="789">
        <f t="shared" ca="1" si="5"/>
        <v>0</v>
      </c>
      <c r="W10" s="789">
        <f t="shared" ca="1" si="5"/>
        <v>0</v>
      </c>
      <c r="X10" s="789">
        <f t="shared" ca="1" si="6"/>
        <v>0</v>
      </c>
      <c r="Y10" s="789">
        <f t="shared" ca="1" si="7"/>
        <v>0</v>
      </c>
      <c r="Z10" s="789">
        <f t="shared" ca="1" si="8"/>
        <v>0</v>
      </c>
      <c r="AA10" s="789">
        <f t="shared" ca="1" si="9"/>
        <v>0</v>
      </c>
      <c r="AB10" s="789" t="str">
        <f t="shared" ref="AB10:AB40" ca="1" si="51">IFERROR(OFFSET(貼付け_2024実績,$A10,AB$1),"")</f>
        <v/>
      </c>
      <c r="AC10" s="789" t="str">
        <f t="shared" ca="1" si="10"/>
        <v/>
      </c>
      <c r="AD10" s="789" t="str">
        <f t="shared" ca="1" si="11"/>
        <v/>
      </c>
      <c r="AE10" s="789" t="str">
        <f t="shared" ca="1" si="12"/>
        <v/>
      </c>
      <c r="AF10" s="789" t="str">
        <f t="shared" ca="1" si="13"/>
        <v/>
      </c>
      <c r="AG10" s="789" t="str">
        <f t="shared" ca="1" si="14"/>
        <v/>
      </c>
      <c r="AH10" s="789" t="str">
        <f t="shared" ca="1" si="15"/>
        <v/>
      </c>
      <c r="AI10" s="789" t="str">
        <f t="shared" ca="1" si="16"/>
        <v/>
      </c>
      <c r="AJ10" s="789" t="str">
        <f t="shared" ca="1" si="17"/>
        <v/>
      </c>
      <c r="AK10" s="789" t="str">
        <f t="shared" ca="1" si="18"/>
        <v/>
      </c>
      <c r="AL10" s="789" t="str">
        <f t="shared" ca="1" si="19"/>
        <v/>
      </c>
      <c r="AM10" s="789" t="str">
        <f t="shared" ca="1" si="20"/>
        <v/>
      </c>
      <c r="AN10" s="789" t="str">
        <f t="shared" ca="1" si="21"/>
        <v/>
      </c>
      <c r="AO10" s="789" t="str">
        <f t="shared" ca="1" si="22"/>
        <v/>
      </c>
      <c r="AP10" s="789" t="str">
        <f t="shared" ca="1" si="23"/>
        <v/>
      </c>
      <c r="AQ10" s="789" t="str">
        <f t="shared" ca="1" si="24"/>
        <v/>
      </c>
      <c r="AR10" s="789" t="str">
        <f t="shared" ca="1" si="25"/>
        <v/>
      </c>
      <c r="AS10" s="789" t="str">
        <f t="shared" ca="1" si="26"/>
        <v/>
      </c>
      <c r="AT10" s="789" t="str">
        <f t="shared" ca="1" si="27"/>
        <v/>
      </c>
      <c r="AU10" s="789" t="str">
        <f t="shared" ca="1" si="28"/>
        <v/>
      </c>
      <c r="AV10" s="789" t="str">
        <f t="shared" ca="1" si="29"/>
        <v/>
      </c>
      <c r="AW10" s="789" t="str">
        <f t="shared" ca="1" si="30"/>
        <v/>
      </c>
      <c r="AX10" s="789" t="str">
        <f t="shared" ca="1" si="31"/>
        <v/>
      </c>
      <c r="AY10" s="789" t="str">
        <f t="shared" ca="1" si="32"/>
        <v/>
      </c>
      <c r="AZ10" s="789" t="str">
        <f t="shared" ca="1" si="33"/>
        <v/>
      </c>
      <c r="BA10" s="789" t="str">
        <f t="shared" ca="1" si="34"/>
        <v/>
      </c>
      <c r="BB10" s="789" t="str">
        <f t="shared" ca="1" si="35"/>
        <v/>
      </c>
      <c r="BC10" s="789" t="str">
        <f t="shared" ca="1" si="36"/>
        <v/>
      </c>
      <c r="BD10" s="789" t="str">
        <f t="shared" ca="1" si="37"/>
        <v/>
      </c>
      <c r="BE10" s="789" t="str">
        <f t="shared" ca="1" si="38"/>
        <v/>
      </c>
      <c r="BF10" s="789" t="str">
        <f t="shared" ca="1" si="39"/>
        <v/>
      </c>
      <c r="BG10" s="789" t="str">
        <f t="shared" ca="1" si="40"/>
        <v/>
      </c>
      <c r="BH10" s="789" t="str">
        <f t="shared" ca="1" si="41"/>
        <v/>
      </c>
      <c r="BI10" s="789" t="str">
        <f t="shared" ca="1" si="42"/>
        <v/>
      </c>
      <c r="BJ10" s="789" t="str">
        <f t="shared" ca="1" si="43"/>
        <v/>
      </c>
      <c r="BK10" s="789" t="str">
        <f t="shared" ca="1" si="44"/>
        <v/>
      </c>
      <c r="BL10" s="789" t="str">
        <f t="shared" ca="1" si="45"/>
        <v/>
      </c>
      <c r="BM10" s="789" t="str">
        <f t="shared" ca="1" si="46"/>
        <v/>
      </c>
      <c r="BN10" s="789" t="str">
        <f t="shared" ca="1" si="47"/>
        <v/>
      </c>
      <c r="BO10" s="789" t="str">
        <f t="shared" ca="1" si="48"/>
        <v/>
      </c>
    </row>
    <row r="11" spans="1:68" ht="20.100000000000001" customHeight="1">
      <c r="A11" s="784">
        <v>10</v>
      </c>
      <c r="B11" s="1595"/>
      <c r="C11" s="1596"/>
      <c r="D11" s="785" t="s">
        <v>350</v>
      </c>
      <c r="E11" s="785"/>
      <c r="F11" s="786"/>
      <c r="G11" s="787" t="s">
        <v>453</v>
      </c>
      <c r="H11" s="788">
        <f t="shared" ca="1" si="0"/>
        <v>33.4</v>
      </c>
      <c r="I11" s="788">
        <f t="shared" ca="1" si="1"/>
        <v>33.4</v>
      </c>
      <c r="J11" s="788">
        <f t="shared" ca="1" si="2"/>
        <v>33.4</v>
      </c>
      <c r="K11" s="788">
        <f t="shared" ca="1" si="3"/>
        <v>33.4</v>
      </c>
      <c r="L11" s="789">
        <f t="shared" ca="1" si="49"/>
        <v>0</v>
      </c>
      <c r="M11" s="789">
        <f t="shared" ca="1" si="4"/>
        <v>0</v>
      </c>
      <c r="N11" s="789">
        <f t="shared" ca="1" si="4"/>
        <v>0</v>
      </c>
      <c r="O11" s="789">
        <f t="shared" ca="1" si="4"/>
        <v>0</v>
      </c>
      <c r="P11" s="789">
        <f ca="1">SUM(SUMIFS(OFFSET(貼付け_2024実績,$A11,9,1,199),OFFSET(貼付け_2024実績,4,9,1,199),{"横浜*","川崎*"}))</f>
        <v>0</v>
      </c>
      <c r="Q11" s="789">
        <f ca="1">SUM(SUMIFS(OFFSET(貼付け_2025実績,$A11,9,1,199),OFFSET(貼付け_2025実績,4,9,1,199),{"横浜*","川崎*"}))</f>
        <v>0</v>
      </c>
      <c r="R11" s="789">
        <f ca="1">SUM(SUMIFS(OFFSET(貼付け_2026実績,$A11,9,1,199),OFFSET(貼付け_2026実績,4,9,1,199),{"横浜*","川崎*"}))</f>
        <v>0</v>
      </c>
      <c r="S11" s="789">
        <f ca="1">SUM(SUMIFS(OFFSET(貼付け_2027実績,$A11,9,1,199),OFFSET(貼付け_2027実績,4,9,1,199),{"横浜*","川崎*"}))</f>
        <v>0</v>
      </c>
      <c r="T11" s="789">
        <f t="shared" ca="1" si="50"/>
        <v>0</v>
      </c>
      <c r="U11" s="789">
        <f t="shared" ca="1" si="5"/>
        <v>0</v>
      </c>
      <c r="V11" s="789">
        <f t="shared" ca="1" si="5"/>
        <v>0</v>
      </c>
      <c r="W11" s="789">
        <f t="shared" ca="1" si="5"/>
        <v>0</v>
      </c>
      <c r="X11" s="789">
        <f t="shared" ca="1" si="6"/>
        <v>0</v>
      </c>
      <c r="Y11" s="789">
        <f t="shared" ca="1" si="7"/>
        <v>0</v>
      </c>
      <c r="Z11" s="789">
        <f t="shared" ca="1" si="8"/>
        <v>0</v>
      </c>
      <c r="AA11" s="789">
        <f t="shared" ca="1" si="9"/>
        <v>0</v>
      </c>
      <c r="AB11" s="789" t="str">
        <f t="shared" ca="1" si="51"/>
        <v/>
      </c>
      <c r="AC11" s="789" t="str">
        <f t="shared" ca="1" si="10"/>
        <v/>
      </c>
      <c r="AD11" s="789" t="str">
        <f t="shared" ca="1" si="11"/>
        <v/>
      </c>
      <c r="AE11" s="789" t="str">
        <f t="shared" ca="1" si="12"/>
        <v/>
      </c>
      <c r="AF11" s="789" t="str">
        <f t="shared" ca="1" si="13"/>
        <v/>
      </c>
      <c r="AG11" s="789" t="str">
        <f t="shared" ca="1" si="14"/>
        <v/>
      </c>
      <c r="AH11" s="789" t="str">
        <f t="shared" ca="1" si="15"/>
        <v/>
      </c>
      <c r="AI11" s="789" t="str">
        <f t="shared" ca="1" si="16"/>
        <v/>
      </c>
      <c r="AJ11" s="789" t="str">
        <f t="shared" ca="1" si="17"/>
        <v/>
      </c>
      <c r="AK11" s="789" t="str">
        <f t="shared" ca="1" si="18"/>
        <v/>
      </c>
      <c r="AL11" s="789" t="str">
        <f t="shared" ca="1" si="19"/>
        <v/>
      </c>
      <c r="AM11" s="789" t="str">
        <f t="shared" ca="1" si="20"/>
        <v/>
      </c>
      <c r="AN11" s="789" t="str">
        <f t="shared" ca="1" si="21"/>
        <v/>
      </c>
      <c r="AO11" s="789" t="str">
        <f t="shared" ca="1" si="22"/>
        <v/>
      </c>
      <c r="AP11" s="789" t="str">
        <f t="shared" ca="1" si="23"/>
        <v/>
      </c>
      <c r="AQ11" s="789" t="str">
        <f t="shared" ca="1" si="24"/>
        <v/>
      </c>
      <c r="AR11" s="789" t="str">
        <f t="shared" ca="1" si="25"/>
        <v/>
      </c>
      <c r="AS11" s="789" t="str">
        <f t="shared" ca="1" si="26"/>
        <v/>
      </c>
      <c r="AT11" s="789" t="str">
        <f t="shared" ca="1" si="27"/>
        <v/>
      </c>
      <c r="AU11" s="789" t="str">
        <f t="shared" ca="1" si="28"/>
        <v/>
      </c>
      <c r="AV11" s="789" t="str">
        <f t="shared" ca="1" si="29"/>
        <v/>
      </c>
      <c r="AW11" s="789" t="str">
        <f t="shared" ca="1" si="30"/>
        <v/>
      </c>
      <c r="AX11" s="789" t="str">
        <f t="shared" ca="1" si="31"/>
        <v/>
      </c>
      <c r="AY11" s="789" t="str">
        <f t="shared" ca="1" si="32"/>
        <v/>
      </c>
      <c r="AZ11" s="789" t="str">
        <f t="shared" ca="1" si="33"/>
        <v/>
      </c>
      <c r="BA11" s="789" t="str">
        <f t="shared" ca="1" si="34"/>
        <v/>
      </c>
      <c r="BB11" s="789" t="str">
        <f t="shared" ca="1" si="35"/>
        <v/>
      </c>
      <c r="BC11" s="789" t="str">
        <f t="shared" ca="1" si="36"/>
        <v/>
      </c>
      <c r="BD11" s="789" t="str">
        <f t="shared" ca="1" si="37"/>
        <v/>
      </c>
      <c r="BE11" s="789" t="str">
        <f t="shared" ca="1" si="38"/>
        <v/>
      </c>
      <c r="BF11" s="789" t="str">
        <f t="shared" ca="1" si="39"/>
        <v/>
      </c>
      <c r="BG11" s="789" t="str">
        <f t="shared" ca="1" si="40"/>
        <v/>
      </c>
      <c r="BH11" s="789" t="str">
        <f t="shared" ca="1" si="41"/>
        <v/>
      </c>
      <c r="BI11" s="789" t="str">
        <f t="shared" ca="1" si="42"/>
        <v/>
      </c>
      <c r="BJ11" s="789" t="str">
        <f t="shared" ca="1" si="43"/>
        <v/>
      </c>
      <c r="BK11" s="789" t="str">
        <f t="shared" ca="1" si="44"/>
        <v/>
      </c>
      <c r="BL11" s="789" t="str">
        <f t="shared" ca="1" si="45"/>
        <v/>
      </c>
      <c r="BM11" s="789" t="str">
        <f t="shared" ca="1" si="46"/>
        <v/>
      </c>
      <c r="BN11" s="789" t="str">
        <f t="shared" ca="1" si="47"/>
        <v/>
      </c>
      <c r="BO11" s="789" t="str">
        <f t="shared" ca="1" si="48"/>
        <v/>
      </c>
    </row>
    <row r="12" spans="1:68" ht="20.100000000000001" customHeight="1">
      <c r="A12" s="784">
        <v>11</v>
      </c>
      <c r="B12" s="1594"/>
      <c r="C12" s="1596"/>
      <c r="D12" s="785" t="s">
        <v>351</v>
      </c>
      <c r="E12" s="785"/>
      <c r="F12" s="786"/>
      <c r="G12" s="787" t="s">
        <v>453</v>
      </c>
      <c r="H12" s="788">
        <f t="shared" ca="1" si="0"/>
        <v>33.299999999999997</v>
      </c>
      <c r="I12" s="788">
        <f t="shared" ca="1" si="1"/>
        <v>33.299999999999997</v>
      </c>
      <c r="J12" s="788">
        <f t="shared" ca="1" si="2"/>
        <v>33.299999999999997</v>
      </c>
      <c r="K12" s="788">
        <f t="shared" ca="1" si="3"/>
        <v>33.299999999999997</v>
      </c>
      <c r="L12" s="789">
        <f t="shared" ca="1" si="49"/>
        <v>0</v>
      </c>
      <c r="M12" s="789">
        <f t="shared" ca="1" si="4"/>
        <v>0</v>
      </c>
      <c r="N12" s="789">
        <f t="shared" ca="1" si="4"/>
        <v>0</v>
      </c>
      <c r="O12" s="789">
        <f t="shared" ca="1" si="4"/>
        <v>0</v>
      </c>
      <c r="P12" s="789">
        <f ca="1">SUM(SUMIFS(OFFSET(貼付け_2024実績,$A12,9,1,199),OFFSET(貼付け_2024実績,4,9,1,199),{"横浜*","川崎*"}))</f>
        <v>0</v>
      </c>
      <c r="Q12" s="789">
        <f ca="1">SUM(SUMIFS(OFFSET(貼付け_2025実績,$A12,9,1,199),OFFSET(貼付け_2025実績,4,9,1,199),{"横浜*","川崎*"}))</f>
        <v>0</v>
      </c>
      <c r="R12" s="789">
        <f ca="1">SUM(SUMIFS(OFFSET(貼付け_2026実績,$A12,9,1,199),OFFSET(貼付け_2026実績,4,9,1,199),{"横浜*","川崎*"}))</f>
        <v>0</v>
      </c>
      <c r="S12" s="789">
        <f ca="1">SUM(SUMIFS(OFFSET(貼付け_2027実績,$A12,9,1,199),OFFSET(貼付け_2027実績,4,9,1,199),{"横浜*","川崎*"}))</f>
        <v>0</v>
      </c>
      <c r="T12" s="789">
        <f t="shared" ca="1" si="50"/>
        <v>0</v>
      </c>
      <c r="U12" s="789">
        <f t="shared" ca="1" si="5"/>
        <v>0</v>
      </c>
      <c r="V12" s="789">
        <f t="shared" ca="1" si="5"/>
        <v>0</v>
      </c>
      <c r="W12" s="789">
        <f t="shared" ca="1" si="5"/>
        <v>0</v>
      </c>
      <c r="X12" s="789">
        <f t="shared" ca="1" si="6"/>
        <v>0</v>
      </c>
      <c r="Y12" s="789">
        <f t="shared" ca="1" si="7"/>
        <v>0</v>
      </c>
      <c r="Z12" s="789">
        <f t="shared" ca="1" si="8"/>
        <v>0</v>
      </c>
      <c r="AA12" s="789">
        <f t="shared" ca="1" si="9"/>
        <v>0</v>
      </c>
      <c r="AB12" s="789" t="str">
        <f t="shared" ca="1" si="51"/>
        <v/>
      </c>
      <c r="AC12" s="789" t="str">
        <f t="shared" ca="1" si="10"/>
        <v/>
      </c>
      <c r="AD12" s="789" t="str">
        <f t="shared" ca="1" si="11"/>
        <v/>
      </c>
      <c r="AE12" s="789" t="str">
        <f t="shared" ca="1" si="12"/>
        <v/>
      </c>
      <c r="AF12" s="789" t="str">
        <f t="shared" ca="1" si="13"/>
        <v/>
      </c>
      <c r="AG12" s="789" t="str">
        <f t="shared" ca="1" si="14"/>
        <v/>
      </c>
      <c r="AH12" s="789" t="str">
        <f t="shared" ca="1" si="15"/>
        <v/>
      </c>
      <c r="AI12" s="789" t="str">
        <f t="shared" ca="1" si="16"/>
        <v/>
      </c>
      <c r="AJ12" s="789" t="str">
        <f t="shared" ca="1" si="17"/>
        <v/>
      </c>
      <c r="AK12" s="789" t="str">
        <f t="shared" ca="1" si="18"/>
        <v/>
      </c>
      <c r="AL12" s="789" t="str">
        <f t="shared" ca="1" si="19"/>
        <v/>
      </c>
      <c r="AM12" s="789" t="str">
        <f t="shared" ca="1" si="20"/>
        <v/>
      </c>
      <c r="AN12" s="789" t="str">
        <f t="shared" ca="1" si="21"/>
        <v/>
      </c>
      <c r="AO12" s="789" t="str">
        <f t="shared" ca="1" si="22"/>
        <v/>
      </c>
      <c r="AP12" s="789" t="str">
        <f t="shared" ca="1" si="23"/>
        <v/>
      </c>
      <c r="AQ12" s="789" t="str">
        <f t="shared" ca="1" si="24"/>
        <v/>
      </c>
      <c r="AR12" s="789" t="str">
        <f t="shared" ca="1" si="25"/>
        <v/>
      </c>
      <c r="AS12" s="789" t="str">
        <f t="shared" ca="1" si="26"/>
        <v/>
      </c>
      <c r="AT12" s="789" t="str">
        <f t="shared" ca="1" si="27"/>
        <v/>
      </c>
      <c r="AU12" s="789" t="str">
        <f t="shared" ca="1" si="28"/>
        <v/>
      </c>
      <c r="AV12" s="789" t="str">
        <f t="shared" ca="1" si="29"/>
        <v/>
      </c>
      <c r="AW12" s="789" t="str">
        <f t="shared" ca="1" si="30"/>
        <v/>
      </c>
      <c r="AX12" s="789" t="str">
        <f t="shared" ca="1" si="31"/>
        <v/>
      </c>
      <c r="AY12" s="789" t="str">
        <f t="shared" ca="1" si="32"/>
        <v/>
      </c>
      <c r="AZ12" s="789" t="str">
        <f t="shared" ca="1" si="33"/>
        <v/>
      </c>
      <c r="BA12" s="789" t="str">
        <f t="shared" ca="1" si="34"/>
        <v/>
      </c>
      <c r="BB12" s="789" t="str">
        <f t="shared" ca="1" si="35"/>
        <v/>
      </c>
      <c r="BC12" s="789" t="str">
        <f t="shared" ca="1" si="36"/>
        <v/>
      </c>
      <c r="BD12" s="789" t="str">
        <f t="shared" ca="1" si="37"/>
        <v/>
      </c>
      <c r="BE12" s="789" t="str">
        <f t="shared" ca="1" si="38"/>
        <v/>
      </c>
      <c r="BF12" s="789" t="str">
        <f t="shared" ca="1" si="39"/>
        <v/>
      </c>
      <c r="BG12" s="789" t="str">
        <f t="shared" ca="1" si="40"/>
        <v/>
      </c>
      <c r="BH12" s="789" t="str">
        <f t="shared" ca="1" si="41"/>
        <v/>
      </c>
      <c r="BI12" s="789" t="str">
        <f t="shared" ca="1" si="42"/>
        <v/>
      </c>
      <c r="BJ12" s="789" t="str">
        <f t="shared" ca="1" si="43"/>
        <v/>
      </c>
      <c r="BK12" s="789" t="str">
        <f t="shared" ca="1" si="44"/>
        <v/>
      </c>
      <c r="BL12" s="789" t="str">
        <f t="shared" ca="1" si="45"/>
        <v/>
      </c>
      <c r="BM12" s="789" t="str">
        <f t="shared" ca="1" si="46"/>
        <v/>
      </c>
      <c r="BN12" s="789" t="str">
        <f t="shared" ca="1" si="47"/>
        <v/>
      </c>
      <c r="BO12" s="789" t="str">
        <f t="shared" ca="1" si="48"/>
        <v/>
      </c>
    </row>
    <row r="13" spans="1:68" ht="20.100000000000001" customHeight="1">
      <c r="A13" s="784">
        <v>12</v>
      </c>
      <c r="B13" s="1594"/>
      <c r="C13" s="1596"/>
      <c r="D13" s="785" t="s">
        <v>352</v>
      </c>
      <c r="E13" s="785"/>
      <c r="F13" s="786"/>
      <c r="G13" s="787" t="s">
        <v>453</v>
      </c>
      <c r="H13" s="788">
        <f t="shared" ca="1" si="0"/>
        <v>36.299999999999997</v>
      </c>
      <c r="I13" s="788">
        <f t="shared" ca="1" si="1"/>
        <v>36.299999999999997</v>
      </c>
      <c r="J13" s="788">
        <f t="shared" ca="1" si="2"/>
        <v>36.299999999999997</v>
      </c>
      <c r="K13" s="788">
        <f t="shared" ca="1" si="3"/>
        <v>36.299999999999997</v>
      </c>
      <c r="L13" s="789">
        <f t="shared" ca="1" si="49"/>
        <v>0</v>
      </c>
      <c r="M13" s="789">
        <f t="shared" ca="1" si="4"/>
        <v>0</v>
      </c>
      <c r="N13" s="789">
        <f t="shared" ca="1" si="4"/>
        <v>0</v>
      </c>
      <c r="O13" s="789">
        <f t="shared" ca="1" si="4"/>
        <v>0</v>
      </c>
      <c r="P13" s="789">
        <f ca="1">SUM(SUMIFS(OFFSET(貼付け_2024実績,$A13,9,1,199),OFFSET(貼付け_2024実績,4,9,1,199),{"横浜*","川崎*"}))</f>
        <v>0</v>
      </c>
      <c r="Q13" s="789">
        <f ca="1">SUM(SUMIFS(OFFSET(貼付け_2025実績,$A13,9,1,199),OFFSET(貼付け_2025実績,4,9,1,199),{"横浜*","川崎*"}))</f>
        <v>0</v>
      </c>
      <c r="R13" s="789">
        <f ca="1">SUM(SUMIFS(OFFSET(貼付け_2026実績,$A13,9,1,199),OFFSET(貼付け_2026実績,4,9,1,199),{"横浜*","川崎*"}))</f>
        <v>0</v>
      </c>
      <c r="S13" s="789">
        <f ca="1">SUM(SUMIFS(OFFSET(貼付け_2027実績,$A13,9,1,199),OFFSET(貼付け_2027実績,4,9,1,199),{"横浜*","川崎*"}))</f>
        <v>0</v>
      </c>
      <c r="T13" s="789">
        <f t="shared" ca="1" si="50"/>
        <v>0</v>
      </c>
      <c r="U13" s="789">
        <f t="shared" ca="1" si="5"/>
        <v>0</v>
      </c>
      <c r="V13" s="789">
        <f t="shared" ca="1" si="5"/>
        <v>0</v>
      </c>
      <c r="W13" s="789">
        <f t="shared" ca="1" si="5"/>
        <v>0</v>
      </c>
      <c r="X13" s="789">
        <f t="shared" ca="1" si="6"/>
        <v>0</v>
      </c>
      <c r="Y13" s="789">
        <f t="shared" ca="1" si="7"/>
        <v>0</v>
      </c>
      <c r="Z13" s="789">
        <f t="shared" ca="1" si="8"/>
        <v>0</v>
      </c>
      <c r="AA13" s="789">
        <f t="shared" ca="1" si="9"/>
        <v>0</v>
      </c>
      <c r="AB13" s="789" t="str">
        <f t="shared" ca="1" si="51"/>
        <v/>
      </c>
      <c r="AC13" s="789" t="str">
        <f t="shared" ca="1" si="10"/>
        <v/>
      </c>
      <c r="AD13" s="789" t="str">
        <f t="shared" ca="1" si="11"/>
        <v/>
      </c>
      <c r="AE13" s="789" t="str">
        <f t="shared" ca="1" si="12"/>
        <v/>
      </c>
      <c r="AF13" s="789" t="str">
        <f t="shared" ca="1" si="13"/>
        <v/>
      </c>
      <c r="AG13" s="789" t="str">
        <f t="shared" ca="1" si="14"/>
        <v/>
      </c>
      <c r="AH13" s="789" t="str">
        <f t="shared" ca="1" si="15"/>
        <v/>
      </c>
      <c r="AI13" s="789" t="str">
        <f t="shared" ca="1" si="16"/>
        <v/>
      </c>
      <c r="AJ13" s="789" t="str">
        <f t="shared" ca="1" si="17"/>
        <v/>
      </c>
      <c r="AK13" s="789" t="str">
        <f t="shared" ca="1" si="18"/>
        <v/>
      </c>
      <c r="AL13" s="789" t="str">
        <f t="shared" ca="1" si="19"/>
        <v/>
      </c>
      <c r="AM13" s="789" t="str">
        <f t="shared" ca="1" si="20"/>
        <v/>
      </c>
      <c r="AN13" s="789" t="str">
        <f t="shared" ca="1" si="21"/>
        <v/>
      </c>
      <c r="AO13" s="789" t="str">
        <f t="shared" ca="1" si="22"/>
        <v/>
      </c>
      <c r="AP13" s="789" t="str">
        <f t="shared" ca="1" si="23"/>
        <v/>
      </c>
      <c r="AQ13" s="789" t="str">
        <f t="shared" ca="1" si="24"/>
        <v/>
      </c>
      <c r="AR13" s="789" t="str">
        <f t="shared" ca="1" si="25"/>
        <v/>
      </c>
      <c r="AS13" s="789" t="str">
        <f t="shared" ca="1" si="26"/>
        <v/>
      </c>
      <c r="AT13" s="789" t="str">
        <f t="shared" ca="1" si="27"/>
        <v/>
      </c>
      <c r="AU13" s="789" t="str">
        <f t="shared" ca="1" si="28"/>
        <v/>
      </c>
      <c r="AV13" s="789" t="str">
        <f t="shared" ca="1" si="29"/>
        <v/>
      </c>
      <c r="AW13" s="789" t="str">
        <f t="shared" ca="1" si="30"/>
        <v/>
      </c>
      <c r="AX13" s="789" t="str">
        <f t="shared" ca="1" si="31"/>
        <v/>
      </c>
      <c r="AY13" s="789" t="str">
        <f t="shared" ca="1" si="32"/>
        <v/>
      </c>
      <c r="AZ13" s="789" t="str">
        <f t="shared" ca="1" si="33"/>
        <v/>
      </c>
      <c r="BA13" s="789" t="str">
        <f t="shared" ca="1" si="34"/>
        <v/>
      </c>
      <c r="BB13" s="789" t="str">
        <f t="shared" ca="1" si="35"/>
        <v/>
      </c>
      <c r="BC13" s="789" t="str">
        <f t="shared" ca="1" si="36"/>
        <v/>
      </c>
      <c r="BD13" s="789" t="str">
        <f t="shared" ca="1" si="37"/>
        <v/>
      </c>
      <c r="BE13" s="789" t="str">
        <f t="shared" ca="1" si="38"/>
        <v/>
      </c>
      <c r="BF13" s="789" t="str">
        <f t="shared" ca="1" si="39"/>
        <v/>
      </c>
      <c r="BG13" s="789" t="str">
        <f t="shared" ca="1" si="40"/>
        <v/>
      </c>
      <c r="BH13" s="789" t="str">
        <f t="shared" ca="1" si="41"/>
        <v/>
      </c>
      <c r="BI13" s="789" t="str">
        <f t="shared" ca="1" si="42"/>
        <v/>
      </c>
      <c r="BJ13" s="789" t="str">
        <f t="shared" ca="1" si="43"/>
        <v/>
      </c>
      <c r="BK13" s="789" t="str">
        <f t="shared" ca="1" si="44"/>
        <v/>
      </c>
      <c r="BL13" s="789" t="str">
        <f t="shared" ca="1" si="45"/>
        <v/>
      </c>
      <c r="BM13" s="789" t="str">
        <f t="shared" ca="1" si="46"/>
        <v/>
      </c>
      <c r="BN13" s="789" t="str">
        <f t="shared" ca="1" si="47"/>
        <v/>
      </c>
      <c r="BO13" s="789" t="str">
        <f t="shared" ca="1" si="48"/>
        <v/>
      </c>
    </row>
    <row r="14" spans="1:68" ht="20.100000000000001" customHeight="1">
      <c r="A14" s="784">
        <v>13</v>
      </c>
      <c r="B14" s="1595"/>
      <c r="C14" s="1596"/>
      <c r="D14" s="785" t="s">
        <v>353</v>
      </c>
      <c r="E14" s="785"/>
      <c r="F14" s="786"/>
      <c r="G14" s="787" t="s">
        <v>453</v>
      </c>
      <c r="H14" s="788">
        <f t="shared" ca="1" si="0"/>
        <v>36.5</v>
      </c>
      <c r="I14" s="788">
        <f t="shared" ca="1" si="1"/>
        <v>36.5</v>
      </c>
      <c r="J14" s="788">
        <f t="shared" ca="1" si="2"/>
        <v>36.5</v>
      </c>
      <c r="K14" s="788">
        <f t="shared" ca="1" si="3"/>
        <v>36.5</v>
      </c>
      <c r="L14" s="789">
        <f t="shared" ca="1" si="49"/>
        <v>0</v>
      </c>
      <c r="M14" s="789">
        <f t="shared" ca="1" si="4"/>
        <v>0</v>
      </c>
      <c r="N14" s="789">
        <f t="shared" ca="1" si="4"/>
        <v>0</v>
      </c>
      <c r="O14" s="789">
        <f t="shared" ca="1" si="4"/>
        <v>0</v>
      </c>
      <c r="P14" s="789">
        <f ca="1">SUM(SUMIFS(OFFSET(貼付け_2024実績,$A14,9,1,199),OFFSET(貼付け_2024実績,4,9,1,199),{"横浜*","川崎*"}))</f>
        <v>0</v>
      </c>
      <c r="Q14" s="789">
        <f ca="1">SUM(SUMIFS(OFFSET(貼付け_2025実績,$A14,9,1,199),OFFSET(貼付け_2025実績,4,9,1,199),{"横浜*","川崎*"}))</f>
        <v>0</v>
      </c>
      <c r="R14" s="789">
        <f ca="1">SUM(SUMIFS(OFFSET(貼付け_2026実績,$A14,9,1,199),OFFSET(貼付け_2026実績,4,9,1,199),{"横浜*","川崎*"}))</f>
        <v>0</v>
      </c>
      <c r="S14" s="789">
        <f ca="1">SUM(SUMIFS(OFFSET(貼付け_2027実績,$A14,9,1,199),OFFSET(貼付け_2027実績,4,9,1,199),{"横浜*","川崎*"}))</f>
        <v>0</v>
      </c>
      <c r="T14" s="789">
        <f t="shared" ca="1" si="50"/>
        <v>0</v>
      </c>
      <c r="U14" s="789">
        <f t="shared" ca="1" si="5"/>
        <v>0</v>
      </c>
      <c r="V14" s="789">
        <f t="shared" ca="1" si="5"/>
        <v>0</v>
      </c>
      <c r="W14" s="789">
        <f t="shared" ca="1" si="5"/>
        <v>0</v>
      </c>
      <c r="X14" s="789">
        <f t="shared" ca="1" si="6"/>
        <v>0</v>
      </c>
      <c r="Y14" s="789">
        <f t="shared" ca="1" si="7"/>
        <v>0</v>
      </c>
      <c r="Z14" s="789">
        <f t="shared" ca="1" si="8"/>
        <v>0</v>
      </c>
      <c r="AA14" s="789">
        <f t="shared" ca="1" si="9"/>
        <v>0</v>
      </c>
      <c r="AB14" s="789" t="str">
        <f t="shared" ca="1" si="51"/>
        <v/>
      </c>
      <c r="AC14" s="789" t="str">
        <f t="shared" ca="1" si="10"/>
        <v/>
      </c>
      <c r="AD14" s="789" t="str">
        <f t="shared" ca="1" si="11"/>
        <v/>
      </c>
      <c r="AE14" s="789" t="str">
        <f t="shared" ca="1" si="12"/>
        <v/>
      </c>
      <c r="AF14" s="789" t="str">
        <f t="shared" ca="1" si="13"/>
        <v/>
      </c>
      <c r="AG14" s="789" t="str">
        <f t="shared" ca="1" si="14"/>
        <v/>
      </c>
      <c r="AH14" s="789" t="str">
        <f t="shared" ca="1" si="15"/>
        <v/>
      </c>
      <c r="AI14" s="789" t="str">
        <f t="shared" ca="1" si="16"/>
        <v/>
      </c>
      <c r="AJ14" s="789" t="str">
        <f t="shared" ca="1" si="17"/>
        <v/>
      </c>
      <c r="AK14" s="789" t="str">
        <f t="shared" ca="1" si="18"/>
        <v/>
      </c>
      <c r="AL14" s="789" t="str">
        <f t="shared" ca="1" si="19"/>
        <v/>
      </c>
      <c r="AM14" s="789" t="str">
        <f t="shared" ca="1" si="20"/>
        <v/>
      </c>
      <c r="AN14" s="789" t="str">
        <f t="shared" ca="1" si="21"/>
        <v/>
      </c>
      <c r="AO14" s="789" t="str">
        <f t="shared" ca="1" si="22"/>
        <v/>
      </c>
      <c r="AP14" s="789" t="str">
        <f t="shared" ca="1" si="23"/>
        <v/>
      </c>
      <c r="AQ14" s="789" t="str">
        <f t="shared" ca="1" si="24"/>
        <v/>
      </c>
      <c r="AR14" s="789" t="str">
        <f t="shared" ca="1" si="25"/>
        <v/>
      </c>
      <c r="AS14" s="789" t="str">
        <f t="shared" ca="1" si="26"/>
        <v/>
      </c>
      <c r="AT14" s="789" t="str">
        <f t="shared" ca="1" si="27"/>
        <v/>
      </c>
      <c r="AU14" s="789" t="str">
        <f t="shared" ca="1" si="28"/>
        <v/>
      </c>
      <c r="AV14" s="789" t="str">
        <f t="shared" ca="1" si="29"/>
        <v/>
      </c>
      <c r="AW14" s="789" t="str">
        <f t="shared" ca="1" si="30"/>
        <v/>
      </c>
      <c r="AX14" s="789" t="str">
        <f t="shared" ca="1" si="31"/>
        <v/>
      </c>
      <c r="AY14" s="789" t="str">
        <f t="shared" ca="1" si="32"/>
        <v/>
      </c>
      <c r="AZ14" s="789" t="str">
        <f t="shared" ca="1" si="33"/>
        <v/>
      </c>
      <c r="BA14" s="789" t="str">
        <f t="shared" ca="1" si="34"/>
        <v/>
      </c>
      <c r="BB14" s="789" t="str">
        <f t="shared" ca="1" si="35"/>
        <v/>
      </c>
      <c r="BC14" s="789" t="str">
        <f t="shared" ca="1" si="36"/>
        <v/>
      </c>
      <c r="BD14" s="789" t="str">
        <f t="shared" ca="1" si="37"/>
        <v/>
      </c>
      <c r="BE14" s="789" t="str">
        <f t="shared" ca="1" si="38"/>
        <v/>
      </c>
      <c r="BF14" s="789" t="str">
        <f t="shared" ca="1" si="39"/>
        <v/>
      </c>
      <c r="BG14" s="789" t="str">
        <f t="shared" ca="1" si="40"/>
        <v/>
      </c>
      <c r="BH14" s="789" t="str">
        <f t="shared" ca="1" si="41"/>
        <v/>
      </c>
      <c r="BI14" s="789" t="str">
        <f t="shared" ca="1" si="42"/>
        <v/>
      </c>
      <c r="BJ14" s="789" t="str">
        <f t="shared" ca="1" si="43"/>
        <v/>
      </c>
      <c r="BK14" s="789" t="str">
        <f t="shared" ca="1" si="44"/>
        <v/>
      </c>
      <c r="BL14" s="789" t="str">
        <f t="shared" ca="1" si="45"/>
        <v/>
      </c>
      <c r="BM14" s="789" t="str">
        <f t="shared" ca="1" si="46"/>
        <v/>
      </c>
      <c r="BN14" s="789" t="str">
        <f t="shared" ca="1" si="47"/>
        <v/>
      </c>
      <c r="BO14" s="789" t="str">
        <f t="shared" ca="1" si="48"/>
        <v/>
      </c>
    </row>
    <row r="15" spans="1:68" ht="20.100000000000001" customHeight="1">
      <c r="A15" s="784">
        <v>14</v>
      </c>
      <c r="B15" s="1595"/>
      <c r="C15" s="1596"/>
      <c r="D15" s="785" t="s">
        <v>354</v>
      </c>
      <c r="E15" s="785"/>
      <c r="F15" s="786"/>
      <c r="G15" s="787" t="s">
        <v>453</v>
      </c>
      <c r="H15" s="788">
        <f t="shared" ca="1" si="0"/>
        <v>38</v>
      </c>
      <c r="I15" s="788">
        <f t="shared" ca="1" si="1"/>
        <v>38</v>
      </c>
      <c r="J15" s="788">
        <f t="shared" ca="1" si="2"/>
        <v>38</v>
      </c>
      <c r="K15" s="788">
        <f t="shared" ca="1" si="3"/>
        <v>38</v>
      </c>
      <c r="L15" s="789">
        <f t="shared" ca="1" si="49"/>
        <v>0</v>
      </c>
      <c r="M15" s="789">
        <f t="shared" ca="1" si="4"/>
        <v>0</v>
      </c>
      <c r="N15" s="789">
        <f t="shared" ca="1" si="4"/>
        <v>0</v>
      </c>
      <c r="O15" s="789">
        <f t="shared" ca="1" si="4"/>
        <v>0</v>
      </c>
      <c r="P15" s="789">
        <f ca="1">SUM(SUMIFS(OFFSET(貼付け_2024実績,$A15,9,1,199),OFFSET(貼付け_2024実績,4,9,1,199),{"横浜*","川崎*"}))</f>
        <v>0</v>
      </c>
      <c r="Q15" s="789">
        <f ca="1">SUM(SUMIFS(OFFSET(貼付け_2025実績,$A15,9,1,199),OFFSET(貼付け_2025実績,4,9,1,199),{"横浜*","川崎*"}))</f>
        <v>0</v>
      </c>
      <c r="R15" s="789">
        <f ca="1">SUM(SUMIFS(OFFSET(貼付け_2026実績,$A15,9,1,199),OFFSET(貼付け_2026実績,4,9,1,199),{"横浜*","川崎*"}))</f>
        <v>0</v>
      </c>
      <c r="S15" s="789">
        <f ca="1">SUM(SUMIFS(OFFSET(貼付け_2027実績,$A15,9,1,199),OFFSET(貼付け_2027実績,4,9,1,199),{"横浜*","川崎*"}))</f>
        <v>0</v>
      </c>
      <c r="T15" s="789">
        <f t="shared" ca="1" si="50"/>
        <v>0</v>
      </c>
      <c r="U15" s="789">
        <f t="shared" ca="1" si="5"/>
        <v>0</v>
      </c>
      <c r="V15" s="789">
        <f t="shared" ca="1" si="5"/>
        <v>0</v>
      </c>
      <c r="W15" s="789">
        <f t="shared" ca="1" si="5"/>
        <v>0</v>
      </c>
      <c r="X15" s="789">
        <f t="shared" ca="1" si="6"/>
        <v>0</v>
      </c>
      <c r="Y15" s="789">
        <f t="shared" ca="1" si="7"/>
        <v>0</v>
      </c>
      <c r="Z15" s="789">
        <f t="shared" ca="1" si="8"/>
        <v>0</v>
      </c>
      <c r="AA15" s="789">
        <f t="shared" ca="1" si="9"/>
        <v>0</v>
      </c>
      <c r="AB15" s="789" t="str">
        <f t="shared" ca="1" si="51"/>
        <v/>
      </c>
      <c r="AC15" s="789" t="str">
        <f t="shared" ca="1" si="10"/>
        <v/>
      </c>
      <c r="AD15" s="789" t="str">
        <f t="shared" ca="1" si="11"/>
        <v/>
      </c>
      <c r="AE15" s="789" t="str">
        <f t="shared" ca="1" si="12"/>
        <v/>
      </c>
      <c r="AF15" s="789" t="str">
        <f t="shared" ca="1" si="13"/>
        <v/>
      </c>
      <c r="AG15" s="789" t="str">
        <f t="shared" ca="1" si="14"/>
        <v/>
      </c>
      <c r="AH15" s="789" t="str">
        <f t="shared" ca="1" si="15"/>
        <v/>
      </c>
      <c r="AI15" s="789" t="str">
        <f t="shared" ca="1" si="16"/>
        <v/>
      </c>
      <c r="AJ15" s="789" t="str">
        <f t="shared" ca="1" si="17"/>
        <v/>
      </c>
      <c r="AK15" s="789" t="str">
        <f t="shared" ca="1" si="18"/>
        <v/>
      </c>
      <c r="AL15" s="789" t="str">
        <f t="shared" ca="1" si="19"/>
        <v/>
      </c>
      <c r="AM15" s="789" t="str">
        <f t="shared" ca="1" si="20"/>
        <v/>
      </c>
      <c r="AN15" s="789" t="str">
        <f t="shared" ca="1" si="21"/>
        <v/>
      </c>
      <c r="AO15" s="789" t="str">
        <f t="shared" ca="1" si="22"/>
        <v/>
      </c>
      <c r="AP15" s="789" t="str">
        <f t="shared" ca="1" si="23"/>
        <v/>
      </c>
      <c r="AQ15" s="789" t="str">
        <f t="shared" ca="1" si="24"/>
        <v/>
      </c>
      <c r="AR15" s="789" t="str">
        <f t="shared" ca="1" si="25"/>
        <v/>
      </c>
      <c r="AS15" s="789" t="str">
        <f t="shared" ca="1" si="26"/>
        <v/>
      </c>
      <c r="AT15" s="789" t="str">
        <f t="shared" ca="1" si="27"/>
        <v/>
      </c>
      <c r="AU15" s="789" t="str">
        <f t="shared" ca="1" si="28"/>
        <v/>
      </c>
      <c r="AV15" s="789" t="str">
        <f t="shared" ca="1" si="29"/>
        <v/>
      </c>
      <c r="AW15" s="789" t="str">
        <f t="shared" ca="1" si="30"/>
        <v/>
      </c>
      <c r="AX15" s="789" t="str">
        <f t="shared" ca="1" si="31"/>
        <v/>
      </c>
      <c r="AY15" s="789" t="str">
        <f t="shared" ca="1" si="32"/>
        <v/>
      </c>
      <c r="AZ15" s="789" t="str">
        <f t="shared" ca="1" si="33"/>
        <v/>
      </c>
      <c r="BA15" s="789" t="str">
        <f t="shared" ca="1" si="34"/>
        <v/>
      </c>
      <c r="BB15" s="789" t="str">
        <f t="shared" ca="1" si="35"/>
        <v/>
      </c>
      <c r="BC15" s="789" t="str">
        <f t="shared" ca="1" si="36"/>
        <v/>
      </c>
      <c r="BD15" s="789" t="str">
        <f t="shared" ca="1" si="37"/>
        <v/>
      </c>
      <c r="BE15" s="789" t="str">
        <f t="shared" ca="1" si="38"/>
        <v/>
      </c>
      <c r="BF15" s="789" t="str">
        <f t="shared" ca="1" si="39"/>
        <v/>
      </c>
      <c r="BG15" s="789" t="str">
        <f t="shared" ca="1" si="40"/>
        <v/>
      </c>
      <c r="BH15" s="789" t="str">
        <f t="shared" ca="1" si="41"/>
        <v/>
      </c>
      <c r="BI15" s="789" t="str">
        <f t="shared" ca="1" si="42"/>
        <v/>
      </c>
      <c r="BJ15" s="789" t="str">
        <f t="shared" ca="1" si="43"/>
        <v/>
      </c>
      <c r="BK15" s="789" t="str">
        <f t="shared" ca="1" si="44"/>
        <v/>
      </c>
      <c r="BL15" s="789" t="str">
        <f t="shared" ca="1" si="45"/>
        <v/>
      </c>
      <c r="BM15" s="789" t="str">
        <f t="shared" ca="1" si="46"/>
        <v/>
      </c>
      <c r="BN15" s="789" t="str">
        <f t="shared" ca="1" si="47"/>
        <v/>
      </c>
      <c r="BO15" s="789" t="str">
        <f t="shared" ca="1" si="48"/>
        <v/>
      </c>
    </row>
    <row r="16" spans="1:68" ht="20.100000000000001" customHeight="1">
      <c r="A16" s="784">
        <v>15</v>
      </c>
      <c r="B16" s="1594"/>
      <c r="C16" s="1596"/>
      <c r="D16" s="785" t="s">
        <v>355</v>
      </c>
      <c r="E16" s="785"/>
      <c r="F16" s="786"/>
      <c r="G16" s="787" t="s">
        <v>453</v>
      </c>
      <c r="H16" s="788">
        <f t="shared" ca="1" si="0"/>
        <v>38.9</v>
      </c>
      <c r="I16" s="788">
        <f t="shared" ca="1" si="1"/>
        <v>38.9</v>
      </c>
      <c r="J16" s="788">
        <f t="shared" ca="1" si="2"/>
        <v>38.9</v>
      </c>
      <c r="K16" s="788">
        <f t="shared" ca="1" si="3"/>
        <v>38.9</v>
      </c>
      <c r="L16" s="789">
        <f t="shared" ca="1" si="49"/>
        <v>0</v>
      </c>
      <c r="M16" s="789">
        <f t="shared" ca="1" si="4"/>
        <v>0</v>
      </c>
      <c r="N16" s="789">
        <f t="shared" ca="1" si="4"/>
        <v>0</v>
      </c>
      <c r="O16" s="789">
        <f t="shared" ca="1" si="4"/>
        <v>0</v>
      </c>
      <c r="P16" s="789">
        <f ca="1">SUM(SUMIFS(OFFSET(貼付け_2024実績,$A16,9,1,199),OFFSET(貼付け_2024実績,4,9,1,199),{"横浜*","川崎*"}))</f>
        <v>0</v>
      </c>
      <c r="Q16" s="789">
        <f ca="1">SUM(SUMIFS(OFFSET(貼付け_2025実績,$A16,9,1,199),OFFSET(貼付け_2025実績,4,9,1,199),{"横浜*","川崎*"}))</f>
        <v>0</v>
      </c>
      <c r="R16" s="789">
        <f ca="1">SUM(SUMIFS(OFFSET(貼付け_2026実績,$A16,9,1,199),OFFSET(貼付け_2026実績,4,9,1,199),{"横浜*","川崎*"}))</f>
        <v>0</v>
      </c>
      <c r="S16" s="789">
        <f ca="1">SUM(SUMIFS(OFFSET(貼付け_2027実績,$A16,9,1,199),OFFSET(貼付け_2027実績,4,9,1,199),{"横浜*","川崎*"}))</f>
        <v>0</v>
      </c>
      <c r="T16" s="789">
        <f t="shared" ca="1" si="50"/>
        <v>0</v>
      </c>
      <c r="U16" s="789">
        <f t="shared" ca="1" si="5"/>
        <v>0</v>
      </c>
      <c r="V16" s="789">
        <f t="shared" ca="1" si="5"/>
        <v>0</v>
      </c>
      <c r="W16" s="789">
        <f t="shared" ca="1" si="5"/>
        <v>0</v>
      </c>
      <c r="X16" s="789">
        <f t="shared" ca="1" si="6"/>
        <v>0</v>
      </c>
      <c r="Y16" s="789">
        <f t="shared" ca="1" si="7"/>
        <v>0</v>
      </c>
      <c r="Z16" s="789">
        <f t="shared" ca="1" si="8"/>
        <v>0</v>
      </c>
      <c r="AA16" s="789">
        <f t="shared" ca="1" si="9"/>
        <v>0</v>
      </c>
      <c r="AB16" s="789" t="str">
        <f t="shared" ca="1" si="51"/>
        <v/>
      </c>
      <c r="AC16" s="789" t="str">
        <f t="shared" ca="1" si="10"/>
        <v/>
      </c>
      <c r="AD16" s="789" t="str">
        <f t="shared" ca="1" si="11"/>
        <v/>
      </c>
      <c r="AE16" s="789" t="str">
        <f t="shared" ca="1" si="12"/>
        <v/>
      </c>
      <c r="AF16" s="789" t="str">
        <f t="shared" ca="1" si="13"/>
        <v/>
      </c>
      <c r="AG16" s="789" t="str">
        <f t="shared" ca="1" si="14"/>
        <v/>
      </c>
      <c r="AH16" s="789" t="str">
        <f t="shared" ca="1" si="15"/>
        <v/>
      </c>
      <c r="AI16" s="789" t="str">
        <f t="shared" ca="1" si="16"/>
        <v/>
      </c>
      <c r="AJ16" s="789" t="str">
        <f t="shared" ca="1" si="17"/>
        <v/>
      </c>
      <c r="AK16" s="789" t="str">
        <f t="shared" ca="1" si="18"/>
        <v/>
      </c>
      <c r="AL16" s="789" t="str">
        <f t="shared" ca="1" si="19"/>
        <v/>
      </c>
      <c r="AM16" s="789" t="str">
        <f t="shared" ca="1" si="20"/>
        <v/>
      </c>
      <c r="AN16" s="789" t="str">
        <f t="shared" ca="1" si="21"/>
        <v/>
      </c>
      <c r="AO16" s="789" t="str">
        <f t="shared" ca="1" si="22"/>
        <v/>
      </c>
      <c r="AP16" s="789" t="str">
        <f t="shared" ca="1" si="23"/>
        <v/>
      </c>
      <c r="AQ16" s="789" t="str">
        <f t="shared" ca="1" si="24"/>
        <v/>
      </c>
      <c r="AR16" s="789" t="str">
        <f t="shared" ca="1" si="25"/>
        <v/>
      </c>
      <c r="AS16" s="789" t="str">
        <f t="shared" ca="1" si="26"/>
        <v/>
      </c>
      <c r="AT16" s="789" t="str">
        <f t="shared" ca="1" si="27"/>
        <v/>
      </c>
      <c r="AU16" s="789" t="str">
        <f t="shared" ca="1" si="28"/>
        <v/>
      </c>
      <c r="AV16" s="789" t="str">
        <f t="shared" ca="1" si="29"/>
        <v/>
      </c>
      <c r="AW16" s="789" t="str">
        <f t="shared" ca="1" si="30"/>
        <v/>
      </c>
      <c r="AX16" s="789" t="str">
        <f t="shared" ca="1" si="31"/>
        <v/>
      </c>
      <c r="AY16" s="789" t="str">
        <f t="shared" ca="1" si="32"/>
        <v/>
      </c>
      <c r="AZ16" s="789" t="str">
        <f t="shared" ca="1" si="33"/>
        <v/>
      </c>
      <c r="BA16" s="789" t="str">
        <f t="shared" ca="1" si="34"/>
        <v/>
      </c>
      <c r="BB16" s="789" t="str">
        <f t="shared" ca="1" si="35"/>
        <v/>
      </c>
      <c r="BC16" s="789" t="str">
        <f t="shared" ca="1" si="36"/>
        <v/>
      </c>
      <c r="BD16" s="789" t="str">
        <f t="shared" ca="1" si="37"/>
        <v/>
      </c>
      <c r="BE16" s="789" t="str">
        <f t="shared" ca="1" si="38"/>
        <v/>
      </c>
      <c r="BF16" s="789" t="str">
        <f t="shared" ca="1" si="39"/>
        <v/>
      </c>
      <c r="BG16" s="789" t="str">
        <f t="shared" ca="1" si="40"/>
        <v/>
      </c>
      <c r="BH16" s="789" t="str">
        <f t="shared" ca="1" si="41"/>
        <v/>
      </c>
      <c r="BI16" s="789" t="str">
        <f t="shared" ca="1" si="42"/>
        <v/>
      </c>
      <c r="BJ16" s="789" t="str">
        <f t="shared" ca="1" si="43"/>
        <v/>
      </c>
      <c r="BK16" s="789" t="str">
        <f t="shared" ca="1" si="44"/>
        <v/>
      </c>
      <c r="BL16" s="789" t="str">
        <f t="shared" ca="1" si="45"/>
        <v/>
      </c>
      <c r="BM16" s="789" t="str">
        <f t="shared" ca="1" si="46"/>
        <v/>
      </c>
      <c r="BN16" s="789" t="str">
        <f t="shared" ca="1" si="47"/>
        <v/>
      </c>
      <c r="BO16" s="789" t="str">
        <f t="shared" ca="1" si="48"/>
        <v/>
      </c>
    </row>
    <row r="17" spans="1:67" ht="20.100000000000001" customHeight="1">
      <c r="A17" s="784">
        <v>16</v>
      </c>
      <c r="B17" s="1594"/>
      <c r="C17" s="1596"/>
      <c r="D17" s="785" t="s">
        <v>356</v>
      </c>
      <c r="E17" s="779"/>
      <c r="F17" s="786"/>
      <c r="G17" s="787" t="s">
        <v>453</v>
      </c>
      <c r="H17" s="788">
        <f t="shared" ca="1" si="0"/>
        <v>41.8</v>
      </c>
      <c r="I17" s="788">
        <f t="shared" ca="1" si="1"/>
        <v>41.8</v>
      </c>
      <c r="J17" s="788">
        <f t="shared" ca="1" si="2"/>
        <v>41.8</v>
      </c>
      <c r="K17" s="788">
        <f t="shared" ca="1" si="3"/>
        <v>41.8</v>
      </c>
      <c r="L17" s="789">
        <f t="shared" ca="1" si="49"/>
        <v>0</v>
      </c>
      <c r="M17" s="789">
        <f t="shared" ca="1" si="4"/>
        <v>0</v>
      </c>
      <c r="N17" s="789">
        <f t="shared" ca="1" si="4"/>
        <v>0</v>
      </c>
      <c r="O17" s="789">
        <f t="shared" ca="1" si="4"/>
        <v>0</v>
      </c>
      <c r="P17" s="789">
        <f ca="1">SUM(SUMIFS(OFFSET(貼付け_2024実績,$A17,9,1,199),OFFSET(貼付け_2024実績,4,9,1,199),{"横浜*","川崎*"}))</f>
        <v>0</v>
      </c>
      <c r="Q17" s="789">
        <f ca="1">SUM(SUMIFS(OFFSET(貼付け_2025実績,$A17,9,1,199),OFFSET(貼付け_2025実績,4,9,1,199),{"横浜*","川崎*"}))</f>
        <v>0</v>
      </c>
      <c r="R17" s="789">
        <f ca="1">SUM(SUMIFS(OFFSET(貼付け_2026実績,$A17,9,1,199),OFFSET(貼付け_2026実績,4,9,1,199),{"横浜*","川崎*"}))</f>
        <v>0</v>
      </c>
      <c r="S17" s="789">
        <f ca="1">SUM(SUMIFS(OFFSET(貼付け_2027実績,$A17,9,1,199),OFFSET(貼付け_2027実績,4,9,1,199),{"横浜*","川崎*"}))</f>
        <v>0</v>
      </c>
      <c r="T17" s="789">
        <f t="shared" ca="1" si="50"/>
        <v>0</v>
      </c>
      <c r="U17" s="789">
        <f t="shared" ca="1" si="5"/>
        <v>0</v>
      </c>
      <c r="V17" s="789">
        <f t="shared" ca="1" si="5"/>
        <v>0</v>
      </c>
      <c r="W17" s="789">
        <f t="shared" ca="1" si="5"/>
        <v>0</v>
      </c>
      <c r="X17" s="789">
        <f t="shared" ca="1" si="6"/>
        <v>0</v>
      </c>
      <c r="Y17" s="789">
        <f t="shared" ca="1" si="7"/>
        <v>0</v>
      </c>
      <c r="Z17" s="789">
        <f t="shared" ca="1" si="8"/>
        <v>0</v>
      </c>
      <c r="AA17" s="789">
        <f t="shared" ca="1" si="9"/>
        <v>0</v>
      </c>
      <c r="AB17" s="789" t="str">
        <f t="shared" ca="1" si="51"/>
        <v/>
      </c>
      <c r="AC17" s="789" t="str">
        <f t="shared" ca="1" si="10"/>
        <v/>
      </c>
      <c r="AD17" s="789" t="str">
        <f t="shared" ca="1" si="11"/>
        <v/>
      </c>
      <c r="AE17" s="789" t="str">
        <f t="shared" ca="1" si="12"/>
        <v/>
      </c>
      <c r="AF17" s="789" t="str">
        <f t="shared" ca="1" si="13"/>
        <v/>
      </c>
      <c r="AG17" s="789" t="str">
        <f t="shared" ca="1" si="14"/>
        <v/>
      </c>
      <c r="AH17" s="789" t="str">
        <f t="shared" ca="1" si="15"/>
        <v/>
      </c>
      <c r="AI17" s="789" t="str">
        <f t="shared" ca="1" si="16"/>
        <v/>
      </c>
      <c r="AJ17" s="789" t="str">
        <f t="shared" ca="1" si="17"/>
        <v/>
      </c>
      <c r="AK17" s="789" t="str">
        <f t="shared" ca="1" si="18"/>
        <v/>
      </c>
      <c r="AL17" s="789" t="str">
        <f t="shared" ca="1" si="19"/>
        <v/>
      </c>
      <c r="AM17" s="789" t="str">
        <f t="shared" ca="1" si="20"/>
        <v/>
      </c>
      <c r="AN17" s="789" t="str">
        <f t="shared" ca="1" si="21"/>
        <v/>
      </c>
      <c r="AO17" s="789" t="str">
        <f t="shared" ca="1" si="22"/>
        <v/>
      </c>
      <c r="AP17" s="789" t="str">
        <f t="shared" ca="1" si="23"/>
        <v/>
      </c>
      <c r="AQ17" s="789" t="str">
        <f t="shared" ca="1" si="24"/>
        <v/>
      </c>
      <c r="AR17" s="789" t="str">
        <f t="shared" ca="1" si="25"/>
        <v/>
      </c>
      <c r="AS17" s="789" t="str">
        <f t="shared" ca="1" si="26"/>
        <v/>
      </c>
      <c r="AT17" s="789" t="str">
        <f t="shared" ca="1" si="27"/>
        <v/>
      </c>
      <c r="AU17" s="789" t="str">
        <f t="shared" ca="1" si="28"/>
        <v/>
      </c>
      <c r="AV17" s="789" t="str">
        <f t="shared" ca="1" si="29"/>
        <v/>
      </c>
      <c r="AW17" s="789" t="str">
        <f t="shared" ca="1" si="30"/>
        <v/>
      </c>
      <c r="AX17" s="789" t="str">
        <f t="shared" ca="1" si="31"/>
        <v/>
      </c>
      <c r="AY17" s="789" t="str">
        <f t="shared" ca="1" si="32"/>
        <v/>
      </c>
      <c r="AZ17" s="789" t="str">
        <f t="shared" ca="1" si="33"/>
        <v/>
      </c>
      <c r="BA17" s="789" t="str">
        <f t="shared" ca="1" si="34"/>
        <v/>
      </c>
      <c r="BB17" s="789" t="str">
        <f t="shared" ca="1" si="35"/>
        <v/>
      </c>
      <c r="BC17" s="789" t="str">
        <f t="shared" ca="1" si="36"/>
        <v/>
      </c>
      <c r="BD17" s="789" t="str">
        <f t="shared" ca="1" si="37"/>
        <v/>
      </c>
      <c r="BE17" s="789" t="str">
        <f t="shared" ca="1" si="38"/>
        <v/>
      </c>
      <c r="BF17" s="789" t="str">
        <f t="shared" ca="1" si="39"/>
        <v/>
      </c>
      <c r="BG17" s="789" t="str">
        <f t="shared" ca="1" si="40"/>
        <v/>
      </c>
      <c r="BH17" s="789" t="str">
        <f t="shared" ca="1" si="41"/>
        <v/>
      </c>
      <c r="BI17" s="789" t="str">
        <f t="shared" ca="1" si="42"/>
        <v/>
      </c>
      <c r="BJ17" s="789" t="str">
        <f t="shared" ca="1" si="43"/>
        <v/>
      </c>
      <c r="BK17" s="789" t="str">
        <f t="shared" ca="1" si="44"/>
        <v/>
      </c>
      <c r="BL17" s="789" t="str">
        <f t="shared" ca="1" si="45"/>
        <v/>
      </c>
      <c r="BM17" s="789" t="str">
        <f t="shared" ca="1" si="46"/>
        <v/>
      </c>
      <c r="BN17" s="789" t="str">
        <f t="shared" ca="1" si="47"/>
        <v/>
      </c>
      <c r="BO17" s="789" t="str">
        <f t="shared" ca="1" si="48"/>
        <v/>
      </c>
    </row>
    <row r="18" spans="1:67" ht="20.100000000000001" customHeight="1">
      <c r="A18" s="784">
        <v>17</v>
      </c>
      <c r="B18" s="1594"/>
      <c r="C18" s="1596"/>
      <c r="D18" s="785" t="s">
        <v>358</v>
      </c>
      <c r="E18" s="785"/>
      <c r="F18" s="786"/>
      <c r="G18" s="787" t="s">
        <v>455</v>
      </c>
      <c r="H18" s="788">
        <f t="shared" ca="1" si="0"/>
        <v>40</v>
      </c>
      <c r="I18" s="788">
        <f t="shared" ca="1" si="1"/>
        <v>40</v>
      </c>
      <c r="J18" s="788">
        <f t="shared" ca="1" si="2"/>
        <v>40</v>
      </c>
      <c r="K18" s="788">
        <f t="shared" ca="1" si="3"/>
        <v>40</v>
      </c>
      <c r="L18" s="789">
        <f t="shared" ca="1" si="49"/>
        <v>0</v>
      </c>
      <c r="M18" s="789">
        <f t="shared" ca="1" si="4"/>
        <v>0</v>
      </c>
      <c r="N18" s="789">
        <f t="shared" ca="1" si="4"/>
        <v>0</v>
      </c>
      <c r="O18" s="789">
        <f t="shared" ca="1" si="4"/>
        <v>0</v>
      </c>
      <c r="P18" s="789">
        <f ca="1">SUM(SUMIFS(OFFSET(貼付け_2024実績,$A18,9,1,199),OFFSET(貼付け_2024実績,4,9,1,199),{"横浜*","川崎*"}))</f>
        <v>0</v>
      </c>
      <c r="Q18" s="789">
        <f ca="1">SUM(SUMIFS(OFFSET(貼付け_2025実績,$A18,9,1,199),OFFSET(貼付け_2025実績,4,9,1,199),{"横浜*","川崎*"}))</f>
        <v>0</v>
      </c>
      <c r="R18" s="789">
        <f ca="1">SUM(SUMIFS(OFFSET(貼付け_2026実績,$A18,9,1,199),OFFSET(貼付け_2026実績,4,9,1,199),{"横浜*","川崎*"}))</f>
        <v>0</v>
      </c>
      <c r="S18" s="789">
        <f ca="1">SUM(SUMIFS(OFFSET(貼付け_2027実績,$A18,9,1,199),OFFSET(貼付け_2027実績,4,9,1,199),{"横浜*","川崎*"}))</f>
        <v>0</v>
      </c>
      <c r="T18" s="789">
        <f t="shared" ca="1" si="50"/>
        <v>0</v>
      </c>
      <c r="U18" s="789">
        <f t="shared" ca="1" si="5"/>
        <v>0</v>
      </c>
      <c r="V18" s="789">
        <f t="shared" ca="1" si="5"/>
        <v>0</v>
      </c>
      <c r="W18" s="789">
        <f t="shared" ca="1" si="5"/>
        <v>0</v>
      </c>
      <c r="X18" s="789">
        <f t="shared" ca="1" si="6"/>
        <v>0</v>
      </c>
      <c r="Y18" s="789">
        <f t="shared" ca="1" si="7"/>
        <v>0</v>
      </c>
      <c r="Z18" s="789">
        <f t="shared" ca="1" si="8"/>
        <v>0</v>
      </c>
      <c r="AA18" s="789">
        <f t="shared" ca="1" si="9"/>
        <v>0</v>
      </c>
      <c r="AB18" s="789" t="str">
        <f t="shared" ca="1" si="51"/>
        <v/>
      </c>
      <c r="AC18" s="789" t="str">
        <f t="shared" ca="1" si="10"/>
        <v/>
      </c>
      <c r="AD18" s="789" t="str">
        <f t="shared" ca="1" si="11"/>
        <v/>
      </c>
      <c r="AE18" s="789" t="str">
        <f t="shared" ca="1" si="12"/>
        <v/>
      </c>
      <c r="AF18" s="789" t="str">
        <f t="shared" ca="1" si="13"/>
        <v/>
      </c>
      <c r="AG18" s="789" t="str">
        <f t="shared" ca="1" si="14"/>
        <v/>
      </c>
      <c r="AH18" s="789" t="str">
        <f t="shared" ca="1" si="15"/>
        <v/>
      </c>
      <c r="AI18" s="789" t="str">
        <f t="shared" ca="1" si="16"/>
        <v/>
      </c>
      <c r="AJ18" s="789" t="str">
        <f t="shared" ca="1" si="17"/>
        <v/>
      </c>
      <c r="AK18" s="789" t="str">
        <f t="shared" ca="1" si="18"/>
        <v/>
      </c>
      <c r="AL18" s="789" t="str">
        <f t="shared" ca="1" si="19"/>
        <v/>
      </c>
      <c r="AM18" s="789" t="str">
        <f t="shared" ca="1" si="20"/>
        <v/>
      </c>
      <c r="AN18" s="789" t="str">
        <f t="shared" ca="1" si="21"/>
        <v/>
      </c>
      <c r="AO18" s="789" t="str">
        <f t="shared" ca="1" si="22"/>
        <v/>
      </c>
      <c r="AP18" s="789" t="str">
        <f t="shared" ca="1" si="23"/>
        <v/>
      </c>
      <c r="AQ18" s="789" t="str">
        <f t="shared" ca="1" si="24"/>
        <v/>
      </c>
      <c r="AR18" s="789" t="str">
        <f t="shared" ca="1" si="25"/>
        <v/>
      </c>
      <c r="AS18" s="789" t="str">
        <f t="shared" ca="1" si="26"/>
        <v/>
      </c>
      <c r="AT18" s="789" t="str">
        <f t="shared" ca="1" si="27"/>
        <v/>
      </c>
      <c r="AU18" s="789" t="str">
        <f t="shared" ca="1" si="28"/>
        <v/>
      </c>
      <c r="AV18" s="789" t="str">
        <f t="shared" ca="1" si="29"/>
        <v/>
      </c>
      <c r="AW18" s="789" t="str">
        <f t="shared" ca="1" si="30"/>
        <v/>
      </c>
      <c r="AX18" s="789" t="str">
        <f t="shared" ca="1" si="31"/>
        <v/>
      </c>
      <c r="AY18" s="789" t="str">
        <f t="shared" ca="1" si="32"/>
        <v/>
      </c>
      <c r="AZ18" s="789" t="str">
        <f t="shared" ca="1" si="33"/>
        <v/>
      </c>
      <c r="BA18" s="789" t="str">
        <f t="shared" ca="1" si="34"/>
        <v/>
      </c>
      <c r="BB18" s="789" t="str">
        <f t="shared" ca="1" si="35"/>
        <v/>
      </c>
      <c r="BC18" s="789" t="str">
        <f t="shared" ca="1" si="36"/>
        <v/>
      </c>
      <c r="BD18" s="789" t="str">
        <f t="shared" ca="1" si="37"/>
        <v/>
      </c>
      <c r="BE18" s="789" t="str">
        <f t="shared" ca="1" si="38"/>
        <v/>
      </c>
      <c r="BF18" s="789" t="str">
        <f t="shared" ca="1" si="39"/>
        <v/>
      </c>
      <c r="BG18" s="789" t="str">
        <f t="shared" ca="1" si="40"/>
        <v/>
      </c>
      <c r="BH18" s="789" t="str">
        <f t="shared" ca="1" si="41"/>
        <v/>
      </c>
      <c r="BI18" s="789" t="str">
        <f t="shared" ca="1" si="42"/>
        <v/>
      </c>
      <c r="BJ18" s="789" t="str">
        <f t="shared" ca="1" si="43"/>
        <v/>
      </c>
      <c r="BK18" s="789" t="str">
        <f t="shared" ca="1" si="44"/>
        <v/>
      </c>
      <c r="BL18" s="789" t="str">
        <f t="shared" ca="1" si="45"/>
        <v/>
      </c>
      <c r="BM18" s="789" t="str">
        <f t="shared" ca="1" si="46"/>
        <v/>
      </c>
      <c r="BN18" s="789" t="str">
        <f t="shared" ca="1" si="47"/>
        <v/>
      </c>
      <c r="BO18" s="789" t="str">
        <f t="shared" ca="1" si="48"/>
        <v/>
      </c>
    </row>
    <row r="19" spans="1:67" ht="20.100000000000001" customHeight="1">
      <c r="A19" s="784">
        <v>18</v>
      </c>
      <c r="B19" s="1594"/>
      <c r="C19" s="1596"/>
      <c r="D19" s="785" t="s">
        <v>359</v>
      </c>
      <c r="E19" s="785"/>
      <c r="F19" s="786"/>
      <c r="G19" s="787" t="s">
        <v>455</v>
      </c>
      <c r="H19" s="788">
        <f t="shared" ca="1" si="0"/>
        <v>34.1</v>
      </c>
      <c r="I19" s="788">
        <f t="shared" ca="1" si="1"/>
        <v>34.1</v>
      </c>
      <c r="J19" s="788">
        <f t="shared" ca="1" si="2"/>
        <v>34.1</v>
      </c>
      <c r="K19" s="788">
        <f t="shared" ca="1" si="3"/>
        <v>34.1</v>
      </c>
      <c r="L19" s="789">
        <f t="shared" ca="1" si="49"/>
        <v>0</v>
      </c>
      <c r="M19" s="789">
        <f t="shared" ca="1" si="4"/>
        <v>0</v>
      </c>
      <c r="N19" s="789">
        <f t="shared" ca="1" si="4"/>
        <v>0</v>
      </c>
      <c r="O19" s="789">
        <f t="shared" ca="1" si="4"/>
        <v>0</v>
      </c>
      <c r="P19" s="789">
        <f ca="1">SUM(SUMIFS(OFFSET(貼付け_2024実績,$A19,9,1,199),OFFSET(貼付け_2024実績,4,9,1,199),{"横浜*","川崎*"}))</f>
        <v>0</v>
      </c>
      <c r="Q19" s="789">
        <f ca="1">SUM(SUMIFS(OFFSET(貼付け_2025実績,$A19,9,1,199),OFFSET(貼付け_2025実績,4,9,1,199),{"横浜*","川崎*"}))</f>
        <v>0</v>
      </c>
      <c r="R19" s="789">
        <f ca="1">SUM(SUMIFS(OFFSET(貼付け_2026実績,$A19,9,1,199),OFFSET(貼付け_2026実績,4,9,1,199),{"横浜*","川崎*"}))</f>
        <v>0</v>
      </c>
      <c r="S19" s="789">
        <f ca="1">SUM(SUMIFS(OFFSET(貼付け_2027実績,$A19,9,1,199),OFFSET(貼付け_2027実績,4,9,1,199),{"横浜*","川崎*"}))</f>
        <v>0</v>
      </c>
      <c r="T19" s="789">
        <f t="shared" ca="1" si="50"/>
        <v>0</v>
      </c>
      <c r="U19" s="789">
        <f t="shared" ca="1" si="5"/>
        <v>0</v>
      </c>
      <c r="V19" s="789">
        <f t="shared" ca="1" si="5"/>
        <v>0</v>
      </c>
      <c r="W19" s="789">
        <f t="shared" ca="1" si="5"/>
        <v>0</v>
      </c>
      <c r="X19" s="789">
        <f t="shared" ca="1" si="6"/>
        <v>0</v>
      </c>
      <c r="Y19" s="789">
        <f t="shared" ca="1" si="7"/>
        <v>0</v>
      </c>
      <c r="Z19" s="789">
        <f t="shared" ca="1" si="8"/>
        <v>0</v>
      </c>
      <c r="AA19" s="789">
        <f t="shared" ca="1" si="9"/>
        <v>0</v>
      </c>
      <c r="AB19" s="789" t="str">
        <f t="shared" ca="1" si="51"/>
        <v/>
      </c>
      <c r="AC19" s="789" t="str">
        <f t="shared" ca="1" si="10"/>
        <v/>
      </c>
      <c r="AD19" s="789" t="str">
        <f t="shared" ca="1" si="11"/>
        <v/>
      </c>
      <c r="AE19" s="789" t="str">
        <f t="shared" ca="1" si="12"/>
        <v/>
      </c>
      <c r="AF19" s="789" t="str">
        <f t="shared" ca="1" si="13"/>
        <v/>
      </c>
      <c r="AG19" s="789" t="str">
        <f t="shared" ca="1" si="14"/>
        <v/>
      </c>
      <c r="AH19" s="789" t="str">
        <f t="shared" ca="1" si="15"/>
        <v/>
      </c>
      <c r="AI19" s="789" t="str">
        <f t="shared" ca="1" si="16"/>
        <v/>
      </c>
      <c r="AJ19" s="789" t="str">
        <f t="shared" ca="1" si="17"/>
        <v/>
      </c>
      <c r="AK19" s="789" t="str">
        <f t="shared" ca="1" si="18"/>
        <v/>
      </c>
      <c r="AL19" s="789" t="str">
        <f t="shared" ca="1" si="19"/>
        <v/>
      </c>
      <c r="AM19" s="789" t="str">
        <f t="shared" ca="1" si="20"/>
        <v/>
      </c>
      <c r="AN19" s="789" t="str">
        <f t="shared" ca="1" si="21"/>
        <v/>
      </c>
      <c r="AO19" s="789" t="str">
        <f t="shared" ca="1" si="22"/>
        <v/>
      </c>
      <c r="AP19" s="789" t="str">
        <f t="shared" ca="1" si="23"/>
        <v/>
      </c>
      <c r="AQ19" s="789" t="str">
        <f t="shared" ca="1" si="24"/>
        <v/>
      </c>
      <c r="AR19" s="789" t="str">
        <f t="shared" ca="1" si="25"/>
        <v/>
      </c>
      <c r="AS19" s="789" t="str">
        <f t="shared" ca="1" si="26"/>
        <v/>
      </c>
      <c r="AT19" s="789" t="str">
        <f t="shared" ca="1" si="27"/>
        <v/>
      </c>
      <c r="AU19" s="789" t="str">
        <f t="shared" ca="1" si="28"/>
        <v/>
      </c>
      <c r="AV19" s="789" t="str">
        <f t="shared" ca="1" si="29"/>
        <v/>
      </c>
      <c r="AW19" s="789" t="str">
        <f t="shared" ca="1" si="30"/>
        <v/>
      </c>
      <c r="AX19" s="789" t="str">
        <f t="shared" ca="1" si="31"/>
        <v/>
      </c>
      <c r="AY19" s="789" t="str">
        <f t="shared" ca="1" si="32"/>
        <v/>
      </c>
      <c r="AZ19" s="789" t="str">
        <f t="shared" ca="1" si="33"/>
        <v/>
      </c>
      <c r="BA19" s="789" t="str">
        <f t="shared" ca="1" si="34"/>
        <v/>
      </c>
      <c r="BB19" s="789" t="str">
        <f t="shared" ca="1" si="35"/>
        <v/>
      </c>
      <c r="BC19" s="789" t="str">
        <f t="shared" ca="1" si="36"/>
        <v/>
      </c>
      <c r="BD19" s="789" t="str">
        <f t="shared" ca="1" si="37"/>
        <v/>
      </c>
      <c r="BE19" s="789" t="str">
        <f t="shared" ca="1" si="38"/>
        <v/>
      </c>
      <c r="BF19" s="789" t="str">
        <f t="shared" ca="1" si="39"/>
        <v/>
      </c>
      <c r="BG19" s="789" t="str">
        <f t="shared" ca="1" si="40"/>
        <v/>
      </c>
      <c r="BH19" s="789" t="str">
        <f t="shared" ca="1" si="41"/>
        <v/>
      </c>
      <c r="BI19" s="789" t="str">
        <f t="shared" ca="1" si="42"/>
        <v/>
      </c>
      <c r="BJ19" s="789" t="str">
        <f t="shared" ca="1" si="43"/>
        <v/>
      </c>
      <c r="BK19" s="789" t="str">
        <f t="shared" ca="1" si="44"/>
        <v/>
      </c>
      <c r="BL19" s="789" t="str">
        <f t="shared" ca="1" si="45"/>
        <v/>
      </c>
      <c r="BM19" s="789" t="str">
        <f t="shared" ca="1" si="46"/>
        <v/>
      </c>
      <c r="BN19" s="789" t="str">
        <f t="shared" ca="1" si="47"/>
        <v/>
      </c>
      <c r="BO19" s="789" t="str">
        <f t="shared" ca="1" si="48"/>
        <v/>
      </c>
    </row>
    <row r="20" spans="1:67" ht="20.100000000000001" customHeight="1">
      <c r="A20" s="784">
        <v>19</v>
      </c>
      <c r="B20" s="1595"/>
      <c r="C20" s="1596"/>
      <c r="D20" s="785" t="s">
        <v>360</v>
      </c>
      <c r="E20" s="785"/>
      <c r="F20" s="786"/>
      <c r="G20" s="787" t="s">
        <v>455</v>
      </c>
      <c r="H20" s="788">
        <f t="shared" ca="1" si="0"/>
        <v>50.1</v>
      </c>
      <c r="I20" s="788">
        <f t="shared" ca="1" si="1"/>
        <v>50.1</v>
      </c>
      <c r="J20" s="788">
        <f t="shared" ca="1" si="2"/>
        <v>50.1</v>
      </c>
      <c r="K20" s="788">
        <f t="shared" ca="1" si="3"/>
        <v>50.1</v>
      </c>
      <c r="L20" s="789">
        <f t="shared" ca="1" si="49"/>
        <v>0</v>
      </c>
      <c r="M20" s="789">
        <f t="shared" ca="1" si="4"/>
        <v>0</v>
      </c>
      <c r="N20" s="789">
        <f t="shared" ca="1" si="4"/>
        <v>0</v>
      </c>
      <c r="O20" s="789">
        <f t="shared" ca="1" si="4"/>
        <v>0</v>
      </c>
      <c r="P20" s="789">
        <f ca="1">SUM(SUMIFS(OFFSET(貼付け_2024実績,$A20,9,1,199),OFFSET(貼付け_2024実績,4,9,1,199),{"横浜*","川崎*"}))</f>
        <v>0</v>
      </c>
      <c r="Q20" s="789">
        <f ca="1">SUM(SUMIFS(OFFSET(貼付け_2025実績,$A20,9,1,199),OFFSET(貼付け_2025実績,4,9,1,199),{"横浜*","川崎*"}))</f>
        <v>0</v>
      </c>
      <c r="R20" s="789">
        <f ca="1">SUM(SUMIFS(OFFSET(貼付け_2026実績,$A20,9,1,199),OFFSET(貼付け_2026実績,4,9,1,199),{"横浜*","川崎*"}))</f>
        <v>0</v>
      </c>
      <c r="S20" s="789">
        <f ca="1">SUM(SUMIFS(OFFSET(貼付け_2027実績,$A20,9,1,199),OFFSET(貼付け_2027実績,4,9,1,199),{"横浜*","川崎*"}))</f>
        <v>0</v>
      </c>
      <c r="T20" s="789">
        <f t="shared" ca="1" si="50"/>
        <v>0</v>
      </c>
      <c r="U20" s="789">
        <f t="shared" ca="1" si="5"/>
        <v>0</v>
      </c>
      <c r="V20" s="789">
        <f t="shared" ca="1" si="5"/>
        <v>0</v>
      </c>
      <c r="W20" s="789">
        <f t="shared" ca="1" si="5"/>
        <v>0</v>
      </c>
      <c r="X20" s="789">
        <f t="shared" ca="1" si="6"/>
        <v>0</v>
      </c>
      <c r="Y20" s="789">
        <f t="shared" ca="1" si="7"/>
        <v>0</v>
      </c>
      <c r="Z20" s="789">
        <f t="shared" ca="1" si="8"/>
        <v>0</v>
      </c>
      <c r="AA20" s="789">
        <f t="shared" ca="1" si="9"/>
        <v>0</v>
      </c>
      <c r="AB20" s="789" t="str">
        <f t="shared" ca="1" si="51"/>
        <v/>
      </c>
      <c r="AC20" s="789" t="str">
        <f t="shared" ca="1" si="10"/>
        <v/>
      </c>
      <c r="AD20" s="789" t="str">
        <f t="shared" ca="1" si="11"/>
        <v/>
      </c>
      <c r="AE20" s="789" t="str">
        <f t="shared" ca="1" si="12"/>
        <v/>
      </c>
      <c r="AF20" s="789" t="str">
        <f t="shared" ca="1" si="13"/>
        <v/>
      </c>
      <c r="AG20" s="789" t="str">
        <f t="shared" ca="1" si="14"/>
        <v/>
      </c>
      <c r="AH20" s="789" t="str">
        <f t="shared" ca="1" si="15"/>
        <v/>
      </c>
      <c r="AI20" s="789" t="str">
        <f t="shared" ca="1" si="16"/>
        <v/>
      </c>
      <c r="AJ20" s="789" t="str">
        <f t="shared" ca="1" si="17"/>
        <v/>
      </c>
      <c r="AK20" s="789" t="str">
        <f t="shared" ca="1" si="18"/>
        <v/>
      </c>
      <c r="AL20" s="789" t="str">
        <f t="shared" ca="1" si="19"/>
        <v/>
      </c>
      <c r="AM20" s="789" t="str">
        <f t="shared" ca="1" si="20"/>
        <v/>
      </c>
      <c r="AN20" s="789" t="str">
        <f t="shared" ca="1" si="21"/>
        <v/>
      </c>
      <c r="AO20" s="789" t="str">
        <f t="shared" ca="1" si="22"/>
        <v/>
      </c>
      <c r="AP20" s="789" t="str">
        <f t="shared" ca="1" si="23"/>
        <v/>
      </c>
      <c r="AQ20" s="789" t="str">
        <f t="shared" ca="1" si="24"/>
        <v/>
      </c>
      <c r="AR20" s="789" t="str">
        <f t="shared" ca="1" si="25"/>
        <v/>
      </c>
      <c r="AS20" s="789" t="str">
        <f t="shared" ca="1" si="26"/>
        <v/>
      </c>
      <c r="AT20" s="789" t="str">
        <f t="shared" ca="1" si="27"/>
        <v/>
      </c>
      <c r="AU20" s="789" t="str">
        <f t="shared" ca="1" si="28"/>
        <v/>
      </c>
      <c r="AV20" s="789" t="str">
        <f t="shared" ca="1" si="29"/>
        <v/>
      </c>
      <c r="AW20" s="789" t="str">
        <f t="shared" ca="1" si="30"/>
        <v/>
      </c>
      <c r="AX20" s="789" t="str">
        <f t="shared" ca="1" si="31"/>
        <v/>
      </c>
      <c r="AY20" s="789" t="str">
        <f t="shared" ca="1" si="32"/>
        <v/>
      </c>
      <c r="AZ20" s="789" t="str">
        <f t="shared" ca="1" si="33"/>
        <v/>
      </c>
      <c r="BA20" s="789" t="str">
        <f t="shared" ca="1" si="34"/>
        <v/>
      </c>
      <c r="BB20" s="789" t="str">
        <f t="shared" ca="1" si="35"/>
        <v/>
      </c>
      <c r="BC20" s="789" t="str">
        <f t="shared" ca="1" si="36"/>
        <v/>
      </c>
      <c r="BD20" s="789" t="str">
        <f t="shared" ca="1" si="37"/>
        <v/>
      </c>
      <c r="BE20" s="789" t="str">
        <f t="shared" ca="1" si="38"/>
        <v/>
      </c>
      <c r="BF20" s="789" t="str">
        <f t="shared" ca="1" si="39"/>
        <v/>
      </c>
      <c r="BG20" s="789" t="str">
        <f t="shared" ca="1" si="40"/>
        <v/>
      </c>
      <c r="BH20" s="789" t="str">
        <f t="shared" ca="1" si="41"/>
        <v/>
      </c>
      <c r="BI20" s="789" t="str">
        <f t="shared" ca="1" si="42"/>
        <v/>
      </c>
      <c r="BJ20" s="789" t="str">
        <f t="shared" ca="1" si="43"/>
        <v/>
      </c>
      <c r="BK20" s="789" t="str">
        <f t="shared" ca="1" si="44"/>
        <v/>
      </c>
      <c r="BL20" s="789" t="str">
        <f t="shared" ca="1" si="45"/>
        <v/>
      </c>
      <c r="BM20" s="789" t="str">
        <f t="shared" ca="1" si="46"/>
        <v/>
      </c>
      <c r="BN20" s="789" t="str">
        <f t="shared" ca="1" si="47"/>
        <v/>
      </c>
      <c r="BO20" s="789" t="str">
        <f t="shared" ca="1" si="48"/>
        <v/>
      </c>
    </row>
    <row r="21" spans="1:67" ht="20.100000000000001" customHeight="1">
      <c r="A21" s="784">
        <v>20</v>
      </c>
      <c r="B21" s="1594"/>
      <c r="C21" s="1596"/>
      <c r="D21" s="785" t="s">
        <v>361</v>
      </c>
      <c r="E21" s="785"/>
      <c r="F21" s="786"/>
      <c r="G21" s="787" t="s">
        <v>457</v>
      </c>
      <c r="H21" s="788">
        <f t="shared" ca="1" si="0"/>
        <v>46.1</v>
      </c>
      <c r="I21" s="788">
        <f t="shared" ca="1" si="1"/>
        <v>46.1</v>
      </c>
      <c r="J21" s="788">
        <f t="shared" ca="1" si="2"/>
        <v>46.1</v>
      </c>
      <c r="K21" s="788">
        <f t="shared" ca="1" si="3"/>
        <v>46.1</v>
      </c>
      <c r="L21" s="789">
        <f t="shared" ca="1" si="49"/>
        <v>0</v>
      </c>
      <c r="M21" s="789">
        <f t="shared" ca="1" si="4"/>
        <v>0</v>
      </c>
      <c r="N21" s="789">
        <f t="shared" ca="1" si="4"/>
        <v>0</v>
      </c>
      <c r="O21" s="789">
        <f t="shared" ca="1" si="4"/>
        <v>0</v>
      </c>
      <c r="P21" s="789">
        <f ca="1">SUM(SUMIFS(OFFSET(貼付け_2024実績,$A21,9,1,199),OFFSET(貼付け_2024実績,4,9,1,199),{"横浜*","川崎*"}))</f>
        <v>0</v>
      </c>
      <c r="Q21" s="789">
        <f ca="1">SUM(SUMIFS(OFFSET(貼付け_2025実績,$A21,9,1,199),OFFSET(貼付け_2025実績,4,9,1,199),{"横浜*","川崎*"}))</f>
        <v>0</v>
      </c>
      <c r="R21" s="789">
        <f ca="1">SUM(SUMIFS(OFFSET(貼付け_2026実績,$A21,9,1,199),OFFSET(貼付け_2026実績,4,9,1,199),{"横浜*","川崎*"}))</f>
        <v>0</v>
      </c>
      <c r="S21" s="789">
        <f ca="1">SUM(SUMIFS(OFFSET(貼付け_2027実績,$A21,9,1,199),OFFSET(貼付け_2027実績,4,9,1,199),{"横浜*","川崎*"}))</f>
        <v>0</v>
      </c>
      <c r="T21" s="789">
        <f t="shared" ca="1" si="50"/>
        <v>0</v>
      </c>
      <c r="U21" s="789">
        <f t="shared" ca="1" si="5"/>
        <v>0</v>
      </c>
      <c r="V21" s="789">
        <f t="shared" ca="1" si="5"/>
        <v>0</v>
      </c>
      <c r="W21" s="789">
        <f t="shared" ca="1" si="5"/>
        <v>0</v>
      </c>
      <c r="X21" s="789">
        <f t="shared" ca="1" si="6"/>
        <v>0</v>
      </c>
      <c r="Y21" s="789">
        <f t="shared" ca="1" si="7"/>
        <v>0</v>
      </c>
      <c r="Z21" s="789">
        <f t="shared" ca="1" si="8"/>
        <v>0</v>
      </c>
      <c r="AA21" s="789">
        <f t="shared" ca="1" si="9"/>
        <v>0</v>
      </c>
      <c r="AB21" s="789" t="str">
        <f t="shared" ca="1" si="51"/>
        <v/>
      </c>
      <c r="AC21" s="789" t="str">
        <f t="shared" ca="1" si="10"/>
        <v/>
      </c>
      <c r="AD21" s="789" t="str">
        <f t="shared" ca="1" si="11"/>
        <v/>
      </c>
      <c r="AE21" s="789" t="str">
        <f t="shared" ca="1" si="12"/>
        <v/>
      </c>
      <c r="AF21" s="789" t="str">
        <f t="shared" ca="1" si="13"/>
        <v/>
      </c>
      <c r="AG21" s="789" t="str">
        <f t="shared" ca="1" si="14"/>
        <v/>
      </c>
      <c r="AH21" s="789" t="str">
        <f t="shared" ca="1" si="15"/>
        <v/>
      </c>
      <c r="AI21" s="789" t="str">
        <f t="shared" ca="1" si="16"/>
        <v/>
      </c>
      <c r="AJ21" s="789" t="str">
        <f t="shared" ca="1" si="17"/>
        <v/>
      </c>
      <c r="AK21" s="789" t="str">
        <f t="shared" ca="1" si="18"/>
        <v/>
      </c>
      <c r="AL21" s="789" t="str">
        <f t="shared" ca="1" si="19"/>
        <v/>
      </c>
      <c r="AM21" s="789" t="str">
        <f t="shared" ca="1" si="20"/>
        <v/>
      </c>
      <c r="AN21" s="789" t="str">
        <f t="shared" ca="1" si="21"/>
        <v/>
      </c>
      <c r="AO21" s="789" t="str">
        <f t="shared" ca="1" si="22"/>
        <v/>
      </c>
      <c r="AP21" s="789" t="str">
        <f t="shared" ca="1" si="23"/>
        <v/>
      </c>
      <c r="AQ21" s="789" t="str">
        <f t="shared" ca="1" si="24"/>
        <v/>
      </c>
      <c r="AR21" s="789" t="str">
        <f t="shared" ca="1" si="25"/>
        <v/>
      </c>
      <c r="AS21" s="789" t="str">
        <f t="shared" ca="1" si="26"/>
        <v/>
      </c>
      <c r="AT21" s="789" t="str">
        <f t="shared" ca="1" si="27"/>
        <v/>
      </c>
      <c r="AU21" s="789" t="str">
        <f t="shared" ca="1" si="28"/>
        <v/>
      </c>
      <c r="AV21" s="789" t="str">
        <f t="shared" ca="1" si="29"/>
        <v/>
      </c>
      <c r="AW21" s="789" t="str">
        <f t="shared" ca="1" si="30"/>
        <v/>
      </c>
      <c r="AX21" s="789" t="str">
        <f t="shared" ca="1" si="31"/>
        <v/>
      </c>
      <c r="AY21" s="789" t="str">
        <f t="shared" ca="1" si="32"/>
        <v/>
      </c>
      <c r="AZ21" s="789" t="str">
        <f t="shared" ca="1" si="33"/>
        <v/>
      </c>
      <c r="BA21" s="789" t="str">
        <f t="shared" ca="1" si="34"/>
        <v/>
      </c>
      <c r="BB21" s="789" t="str">
        <f t="shared" ca="1" si="35"/>
        <v/>
      </c>
      <c r="BC21" s="789" t="str">
        <f t="shared" ca="1" si="36"/>
        <v/>
      </c>
      <c r="BD21" s="789" t="str">
        <f t="shared" ca="1" si="37"/>
        <v/>
      </c>
      <c r="BE21" s="789" t="str">
        <f t="shared" ca="1" si="38"/>
        <v/>
      </c>
      <c r="BF21" s="789" t="str">
        <f t="shared" ca="1" si="39"/>
        <v/>
      </c>
      <c r="BG21" s="789" t="str">
        <f t="shared" ca="1" si="40"/>
        <v/>
      </c>
      <c r="BH21" s="789" t="str">
        <f t="shared" ca="1" si="41"/>
        <v/>
      </c>
      <c r="BI21" s="789" t="str">
        <f t="shared" ca="1" si="42"/>
        <v/>
      </c>
      <c r="BJ21" s="789" t="str">
        <f t="shared" ca="1" si="43"/>
        <v/>
      </c>
      <c r="BK21" s="789" t="str">
        <f t="shared" ca="1" si="44"/>
        <v/>
      </c>
      <c r="BL21" s="789" t="str">
        <f t="shared" ca="1" si="45"/>
        <v/>
      </c>
      <c r="BM21" s="789" t="str">
        <f t="shared" ca="1" si="46"/>
        <v/>
      </c>
      <c r="BN21" s="789" t="str">
        <f t="shared" ca="1" si="47"/>
        <v/>
      </c>
      <c r="BO21" s="789" t="str">
        <f t="shared" ca="1" si="48"/>
        <v/>
      </c>
    </row>
    <row r="22" spans="1:67" ht="20.100000000000001" customHeight="1">
      <c r="A22" s="784">
        <v>21</v>
      </c>
      <c r="B22" s="1595"/>
      <c r="C22" s="1596"/>
      <c r="D22" s="785" t="s">
        <v>362</v>
      </c>
      <c r="E22" s="779"/>
      <c r="F22" s="786"/>
      <c r="G22" s="787" t="s">
        <v>455</v>
      </c>
      <c r="H22" s="788">
        <f t="shared" ca="1" si="0"/>
        <v>54.7</v>
      </c>
      <c r="I22" s="788">
        <f t="shared" ca="1" si="1"/>
        <v>54.7</v>
      </c>
      <c r="J22" s="788">
        <f t="shared" ca="1" si="2"/>
        <v>54.7</v>
      </c>
      <c r="K22" s="788">
        <f t="shared" ca="1" si="3"/>
        <v>54.7</v>
      </c>
      <c r="L22" s="789">
        <f t="shared" ca="1" si="49"/>
        <v>0</v>
      </c>
      <c r="M22" s="789">
        <f t="shared" ca="1" si="4"/>
        <v>0</v>
      </c>
      <c r="N22" s="789">
        <f t="shared" ca="1" si="4"/>
        <v>0</v>
      </c>
      <c r="O22" s="789">
        <f t="shared" ca="1" si="4"/>
        <v>0</v>
      </c>
      <c r="P22" s="789">
        <f ca="1">SUM(SUMIFS(OFFSET(貼付け_2024実績,$A22,9,1,199),OFFSET(貼付け_2024実績,4,9,1,199),{"横浜*","川崎*"}))</f>
        <v>0</v>
      </c>
      <c r="Q22" s="789">
        <f ca="1">SUM(SUMIFS(OFFSET(貼付け_2025実績,$A22,9,1,199),OFFSET(貼付け_2025実績,4,9,1,199),{"横浜*","川崎*"}))</f>
        <v>0</v>
      </c>
      <c r="R22" s="789">
        <f ca="1">SUM(SUMIFS(OFFSET(貼付け_2026実績,$A22,9,1,199),OFFSET(貼付け_2026実績,4,9,1,199),{"横浜*","川崎*"}))</f>
        <v>0</v>
      </c>
      <c r="S22" s="789">
        <f ca="1">SUM(SUMIFS(OFFSET(貼付け_2027実績,$A22,9,1,199),OFFSET(貼付け_2027実績,4,9,1,199),{"横浜*","川崎*"}))</f>
        <v>0</v>
      </c>
      <c r="T22" s="789">
        <f t="shared" ca="1" si="50"/>
        <v>0</v>
      </c>
      <c r="U22" s="789">
        <f t="shared" ca="1" si="5"/>
        <v>0</v>
      </c>
      <c r="V22" s="789">
        <f t="shared" ca="1" si="5"/>
        <v>0</v>
      </c>
      <c r="W22" s="789">
        <f t="shared" ca="1" si="5"/>
        <v>0</v>
      </c>
      <c r="X22" s="789">
        <f t="shared" ca="1" si="6"/>
        <v>0</v>
      </c>
      <c r="Y22" s="789">
        <f t="shared" ca="1" si="7"/>
        <v>0</v>
      </c>
      <c r="Z22" s="789">
        <f t="shared" ca="1" si="8"/>
        <v>0</v>
      </c>
      <c r="AA22" s="789">
        <f t="shared" ca="1" si="9"/>
        <v>0</v>
      </c>
      <c r="AB22" s="789" t="str">
        <f t="shared" ca="1" si="51"/>
        <v/>
      </c>
      <c r="AC22" s="789" t="str">
        <f t="shared" ca="1" si="10"/>
        <v/>
      </c>
      <c r="AD22" s="789" t="str">
        <f t="shared" ca="1" si="11"/>
        <v/>
      </c>
      <c r="AE22" s="789" t="str">
        <f t="shared" ca="1" si="12"/>
        <v/>
      </c>
      <c r="AF22" s="789" t="str">
        <f t="shared" ca="1" si="13"/>
        <v/>
      </c>
      <c r="AG22" s="789" t="str">
        <f t="shared" ca="1" si="14"/>
        <v/>
      </c>
      <c r="AH22" s="789" t="str">
        <f t="shared" ca="1" si="15"/>
        <v/>
      </c>
      <c r="AI22" s="789" t="str">
        <f t="shared" ca="1" si="16"/>
        <v/>
      </c>
      <c r="AJ22" s="789" t="str">
        <f t="shared" ca="1" si="17"/>
        <v/>
      </c>
      <c r="AK22" s="789" t="str">
        <f t="shared" ca="1" si="18"/>
        <v/>
      </c>
      <c r="AL22" s="789" t="str">
        <f t="shared" ca="1" si="19"/>
        <v/>
      </c>
      <c r="AM22" s="789" t="str">
        <f t="shared" ca="1" si="20"/>
        <v/>
      </c>
      <c r="AN22" s="789" t="str">
        <f t="shared" ca="1" si="21"/>
        <v/>
      </c>
      <c r="AO22" s="789" t="str">
        <f t="shared" ca="1" si="22"/>
        <v/>
      </c>
      <c r="AP22" s="789" t="str">
        <f t="shared" ca="1" si="23"/>
        <v/>
      </c>
      <c r="AQ22" s="789" t="str">
        <f t="shared" ca="1" si="24"/>
        <v/>
      </c>
      <c r="AR22" s="789" t="str">
        <f t="shared" ca="1" si="25"/>
        <v/>
      </c>
      <c r="AS22" s="789" t="str">
        <f t="shared" ca="1" si="26"/>
        <v/>
      </c>
      <c r="AT22" s="789" t="str">
        <f t="shared" ca="1" si="27"/>
        <v/>
      </c>
      <c r="AU22" s="789" t="str">
        <f t="shared" ca="1" si="28"/>
        <v/>
      </c>
      <c r="AV22" s="789" t="str">
        <f t="shared" ca="1" si="29"/>
        <v/>
      </c>
      <c r="AW22" s="789" t="str">
        <f t="shared" ca="1" si="30"/>
        <v/>
      </c>
      <c r="AX22" s="789" t="str">
        <f t="shared" ca="1" si="31"/>
        <v/>
      </c>
      <c r="AY22" s="789" t="str">
        <f t="shared" ca="1" si="32"/>
        <v/>
      </c>
      <c r="AZ22" s="789" t="str">
        <f t="shared" ca="1" si="33"/>
        <v/>
      </c>
      <c r="BA22" s="789" t="str">
        <f t="shared" ca="1" si="34"/>
        <v/>
      </c>
      <c r="BB22" s="789" t="str">
        <f t="shared" ca="1" si="35"/>
        <v/>
      </c>
      <c r="BC22" s="789" t="str">
        <f t="shared" ca="1" si="36"/>
        <v/>
      </c>
      <c r="BD22" s="789" t="str">
        <f t="shared" ca="1" si="37"/>
        <v/>
      </c>
      <c r="BE22" s="789" t="str">
        <f t="shared" ca="1" si="38"/>
        <v/>
      </c>
      <c r="BF22" s="789" t="str">
        <f t="shared" ca="1" si="39"/>
        <v/>
      </c>
      <c r="BG22" s="789" t="str">
        <f t="shared" ca="1" si="40"/>
        <v/>
      </c>
      <c r="BH22" s="789" t="str">
        <f t="shared" ca="1" si="41"/>
        <v/>
      </c>
      <c r="BI22" s="789" t="str">
        <f t="shared" ca="1" si="42"/>
        <v/>
      </c>
      <c r="BJ22" s="789" t="str">
        <f t="shared" ca="1" si="43"/>
        <v/>
      </c>
      <c r="BK22" s="789" t="str">
        <f t="shared" ca="1" si="44"/>
        <v/>
      </c>
      <c r="BL22" s="789" t="str">
        <f t="shared" ca="1" si="45"/>
        <v/>
      </c>
      <c r="BM22" s="789" t="str">
        <f t="shared" ca="1" si="46"/>
        <v/>
      </c>
      <c r="BN22" s="789" t="str">
        <f t="shared" ca="1" si="47"/>
        <v/>
      </c>
      <c r="BO22" s="789" t="str">
        <f t="shared" ca="1" si="48"/>
        <v/>
      </c>
    </row>
    <row r="23" spans="1:67" ht="20.100000000000001" customHeight="1">
      <c r="A23" s="784">
        <v>22</v>
      </c>
      <c r="B23" s="1594"/>
      <c r="C23" s="1596"/>
      <c r="D23" s="785" t="s">
        <v>363</v>
      </c>
      <c r="E23" s="785"/>
      <c r="F23" s="786"/>
      <c r="G23" s="787" t="s">
        <v>457</v>
      </c>
      <c r="H23" s="788">
        <f t="shared" ca="1" si="0"/>
        <v>38.4</v>
      </c>
      <c r="I23" s="788">
        <f t="shared" ca="1" si="1"/>
        <v>38.4</v>
      </c>
      <c r="J23" s="788">
        <f t="shared" ca="1" si="2"/>
        <v>38.4</v>
      </c>
      <c r="K23" s="788">
        <f t="shared" ca="1" si="3"/>
        <v>38.4</v>
      </c>
      <c r="L23" s="789">
        <f t="shared" ca="1" si="49"/>
        <v>0</v>
      </c>
      <c r="M23" s="789">
        <f t="shared" ca="1" si="4"/>
        <v>0</v>
      </c>
      <c r="N23" s="789">
        <f t="shared" ca="1" si="4"/>
        <v>0</v>
      </c>
      <c r="O23" s="789">
        <f t="shared" ca="1" si="4"/>
        <v>0</v>
      </c>
      <c r="P23" s="789">
        <f ca="1">SUM(SUMIFS(OFFSET(貼付け_2024実績,$A23,9,1,199),OFFSET(貼付け_2024実績,4,9,1,199),{"横浜*","川崎*"}))</f>
        <v>0</v>
      </c>
      <c r="Q23" s="789">
        <f ca="1">SUM(SUMIFS(OFFSET(貼付け_2025実績,$A23,9,1,199),OFFSET(貼付け_2025実績,4,9,1,199),{"横浜*","川崎*"}))</f>
        <v>0</v>
      </c>
      <c r="R23" s="789">
        <f ca="1">SUM(SUMIFS(OFFSET(貼付け_2026実績,$A23,9,1,199),OFFSET(貼付け_2026実績,4,9,1,199),{"横浜*","川崎*"}))</f>
        <v>0</v>
      </c>
      <c r="S23" s="789">
        <f ca="1">SUM(SUMIFS(OFFSET(貼付け_2027実績,$A23,9,1,199),OFFSET(貼付け_2027実績,4,9,1,199),{"横浜*","川崎*"}))</f>
        <v>0</v>
      </c>
      <c r="T23" s="789">
        <f t="shared" ca="1" si="50"/>
        <v>0</v>
      </c>
      <c r="U23" s="789">
        <f t="shared" ca="1" si="5"/>
        <v>0</v>
      </c>
      <c r="V23" s="789">
        <f t="shared" ca="1" si="5"/>
        <v>0</v>
      </c>
      <c r="W23" s="789">
        <f t="shared" ca="1" si="5"/>
        <v>0</v>
      </c>
      <c r="X23" s="789">
        <f t="shared" ca="1" si="6"/>
        <v>0</v>
      </c>
      <c r="Y23" s="789">
        <f t="shared" ca="1" si="7"/>
        <v>0</v>
      </c>
      <c r="Z23" s="789">
        <f t="shared" ca="1" si="8"/>
        <v>0</v>
      </c>
      <c r="AA23" s="789">
        <f t="shared" ca="1" si="9"/>
        <v>0</v>
      </c>
      <c r="AB23" s="789" t="str">
        <f t="shared" ca="1" si="51"/>
        <v/>
      </c>
      <c r="AC23" s="789" t="str">
        <f t="shared" ca="1" si="10"/>
        <v/>
      </c>
      <c r="AD23" s="789" t="str">
        <f t="shared" ca="1" si="11"/>
        <v/>
      </c>
      <c r="AE23" s="789" t="str">
        <f t="shared" ca="1" si="12"/>
        <v/>
      </c>
      <c r="AF23" s="789" t="str">
        <f t="shared" ca="1" si="13"/>
        <v/>
      </c>
      <c r="AG23" s="789" t="str">
        <f t="shared" ca="1" si="14"/>
        <v/>
      </c>
      <c r="AH23" s="789" t="str">
        <f t="shared" ca="1" si="15"/>
        <v/>
      </c>
      <c r="AI23" s="789" t="str">
        <f t="shared" ca="1" si="16"/>
        <v/>
      </c>
      <c r="AJ23" s="789" t="str">
        <f t="shared" ca="1" si="17"/>
        <v/>
      </c>
      <c r="AK23" s="789" t="str">
        <f t="shared" ca="1" si="18"/>
        <v/>
      </c>
      <c r="AL23" s="789" t="str">
        <f t="shared" ca="1" si="19"/>
        <v/>
      </c>
      <c r="AM23" s="789" t="str">
        <f t="shared" ca="1" si="20"/>
        <v/>
      </c>
      <c r="AN23" s="789" t="str">
        <f t="shared" ca="1" si="21"/>
        <v/>
      </c>
      <c r="AO23" s="789" t="str">
        <f t="shared" ca="1" si="22"/>
        <v/>
      </c>
      <c r="AP23" s="789" t="str">
        <f t="shared" ca="1" si="23"/>
        <v/>
      </c>
      <c r="AQ23" s="789" t="str">
        <f t="shared" ca="1" si="24"/>
        <v/>
      </c>
      <c r="AR23" s="789" t="str">
        <f t="shared" ca="1" si="25"/>
        <v/>
      </c>
      <c r="AS23" s="789" t="str">
        <f t="shared" ca="1" si="26"/>
        <v/>
      </c>
      <c r="AT23" s="789" t="str">
        <f t="shared" ca="1" si="27"/>
        <v/>
      </c>
      <c r="AU23" s="789" t="str">
        <f t="shared" ca="1" si="28"/>
        <v/>
      </c>
      <c r="AV23" s="789" t="str">
        <f t="shared" ca="1" si="29"/>
        <v/>
      </c>
      <c r="AW23" s="789" t="str">
        <f t="shared" ca="1" si="30"/>
        <v/>
      </c>
      <c r="AX23" s="789" t="str">
        <f t="shared" ca="1" si="31"/>
        <v/>
      </c>
      <c r="AY23" s="789" t="str">
        <f t="shared" ca="1" si="32"/>
        <v/>
      </c>
      <c r="AZ23" s="789" t="str">
        <f t="shared" ca="1" si="33"/>
        <v/>
      </c>
      <c r="BA23" s="789" t="str">
        <f t="shared" ca="1" si="34"/>
        <v/>
      </c>
      <c r="BB23" s="789" t="str">
        <f t="shared" ca="1" si="35"/>
        <v/>
      </c>
      <c r="BC23" s="789" t="str">
        <f t="shared" ca="1" si="36"/>
        <v/>
      </c>
      <c r="BD23" s="789" t="str">
        <f t="shared" ca="1" si="37"/>
        <v/>
      </c>
      <c r="BE23" s="789" t="str">
        <f t="shared" ca="1" si="38"/>
        <v/>
      </c>
      <c r="BF23" s="789" t="str">
        <f t="shared" ca="1" si="39"/>
        <v/>
      </c>
      <c r="BG23" s="789" t="str">
        <f t="shared" ca="1" si="40"/>
        <v/>
      </c>
      <c r="BH23" s="789" t="str">
        <f t="shared" ca="1" si="41"/>
        <v/>
      </c>
      <c r="BI23" s="789" t="str">
        <f t="shared" ca="1" si="42"/>
        <v/>
      </c>
      <c r="BJ23" s="789" t="str">
        <f t="shared" ca="1" si="43"/>
        <v/>
      </c>
      <c r="BK23" s="789" t="str">
        <f t="shared" ca="1" si="44"/>
        <v/>
      </c>
      <c r="BL23" s="789" t="str">
        <f t="shared" ca="1" si="45"/>
        <v/>
      </c>
      <c r="BM23" s="789" t="str">
        <f t="shared" ca="1" si="46"/>
        <v/>
      </c>
      <c r="BN23" s="789" t="str">
        <f t="shared" ca="1" si="47"/>
        <v/>
      </c>
      <c r="BO23" s="789" t="str">
        <f t="shared" ca="1" si="48"/>
        <v/>
      </c>
    </row>
    <row r="24" spans="1:67" ht="20.100000000000001" customHeight="1">
      <c r="A24" s="784">
        <v>23</v>
      </c>
      <c r="B24" s="1594"/>
      <c r="C24" s="1596"/>
      <c r="D24" s="785" t="s">
        <v>364</v>
      </c>
      <c r="E24" s="785"/>
      <c r="F24" s="786"/>
      <c r="G24" s="787" t="s">
        <v>455</v>
      </c>
      <c r="H24" s="788">
        <f t="shared" ca="1" si="0"/>
        <v>28.7</v>
      </c>
      <c r="I24" s="788">
        <f t="shared" ca="1" si="1"/>
        <v>28.7</v>
      </c>
      <c r="J24" s="788">
        <f t="shared" ca="1" si="2"/>
        <v>28.7</v>
      </c>
      <c r="K24" s="788">
        <f t="shared" ca="1" si="3"/>
        <v>28.7</v>
      </c>
      <c r="L24" s="789">
        <f t="shared" ca="1" si="49"/>
        <v>0</v>
      </c>
      <c r="M24" s="789">
        <f t="shared" ca="1" si="4"/>
        <v>0</v>
      </c>
      <c r="N24" s="789">
        <f t="shared" ca="1" si="4"/>
        <v>0</v>
      </c>
      <c r="O24" s="789">
        <f t="shared" ca="1" si="4"/>
        <v>0</v>
      </c>
      <c r="P24" s="789">
        <f ca="1">SUM(SUMIFS(OFFSET(貼付け_2024実績,$A24,9,1,199),OFFSET(貼付け_2024実績,4,9,1,199),{"横浜*","川崎*"}))</f>
        <v>0</v>
      </c>
      <c r="Q24" s="789">
        <f ca="1">SUM(SUMIFS(OFFSET(貼付け_2025実績,$A24,9,1,199),OFFSET(貼付け_2025実績,4,9,1,199),{"横浜*","川崎*"}))</f>
        <v>0</v>
      </c>
      <c r="R24" s="789">
        <f ca="1">SUM(SUMIFS(OFFSET(貼付け_2026実績,$A24,9,1,199),OFFSET(貼付け_2026実績,4,9,1,199),{"横浜*","川崎*"}))</f>
        <v>0</v>
      </c>
      <c r="S24" s="789">
        <f ca="1">SUM(SUMIFS(OFFSET(貼付け_2027実績,$A24,9,1,199),OFFSET(貼付け_2027実績,4,9,1,199),{"横浜*","川崎*"}))</f>
        <v>0</v>
      </c>
      <c r="T24" s="789">
        <f t="shared" ca="1" si="50"/>
        <v>0</v>
      </c>
      <c r="U24" s="789">
        <f t="shared" ca="1" si="5"/>
        <v>0</v>
      </c>
      <c r="V24" s="789">
        <f t="shared" ca="1" si="5"/>
        <v>0</v>
      </c>
      <c r="W24" s="789">
        <f t="shared" ca="1" si="5"/>
        <v>0</v>
      </c>
      <c r="X24" s="789">
        <f t="shared" ca="1" si="6"/>
        <v>0</v>
      </c>
      <c r="Y24" s="789">
        <f t="shared" ca="1" si="7"/>
        <v>0</v>
      </c>
      <c r="Z24" s="789">
        <f t="shared" ca="1" si="8"/>
        <v>0</v>
      </c>
      <c r="AA24" s="789">
        <f t="shared" ca="1" si="9"/>
        <v>0</v>
      </c>
      <c r="AB24" s="789" t="str">
        <f t="shared" ca="1" si="51"/>
        <v/>
      </c>
      <c r="AC24" s="789" t="str">
        <f t="shared" ca="1" si="10"/>
        <v/>
      </c>
      <c r="AD24" s="789" t="str">
        <f t="shared" ca="1" si="11"/>
        <v/>
      </c>
      <c r="AE24" s="789" t="str">
        <f t="shared" ca="1" si="12"/>
        <v/>
      </c>
      <c r="AF24" s="789" t="str">
        <f t="shared" ca="1" si="13"/>
        <v/>
      </c>
      <c r="AG24" s="789" t="str">
        <f t="shared" ca="1" si="14"/>
        <v/>
      </c>
      <c r="AH24" s="789" t="str">
        <f t="shared" ca="1" si="15"/>
        <v/>
      </c>
      <c r="AI24" s="789" t="str">
        <f t="shared" ca="1" si="16"/>
        <v/>
      </c>
      <c r="AJ24" s="789" t="str">
        <f t="shared" ca="1" si="17"/>
        <v/>
      </c>
      <c r="AK24" s="789" t="str">
        <f t="shared" ca="1" si="18"/>
        <v/>
      </c>
      <c r="AL24" s="789" t="str">
        <f t="shared" ca="1" si="19"/>
        <v/>
      </c>
      <c r="AM24" s="789" t="str">
        <f t="shared" ca="1" si="20"/>
        <v/>
      </c>
      <c r="AN24" s="789" t="str">
        <f t="shared" ca="1" si="21"/>
        <v/>
      </c>
      <c r="AO24" s="789" t="str">
        <f t="shared" ca="1" si="22"/>
        <v/>
      </c>
      <c r="AP24" s="789" t="str">
        <f t="shared" ca="1" si="23"/>
        <v/>
      </c>
      <c r="AQ24" s="789" t="str">
        <f t="shared" ca="1" si="24"/>
        <v/>
      </c>
      <c r="AR24" s="789" t="str">
        <f t="shared" ca="1" si="25"/>
        <v/>
      </c>
      <c r="AS24" s="789" t="str">
        <f t="shared" ca="1" si="26"/>
        <v/>
      </c>
      <c r="AT24" s="789" t="str">
        <f t="shared" ca="1" si="27"/>
        <v/>
      </c>
      <c r="AU24" s="789" t="str">
        <f t="shared" ca="1" si="28"/>
        <v/>
      </c>
      <c r="AV24" s="789" t="str">
        <f t="shared" ca="1" si="29"/>
        <v/>
      </c>
      <c r="AW24" s="789" t="str">
        <f t="shared" ca="1" si="30"/>
        <v/>
      </c>
      <c r="AX24" s="789" t="str">
        <f t="shared" ca="1" si="31"/>
        <v/>
      </c>
      <c r="AY24" s="789" t="str">
        <f t="shared" ca="1" si="32"/>
        <v/>
      </c>
      <c r="AZ24" s="789" t="str">
        <f t="shared" ca="1" si="33"/>
        <v/>
      </c>
      <c r="BA24" s="789" t="str">
        <f t="shared" ca="1" si="34"/>
        <v/>
      </c>
      <c r="BB24" s="789" t="str">
        <f t="shared" ca="1" si="35"/>
        <v/>
      </c>
      <c r="BC24" s="789" t="str">
        <f t="shared" ca="1" si="36"/>
        <v/>
      </c>
      <c r="BD24" s="789" t="str">
        <f t="shared" ca="1" si="37"/>
        <v/>
      </c>
      <c r="BE24" s="789" t="str">
        <f t="shared" ca="1" si="38"/>
        <v/>
      </c>
      <c r="BF24" s="789" t="str">
        <f t="shared" ca="1" si="39"/>
        <v/>
      </c>
      <c r="BG24" s="789" t="str">
        <f t="shared" ca="1" si="40"/>
        <v/>
      </c>
      <c r="BH24" s="789" t="str">
        <f t="shared" ca="1" si="41"/>
        <v/>
      </c>
      <c r="BI24" s="789" t="str">
        <f t="shared" ca="1" si="42"/>
        <v/>
      </c>
      <c r="BJ24" s="789" t="str">
        <f t="shared" ca="1" si="43"/>
        <v/>
      </c>
      <c r="BK24" s="789" t="str">
        <f t="shared" ca="1" si="44"/>
        <v/>
      </c>
      <c r="BL24" s="789" t="str">
        <f t="shared" ca="1" si="45"/>
        <v/>
      </c>
      <c r="BM24" s="789" t="str">
        <f t="shared" ca="1" si="46"/>
        <v/>
      </c>
      <c r="BN24" s="789" t="str">
        <f t="shared" ca="1" si="47"/>
        <v/>
      </c>
      <c r="BO24" s="789" t="str">
        <f t="shared" ca="1" si="48"/>
        <v/>
      </c>
    </row>
    <row r="25" spans="1:67" ht="20.100000000000001" customHeight="1">
      <c r="A25" s="784">
        <v>24</v>
      </c>
      <c r="B25" s="1594"/>
      <c r="C25" s="1596"/>
      <c r="D25" s="785" t="s">
        <v>365</v>
      </c>
      <c r="E25" s="779"/>
      <c r="F25" s="786"/>
      <c r="G25" s="787" t="s">
        <v>455</v>
      </c>
      <c r="H25" s="788">
        <f t="shared" ca="1" si="0"/>
        <v>28.9</v>
      </c>
      <c r="I25" s="788">
        <f t="shared" ca="1" si="1"/>
        <v>28.9</v>
      </c>
      <c r="J25" s="788">
        <f t="shared" ca="1" si="2"/>
        <v>28.9</v>
      </c>
      <c r="K25" s="788">
        <f t="shared" ca="1" si="3"/>
        <v>28.9</v>
      </c>
      <c r="L25" s="789">
        <f t="shared" ca="1" si="49"/>
        <v>0</v>
      </c>
      <c r="M25" s="789">
        <f t="shared" ca="1" si="49"/>
        <v>0</v>
      </c>
      <c r="N25" s="789">
        <f t="shared" ca="1" si="49"/>
        <v>0</v>
      </c>
      <c r="O25" s="789">
        <f t="shared" ca="1" si="49"/>
        <v>0</v>
      </c>
      <c r="P25" s="789">
        <f ca="1">SUM(SUMIFS(OFFSET(貼付け_2024実績,$A25,9,1,199),OFFSET(貼付け_2024実績,4,9,1,199),{"横浜*","川崎*"}))</f>
        <v>0</v>
      </c>
      <c r="Q25" s="789">
        <f ca="1">SUM(SUMIFS(OFFSET(貼付け_2025実績,$A25,9,1,199),OFFSET(貼付け_2025実績,4,9,1,199),{"横浜*","川崎*"}))</f>
        <v>0</v>
      </c>
      <c r="R25" s="789">
        <f ca="1">SUM(SUMIFS(OFFSET(貼付け_2026実績,$A25,9,1,199),OFFSET(貼付け_2026実績,4,9,1,199),{"横浜*","川崎*"}))</f>
        <v>0</v>
      </c>
      <c r="S25" s="789">
        <f ca="1">SUM(SUMIFS(OFFSET(貼付け_2027実績,$A25,9,1,199),OFFSET(貼付け_2027実績,4,9,1,199),{"横浜*","川崎*"}))</f>
        <v>0</v>
      </c>
      <c r="T25" s="789">
        <f t="shared" ca="1" si="50"/>
        <v>0</v>
      </c>
      <c r="U25" s="789">
        <f t="shared" ca="1" si="50"/>
        <v>0</v>
      </c>
      <c r="V25" s="789">
        <f t="shared" ca="1" si="50"/>
        <v>0</v>
      </c>
      <c r="W25" s="789">
        <f t="shared" ca="1" si="50"/>
        <v>0</v>
      </c>
      <c r="X25" s="789">
        <f t="shared" ca="1" si="6"/>
        <v>0</v>
      </c>
      <c r="Y25" s="789">
        <f t="shared" ca="1" si="7"/>
        <v>0</v>
      </c>
      <c r="Z25" s="789">
        <f t="shared" ca="1" si="8"/>
        <v>0</v>
      </c>
      <c r="AA25" s="789">
        <f t="shared" ca="1" si="9"/>
        <v>0</v>
      </c>
      <c r="AB25" s="789" t="str">
        <f t="shared" ca="1" si="51"/>
        <v/>
      </c>
      <c r="AC25" s="789" t="str">
        <f t="shared" ca="1" si="10"/>
        <v/>
      </c>
      <c r="AD25" s="789" t="str">
        <f t="shared" ca="1" si="11"/>
        <v/>
      </c>
      <c r="AE25" s="789" t="str">
        <f t="shared" ca="1" si="12"/>
        <v/>
      </c>
      <c r="AF25" s="789" t="str">
        <f t="shared" ca="1" si="13"/>
        <v/>
      </c>
      <c r="AG25" s="789" t="str">
        <f t="shared" ca="1" si="14"/>
        <v/>
      </c>
      <c r="AH25" s="789" t="str">
        <f t="shared" ca="1" si="15"/>
        <v/>
      </c>
      <c r="AI25" s="789" t="str">
        <f t="shared" ca="1" si="16"/>
        <v/>
      </c>
      <c r="AJ25" s="789" t="str">
        <f t="shared" ca="1" si="17"/>
        <v/>
      </c>
      <c r="AK25" s="789" t="str">
        <f t="shared" ca="1" si="18"/>
        <v/>
      </c>
      <c r="AL25" s="789" t="str">
        <f t="shared" ca="1" si="19"/>
        <v/>
      </c>
      <c r="AM25" s="789" t="str">
        <f t="shared" ca="1" si="20"/>
        <v/>
      </c>
      <c r="AN25" s="789" t="str">
        <f t="shared" ca="1" si="21"/>
        <v/>
      </c>
      <c r="AO25" s="789" t="str">
        <f t="shared" ca="1" si="22"/>
        <v/>
      </c>
      <c r="AP25" s="789" t="str">
        <f t="shared" ca="1" si="23"/>
        <v/>
      </c>
      <c r="AQ25" s="789" t="str">
        <f t="shared" ca="1" si="24"/>
        <v/>
      </c>
      <c r="AR25" s="789" t="str">
        <f t="shared" ca="1" si="25"/>
        <v/>
      </c>
      <c r="AS25" s="789" t="str">
        <f t="shared" ca="1" si="26"/>
        <v/>
      </c>
      <c r="AT25" s="789" t="str">
        <f t="shared" ca="1" si="27"/>
        <v/>
      </c>
      <c r="AU25" s="789" t="str">
        <f t="shared" ca="1" si="28"/>
        <v/>
      </c>
      <c r="AV25" s="789" t="str">
        <f t="shared" ca="1" si="29"/>
        <v/>
      </c>
      <c r="AW25" s="789" t="str">
        <f t="shared" ca="1" si="30"/>
        <v/>
      </c>
      <c r="AX25" s="789" t="str">
        <f t="shared" ca="1" si="31"/>
        <v/>
      </c>
      <c r="AY25" s="789" t="str">
        <f t="shared" ca="1" si="32"/>
        <v/>
      </c>
      <c r="AZ25" s="789" t="str">
        <f t="shared" ca="1" si="33"/>
        <v/>
      </c>
      <c r="BA25" s="789" t="str">
        <f t="shared" ca="1" si="34"/>
        <v/>
      </c>
      <c r="BB25" s="789" t="str">
        <f t="shared" ca="1" si="35"/>
        <v/>
      </c>
      <c r="BC25" s="789" t="str">
        <f t="shared" ca="1" si="36"/>
        <v/>
      </c>
      <c r="BD25" s="789" t="str">
        <f t="shared" ca="1" si="37"/>
        <v/>
      </c>
      <c r="BE25" s="789" t="str">
        <f t="shared" ca="1" si="38"/>
        <v/>
      </c>
      <c r="BF25" s="789" t="str">
        <f t="shared" ca="1" si="39"/>
        <v/>
      </c>
      <c r="BG25" s="789" t="str">
        <f t="shared" ca="1" si="40"/>
        <v/>
      </c>
      <c r="BH25" s="789" t="str">
        <f t="shared" ca="1" si="41"/>
        <v/>
      </c>
      <c r="BI25" s="789" t="str">
        <f t="shared" ca="1" si="42"/>
        <v/>
      </c>
      <c r="BJ25" s="789" t="str">
        <f t="shared" ca="1" si="43"/>
        <v/>
      </c>
      <c r="BK25" s="789" t="str">
        <f t="shared" ca="1" si="44"/>
        <v/>
      </c>
      <c r="BL25" s="789" t="str">
        <f t="shared" ca="1" si="45"/>
        <v/>
      </c>
      <c r="BM25" s="789" t="str">
        <f t="shared" ca="1" si="46"/>
        <v/>
      </c>
      <c r="BN25" s="789" t="str">
        <f t="shared" ca="1" si="47"/>
        <v/>
      </c>
      <c r="BO25" s="789" t="str">
        <f t="shared" ca="1" si="48"/>
        <v/>
      </c>
    </row>
    <row r="26" spans="1:67" ht="20.100000000000001" customHeight="1">
      <c r="A26" s="784">
        <v>25</v>
      </c>
      <c r="B26" s="1594"/>
      <c r="C26" s="1596"/>
      <c r="D26" s="785" t="s">
        <v>366</v>
      </c>
      <c r="E26" s="785"/>
      <c r="F26" s="786"/>
      <c r="G26" s="787" t="s">
        <v>455</v>
      </c>
      <c r="H26" s="788">
        <f t="shared" ca="1" si="0"/>
        <v>28.3</v>
      </c>
      <c r="I26" s="788">
        <f t="shared" ca="1" si="1"/>
        <v>28.3</v>
      </c>
      <c r="J26" s="788">
        <f t="shared" ca="1" si="2"/>
        <v>28.3</v>
      </c>
      <c r="K26" s="788">
        <f t="shared" ca="1" si="3"/>
        <v>28.3</v>
      </c>
      <c r="L26" s="789">
        <f t="shared" ca="1" si="49"/>
        <v>0</v>
      </c>
      <c r="M26" s="789">
        <f t="shared" ca="1" si="49"/>
        <v>0</v>
      </c>
      <c r="N26" s="789">
        <f t="shared" ca="1" si="49"/>
        <v>0</v>
      </c>
      <c r="O26" s="789">
        <f t="shared" ca="1" si="49"/>
        <v>0</v>
      </c>
      <c r="P26" s="789">
        <f ca="1">SUM(SUMIFS(OFFSET(貼付け_2024実績,$A26,9,1,199),OFFSET(貼付け_2024実績,4,9,1,199),{"横浜*","川崎*"}))</f>
        <v>0</v>
      </c>
      <c r="Q26" s="789">
        <f ca="1">SUM(SUMIFS(OFFSET(貼付け_2025実績,$A26,9,1,199),OFFSET(貼付け_2025実績,4,9,1,199),{"横浜*","川崎*"}))</f>
        <v>0</v>
      </c>
      <c r="R26" s="789">
        <f ca="1">SUM(SUMIFS(OFFSET(貼付け_2026実績,$A26,9,1,199),OFFSET(貼付け_2026実績,4,9,1,199),{"横浜*","川崎*"}))</f>
        <v>0</v>
      </c>
      <c r="S26" s="789">
        <f ca="1">SUM(SUMIFS(OFFSET(貼付け_2027実績,$A26,9,1,199),OFFSET(貼付け_2027実績,4,9,1,199),{"横浜*","川崎*"}))</f>
        <v>0</v>
      </c>
      <c r="T26" s="789">
        <f t="shared" ca="1" si="50"/>
        <v>0</v>
      </c>
      <c r="U26" s="789">
        <f t="shared" ca="1" si="50"/>
        <v>0</v>
      </c>
      <c r="V26" s="789">
        <f t="shared" ca="1" si="50"/>
        <v>0</v>
      </c>
      <c r="W26" s="789">
        <f t="shared" ca="1" si="50"/>
        <v>0</v>
      </c>
      <c r="X26" s="789">
        <f t="shared" ca="1" si="6"/>
        <v>0</v>
      </c>
      <c r="Y26" s="789">
        <f t="shared" ca="1" si="7"/>
        <v>0</v>
      </c>
      <c r="Z26" s="789">
        <f t="shared" ca="1" si="8"/>
        <v>0</v>
      </c>
      <c r="AA26" s="789">
        <f t="shared" ca="1" si="9"/>
        <v>0</v>
      </c>
      <c r="AB26" s="789" t="str">
        <f t="shared" ca="1" si="51"/>
        <v/>
      </c>
      <c r="AC26" s="789" t="str">
        <f t="shared" ca="1" si="10"/>
        <v/>
      </c>
      <c r="AD26" s="789" t="str">
        <f t="shared" ca="1" si="11"/>
        <v/>
      </c>
      <c r="AE26" s="789" t="str">
        <f t="shared" ca="1" si="12"/>
        <v/>
      </c>
      <c r="AF26" s="789" t="str">
        <f t="shared" ca="1" si="13"/>
        <v/>
      </c>
      <c r="AG26" s="789" t="str">
        <f t="shared" ca="1" si="14"/>
        <v/>
      </c>
      <c r="AH26" s="789" t="str">
        <f t="shared" ca="1" si="15"/>
        <v/>
      </c>
      <c r="AI26" s="789" t="str">
        <f t="shared" ca="1" si="16"/>
        <v/>
      </c>
      <c r="AJ26" s="789" t="str">
        <f t="shared" ca="1" si="17"/>
        <v/>
      </c>
      <c r="AK26" s="789" t="str">
        <f t="shared" ca="1" si="18"/>
        <v/>
      </c>
      <c r="AL26" s="789" t="str">
        <f t="shared" ca="1" si="19"/>
        <v/>
      </c>
      <c r="AM26" s="789" t="str">
        <f t="shared" ca="1" si="20"/>
        <v/>
      </c>
      <c r="AN26" s="789" t="str">
        <f t="shared" ca="1" si="21"/>
        <v/>
      </c>
      <c r="AO26" s="789" t="str">
        <f t="shared" ca="1" si="22"/>
        <v/>
      </c>
      <c r="AP26" s="789" t="str">
        <f t="shared" ca="1" si="23"/>
        <v/>
      </c>
      <c r="AQ26" s="789" t="str">
        <f t="shared" ca="1" si="24"/>
        <v/>
      </c>
      <c r="AR26" s="789" t="str">
        <f t="shared" ca="1" si="25"/>
        <v/>
      </c>
      <c r="AS26" s="789" t="str">
        <f t="shared" ca="1" si="26"/>
        <v/>
      </c>
      <c r="AT26" s="789" t="str">
        <f t="shared" ca="1" si="27"/>
        <v/>
      </c>
      <c r="AU26" s="789" t="str">
        <f t="shared" ca="1" si="28"/>
        <v/>
      </c>
      <c r="AV26" s="789" t="str">
        <f t="shared" ca="1" si="29"/>
        <v/>
      </c>
      <c r="AW26" s="789" t="str">
        <f t="shared" ca="1" si="30"/>
        <v/>
      </c>
      <c r="AX26" s="789" t="str">
        <f t="shared" ca="1" si="31"/>
        <v/>
      </c>
      <c r="AY26" s="789" t="str">
        <f t="shared" ca="1" si="32"/>
        <v/>
      </c>
      <c r="AZ26" s="789" t="str">
        <f t="shared" ca="1" si="33"/>
        <v/>
      </c>
      <c r="BA26" s="789" t="str">
        <f t="shared" ca="1" si="34"/>
        <v/>
      </c>
      <c r="BB26" s="789" t="str">
        <f t="shared" ca="1" si="35"/>
        <v/>
      </c>
      <c r="BC26" s="789" t="str">
        <f t="shared" ca="1" si="36"/>
        <v/>
      </c>
      <c r="BD26" s="789" t="str">
        <f t="shared" ca="1" si="37"/>
        <v/>
      </c>
      <c r="BE26" s="789" t="str">
        <f t="shared" ca="1" si="38"/>
        <v/>
      </c>
      <c r="BF26" s="789" t="str">
        <f t="shared" ca="1" si="39"/>
        <v/>
      </c>
      <c r="BG26" s="789" t="str">
        <f t="shared" ca="1" si="40"/>
        <v/>
      </c>
      <c r="BH26" s="789" t="str">
        <f t="shared" ca="1" si="41"/>
        <v/>
      </c>
      <c r="BI26" s="789" t="str">
        <f t="shared" ca="1" si="42"/>
        <v/>
      </c>
      <c r="BJ26" s="789" t="str">
        <f t="shared" ca="1" si="43"/>
        <v/>
      </c>
      <c r="BK26" s="789" t="str">
        <f t="shared" ca="1" si="44"/>
        <v/>
      </c>
      <c r="BL26" s="789" t="str">
        <f t="shared" ca="1" si="45"/>
        <v/>
      </c>
      <c r="BM26" s="789" t="str">
        <f t="shared" ca="1" si="46"/>
        <v/>
      </c>
      <c r="BN26" s="789" t="str">
        <f t="shared" ca="1" si="47"/>
        <v/>
      </c>
      <c r="BO26" s="789" t="str">
        <f t="shared" ca="1" si="48"/>
        <v/>
      </c>
    </row>
    <row r="27" spans="1:67" ht="20.100000000000001" customHeight="1">
      <c r="A27" s="784">
        <v>26</v>
      </c>
      <c r="B27" s="1594"/>
      <c r="C27" s="1596"/>
      <c r="D27" s="785" t="s">
        <v>367</v>
      </c>
      <c r="E27" s="785"/>
      <c r="F27" s="786"/>
      <c r="G27" s="787" t="s">
        <v>455</v>
      </c>
      <c r="H27" s="788">
        <f t="shared" ca="1" si="0"/>
        <v>26.1</v>
      </c>
      <c r="I27" s="788">
        <f t="shared" ca="1" si="1"/>
        <v>26.1</v>
      </c>
      <c r="J27" s="788">
        <f t="shared" ca="1" si="2"/>
        <v>26.1</v>
      </c>
      <c r="K27" s="788">
        <f t="shared" ca="1" si="3"/>
        <v>26.1</v>
      </c>
      <c r="L27" s="789">
        <f t="shared" ca="1" si="49"/>
        <v>0</v>
      </c>
      <c r="M27" s="789">
        <f t="shared" ca="1" si="49"/>
        <v>0</v>
      </c>
      <c r="N27" s="789">
        <f t="shared" ca="1" si="49"/>
        <v>0</v>
      </c>
      <c r="O27" s="789">
        <f t="shared" ca="1" si="49"/>
        <v>0</v>
      </c>
      <c r="P27" s="789">
        <f ca="1">SUM(SUMIFS(OFFSET(貼付け_2024実績,$A27,9,1,199),OFFSET(貼付け_2024実績,4,9,1,199),{"横浜*","川崎*"}))</f>
        <v>0</v>
      </c>
      <c r="Q27" s="789">
        <f ca="1">SUM(SUMIFS(OFFSET(貼付け_2025実績,$A27,9,1,199),OFFSET(貼付け_2025実績,4,9,1,199),{"横浜*","川崎*"}))</f>
        <v>0</v>
      </c>
      <c r="R27" s="789">
        <f ca="1">SUM(SUMIFS(OFFSET(貼付け_2026実績,$A27,9,1,199),OFFSET(貼付け_2026実績,4,9,1,199),{"横浜*","川崎*"}))</f>
        <v>0</v>
      </c>
      <c r="S27" s="789">
        <f ca="1">SUM(SUMIFS(OFFSET(貼付け_2027実績,$A27,9,1,199),OFFSET(貼付け_2027実績,4,9,1,199),{"横浜*","川崎*"}))</f>
        <v>0</v>
      </c>
      <c r="T27" s="789">
        <f t="shared" ca="1" si="50"/>
        <v>0</v>
      </c>
      <c r="U27" s="789">
        <f t="shared" ca="1" si="50"/>
        <v>0</v>
      </c>
      <c r="V27" s="789">
        <f t="shared" ca="1" si="50"/>
        <v>0</v>
      </c>
      <c r="W27" s="789">
        <f t="shared" ca="1" si="50"/>
        <v>0</v>
      </c>
      <c r="X27" s="789">
        <f t="shared" ca="1" si="6"/>
        <v>0</v>
      </c>
      <c r="Y27" s="789">
        <f t="shared" ca="1" si="7"/>
        <v>0</v>
      </c>
      <c r="Z27" s="789">
        <f t="shared" ca="1" si="8"/>
        <v>0</v>
      </c>
      <c r="AA27" s="789">
        <f t="shared" ca="1" si="9"/>
        <v>0</v>
      </c>
      <c r="AB27" s="789" t="str">
        <f t="shared" ca="1" si="51"/>
        <v/>
      </c>
      <c r="AC27" s="789" t="str">
        <f t="shared" ca="1" si="10"/>
        <v/>
      </c>
      <c r="AD27" s="789" t="str">
        <f t="shared" ca="1" si="11"/>
        <v/>
      </c>
      <c r="AE27" s="789" t="str">
        <f t="shared" ca="1" si="12"/>
        <v/>
      </c>
      <c r="AF27" s="789" t="str">
        <f t="shared" ca="1" si="13"/>
        <v/>
      </c>
      <c r="AG27" s="789" t="str">
        <f t="shared" ca="1" si="14"/>
        <v/>
      </c>
      <c r="AH27" s="789" t="str">
        <f t="shared" ca="1" si="15"/>
        <v/>
      </c>
      <c r="AI27" s="789" t="str">
        <f t="shared" ca="1" si="16"/>
        <v/>
      </c>
      <c r="AJ27" s="789" t="str">
        <f t="shared" ca="1" si="17"/>
        <v/>
      </c>
      <c r="AK27" s="789" t="str">
        <f t="shared" ca="1" si="18"/>
        <v/>
      </c>
      <c r="AL27" s="789" t="str">
        <f t="shared" ca="1" si="19"/>
        <v/>
      </c>
      <c r="AM27" s="789" t="str">
        <f t="shared" ca="1" si="20"/>
        <v/>
      </c>
      <c r="AN27" s="789" t="str">
        <f t="shared" ca="1" si="21"/>
        <v/>
      </c>
      <c r="AO27" s="789" t="str">
        <f t="shared" ca="1" si="22"/>
        <v/>
      </c>
      <c r="AP27" s="789" t="str">
        <f t="shared" ca="1" si="23"/>
        <v/>
      </c>
      <c r="AQ27" s="789" t="str">
        <f t="shared" ca="1" si="24"/>
        <v/>
      </c>
      <c r="AR27" s="789" t="str">
        <f t="shared" ca="1" si="25"/>
        <v/>
      </c>
      <c r="AS27" s="789" t="str">
        <f t="shared" ca="1" si="26"/>
        <v/>
      </c>
      <c r="AT27" s="789" t="str">
        <f t="shared" ca="1" si="27"/>
        <v/>
      </c>
      <c r="AU27" s="789" t="str">
        <f t="shared" ca="1" si="28"/>
        <v/>
      </c>
      <c r="AV27" s="789" t="str">
        <f t="shared" ca="1" si="29"/>
        <v/>
      </c>
      <c r="AW27" s="789" t="str">
        <f t="shared" ca="1" si="30"/>
        <v/>
      </c>
      <c r="AX27" s="789" t="str">
        <f t="shared" ca="1" si="31"/>
        <v/>
      </c>
      <c r="AY27" s="789" t="str">
        <f t="shared" ca="1" si="32"/>
        <v/>
      </c>
      <c r="AZ27" s="789" t="str">
        <f t="shared" ca="1" si="33"/>
        <v/>
      </c>
      <c r="BA27" s="789" t="str">
        <f t="shared" ca="1" si="34"/>
        <v/>
      </c>
      <c r="BB27" s="789" t="str">
        <f t="shared" ca="1" si="35"/>
        <v/>
      </c>
      <c r="BC27" s="789" t="str">
        <f t="shared" ca="1" si="36"/>
        <v/>
      </c>
      <c r="BD27" s="789" t="str">
        <f t="shared" ca="1" si="37"/>
        <v/>
      </c>
      <c r="BE27" s="789" t="str">
        <f t="shared" ca="1" si="38"/>
        <v/>
      </c>
      <c r="BF27" s="789" t="str">
        <f t="shared" ca="1" si="39"/>
        <v/>
      </c>
      <c r="BG27" s="789" t="str">
        <f t="shared" ca="1" si="40"/>
        <v/>
      </c>
      <c r="BH27" s="789" t="str">
        <f t="shared" ca="1" si="41"/>
        <v/>
      </c>
      <c r="BI27" s="789" t="str">
        <f t="shared" ca="1" si="42"/>
        <v/>
      </c>
      <c r="BJ27" s="789" t="str">
        <f t="shared" ca="1" si="43"/>
        <v/>
      </c>
      <c r="BK27" s="789" t="str">
        <f t="shared" ca="1" si="44"/>
        <v/>
      </c>
      <c r="BL27" s="789" t="str">
        <f t="shared" ca="1" si="45"/>
        <v/>
      </c>
      <c r="BM27" s="789" t="str">
        <f t="shared" ca="1" si="46"/>
        <v/>
      </c>
      <c r="BN27" s="789" t="str">
        <f t="shared" ca="1" si="47"/>
        <v/>
      </c>
      <c r="BO27" s="789" t="str">
        <f t="shared" ca="1" si="48"/>
        <v/>
      </c>
    </row>
    <row r="28" spans="1:67" ht="20.100000000000001" customHeight="1">
      <c r="A28" s="784">
        <v>27</v>
      </c>
      <c r="B28" s="1594"/>
      <c r="C28" s="1596"/>
      <c r="D28" s="785" t="s">
        <v>368</v>
      </c>
      <c r="E28" s="785"/>
      <c r="F28" s="786"/>
      <c r="G28" s="787" t="s">
        <v>455</v>
      </c>
      <c r="H28" s="788">
        <f t="shared" ca="1" si="0"/>
        <v>24.2</v>
      </c>
      <c r="I28" s="788">
        <f t="shared" ca="1" si="1"/>
        <v>24.2</v>
      </c>
      <c r="J28" s="788">
        <f t="shared" ca="1" si="2"/>
        <v>24.2</v>
      </c>
      <c r="K28" s="788">
        <f t="shared" ca="1" si="3"/>
        <v>24.2</v>
      </c>
      <c r="L28" s="789">
        <f t="shared" ca="1" si="49"/>
        <v>0</v>
      </c>
      <c r="M28" s="789">
        <f t="shared" ca="1" si="49"/>
        <v>0</v>
      </c>
      <c r="N28" s="789">
        <f t="shared" ca="1" si="49"/>
        <v>0</v>
      </c>
      <c r="O28" s="789">
        <f t="shared" ca="1" si="49"/>
        <v>0</v>
      </c>
      <c r="P28" s="789">
        <f ca="1">SUM(SUMIFS(OFFSET(貼付け_2024実績,$A28,9,1,199),OFFSET(貼付け_2024実績,4,9,1,199),{"横浜*","川崎*"}))</f>
        <v>0</v>
      </c>
      <c r="Q28" s="789">
        <f ca="1">SUM(SUMIFS(OFFSET(貼付け_2025実績,$A28,9,1,199),OFFSET(貼付け_2025実績,4,9,1,199),{"横浜*","川崎*"}))</f>
        <v>0</v>
      </c>
      <c r="R28" s="789">
        <f ca="1">SUM(SUMIFS(OFFSET(貼付け_2026実績,$A28,9,1,199),OFFSET(貼付け_2026実績,4,9,1,199),{"横浜*","川崎*"}))</f>
        <v>0</v>
      </c>
      <c r="S28" s="789">
        <f ca="1">SUM(SUMIFS(OFFSET(貼付け_2027実績,$A28,9,1,199),OFFSET(貼付け_2027実績,4,9,1,199),{"横浜*","川崎*"}))</f>
        <v>0</v>
      </c>
      <c r="T28" s="789">
        <f t="shared" ca="1" si="50"/>
        <v>0</v>
      </c>
      <c r="U28" s="789">
        <f t="shared" ca="1" si="50"/>
        <v>0</v>
      </c>
      <c r="V28" s="789">
        <f t="shared" ca="1" si="50"/>
        <v>0</v>
      </c>
      <c r="W28" s="789">
        <f t="shared" ca="1" si="50"/>
        <v>0</v>
      </c>
      <c r="X28" s="789">
        <f t="shared" ca="1" si="6"/>
        <v>0</v>
      </c>
      <c r="Y28" s="789">
        <f t="shared" ca="1" si="7"/>
        <v>0</v>
      </c>
      <c r="Z28" s="789">
        <f t="shared" ca="1" si="8"/>
        <v>0</v>
      </c>
      <c r="AA28" s="789">
        <f t="shared" ca="1" si="9"/>
        <v>0</v>
      </c>
      <c r="AB28" s="789" t="str">
        <f t="shared" ca="1" si="51"/>
        <v/>
      </c>
      <c r="AC28" s="789" t="str">
        <f t="shared" ca="1" si="10"/>
        <v/>
      </c>
      <c r="AD28" s="789" t="str">
        <f t="shared" ca="1" si="11"/>
        <v/>
      </c>
      <c r="AE28" s="789" t="str">
        <f t="shared" ca="1" si="12"/>
        <v/>
      </c>
      <c r="AF28" s="789" t="str">
        <f t="shared" ca="1" si="13"/>
        <v/>
      </c>
      <c r="AG28" s="789" t="str">
        <f t="shared" ca="1" si="14"/>
        <v/>
      </c>
      <c r="AH28" s="789" t="str">
        <f t="shared" ca="1" si="15"/>
        <v/>
      </c>
      <c r="AI28" s="789" t="str">
        <f t="shared" ca="1" si="16"/>
        <v/>
      </c>
      <c r="AJ28" s="789" t="str">
        <f t="shared" ca="1" si="17"/>
        <v/>
      </c>
      <c r="AK28" s="789" t="str">
        <f t="shared" ca="1" si="18"/>
        <v/>
      </c>
      <c r="AL28" s="789" t="str">
        <f t="shared" ca="1" si="19"/>
        <v/>
      </c>
      <c r="AM28" s="789" t="str">
        <f t="shared" ca="1" si="20"/>
        <v/>
      </c>
      <c r="AN28" s="789" t="str">
        <f t="shared" ca="1" si="21"/>
        <v/>
      </c>
      <c r="AO28" s="789" t="str">
        <f t="shared" ca="1" si="22"/>
        <v/>
      </c>
      <c r="AP28" s="789" t="str">
        <f t="shared" ca="1" si="23"/>
        <v/>
      </c>
      <c r="AQ28" s="789" t="str">
        <f t="shared" ca="1" si="24"/>
        <v/>
      </c>
      <c r="AR28" s="789" t="str">
        <f t="shared" ca="1" si="25"/>
        <v/>
      </c>
      <c r="AS28" s="789" t="str">
        <f t="shared" ca="1" si="26"/>
        <v/>
      </c>
      <c r="AT28" s="789" t="str">
        <f t="shared" ca="1" si="27"/>
        <v/>
      </c>
      <c r="AU28" s="789" t="str">
        <f t="shared" ca="1" si="28"/>
        <v/>
      </c>
      <c r="AV28" s="789" t="str">
        <f t="shared" ca="1" si="29"/>
        <v/>
      </c>
      <c r="AW28" s="789" t="str">
        <f t="shared" ca="1" si="30"/>
        <v/>
      </c>
      <c r="AX28" s="789" t="str">
        <f t="shared" ca="1" si="31"/>
        <v/>
      </c>
      <c r="AY28" s="789" t="str">
        <f t="shared" ca="1" si="32"/>
        <v/>
      </c>
      <c r="AZ28" s="789" t="str">
        <f t="shared" ca="1" si="33"/>
        <v/>
      </c>
      <c r="BA28" s="789" t="str">
        <f t="shared" ca="1" si="34"/>
        <v/>
      </c>
      <c r="BB28" s="789" t="str">
        <f t="shared" ca="1" si="35"/>
        <v/>
      </c>
      <c r="BC28" s="789" t="str">
        <f t="shared" ca="1" si="36"/>
        <v/>
      </c>
      <c r="BD28" s="789" t="str">
        <f t="shared" ca="1" si="37"/>
        <v/>
      </c>
      <c r="BE28" s="789" t="str">
        <f t="shared" ca="1" si="38"/>
        <v/>
      </c>
      <c r="BF28" s="789" t="str">
        <f t="shared" ca="1" si="39"/>
        <v/>
      </c>
      <c r="BG28" s="789" t="str">
        <f t="shared" ca="1" si="40"/>
        <v/>
      </c>
      <c r="BH28" s="789" t="str">
        <f t="shared" ca="1" si="41"/>
        <v/>
      </c>
      <c r="BI28" s="789" t="str">
        <f t="shared" ca="1" si="42"/>
        <v/>
      </c>
      <c r="BJ28" s="789" t="str">
        <f t="shared" ca="1" si="43"/>
        <v/>
      </c>
      <c r="BK28" s="789" t="str">
        <f t="shared" ca="1" si="44"/>
        <v/>
      </c>
      <c r="BL28" s="789" t="str">
        <f t="shared" ca="1" si="45"/>
        <v/>
      </c>
      <c r="BM28" s="789" t="str">
        <f t="shared" ca="1" si="46"/>
        <v/>
      </c>
      <c r="BN28" s="789" t="str">
        <f t="shared" ca="1" si="47"/>
        <v/>
      </c>
      <c r="BO28" s="789" t="str">
        <f t="shared" ca="1" si="48"/>
        <v/>
      </c>
    </row>
    <row r="29" spans="1:67" ht="20.100000000000001" customHeight="1">
      <c r="A29" s="784">
        <v>28</v>
      </c>
      <c r="B29" s="1594"/>
      <c r="C29" s="1596"/>
      <c r="D29" s="785" t="s">
        <v>369</v>
      </c>
      <c r="E29" s="785"/>
      <c r="F29" s="786"/>
      <c r="G29" s="787" t="s">
        <v>455</v>
      </c>
      <c r="H29" s="788">
        <f t="shared" ca="1" si="0"/>
        <v>27.8</v>
      </c>
      <c r="I29" s="788">
        <f t="shared" ca="1" si="1"/>
        <v>27.8</v>
      </c>
      <c r="J29" s="788">
        <f t="shared" ca="1" si="2"/>
        <v>27.8</v>
      </c>
      <c r="K29" s="788">
        <f t="shared" ca="1" si="3"/>
        <v>27.8</v>
      </c>
      <c r="L29" s="789">
        <f t="shared" ca="1" si="49"/>
        <v>0</v>
      </c>
      <c r="M29" s="789">
        <f t="shared" ca="1" si="49"/>
        <v>0</v>
      </c>
      <c r="N29" s="789">
        <f t="shared" ca="1" si="49"/>
        <v>0</v>
      </c>
      <c r="O29" s="789">
        <f t="shared" ca="1" si="49"/>
        <v>0</v>
      </c>
      <c r="P29" s="789">
        <f ca="1">SUM(SUMIFS(OFFSET(貼付け_2024実績,$A29,9,1,199),OFFSET(貼付け_2024実績,4,9,1,199),{"横浜*","川崎*"}))</f>
        <v>0</v>
      </c>
      <c r="Q29" s="789">
        <f ca="1">SUM(SUMIFS(OFFSET(貼付け_2025実績,$A29,9,1,199),OFFSET(貼付け_2025実績,4,9,1,199),{"横浜*","川崎*"}))</f>
        <v>0</v>
      </c>
      <c r="R29" s="789">
        <f ca="1">SUM(SUMIFS(OFFSET(貼付け_2026実績,$A29,9,1,199),OFFSET(貼付け_2026実績,4,9,1,199),{"横浜*","川崎*"}))</f>
        <v>0</v>
      </c>
      <c r="S29" s="789">
        <f ca="1">SUM(SUMIFS(OFFSET(貼付け_2027実績,$A29,9,1,199),OFFSET(貼付け_2027実績,4,9,1,199),{"横浜*","川崎*"}))</f>
        <v>0</v>
      </c>
      <c r="T29" s="789">
        <f t="shared" ca="1" si="50"/>
        <v>0</v>
      </c>
      <c r="U29" s="789">
        <f t="shared" ca="1" si="50"/>
        <v>0</v>
      </c>
      <c r="V29" s="789">
        <f t="shared" ca="1" si="50"/>
        <v>0</v>
      </c>
      <c r="W29" s="789">
        <f t="shared" ca="1" si="50"/>
        <v>0</v>
      </c>
      <c r="X29" s="789">
        <f t="shared" ca="1" si="6"/>
        <v>0</v>
      </c>
      <c r="Y29" s="789">
        <f t="shared" ca="1" si="7"/>
        <v>0</v>
      </c>
      <c r="Z29" s="789">
        <f t="shared" ca="1" si="8"/>
        <v>0</v>
      </c>
      <c r="AA29" s="789">
        <f t="shared" ca="1" si="9"/>
        <v>0</v>
      </c>
      <c r="AB29" s="789" t="str">
        <f t="shared" ca="1" si="51"/>
        <v/>
      </c>
      <c r="AC29" s="789" t="str">
        <f t="shared" ca="1" si="10"/>
        <v/>
      </c>
      <c r="AD29" s="789" t="str">
        <f t="shared" ca="1" si="11"/>
        <v/>
      </c>
      <c r="AE29" s="789" t="str">
        <f t="shared" ca="1" si="12"/>
        <v/>
      </c>
      <c r="AF29" s="789" t="str">
        <f t="shared" ca="1" si="13"/>
        <v/>
      </c>
      <c r="AG29" s="789" t="str">
        <f t="shared" ca="1" si="14"/>
        <v/>
      </c>
      <c r="AH29" s="789" t="str">
        <f t="shared" ca="1" si="15"/>
        <v/>
      </c>
      <c r="AI29" s="789" t="str">
        <f t="shared" ca="1" si="16"/>
        <v/>
      </c>
      <c r="AJ29" s="789" t="str">
        <f t="shared" ca="1" si="17"/>
        <v/>
      </c>
      <c r="AK29" s="789" t="str">
        <f t="shared" ca="1" si="18"/>
        <v/>
      </c>
      <c r="AL29" s="789" t="str">
        <f t="shared" ca="1" si="19"/>
        <v/>
      </c>
      <c r="AM29" s="789" t="str">
        <f t="shared" ca="1" si="20"/>
        <v/>
      </c>
      <c r="AN29" s="789" t="str">
        <f t="shared" ca="1" si="21"/>
        <v/>
      </c>
      <c r="AO29" s="789" t="str">
        <f t="shared" ca="1" si="22"/>
        <v/>
      </c>
      <c r="AP29" s="789" t="str">
        <f t="shared" ca="1" si="23"/>
        <v/>
      </c>
      <c r="AQ29" s="789" t="str">
        <f t="shared" ca="1" si="24"/>
        <v/>
      </c>
      <c r="AR29" s="789" t="str">
        <f t="shared" ca="1" si="25"/>
        <v/>
      </c>
      <c r="AS29" s="789" t="str">
        <f t="shared" ca="1" si="26"/>
        <v/>
      </c>
      <c r="AT29" s="789" t="str">
        <f t="shared" ca="1" si="27"/>
        <v/>
      </c>
      <c r="AU29" s="789" t="str">
        <f t="shared" ca="1" si="28"/>
        <v/>
      </c>
      <c r="AV29" s="789" t="str">
        <f t="shared" ca="1" si="29"/>
        <v/>
      </c>
      <c r="AW29" s="789" t="str">
        <f t="shared" ca="1" si="30"/>
        <v/>
      </c>
      <c r="AX29" s="789" t="str">
        <f t="shared" ca="1" si="31"/>
        <v/>
      </c>
      <c r="AY29" s="789" t="str">
        <f t="shared" ca="1" si="32"/>
        <v/>
      </c>
      <c r="AZ29" s="789" t="str">
        <f t="shared" ca="1" si="33"/>
        <v/>
      </c>
      <c r="BA29" s="789" t="str">
        <f t="shared" ca="1" si="34"/>
        <v/>
      </c>
      <c r="BB29" s="789" t="str">
        <f t="shared" ca="1" si="35"/>
        <v/>
      </c>
      <c r="BC29" s="789" t="str">
        <f t="shared" ca="1" si="36"/>
        <v/>
      </c>
      <c r="BD29" s="789" t="str">
        <f t="shared" ca="1" si="37"/>
        <v/>
      </c>
      <c r="BE29" s="789" t="str">
        <f t="shared" ca="1" si="38"/>
        <v/>
      </c>
      <c r="BF29" s="789" t="str">
        <f t="shared" ca="1" si="39"/>
        <v/>
      </c>
      <c r="BG29" s="789" t="str">
        <f t="shared" ca="1" si="40"/>
        <v/>
      </c>
      <c r="BH29" s="789" t="str">
        <f t="shared" ca="1" si="41"/>
        <v/>
      </c>
      <c r="BI29" s="789" t="str">
        <f t="shared" ca="1" si="42"/>
        <v/>
      </c>
      <c r="BJ29" s="789" t="str">
        <f t="shared" ca="1" si="43"/>
        <v/>
      </c>
      <c r="BK29" s="789" t="str">
        <f t="shared" ca="1" si="44"/>
        <v/>
      </c>
      <c r="BL29" s="789" t="str">
        <f t="shared" ca="1" si="45"/>
        <v/>
      </c>
      <c r="BM29" s="789" t="str">
        <f t="shared" ca="1" si="46"/>
        <v/>
      </c>
      <c r="BN29" s="789" t="str">
        <f t="shared" ca="1" si="47"/>
        <v/>
      </c>
      <c r="BO29" s="789" t="str">
        <f t="shared" ca="1" si="48"/>
        <v/>
      </c>
    </row>
    <row r="30" spans="1:67" ht="20.100000000000001" customHeight="1">
      <c r="A30" s="784">
        <v>29</v>
      </c>
      <c r="B30" s="1594"/>
      <c r="C30" s="1596"/>
      <c r="D30" s="785" t="s">
        <v>370</v>
      </c>
      <c r="E30" s="785"/>
      <c r="F30" s="786"/>
      <c r="G30" s="787" t="s">
        <v>455</v>
      </c>
      <c r="H30" s="788">
        <f t="shared" ca="1" si="0"/>
        <v>29</v>
      </c>
      <c r="I30" s="788">
        <f t="shared" ca="1" si="1"/>
        <v>29</v>
      </c>
      <c r="J30" s="788">
        <f t="shared" ca="1" si="2"/>
        <v>29</v>
      </c>
      <c r="K30" s="788">
        <f t="shared" ca="1" si="3"/>
        <v>29</v>
      </c>
      <c r="L30" s="789">
        <f t="shared" ca="1" si="49"/>
        <v>0</v>
      </c>
      <c r="M30" s="789">
        <f t="shared" ca="1" si="49"/>
        <v>0</v>
      </c>
      <c r="N30" s="789">
        <f t="shared" ca="1" si="49"/>
        <v>0</v>
      </c>
      <c r="O30" s="789">
        <f t="shared" ca="1" si="49"/>
        <v>0</v>
      </c>
      <c r="P30" s="789">
        <f ca="1">SUM(SUMIFS(OFFSET(貼付け_2024実績,$A30,9,1,199),OFFSET(貼付け_2024実績,4,9,1,199),{"横浜*","川崎*"}))</f>
        <v>0</v>
      </c>
      <c r="Q30" s="789">
        <f ca="1">SUM(SUMIFS(OFFSET(貼付け_2025実績,$A30,9,1,199),OFFSET(貼付け_2025実績,4,9,1,199),{"横浜*","川崎*"}))</f>
        <v>0</v>
      </c>
      <c r="R30" s="789">
        <f ca="1">SUM(SUMIFS(OFFSET(貼付け_2026実績,$A30,9,1,199),OFFSET(貼付け_2026実績,4,9,1,199),{"横浜*","川崎*"}))</f>
        <v>0</v>
      </c>
      <c r="S30" s="789">
        <f ca="1">SUM(SUMIFS(OFFSET(貼付け_2027実績,$A30,9,1,199),OFFSET(貼付け_2027実績,4,9,1,199),{"横浜*","川崎*"}))</f>
        <v>0</v>
      </c>
      <c r="T30" s="789">
        <f t="shared" ca="1" si="50"/>
        <v>0</v>
      </c>
      <c r="U30" s="789">
        <f t="shared" ca="1" si="50"/>
        <v>0</v>
      </c>
      <c r="V30" s="789">
        <f t="shared" ca="1" si="50"/>
        <v>0</v>
      </c>
      <c r="W30" s="789">
        <f t="shared" ca="1" si="50"/>
        <v>0</v>
      </c>
      <c r="X30" s="789">
        <f t="shared" ca="1" si="6"/>
        <v>0</v>
      </c>
      <c r="Y30" s="789">
        <f t="shared" ca="1" si="7"/>
        <v>0</v>
      </c>
      <c r="Z30" s="789">
        <f t="shared" ca="1" si="8"/>
        <v>0</v>
      </c>
      <c r="AA30" s="789">
        <f t="shared" ca="1" si="9"/>
        <v>0</v>
      </c>
      <c r="AB30" s="789" t="str">
        <f t="shared" ca="1" si="51"/>
        <v/>
      </c>
      <c r="AC30" s="789" t="str">
        <f t="shared" ca="1" si="10"/>
        <v/>
      </c>
      <c r="AD30" s="789" t="str">
        <f t="shared" ca="1" si="11"/>
        <v/>
      </c>
      <c r="AE30" s="789" t="str">
        <f t="shared" ca="1" si="12"/>
        <v/>
      </c>
      <c r="AF30" s="789" t="str">
        <f t="shared" ca="1" si="13"/>
        <v/>
      </c>
      <c r="AG30" s="789" t="str">
        <f t="shared" ca="1" si="14"/>
        <v/>
      </c>
      <c r="AH30" s="789" t="str">
        <f t="shared" ca="1" si="15"/>
        <v/>
      </c>
      <c r="AI30" s="789" t="str">
        <f t="shared" ca="1" si="16"/>
        <v/>
      </c>
      <c r="AJ30" s="789" t="str">
        <f t="shared" ca="1" si="17"/>
        <v/>
      </c>
      <c r="AK30" s="789" t="str">
        <f t="shared" ca="1" si="18"/>
        <v/>
      </c>
      <c r="AL30" s="789" t="str">
        <f t="shared" ca="1" si="19"/>
        <v/>
      </c>
      <c r="AM30" s="789" t="str">
        <f t="shared" ca="1" si="20"/>
        <v/>
      </c>
      <c r="AN30" s="789" t="str">
        <f t="shared" ca="1" si="21"/>
        <v/>
      </c>
      <c r="AO30" s="789" t="str">
        <f t="shared" ca="1" si="22"/>
        <v/>
      </c>
      <c r="AP30" s="789" t="str">
        <f t="shared" ca="1" si="23"/>
        <v/>
      </c>
      <c r="AQ30" s="789" t="str">
        <f t="shared" ca="1" si="24"/>
        <v/>
      </c>
      <c r="AR30" s="789" t="str">
        <f t="shared" ca="1" si="25"/>
        <v/>
      </c>
      <c r="AS30" s="789" t="str">
        <f t="shared" ca="1" si="26"/>
        <v/>
      </c>
      <c r="AT30" s="789" t="str">
        <f t="shared" ca="1" si="27"/>
        <v/>
      </c>
      <c r="AU30" s="789" t="str">
        <f t="shared" ca="1" si="28"/>
        <v/>
      </c>
      <c r="AV30" s="789" t="str">
        <f t="shared" ca="1" si="29"/>
        <v/>
      </c>
      <c r="AW30" s="789" t="str">
        <f t="shared" ca="1" si="30"/>
        <v/>
      </c>
      <c r="AX30" s="789" t="str">
        <f t="shared" ca="1" si="31"/>
        <v/>
      </c>
      <c r="AY30" s="789" t="str">
        <f t="shared" ca="1" si="32"/>
        <v/>
      </c>
      <c r="AZ30" s="789" t="str">
        <f t="shared" ca="1" si="33"/>
        <v/>
      </c>
      <c r="BA30" s="789" t="str">
        <f t="shared" ca="1" si="34"/>
        <v/>
      </c>
      <c r="BB30" s="789" t="str">
        <f t="shared" ca="1" si="35"/>
        <v/>
      </c>
      <c r="BC30" s="789" t="str">
        <f t="shared" ca="1" si="36"/>
        <v/>
      </c>
      <c r="BD30" s="789" t="str">
        <f t="shared" ca="1" si="37"/>
        <v/>
      </c>
      <c r="BE30" s="789" t="str">
        <f t="shared" ca="1" si="38"/>
        <v/>
      </c>
      <c r="BF30" s="789" t="str">
        <f t="shared" ca="1" si="39"/>
        <v/>
      </c>
      <c r="BG30" s="789" t="str">
        <f t="shared" ca="1" si="40"/>
        <v/>
      </c>
      <c r="BH30" s="789" t="str">
        <f t="shared" ca="1" si="41"/>
        <v/>
      </c>
      <c r="BI30" s="789" t="str">
        <f t="shared" ca="1" si="42"/>
        <v/>
      </c>
      <c r="BJ30" s="789" t="str">
        <f t="shared" ca="1" si="43"/>
        <v/>
      </c>
      <c r="BK30" s="789" t="str">
        <f t="shared" ca="1" si="44"/>
        <v/>
      </c>
      <c r="BL30" s="789" t="str">
        <f t="shared" ca="1" si="45"/>
        <v/>
      </c>
      <c r="BM30" s="789" t="str">
        <f t="shared" ca="1" si="46"/>
        <v/>
      </c>
      <c r="BN30" s="789" t="str">
        <f t="shared" ca="1" si="47"/>
        <v/>
      </c>
      <c r="BO30" s="789" t="str">
        <f t="shared" ca="1" si="48"/>
        <v/>
      </c>
    </row>
    <row r="31" spans="1:67" ht="20.100000000000001" customHeight="1">
      <c r="A31" s="784">
        <v>30</v>
      </c>
      <c r="B31" s="1594"/>
      <c r="C31" s="1596"/>
      <c r="D31" s="785" t="s">
        <v>371</v>
      </c>
      <c r="E31" s="779"/>
      <c r="F31" s="786"/>
      <c r="G31" s="787" t="s">
        <v>455</v>
      </c>
      <c r="H31" s="788">
        <f t="shared" ca="1" si="0"/>
        <v>37.299999999999997</v>
      </c>
      <c r="I31" s="788">
        <f t="shared" ca="1" si="1"/>
        <v>37.299999999999997</v>
      </c>
      <c r="J31" s="788">
        <f t="shared" ca="1" si="2"/>
        <v>37.299999999999997</v>
      </c>
      <c r="K31" s="788">
        <f t="shared" ca="1" si="3"/>
        <v>37.299999999999997</v>
      </c>
      <c r="L31" s="789">
        <f t="shared" ca="1" si="49"/>
        <v>0</v>
      </c>
      <c r="M31" s="789">
        <f t="shared" ca="1" si="49"/>
        <v>0</v>
      </c>
      <c r="N31" s="789">
        <f t="shared" ca="1" si="49"/>
        <v>0</v>
      </c>
      <c r="O31" s="789">
        <f t="shared" ca="1" si="49"/>
        <v>0</v>
      </c>
      <c r="P31" s="789">
        <f ca="1">SUM(SUMIFS(OFFSET(貼付け_2024実績,$A31,9,1,199),OFFSET(貼付け_2024実績,4,9,1,199),{"横浜*","川崎*"}))</f>
        <v>0</v>
      </c>
      <c r="Q31" s="789">
        <f ca="1">SUM(SUMIFS(OFFSET(貼付け_2025実績,$A31,9,1,199),OFFSET(貼付け_2025実績,4,9,1,199),{"横浜*","川崎*"}))</f>
        <v>0</v>
      </c>
      <c r="R31" s="789">
        <f ca="1">SUM(SUMIFS(OFFSET(貼付け_2026実績,$A31,9,1,199),OFFSET(貼付け_2026実績,4,9,1,199),{"横浜*","川崎*"}))</f>
        <v>0</v>
      </c>
      <c r="S31" s="789">
        <f ca="1">SUM(SUMIFS(OFFSET(貼付け_2027実績,$A31,9,1,199),OFFSET(貼付け_2027実績,4,9,1,199),{"横浜*","川崎*"}))</f>
        <v>0</v>
      </c>
      <c r="T31" s="789">
        <f t="shared" ca="1" si="50"/>
        <v>0</v>
      </c>
      <c r="U31" s="789">
        <f t="shared" ca="1" si="50"/>
        <v>0</v>
      </c>
      <c r="V31" s="789">
        <f t="shared" ca="1" si="50"/>
        <v>0</v>
      </c>
      <c r="W31" s="789">
        <f t="shared" ca="1" si="50"/>
        <v>0</v>
      </c>
      <c r="X31" s="789">
        <f t="shared" ca="1" si="6"/>
        <v>0</v>
      </c>
      <c r="Y31" s="789">
        <f t="shared" ca="1" si="7"/>
        <v>0</v>
      </c>
      <c r="Z31" s="789">
        <f t="shared" ca="1" si="8"/>
        <v>0</v>
      </c>
      <c r="AA31" s="789">
        <f t="shared" ca="1" si="9"/>
        <v>0</v>
      </c>
      <c r="AB31" s="789" t="str">
        <f t="shared" ca="1" si="51"/>
        <v/>
      </c>
      <c r="AC31" s="789" t="str">
        <f t="shared" ca="1" si="10"/>
        <v/>
      </c>
      <c r="AD31" s="789" t="str">
        <f t="shared" ca="1" si="11"/>
        <v/>
      </c>
      <c r="AE31" s="789" t="str">
        <f t="shared" ca="1" si="12"/>
        <v/>
      </c>
      <c r="AF31" s="789" t="str">
        <f t="shared" ca="1" si="13"/>
        <v/>
      </c>
      <c r="AG31" s="789" t="str">
        <f t="shared" ca="1" si="14"/>
        <v/>
      </c>
      <c r="AH31" s="789" t="str">
        <f t="shared" ca="1" si="15"/>
        <v/>
      </c>
      <c r="AI31" s="789" t="str">
        <f t="shared" ca="1" si="16"/>
        <v/>
      </c>
      <c r="AJ31" s="789" t="str">
        <f t="shared" ca="1" si="17"/>
        <v/>
      </c>
      <c r="AK31" s="789" t="str">
        <f t="shared" ca="1" si="18"/>
        <v/>
      </c>
      <c r="AL31" s="789" t="str">
        <f t="shared" ca="1" si="19"/>
        <v/>
      </c>
      <c r="AM31" s="789" t="str">
        <f t="shared" ca="1" si="20"/>
        <v/>
      </c>
      <c r="AN31" s="789" t="str">
        <f t="shared" ca="1" si="21"/>
        <v/>
      </c>
      <c r="AO31" s="789" t="str">
        <f t="shared" ca="1" si="22"/>
        <v/>
      </c>
      <c r="AP31" s="789" t="str">
        <f t="shared" ca="1" si="23"/>
        <v/>
      </c>
      <c r="AQ31" s="789" t="str">
        <f t="shared" ca="1" si="24"/>
        <v/>
      </c>
      <c r="AR31" s="789" t="str">
        <f t="shared" ca="1" si="25"/>
        <v/>
      </c>
      <c r="AS31" s="789" t="str">
        <f t="shared" ca="1" si="26"/>
        <v/>
      </c>
      <c r="AT31" s="789" t="str">
        <f t="shared" ca="1" si="27"/>
        <v/>
      </c>
      <c r="AU31" s="789" t="str">
        <f t="shared" ca="1" si="28"/>
        <v/>
      </c>
      <c r="AV31" s="789" t="str">
        <f t="shared" ca="1" si="29"/>
        <v/>
      </c>
      <c r="AW31" s="789" t="str">
        <f t="shared" ca="1" si="30"/>
        <v/>
      </c>
      <c r="AX31" s="789" t="str">
        <f t="shared" ca="1" si="31"/>
        <v/>
      </c>
      <c r="AY31" s="789" t="str">
        <f t="shared" ca="1" si="32"/>
        <v/>
      </c>
      <c r="AZ31" s="789" t="str">
        <f t="shared" ca="1" si="33"/>
        <v/>
      </c>
      <c r="BA31" s="789" t="str">
        <f t="shared" ca="1" si="34"/>
        <v/>
      </c>
      <c r="BB31" s="789" t="str">
        <f t="shared" ca="1" si="35"/>
        <v/>
      </c>
      <c r="BC31" s="789" t="str">
        <f t="shared" ca="1" si="36"/>
        <v/>
      </c>
      <c r="BD31" s="789" t="str">
        <f t="shared" ca="1" si="37"/>
        <v/>
      </c>
      <c r="BE31" s="789" t="str">
        <f t="shared" ca="1" si="38"/>
        <v/>
      </c>
      <c r="BF31" s="789" t="str">
        <f t="shared" ca="1" si="39"/>
        <v/>
      </c>
      <c r="BG31" s="789" t="str">
        <f t="shared" ca="1" si="40"/>
        <v/>
      </c>
      <c r="BH31" s="789" t="str">
        <f t="shared" ca="1" si="41"/>
        <v/>
      </c>
      <c r="BI31" s="789" t="str">
        <f t="shared" ca="1" si="42"/>
        <v/>
      </c>
      <c r="BJ31" s="789" t="str">
        <f t="shared" ca="1" si="43"/>
        <v/>
      </c>
      <c r="BK31" s="789" t="str">
        <f t="shared" ca="1" si="44"/>
        <v/>
      </c>
      <c r="BL31" s="789" t="str">
        <f t="shared" ca="1" si="45"/>
        <v/>
      </c>
      <c r="BM31" s="789" t="str">
        <f t="shared" ca="1" si="46"/>
        <v/>
      </c>
      <c r="BN31" s="789" t="str">
        <f t="shared" ca="1" si="47"/>
        <v/>
      </c>
      <c r="BO31" s="789" t="str">
        <f t="shared" ca="1" si="48"/>
        <v/>
      </c>
    </row>
    <row r="32" spans="1:67" ht="20.100000000000001" customHeight="1">
      <c r="A32" s="784">
        <v>31</v>
      </c>
      <c r="B32" s="1594"/>
      <c r="C32" s="1596"/>
      <c r="D32" s="785" t="s">
        <v>372</v>
      </c>
      <c r="E32" s="785"/>
      <c r="F32" s="786"/>
      <c r="G32" s="787" t="s">
        <v>457</v>
      </c>
      <c r="H32" s="788">
        <f t="shared" ca="1" si="0"/>
        <v>18.399999999999999</v>
      </c>
      <c r="I32" s="788">
        <f t="shared" ca="1" si="1"/>
        <v>18.399999999999999</v>
      </c>
      <c r="J32" s="788">
        <f t="shared" ca="1" si="2"/>
        <v>18.399999999999999</v>
      </c>
      <c r="K32" s="788">
        <f t="shared" ca="1" si="3"/>
        <v>18.399999999999999</v>
      </c>
      <c r="L32" s="789">
        <f t="shared" ca="1" si="49"/>
        <v>0</v>
      </c>
      <c r="M32" s="789">
        <f t="shared" ca="1" si="49"/>
        <v>0</v>
      </c>
      <c r="N32" s="789">
        <f t="shared" ca="1" si="49"/>
        <v>0</v>
      </c>
      <c r="O32" s="789">
        <f t="shared" ca="1" si="49"/>
        <v>0</v>
      </c>
      <c r="P32" s="789">
        <f ca="1">SUM(SUMIFS(OFFSET(貼付け_2024実績,$A32,9,1,199),OFFSET(貼付け_2024実績,4,9,1,199),{"横浜*","川崎*"}))</f>
        <v>0</v>
      </c>
      <c r="Q32" s="789">
        <f ca="1">SUM(SUMIFS(OFFSET(貼付け_2025実績,$A32,9,1,199),OFFSET(貼付け_2025実績,4,9,1,199),{"横浜*","川崎*"}))</f>
        <v>0</v>
      </c>
      <c r="R32" s="789">
        <f ca="1">SUM(SUMIFS(OFFSET(貼付け_2026実績,$A32,9,1,199),OFFSET(貼付け_2026実績,4,9,1,199),{"横浜*","川崎*"}))</f>
        <v>0</v>
      </c>
      <c r="S32" s="789">
        <f ca="1">SUM(SUMIFS(OFFSET(貼付け_2027実績,$A32,9,1,199),OFFSET(貼付け_2027実績,4,9,1,199),{"横浜*","川崎*"}))</f>
        <v>0</v>
      </c>
      <c r="T32" s="789">
        <f t="shared" ca="1" si="50"/>
        <v>0</v>
      </c>
      <c r="U32" s="789">
        <f t="shared" ca="1" si="50"/>
        <v>0</v>
      </c>
      <c r="V32" s="789">
        <f t="shared" ca="1" si="50"/>
        <v>0</v>
      </c>
      <c r="W32" s="789">
        <f t="shared" ca="1" si="50"/>
        <v>0</v>
      </c>
      <c r="X32" s="789">
        <f t="shared" ca="1" si="6"/>
        <v>0</v>
      </c>
      <c r="Y32" s="789">
        <f t="shared" ca="1" si="7"/>
        <v>0</v>
      </c>
      <c r="Z32" s="789">
        <f t="shared" ca="1" si="8"/>
        <v>0</v>
      </c>
      <c r="AA32" s="789">
        <f t="shared" ca="1" si="9"/>
        <v>0</v>
      </c>
      <c r="AB32" s="789" t="str">
        <f t="shared" ca="1" si="51"/>
        <v/>
      </c>
      <c r="AC32" s="789" t="str">
        <f t="shared" ca="1" si="10"/>
        <v/>
      </c>
      <c r="AD32" s="789" t="str">
        <f t="shared" ca="1" si="11"/>
        <v/>
      </c>
      <c r="AE32" s="789" t="str">
        <f t="shared" ca="1" si="12"/>
        <v/>
      </c>
      <c r="AF32" s="789" t="str">
        <f t="shared" ca="1" si="13"/>
        <v/>
      </c>
      <c r="AG32" s="789" t="str">
        <f t="shared" ca="1" si="14"/>
        <v/>
      </c>
      <c r="AH32" s="789" t="str">
        <f t="shared" ca="1" si="15"/>
        <v/>
      </c>
      <c r="AI32" s="789" t="str">
        <f t="shared" ca="1" si="16"/>
        <v/>
      </c>
      <c r="AJ32" s="789" t="str">
        <f t="shared" ca="1" si="17"/>
        <v/>
      </c>
      <c r="AK32" s="789" t="str">
        <f t="shared" ca="1" si="18"/>
        <v/>
      </c>
      <c r="AL32" s="789" t="str">
        <f t="shared" ca="1" si="19"/>
        <v/>
      </c>
      <c r="AM32" s="789" t="str">
        <f t="shared" ca="1" si="20"/>
        <v/>
      </c>
      <c r="AN32" s="789" t="str">
        <f t="shared" ca="1" si="21"/>
        <v/>
      </c>
      <c r="AO32" s="789" t="str">
        <f t="shared" ca="1" si="22"/>
        <v/>
      </c>
      <c r="AP32" s="789" t="str">
        <f t="shared" ca="1" si="23"/>
        <v/>
      </c>
      <c r="AQ32" s="789" t="str">
        <f t="shared" ca="1" si="24"/>
        <v/>
      </c>
      <c r="AR32" s="789" t="str">
        <f t="shared" ca="1" si="25"/>
        <v/>
      </c>
      <c r="AS32" s="789" t="str">
        <f t="shared" ca="1" si="26"/>
        <v/>
      </c>
      <c r="AT32" s="789" t="str">
        <f t="shared" ca="1" si="27"/>
        <v/>
      </c>
      <c r="AU32" s="789" t="str">
        <f t="shared" ca="1" si="28"/>
        <v/>
      </c>
      <c r="AV32" s="789" t="str">
        <f t="shared" ca="1" si="29"/>
        <v/>
      </c>
      <c r="AW32" s="789" t="str">
        <f t="shared" ca="1" si="30"/>
        <v/>
      </c>
      <c r="AX32" s="789" t="str">
        <f t="shared" ca="1" si="31"/>
        <v/>
      </c>
      <c r="AY32" s="789" t="str">
        <f t="shared" ca="1" si="32"/>
        <v/>
      </c>
      <c r="AZ32" s="789" t="str">
        <f t="shared" ca="1" si="33"/>
        <v/>
      </c>
      <c r="BA32" s="789" t="str">
        <f t="shared" ca="1" si="34"/>
        <v/>
      </c>
      <c r="BB32" s="789" t="str">
        <f t="shared" ca="1" si="35"/>
        <v/>
      </c>
      <c r="BC32" s="789" t="str">
        <f t="shared" ca="1" si="36"/>
        <v/>
      </c>
      <c r="BD32" s="789" t="str">
        <f t="shared" ca="1" si="37"/>
        <v/>
      </c>
      <c r="BE32" s="789" t="str">
        <f t="shared" ca="1" si="38"/>
        <v/>
      </c>
      <c r="BF32" s="789" t="str">
        <f t="shared" ca="1" si="39"/>
        <v/>
      </c>
      <c r="BG32" s="789" t="str">
        <f t="shared" ca="1" si="40"/>
        <v/>
      </c>
      <c r="BH32" s="789" t="str">
        <f t="shared" ca="1" si="41"/>
        <v/>
      </c>
      <c r="BI32" s="789" t="str">
        <f t="shared" ca="1" si="42"/>
        <v/>
      </c>
      <c r="BJ32" s="789" t="str">
        <f t="shared" ca="1" si="43"/>
        <v/>
      </c>
      <c r="BK32" s="789" t="str">
        <f t="shared" ca="1" si="44"/>
        <v/>
      </c>
      <c r="BL32" s="789" t="str">
        <f t="shared" ca="1" si="45"/>
        <v/>
      </c>
      <c r="BM32" s="789" t="str">
        <f t="shared" ca="1" si="46"/>
        <v/>
      </c>
      <c r="BN32" s="789" t="str">
        <f t="shared" ca="1" si="47"/>
        <v/>
      </c>
      <c r="BO32" s="789" t="str">
        <f t="shared" ca="1" si="48"/>
        <v/>
      </c>
    </row>
    <row r="33" spans="1:67" ht="20.100000000000001" customHeight="1">
      <c r="A33" s="784">
        <v>32</v>
      </c>
      <c r="B33" s="1594"/>
      <c r="C33" s="1596"/>
      <c r="D33" s="785" t="s">
        <v>373</v>
      </c>
      <c r="E33" s="785"/>
      <c r="F33" s="786"/>
      <c r="G33" s="787" t="s">
        <v>457</v>
      </c>
      <c r="H33" s="788">
        <f t="shared" ca="1" si="0"/>
        <v>3.23</v>
      </c>
      <c r="I33" s="788">
        <f t="shared" ca="1" si="1"/>
        <v>3.23</v>
      </c>
      <c r="J33" s="788">
        <f t="shared" ca="1" si="2"/>
        <v>3.23</v>
      </c>
      <c r="K33" s="788">
        <f t="shared" ca="1" si="3"/>
        <v>3.23</v>
      </c>
      <c r="L33" s="789">
        <f t="shared" ca="1" si="49"/>
        <v>0</v>
      </c>
      <c r="M33" s="789">
        <f t="shared" ca="1" si="49"/>
        <v>0</v>
      </c>
      <c r="N33" s="789">
        <f t="shared" ca="1" si="49"/>
        <v>0</v>
      </c>
      <c r="O33" s="789">
        <f t="shared" ca="1" si="49"/>
        <v>0</v>
      </c>
      <c r="P33" s="789">
        <f ca="1">SUM(SUMIFS(OFFSET(貼付け_2024実績,$A33,9,1,199),OFFSET(貼付け_2024実績,4,9,1,199),{"横浜*","川崎*"}))</f>
        <v>0</v>
      </c>
      <c r="Q33" s="789">
        <f ca="1">SUM(SUMIFS(OFFSET(貼付け_2025実績,$A33,9,1,199),OFFSET(貼付け_2025実績,4,9,1,199),{"横浜*","川崎*"}))</f>
        <v>0</v>
      </c>
      <c r="R33" s="789">
        <f ca="1">SUM(SUMIFS(OFFSET(貼付け_2026実績,$A33,9,1,199),OFFSET(貼付け_2026実績,4,9,1,199),{"横浜*","川崎*"}))</f>
        <v>0</v>
      </c>
      <c r="S33" s="789">
        <f ca="1">SUM(SUMIFS(OFFSET(貼付け_2027実績,$A33,9,1,199),OFFSET(貼付け_2027実績,4,9,1,199),{"横浜*","川崎*"}))</f>
        <v>0</v>
      </c>
      <c r="T33" s="789">
        <f t="shared" ca="1" si="50"/>
        <v>0</v>
      </c>
      <c r="U33" s="789">
        <f t="shared" ca="1" si="50"/>
        <v>0</v>
      </c>
      <c r="V33" s="789">
        <f t="shared" ca="1" si="50"/>
        <v>0</v>
      </c>
      <c r="W33" s="789">
        <f t="shared" ca="1" si="50"/>
        <v>0</v>
      </c>
      <c r="X33" s="789">
        <f t="shared" ca="1" si="6"/>
        <v>0</v>
      </c>
      <c r="Y33" s="789">
        <f t="shared" ca="1" si="7"/>
        <v>0</v>
      </c>
      <c r="Z33" s="789">
        <f t="shared" ca="1" si="8"/>
        <v>0</v>
      </c>
      <c r="AA33" s="789">
        <f t="shared" ca="1" si="9"/>
        <v>0</v>
      </c>
      <c r="AB33" s="789" t="str">
        <f t="shared" ca="1" si="51"/>
        <v/>
      </c>
      <c r="AC33" s="789" t="str">
        <f t="shared" ca="1" si="10"/>
        <v/>
      </c>
      <c r="AD33" s="789" t="str">
        <f t="shared" ca="1" si="11"/>
        <v/>
      </c>
      <c r="AE33" s="789" t="str">
        <f t="shared" ca="1" si="12"/>
        <v/>
      </c>
      <c r="AF33" s="789" t="str">
        <f t="shared" ca="1" si="13"/>
        <v/>
      </c>
      <c r="AG33" s="789" t="str">
        <f t="shared" ca="1" si="14"/>
        <v/>
      </c>
      <c r="AH33" s="789" t="str">
        <f t="shared" ca="1" si="15"/>
        <v/>
      </c>
      <c r="AI33" s="789" t="str">
        <f t="shared" ca="1" si="16"/>
        <v/>
      </c>
      <c r="AJ33" s="789" t="str">
        <f t="shared" ca="1" si="17"/>
        <v/>
      </c>
      <c r="AK33" s="789" t="str">
        <f t="shared" ca="1" si="18"/>
        <v/>
      </c>
      <c r="AL33" s="789" t="str">
        <f t="shared" ca="1" si="19"/>
        <v/>
      </c>
      <c r="AM33" s="789" t="str">
        <f t="shared" ca="1" si="20"/>
        <v/>
      </c>
      <c r="AN33" s="789" t="str">
        <f t="shared" ca="1" si="21"/>
        <v/>
      </c>
      <c r="AO33" s="789" t="str">
        <f t="shared" ca="1" si="22"/>
        <v/>
      </c>
      <c r="AP33" s="789" t="str">
        <f t="shared" ca="1" si="23"/>
        <v/>
      </c>
      <c r="AQ33" s="789" t="str">
        <f t="shared" ca="1" si="24"/>
        <v/>
      </c>
      <c r="AR33" s="789" t="str">
        <f t="shared" ca="1" si="25"/>
        <v/>
      </c>
      <c r="AS33" s="789" t="str">
        <f t="shared" ca="1" si="26"/>
        <v/>
      </c>
      <c r="AT33" s="789" t="str">
        <f t="shared" ca="1" si="27"/>
        <v/>
      </c>
      <c r="AU33" s="789" t="str">
        <f t="shared" ca="1" si="28"/>
        <v/>
      </c>
      <c r="AV33" s="789" t="str">
        <f t="shared" ca="1" si="29"/>
        <v/>
      </c>
      <c r="AW33" s="789" t="str">
        <f t="shared" ca="1" si="30"/>
        <v/>
      </c>
      <c r="AX33" s="789" t="str">
        <f t="shared" ca="1" si="31"/>
        <v/>
      </c>
      <c r="AY33" s="789" t="str">
        <f t="shared" ca="1" si="32"/>
        <v/>
      </c>
      <c r="AZ33" s="789" t="str">
        <f t="shared" ca="1" si="33"/>
        <v/>
      </c>
      <c r="BA33" s="789" t="str">
        <f t="shared" ca="1" si="34"/>
        <v/>
      </c>
      <c r="BB33" s="789" t="str">
        <f t="shared" ca="1" si="35"/>
        <v/>
      </c>
      <c r="BC33" s="789" t="str">
        <f t="shared" ca="1" si="36"/>
        <v/>
      </c>
      <c r="BD33" s="789" t="str">
        <f t="shared" ca="1" si="37"/>
        <v/>
      </c>
      <c r="BE33" s="789" t="str">
        <f t="shared" ca="1" si="38"/>
        <v/>
      </c>
      <c r="BF33" s="789" t="str">
        <f t="shared" ca="1" si="39"/>
        <v/>
      </c>
      <c r="BG33" s="789" t="str">
        <f t="shared" ca="1" si="40"/>
        <v/>
      </c>
      <c r="BH33" s="789" t="str">
        <f t="shared" ca="1" si="41"/>
        <v/>
      </c>
      <c r="BI33" s="789" t="str">
        <f t="shared" ca="1" si="42"/>
        <v/>
      </c>
      <c r="BJ33" s="789" t="str">
        <f t="shared" ca="1" si="43"/>
        <v/>
      </c>
      <c r="BK33" s="789" t="str">
        <f t="shared" ca="1" si="44"/>
        <v/>
      </c>
      <c r="BL33" s="789" t="str">
        <f t="shared" ca="1" si="45"/>
        <v/>
      </c>
      <c r="BM33" s="789" t="str">
        <f t="shared" ca="1" si="46"/>
        <v/>
      </c>
      <c r="BN33" s="789" t="str">
        <f t="shared" ca="1" si="47"/>
        <v/>
      </c>
      <c r="BO33" s="789" t="str">
        <f t="shared" ca="1" si="48"/>
        <v/>
      </c>
    </row>
    <row r="34" spans="1:67" ht="20.100000000000001" customHeight="1">
      <c r="A34" s="784">
        <v>33</v>
      </c>
      <c r="B34" s="1594"/>
      <c r="C34" s="1596"/>
      <c r="D34" s="785" t="s">
        <v>374</v>
      </c>
      <c r="E34" s="785"/>
      <c r="F34" s="786"/>
      <c r="G34" s="787" t="s">
        <v>457</v>
      </c>
      <c r="H34" s="788">
        <f t="shared" ca="1" si="0"/>
        <v>3.45</v>
      </c>
      <c r="I34" s="788">
        <f t="shared" ca="1" si="1"/>
        <v>3.45</v>
      </c>
      <c r="J34" s="788">
        <f t="shared" ca="1" si="2"/>
        <v>3.45</v>
      </c>
      <c r="K34" s="788">
        <f t="shared" ca="1" si="3"/>
        <v>3.45</v>
      </c>
      <c r="L34" s="789">
        <f t="shared" ca="1" si="49"/>
        <v>0</v>
      </c>
      <c r="M34" s="789">
        <f t="shared" ca="1" si="49"/>
        <v>0</v>
      </c>
      <c r="N34" s="789">
        <f t="shared" ca="1" si="49"/>
        <v>0</v>
      </c>
      <c r="O34" s="789">
        <f t="shared" ca="1" si="49"/>
        <v>0</v>
      </c>
      <c r="P34" s="789">
        <f ca="1">SUM(SUMIFS(OFFSET(貼付け_2024実績,$A34,9,1,199),OFFSET(貼付け_2024実績,4,9,1,199),{"横浜*","川崎*"}))</f>
        <v>0</v>
      </c>
      <c r="Q34" s="789">
        <f ca="1">SUM(SUMIFS(OFFSET(貼付け_2025実績,$A34,9,1,199),OFFSET(貼付け_2025実績,4,9,1,199),{"横浜*","川崎*"}))</f>
        <v>0</v>
      </c>
      <c r="R34" s="789">
        <f ca="1">SUM(SUMIFS(OFFSET(貼付け_2026実績,$A34,9,1,199),OFFSET(貼付け_2026実績,4,9,1,199),{"横浜*","川崎*"}))</f>
        <v>0</v>
      </c>
      <c r="S34" s="789">
        <f ca="1">SUM(SUMIFS(OFFSET(貼付け_2027実績,$A34,9,1,199),OFFSET(貼付け_2027実績,4,9,1,199),{"横浜*","川崎*"}))</f>
        <v>0</v>
      </c>
      <c r="T34" s="789">
        <f t="shared" ca="1" si="50"/>
        <v>0</v>
      </c>
      <c r="U34" s="789">
        <f t="shared" ca="1" si="50"/>
        <v>0</v>
      </c>
      <c r="V34" s="789">
        <f t="shared" ca="1" si="50"/>
        <v>0</v>
      </c>
      <c r="W34" s="789">
        <f t="shared" ca="1" si="50"/>
        <v>0</v>
      </c>
      <c r="X34" s="789">
        <f t="shared" ca="1" si="6"/>
        <v>0</v>
      </c>
      <c r="Y34" s="789">
        <f t="shared" ca="1" si="7"/>
        <v>0</v>
      </c>
      <c r="Z34" s="789">
        <f t="shared" ca="1" si="8"/>
        <v>0</v>
      </c>
      <c r="AA34" s="789">
        <f t="shared" ca="1" si="9"/>
        <v>0</v>
      </c>
      <c r="AB34" s="789" t="str">
        <f t="shared" ca="1" si="51"/>
        <v/>
      </c>
      <c r="AC34" s="789" t="str">
        <f t="shared" ca="1" si="10"/>
        <v/>
      </c>
      <c r="AD34" s="789" t="str">
        <f t="shared" ca="1" si="11"/>
        <v/>
      </c>
      <c r="AE34" s="789" t="str">
        <f t="shared" ca="1" si="12"/>
        <v/>
      </c>
      <c r="AF34" s="789" t="str">
        <f t="shared" ca="1" si="13"/>
        <v/>
      </c>
      <c r="AG34" s="789" t="str">
        <f t="shared" ca="1" si="14"/>
        <v/>
      </c>
      <c r="AH34" s="789" t="str">
        <f t="shared" ca="1" si="15"/>
        <v/>
      </c>
      <c r="AI34" s="789" t="str">
        <f t="shared" ca="1" si="16"/>
        <v/>
      </c>
      <c r="AJ34" s="789" t="str">
        <f t="shared" ca="1" si="17"/>
        <v/>
      </c>
      <c r="AK34" s="789" t="str">
        <f t="shared" ca="1" si="18"/>
        <v/>
      </c>
      <c r="AL34" s="789" t="str">
        <f t="shared" ca="1" si="19"/>
        <v/>
      </c>
      <c r="AM34" s="789" t="str">
        <f t="shared" ca="1" si="20"/>
        <v/>
      </c>
      <c r="AN34" s="789" t="str">
        <f t="shared" ca="1" si="21"/>
        <v/>
      </c>
      <c r="AO34" s="789" t="str">
        <f t="shared" ca="1" si="22"/>
        <v/>
      </c>
      <c r="AP34" s="789" t="str">
        <f t="shared" ca="1" si="23"/>
        <v/>
      </c>
      <c r="AQ34" s="789" t="str">
        <f t="shared" ca="1" si="24"/>
        <v/>
      </c>
      <c r="AR34" s="789" t="str">
        <f t="shared" ca="1" si="25"/>
        <v/>
      </c>
      <c r="AS34" s="789" t="str">
        <f t="shared" ca="1" si="26"/>
        <v/>
      </c>
      <c r="AT34" s="789" t="str">
        <f t="shared" ca="1" si="27"/>
        <v/>
      </c>
      <c r="AU34" s="789" t="str">
        <f t="shared" ca="1" si="28"/>
        <v/>
      </c>
      <c r="AV34" s="789" t="str">
        <f t="shared" ca="1" si="29"/>
        <v/>
      </c>
      <c r="AW34" s="789" t="str">
        <f t="shared" ca="1" si="30"/>
        <v/>
      </c>
      <c r="AX34" s="789" t="str">
        <f t="shared" ca="1" si="31"/>
        <v/>
      </c>
      <c r="AY34" s="789" t="str">
        <f t="shared" ca="1" si="32"/>
        <v/>
      </c>
      <c r="AZ34" s="789" t="str">
        <f t="shared" ca="1" si="33"/>
        <v/>
      </c>
      <c r="BA34" s="789" t="str">
        <f t="shared" ca="1" si="34"/>
        <v/>
      </c>
      <c r="BB34" s="789" t="str">
        <f t="shared" ca="1" si="35"/>
        <v/>
      </c>
      <c r="BC34" s="789" t="str">
        <f t="shared" ca="1" si="36"/>
        <v/>
      </c>
      <c r="BD34" s="789" t="str">
        <f t="shared" ca="1" si="37"/>
        <v/>
      </c>
      <c r="BE34" s="789" t="str">
        <f t="shared" ca="1" si="38"/>
        <v/>
      </c>
      <c r="BF34" s="789" t="str">
        <f t="shared" ca="1" si="39"/>
        <v/>
      </c>
      <c r="BG34" s="789" t="str">
        <f t="shared" ca="1" si="40"/>
        <v/>
      </c>
      <c r="BH34" s="789" t="str">
        <f t="shared" ca="1" si="41"/>
        <v/>
      </c>
      <c r="BI34" s="789" t="str">
        <f t="shared" ca="1" si="42"/>
        <v/>
      </c>
      <c r="BJ34" s="789" t="str">
        <f t="shared" ca="1" si="43"/>
        <v/>
      </c>
      <c r="BK34" s="789" t="str">
        <f t="shared" ca="1" si="44"/>
        <v/>
      </c>
      <c r="BL34" s="789" t="str">
        <f t="shared" ca="1" si="45"/>
        <v/>
      </c>
      <c r="BM34" s="789" t="str">
        <f t="shared" ca="1" si="46"/>
        <v/>
      </c>
      <c r="BN34" s="789" t="str">
        <f t="shared" ca="1" si="47"/>
        <v/>
      </c>
      <c r="BO34" s="789" t="str">
        <f t="shared" ca="1" si="48"/>
        <v/>
      </c>
    </row>
    <row r="35" spans="1:67" ht="20.100000000000001" customHeight="1">
      <c r="A35" s="784">
        <v>34</v>
      </c>
      <c r="B35" s="1594"/>
      <c r="C35" s="1596"/>
      <c r="D35" s="785" t="s">
        <v>375</v>
      </c>
      <c r="E35" s="785"/>
      <c r="F35" s="786"/>
      <c r="G35" s="787" t="s">
        <v>457</v>
      </c>
      <c r="H35" s="788">
        <f t="shared" ca="1" si="0"/>
        <v>7.53</v>
      </c>
      <c r="I35" s="788">
        <f t="shared" ca="1" si="1"/>
        <v>7.53</v>
      </c>
      <c r="J35" s="788">
        <f t="shared" ca="1" si="2"/>
        <v>7.53</v>
      </c>
      <c r="K35" s="788">
        <f t="shared" ca="1" si="3"/>
        <v>7.53</v>
      </c>
      <c r="L35" s="789">
        <f t="shared" ca="1" si="49"/>
        <v>0</v>
      </c>
      <c r="M35" s="789">
        <f t="shared" ca="1" si="49"/>
        <v>0</v>
      </c>
      <c r="N35" s="789">
        <f t="shared" ca="1" si="49"/>
        <v>0</v>
      </c>
      <c r="O35" s="789">
        <f t="shared" ca="1" si="49"/>
        <v>0</v>
      </c>
      <c r="P35" s="789">
        <f ca="1">SUM(SUMIFS(OFFSET(貼付け_2024実績,$A35,9,1,199),OFFSET(貼付け_2024実績,4,9,1,199),{"横浜*","川崎*"}))</f>
        <v>0</v>
      </c>
      <c r="Q35" s="789">
        <f ca="1">SUM(SUMIFS(OFFSET(貼付け_2025実績,$A35,9,1,199),OFFSET(貼付け_2025実績,4,9,1,199),{"横浜*","川崎*"}))</f>
        <v>0</v>
      </c>
      <c r="R35" s="789">
        <f ca="1">SUM(SUMIFS(OFFSET(貼付け_2026実績,$A35,9,1,199),OFFSET(貼付け_2026実績,4,9,1,199),{"横浜*","川崎*"}))</f>
        <v>0</v>
      </c>
      <c r="S35" s="789">
        <f ca="1">SUM(SUMIFS(OFFSET(貼付け_2027実績,$A35,9,1,199),OFFSET(貼付け_2027実績,4,9,1,199),{"横浜*","川崎*"}))</f>
        <v>0</v>
      </c>
      <c r="T35" s="789">
        <f t="shared" ca="1" si="50"/>
        <v>0</v>
      </c>
      <c r="U35" s="789">
        <f t="shared" ca="1" si="50"/>
        <v>0</v>
      </c>
      <c r="V35" s="789">
        <f t="shared" ca="1" si="50"/>
        <v>0</v>
      </c>
      <c r="W35" s="789">
        <f t="shared" ca="1" si="50"/>
        <v>0</v>
      </c>
      <c r="X35" s="789">
        <f t="shared" ca="1" si="6"/>
        <v>0</v>
      </c>
      <c r="Y35" s="789">
        <f t="shared" ca="1" si="7"/>
        <v>0</v>
      </c>
      <c r="Z35" s="789">
        <f t="shared" ca="1" si="8"/>
        <v>0</v>
      </c>
      <c r="AA35" s="789">
        <f t="shared" ca="1" si="9"/>
        <v>0</v>
      </c>
      <c r="AB35" s="789" t="str">
        <f t="shared" ca="1" si="51"/>
        <v/>
      </c>
      <c r="AC35" s="789" t="str">
        <f t="shared" ca="1" si="10"/>
        <v/>
      </c>
      <c r="AD35" s="789" t="str">
        <f t="shared" ca="1" si="11"/>
        <v/>
      </c>
      <c r="AE35" s="789" t="str">
        <f t="shared" ca="1" si="12"/>
        <v/>
      </c>
      <c r="AF35" s="789" t="str">
        <f t="shared" ca="1" si="13"/>
        <v/>
      </c>
      <c r="AG35" s="789" t="str">
        <f t="shared" ca="1" si="14"/>
        <v/>
      </c>
      <c r="AH35" s="789" t="str">
        <f t="shared" ca="1" si="15"/>
        <v/>
      </c>
      <c r="AI35" s="789" t="str">
        <f t="shared" ca="1" si="16"/>
        <v/>
      </c>
      <c r="AJ35" s="789" t="str">
        <f t="shared" ca="1" si="17"/>
        <v/>
      </c>
      <c r="AK35" s="789" t="str">
        <f t="shared" ca="1" si="18"/>
        <v/>
      </c>
      <c r="AL35" s="789" t="str">
        <f t="shared" ca="1" si="19"/>
        <v/>
      </c>
      <c r="AM35" s="789" t="str">
        <f t="shared" ca="1" si="20"/>
        <v/>
      </c>
      <c r="AN35" s="789" t="str">
        <f t="shared" ca="1" si="21"/>
        <v/>
      </c>
      <c r="AO35" s="789" t="str">
        <f t="shared" ca="1" si="22"/>
        <v/>
      </c>
      <c r="AP35" s="789" t="str">
        <f t="shared" ca="1" si="23"/>
        <v/>
      </c>
      <c r="AQ35" s="789" t="str">
        <f t="shared" ca="1" si="24"/>
        <v/>
      </c>
      <c r="AR35" s="789" t="str">
        <f t="shared" ca="1" si="25"/>
        <v/>
      </c>
      <c r="AS35" s="789" t="str">
        <f t="shared" ca="1" si="26"/>
        <v/>
      </c>
      <c r="AT35" s="789" t="str">
        <f t="shared" ca="1" si="27"/>
        <v/>
      </c>
      <c r="AU35" s="789" t="str">
        <f t="shared" ca="1" si="28"/>
        <v/>
      </c>
      <c r="AV35" s="789" t="str">
        <f t="shared" ca="1" si="29"/>
        <v/>
      </c>
      <c r="AW35" s="789" t="str">
        <f t="shared" ca="1" si="30"/>
        <v/>
      </c>
      <c r="AX35" s="789" t="str">
        <f t="shared" ca="1" si="31"/>
        <v/>
      </c>
      <c r="AY35" s="789" t="str">
        <f t="shared" ca="1" si="32"/>
        <v/>
      </c>
      <c r="AZ35" s="789" t="str">
        <f t="shared" ca="1" si="33"/>
        <v/>
      </c>
      <c r="BA35" s="789" t="str">
        <f t="shared" ca="1" si="34"/>
        <v/>
      </c>
      <c r="BB35" s="789" t="str">
        <f t="shared" ca="1" si="35"/>
        <v/>
      </c>
      <c r="BC35" s="789" t="str">
        <f t="shared" ca="1" si="36"/>
        <v/>
      </c>
      <c r="BD35" s="789" t="str">
        <f t="shared" ca="1" si="37"/>
        <v/>
      </c>
      <c r="BE35" s="789" t="str">
        <f t="shared" ca="1" si="38"/>
        <v/>
      </c>
      <c r="BF35" s="789" t="str">
        <f t="shared" ca="1" si="39"/>
        <v/>
      </c>
      <c r="BG35" s="789" t="str">
        <f t="shared" ca="1" si="40"/>
        <v/>
      </c>
      <c r="BH35" s="789" t="str">
        <f t="shared" ca="1" si="41"/>
        <v/>
      </c>
      <c r="BI35" s="789" t="str">
        <f t="shared" ca="1" si="42"/>
        <v/>
      </c>
      <c r="BJ35" s="789" t="str">
        <f t="shared" ca="1" si="43"/>
        <v/>
      </c>
      <c r="BK35" s="789" t="str">
        <f t="shared" ca="1" si="44"/>
        <v/>
      </c>
      <c r="BL35" s="789" t="str">
        <f t="shared" ca="1" si="45"/>
        <v/>
      </c>
      <c r="BM35" s="789" t="str">
        <f t="shared" ca="1" si="46"/>
        <v/>
      </c>
      <c r="BN35" s="789" t="str">
        <f t="shared" ca="1" si="47"/>
        <v/>
      </c>
      <c r="BO35" s="789" t="str">
        <f t="shared" ca="1" si="48"/>
        <v/>
      </c>
    </row>
    <row r="36" spans="1:67" ht="20.100000000000001" customHeight="1">
      <c r="A36" s="784">
        <v>35</v>
      </c>
      <c r="B36" s="1595"/>
      <c r="C36" s="1596"/>
      <c r="D36" s="785" t="s">
        <v>782</v>
      </c>
      <c r="E36" s="790"/>
      <c r="F36" s="786"/>
      <c r="G36" s="787" t="s">
        <v>457</v>
      </c>
      <c r="H36" s="791"/>
      <c r="I36" s="791"/>
      <c r="J36" s="791"/>
      <c r="K36" s="791"/>
      <c r="L36" s="789">
        <f t="shared" ca="1" si="49"/>
        <v>0</v>
      </c>
      <c r="M36" s="789">
        <f t="shared" ca="1" si="49"/>
        <v>0</v>
      </c>
      <c r="N36" s="789">
        <f t="shared" ca="1" si="49"/>
        <v>0</v>
      </c>
      <c r="O36" s="789">
        <f t="shared" ca="1" si="49"/>
        <v>0</v>
      </c>
      <c r="P36" s="789">
        <f ca="1">SUM(SUMIFS(OFFSET(貼付け_2024実績,$A36,9,1,199),OFFSET(貼付け_2024実績,4,9,1,199),{"横浜*","川崎*"}))</f>
        <v>0</v>
      </c>
      <c r="Q36" s="789">
        <f ca="1">SUM(SUMIFS(OFFSET(貼付け_2025実績,$A36,9,1,199),OFFSET(貼付け_2025実績,4,9,1,199),{"横浜*","川崎*"}))</f>
        <v>0</v>
      </c>
      <c r="R36" s="789">
        <f ca="1">SUM(SUMIFS(OFFSET(貼付け_2026実績,$A36,9,1,199),OFFSET(貼付け_2026実績,4,9,1,199),{"横浜*","川崎*"}))</f>
        <v>0</v>
      </c>
      <c r="S36" s="789">
        <f ca="1">SUM(SUMIFS(OFFSET(貼付け_2027実績,$A36,9,1,199),OFFSET(貼付け_2027実績,4,9,1,199),{"横浜*","川崎*"}))</f>
        <v>0</v>
      </c>
      <c r="T36" s="789">
        <f t="shared" ca="1" si="50"/>
        <v>0</v>
      </c>
      <c r="U36" s="789">
        <f t="shared" ca="1" si="50"/>
        <v>0</v>
      </c>
      <c r="V36" s="789">
        <f t="shared" ca="1" si="50"/>
        <v>0</v>
      </c>
      <c r="W36" s="789">
        <f t="shared" ca="1" si="50"/>
        <v>0</v>
      </c>
      <c r="X36" s="789">
        <f t="shared" ca="1" si="6"/>
        <v>0</v>
      </c>
      <c r="Y36" s="789">
        <f t="shared" ca="1" si="7"/>
        <v>0</v>
      </c>
      <c r="Z36" s="789">
        <f t="shared" ca="1" si="8"/>
        <v>0</v>
      </c>
      <c r="AA36" s="789">
        <f t="shared" ca="1" si="9"/>
        <v>0</v>
      </c>
      <c r="AB36" s="789" t="str">
        <f t="shared" ca="1" si="51"/>
        <v/>
      </c>
      <c r="AC36" s="789" t="str">
        <f t="shared" ca="1" si="10"/>
        <v/>
      </c>
      <c r="AD36" s="789" t="str">
        <f t="shared" ca="1" si="11"/>
        <v/>
      </c>
      <c r="AE36" s="789" t="str">
        <f t="shared" ca="1" si="12"/>
        <v/>
      </c>
      <c r="AF36" s="789" t="str">
        <f t="shared" ca="1" si="13"/>
        <v/>
      </c>
      <c r="AG36" s="789" t="str">
        <f t="shared" ca="1" si="14"/>
        <v/>
      </c>
      <c r="AH36" s="789" t="str">
        <f t="shared" ca="1" si="15"/>
        <v/>
      </c>
      <c r="AI36" s="789" t="str">
        <f t="shared" ca="1" si="16"/>
        <v/>
      </c>
      <c r="AJ36" s="789" t="str">
        <f t="shared" ca="1" si="17"/>
        <v/>
      </c>
      <c r="AK36" s="789" t="str">
        <f t="shared" ca="1" si="18"/>
        <v/>
      </c>
      <c r="AL36" s="789" t="str">
        <f t="shared" ca="1" si="19"/>
        <v/>
      </c>
      <c r="AM36" s="789" t="str">
        <f t="shared" ca="1" si="20"/>
        <v/>
      </c>
      <c r="AN36" s="789" t="str">
        <f t="shared" ca="1" si="21"/>
        <v/>
      </c>
      <c r="AO36" s="789" t="str">
        <f t="shared" ca="1" si="22"/>
        <v/>
      </c>
      <c r="AP36" s="789" t="str">
        <f t="shared" ca="1" si="23"/>
        <v/>
      </c>
      <c r="AQ36" s="789" t="str">
        <f t="shared" ca="1" si="24"/>
        <v/>
      </c>
      <c r="AR36" s="789" t="str">
        <f t="shared" ca="1" si="25"/>
        <v/>
      </c>
      <c r="AS36" s="789" t="str">
        <f t="shared" ca="1" si="26"/>
        <v/>
      </c>
      <c r="AT36" s="789" t="str">
        <f t="shared" ca="1" si="27"/>
        <v/>
      </c>
      <c r="AU36" s="789" t="str">
        <f t="shared" ca="1" si="28"/>
        <v/>
      </c>
      <c r="AV36" s="789" t="str">
        <f t="shared" ca="1" si="29"/>
        <v/>
      </c>
      <c r="AW36" s="789" t="str">
        <f t="shared" ca="1" si="30"/>
        <v/>
      </c>
      <c r="AX36" s="789" t="str">
        <f t="shared" ca="1" si="31"/>
        <v/>
      </c>
      <c r="AY36" s="789" t="str">
        <f t="shared" ca="1" si="32"/>
        <v/>
      </c>
      <c r="AZ36" s="789" t="str">
        <f t="shared" ca="1" si="33"/>
        <v/>
      </c>
      <c r="BA36" s="789" t="str">
        <f t="shared" ca="1" si="34"/>
        <v/>
      </c>
      <c r="BB36" s="789" t="str">
        <f t="shared" ca="1" si="35"/>
        <v/>
      </c>
      <c r="BC36" s="789" t="str">
        <f t="shared" ca="1" si="36"/>
        <v/>
      </c>
      <c r="BD36" s="789" t="str">
        <f t="shared" ca="1" si="37"/>
        <v/>
      </c>
      <c r="BE36" s="789" t="str">
        <f t="shared" ca="1" si="38"/>
        <v/>
      </c>
      <c r="BF36" s="789" t="str">
        <f t="shared" ca="1" si="39"/>
        <v/>
      </c>
      <c r="BG36" s="789" t="str">
        <f t="shared" ca="1" si="40"/>
        <v/>
      </c>
      <c r="BH36" s="789" t="str">
        <f t="shared" ca="1" si="41"/>
        <v/>
      </c>
      <c r="BI36" s="789" t="str">
        <f t="shared" ca="1" si="42"/>
        <v/>
      </c>
      <c r="BJ36" s="789" t="str">
        <f t="shared" ca="1" si="43"/>
        <v/>
      </c>
      <c r="BK36" s="789" t="str">
        <f t="shared" ca="1" si="44"/>
        <v/>
      </c>
      <c r="BL36" s="789" t="str">
        <f t="shared" ca="1" si="45"/>
        <v/>
      </c>
      <c r="BM36" s="789" t="str">
        <f t="shared" ca="1" si="46"/>
        <v/>
      </c>
      <c r="BN36" s="789" t="str">
        <f t="shared" ca="1" si="47"/>
        <v/>
      </c>
      <c r="BO36" s="789" t="str">
        <f t="shared" ca="1" si="48"/>
        <v/>
      </c>
    </row>
    <row r="37" spans="1:67" ht="20.100000000000001" customHeight="1">
      <c r="A37" s="784">
        <v>36</v>
      </c>
      <c r="B37" s="1594"/>
      <c r="C37" s="1596"/>
      <c r="D37" s="785" t="s">
        <v>376</v>
      </c>
      <c r="E37" s="792" t="str">
        <f ca="1">OFFSET(A1_その他欄集計,2,7)</f>
        <v/>
      </c>
      <c r="F37" s="786"/>
      <c r="G37" s="787" t="str">
        <f ca="1">OFFSET(A1_その他欄集計,3,7)</f>
        <v/>
      </c>
      <c r="H37" s="788">
        <f t="shared" ca="1" si="0"/>
        <v>0</v>
      </c>
      <c r="I37" s="788">
        <f t="shared" ca="1" si="1"/>
        <v>0</v>
      </c>
      <c r="J37" s="788">
        <f t="shared" ca="1" si="2"/>
        <v>0</v>
      </c>
      <c r="K37" s="788">
        <f t="shared" ca="1" si="3"/>
        <v>0</v>
      </c>
      <c r="L37" s="789">
        <f t="shared" ca="1" si="49"/>
        <v>0</v>
      </c>
      <c r="M37" s="789">
        <f t="shared" ca="1" si="49"/>
        <v>0</v>
      </c>
      <c r="N37" s="789">
        <f t="shared" ca="1" si="49"/>
        <v>0</v>
      </c>
      <c r="O37" s="789">
        <f t="shared" ca="1" si="49"/>
        <v>0</v>
      </c>
      <c r="P37" s="789">
        <f ca="1">SUM(SUMIFS(OFFSET(貼付け_2024実績,$A37,9,1,199),OFFSET(貼付け_2024実績,4,9,1,199),{"横浜*","川崎*"}))</f>
        <v>0</v>
      </c>
      <c r="Q37" s="789">
        <f ca="1">SUM(SUMIFS(OFFSET(貼付け_2025実績,$A37,9,1,199),OFFSET(貼付け_2025実績,4,9,1,199),{"横浜*","川崎*"}))</f>
        <v>0</v>
      </c>
      <c r="R37" s="789">
        <f ca="1">SUM(SUMIFS(OFFSET(貼付け_2026実績,$A37,9,1,199),OFFSET(貼付け_2026実績,4,9,1,199),{"横浜*","川崎*"}))</f>
        <v>0</v>
      </c>
      <c r="S37" s="789">
        <f ca="1">SUM(SUMIFS(OFFSET(貼付け_2027実績,$A37,9,1,199),OFFSET(貼付け_2027実績,4,9,1,199),{"横浜*","川崎*"}))</f>
        <v>0</v>
      </c>
      <c r="T37" s="789">
        <f t="shared" ca="1" si="50"/>
        <v>0</v>
      </c>
      <c r="U37" s="789">
        <f t="shared" ca="1" si="50"/>
        <v>0</v>
      </c>
      <c r="V37" s="789">
        <f t="shared" ca="1" si="50"/>
        <v>0</v>
      </c>
      <c r="W37" s="789">
        <f t="shared" ca="1" si="50"/>
        <v>0</v>
      </c>
      <c r="X37" s="789">
        <f t="shared" ca="1" si="6"/>
        <v>0</v>
      </c>
      <c r="Y37" s="789">
        <f t="shared" ca="1" si="7"/>
        <v>0</v>
      </c>
      <c r="Z37" s="789">
        <f t="shared" ca="1" si="8"/>
        <v>0</v>
      </c>
      <c r="AA37" s="789">
        <f t="shared" ca="1" si="9"/>
        <v>0</v>
      </c>
      <c r="AB37" s="789" t="str">
        <f t="shared" ca="1" si="51"/>
        <v/>
      </c>
      <c r="AC37" s="789" t="str">
        <f t="shared" ca="1" si="10"/>
        <v/>
      </c>
      <c r="AD37" s="789" t="str">
        <f t="shared" ca="1" si="11"/>
        <v/>
      </c>
      <c r="AE37" s="789" t="str">
        <f t="shared" ca="1" si="12"/>
        <v/>
      </c>
      <c r="AF37" s="789" t="str">
        <f t="shared" ca="1" si="13"/>
        <v/>
      </c>
      <c r="AG37" s="789" t="str">
        <f t="shared" ca="1" si="14"/>
        <v/>
      </c>
      <c r="AH37" s="789" t="str">
        <f t="shared" ca="1" si="15"/>
        <v/>
      </c>
      <c r="AI37" s="789" t="str">
        <f t="shared" ca="1" si="16"/>
        <v/>
      </c>
      <c r="AJ37" s="789" t="str">
        <f t="shared" ca="1" si="17"/>
        <v/>
      </c>
      <c r="AK37" s="789" t="str">
        <f t="shared" ca="1" si="18"/>
        <v/>
      </c>
      <c r="AL37" s="789" t="str">
        <f t="shared" ca="1" si="19"/>
        <v/>
      </c>
      <c r="AM37" s="789" t="str">
        <f t="shared" ca="1" si="20"/>
        <v/>
      </c>
      <c r="AN37" s="789" t="str">
        <f t="shared" ca="1" si="21"/>
        <v/>
      </c>
      <c r="AO37" s="789" t="str">
        <f t="shared" ca="1" si="22"/>
        <v/>
      </c>
      <c r="AP37" s="789" t="str">
        <f t="shared" ca="1" si="23"/>
        <v/>
      </c>
      <c r="AQ37" s="789" t="str">
        <f t="shared" ca="1" si="24"/>
        <v/>
      </c>
      <c r="AR37" s="789" t="str">
        <f t="shared" ca="1" si="25"/>
        <v/>
      </c>
      <c r="AS37" s="789" t="str">
        <f t="shared" ca="1" si="26"/>
        <v/>
      </c>
      <c r="AT37" s="789" t="str">
        <f t="shared" ca="1" si="27"/>
        <v/>
      </c>
      <c r="AU37" s="789" t="str">
        <f t="shared" ca="1" si="28"/>
        <v/>
      </c>
      <c r="AV37" s="789" t="str">
        <f t="shared" ca="1" si="29"/>
        <v/>
      </c>
      <c r="AW37" s="789" t="str">
        <f t="shared" ca="1" si="30"/>
        <v/>
      </c>
      <c r="AX37" s="789" t="str">
        <f t="shared" ca="1" si="31"/>
        <v/>
      </c>
      <c r="AY37" s="789" t="str">
        <f t="shared" ca="1" si="32"/>
        <v/>
      </c>
      <c r="AZ37" s="789" t="str">
        <f t="shared" ca="1" si="33"/>
        <v/>
      </c>
      <c r="BA37" s="789" t="str">
        <f t="shared" ca="1" si="34"/>
        <v/>
      </c>
      <c r="BB37" s="789" t="str">
        <f t="shared" ca="1" si="35"/>
        <v/>
      </c>
      <c r="BC37" s="789" t="str">
        <f t="shared" ca="1" si="36"/>
        <v/>
      </c>
      <c r="BD37" s="789" t="str">
        <f t="shared" ca="1" si="37"/>
        <v/>
      </c>
      <c r="BE37" s="789" t="str">
        <f t="shared" ca="1" si="38"/>
        <v/>
      </c>
      <c r="BF37" s="789" t="str">
        <f t="shared" ca="1" si="39"/>
        <v/>
      </c>
      <c r="BG37" s="789" t="str">
        <f t="shared" ca="1" si="40"/>
        <v/>
      </c>
      <c r="BH37" s="789" t="str">
        <f t="shared" ca="1" si="41"/>
        <v/>
      </c>
      <c r="BI37" s="789" t="str">
        <f t="shared" ca="1" si="42"/>
        <v/>
      </c>
      <c r="BJ37" s="789" t="str">
        <f t="shared" ca="1" si="43"/>
        <v/>
      </c>
      <c r="BK37" s="789" t="str">
        <f t="shared" ca="1" si="44"/>
        <v/>
      </c>
      <c r="BL37" s="789" t="str">
        <f t="shared" ca="1" si="45"/>
        <v/>
      </c>
      <c r="BM37" s="789" t="str">
        <f t="shared" ca="1" si="46"/>
        <v/>
      </c>
      <c r="BN37" s="789" t="str">
        <f t="shared" ca="1" si="47"/>
        <v/>
      </c>
      <c r="BO37" s="789" t="str">
        <f t="shared" ca="1" si="48"/>
        <v/>
      </c>
    </row>
    <row r="38" spans="1:67" ht="20.100000000000001" customHeight="1">
      <c r="A38" s="784">
        <v>37</v>
      </c>
      <c r="B38" s="1594"/>
      <c r="C38" s="1596" t="s">
        <v>377</v>
      </c>
      <c r="D38" s="793" t="s">
        <v>378</v>
      </c>
      <c r="E38" s="785"/>
      <c r="F38" s="786"/>
      <c r="G38" s="787" t="s">
        <v>455</v>
      </c>
      <c r="H38" s="788">
        <f t="shared" ca="1" si="0"/>
        <v>13.6</v>
      </c>
      <c r="I38" s="788">
        <f t="shared" ca="1" si="1"/>
        <v>13.6</v>
      </c>
      <c r="J38" s="788">
        <f t="shared" ca="1" si="2"/>
        <v>13.6</v>
      </c>
      <c r="K38" s="788">
        <f t="shared" ca="1" si="3"/>
        <v>13.6</v>
      </c>
      <c r="L38" s="789">
        <f t="shared" ca="1" si="49"/>
        <v>0</v>
      </c>
      <c r="M38" s="789">
        <f t="shared" ca="1" si="49"/>
        <v>0</v>
      </c>
      <c r="N38" s="789">
        <f t="shared" ca="1" si="49"/>
        <v>0</v>
      </c>
      <c r="O38" s="789">
        <f t="shared" ca="1" si="49"/>
        <v>0</v>
      </c>
      <c r="P38" s="789">
        <f ca="1">SUM(SUMIFS(OFFSET(貼付け_2024実績,$A38,9,1,199),OFFSET(貼付け_2024実績,4,9,1,199),{"横浜*","川崎*"}))</f>
        <v>0</v>
      </c>
      <c r="Q38" s="789">
        <f ca="1">SUM(SUMIFS(OFFSET(貼付け_2025実績,$A38,9,1,199),OFFSET(貼付け_2025実績,4,9,1,199),{"横浜*","川崎*"}))</f>
        <v>0</v>
      </c>
      <c r="R38" s="789">
        <f ca="1">SUM(SUMIFS(OFFSET(貼付け_2026実績,$A38,9,1,199),OFFSET(貼付け_2026実績,4,9,1,199),{"横浜*","川崎*"}))</f>
        <v>0</v>
      </c>
      <c r="S38" s="789">
        <f ca="1">SUM(SUMIFS(OFFSET(貼付け_2027実績,$A38,9,1,199),OFFSET(貼付け_2027実績,4,9,1,199),{"横浜*","川崎*"}))</f>
        <v>0</v>
      </c>
      <c r="T38" s="789">
        <f t="shared" ca="1" si="50"/>
        <v>0</v>
      </c>
      <c r="U38" s="789">
        <f t="shared" ca="1" si="50"/>
        <v>0</v>
      </c>
      <c r="V38" s="789">
        <f t="shared" ca="1" si="50"/>
        <v>0</v>
      </c>
      <c r="W38" s="789">
        <f t="shared" ca="1" si="50"/>
        <v>0</v>
      </c>
      <c r="X38" s="789">
        <f t="shared" ca="1" si="6"/>
        <v>0</v>
      </c>
      <c r="Y38" s="789">
        <f t="shared" ca="1" si="7"/>
        <v>0</v>
      </c>
      <c r="Z38" s="789">
        <f t="shared" ca="1" si="8"/>
        <v>0</v>
      </c>
      <c r="AA38" s="789">
        <f t="shared" ca="1" si="9"/>
        <v>0</v>
      </c>
      <c r="AB38" s="789" t="str">
        <f t="shared" ca="1" si="51"/>
        <v/>
      </c>
      <c r="AC38" s="789" t="str">
        <f t="shared" ca="1" si="10"/>
        <v/>
      </c>
      <c r="AD38" s="789" t="str">
        <f t="shared" ca="1" si="11"/>
        <v/>
      </c>
      <c r="AE38" s="789" t="str">
        <f t="shared" ca="1" si="12"/>
        <v/>
      </c>
      <c r="AF38" s="789" t="str">
        <f t="shared" ca="1" si="13"/>
        <v/>
      </c>
      <c r="AG38" s="789" t="str">
        <f t="shared" ca="1" si="14"/>
        <v/>
      </c>
      <c r="AH38" s="789" t="str">
        <f t="shared" ca="1" si="15"/>
        <v/>
      </c>
      <c r="AI38" s="789" t="str">
        <f t="shared" ca="1" si="16"/>
        <v/>
      </c>
      <c r="AJ38" s="789" t="str">
        <f t="shared" ca="1" si="17"/>
        <v/>
      </c>
      <c r="AK38" s="789" t="str">
        <f t="shared" ca="1" si="18"/>
        <v/>
      </c>
      <c r="AL38" s="789" t="str">
        <f t="shared" ca="1" si="19"/>
        <v/>
      </c>
      <c r="AM38" s="789" t="str">
        <f t="shared" ca="1" si="20"/>
        <v/>
      </c>
      <c r="AN38" s="789" t="str">
        <f t="shared" ca="1" si="21"/>
        <v/>
      </c>
      <c r="AO38" s="789" t="str">
        <f t="shared" ca="1" si="22"/>
        <v/>
      </c>
      <c r="AP38" s="789" t="str">
        <f t="shared" ca="1" si="23"/>
        <v/>
      </c>
      <c r="AQ38" s="789" t="str">
        <f t="shared" ca="1" si="24"/>
        <v/>
      </c>
      <c r="AR38" s="789" t="str">
        <f t="shared" ca="1" si="25"/>
        <v/>
      </c>
      <c r="AS38" s="789" t="str">
        <f t="shared" ca="1" si="26"/>
        <v/>
      </c>
      <c r="AT38" s="789" t="str">
        <f t="shared" ca="1" si="27"/>
        <v/>
      </c>
      <c r="AU38" s="789" t="str">
        <f t="shared" ca="1" si="28"/>
        <v/>
      </c>
      <c r="AV38" s="789" t="str">
        <f t="shared" ca="1" si="29"/>
        <v/>
      </c>
      <c r="AW38" s="789" t="str">
        <f t="shared" ca="1" si="30"/>
        <v/>
      </c>
      <c r="AX38" s="789" t="str">
        <f t="shared" ca="1" si="31"/>
        <v/>
      </c>
      <c r="AY38" s="789" t="str">
        <f t="shared" ca="1" si="32"/>
        <v/>
      </c>
      <c r="AZ38" s="789" t="str">
        <f t="shared" ca="1" si="33"/>
        <v/>
      </c>
      <c r="BA38" s="789" t="str">
        <f t="shared" ca="1" si="34"/>
        <v/>
      </c>
      <c r="BB38" s="789" t="str">
        <f t="shared" ca="1" si="35"/>
        <v/>
      </c>
      <c r="BC38" s="789" t="str">
        <f t="shared" ca="1" si="36"/>
        <v/>
      </c>
      <c r="BD38" s="789" t="str">
        <f t="shared" ca="1" si="37"/>
        <v/>
      </c>
      <c r="BE38" s="789" t="str">
        <f t="shared" ca="1" si="38"/>
        <v/>
      </c>
      <c r="BF38" s="789" t="str">
        <f t="shared" ca="1" si="39"/>
        <v/>
      </c>
      <c r="BG38" s="789" t="str">
        <f t="shared" ca="1" si="40"/>
        <v/>
      </c>
      <c r="BH38" s="789" t="str">
        <f t="shared" ca="1" si="41"/>
        <v/>
      </c>
      <c r="BI38" s="789" t="str">
        <f t="shared" ca="1" si="42"/>
        <v/>
      </c>
      <c r="BJ38" s="789" t="str">
        <f t="shared" ca="1" si="43"/>
        <v/>
      </c>
      <c r="BK38" s="789" t="str">
        <f t="shared" ca="1" si="44"/>
        <v/>
      </c>
      <c r="BL38" s="789" t="str">
        <f t="shared" ca="1" si="45"/>
        <v/>
      </c>
      <c r="BM38" s="789" t="str">
        <f t="shared" ca="1" si="46"/>
        <v/>
      </c>
      <c r="BN38" s="789" t="str">
        <f t="shared" ca="1" si="47"/>
        <v/>
      </c>
      <c r="BO38" s="789" t="str">
        <f t="shared" ca="1" si="48"/>
        <v/>
      </c>
    </row>
    <row r="39" spans="1:67" ht="20.100000000000001" customHeight="1">
      <c r="A39" s="784">
        <v>38</v>
      </c>
      <c r="B39" s="1594"/>
      <c r="C39" s="1596"/>
      <c r="D39" s="793" t="s">
        <v>379</v>
      </c>
      <c r="E39" s="785"/>
      <c r="F39" s="786"/>
      <c r="G39" s="787" t="s">
        <v>455</v>
      </c>
      <c r="H39" s="788">
        <f t="shared" ca="1" si="0"/>
        <v>13.2</v>
      </c>
      <c r="I39" s="788">
        <f t="shared" ca="1" si="1"/>
        <v>13.2</v>
      </c>
      <c r="J39" s="788">
        <f t="shared" ca="1" si="2"/>
        <v>13.2</v>
      </c>
      <c r="K39" s="788">
        <f t="shared" ca="1" si="3"/>
        <v>13.2</v>
      </c>
      <c r="L39" s="789">
        <f t="shared" ca="1" si="49"/>
        <v>0</v>
      </c>
      <c r="M39" s="789">
        <f t="shared" ca="1" si="49"/>
        <v>0</v>
      </c>
      <c r="N39" s="789">
        <f t="shared" ca="1" si="49"/>
        <v>0</v>
      </c>
      <c r="O39" s="789">
        <f t="shared" ca="1" si="49"/>
        <v>0</v>
      </c>
      <c r="P39" s="789">
        <f ca="1">SUM(SUMIFS(OFFSET(貼付け_2024実績,$A39,9,1,199),OFFSET(貼付け_2024実績,4,9,1,199),{"横浜*","川崎*"}))</f>
        <v>0</v>
      </c>
      <c r="Q39" s="789">
        <f ca="1">SUM(SUMIFS(OFFSET(貼付け_2025実績,$A39,9,1,199),OFFSET(貼付け_2025実績,4,9,1,199),{"横浜*","川崎*"}))</f>
        <v>0</v>
      </c>
      <c r="R39" s="789">
        <f ca="1">SUM(SUMIFS(OFFSET(貼付け_2026実績,$A39,9,1,199),OFFSET(貼付け_2026実績,4,9,1,199),{"横浜*","川崎*"}))</f>
        <v>0</v>
      </c>
      <c r="S39" s="789">
        <f ca="1">SUM(SUMIFS(OFFSET(貼付け_2027実績,$A39,9,1,199),OFFSET(貼付け_2027実績,4,9,1,199),{"横浜*","川崎*"}))</f>
        <v>0</v>
      </c>
      <c r="T39" s="789">
        <f t="shared" ca="1" si="50"/>
        <v>0</v>
      </c>
      <c r="U39" s="789">
        <f t="shared" ca="1" si="50"/>
        <v>0</v>
      </c>
      <c r="V39" s="789">
        <f t="shared" ca="1" si="50"/>
        <v>0</v>
      </c>
      <c r="W39" s="789">
        <f t="shared" ca="1" si="50"/>
        <v>0</v>
      </c>
      <c r="X39" s="789">
        <f t="shared" ca="1" si="6"/>
        <v>0</v>
      </c>
      <c r="Y39" s="789">
        <f t="shared" ca="1" si="7"/>
        <v>0</v>
      </c>
      <c r="Z39" s="789">
        <f t="shared" ca="1" si="8"/>
        <v>0</v>
      </c>
      <c r="AA39" s="789">
        <f t="shared" ca="1" si="9"/>
        <v>0</v>
      </c>
      <c r="AB39" s="789" t="str">
        <f t="shared" ca="1" si="51"/>
        <v/>
      </c>
      <c r="AC39" s="789" t="str">
        <f t="shared" ca="1" si="10"/>
        <v/>
      </c>
      <c r="AD39" s="789" t="str">
        <f t="shared" ca="1" si="11"/>
        <v/>
      </c>
      <c r="AE39" s="789" t="str">
        <f t="shared" ca="1" si="12"/>
        <v/>
      </c>
      <c r="AF39" s="789" t="str">
        <f t="shared" ca="1" si="13"/>
        <v/>
      </c>
      <c r="AG39" s="789" t="str">
        <f t="shared" ca="1" si="14"/>
        <v/>
      </c>
      <c r="AH39" s="789" t="str">
        <f t="shared" ca="1" si="15"/>
        <v/>
      </c>
      <c r="AI39" s="789" t="str">
        <f t="shared" ca="1" si="16"/>
        <v/>
      </c>
      <c r="AJ39" s="789" t="str">
        <f t="shared" ca="1" si="17"/>
        <v/>
      </c>
      <c r="AK39" s="789" t="str">
        <f t="shared" ca="1" si="18"/>
        <v/>
      </c>
      <c r="AL39" s="789" t="str">
        <f t="shared" ca="1" si="19"/>
        <v/>
      </c>
      <c r="AM39" s="789" t="str">
        <f t="shared" ca="1" si="20"/>
        <v/>
      </c>
      <c r="AN39" s="789" t="str">
        <f t="shared" ca="1" si="21"/>
        <v/>
      </c>
      <c r="AO39" s="789" t="str">
        <f t="shared" ca="1" si="22"/>
        <v/>
      </c>
      <c r="AP39" s="789" t="str">
        <f t="shared" ca="1" si="23"/>
        <v/>
      </c>
      <c r="AQ39" s="789" t="str">
        <f t="shared" ca="1" si="24"/>
        <v/>
      </c>
      <c r="AR39" s="789" t="str">
        <f t="shared" ca="1" si="25"/>
        <v/>
      </c>
      <c r="AS39" s="789" t="str">
        <f t="shared" ca="1" si="26"/>
        <v/>
      </c>
      <c r="AT39" s="789" t="str">
        <f t="shared" ca="1" si="27"/>
        <v/>
      </c>
      <c r="AU39" s="789" t="str">
        <f t="shared" ca="1" si="28"/>
        <v/>
      </c>
      <c r="AV39" s="789" t="str">
        <f t="shared" ca="1" si="29"/>
        <v/>
      </c>
      <c r="AW39" s="789" t="str">
        <f t="shared" ca="1" si="30"/>
        <v/>
      </c>
      <c r="AX39" s="789" t="str">
        <f t="shared" ca="1" si="31"/>
        <v/>
      </c>
      <c r="AY39" s="789" t="str">
        <f t="shared" ca="1" si="32"/>
        <v/>
      </c>
      <c r="AZ39" s="789" t="str">
        <f t="shared" ca="1" si="33"/>
        <v/>
      </c>
      <c r="BA39" s="789" t="str">
        <f t="shared" ca="1" si="34"/>
        <v/>
      </c>
      <c r="BB39" s="789" t="str">
        <f t="shared" ca="1" si="35"/>
        <v/>
      </c>
      <c r="BC39" s="789" t="str">
        <f t="shared" ca="1" si="36"/>
        <v/>
      </c>
      <c r="BD39" s="789" t="str">
        <f t="shared" ca="1" si="37"/>
        <v/>
      </c>
      <c r="BE39" s="789" t="str">
        <f t="shared" ca="1" si="38"/>
        <v/>
      </c>
      <c r="BF39" s="789" t="str">
        <f t="shared" ca="1" si="39"/>
        <v/>
      </c>
      <c r="BG39" s="789" t="str">
        <f t="shared" ca="1" si="40"/>
        <v/>
      </c>
      <c r="BH39" s="789" t="str">
        <f t="shared" ca="1" si="41"/>
        <v/>
      </c>
      <c r="BI39" s="789" t="str">
        <f t="shared" ca="1" si="42"/>
        <v/>
      </c>
      <c r="BJ39" s="789" t="str">
        <f t="shared" ca="1" si="43"/>
        <v/>
      </c>
      <c r="BK39" s="789" t="str">
        <f t="shared" ca="1" si="44"/>
        <v/>
      </c>
      <c r="BL39" s="789" t="str">
        <f t="shared" ca="1" si="45"/>
        <v/>
      </c>
      <c r="BM39" s="789" t="str">
        <f t="shared" ca="1" si="46"/>
        <v/>
      </c>
      <c r="BN39" s="789" t="str">
        <f t="shared" ca="1" si="47"/>
        <v/>
      </c>
      <c r="BO39" s="789" t="str">
        <f t="shared" ca="1" si="48"/>
        <v/>
      </c>
    </row>
    <row r="40" spans="1:67" ht="20.100000000000001" customHeight="1">
      <c r="A40" s="784">
        <v>39</v>
      </c>
      <c r="B40" s="1594"/>
      <c r="C40" s="1596"/>
      <c r="D40" s="793" t="s">
        <v>380</v>
      </c>
      <c r="E40" s="779"/>
      <c r="F40" s="786"/>
      <c r="G40" s="787" t="s">
        <v>455</v>
      </c>
      <c r="H40" s="788">
        <f t="shared" ca="1" si="0"/>
        <v>17.100000000000001</v>
      </c>
      <c r="I40" s="788">
        <f t="shared" ca="1" si="1"/>
        <v>17.100000000000001</v>
      </c>
      <c r="J40" s="788">
        <f t="shared" ca="1" si="2"/>
        <v>17.100000000000001</v>
      </c>
      <c r="K40" s="788">
        <f t="shared" ca="1" si="3"/>
        <v>17.100000000000001</v>
      </c>
      <c r="L40" s="789">
        <f t="shared" ca="1" si="49"/>
        <v>0</v>
      </c>
      <c r="M40" s="789">
        <f t="shared" ca="1" si="49"/>
        <v>0</v>
      </c>
      <c r="N40" s="789">
        <f t="shared" ca="1" si="49"/>
        <v>0</v>
      </c>
      <c r="O40" s="789">
        <f t="shared" ca="1" si="49"/>
        <v>0</v>
      </c>
      <c r="P40" s="789">
        <f ca="1">SUM(SUMIFS(OFFSET(貼付け_2024実績,$A40,9,1,199),OFFSET(貼付け_2024実績,4,9,1,199),{"横浜*","川崎*"}))</f>
        <v>0</v>
      </c>
      <c r="Q40" s="789">
        <f ca="1">SUM(SUMIFS(OFFSET(貼付け_2025実績,$A40,9,1,199),OFFSET(貼付け_2025実績,4,9,1,199),{"横浜*","川崎*"}))</f>
        <v>0</v>
      </c>
      <c r="R40" s="789">
        <f ca="1">SUM(SUMIFS(OFFSET(貼付け_2026実績,$A40,9,1,199),OFFSET(貼付け_2026実績,4,9,1,199),{"横浜*","川崎*"}))</f>
        <v>0</v>
      </c>
      <c r="S40" s="789">
        <f ca="1">SUM(SUMIFS(OFFSET(貼付け_2027実績,$A40,9,1,199),OFFSET(貼付け_2027実績,4,9,1,199),{"横浜*","川崎*"}))</f>
        <v>0</v>
      </c>
      <c r="T40" s="789">
        <f t="shared" ca="1" si="50"/>
        <v>0</v>
      </c>
      <c r="U40" s="789">
        <f t="shared" ca="1" si="50"/>
        <v>0</v>
      </c>
      <c r="V40" s="789">
        <f t="shared" ca="1" si="50"/>
        <v>0</v>
      </c>
      <c r="W40" s="789">
        <f t="shared" ca="1" si="50"/>
        <v>0</v>
      </c>
      <c r="X40" s="789">
        <f t="shared" ca="1" si="6"/>
        <v>0</v>
      </c>
      <c r="Y40" s="789">
        <f t="shared" ca="1" si="7"/>
        <v>0</v>
      </c>
      <c r="Z40" s="789">
        <f t="shared" ca="1" si="8"/>
        <v>0</v>
      </c>
      <c r="AA40" s="789">
        <f t="shared" ca="1" si="9"/>
        <v>0</v>
      </c>
      <c r="AB40" s="789" t="str">
        <f t="shared" ca="1" si="51"/>
        <v/>
      </c>
      <c r="AC40" s="789" t="str">
        <f t="shared" ca="1" si="10"/>
        <v/>
      </c>
      <c r="AD40" s="789" t="str">
        <f t="shared" ca="1" si="11"/>
        <v/>
      </c>
      <c r="AE40" s="789" t="str">
        <f t="shared" ca="1" si="12"/>
        <v/>
      </c>
      <c r="AF40" s="789" t="str">
        <f t="shared" ca="1" si="13"/>
        <v/>
      </c>
      <c r="AG40" s="789" t="str">
        <f t="shared" ca="1" si="14"/>
        <v/>
      </c>
      <c r="AH40" s="789" t="str">
        <f t="shared" ca="1" si="15"/>
        <v/>
      </c>
      <c r="AI40" s="789" t="str">
        <f t="shared" ca="1" si="16"/>
        <v/>
      </c>
      <c r="AJ40" s="789" t="str">
        <f t="shared" ca="1" si="17"/>
        <v/>
      </c>
      <c r="AK40" s="789" t="str">
        <f t="shared" ca="1" si="18"/>
        <v/>
      </c>
      <c r="AL40" s="789" t="str">
        <f t="shared" ca="1" si="19"/>
        <v/>
      </c>
      <c r="AM40" s="789" t="str">
        <f t="shared" ca="1" si="20"/>
        <v/>
      </c>
      <c r="AN40" s="789" t="str">
        <f t="shared" ca="1" si="21"/>
        <v/>
      </c>
      <c r="AO40" s="789" t="str">
        <f t="shared" ca="1" si="22"/>
        <v/>
      </c>
      <c r="AP40" s="789" t="str">
        <f t="shared" ca="1" si="23"/>
        <v/>
      </c>
      <c r="AQ40" s="789" t="str">
        <f t="shared" ca="1" si="24"/>
        <v/>
      </c>
      <c r="AR40" s="789" t="str">
        <f t="shared" ca="1" si="25"/>
        <v/>
      </c>
      <c r="AS40" s="789" t="str">
        <f t="shared" ca="1" si="26"/>
        <v/>
      </c>
      <c r="AT40" s="789" t="str">
        <f t="shared" ca="1" si="27"/>
        <v/>
      </c>
      <c r="AU40" s="789" t="str">
        <f t="shared" ca="1" si="28"/>
        <v/>
      </c>
      <c r="AV40" s="789" t="str">
        <f t="shared" ca="1" si="29"/>
        <v/>
      </c>
      <c r="AW40" s="789" t="str">
        <f t="shared" ca="1" si="30"/>
        <v/>
      </c>
      <c r="AX40" s="789" t="str">
        <f t="shared" ca="1" si="31"/>
        <v/>
      </c>
      <c r="AY40" s="789" t="str">
        <f t="shared" ca="1" si="32"/>
        <v/>
      </c>
      <c r="AZ40" s="789" t="str">
        <f t="shared" ca="1" si="33"/>
        <v/>
      </c>
      <c r="BA40" s="789" t="str">
        <f t="shared" ca="1" si="34"/>
        <v/>
      </c>
      <c r="BB40" s="789" t="str">
        <f t="shared" ca="1" si="35"/>
        <v/>
      </c>
      <c r="BC40" s="789" t="str">
        <f t="shared" ca="1" si="36"/>
        <v/>
      </c>
      <c r="BD40" s="789" t="str">
        <f t="shared" ca="1" si="37"/>
        <v/>
      </c>
      <c r="BE40" s="789" t="str">
        <f t="shared" ca="1" si="38"/>
        <v/>
      </c>
      <c r="BF40" s="789" t="str">
        <f t="shared" ca="1" si="39"/>
        <v/>
      </c>
      <c r="BG40" s="789" t="str">
        <f t="shared" ca="1" si="40"/>
        <v/>
      </c>
      <c r="BH40" s="789" t="str">
        <f t="shared" ca="1" si="41"/>
        <v/>
      </c>
      <c r="BI40" s="789" t="str">
        <f t="shared" ca="1" si="42"/>
        <v/>
      </c>
      <c r="BJ40" s="789" t="str">
        <f t="shared" ca="1" si="43"/>
        <v/>
      </c>
      <c r="BK40" s="789" t="str">
        <f t="shared" ca="1" si="44"/>
        <v/>
      </c>
      <c r="BL40" s="789" t="str">
        <f t="shared" ca="1" si="45"/>
        <v/>
      </c>
      <c r="BM40" s="789" t="str">
        <f t="shared" ca="1" si="46"/>
        <v/>
      </c>
      <c r="BN40" s="789" t="str">
        <f t="shared" ca="1" si="47"/>
        <v/>
      </c>
      <c r="BO40" s="789" t="str">
        <f t="shared" ca="1" si="48"/>
        <v/>
      </c>
    </row>
    <row r="41" spans="1:67" ht="20.100000000000001" customHeight="1">
      <c r="A41" s="784">
        <v>40</v>
      </c>
      <c r="B41" s="1594"/>
      <c r="C41" s="1596"/>
      <c r="D41" s="785" t="s">
        <v>381</v>
      </c>
      <c r="E41" s="785"/>
      <c r="F41" s="786"/>
      <c r="G41" s="787" t="s">
        <v>453</v>
      </c>
      <c r="H41" s="788">
        <f t="shared" ref="H41:H74" ca="1" si="52">IFERROR(OFFSET(貼付け_2024実績,$A41,5),"")</f>
        <v>23.4</v>
      </c>
      <c r="I41" s="788">
        <f t="shared" ref="I41:I74" ca="1" si="53">IFERROR(OFFSET(貼付け_2025実績,$A41,5),"")</f>
        <v>23.4</v>
      </c>
      <c r="J41" s="788">
        <f t="shared" ref="J41:J74" ca="1" si="54">IFERROR(OFFSET(貼付け_2026実績,$A41,5),"")</f>
        <v>23.4</v>
      </c>
      <c r="K41" s="788">
        <f t="shared" ref="K41:K74" ca="1" si="55">IFERROR(OFFSET(貼付け_2027実績,$A41,5),"")</f>
        <v>23.4</v>
      </c>
      <c r="L41" s="789">
        <f t="shared" ca="1" si="49"/>
        <v>0</v>
      </c>
      <c r="M41" s="789">
        <f t="shared" ca="1" si="49"/>
        <v>0</v>
      </c>
      <c r="N41" s="789">
        <f t="shared" ca="1" si="49"/>
        <v>0</v>
      </c>
      <c r="O41" s="789">
        <f t="shared" ca="1" si="49"/>
        <v>0</v>
      </c>
      <c r="P41" s="789">
        <f ca="1">SUM(SUMIFS(OFFSET(貼付け_2024実績,$A41,9,1,199),OFFSET(貼付け_2024実績,4,9,1,199),{"横浜*","川崎*"}))</f>
        <v>0</v>
      </c>
      <c r="Q41" s="789">
        <f ca="1">SUM(SUMIFS(OFFSET(貼付け_2025実績,$A41,9,1,199),OFFSET(貼付け_2025実績,4,9,1,199),{"横浜*","川崎*"}))</f>
        <v>0</v>
      </c>
      <c r="R41" s="789">
        <f ca="1">SUM(SUMIFS(OFFSET(貼付け_2026実績,$A41,9,1,199),OFFSET(貼付け_2026実績,4,9,1,199),{"横浜*","川崎*"}))</f>
        <v>0</v>
      </c>
      <c r="S41" s="789">
        <f ca="1">SUM(SUMIFS(OFFSET(貼付け_2027実績,$A41,9,1,199),OFFSET(貼付け_2027実績,4,9,1,199),{"横浜*","川崎*"}))</f>
        <v>0</v>
      </c>
      <c r="T41" s="789">
        <f t="shared" ca="1" si="50"/>
        <v>0</v>
      </c>
      <c r="U41" s="789">
        <f t="shared" ca="1" si="50"/>
        <v>0</v>
      </c>
      <c r="V41" s="789">
        <f t="shared" ca="1" si="50"/>
        <v>0</v>
      </c>
      <c r="W41" s="789">
        <f t="shared" ca="1" si="50"/>
        <v>0</v>
      </c>
      <c r="X41" s="789">
        <f t="shared" ref="X41:X72" ca="1" si="56">SUMIFS(OFFSET(貼付け_2024実績,$A41,9,1,199),OFFSET(貼付け_2024実績,4,9,1,199),"県域*")</f>
        <v>0</v>
      </c>
      <c r="Y41" s="789">
        <f t="shared" ref="Y41:Y72" ca="1" si="57">SUMIFS(OFFSET(貼付け_2025実績,$A41,9,1,199),OFFSET(貼付け_2025実績,4,9,1,199),"県域*")</f>
        <v>0</v>
      </c>
      <c r="Z41" s="789">
        <f t="shared" ref="Z41:Z72" ca="1" si="58">SUMIFS(OFFSET(貼付け_2026実績,$A41,9,1,199),OFFSET(貼付け_2026実績,4,9,1,199),"県域*")</f>
        <v>0</v>
      </c>
      <c r="AA41" s="789">
        <f t="shared" ref="AA41:AA72" ca="1" si="59">SUMIFS(OFFSET(貼付け_2027実績,$A41,9,1,199),OFFSET(貼付け_2027実績,4,9,1,199),"県域*")</f>
        <v>0</v>
      </c>
      <c r="AB41" s="789" t="str">
        <f t="shared" ref="AB41:AB74" ca="1" si="60">IFERROR(OFFSET(貼付け_2024実績,$A41,AB$1),"")</f>
        <v/>
      </c>
      <c r="AC41" s="789" t="str">
        <f t="shared" ref="AC41:AC74" ca="1" si="61">IFERROR(OFFSET(貼付け_2025実績,$A41,AC$1),"")</f>
        <v/>
      </c>
      <c r="AD41" s="789" t="str">
        <f t="shared" ref="AD41:AD74" ca="1" si="62">IFERROR(OFFSET(貼付け_2026実績,$A41,AD$1),"")</f>
        <v/>
      </c>
      <c r="AE41" s="789" t="str">
        <f t="shared" ref="AE41:AE74" ca="1" si="63">IFERROR(OFFSET(貼付け_2027実績,$A41,AE$1),"")</f>
        <v/>
      </c>
      <c r="AF41" s="789" t="str">
        <f t="shared" ref="AF41:AF74" ca="1" si="64">IFERROR(OFFSET(貼付け_2024実績,$A41,AF$1),"")</f>
        <v/>
      </c>
      <c r="AG41" s="789" t="str">
        <f t="shared" ref="AG41:AG74" ca="1" si="65">IFERROR(OFFSET(貼付け_2025実績,$A41,AG$1),"")</f>
        <v/>
      </c>
      <c r="AH41" s="789" t="str">
        <f t="shared" ref="AH41:AH74" ca="1" si="66">IFERROR(OFFSET(貼付け_2026実績,$A41,AH$1),"")</f>
        <v/>
      </c>
      <c r="AI41" s="789" t="str">
        <f t="shared" ref="AI41:AI74" ca="1" si="67">IFERROR(OFFSET(貼付け_2027実績,$A41,AI$1),"")</f>
        <v/>
      </c>
      <c r="AJ41" s="789" t="str">
        <f t="shared" ref="AJ41:AJ74" ca="1" si="68">IFERROR(OFFSET(貼付け_2024実績,$A41,AJ$1),"")</f>
        <v/>
      </c>
      <c r="AK41" s="789" t="str">
        <f t="shared" ref="AK41:AK74" ca="1" si="69">IFERROR(OFFSET(貼付け_2025実績,$A41,AK$1),"")</f>
        <v/>
      </c>
      <c r="AL41" s="789" t="str">
        <f t="shared" ref="AL41:AL74" ca="1" si="70">IFERROR(OFFSET(貼付け_2026実績,$A41,AL$1),"")</f>
        <v/>
      </c>
      <c r="AM41" s="789" t="str">
        <f t="shared" ref="AM41:AM74" ca="1" si="71">IFERROR(OFFSET(貼付け_2027実績,$A41,AM$1),"")</f>
        <v/>
      </c>
      <c r="AN41" s="789" t="str">
        <f t="shared" ref="AN41:AN74" ca="1" si="72">IFERROR(OFFSET(貼付け_2024実績,$A41,AN$1),"")</f>
        <v/>
      </c>
      <c r="AO41" s="789" t="str">
        <f t="shared" ref="AO41:AO74" ca="1" si="73">IFERROR(OFFSET(貼付け_2025実績,$A41,AO$1),"")</f>
        <v/>
      </c>
      <c r="AP41" s="789" t="str">
        <f t="shared" ref="AP41:AP74" ca="1" si="74">IFERROR(OFFSET(貼付け_2026実績,$A41,AP$1),"")</f>
        <v/>
      </c>
      <c r="AQ41" s="789" t="str">
        <f t="shared" ref="AQ41:AQ74" ca="1" si="75">IFERROR(OFFSET(貼付け_2027実績,$A41,AQ$1),"")</f>
        <v/>
      </c>
      <c r="AR41" s="789" t="str">
        <f t="shared" ref="AR41:AR74" ca="1" si="76">IFERROR(OFFSET(貼付け_2024実績,$A41,AR$1),"")</f>
        <v/>
      </c>
      <c r="AS41" s="789" t="str">
        <f t="shared" ref="AS41:AS74" ca="1" si="77">IFERROR(OFFSET(貼付け_2025実績,$A41,AS$1),"")</f>
        <v/>
      </c>
      <c r="AT41" s="789" t="str">
        <f t="shared" ref="AT41:AT74" ca="1" si="78">IFERROR(OFFSET(貼付け_2026実績,$A41,AT$1),"")</f>
        <v/>
      </c>
      <c r="AU41" s="789" t="str">
        <f t="shared" ref="AU41:AU74" ca="1" si="79">IFERROR(OFFSET(貼付け_2027実績,$A41,AU$1),"")</f>
        <v/>
      </c>
      <c r="AV41" s="789" t="str">
        <f t="shared" ref="AV41:AV74" ca="1" si="80">IFERROR(OFFSET(貼付け_2024実績,$A41,AV$1),"")</f>
        <v/>
      </c>
      <c r="AW41" s="789" t="str">
        <f t="shared" ref="AW41:AW74" ca="1" si="81">IFERROR(OFFSET(貼付け_2025実績,$A41,AW$1),"")</f>
        <v/>
      </c>
      <c r="AX41" s="789" t="str">
        <f t="shared" ref="AX41:AX74" ca="1" si="82">IFERROR(OFFSET(貼付け_2026実績,$A41,AX$1),"")</f>
        <v/>
      </c>
      <c r="AY41" s="789" t="str">
        <f t="shared" ref="AY41:AY74" ca="1" si="83">IFERROR(OFFSET(貼付け_2027実績,$A41,AY$1),"")</f>
        <v/>
      </c>
      <c r="AZ41" s="789" t="str">
        <f t="shared" ref="AZ41:AZ74" ca="1" si="84">IFERROR(OFFSET(貼付け_2024実績,$A41,AZ$1),"")</f>
        <v/>
      </c>
      <c r="BA41" s="789" t="str">
        <f t="shared" ref="BA41:BA74" ca="1" si="85">IFERROR(OFFSET(貼付け_2025実績,$A41,BA$1),"")</f>
        <v/>
      </c>
      <c r="BB41" s="789" t="str">
        <f t="shared" ref="BB41:BB74" ca="1" si="86">IFERROR(OFFSET(貼付け_2026実績,$A41,BB$1),"")</f>
        <v/>
      </c>
      <c r="BC41" s="789" t="str">
        <f t="shared" ref="BC41:BC74" ca="1" si="87">IFERROR(OFFSET(貼付け_2027実績,$A41,BC$1),"")</f>
        <v/>
      </c>
      <c r="BD41" s="789" t="str">
        <f t="shared" ref="BD41:BD74" ca="1" si="88">IFERROR(OFFSET(貼付け_2024実績,$A41,BD$1),"")</f>
        <v/>
      </c>
      <c r="BE41" s="789" t="str">
        <f t="shared" ref="BE41:BE74" ca="1" si="89">IFERROR(OFFSET(貼付け_2025実績,$A41,BE$1),"")</f>
        <v/>
      </c>
      <c r="BF41" s="789" t="str">
        <f t="shared" ref="BF41:BF74" ca="1" si="90">IFERROR(OFFSET(貼付け_2026実績,$A41,BF$1),"")</f>
        <v/>
      </c>
      <c r="BG41" s="789" t="str">
        <f t="shared" ref="BG41:BG74" ca="1" si="91">IFERROR(OFFSET(貼付け_2027実績,$A41,BG$1),"")</f>
        <v/>
      </c>
      <c r="BH41" s="789" t="str">
        <f t="shared" ref="BH41:BH74" ca="1" si="92">IFERROR(OFFSET(貼付け_2024実績,$A41,BH$1),"")</f>
        <v/>
      </c>
      <c r="BI41" s="789" t="str">
        <f t="shared" ref="BI41:BI74" ca="1" si="93">IFERROR(OFFSET(貼付け_2025実績,$A41,BI$1),"")</f>
        <v/>
      </c>
      <c r="BJ41" s="789" t="str">
        <f t="shared" ref="BJ41:BJ74" ca="1" si="94">IFERROR(OFFSET(貼付け_2026実績,$A41,BJ$1),"")</f>
        <v/>
      </c>
      <c r="BK41" s="789" t="str">
        <f t="shared" ref="BK41:BK74" ca="1" si="95">IFERROR(OFFSET(貼付け_2027実績,$A41,BK$1),"")</f>
        <v/>
      </c>
      <c r="BL41" s="789" t="str">
        <f t="shared" ref="BL41:BL74" ca="1" si="96">IFERROR(OFFSET(貼付け_2024実績,$A41,BL$1),"")</f>
        <v/>
      </c>
      <c r="BM41" s="789" t="str">
        <f t="shared" ref="BM41:BM74" ca="1" si="97">IFERROR(OFFSET(貼付け_2025実績,$A41,BM$1),"")</f>
        <v/>
      </c>
      <c r="BN41" s="789" t="str">
        <f t="shared" ref="BN41:BN74" ca="1" si="98">IFERROR(OFFSET(貼付け_2026実績,$A41,BN$1),"")</f>
        <v/>
      </c>
      <c r="BO41" s="789" t="str">
        <f t="shared" ref="BO41:BO74" ca="1" si="99">IFERROR(OFFSET(貼付け_2027実績,$A41,BO$1),"")</f>
        <v/>
      </c>
    </row>
    <row r="42" spans="1:67" ht="20.100000000000001" customHeight="1">
      <c r="A42" s="784">
        <v>41</v>
      </c>
      <c r="B42" s="1594"/>
      <c r="C42" s="1596"/>
      <c r="D42" s="785" t="s">
        <v>382</v>
      </c>
      <c r="E42" s="785"/>
      <c r="F42" s="786"/>
      <c r="G42" s="787" t="s">
        <v>453</v>
      </c>
      <c r="H42" s="788">
        <f t="shared" ca="1" si="52"/>
        <v>35.6</v>
      </c>
      <c r="I42" s="788">
        <f t="shared" ca="1" si="53"/>
        <v>35.6</v>
      </c>
      <c r="J42" s="788">
        <f t="shared" ca="1" si="54"/>
        <v>35.6</v>
      </c>
      <c r="K42" s="788">
        <f t="shared" ca="1" si="55"/>
        <v>35.6</v>
      </c>
      <c r="L42" s="789">
        <f t="shared" ca="1" si="49"/>
        <v>0</v>
      </c>
      <c r="M42" s="789">
        <f t="shared" ca="1" si="49"/>
        <v>0</v>
      </c>
      <c r="N42" s="789">
        <f t="shared" ca="1" si="49"/>
        <v>0</v>
      </c>
      <c r="O42" s="789">
        <f t="shared" ca="1" si="49"/>
        <v>0</v>
      </c>
      <c r="P42" s="789">
        <f ca="1">SUM(SUMIFS(OFFSET(貼付け_2024実績,$A42,9,1,199),OFFSET(貼付け_2024実績,4,9,1,199),{"横浜*","川崎*"}))</f>
        <v>0</v>
      </c>
      <c r="Q42" s="789">
        <f ca="1">SUM(SUMIFS(OFFSET(貼付け_2025実績,$A42,9,1,199),OFFSET(貼付け_2025実績,4,9,1,199),{"横浜*","川崎*"}))</f>
        <v>0</v>
      </c>
      <c r="R42" s="789">
        <f ca="1">SUM(SUMIFS(OFFSET(貼付け_2026実績,$A42,9,1,199),OFFSET(貼付け_2026実績,4,9,1,199),{"横浜*","川崎*"}))</f>
        <v>0</v>
      </c>
      <c r="S42" s="789">
        <f ca="1">SUM(SUMIFS(OFFSET(貼付け_2027実績,$A42,9,1,199),OFFSET(貼付け_2027実績,4,9,1,199),{"横浜*","川崎*"}))</f>
        <v>0</v>
      </c>
      <c r="T42" s="789">
        <f t="shared" ca="1" si="50"/>
        <v>0</v>
      </c>
      <c r="U42" s="789">
        <f t="shared" ca="1" si="50"/>
        <v>0</v>
      </c>
      <c r="V42" s="789">
        <f t="shared" ca="1" si="50"/>
        <v>0</v>
      </c>
      <c r="W42" s="789">
        <f t="shared" ca="1" si="50"/>
        <v>0</v>
      </c>
      <c r="X42" s="789">
        <f t="shared" ca="1" si="56"/>
        <v>0</v>
      </c>
      <c r="Y42" s="789">
        <f t="shared" ca="1" si="57"/>
        <v>0</v>
      </c>
      <c r="Z42" s="789">
        <f t="shared" ca="1" si="58"/>
        <v>0</v>
      </c>
      <c r="AA42" s="789">
        <f t="shared" ca="1" si="59"/>
        <v>0</v>
      </c>
      <c r="AB42" s="789" t="str">
        <f t="shared" ca="1" si="60"/>
        <v/>
      </c>
      <c r="AC42" s="789" t="str">
        <f t="shared" ca="1" si="61"/>
        <v/>
      </c>
      <c r="AD42" s="789" t="str">
        <f t="shared" ca="1" si="62"/>
        <v/>
      </c>
      <c r="AE42" s="789" t="str">
        <f t="shared" ca="1" si="63"/>
        <v/>
      </c>
      <c r="AF42" s="789" t="str">
        <f t="shared" ca="1" si="64"/>
        <v/>
      </c>
      <c r="AG42" s="789" t="str">
        <f t="shared" ca="1" si="65"/>
        <v/>
      </c>
      <c r="AH42" s="789" t="str">
        <f t="shared" ca="1" si="66"/>
        <v/>
      </c>
      <c r="AI42" s="789" t="str">
        <f t="shared" ca="1" si="67"/>
        <v/>
      </c>
      <c r="AJ42" s="789" t="str">
        <f t="shared" ca="1" si="68"/>
        <v/>
      </c>
      <c r="AK42" s="789" t="str">
        <f t="shared" ca="1" si="69"/>
        <v/>
      </c>
      <c r="AL42" s="789" t="str">
        <f t="shared" ca="1" si="70"/>
        <v/>
      </c>
      <c r="AM42" s="789" t="str">
        <f t="shared" ca="1" si="71"/>
        <v/>
      </c>
      <c r="AN42" s="789" t="str">
        <f t="shared" ca="1" si="72"/>
        <v/>
      </c>
      <c r="AO42" s="789" t="str">
        <f t="shared" ca="1" si="73"/>
        <v/>
      </c>
      <c r="AP42" s="789" t="str">
        <f t="shared" ca="1" si="74"/>
        <v/>
      </c>
      <c r="AQ42" s="789" t="str">
        <f t="shared" ca="1" si="75"/>
        <v/>
      </c>
      <c r="AR42" s="789" t="str">
        <f t="shared" ca="1" si="76"/>
        <v/>
      </c>
      <c r="AS42" s="789" t="str">
        <f t="shared" ca="1" si="77"/>
        <v/>
      </c>
      <c r="AT42" s="789" t="str">
        <f t="shared" ca="1" si="78"/>
        <v/>
      </c>
      <c r="AU42" s="789" t="str">
        <f t="shared" ca="1" si="79"/>
        <v/>
      </c>
      <c r="AV42" s="789" t="str">
        <f t="shared" ca="1" si="80"/>
        <v/>
      </c>
      <c r="AW42" s="789" t="str">
        <f t="shared" ca="1" si="81"/>
        <v/>
      </c>
      <c r="AX42" s="789" t="str">
        <f t="shared" ca="1" si="82"/>
        <v/>
      </c>
      <c r="AY42" s="789" t="str">
        <f t="shared" ca="1" si="83"/>
        <v/>
      </c>
      <c r="AZ42" s="789" t="str">
        <f t="shared" ca="1" si="84"/>
        <v/>
      </c>
      <c r="BA42" s="789" t="str">
        <f t="shared" ca="1" si="85"/>
        <v/>
      </c>
      <c r="BB42" s="789" t="str">
        <f t="shared" ca="1" si="86"/>
        <v/>
      </c>
      <c r="BC42" s="789" t="str">
        <f t="shared" ca="1" si="87"/>
        <v/>
      </c>
      <c r="BD42" s="789" t="str">
        <f t="shared" ca="1" si="88"/>
        <v/>
      </c>
      <c r="BE42" s="789" t="str">
        <f t="shared" ca="1" si="89"/>
        <v/>
      </c>
      <c r="BF42" s="789" t="str">
        <f t="shared" ca="1" si="90"/>
        <v/>
      </c>
      <c r="BG42" s="789" t="str">
        <f t="shared" ca="1" si="91"/>
        <v/>
      </c>
      <c r="BH42" s="789" t="str">
        <f t="shared" ca="1" si="92"/>
        <v/>
      </c>
      <c r="BI42" s="789" t="str">
        <f t="shared" ca="1" si="93"/>
        <v/>
      </c>
      <c r="BJ42" s="789" t="str">
        <f t="shared" ca="1" si="94"/>
        <v/>
      </c>
      <c r="BK42" s="789" t="str">
        <f t="shared" ca="1" si="95"/>
        <v/>
      </c>
      <c r="BL42" s="789" t="str">
        <f t="shared" ca="1" si="96"/>
        <v/>
      </c>
      <c r="BM42" s="789" t="str">
        <f t="shared" ca="1" si="97"/>
        <v/>
      </c>
      <c r="BN42" s="789" t="str">
        <f t="shared" ca="1" si="98"/>
        <v/>
      </c>
      <c r="BO42" s="789" t="str">
        <f t="shared" ca="1" si="99"/>
        <v/>
      </c>
    </row>
    <row r="43" spans="1:67" ht="20.100000000000001" customHeight="1">
      <c r="A43" s="784">
        <v>42</v>
      </c>
      <c r="B43" s="1594"/>
      <c r="C43" s="1596"/>
      <c r="D43" s="785" t="s">
        <v>383</v>
      </c>
      <c r="E43" s="785"/>
      <c r="F43" s="786"/>
      <c r="G43" s="787" t="s">
        <v>457</v>
      </c>
      <c r="H43" s="788">
        <f t="shared" ca="1" si="52"/>
        <v>21.2</v>
      </c>
      <c r="I43" s="788">
        <f t="shared" ca="1" si="53"/>
        <v>21.2</v>
      </c>
      <c r="J43" s="788">
        <f t="shared" ca="1" si="54"/>
        <v>21.2</v>
      </c>
      <c r="K43" s="788">
        <f t="shared" ca="1" si="55"/>
        <v>21.2</v>
      </c>
      <c r="L43" s="789">
        <f t="shared" ca="1" si="49"/>
        <v>0</v>
      </c>
      <c r="M43" s="789">
        <f t="shared" ca="1" si="49"/>
        <v>0</v>
      </c>
      <c r="N43" s="789">
        <f t="shared" ca="1" si="49"/>
        <v>0</v>
      </c>
      <c r="O43" s="789">
        <f t="shared" ca="1" si="49"/>
        <v>0</v>
      </c>
      <c r="P43" s="789">
        <f ca="1">SUM(SUMIFS(OFFSET(貼付け_2024実績,$A43,9,1,199),OFFSET(貼付け_2024実績,4,9,1,199),{"横浜*","川崎*"}))</f>
        <v>0</v>
      </c>
      <c r="Q43" s="789">
        <f ca="1">SUM(SUMIFS(OFFSET(貼付け_2025実績,$A43,9,1,199),OFFSET(貼付け_2025実績,4,9,1,199),{"横浜*","川崎*"}))</f>
        <v>0</v>
      </c>
      <c r="R43" s="789">
        <f ca="1">SUM(SUMIFS(OFFSET(貼付け_2026実績,$A43,9,1,199),OFFSET(貼付け_2026実績,4,9,1,199),{"横浜*","川崎*"}))</f>
        <v>0</v>
      </c>
      <c r="S43" s="789">
        <f ca="1">SUM(SUMIFS(OFFSET(貼付け_2027実績,$A43,9,1,199),OFFSET(貼付け_2027実績,4,9,1,199),{"横浜*","川崎*"}))</f>
        <v>0</v>
      </c>
      <c r="T43" s="789">
        <f t="shared" ca="1" si="50"/>
        <v>0</v>
      </c>
      <c r="U43" s="789">
        <f t="shared" ca="1" si="50"/>
        <v>0</v>
      </c>
      <c r="V43" s="789">
        <f t="shared" ca="1" si="50"/>
        <v>0</v>
      </c>
      <c r="W43" s="789">
        <f t="shared" ca="1" si="50"/>
        <v>0</v>
      </c>
      <c r="X43" s="789">
        <f t="shared" ca="1" si="56"/>
        <v>0</v>
      </c>
      <c r="Y43" s="789">
        <f t="shared" ca="1" si="57"/>
        <v>0</v>
      </c>
      <c r="Z43" s="789">
        <f t="shared" ca="1" si="58"/>
        <v>0</v>
      </c>
      <c r="AA43" s="789">
        <f t="shared" ca="1" si="59"/>
        <v>0</v>
      </c>
      <c r="AB43" s="789" t="str">
        <f t="shared" ca="1" si="60"/>
        <v/>
      </c>
      <c r="AC43" s="789" t="str">
        <f t="shared" ca="1" si="61"/>
        <v/>
      </c>
      <c r="AD43" s="789" t="str">
        <f t="shared" ca="1" si="62"/>
        <v/>
      </c>
      <c r="AE43" s="789" t="str">
        <f t="shared" ca="1" si="63"/>
        <v/>
      </c>
      <c r="AF43" s="789" t="str">
        <f t="shared" ca="1" si="64"/>
        <v/>
      </c>
      <c r="AG43" s="789" t="str">
        <f t="shared" ca="1" si="65"/>
        <v/>
      </c>
      <c r="AH43" s="789" t="str">
        <f t="shared" ca="1" si="66"/>
        <v/>
      </c>
      <c r="AI43" s="789" t="str">
        <f t="shared" ca="1" si="67"/>
        <v/>
      </c>
      <c r="AJ43" s="789" t="str">
        <f t="shared" ca="1" si="68"/>
        <v/>
      </c>
      <c r="AK43" s="789" t="str">
        <f t="shared" ca="1" si="69"/>
        <v/>
      </c>
      <c r="AL43" s="789" t="str">
        <f t="shared" ca="1" si="70"/>
        <v/>
      </c>
      <c r="AM43" s="789" t="str">
        <f t="shared" ca="1" si="71"/>
        <v/>
      </c>
      <c r="AN43" s="789" t="str">
        <f t="shared" ca="1" si="72"/>
        <v/>
      </c>
      <c r="AO43" s="789" t="str">
        <f t="shared" ca="1" si="73"/>
        <v/>
      </c>
      <c r="AP43" s="789" t="str">
        <f t="shared" ca="1" si="74"/>
        <v/>
      </c>
      <c r="AQ43" s="789" t="str">
        <f t="shared" ca="1" si="75"/>
        <v/>
      </c>
      <c r="AR43" s="789" t="str">
        <f t="shared" ca="1" si="76"/>
        <v/>
      </c>
      <c r="AS43" s="789" t="str">
        <f t="shared" ca="1" si="77"/>
        <v/>
      </c>
      <c r="AT43" s="789" t="str">
        <f t="shared" ca="1" si="78"/>
        <v/>
      </c>
      <c r="AU43" s="789" t="str">
        <f t="shared" ca="1" si="79"/>
        <v/>
      </c>
      <c r="AV43" s="789" t="str">
        <f t="shared" ca="1" si="80"/>
        <v/>
      </c>
      <c r="AW43" s="789" t="str">
        <f t="shared" ca="1" si="81"/>
        <v/>
      </c>
      <c r="AX43" s="789" t="str">
        <f t="shared" ca="1" si="82"/>
        <v/>
      </c>
      <c r="AY43" s="789" t="str">
        <f t="shared" ca="1" si="83"/>
        <v/>
      </c>
      <c r="AZ43" s="789" t="str">
        <f t="shared" ca="1" si="84"/>
        <v/>
      </c>
      <c r="BA43" s="789" t="str">
        <f t="shared" ca="1" si="85"/>
        <v/>
      </c>
      <c r="BB43" s="789" t="str">
        <f t="shared" ca="1" si="86"/>
        <v/>
      </c>
      <c r="BC43" s="789" t="str">
        <f t="shared" ca="1" si="87"/>
        <v/>
      </c>
      <c r="BD43" s="789" t="str">
        <f t="shared" ca="1" si="88"/>
        <v/>
      </c>
      <c r="BE43" s="789" t="str">
        <f t="shared" ca="1" si="89"/>
        <v/>
      </c>
      <c r="BF43" s="789" t="str">
        <f t="shared" ca="1" si="90"/>
        <v/>
      </c>
      <c r="BG43" s="789" t="str">
        <f t="shared" ca="1" si="91"/>
        <v/>
      </c>
      <c r="BH43" s="789" t="str">
        <f t="shared" ca="1" si="92"/>
        <v/>
      </c>
      <c r="BI43" s="789" t="str">
        <f t="shared" ca="1" si="93"/>
        <v/>
      </c>
      <c r="BJ43" s="789" t="str">
        <f t="shared" ca="1" si="94"/>
        <v/>
      </c>
      <c r="BK43" s="789" t="str">
        <f t="shared" ca="1" si="95"/>
        <v/>
      </c>
      <c r="BL43" s="789" t="str">
        <f t="shared" ca="1" si="96"/>
        <v/>
      </c>
      <c r="BM43" s="789" t="str">
        <f t="shared" ca="1" si="97"/>
        <v/>
      </c>
      <c r="BN43" s="789" t="str">
        <f t="shared" ca="1" si="98"/>
        <v/>
      </c>
      <c r="BO43" s="789" t="str">
        <f t="shared" ca="1" si="99"/>
        <v/>
      </c>
    </row>
    <row r="44" spans="1:67" ht="20.100000000000001" customHeight="1">
      <c r="A44" s="784">
        <v>43</v>
      </c>
      <c r="B44" s="1594"/>
      <c r="C44" s="1596"/>
      <c r="D44" s="785" t="s">
        <v>384</v>
      </c>
      <c r="E44" s="792" t="str">
        <f ca="1">OFFSET(A1_その他欄集計,4,7)</f>
        <v/>
      </c>
      <c r="F44" s="794"/>
      <c r="G44" s="787" t="s">
        <v>455</v>
      </c>
      <c r="H44" s="788">
        <f t="shared" ca="1" si="52"/>
        <v>13.2</v>
      </c>
      <c r="I44" s="788">
        <f t="shared" ca="1" si="53"/>
        <v>13.2</v>
      </c>
      <c r="J44" s="788">
        <f t="shared" ca="1" si="54"/>
        <v>13.2</v>
      </c>
      <c r="K44" s="788">
        <f t="shared" ca="1" si="55"/>
        <v>13.2</v>
      </c>
      <c r="L44" s="789">
        <f t="shared" ca="1" si="49"/>
        <v>0</v>
      </c>
      <c r="M44" s="789">
        <f t="shared" ca="1" si="49"/>
        <v>0</v>
      </c>
      <c r="N44" s="789">
        <f t="shared" ca="1" si="49"/>
        <v>0</v>
      </c>
      <c r="O44" s="789">
        <f t="shared" ca="1" si="49"/>
        <v>0</v>
      </c>
      <c r="P44" s="789">
        <f ca="1">SUM(SUMIFS(OFFSET(貼付け_2024実績,$A44,9,1,199),OFFSET(貼付け_2024実績,4,9,1,199),{"横浜*","川崎*"}))</f>
        <v>0</v>
      </c>
      <c r="Q44" s="789">
        <f ca="1">SUM(SUMIFS(OFFSET(貼付け_2025実績,$A44,9,1,199),OFFSET(貼付け_2025実績,4,9,1,199),{"横浜*","川崎*"}))</f>
        <v>0</v>
      </c>
      <c r="R44" s="789">
        <f ca="1">SUM(SUMIFS(OFFSET(貼付け_2026実績,$A44,9,1,199),OFFSET(貼付け_2026実績,4,9,1,199),{"横浜*","川崎*"}))</f>
        <v>0</v>
      </c>
      <c r="S44" s="789">
        <f ca="1">SUM(SUMIFS(OFFSET(貼付け_2027実績,$A44,9,1,199),OFFSET(貼付け_2027実績,4,9,1,199),{"横浜*","川崎*"}))</f>
        <v>0</v>
      </c>
      <c r="T44" s="789">
        <f t="shared" ca="1" si="50"/>
        <v>0</v>
      </c>
      <c r="U44" s="789">
        <f t="shared" ca="1" si="50"/>
        <v>0</v>
      </c>
      <c r="V44" s="789">
        <f t="shared" ca="1" si="50"/>
        <v>0</v>
      </c>
      <c r="W44" s="789">
        <f t="shared" ca="1" si="50"/>
        <v>0</v>
      </c>
      <c r="X44" s="789">
        <f t="shared" ca="1" si="56"/>
        <v>0</v>
      </c>
      <c r="Y44" s="789">
        <f t="shared" ca="1" si="57"/>
        <v>0</v>
      </c>
      <c r="Z44" s="789">
        <f t="shared" ca="1" si="58"/>
        <v>0</v>
      </c>
      <c r="AA44" s="789">
        <f t="shared" ca="1" si="59"/>
        <v>0</v>
      </c>
      <c r="AB44" s="789" t="str">
        <f t="shared" ca="1" si="60"/>
        <v/>
      </c>
      <c r="AC44" s="789" t="str">
        <f t="shared" ca="1" si="61"/>
        <v/>
      </c>
      <c r="AD44" s="789" t="str">
        <f t="shared" ca="1" si="62"/>
        <v/>
      </c>
      <c r="AE44" s="789" t="str">
        <f t="shared" ca="1" si="63"/>
        <v/>
      </c>
      <c r="AF44" s="789" t="str">
        <f t="shared" ca="1" si="64"/>
        <v/>
      </c>
      <c r="AG44" s="789" t="str">
        <f t="shared" ca="1" si="65"/>
        <v/>
      </c>
      <c r="AH44" s="789" t="str">
        <f t="shared" ca="1" si="66"/>
        <v/>
      </c>
      <c r="AI44" s="789" t="str">
        <f t="shared" ca="1" si="67"/>
        <v/>
      </c>
      <c r="AJ44" s="789" t="str">
        <f t="shared" ca="1" si="68"/>
        <v/>
      </c>
      <c r="AK44" s="789" t="str">
        <f t="shared" ca="1" si="69"/>
        <v/>
      </c>
      <c r="AL44" s="789" t="str">
        <f t="shared" ca="1" si="70"/>
        <v/>
      </c>
      <c r="AM44" s="789" t="str">
        <f t="shared" ca="1" si="71"/>
        <v/>
      </c>
      <c r="AN44" s="789" t="str">
        <f t="shared" ca="1" si="72"/>
        <v/>
      </c>
      <c r="AO44" s="789" t="str">
        <f t="shared" ca="1" si="73"/>
        <v/>
      </c>
      <c r="AP44" s="789" t="str">
        <f t="shared" ca="1" si="74"/>
        <v/>
      </c>
      <c r="AQ44" s="789" t="str">
        <f t="shared" ca="1" si="75"/>
        <v/>
      </c>
      <c r="AR44" s="789" t="str">
        <f t="shared" ca="1" si="76"/>
        <v/>
      </c>
      <c r="AS44" s="789" t="str">
        <f t="shared" ca="1" si="77"/>
        <v/>
      </c>
      <c r="AT44" s="789" t="str">
        <f t="shared" ca="1" si="78"/>
        <v/>
      </c>
      <c r="AU44" s="789" t="str">
        <f t="shared" ca="1" si="79"/>
        <v/>
      </c>
      <c r="AV44" s="789" t="str">
        <f t="shared" ca="1" si="80"/>
        <v/>
      </c>
      <c r="AW44" s="789" t="str">
        <f t="shared" ca="1" si="81"/>
        <v/>
      </c>
      <c r="AX44" s="789" t="str">
        <f t="shared" ca="1" si="82"/>
        <v/>
      </c>
      <c r="AY44" s="789" t="str">
        <f t="shared" ca="1" si="83"/>
        <v/>
      </c>
      <c r="AZ44" s="789" t="str">
        <f t="shared" ca="1" si="84"/>
        <v/>
      </c>
      <c r="BA44" s="789" t="str">
        <f t="shared" ca="1" si="85"/>
        <v/>
      </c>
      <c r="BB44" s="789" t="str">
        <f t="shared" ca="1" si="86"/>
        <v/>
      </c>
      <c r="BC44" s="789" t="str">
        <f t="shared" ca="1" si="87"/>
        <v/>
      </c>
      <c r="BD44" s="789" t="str">
        <f t="shared" ca="1" si="88"/>
        <v/>
      </c>
      <c r="BE44" s="789" t="str">
        <f t="shared" ca="1" si="89"/>
        <v/>
      </c>
      <c r="BF44" s="789" t="str">
        <f t="shared" ca="1" si="90"/>
        <v/>
      </c>
      <c r="BG44" s="789" t="str">
        <f t="shared" ca="1" si="91"/>
        <v/>
      </c>
      <c r="BH44" s="789" t="str">
        <f t="shared" ca="1" si="92"/>
        <v/>
      </c>
      <c r="BI44" s="789" t="str">
        <f t="shared" ca="1" si="93"/>
        <v/>
      </c>
      <c r="BJ44" s="789" t="str">
        <f t="shared" ca="1" si="94"/>
        <v/>
      </c>
      <c r="BK44" s="789" t="str">
        <f t="shared" ca="1" si="95"/>
        <v/>
      </c>
      <c r="BL44" s="789" t="str">
        <f t="shared" ca="1" si="96"/>
        <v/>
      </c>
      <c r="BM44" s="789" t="str">
        <f t="shared" ca="1" si="97"/>
        <v/>
      </c>
      <c r="BN44" s="789" t="str">
        <f t="shared" ca="1" si="98"/>
        <v/>
      </c>
      <c r="BO44" s="789" t="str">
        <f t="shared" ca="1" si="99"/>
        <v/>
      </c>
    </row>
    <row r="45" spans="1:67" ht="20.100000000000001" customHeight="1">
      <c r="A45" s="784">
        <v>44</v>
      </c>
      <c r="B45" s="1594"/>
      <c r="C45" s="1596"/>
      <c r="D45" s="793" t="s">
        <v>385</v>
      </c>
      <c r="E45" s="785"/>
      <c r="F45" s="786"/>
      <c r="G45" s="787" t="s">
        <v>455</v>
      </c>
      <c r="H45" s="788">
        <f t="shared" ca="1" si="52"/>
        <v>18</v>
      </c>
      <c r="I45" s="788">
        <f t="shared" ca="1" si="53"/>
        <v>18</v>
      </c>
      <c r="J45" s="788">
        <f t="shared" ca="1" si="54"/>
        <v>18</v>
      </c>
      <c r="K45" s="788">
        <f t="shared" ca="1" si="55"/>
        <v>18</v>
      </c>
      <c r="L45" s="789">
        <f t="shared" ca="1" si="49"/>
        <v>0</v>
      </c>
      <c r="M45" s="789">
        <f t="shared" ca="1" si="49"/>
        <v>0</v>
      </c>
      <c r="N45" s="789">
        <f t="shared" ca="1" si="49"/>
        <v>0</v>
      </c>
      <c r="O45" s="789">
        <f t="shared" ca="1" si="49"/>
        <v>0</v>
      </c>
      <c r="P45" s="789">
        <f ca="1">SUM(SUMIFS(OFFSET(貼付け_2024実績,$A45,9,1,199),OFFSET(貼付け_2024実績,4,9,1,199),{"横浜*","川崎*"}))</f>
        <v>0</v>
      </c>
      <c r="Q45" s="789">
        <f ca="1">SUM(SUMIFS(OFFSET(貼付け_2025実績,$A45,9,1,199),OFFSET(貼付け_2025実績,4,9,1,199),{"横浜*","川崎*"}))</f>
        <v>0</v>
      </c>
      <c r="R45" s="789">
        <f ca="1">SUM(SUMIFS(OFFSET(貼付け_2026実績,$A45,9,1,199),OFFSET(貼付け_2026実績,4,9,1,199),{"横浜*","川崎*"}))</f>
        <v>0</v>
      </c>
      <c r="S45" s="789">
        <f ca="1">SUM(SUMIFS(OFFSET(貼付け_2027実績,$A45,9,1,199),OFFSET(貼付け_2027実績,4,9,1,199),{"横浜*","川崎*"}))</f>
        <v>0</v>
      </c>
      <c r="T45" s="789">
        <f t="shared" ca="1" si="50"/>
        <v>0</v>
      </c>
      <c r="U45" s="789">
        <f t="shared" ca="1" si="50"/>
        <v>0</v>
      </c>
      <c r="V45" s="789">
        <f t="shared" ca="1" si="50"/>
        <v>0</v>
      </c>
      <c r="W45" s="789">
        <f t="shared" ca="1" si="50"/>
        <v>0</v>
      </c>
      <c r="X45" s="789">
        <f t="shared" ca="1" si="56"/>
        <v>0</v>
      </c>
      <c r="Y45" s="789">
        <f t="shared" ca="1" si="57"/>
        <v>0</v>
      </c>
      <c r="Z45" s="789">
        <f t="shared" ca="1" si="58"/>
        <v>0</v>
      </c>
      <c r="AA45" s="789">
        <f t="shared" ca="1" si="59"/>
        <v>0</v>
      </c>
      <c r="AB45" s="789" t="str">
        <f t="shared" ca="1" si="60"/>
        <v/>
      </c>
      <c r="AC45" s="789" t="str">
        <f t="shared" ca="1" si="61"/>
        <v/>
      </c>
      <c r="AD45" s="789" t="str">
        <f t="shared" ca="1" si="62"/>
        <v/>
      </c>
      <c r="AE45" s="789" t="str">
        <f t="shared" ca="1" si="63"/>
        <v/>
      </c>
      <c r="AF45" s="789" t="str">
        <f t="shared" ca="1" si="64"/>
        <v/>
      </c>
      <c r="AG45" s="789" t="str">
        <f t="shared" ca="1" si="65"/>
        <v/>
      </c>
      <c r="AH45" s="789" t="str">
        <f t="shared" ca="1" si="66"/>
        <v/>
      </c>
      <c r="AI45" s="789" t="str">
        <f t="shared" ca="1" si="67"/>
        <v/>
      </c>
      <c r="AJ45" s="789" t="str">
        <f t="shared" ca="1" si="68"/>
        <v/>
      </c>
      <c r="AK45" s="789" t="str">
        <f t="shared" ca="1" si="69"/>
        <v/>
      </c>
      <c r="AL45" s="789" t="str">
        <f t="shared" ca="1" si="70"/>
        <v/>
      </c>
      <c r="AM45" s="789" t="str">
        <f t="shared" ca="1" si="71"/>
        <v/>
      </c>
      <c r="AN45" s="789" t="str">
        <f t="shared" ca="1" si="72"/>
        <v/>
      </c>
      <c r="AO45" s="789" t="str">
        <f t="shared" ca="1" si="73"/>
        <v/>
      </c>
      <c r="AP45" s="789" t="str">
        <f t="shared" ca="1" si="74"/>
        <v/>
      </c>
      <c r="AQ45" s="789" t="str">
        <f t="shared" ca="1" si="75"/>
        <v/>
      </c>
      <c r="AR45" s="789" t="str">
        <f t="shared" ca="1" si="76"/>
        <v/>
      </c>
      <c r="AS45" s="789" t="str">
        <f t="shared" ca="1" si="77"/>
        <v/>
      </c>
      <c r="AT45" s="789" t="str">
        <f t="shared" ca="1" si="78"/>
        <v/>
      </c>
      <c r="AU45" s="789" t="str">
        <f t="shared" ca="1" si="79"/>
        <v/>
      </c>
      <c r="AV45" s="789" t="str">
        <f t="shared" ca="1" si="80"/>
        <v/>
      </c>
      <c r="AW45" s="789" t="str">
        <f t="shared" ca="1" si="81"/>
        <v/>
      </c>
      <c r="AX45" s="789" t="str">
        <f t="shared" ca="1" si="82"/>
        <v/>
      </c>
      <c r="AY45" s="789" t="str">
        <f t="shared" ca="1" si="83"/>
        <v/>
      </c>
      <c r="AZ45" s="789" t="str">
        <f t="shared" ca="1" si="84"/>
        <v/>
      </c>
      <c r="BA45" s="789" t="str">
        <f t="shared" ca="1" si="85"/>
        <v/>
      </c>
      <c r="BB45" s="789" t="str">
        <f t="shared" ca="1" si="86"/>
        <v/>
      </c>
      <c r="BC45" s="789" t="str">
        <f t="shared" ca="1" si="87"/>
        <v/>
      </c>
      <c r="BD45" s="789" t="str">
        <f t="shared" ca="1" si="88"/>
        <v/>
      </c>
      <c r="BE45" s="789" t="str">
        <f t="shared" ca="1" si="89"/>
        <v/>
      </c>
      <c r="BF45" s="789" t="str">
        <f t="shared" ca="1" si="90"/>
        <v/>
      </c>
      <c r="BG45" s="789" t="str">
        <f t="shared" ca="1" si="91"/>
        <v/>
      </c>
      <c r="BH45" s="789" t="str">
        <f t="shared" ca="1" si="92"/>
        <v/>
      </c>
      <c r="BI45" s="789" t="str">
        <f t="shared" ca="1" si="93"/>
        <v/>
      </c>
      <c r="BJ45" s="789" t="str">
        <f t="shared" ca="1" si="94"/>
        <v/>
      </c>
      <c r="BK45" s="789" t="str">
        <f t="shared" ca="1" si="95"/>
        <v/>
      </c>
      <c r="BL45" s="789" t="str">
        <f t="shared" ca="1" si="96"/>
        <v/>
      </c>
      <c r="BM45" s="789" t="str">
        <f t="shared" ca="1" si="97"/>
        <v/>
      </c>
      <c r="BN45" s="789" t="str">
        <f t="shared" ca="1" si="98"/>
        <v/>
      </c>
      <c r="BO45" s="789" t="str">
        <f t="shared" ca="1" si="99"/>
        <v/>
      </c>
    </row>
    <row r="46" spans="1:67" ht="20.100000000000001" customHeight="1">
      <c r="A46" s="784">
        <v>45</v>
      </c>
      <c r="B46" s="1594"/>
      <c r="C46" s="1596"/>
      <c r="D46" s="793" t="s">
        <v>386</v>
      </c>
      <c r="E46" s="795"/>
      <c r="F46" s="786"/>
      <c r="G46" s="787" t="s">
        <v>455</v>
      </c>
      <c r="H46" s="788">
        <f t="shared" ca="1" si="52"/>
        <v>26.9</v>
      </c>
      <c r="I46" s="788">
        <f t="shared" ca="1" si="53"/>
        <v>26.9</v>
      </c>
      <c r="J46" s="788">
        <f t="shared" ca="1" si="54"/>
        <v>26.9</v>
      </c>
      <c r="K46" s="788">
        <f t="shared" ca="1" si="55"/>
        <v>26.9</v>
      </c>
      <c r="L46" s="789">
        <f t="shared" ca="1" si="49"/>
        <v>0</v>
      </c>
      <c r="M46" s="789">
        <f t="shared" ca="1" si="49"/>
        <v>0</v>
      </c>
      <c r="N46" s="789">
        <f t="shared" ca="1" si="49"/>
        <v>0</v>
      </c>
      <c r="O46" s="789">
        <f t="shared" ca="1" si="49"/>
        <v>0</v>
      </c>
      <c r="P46" s="789">
        <f ca="1">SUM(SUMIFS(OFFSET(貼付け_2024実績,$A46,9,1,199),OFFSET(貼付け_2024実績,4,9,1,199),{"横浜*","川崎*"}))</f>
        <v>0</v>
      </c>
      <c r="Q46" s="789">
        <f ca="1">SUM(SUMIFS(OFFSET(貼付け_2025実績,$A46,9,1,199),OFFSET(貼付け_2025実績,4,9,1,199),{"横浜*","川崎*"}))</f>
        <v>0</v>
      </c>
      <c r="R46" s="789">
        <f ca="1">SUM(SUMIFS(OFFSET(貼付け_2026実績,$A46,9,1,199),OFFSET(貼付け_2026実績,4,9,1,199),{"横浜*","川崎*"}))</f>
        <v>0</v>
      </c>
      <c r="S46" s="789">
        <f ca="1">SUM(SUMIFS(OFFSET(貼付け_2027実績,$A46,9,1,199),OFFSET(貼付け_2027実績,4,9,1,199),{"横浜*","川崎*"}))</f>
        <v>0</v>
      </c>
      <c r="T46" s="789">
        <f t="shared" ca="1" si="50"/>
        <v>0</v>
      </c>
      <c r="U46" s="789">
        <f t="shared" ca="1" si="50"/>
        <v>0</v>
      </c>
      <c r="V46" s="789">
        <f t="shared" ca="1" si="50"/>
        <v>0</v>
      </c>
      <c r="W46" s="789">
        <f t="shared" ca="1" si="50"/>
        <v>0</v>
      </c>
      <c r="X46" s="789">
        <f t="shared" ca="1" si="56"/>
        <v>0</v>
      </c>
      <c r="Y46" s="789">
        <f t="shared" ca="1" si="57"/>
        <v>0</v>
      </c>
      <c r="Z46" s="789">
        <f t="shared" ca="1" si="58"/>
        <v>0</v>
      </c>
      <c r="AA46" s="789">
        <f t="shared" ca="1" si="59"/>
        <v>0</v>
      </c>
      <c r="AB46" s="789" t="str">
        <f t="shared" ca="1" si="60"/>
        <v/>
      </c>
      <c r="AC46" s="789" t="str">
        <f t="shared" ca="1" si="61"/>
        <v/>
      </c>
      <c r="AD46" s="789" t="str">
        <f t="shared" ca="1" si="62"/>
        <v/>
      </c>
      <c r="AE46" s="789" t="str">
        <f t="shared" ca="1" si="63"/>
        <v/>
      </c>
      <c r="AF46" s="789" t="str">
        <f t="shared" ca="1" si="64"/>
        <v/>
      </c>
      <c r="AG46" s="789" t="str">
        <f t="shared" ca="1" si="65"/>
        <v/>
      </c>
      <c r="AH46" s="789" t="str">
        <f t="shared" ca="1" si="66"/>
        <v/>
      </c>
      <c r="AI46" s="789" t="str">
        <f t="shared" ca="1" si="67"/>
        <v/>
      </c>
      <c r="AJ46" s="789" t="str">
        <f t="shared" ca="1" si="68"/>
        <v/>
      </c>
      <c r="AK46" s="789" t="str">
        <f t="shared" ca="1" si="69"/>
        <v/>
      </c>
      <c r="AL46" s="789" t="str">
        <f t="shared" ca="1" si="70"/>
        <v/>
      </c>
      <c r="AM46" s="789" t="str">
        <f t="shared" ca="1" si="71"/>
        <v/>
      </c>
      <c r="AN46" s="789" t="str">
        <f t="shared" ca="1" si="72"/>
        <v/>
      </c>
      <c r="AO46" s="789" t="str">
        <f t="shared" ca="1" si="73"/>
        <v/>
      </c>
      <c r="AP46" s="789" t="str">
        <f t="shared" ca="1" si="74"/>
        <v/>
      </c>
      <c r="AQ46" s="789" t="str">
        <f t="shared" ca="1" si="75"/>
        <v/>
      </c>
      <c r="AR46" s="789" t="str">
        <f t="shared" ca="1" si="76"/>
        <v/>
      </c>
      <c r="AS46" s="789" t="str">
        <f t="shared" ca="1" si="77"/>
        <v/>
      </c>
      <c r="AT46" s="789" t="str">
        <f t="shared" ca="1" si="78"/>
        <v/>
      </c>
      <c r="AU46" s="789" t="str">
        <f t="shared" ca="1" si="79"/>
        <v/>
      </c>
      <c r="AV46" s="789" t="str">
        <f t="shared" ca="1" si="80"/>
        <v/>
      </c>
      <c r="AW46" s="789" t="str">
        <f t="shared" ca="1" si="81"/>
        <v/>
      </c>
      <c r="AX46" s="789" t="str">
        <f t="shared" ca="1" si="82"/>
        <v/>
      </c>
      <c r="AY46" s="789" t="str">
        <f t="shared" ca="1" si="83"/>
        <v/>
      </c>
      <c r="AZ46" s="789" t="str">
        <f t="shared" ca="1" si="84"/>
        <v/>
      </c>
      <c r="BA46" s="789" t="str">
        <f t="shared" ca="1" si="85"/>
        <v/>
      </c>
      <c r="BB46" s="789" t="str">
        <f t="shared" ca="1" si="86"/>
        <v/>
      </c>
      <c r="BC46" s="789" t="str">
        <f t="shared" ca="1" si="87"/>
        <v/>
      </c>
      <c r="BD46" s="789" t="str">
        <f t="shared" ca="1" si="88"/>
        <v/>
      </c>
      <c r="BE46" s="789" t="str">
        <f t="shared" ca="1" si="89"/>
        <v/>
      </c>
      <c r="BF46" s="789" t="str">
        <f t="shared" ca="1" si="90"/>
        <v/>
      </c>
      <c r="BG46" s="789" t="str">
        <f t="shared" ca="1" si="91"/>
        <v/>
      </c>
      <c r="BH46" s="789" t="str">
        <f t="shared" ca="1" si="92"/>
        <v/>
      </c>
      <c r="BI46" s="789" t="str">
        <f t="shared" ca="1" si="93"/>
        <v/>
      </c>
      <c r="BJ46" s="789" t="str">
        <f t="shared" ca="1" si="94"/>
        <v/>
      </c>
      <c r="BK46" s="789" t="str">
        <f t="shared" ca="1" si="95"/>
        <v/>
      </c>
      <c r="BL46" s="789" t="str">
        <f t="shared" ca="1" si="96"/>
        <v/>
      </c>
      <c r="BM46" s="789" t="str">
        <f t="shared" ca="1" si="97"/>
        <v/>
      </c>
      <c r="BN46" s="789" t="str">
        <f t="shared" ca="1" si="98"/>
        <v/>
      </c>
      <c r="BO46" s="789" t="str">
        <f t="shared" ca="1" si="99"/>
        <v/>
      </c>
    </row>
    <row r="47" spans="1:67" ht="20.100000000000001" customHeight="1">
      <c r="A47" s="784">
        <v>46</v>
      </c>
      <c r="B47" s="1594"/>
      <c r="C47" s="1596"/>
      <c r="D47" s="793" t="s">
        <v>387</v>
      </c>
      <c r="E47" s="779"/>
      <c r="F47" s="786"/>
      <c r="G47" s="787" t="s">
        <v>455</v>
      </c>
      <c r="H47" s="788">
        <f t="shared" ca="1" si="52"/>
        <v>33.200000000000003</v>
      </c>
      <c r="I47" s="788">
        <f t="shared" ca="1" si="53"/>
        <v>33.200000000000003</v>
      </c>
      <c r="J47" s="788">
        <f t="shared" ca="1" si="54"/>
        <v>33.200000000000003</v>
      </c>
      <c r="K47" s="788">
        <f t="shared" ca="1" si="55"/>
        <v>33.200000000000003</v>
      </c>
      <c r="L47" s="789">
        <f t="shared" ca="1" si="49"/>
        <v>0</v>
      </c>
      <c r="M47" s="789">
        <f t="shared" ca="1" si="49"/>
        <v>0</v>
      </c>
      <c r="N47" s="789">
        <f t="shared" ca="1" si="49"/>
        <v>0</v>
      </c>
      <c r="O47" s="789">
        <f t="shared" ca="1" si="49"/>
        <v>0</v>
      </c>
      <c r="P47" s="789">
        <f ca="1">SUM(SUMIFS(OFFSET(貼付け_2024実績,$A47,9,1,199),OFFSET(貼付け_2024実績,4,9,1,199),{"横浜*","川崎*"}))</f>
        <v>0</v>
      </c>
      <c r="Q47" s="789">
        <f ca="1">SUM(SUMIFS(OFFSET(貼付け_2025実績,$A47,9,1,199),OFFSET(貼付け_2025実績,4,9,1,199),{"横浜*","川崎*"}))</f>
        <v>0</v>
      </c>
      <c r="R47" s="789">
        <f ca="1">SUM(SUMIFS(OFFSET(貼付け_2026実績,$A47,9,1,199),OFFSET(貼付け_2026実績,4,9,1,199),{"横浜*","川崎*"}))</f>
        <v>0</v>
      </c>
      <c r="S47" s="789">
        <f ca="1">SUM(SUMIFS(OFFSET(貼付け_2027実績,$A47,9,1,199),OFFSET(貼付け_2027実績,4,9,1,199),{"横浜*","川崎*"}))</f>
        <v>0</v>
      </c>
      <c r="T47" s="789">
        <f t="shared" ca="1" si="50"/>
        <v>0</v>
      </c>
      <c r="U47" s="789">
        <f t="shared" ca="1" si="50"/>
        <v>0</v>
      </c>
      <c r="V47" s="789">
        <f t="shared" ca="1" si="50"/>
        <v>0</v>
      </c>
      <c r="W47" s="789">
        <f t="shared" ca="1" si="50"/>
        <v>0</v>
      </c>
      <c r="X47" s="789">
        <f t="shared" ca="1" si="56"/>
        <v>0</v>
      </c>
      <c r="Y47" s="789">
        <f t="shared" ca="1" si="57"/>
        <v>0</v>
      </c>
      <c r="Z47" s="789">
        <f t="shared" ca="1" si="58"/>
        <v>0</v>
      </c>
      <c r="AA47" s="789">
        <f t="shared" ca="1" si="59"/>
        <v>0</v>
      </c>
      <c r="AB47" s="789" t="str">
        <f t="shared" ca="1" si="60"/>
        <v/>
      </c>
      <c r="AC47" s="789" t="str">
        <f t="shared" ca="1" si="61"/>
        <v/>
      </c>
      <c r="AD47" s="789" t="str">
        <f t="shared" ca="1" si="62"/>
        <v/>
      </c>
      <c r="AE47" s="789" t="str">
        <f t="shared" ca="1" si="63"/>
        <v/>
      </c>
      <c r="AF47" s="789" t="str">
        <f t="shared" ca="1" si="64"/>
        <v/>
      </c>
      <c r="AG47" s="789" t="str">
        <f t="shared" ca="1" si="65"/>
        <v/>
      </c>
      <c r="AH47" s="789" t="str">
        <f t="shared" ca="1" si="66"/>
        <v/>
      </c>
      <c r="AI47" s="789" t="str">
        <f t="shared" ca="1" si="67"/>
        <v/>
      </c>
      <c r="AJ47" s="789" t="str">
        <f t="shared" ca="1" si="68"/>
        <v/>
      </c>
      <c r="AK47" s="789" t="str">
        <f t="shared" ca="1" si="69"/>
        <v/>
      </c>
      <c r="AL47" s="789" t="str">
        <f t="shared" ca="1" si="70"/>
        <v/>
      </c>
      <c r="AM47" s="789" t="str">
        <f t="shared" ca="1" si="71"/>
        <v/>
      </c>
      <c r="AN47" s="789" t="str">
        <f t="shared" ca="1" si="72"/>
        <v/>
      </c>
      <c r="AO47" s="789" t="str">
        <f t="shared" ca="1" si="73"/>
        <v/>
      </c>
      <c r="AP47" s="789" t="str">
        <f t="shared" ca="1" si="74"/>
        <v/>
      </c>
      <c r="AQ47" s="789" t="str">
        <f t="shared" ca="1" si="75"/>
        <v/>
      </c>
      <c r="AR47" s="789" t="str">
        <f t="shared" ca="1" si="76"/>
        <v/>
      </c>
      <c r="AS47" s="789" t="str">
        <f t="shared" ca="1" si="77"/>
        <v/>
      </c>
      <c r="AT47" s="789" t="str">
        <f t="shared" ca="1" si="78"/>
        <v/>
      </c>
      <c r="AU47" s="789" t="str">
        <f t="shared" ca="1" si="79"/>
        <v/>
      </c>
      <c r="AV47" s="789" t="str">
        <f t="shared" ca="1" si="80"/>
        <v/>
      </c>
      <c r="AW47" s="789" t="str">
        <f t="shared" ca="1" si="81"/>
        <v/>
      </c>
      <c r="AX47" s="789" t="str">
        <f t="shared" ca="1" si="82"/>
        <v/>
      </c>
      <c r="AY47" s="789" t="str">
        <f t="shared" ca="1" si="83"/>
        <v/>
      </c>
      <c r="AZ47" s="789" t="str">
        <f t="shared" ca="1" si="84"/>
        <v/>
      </c>
      <c r="BA47" s="789" t="str">
        <f t="shared" ca="1" si="85"/>
        <v/>
      </c>
      <c r="BB47" s="789" t="str">
        <f t="shared" ca="1" si="86"/>
        <v/>
      </c>
      <c r="BC47" s="789" t="str">
        <f t="shared" ca="1" si="87"/>
        <v/>
      </c>
      <c r="BD47" s="789" t="str">
        <f t="shared" ca="1" si="88"/>
        <v/>
      </c>
      <c r="BE47" s="789" t="str">
        <f t="shared" ca="1" si="89"/>
        <v/>
      </c>
      <c r="BF47" s="789" t="str">
        <f t="shared" ca="1" si="90"/>
        <v/>
      </c>
      <c r="BG47" s="789" t="str">
        <f t="shared" ca="1" si="91"/>
        <v/>
      </c>
      <c r="BH47" s="789" t="str">
        <f t="shared" ca="1" si="92"/>
        <v/>
      </c>
      <c r="BI47" s="789" t="str">
        <f t="shared" ca="1" si="93"/>
        <v/>
      </c>
      <c r="BJ47" s="789" t="str">
        <f t="shared" ca="1" si="94"/>
        <v/>
      </c>
      <c r="BK47" s="789" t="str">
        <f t="shared" ca="1" si="95"/>
        <v/>
      </c>
      <c r="BL47" s="789" t="str">
        <f t="shared" ca="1" si="96"/>
        <v/>
      </c>
      <c r="BM47" s="789" t="str">
        <f t="shared" ca="1" si="97"/>
        <v/>
      </c>
      <c r="BN47" s="789" t="str">
        <f t="shared" ca="1" si="98"/>
        <v/>
      </c>
      <c r="BO47" s="789" t="str">
        <f t="shared" ca="1" si="99"/>
        <v/>
      </c>
    </row>
    <row r="48" spans="1:67" ht="20.100000000000001" customHeight="1">
      <c r="A48" s="784">
        <v>47</v>
      </c>
      <c r="B48" s="1595"/>
      <c r="C48" s="1596"/>
      <c r="D48" s="793" t="s">
        <v>388</v>
      </c>
      <c r="E48" s="785"/>
      <c r="F48" s="786"/>
      <c r="G48" s="787" t="s">
        <v>455</v>
      </c>
      <c r="H48" s="788">
        <f t="shared" ca="1" si="52"/>
        <v>29.3</v>
      </c>
      <c r="I48" s="788">
        <f t="shared" ca="1" si="53"/>
        <v>29.3</v>
      </c>
      <c r="J48" s="788">
        <f t="shared" ca="1" si="54"/>
        <v>29.3</v>
      </c>
      <c r="K48" s="788">
        <f t="shared" ca="1" si="55"/>
        <v>29.3</v>
      </c>
      <c r="L48" s="789">
        <f t="shared" ca="1" si="49"/>
        <v>0</v>
      </c>
      <c r="M48" s="789">
        <f t="shared" ca="1" si="49"/>
        <v>0</v>
      </c>
      <c r="N48" s="789">
        <f t="shared" ca="1" si="49"/>
        <v>0</v>
      </c>
      <c r="O48" s="789">
        <f t="shared" ca="1" si="49"/>
        <v>0</v>
      </c>
      <c r="P48" s="789">
        <f ca="1">SUM(SUMIFS(OFFSET(貼付け_2024実績,$A48,9,1,199),OFFSET(貼付け_2024実績,4,9,1,199),{"横浜*","川崎*"}))</f>
        <v>0</v>
      </c>
      <c r="Q48" s="789">
        <f ca="1">SUM(SUMIFS(OFFSET(貼付け_2025実績,$A48,9,1,199),OFFSET(貼付け_2025実績,4,9,1,199),{"横浜*","川崎*"}))</f>
        <v>0</v>
      </c>
      <c r="R48" s="789">
        <f ca="1">SUM(SUMIFS(OFFSET(貼付け_2026実績,$A48,9,1,199),OFFSET(貼付け_2026実績,4,9,1,199),{"横浜*","川崎*"}))</f>
        <v>0</v>
      </c>
      <c r="S48" s="789">
        <f ca="1">SUM(SUMIFS(OFFSET(貼付け_2027実績,$A48,9,1,199),OFFSET(貼付け_2027実績,4,9,1,199),{"横浜*","川崎*"}))</f>
        <v>0</v>
      </c>
      <c r="T48" s="789">
        <f t="shared" ca="1" si="50"/>
        <v>0</v>
      </c>
      <c r="U48" s="789">
        <f t="shared" ca="1" si="50"/>
        <v>0</v>
      </c>
      <c r="V48" s="789">
        <f t="shared" ca="1" si="50"/>
        <v>0</v>
      </c>
      <c r="W48" s="789">
        <f t="shared" ca="1" si="50"/>
        <v>0</v>
      </c>
      <c r="X48" s="789">
        <f t="shared" ca="1" si="56"/>
        <v>0</v>
      </c>
      <c r="Y48" s="789">
        <f t="shared" ca="1" si="57"/>
        <v>0</v>
      </c>
      <c r="Z48" s="789">
        <f t="shared" ca="1" si="58"/>
        <v>0</v>
      </c>
      <c r="AA48" s="789">
        <f t="shared" ca="1" si="59"/>
        <v>0</v>
      </c>
      <c r="AB48" s="789" t="str">
        <f t="shared" ca="1" si="60"/>
        <v/>
      </c>
      <c r="AC48" s="789" t="str">
        <f t="shared" ca="1" si="61"/>
        <v/>
      </c>
      <c r="AD48" s="789" t="str">
        <f t="shared" ca="1" si="62"/>
        <v/>
      </c>
      <c r="AE48" s="789" t="str">
        <f t="shared" ca="1" si="63"/>
        <v/>
      </c>
      <c r="AF48" s="789" t="str">
        <f t="shared" ca="1" si="64"/>
        <v/>
      </c>
      <c r="AG48" s="789" t="str">
        <f t="shared" ca="1" si="65"/>
        <v/>
      </c>
      <c r="AH48" s="789" t="str">
        <f t="shared" ca="1" si="66"/>
        <v/>
      </c>
      <c r="AI48" s="789" t="str">
        <f t="shared" ca="1" si="67"/>
        <v/>
      </c>
      <c r="AJ48" s="789" t="str">
        <f t="shared" ca="1" si="68"/>
        <v/>
      </c>
      <c r="AK48" s="789" t="str">
        <f t="shared" ca="1" si="69"/>
        <v/>
      </c>
      <c r="AL48" s="789" t="str">
        <f t="shared" ca="1" si="70"/>
        <v/>
      </c>
      <c r="AM48" s="789" t="str">
        <f t="shared" ca="1" si="71"/>
        <v/>
      </c>
      <c r="AN48" s="789" t="str">
        <f t="shared" ca="1" si="72"/>
        <v/>
      </c>
      <c r="AO48" s="789" t="str">
        <f t="shared" ca="1" si="73"/>
        <v/>
      </c>
      <c r="AP48" s="789" t="str">
        <f t="shared" ca="1" si="74"/>
        <v/>
      </c>
      <c r="AQ48" s="789" t="str">
        <f t="shared" ca="1" si="75"/>
        <v/>
      </c>
      <c r="AR48" s="789" t="str">
        <f t="shared" ca="1" si="76"/>
        <v/>
      </c>
      <c r="AS48" s="789" t="str">
        <f t="shared" ca="1" si="77"/>
        <v/>
      </c>
      <c r="AT48" s="789" t="str">
        <f t="shared" ca="1" si="78"/>
        <v/>
      </c>
      <c r="AU48" s="789" t="str">
        <f t="shared" ca="1" si="79"/>
        <v/>
      </c>
      <c r="AV48" s="789" t="str">
        <f t="shared" ca="1" si="80"/>
        <v/>
      </c>
      <c r="AW48" s="789" t="str">
        <f t="shared" ca="1" si="81"/>
        <v/>
      </c>
      <c r="AX48" s="789" t="str">
        <f t="shared" ca="1" si="82"/>
        <v/>
      </c>
      <c r="AY48" s="789" t="str">
        <f t="shared" ca="1" si="83"/>
        <v/>
      </c>
      <c r="AZ48" s="789" t="str">
        <f t="shared" ca="1" si="84"/>
        <v/>
      </c>
      <c r="BA48" s="789" t="str">
        <f t="shared" ca="1" si="85"/>
        <v/>
      </c>
      <c r="BB48" s="789" t="str">
        <f t="shared" ca="1" si="86"/>
        <v/>
      </c>
      <c r="BC48" s="789" t="str">
        <f t="shared" ca="1" si="87"/>
        <v/>
      </c>
      <c r="BD48" s="789" t="str">
        <f t="shared" ca="1" si="88"/>
        <v/>
      </c>
      <c r="BE48" s="789" t="str">
        <f t="shared" ca="1" si="89"/>
        <v/>
      </c>
      <c r="BF48" s="789" t="str">
        <f t="shared" ca="1" si="90"/>
        <v/>
      </c>
      <c r="BG48" s="789" t="str">
        <f t="shared" ca="1" si="91"/>
        <v/>
      </c>
      <c r="BH48" s="789" t="str">
        <f t="shared" ca="1" si="92"/>
        <v/>
      </c>
      <c r="BI48" s="789" t="str">
        <f t="shared" ca="1" si="93"/>
        <v/>
      </c>
      <c r="BJ48" s="789" t="str">
        <f t="shared" ca="1" si="94"/>
        <v/>
      </c>
      <c r="BK48" s="789" t="str">
        <f t="shared" ca="1" si="95"/>
        <v/>
      </c>
      <c r="BL48" s="789" t="str">
        <f t="shared" ca="1" si="96"/>
        <v/>
      </c>
      <c r="BM48" s="789" t="str">
        <f t="shared" ca="1" si="97"/>
        <v/>
      </c>
      <c r="BN48" s="789" t="str">
        <f t="shared" ca="1" si="98"/>
        <v/>
      </c>
      <c r="BO48" s="789" t="str">
        <f t="shared" ca="1" si="99"/>
        <v/>
      </c>
    </row>
    <row r="49" spans="1:68" ht="20.100000000000001" customHeight="1">
      <c r="A49" s="784">
        <v>48</v>
      </c>
      <c r="B49" s="1595"/>
      <c r="C49" s="1596"/>
      <c r="D49" s="793" t="s">
        <v>389</v>
      </c>
      <c r="E49" s="785"/>
      <c r="F49" s="786"/>
      <c r="G49" s="787" t="s">
        <v>455</v>
      </c>
      <c r="H49" s="788">
        <f t="shared" ca="1" si="52"/>
        <v>29.3</v>
      </c>
      <c r="I49" s="788">
        <f t="shared" ca="1" si="53"/>
        <v>29.3</v>
      </c>
      <c r="J49" s="788">
        <f t="shared" ca="1" si="54"/>
        <v>29.3</v>
      </c>
      <c r="K49" s="788">
        <f t="shared" ca="1" si="55"/>
        <v>29.3</v>
      </c>
      <c r="L49" s="789">
        <f t="shared" ca="1" si="49"/>
        <v>0</v>
      </c>
      <c r="M49" s="789">
        <f t="shared" ca="1" si="49"/>
        <v>0</v>
      </c>
      <c r="N49" s="789">
        <f t="shared" ca="1" si="49"/>
        <v>0</v>
      </c>
      <c r="O49" s="789">
        <f t="shared" ca="1" si="49"/>
        <v>0</v>
      </c>
      <c r="P49" s="789">
        <f ca="1">SUM(SUMIFS(OFFSET(貼付け_2024実績,$A49,9,1,199),OFFSET(貼付け_2024実績,4,9,1,199),{"横浜*","川崎*"}))</f>
        <v>0</v>
      </c>
      <c r="Q49" s="789">
        <f ca="1">SUM(SUMIFS(OFFSET(貼付け_2025実績,$A49,9,1,199),OFFSET(貼付け_2025実績,4,9,1,199),{"横浜*","川崎*"}))</f>
        <v>0</v>
      </c>
      <c r="R49" s="789">
        <f ca="1">SUM(SUMIFS(OFFSET(貼付け_2026実績,$A49,9,1,199),OFFSET(貼付け_2026実績,4,9,1,199),{"横浜*","川崎*"}))</f>
        <v>0</v>
      </c>
      <c r="S49" s="789">
        <f ca="1">SUM(SUMIFS(OFFSET(貼付け_2027実績,$A49,9,1,199),OFFSET(貼付け_2027実績,4,9,1,199),{"横浜*","川崎*"}))</f>
        <v>0</v>
      </c>
      <c r="T49" s="789">
        <f t="shared" ca="1" si="50"/>
        <v>0</v>
      </c>
      <c r="U49" s="789">
        <f t="shared" ca="1" si="50"/>
        <v>0</v>
      </c>
      <c r="V49" s="789">
        <f t="shared" ca="1" si="50"/>
        <v>0</v>
      </c>
      <c r="W49" s="789">
        <f t="shared" ca="1" si="50"/>
        <v>0</v>
      </c>
      <c r="X49" s="789">
        <f t="shared" ca="1" si="56"/>
        <v>0</v>
      </c>
      <c r="Y49" s="789">
        <f t="shared" ca="1" si="57"/>
        <v>0</v>
      </c>
      <c r="Z49" s="789">
        <f t="shared" ca="1" si="58"/>
        <v>0</v>
      </c>
      <c r="AA49" s="789">
        <f t="shared" ca="1" si="59"/>
        <v>0</v>
      </c>
      <c r="AB49" s="789" t="str">
        <f t="shared" ca="1" si="60"/>
        <v/>
      </c>
      <c r="AC49" s="789" t="str">
        <f t="shared" ca="1" si="61"/>
        <v/>
      </c>
      <c r="AD49" s="789" t="str">
        <f t="shared" ca="1" si="62"/>
        <v/>
      </c>
      <c r="AE49" s="789" t="str">
        <f t="shared" ca="1" si="63"/>
        <v/>
      </c>
      <c r="AF49" s="789" t="str">
        <f t="shared" ca="1" si="64"/>
        <v/>
      </c>
      <c r="AG49" s="789" t="str">
        <f t="shared" ca="1" si="65"/>
        <v/>
      </c>
      <c r="AH49" s="789" t="str">
        <f t="shared" ca="1" si="66"/>
        <v/>
      </c>
      <c r="AI49" s="789" t="str">
        <f t="shared" ca="1" si="67"/>
        <v/>
      </c>
      <c r="AJ49" s="789" t="str">
        <f t="shared" ca="1" si="68"/>
        <v/>
      </c>
      <c r="AK49" s="789" t="str">
        <f t="shared" ca="1" si="69"/>
        <v/>
      </c>
      <c r="AL49" s="789" t="str">
        <f t="shared" ca="1" si="70"/>
        <v/>
      </c>
      <c r="AM49" s="789" t="str">
        <f t="shared" ca="1" si="71"/>
        <v/>
      </c>
      <c r="AN49" s="789" t="str">
        <f t="shared" ca="1" si="72"/>
        <v/>
      </c>
      <c r="AO49" s="789" t="str">
        <f t="shared" ca="1" si="73"/>
        <v/>
      </c>
      <c r="AP49" s="789" t="str">
        <f t="shared" ca="1" si="74"/>
        <v/>
      </c>
      <c r="AQ49" s="789" t="str">
        <f t="shared" ca="1" si="75"/>
        <v/>
      </c>
      <c r="AR49" s="789" t="str">
        <f t="shared" ca="1" si="76"/>
        <v/>
      </c>
      <c r="AS49" s="789" t="str">
        <f t="shared" ca="1" si="77"/>
        <v/>
      </c>
      <c r="AT49" s="789" t="str">
        <f t="shared" ca="1" si="78"/>
        <v/>
      </c>
      <c r="AU49" s="789" t="str">
        <f t="shared" ca="1" si="79"/>
        <v/>
      </c>
      <c r="AV49" s="789" t="str">
        <f t="shared" ca="1" si="80"/>
        <v/>
      </c>
      <c r="AW49" s="789" t="str">
        <f t="shared" ca="1" si="81"/>
        <v/>
      </c>
      <c r="AX49" s="789" t="str">
        <f t="shared" ca="1" si="82"/>
        <v/>
      </c>
      <c r="AY49" s="789" t="str">
        <f t="shared" ca="1" si="83"/>
        <v/>
      </c>
      <c r="AZ49" s="789" t="str">
        <f t="shared" ca="1" si="84"/>
        <v/>
      </c>
      <c r="BA49" s="789" t="str">
        <f t="shared" ca="1" si="85"/>
        <v/>
      </c>
      <c r="BB49" s="789" t="str">
        <f t="shared" ca="1" si="86"/>
        <v/>
      </c>
      <c r="BC49" s="789" t="str">
        <f t="shared" ca="1" si="87"/>
        <v/>
      </c>
      <c r="BD49" s="789" t="str">
        <f t="shared" ca="1" si="88"/>
        <v/>
      </c>
      <c r="BE49" s="789" t="str">
        <f t="shared" ca="1" si="89"/>
        <v/>
      </c>
      <c r="BF49" s="789" t="str">
        <f t="shared" ca="1" si="90"/>
        <v/>
      </c>
      <c r="BG49" s="789" t="str">
        <f t="shared" ca="1" si="91"/>
        <v/>
      </c>
      <c r="BH49" s="789" t="str">
        <f t="shared" ca="1" si="92"/>
        <v/>
      </c>
      <c r="BI49" s="789" t="str">
        <f t="shared" ca="1" si="93"/>
        <v/>
      </c>
      <c r="BJ49" s="789" t="str">
        <f t="shared" ca="1" si="94"/>
        <v/>
      </c>
      <c r="BK49" s="789" t="str">
        <f t="shared" ca="1" si="95"/>
        <v/>
      </c>
      <c r="BL49" s="789" t="str">
        <f t="shared" ca="1" si="96"/>
        <v/>
      </c>
      <c r="BM49" s="789" t="str">
        <f t="shared" ca="1" si="97"/>
        <v/>
      </c>
      <c r="BN49" s="789" t="str">
        <f t="shared" ca="1" si="98"/>
        <v/>
      </c>
      <c r="BO49" s="789" t="str">
        <f t="shared" ca="1" si="99"/>
        <v/>
      </c>
    </row>
    <row r="50" spans="1:68" ht="20.100000000000001" customHeight="1">
      <c r="A50" s="784">
        <v>49</v>
      </c>
      <c r="B50" s="1595"/>
      <c r="C50" s="1596"/>
      <c r="D50" s="793" t="s">
        <v>390</v>
      </c>
      <c r="E50" s="785"/>
      <c r="F50" s="786"/>
      <c r="G50" s="787" t="s">
        <v>453</v>
      </c>
      <c r="H50" s="788">
        <f t="shared" ca="1" si="52"/>
        <v>40.200000000000003</v>
      </c>
      <c r="I50" s="788">
        <f t="shared" ca="1" si="53"/>
        <v>40.200000000000003</v>
      </c>
      <c r="J50" s="788">
        <f t="shared" ca="1" si="54"/>
        <v>40.200000000000003</v>
      </c>
      <c r="K50" s="788">
        <f t="shared" ca="1" si="55"/>
        <v>40.200000000000003</v>
      </c>
      <c r="L50" s="789">
        <f t="shared" ca="1" si="49"/>
        <v>0</v>
      </c>
      <c r="M50" s="789">
        <f t="shared" ca="1" si="49"/>
        <v>0</v>
      </c>
      <c r="N50" s="789">
        <f t="shared" ca="1" si="49"/>
        <v>0</v>
      </c>
      <c r="O50" s="789">
        <f t="shared" ca="1" si="49"/>
        <v>0</v>
      </c>
      <c r="P50" s="789">
        <f ca="1">SUM(SUMIFS(OFFSET(貼付け_2024実績,$A50,9,1,199),OFFSET(貼付け_2024実績,4,9,1,199),{"横浜*","川崎*"}))</f>
        <v>0</v>
      </c>
      <c r="Q50" s="789">
        <f ca="1">SUM(SUMIFS(OFFSET(貼付け_2025実績,$A50,9,1,199),OFFSET(貼付け_2025実績,4,9,1,199),{"横浜*","川崎*"}))</f>
        <v>0</v>
      </c>
      <c r="R50" s="789">
        <f ca="1">SUM(SUMIFS(OFFSET(貼付け_2026実績,$A50,9,1,199),OFFSET(貼付け_2026実績,4,9,1,199),{"横浜*","川崎*"}))</f>
        <v>0</v>
      </c>
      <c r="S50" s="789">
        <f ca="1">SUM(SUMIFS(OFFSET(貼付け_2027実績,$A50,9,1,199),OFFSET(貼付け_2027実績,4,9,1,199),{"横浜*","川崎*"}))</f>
        <v>0</v>
      </c>
      <c r="T50" s="789">
        <f t="shared" ca="1" si="50"/>
        <v>0</v>
      </c>
      <c r="U50" s="789">
        <f t="shared" ca="1" si="50"/>
        <v>0</v>
      </c>
      <c r="V50" s="789">
        <f t="shared" ca="1" si="50"/>
        <v>0</v>
      </c>
      <c r="W50" s="789">
        <f t="shared" ca="1" si="50"/>
        <v>0</v>
      </c>
      <c r="X50" s="789">
        <f t="shared" ca="1" si="56"/>
        <v>0</v>
      </c>
      <c r="Y50" s="789">
        <f t="shared" ca="1" si="57"/>
        <v>0</v>
      </c>
      <c r="Z50" s="789">
        <f t="shared" ca="1" si="58"/>
        <v>0</v>
      </c>
      <c r="AA50" s="789">
        <f t="shared" ca="1" si="59"/>
        <v>0</v>
      </c>
      <c r="AB50" s="789" t="str">
        <f t="shared" ca="1" si="60"/>
        <v/>
      </c>
      <c r="AC50" s="789" t="str">
        <f t="shared" ca="1" si="61"/>
        <v/>
      </c>
      <c r="AD50" s="789" t="str">
        <f t="shared" ca="1" si="62"/>
        <v/>
      </c>
      <c r="AE50" s="789" t="str">
        <f t="shared" ca="1" si="63"/>
        <v/>
      </c>
      <c r="AF50" s="789" t="str">
        <f t="shared" ca="1" si="64"/>
        <v/>
      </c>
      <c r="AG50" s="789" t="str">
        <f t="shared" ca="1" si="65"/>
        <v/>
      </c>
      <c r="AH50" s="789" t="str">
        <f t="shared" ca="1" si="66"/>
        <v/>
      </c>
      <c r="AI50" s="789" t="str">
        <f t="shared" ca="1" si="67"/>
        <v/>
      </c>
      <c r="AJ50" s="789" t="str">
        <f t="shared" ca="1" si="68"/>
        <v/>
      </c>
      <c r="AK50" s="789" t="str">
        <f t="shared" ca="1" si="69"/>
        <v/>
      </c>
      <c r="AL50" s="789" t="str">
        <f t="shared" ca="1" si="70"/>
        <v/>
      </c>
      <c r="AM50" s="789" t="str">
        <f t="shared" ca="1" si="71"/>
        <v/>
      </c>
      <c r="AN50" s="789" t="str">
        <f t="shared" ca="1" si="72"/>
        <v/>
      </c>
      <c r="AO50" s="789" t="str">
        <f t="shared" ca="1" si="73"/>
        <v/>
      </c>
      <c r="AP50" s="789" t="str">
        <f t="shared" ca="1" si="74"/>
        <v/>
      </c>
      <c r="AQ50" s="789" t="str">
        <f t="shared" ca="1" si="75"/>
        <v/>
      </c>
      <c r="AR50" s="789" t="str">
        <f t="shared" ca="1" si="76"/>
        <v/>
      </c>
      <c r="AS50" s="789" t="str">
        <f t="shared" ca="1" si="77"/>
        <v/>
      </c>
      <c r="AT50" s="789" t="str">
        <f t="shared" ca="1" si="78"/>
        <v/>
      </c>
      <c r="AU50" s="789" t="str">
        <f t="shared" ca="1" si="79"/>
        <v/>
      </c>
      <c r="AV50" s="789" t="str">
        <f t="shared" ca="1" si="80"/>
        <v/>
      </c>
      <c r="AW50" s="789" t="str">
        <f t="shared" ca="1" si="81"/>
        <v/>
      </c>
      <c r="AX50" s="789" t="str">
        <f t="shared" ca="1" si="82"/>
        <v/>
      </c>
      <c r="AY50" s="789" t="str">
        <f t="shared" ca="1" si="83"/>
        <v/>
      </c>
      <c r="AZ50" s="789" t="str">
        <f t="shared" ca="1" si="84"/>
        <v/>
      </c>
      <c r="BA50" s="789" t="str">
        <f t="shared" ca="1" si="85"/>
        <v/>
      </c>
      <c r="BB50" s="789" t="str">
        <f t="shared" ca="1" si="86"/>
        <v/>
      </c>
      <c r="BC50" s="789" t="str">
        <f t="shared" ca="1" si="87"/>
        <v/>
      </c>
      <c r="BD50" s="789" t="str">
        <f t="shared" ca="1" si="88"/>
        <v/>
      </c>
      <c r="BE50" s="789" t="str">
        <f t="shared" ca="1" si="89"/>
        <v/>
      </c>
      <c r="BF50" s="789" t="str">
        <f t="shared" ca="1" si="90"/>
        <v/>
      </c>
      <c r="BG50" s="789" t="str">
        <f t="shared" ca="1" si="91"/>
        <v/>
      </c>
      <c r="BH50" s="789" t="str">
        <f t="shared" ca="1" si="92"/>
        <v/>
      </c>
      <c r="BI50" s="789" t="str">
        <f t="shared" ca="1" si="93"/>
        <v/>
      </c>
      <c r="BJ50" s="789" t="str">
        <f t="shared" ca="1" si="94"/>
        <v/>
      </c>
      <c r="BK50" s="789" t="str">
        <f t="shared" ca="1" si="95"/>
        <v/>
      </c>
      <c r="BL50" s="789" t="str">
        <f t="shared" ca="1" si="96"/>
        <v/>
      </c>
      <c r="BM50" s="789" t="str">
        <f t="shared" ca="1" si="97"/>
        <v/>
      </c>
      <c r="BN50" s="789" t="str">
        <f t="shared" ca="1" si="98"/>
        <v/>
      </c>
      <c r="BO50" s="789" t="str">
        <f t="shared" ca="1" si="99"/>
        <v/>
      </c>
    </row>
    <row r="51" spans="1:68" ht="20.100000000000001" customHeight="1">
      <c r="A51" s="784">
        <v>50</v>
      </c>
      <c r="B51" s="1594"/>
      <c r="C51" s="1596"/>
      <c r="D51" s="785" t="s">
        <v>391</v>
      </c>
      <c r="E51" s="785"/>
      <c r="F51" s="786"/>
      <c r="G51" s="787" t="s">
        <v>457</v>
      </c>
      <c r="H51" s="788">
        <f t="shared" ca="1" si="52"/>
        <v>21.2</v>
      </c>
      <c r="I51" s="788">
        <f t="shared" ca="1" si="53"/>
        <v>21.2</v>
      </c>
      <c r="J51" s="788">
        <f t="shared" ca="1" si="54"/>
        <v>21.2</v>
      </c>
      <c r="K51" s="788">
        <f t="shared" ca="1" si="55"/>
        <v>21.2</v>
      </c>
      <c r="L51" s="789">
        <f t="shared" ca="1" si="49"/>
        <v>0</v>
      </c>
      <c r="M51" s="789">
        <f t="shared" ca="1" si="49"/>
        <v>0</v>
      </c>
      <c r="N51" s="789">
        <f t="shared" ca="1" si="49"/>
        <v>0</v>
      </c>
      <c r="O51" s="789">
        <f t="shared" ca="1" si="49"/>
        <v>0</v>
      </c>
      <c r="P51" s="789">
        <f ca="1">SUM(SUMIFS(OFFSET(貼付け_2024実績,$A51,9,1,199),OFFSET(貼付け_2024実績,4,9,1,199),{"横浜*","川崎*"}))</f>
        <v>0</v>
      </c>
      <c r="Q51" s="789">
        <f ca="1">SUM(SUMIFS(OFFSET(貼付け_2025実績,$A51,9,1,199),OFFSET(貼付け_2025実績,4,9,1,199),{"横浜*","川崎*"}))</f>
        <v>0</v>
      </c>
      <c r="R51" s="789">
        <f ca="1">SUM(SUMIFS(OFFSET(貼付け_2026実績,$A51,9,1,199),OFFSET(貼付け_2026実績,4,9,1,199),{"横浜*","川崎*"}))</f>
        <v>0</v>
      </c>
      <c r="S51" s="789">
        <f ca="1">SUM(SUMIFS(OFFSET(貼付け_2027実績,$A51,9,1,199),OFFSET(貼付け_2027実績,4,9,1,199),{"横浜*","川崎*"}))</f>
        <v>0</v>
      </c>
      <c r="T51" s="789">
        <f t="shared" ca="1" si="50"/>
        <v>0</v>
      </c>
      <c r="U51" s="789">
        <f t="shared" ca="1" si="50"/>
        <v>0</v>
      </c>
      <c r="V51" s="789">
        <f t="shared" ca="1" si="50"/>
        <v>0</v>
      </c>
      <c r="W51" s="789">
        <f t="shared" ca="1" si="50"/>
        <v>0</v>
      </c>
      <c r="X51" s="789">
        <f t="shared" ca="1" si="56"/>
        <v>0</v>
      </c>
      <c r="Y51" s="789">
        <f t="shared" ca="1" si="57"/>
        <v>0</v>
      </c>
      <c r="Z51" s="789">
        <f t="shared" ca="1" si="58"/>
        <v>0</v>
      </c>
      <c r="AA51" s="789">
        <f t="shared" ca="1" si="59"/>
        <v>0</v>
      </c>
      <c r="AB51" s="789" t="str">
        <f t="shared" ca="1" si="60"/>
        <v/>
      </c>
      <c r="AC51" s="789" t="str">
        <f t="shared" ca="1" si="61"/>
        <v/>
      </c>
      <c r="AD51" s="789" t="str">
        <f t="shared" ca="1" si="62"/>
        <v/>
      </c>
      <c r="AE51" s="789" t="str">
        <f t="shared" ca="1" si="63"/>
        <v/>
      </c>
      <c r="AF51" s="789" t="str">
        <f t="shared" ca="1" si="64"/>
        <v/>
      </c>
      <c r="AG51" s="789" t="str">
        <f t="shared" ca="1" si="65"/>
        <v/>
      </c>
      <c r="AH51" s="789" t="str">
        <f t="shared" ca="1" si="66"/>
        <v/>
      </c>
      <c r="AI51" s="789" t="str">
        <f t="shared" ca="1" si="67"/>
        <v/>
      </c>
      <c r="AJ51" s="789" t="str">
        <f t="shared" ca="1" si="68"/>
        <v/>
      </c>
      <c r="AK51" s="789" t="str">
        <f t="shared" ca="1" si="69"/>
        <v/>
      </c>
      <c r="AL51" s="789" t="str">
        <f t="shared" ca="1" si="70"/>
        <v/>
      </c>
      <c r="AM51" s="789" t="str">
        <f t="shared" ca="1" si="71"/>
        <v/>
      </c>
      <c r="AN51" s="789" t="str">
        <f t="shared" ca="1" si="72"/>
        <v/>
      </c>
      <c r="AO51" s="789" t="str">
        <f t="shared" ca="1" si="73"/>
        <v/>
      </c>
      <c r="AP51" s="789" t="str">
        <f t="shared" ca="1" si="74"/>
        <v/>
      </c>
      <c r="AQ51" s="789" t="str">
        <f t="shared" ca="1" si="75"/>
        <v/>
      </c>
      <c r="AR51" s="789" t="str">
        <f t="shared" ca="1" si="76"/>
        <v/>
      </c>
      <c r="AS51" s="789" t="str">
        <f t="shared" ca="1" si="77"/>
        <v/>
      </c>
      <c r="AT51" s="789" t="str">
        <f t="shared" ca="1" si="78"/>
        <v/>
      </c>
      <c r="AU51" s="789" t="str">
        <f t="shared" ca="1" si="79"/>
        <v/>
      </c>
      <c r="AV51" s="789" t="str">
        <f t="shared" ca="1" si="80"/>
        <v/>
      </c>
      <c r="AW51" s="789" t="str">
        <f t="shared" ca="1" si="81"/>
        <v/>
      </c>
      <c r="AX51" s="789" t="str">
        <f t="shared" ca="1" si="82"/>
        <v/>
      </c>
      <c r="AY51" s="789" t="str">
        <f t="shared" ca="1" si="83"/>
        <v/>
      </c>
      <c r="AZ51" s="789" t="str">
        <f t="shared" ca="1" si="84"/>
        <v/>
      </c>
      <c r="BA51" s="789" t="str">
        <f t="shared" ca="1" si="85"/>
        <v/>
      </c>
      <c r="BB51" s="789" t="str">
        <f t="shared" ca="1" si="86"/>
        <v/>
      </c>
      <c r="BC51" s="789" t="str">
        <f t="shared" ca="1" si="87"/>
        <v/>
      </c>
      <c r="BD51" s="789" t="str">
        <f t="shared" ca="1" si="88"/>
        <v/>
      </c>
      <c r="BE51" s="789" t="str">
        <f t="shared" ca="1" si="89"/>
        <v/>
      </c>
      <c r="BF51" s="789" t="str">
        <f t="shared" ca="1" si="90"/>
        <v/>
      </c>
      <c r="BG51" s="789" t="str">
        <f t="shared" ca="1" si="91"/>
        <v/>
      </c>
      <c r="BH51" s="789" t="str">
        <f t="shared" ca="1" si="92"/>
        <v/>
      </c>
      <c r="BI51" s="789" t="str">
        <f t="shared" ca="1" si="93"/>
        <v/>
      </c>
      <c r="BJ51" s="789" t="str">
        <f t="shared" ca="1" si="94"/>
        <v/>
      </c>
      <c r="BK51" s="789" t="str">
        <f t="shared" ca="1" si="95"/>
        <v/>
      </c>
      <c r="BL51" s="789" t="str">
        <f t="shared" ca="1" si="96"/>
        <v/>
      </c>
      <c r="BM51" s="789" t="str">
        <f t="shared" ca="1" si="97"/>
        <v/>
      </c>
      <c r="BN51" s="789" t="str">
        <f t="shared" ca="1" si="98"/>
        <v/>
      </c>
      <c r="BO51" s="789" t="str">
        <f t="shared" ca="1" si="99"/>
        <v/>
      </c>
    </row>
    <row r="52" spans="1:68" ht="20.100000000000001" customHeight="1">
      <c r="A52" s="784">
        <v>51</v>
      </c>
      <c r="B52" s="1594"/>
      <c r="C52" s="1596"/>
      <c r="D52" s="785" t="s">
        <v>392</v>
      </c>
      <c r="E52" s="785"/>
      <c r="F52" s="786"/>
      <c r="G52" s="787" t="s">
        <v>455</v>
      </c>
      <c r="H52" s="788">
        <f t="shared" ca="1" si="52"/>
        <v>17.100000000000001</v>
      </c>
      <c r="I52" s="788">
        <f t="shared" ca="1" si="53"/>
        <v>17.100000000000001</v>
      </c>
      <c r="J52" s="788">
        <f t="shared" ca="1" si="54"/>
        <v>17.100000000000001</v>
      </c>
      <c r="K52" s="788">
        <f t="shared" ca="1" si="55"/>
        <v>17.100000000000001</v>
      </c>
      <c r="L52" s="789">
        <f t="shared" ca="1" si="49"/>
        <v>0</v>
      </c>
      <c r="M52" s="789">
        <f t="shared" ca="1" si="49"/>
        <v>0</v>
      </c>
      <c r="N52" s="789">
        <f t="shared" ca="1" si="49"/>
        <v>0</v>
      </c>
      <c r="O52" s="789">
        <f t="shared" ca="1" si="49"/>
        <v>0</v>
      </c>
      <c r="P52" s="789">
        <f ca="1">SUM(SUMIFS(OFFSET(貼付け_2024実績,$A52,9,1,199),OFFSET(貼付け_2024実績,4,9,1,199),{"横浜*","川崎*"}))</f>
        <v>0</v>
      </c>
      <c r="Q52" s="789">
        <f ca="1">SUM(SUMIFS(OFFSET(貼付け_2025実績,$A52,9,1,199),OFFSET(貼付け_2025実績,4,9,1,199),{"横浜*","川崎*"}))</f>
        <v>0</v>
      </c>
      <c r="R52" s="789">
        <f ca="1">SUM(SUMIFS(OFFSET(貼付け_2026実績,$A52,9,1,199),OFFSET(貼付け_2026実績,4,9,1,199),{"横浜*","川崎*"}))</f>
        <v>0</v>
      </c>
      <c r="S52" s="789">
        <f ca="1">SUM(SUMIFS(OFFSET(貼付け_2027実績,$A52,9,1,199),OFFSET(貼付け_2027実績,4,9,1,199),{"横浜*","川崎*"}))</f>
        <v>0</v>
      </c>
      <c r="T52" s="789">
        <f t="shared" ca="1" si="50"/>
        <v>0</v>
      </c>
      <c r="U52" s="789">
        <f t="shared" ca="1" si="50"/>
        <v>0</v>
      </c>
      <c r="V52" s="789">
        <f t="shared" ca="1" si="50"/>
        <v>0</v>
      </c>
      <c r="W52" s="789">
        <f t="shared" ca="1" si="50"/>
        <v>0</v>
      </c>
      <c r="X52" s="789">
        <f t="shared" ca="1" si="56"/>
        <v>0</v>
      </c>
      <c r="Y52" s="789">
        <f t="shared" ca="1" si="57"/>
        <v>0</v>
      </c>
      <c r="Z52" s="789">
        <f t="shared" ca="1" si="58"/>
        <v>0</v>
      </c>
      <c r="AA52" s="789">
        <f t="shared" ca="1" si="59"/>
        <v>0</v>
      </c>
      <c r="AB52" s="789" t="str">
        <f t="shared" ca="1" si="60"/>
        <v/>
      </c>
      <c r="AC52" s="789" t="str">
        <f t="shared" ca="1" si="61"/>
        <v/>
      </c>
      <c r="AD52" s="789" t="str">
        <f t="shared" ca="1" si="62"/>
        <v/>
      </c>
      <c r="AE52" s="789" t="str">
        <f t="shared" ca="1" si="63"/>
        <v/>
      </c>
      <c r="AF52" s="789" t="str">
        <f t="shared" ca="1" si="64"/>
        <v/>
      </c>
      <c r="AG52" s="789" t="str">
        <f t="shared" ca="1" si="65"/>
        <v/>
      </c>
      <c r="AH52" s="789" t="str">
        <f t="shared" ca="1" si="66"/>
        <v/>
      </c>
      <c r="AI52" s="789" t="str">
        <f t="shared" ca="1" si="67"/>
        <v/>
      </c>
      <c r="AJ52" s="789" t="str">
        <f t="shared" ca="1" si="68"/>
        <v/>
      </c>
      <c r="AK52" s="789" t="str">
        <f t="shared" ca="1" si="69"/>
        <v/>
      </c>
      <c r="AL52" s="789" t="str">
        <f t="shared" ca="1" si="70"/>
        <v/>
      </c>
      <c r="AM52" s="789" t="str">
        <f t="shared" ca="1" si="71"/>
        <v/>
      </c>
      <c r="AN52" s="789" t="str">
        <f t="shared" ca="1" si="72"/>
        <v/>
      </c>
      <c r="AO52" s="789" t="str">
        <f t="shared" ca="1" si="73"/>
        <v/>
      </c>
      <c r="AP52" s="789" t="str">
        <f t="shared" ca="1" si="74"/>
        <v/>
      </c>
      <c r="AQ52" s="789" t="str">
        <f t="shared" ca="1" si="75"/>
        <v/>
      </c>
      <c r="AR52" s="789" t="str">
        <f t="shared" ca="1" si="76"/>
        <v/>
      </c>
      <c r="AS52" s="789" t="str">
        <f t="shared" ca="1" si="77"/>
        <v/>
      </c>
      <c r="AT52" s="789" t="str">
        <f t="shared" ca="1" si="78"/>
        <v/>
      </c>
      <c r="AU52" s="789" t="str">
        <f t="shared" ca="1" si="79"/>
        <v/>
      </c>
      <c r="AV52" s="789" t="str">
        <f t="shared" ca="1" si="80"/>
        <v/>
      </c>
      <c r="AW52" s="789" t="str">
        <f t="shared" ca="1" si="81"/>
        <v/>
      </c>
      <c r="AX52" s="789" t="str">
        <f t="shared" ca="1" si="82"/>
        <v/>
      </c>
      <c r="AY52" s="789" t="str">
        <f t="shared" ca="1" si="83"/>
        <v/>
      </c>
      <c r="AZ52" s="789" t="str">
        <f t="shared" ca="1" si="84"/>
        <v/>
      </c>
      <c r="BA52" s="789" t="str">
        <f t="shared" ca="1" si="85"/>
        <v/>
      </c>
      <c r="BB52" s="789" t="str">
        <f t="shared" ca="1" si="86"/>
        <v/>
      </c>
      <c r="BC52" s="789" t="str">
        <f t="shared" ca="1" si="87"/>
        <v/>
      </c>
      <c r="BD52" s="789" t="str">
        <f t="shared" ca="1" si="88"/>
        <v/>
      </c>
      <c r="BE52" s="789" t="str">
        <f t="shared" ca="1" si="89"/>
        <v/>
      </c>
      <c r="BF52" s="789" t="str">
        <f t="shared" ca="1" si="90"/>
        <v/>
      </c>
      <c r="BG52" s="789" t="str">
        <f t="shared" ca="1" si="91"/>
        <v/>
      </c>
      <c r="BH52" s="789" t="str">
        <f t="shared" ca="1" si="92"/>
        <v/>
      </c>
      <c r="BI52" s="789" t="str">
        <f t="shared" ca="1" si="93"/>
        <v/>
      </c>
      <c r="BJ52" s="789" t="str">
        <f t="shared" ca="1" si="94"/>
        <v/>
      </c>
      <c r="BK52" s="789" t="str">
        <f t="shared" ca="1" si="95"/>
        <v/>
      </c>
      <c r="BL52" s="789" t="str">
        <f t="shared" ca="1" si="96"/>
        <v/>
      </c>
      <c r="BM52" s="789" t="str">
        <f t="shared" ca="1" si="97"/>
        <v/>
      </c>
      <c r="BN52" s="789" t="str">
        <f t="shared" ca="1" si="98"/>
        <v/>
      </c>
      <c r="BO52" s="789" t="str">
        <f t="shared" ca="1" si="99"/>
        <v/>
      </c>
    </row>
    <row r="53" spans="1:68" ht="20.100000000000001" customHeight="1">
      <c r="A53" s="784">
        <v>52</v>
      </c>
      <c r="B53" s="1594"/>
      <c r="C53" s="1596"/>
      <c r="D53" s="785" t="s">
        <v>393</v>
      </c>
      <c r="E53" s="785"/>
      <c r="F53" s="786"/>
      <c r="G53" s="787" t="s">
        <v>455</v>
      </c>
      <c r="H53" s="788">
        <f t="shared" ca="1" si="52"/>
        <v>142</v>
      </c>
      <c r="I53" s="788">
        <f t="shared" ca="1" si="53"/>
        <v>142</v>
      </c>
      <c r="J53" s="788">
        <f t="shared" ca="1" si="54"/>
        <v>142</v>
      </c>
      <c r="K53" s="788">
        <f t="shared" ca="1" si="55"/>
        <v>142</v>
      </c>
      <c r="L53" s="789">
        <f t="shared" ca="1" si="49"/>
        <v>0</v>
      </c>
      <c r="M53" s="789">
        <f t="shared" ca="1" si="49"/>
        <v>0</v>
      </c>
      <c r="N53" s="789">
        <f t="shared" ca="1" si="49"/>
        <v>0</v>
      </c>
      <c r="O53" s="789">
        <f t="shared" ca="1" si="49"/>
        <v>0</v>
      </c>
      <c r="P53" s="789">
        <f ca="1">SUM(SUMIFS(OFFSET(貼付け_2024実績,$A53,9,1,199),OFFSET(貼付け_2024実績,4,9,1,199),{"横浜*","川崎*"}))</f>
        <v>0</v>
      </c>
      <c r="Q53" s="789">
        <f ca="1">SUM(SUMIFS(OFFSET(貼付け_2025実績,$A53,9,1,199),OFFSET(貼付け_2025実績,4,9,1,199),{"横浜*","川崎*"}))</f>
        <v>0</v>
      </c>
      <c r="R53" s="789">
        <f ca="1">SUM(SUMIFS(OFFSET(貼付け_2026実績,$A53,9,1,199),OFFSET(貼付け_2026実績,4,9,1,199),{"横浜*","川崎*"}))</f>
        <v>0</v>
      </c>
      <c r="S53" s="789">
        <f ca="1">SUM(SUMIFS(OFFSET(貼付け_2027実績,$A53,9,1,199),OFFSET(貼付け_2027実績,4,9,1,199),{"横浜*","川崎*"}))</f>
        <v>0</v>
      </c>
      <c r="T53" s="789">
        <f t="shared" ca="1" si="50"/>
        <v>0</v>
      </c>
      <c r="U53" s="789">
        <f t="shared" ca="1" si="50"/>
        <v>0</v>
      </c>
      <c r="V53" s="789">
        <f t="shared" ca="1" si="50"/>
        <v>0</v>
      </c>
      <c r="W53" s="789">
        <f t="shared" ca="1" si="50"/>
        <v>0</v>
      </c>
      <c r="X53" s="789">
        <f t="shared" ca="1" si="56"/>
        <v>0</v>
      </c>
      <c r="Y53" s="789">
        <f t="shared" ca="1" si="57"/>
        <v>0</v>
      </c>
      <c r="Z53" s="789">
        <f t="shared" ca="1" si="58"/>
        <v>0</v>
      </c>
      <c r="AA53" s="789">
        <f t="shared" ca="1" si="59"/>
        <v>0</v>
      </c>
      <c r="AB53" s="789" t="str">
        <f t="shared" ca="1" si="60"/>
        <v/>
      </c>
      <c r="AC53" s="789" t="str">
        <f t="shared" ca="1" si="61"/>
        <v/>
      </c>
      <c r="AD53" s="789" t="str">
        <f t="shared" ca="1" si="62"/>
        <v/>
      </c>
      <c r="AE53" s="789" t="str">
        <f t="shared" ca="1" si="63"/>
        <v/>
      </c>
      <c r="AF53" s="789" t="str">
        <f t="shared" ca="1" si="64"/>
        <v/>
      </c>
      <c r="AG53" s="789" t="str">
        <f t="shared" ca="1" si="65"/>
        <v/>
      </c>
      <c r="AH53" s="789" t="str">
        <f t="shared" ca="1" si="66"/>
        <v/>
      </c>
      <c r="AI53" s="789" t="str">
        <f t="shared" ca="1" si="67"/>
        <v/>
      </c>
      <c r="AJ53" s="789" t="str">
        <f t="shared" ca="1" si="68"/>
        <v/>
      </c>
      <c r="AK53" s="789" t="str">
        <f t="shared" ca="1" si="69"/>
        <v/>
      </c>
      <c r="AL53" s="789" t="str">
        <f t="shared" ca="1" si="70"/>
        <v/>
      </c>
      <c r="AM53" s="789" t="str">
        <f t="shared" ca="1" si="71"/>
        <v/>
      </c>
      <c r="AN53" s="789" t="str">
        <f t="shared" ca="1" si="72"/>
        <v/>
      </c>
      <c r="AO53" s="789" t="str">
        <f t="shared" ca="1" si="73"/>
        <v/>
      </c>
      <c r="AP53" s="789" t="str">
        <f t="shared" ca="1" si="74"/>
        <v/>
      </c>
      <c r="AQ53" s="789" t="str">
        <f t="shared" ca="1" si="75"/>
        <v/>
      </c>
      <c r="AR53" s="789" t="str">
        <f t="shared" ca="1" si="76"/>
        <v/>
      </c>
      <c r="AS53" s="789" t="str">
        <f t="shared" ca="1" si="77"/>
        <v/>
      </c>
      <c r="AT53" s="789" t="str">
        <f t="shared" ca="1" si="78"/>
        <v/>
      </c>
      <c r="AU53" s="789" t="str">
        <f t="shared" ca="1" si="79"/>
        <v/>
      </c>
      <c r="AV53" s="789" t="str">
        <f t="shared" ca="1" si="80"/>
        <v/>
      </c>
      <c r="AW53" s="789" t="str">
        <f t="shared" ca="1" si="81"/>
        <v/>
      </c>
      <c r="AX53" s="789" t="str">
        <f t="shared" ca="1" si="82"/>
        <v/>
      </c>
      <c r="AY53" s="789" t="str">
        <f t="shared" ca="1" si="83"/>
        <v/>
      </c>
      <c r="AZ53" s="789" t="str">
        <f t="shared" ca="1" si="84"/>
        <v/>
      </c>
      <c r="BA53" s="789" t="str">
        <f t="shared" ca="1" si="85"/>
        <v/>
      </c>
      <c r="BB53" s="789" t="str">
        <f t="shared" ca="1" si="86"/>
        <v/>
      </c>
      <c r="BC53" s="789" t="str">
        <f t="shared" ca="1" si="87"/>
        <v/>
      </c>
      <c r="BD53" s="789" t="str">
        <f t="shared" ca="1" si="88"/>
        <v/>
      </c>
      <c r="BE53" s="789" t="str">
        <f t="shared" ca="1" si="89"/>
        <v/>
      </c>
      <c r="BF53" s="789" t="str">
        <f t="shared" ca="1" si="90"/>
        <v/>
      </c>
      <c r="BG53" s="789" t="str">
        <f t="shared" ca="1" si="91"/>
        <v/>
      </c>
      <c r="BH53" s="789" t="str">
        <f t="shared" ca="1" si="92"/>
        <v/>
      </c>
      <c r="BI53" s="789" t="str">
        <f t="shared" ca="1" si="93"/>
        <v/>
      </c>
      <c r="BJ53" s="789" t="str">
        <f t="shared" ca="1" si="94"/>
        <v/>
      </c>
      <c r="BK53" s="789" t="str">
        <f t="shared" ca="1" si="95"/>
        <v/>
      </c>
      <c r="BL53" s="789" t="str">
        <f t="shared" ca="1" si="96"/>
        <v/>
      </c>
      <c r="BM53" s="789" t="str">
        <f t="shared" ca="1" si="97"/>
        <v/>
      </c>
      <c r="BN53" s="789" t="str">
        <f t="shared" ca="1" si="98"/>
        <v/>
      </c>
      <c r="BO53" s="789" t="str">
        <f t="shared" ca="1" si="99"/>
        <v/>
      </c>
    </row>
    <row r="54" spans="1:68" ht="20.100000000000001" customHeight="1">
      <c r="A54" s="784">
        <v>53</v>
      </c>
      <c r="B54" s="1594"/>
      <c r="C54" s="1596"/>
      <c r="D54" s="785" t="s">
        <v>394</v>
      </c>
      <c r="E54" s="785"/>
      <c r="F54" s="786"/>
      <c r="G54" s="787" t="s">
        <v>455</v>
      </c>
      <c r="H54" s="788">
        <f t="shared" ca="1" si="52"/>
        <v>22.5</v>
      </c>
      <c r="I54" s="788">
        <f t="shared" ca="1" si="53"/>
        <v>22.5</v>
      </c>
      <c r="J54" s="788">
        <f t="shared" ca="1" si="54"/>
        <v>22.5</v>
      </c>
      <c r="K54" s="788">
        <f t="shared" ca="1" si="55"/>
        <v>22.5</v>
      </c>
      <c r="L54" s="789">
        <f t="shared" ca="1" si="49"/>
        <v>0</v>
      </c>
      <c r="M54" s="789">
        <f t="shared" ca="1" si="49"/>
        <v>0</v>
      </c>
      <c r="N54" s="789">
        <f t="shared" ca="1" si="49"/>
        <v>0</v>
      </c>
      <c r="O54" s="789">
        <f t="shared" ca="1" si="49"/>
        <v>0</v>
      </c>
      <c r="P54" s="789">
        <f ca="1">SUM(SUMIFS(OFFSET(貼付け_2024実績,$A54,9,1,199),OFFSET(貼付け_2024実績,4,9,1,199),{"横浜*","川崎*"}))</f>
        <v>0</v>
      </c>
      <c r="Q54" s="789">
        <f ca="1">SUM(SUMIFS(OFFSET(貼付け_2025実績,$A54,9,1,199),OFFSET(貼付け_2025実績,4,9,1,199),{"横浜*","川崎*"}))</f>
        <v>0</v>
      </c>
      <c r="R54" s="789">
        <f ca="1">SUM(SUMIFS(OFFSET(貼付け_2026実績,$A54,9,1,199),OFFSET(貼付け_2026実績,4,9,1,199),{"横浜*","川崎*"}))</f>
        <v>0</v>
      </c>
      <c r="S54" s="789">
        <f ca="1">SUM(SUMIFS(OFFSET(貼付け_2027実績,$A54,9,1,199),OFFSET(貼付け_2027実績,4,9,1,199),{"横浜*","川崎*"}))</f>
        <v>0</v>
      </c>
      <c r="T54" s="789">
        <f t="shared" ca="1" si="50"/>
        <v>0</v>
      </c>
      <c r="U54" s="789">
        <f t="shared" ca="1" si="50"/>
        <v>0</v>
      </c>
      <c r="V54" s="789">
        <f t="shared" ca="1" si="50"/>
        <v>0</v>
      </c>
      <c r="W54" s="789">
        <f t="shared" ca="1" si="50"/>
        <v>0</v>
      </c>
      <c r="X54" s="789">
        <f t="shared" ca="1" si="56"/>
        <v>0</v>
      </c>
      <c r="Y54" s="789">
        <f t="shared" ca="1" si="57"/>
        <v>0</v>
      </c>
      <c r="Z54" s="789">
        <f t="shared" ca="1" si="58"/>
        <v>0</v>
      </c>
      <c r="AA54" s="789">
        <f t="shared" ca="1" si="59"/>
        <v>0</v>
      </c>
      <c r="AB54" s="789" t="str">
        <f t="shared" ca="1" si="60"/>
        <v/>
      </c>
      <c r="AC54" s="789" t="str">
        <f t="shared" ca="1" si="61"/>
        <v/>
      </c>
      <c r="AD54" s="789" t="str">
        <f t="shared" ca="1" si="62"/>
        <v/>
      </c>
      <c r="AE54" s="789" t="str">
        <f t="shared" ca="1" si="63"/>
        <v/>
      </c>
      <c r="AF54" s="789" t="str">
        <f t="shared" ca="1" si="64"/>
        <v/>
      </c>
      <c r="AG54" s="789" t="str">
        <f t="shared" ca="1" si="65"/>
        <v/>
      </c>
      <c r="AH54" s="789" t="str">
        <f t="shared" ca="1" si="66"/>
        <v/>
      </c>
      <c r="AI54" s="789" t="str">
        <f t="shared" ca="1" si="67"/>
        <v/>
      </c>
      <c r="AJ54" s="789" t="str">
        <f t="shared" ca="1" si="68"/>
        <v/>
      </c>
      <c r="AK54" s="789" t="str">
        <f t="shared" ca="1" si="69"/>
        <v/>
      </c>
      <c r="AL54" s="789" t="str">
        <f t="shared" ca="1" si="70"/>
        <v/>
      </c>
      <c r="AM54" s="789" t="str">
        <f t="shared" ca="1" si="71"/>
        <v/>
      </c>
      <c r="AN54" s="789" t="str">
        <f t="shared" ca="1" si="72"/>
        <v/>
      </c>
      <c r="AO54" s="789" t="str">
        <f t="shared" ca="1" si="73"/>
        <v/>
      </c>
      <c r="AP54" s="789" t="str">
        <f t="shared" ca="1" si="74"/>
        <v/>
      </c>
      <c r="AQ54" s="789" t="str">
        <f t="shared" ca="1" si="75"/>
        <v/>
      </c>
      <c r="AR54" s="789" t="str">
        <f t="shared" ca="1" si="76"/>
        <v/>
      </c>
      <c r="AS54" s="789" t="str">
        <f t="shared" ca="1" si="77"/>
        <v/>
      </c>
      <c r="AT54" s="789" t="str">
        <f t="shared" ca="1" si="78"/>
        <v/>
      </c>
      <c r="AU54" s="789" t="str">
        <f t="shared" ca="1" si="79"/>
        <v/>
      </c>
      <c r="AV54" s="789" t="str">
        <f t="shared" ca="1" si="80"/>
        <v/>
      </c>
      <c r="AW54" s="789" t="str">
        <f t="shared" ca="1" si="81"/>
        <v/>
      </c>
      <c r="AX54" s="789" t="str">
        <f t="shared" ca="1" si="82"/>
        <v/>
      </c>
      <c r="AY54" s="789" t="str">
        <f t="shared" ca="1" si="83"/>
        <v/>
      </c>
      <c r="AZ54" s="789" t="str">
        <f t="shared" ca="1" si="84"/>
        <v/>
      </c>
      <c r="BA54" s="789" t="str">
        <f t="shared" ca="1" si="85"/>
        <v/>
      </c>
      <c r="BB54" s="789" t="str">
        <f t="shared" ca="1" si="86"/>
        <v/>
      </c>
      <c r="BC54" s="789" t="str">
        <f t="shared" ca="1" si="87"/>
        <v/>
      </c>
      <c r="BD54" s="789" t="str">
        <f t="shared" ca="1" si="88"/>
        <v/>
      </c>
      <c r="BE54" s="789" t="str">
        <f t="shared" ca="1" si="89"/>
        <v/>
      </c>
      <c r="BF54" s="789" t="str">
        <f t="shared" ca="1" si="90"/>
        <v/>
      </c>
      <c r="BG54" s="789" t="str">
        <f t="shared" ca="1" si="91"/>
        <v/>
      </c>
      <c r="BH54" s="789" t="str">
        <f t="shared" ca="1" si="92"/>
        <v/>
      </c>
      <c r="BI54" s="789" t="str">
        <f t="shared" ca="1" si="93"/>
        <v/>
      </c>
      <c r="BJ54" s="789" t="str">
        <f t="shared" ca="1" si="94"/>
        <v/>
      </c>
      <c r="BK54" s="789" t="str">
        <f t="shared" ca="1" si="95"/>
        <v/>
      </c>
      <c r="BL54" s="789" t="str">
        <f t="shared" ca="1" si="96"/>
        <v/>
      </c>
      <c r="BM54" s="789" t="str">
        <f t="shared" ca="1" si="97"/>
        <v/>
      </c>
      <c r="BN54" s="789" t="str">
        <f t="shared" ca="1" si="98"/>
        <v/>
      </c>
      <c r="BO54" s="789" t="str">
        <f t="shared" ca="1" si="99"/>
        <v/>
      </c>
    </row>
    <row r="55" spans="1:68" ht="20.100000000000001" customHeight="1">
      <c r="A55" s="784">
        <v>54</v>
      </c>
      <c r="B55" s="1594"/>
      <c r="C55" s="1596"/>
      <c r="D55" s="785" t="s">
        <v>783</v>
      </c>
      <c r="E55" s="792" t="str">
        <f ca="1">OFFSET(A1_その他欄集計,5,7)</f>
        <v/>
      </c>
      <c r="F55" s="794"/>
      <c r="G55" s="787" t="str">
        <f ca="1">OFFSET(A1_その他欄集計,6,7)</f>
        <v/>
      </c>
      <c r="H55" s="788">
        <f t="shared" ca="1" si="52"/>
        <v>0</v>
      </c>
      <c r="I55" s="788">
        <f t="shared" ca="1" si="53"/>
        <v>0</v>
      </c>
      <c r="J55" s="788">
        <f t="shared" ca="1" si="54"/>
        <v>0</v>
      </c>
      <c r="K55" s="788">
        <f t="shared" ca="1" si="55"/>
        <v>0</v>
      </c>
      <c r="L55" s="789">
        <f t="shared" ca="1" si="49"/>
        <v>0</v>
      </c>
      <c r="M55" s="789">
        <f t="shared" ca="1" si="49"/>
        <v>0</v>
      </c>
      <c r="N55" s="789">
        <f t="shared" ca="1" si="49"/>
        <v>0</v>
      </c>
      <c r="O55" s="789">
        <f t="shared" ca="1" si="49"/>
        <v>0</v>
      </c>
      <c r="P55" s="789">
        <f ca="1">SUM(SUMIFS(OFFSET(貼付け_2024実績,$A55,9,1,199),OFFSET(貼付け_2024実績,4,9,1,199),{"横浜*","川崎*"}))</f>
        <v>0</v>
      </c>
      <c r="Q55" s="789">
        <f ca="1">SUM(SUMIFS(OFFSET(貼付け_2025実績,$A55,9,1,199),OFFSET(貼付け_2025実績,4,9,1,199),{"横浜*","川崎*"}))</f>
        <v>0</v>
      </c>
      <c r="R55" s="789">
        <f ca="1">SUM(SUMIFS(OFFSET(貼付け_2026実績,$A55,9,1,199),OFFSET(貼付け_2026実績,4,9,1,199),{"横浜*","川崎*"}))</f>
        <v>0</v>
      </c>
      <c r="S55" s="789">
        <f ca="1">SUM(SUMIFS(OFFSET(貼付け_2027実績,$A55,9,1,199),OFFSET(貼付け_2027実績,4,9,1,199),{"横浜*","川崎*"}))</f>
        <v>0</v>
      </c>
      <c r="T55" s="789">
        <f t="shared" ca="1" si="50"/>
        <v>0</v>
      </c>
      <c r="U55" s="789">
        <f t="shared" ca="1" si="50"/>
        <v>0</v>
      </c>
      <c r="V55" s="789">
        <f t="shared" ca="1" si="50"/>
        <v>0</v>
      </c>
      <c r="W55" s="789">
        <f t="shared" ca="1" si="50"/>
        <v>0</v>
      </c>
      <c r="X55" s="789">
        <f t="shared" ca="1" si="56"/>
        <v>0</v>
      </c>
      <c r="Y55" s="789">
        <f t="shared" ca="1" si="57"/>
        <v>0</v>
      </c>
      <c r="Z55" s="789">
        <f t="shared" ca="1" si="58"/>
        <v>0</v>
      </c>
      <c r="AA55" s="789">
        <f t="shared" ca="1" si="59"/>
        <v>0</v>
      </c>
      <c r="AB55" s="789" t="str">
        <f t="shared" ca="1" si="60"/>
        <v/>
      </c>
      <c r="AC55" s="789" t="str">
        <f t="shared" ca="1" si="61"/>
        <v/>
      </c>
      <c r="AD55" s="789" t="str">
        <f t="shared" ca="1" si="62"/>
        <v/>
      </c>
      <c r="AE55" s="789" t="str">
        <f t="shared" ca="1" si="63"/>
        <v/>
      </c>
      <c r="AF55" s="789" t="str">
        <f t="shared" ca="1" si="64"/>
        <v/>
      </c>
      <c r="AG55" s="789" t="str">
        <f t="shared" ca="1" si="65"/>
        <v/>
      </c>
      <c r="AH55" s="789" t="str">
        <f t="shared" ca="1" si="66"/>
        <v/>
      </c>
      <c r="AI55" s="789" t="str">
        <f t="shared" ca="1" si="67"/>
        <v/>
      </c>
      <c r="AJ55" s="789" t="str">
        <f t="shared" ca="1" si="68"/>
        <v/>
      </c>
      <c r="AK55" s="789" t="str">
        <f t="shared" ca="1" si="69"/>
        <v/>
      </c>
      <c r="AL55" s="789" t="str">
        <f t="shared" ca="1" si="70"/>
        <v/>
      </c>
      <c r="AM55" s="789" t="str">
        <f t="shared" ca="1" si="71"/>
        <v/>
      </c>
      <c r="AN55" s="789" t="str">
        <f t="shared" ca="1" si="72"/>
        <v/>
      </c>
      <c r="AO55" s="789" t="str">
        <f t="shared" ca="1" si="73"/>
        <v/>
      </c>
      <c r="AP55" s="789" t="str">
        <f t="shared" ca="1" si="74"/>
        <v/>
      </c>
      <c r="AQ55" s="789" t="str">
        <f t="shared" ca="1" si="75"/>
        <v/>
      </c>
      <c r="AR55" s="789" t="str">
        <f t="shared" ca="1" si="76"/>
        <v/>
      </c>
      <c r="AS55" s="789" t="str">
        <f t="shared" ca="1" si="77"/>
        <v/>
      </c>
      <c r="AT55" s="789" t="str">
        <f t="shared" ca="1" si="78"/>
        <v/>
      </c>
      <c r="AU55" s="789" t="str">
        <f t="shared" ca="1" si="79"/>
        <v/>
      </c>
      <c r="AV55" s="789" t="str">
        <f t="shared" ca="1" si="80"/>
        <v/>
      </c>
      <c r="AW55" s="789" t="str">
        <f t="shared" ca="1" si="81"/>
        <v/>
      </c>
      <c r="AX55" s="789" t="str">
        <f t="shared" ca="1" si="82"/>
        <v/>
      </c>
      <c r="AY55" s="789" t="str">
        <f t="shared" ca="1" si="83"/>
        <v/>
      </c>
      <c r="AZ55" s="789" t="str">
        <f t="shared" ca="1" si="84"/>
        <v/>
      </c>
      <c r="BA55" s="789" t="str">
        <f t="shared" ca="1" si="85"/>
        <v/>
      </c>
      <c r="BB55" s="789" t="str">
        <f t="shared" ca="1" si="86"/>
        <v/>
      </c>
      <c r="BC55" s="789" t="str">
        <f t="shared" ca="1" si="87"/>
        <v/>
      </c>
      <c r="BD55" s="789" t="str">
        <f t="shared" ca="1" si="88"/>
        <v/>
      </c>
      <c r="BE55" s="789" t="str">
        <f t="shared" ca="1" si="89"/>
        <v/>
      </c>
      <c r="BF55" s="789" t="str">
        <f t="shared" ca="1" si="90"/>
        <v/>
      </c>
      <c r="BG55" s="789" t="str">
        <f t="shared" ca="1" si="91"/>
        <v/>
      </c>
      <c r="BH55" s="789" t="str">
        <f t="shared" ca="1" si="92"/>
        <v/>
      </c>
      <c r="BI55" s="789" t="str">
        <f t="shared" ca="1" si="93"/>
        <v/>
      </c>
      <c r="BJ55" s="789" t="str">
        <f t="shared" ca="1" si="94"/>
        <v/>
      </c>
      <c r="BK55" s="789" t="str">
        <f t="shared" ca="1" si="95"/>
        <v/>
      </c>
      <c r="BL55" s="789" t="str">
        <f t="shared" ca="1" si="96"/>
        <v/>
      </c>
      <c r="BM55" s="789" t="str">
        <f t="shared" ca="1" si="97"/>
        <v/>
      </c>
      <c r="BN55" s="789" t="str">
        <f t="shared" ca="1" si="98"/>
        <v/>
      </c>
      <c r="BO55" s="789" t="str">
        <f t="shared" ca="1" si="99"/>
        <v/>
      </c>
    </row>
    <row r="56" spans="1:68" ht="20.100000000000001" customHeight="1" thickBot="1">
      <c r="A56" s="784">
        <v>55</v>
      </c>
      <c r="B56" s="1594"/>
      <c r="C56" s="1597"/>
      <c r="D56" s="796" t="s">
        <v>784</v>
      </c>
      <c r="E56" s="797" t="str">
        <f ca="1">OFFSET(A1_その他欄集計,7,7)</f>
        <v/>
      </c>
      <c r="F56" s="798"/>
      <c r="G56" s="799" t="str">
        <f ca="1">OFFSET(A1_その他欄集計,8,7)</f>
        <v/>
      </c>
      <c r="H56" s="800">
        <f t="shared" ca="1" si="52"/>
        <v>0</v>
      </c>
      <c r="I56" s="800">
        <f t="shared" ca="1" si="53"/>
        <v>0</v>
      </c>
      <c r="J56" s="800">
        <f t="shared" ca="1" si="54"/>
        <v>0</v>
      </c>
      <c r="K56" s="800">
        <f t="shared" ca="1" si="55"/>
        <v>0</v>
      </c>
      <c r="L56" s="801">
        <f t="shared" ca="1" si="49"/>
        <v>0</v>
      </c>
      <c r="M56" s="801">
        <f t="shared" ca="1" si="49"/>
        <v>0</v>
      </c>
      <c r="N56" s="801">
        <f t="shared" ca="1" si="49"/>
        <v>0</v>
      </c>
      <c r="O56" s="801">
        <f t="shared" ca="1" si="49"/>
        <v>0</v>
      </c>
      <c r="P56" s="801">
        <f ca="1">SUM(SUMIFS(OFFSET(貼付け_2024実績,$A56,9,1,199),OFFSET(貼付け_2024実績,4,9,1,199),{"横浜*","川崎*"}))</f>
        <v>0</v>
      </c>
      <c r="Q56" s="801">
        <f ca="1">SUM(SUMIFS(OFFSET(貼付け_2025実績,$A56,9,1,199),OFFSET(貼付け_2025実績,4,9,1,199),{"横浜*","川崎*"}))</f>
        <v>0</v>
      </c>
      <c r="R56" s="801">
        <f ca="1">SUM(SUMIFS(OFFSET(貼付け_2026実績,$A56,9,1,199),OFFSET(貼付け_2026実績,4,9,1,199),{"横浜*","川崎*"}))</f>
        <v>0</v>
      </c>
      <c r="S56" s="801">
        <f ca="1">SUM(SUMIFS(OFFSET(貼付け_2027実績,$A56,9,1,199),OFFSET(貼付け_2027実績,4,9,1,199),{"横浜*","川崎*"}))</f>
        <v>0</v>
      </c>
      <c r="T56" s="801">
        <f t="shared" ca="1" si="50"/>
        <v>0</v>
      </c>
      <c r="U56" s="801">
        <f t="shared" ca="1" si="50"/>
        <v>0</v>
      </c>
      <c r="V56" s="801">
        <f t="shared" ca="1" si="50"/>
        <v>0</v>
      </c>
      <c r="W56" s="801">
        <f t="shared" ca="1" si="50"/>
        <v>0</v>
      </c>
      <c r="X56" s="801">
        <f t="shared" ca="1" si="56"/>
        <v>0</v>
      </c>
      <c r="Y56" s="801">
        <f t="shared" ca="1" si="57"/>
        <v>0</v>
      </c>
      <c r="Z56" s="801">
        <f t="shared" ca="1" si="58"/>
        <v>0</v>
      </c>
      <c r="AA56" s="801">
        <f t="shared" ca="1" si="59"/>
        <v>0</v>
      </c>
      <c r="AB56" s="801" t="str">
        <f t="shared" ca="1" si="60"/>
        <v/>
      </c>
      <c r="AC56" s="801" t="str">
        <f t="shared" ca="1" si="61"/>
        <v/>
      </c>
      <c r="AD56" s="801" t="str">
        <f t="shared" ca="1" si="62"/>
        <v/>
      </c>
      <c r="AE56" s="801" t="str">
        <f t="shared" ca="1" si="63"/>
        <v/>
      </c>
      <c r="AF56" s="801" t="str">
        <f t="shared" ca="1" si="64"/>
        <v/>
      </c>
      <c r="AG56" s="801" t="str">
        <f t="shared" ca="1" si="65"/>
        <v/>
      </c>
      <c r="AH56" s="801" t="str">
        <f t="shared" ca="1" si="66"/>
        <v/>
      </c>
      <c r="AI56" s="801" t="str">
        <f t="shared" ca="1" si="67"/>
        <v/>
      </c>
      <c r="AJ56" s="801" t="str">
        <f t="shared" ca="1" si="68"/>
        <v/>
      </c>
      <c r="AK56" s="801" t="str">
        <f t="shared" ca="1" si="69"/>
        <v/>
      </c>
      <c r="AL56" s="801" t="str">
        <f t="shared" ca="1" si="70"/>
        <v/>
      </c>
      <c r="AM56" s="801" t="str">
        <f t="shared" ca="1" si="71"/>
        <v/>
      </c>
      <c r="AN56" s="801" t="str">
        <f t="shared" ca="1" si="72"/>
        <v/>
      </c>
      <c r="AO56" s="801" t="str">
        <f t="shared" ca="1" si="73"/>
        <v/>
      </c>
      <c r="AP56" s="801" t="str">
        <f t="shared" ca="1" si="74"/>
        <v/>
      </c>
      <c r="AQ56" s="801" t="str">
        <f t="shared" ca="1" si="75"/>
        <v/>
      </c>
      <c r="AR56" s="801" t="str">
        <f t="shared" ca="1" si="76"/>
        <v/>
      </c>
      <c r="AS56" s="801" t="str">
        <f t="shared" ca="1" si="77"/>
        <v/>
      </c>
      <c r="AT56" s="801" t="str">
        <f t="shared" ca="1" si="78"/>
        <v/>
      </c>
      <c r="AU56" s="801" t="str">
        <f t="shared" ca="1" si="79"/>
        <v/>
      </c>
      <c r="AV56" s="801" t="str">
        <f t="shared" ca="1" si="80"/>
        <v/>
      </c>
      <c r="AW56" s="801" t="str">
        <f t="shared" ca="1" si="81"/>
        <v/>
      </c>
      <c r="AX56" s="801" t="str">
        <f t="shared" ca="1" si="82"/>
        <v/>
      </c>
      <c r="AY56" s="801" t="str">
        <f t="shared" ca="1" si="83"/>
        <v/>
      </c>
      <c r="AZ56" s="801" t="str">
        <f t="shared" ca="1" si="84"/>
        <v/>
      </c>
      <c r="BA56" s="801" t="str">
        <f t="shared" ca="1" si="85"/>
        <v/>
      </c>
      <c r="BB56" s="801" t="str">
        <f t="shared" ca="1" si="86"/>
        <v/>
      </c>
      <c r="BC56" s="801" t="str">
        <f t="shared" ca="1" si="87"/>
        <v/>
      </c>
      <c r="BD56" s="801" t="str">
        <f t="shared" ca="1" si="88"/>
        <v/>
      </c>
      <c r="BE56" s="801" t="str">
        <f t="shared" ca="1" si="89"/>
        <v/>
      </c>
      <c r="BF56" s="801" t="str">
        <f t="shared" ca="1" si="90"/>
        <v/>
      </c>
      <c r="BG56" s="801" t="str">
        <f t="shared" ca="1" si="91"/>
        <v/>
      </c>
      <c r="BH56" s="801" t="str">
        <f t="shared" ca="1" si="92"/>
        <v/>
      </c>
      <c r="BI56" s="801" t="str">
        <f t="shared" ca="1" si="93"/>
        <v/>
      </c>
      <c r="BJ56" s="801" t="str">
        <f t="shared" ca="1" si="94"/>
        <v/>
      </c>
      <c r="BK56" s="801" t="str">
        <f t="shared" ca="1" si="95"/>
        <v/>
      </c>
      <c r="BL56" s="801" t="str">
        <f t="shared" ca="1" si="96"/>
        <v/>
      </c>
      <c r="BM56" s="801" t="str">
        <f t="shared" ca="1" si="97"/>
        <v/>
      </c>
      <c r="BN56" s="801" t="str">
        <f t="shared" ca="1" si="98"/>
        <v/>
      </c>
      <c r="BO56" s="801" t="str">
        <f t="shared" ca="1" si="99"/>
        <v/>
      </c>
      <c r="BP56" s="802"/>
    </row>
    <row r="57" spans="1:68" ht="20.100000000000001" customHeight="1">
      <c r="A57" s="784">
        <v>56</v>
      </c>
      <c r="B57" s="1612" t="s">
        <v>421</v>
      </c>
      <c r="C57" s="1615" t="s">
        <v>396</v>
      </c>
      <c r="D57" s="803" t="s">
        <v>397</v>
      </c>
      <c r="E57" s="804"/>
      <c r="F57" s="805"/>
      <c r="G57" s="806" t="s">
        <v>461</v>
      </c>
      <c r="H57" s="807">
        <f t="shared" ca="1" si="52"/>
        <v>1.17</v>
      </c>
      <c r="I57" s="807">
        <f t="shared" ca="1" si="53"/>
        <v>1.17</v>
      </c>
      <c r="J57" s="807">
        <f t="shared" ca="1" si="54"/>
        <v>1.17</v>
      </c>
      <c r="K57" s="807">
        <f t="shared" ca="1" si="55"/>
        <v>1.17</v>
      </c>
      <c r="L57" s="808">
        <f t="shared" ca="1" si="49"/>
        <v>0</v>
      </c>
      <c r="M57" s="808">
        <f t="shared" ca="1" si="49"/>
        <v>0</v>
      </c>
      <c r="N57" s="808">
        <f t="shared" ca="1" si="49"/>
        <v>0</v>
      </c>
      <c r="O57" s="808">
        <f t="shared" ca="1" si="49"/>
        <v>0</v>
      </c>
      <c r="P57" s="808">
        <f ca="1">SUM(SUMIFS(OFFSET(貼付け_2024実績,$A57,9,1,199),OFFSET(貼付け_2024実績,4,9,1,199),{"横浜*","川崎*"}))</f>
        <v>0</v>
      </c>
      <c r="Q57" s="808">
        <f ca="1">SUM(SUMIFS(OFFSET(貼付け_2025実績,$A57,9,1,199),OFFSET(貼付け_2025実績,4,9,1,199),{"横浜*","川崎*"}))</f>
        <v>0</v>
      </c>
      <c r="R57" s="808">
        <f ca="1">SUM(SUMIFS(OFFSET(貼付け_2026実績,$A57,9,1,199),OFFSET(貼付け_2026実績,4,9,1,199),{"横浜*","川崎*"}))</f>
        <v>0</v>
      </c>
      <c r="S57" s="808">
        <f ca="1">SUM(SUMIFS(OFFSET(貼付け_2027実績,$A57,9,1,199),OFFSET(貼付け_2027実績,4,9,1,199),{"横浜*","川崎*"}))</f>
        <v>0</v>
      </c>
      <c r="T57" s="808">
        <f t="shared" ca="1" si="50"/>
        <v>0</v>
      </c>
      <c r="U57" s="808">
        <f t="shared" ca="1" si="50"/>
        <v>0</v>
      </c>
      <c r="V57" s="808">
        <f t="shared" ca="1" si="50"/>
        <v>0</v>
      </c>
      <c r="W57" s="808">
        <f t="shared" ca="1" si="50"/>
        <v>0</v>
      </c>
      <c r="X57" s="808">
        <f t="shared" ca="1" si="56"/>
        <v>0</v>
      </c>
      <c r="Y57" s="808">
        <f t="shared" ca="1" si="57"/>
        <v>0</v>
      </c>
      <c r="Z57" s="808">
        <f t="shared" ca="1" si="58"/>
        <v>0</v>
      </c>
      <c r="AA57" s="808">
        <f t="shared" ca="1" si="59"/>
        <v>0</v>
      </c>
      <c r="AB57" s="808" t="str">
        <f t="shared" ca="1" si="60"/>
        <v/>
      </c>
      <c r="AC57" s="808" t="str">
        <f t="shared" ca="1" si="61"/>
        <v/>
      </c>
      <c r="AD57" s="808" t="str">
        <f t="shared" ca="1" si="62"/>
        <v/>
      </c>
      <c r="AE57" s="808" t="str">
        <f t="shared" ca="1" si="63"/>
        <v/>
      </c>
      <c r="AF57" s="808" t="str">
        <f t="shared" ca="1" si="64"/>
        <v/>
      </c>
      <c r="AG57" s="808" t="str">
        <f t="shared" ca="1" si="65"/>
        <v/>
      </c>
      <c r="AH57" s="808" t="str">
        <f t="shared" ca="1" si="66"/>
        <v/>
      </c>
      <c r="AI57" s="808" t="str">
        <f t="shared" ca="1" si="67"/>
        <v/>
      </c>
      <c r="AJ57" s="808" t="str">
        <f t="shared" ca="1" si="68"/>
        <v/>
      </c>
      <c r="AK57" s="808" t="str">
        <f t="shared" ca="1" si="69"/>
        <v/>
      </c>
      <c r="AL57" s="808" t="str">
        <f t="shared" ca="1" si="70"/>
        <v/>
      </c>
      <c r="AM57" s="808" t="str">
        <f t="shared" ca="1" si="71"/>
        <v/>
      </c>
      <c r="AN57" s="808" t="str">
        <f t="shared" ca="1" si="72"/>
        <v/>
      </c>
      <c r="AO57" s="808" t="str">
        <f t="shared" ca="1" si="73"/>
        <v/>
      </c>
      <c r="AP57" s="808" t="str">
        <f t="shared" ca="1" si="74"/>
        <v/>
      </c>
      <c r="AQ57" s="808" t="str">
        <f t="shared" ca="1" si="75"/>
        <v/>
      </c>
      <c r="AR57" s="808" t="str">
        <f t="shared" ca="1" si="76"/>
        <v/>
      </c>
      <c r="AS57" s="808" t="str">
        <f t="shared" ca="1" si="77"/>
        <v/>
      </c>
      <c r="AT57" s="808" t="str">
        <f t="shared" ca="1" si="78"/>
        <v/>
      </c>
      <c r="AU57" s="808" t="str">
        <f t="shared" ca="1" si="79"/>
        <v/>
      </c>
      <c r="AV57" s="808" t="str">
        <f t="shared" ca="1" si="80"/>
        <v/>
      </c>
      <c r="AW57" s="808" t="str">
        <f t="shared" ca="1" si="81"/>
        <v/>
      </c>
      <c r="AX57" s="808" t="str">
        <f t="shared" ca="1" si="82"/>
        <v/>
      </c>
      <c r="AY57" s="808" t="str">
        <f t="shared" ca="1" si="83"/>
        <v/>
      </c>
      <c r="AZ57" s="808" t="str">
        <f t="shared" ca="1" si="84"/>
        <v/>
      </c>
      <c r="BA57" s="808" t="str">
        <f t="shared" ca="1" si="85"/>
        <v/>
      </c>
      <c r="BB57" s="808" t="str">
        <f t="shared" ca="1" si="86"/>
        <v/>
      </c>
      <c r="BC57" s="808" t="str">
        <f t="shared" ca="1" si="87"/>
        <v/>
      </c>
      <c r="BD57" s="808" t="str">
        <f t="shared" ca="1" si="88"/>
        <v/>
      </c>
      <c r="BE57" s="808" t="str">
        <f t="shared" ca="1" si="89"/>
        <v/>
      </c>
      <c r="BF57" s="808" t="str">
        <f t="shared" ca="1" si="90"/>
        <v/>
      </c>
      <c r="BG57" s="808" t="str">
        <f t="shared" ca="1" si="91"/>
        <v/>
      </c>
      <c r="BH57" s="808" t="str">
        <f t="shared" ca="1" si="92"/>
        <v/>
      </c>
      <c r="BI57" s="808" t="str">
        <f t="shared" ca="1" si="93"/>
        <v/>
      </c>
      <c r="BJ57" s="808" t="str">
        <f t="shared" ca="1" si="94"/>
        <v/>
      </c>
      <c r="BK57" s="808" t="str">
        <f t="shared" ca="1" si="95"/>
        <v/>
      </c>
      <c r="BL57" s="808" t="str">
        <f t="shared" ca="1" si="96"/>
        <v/>
      </c>
      <c r="BM57" s="808" t="str">
        <f t="shared" ca="1" si="97"/>
        <v/>
      </c>
      <c r="BN57" s="808" t="str">
        <f t="shared" ca="1" si="98"/>
        <v/>
      </c>
      <c r="BO57" s="809" t="str">
        <f t="shared" ca="1" si="99"/>
        <v/>
      </c>
      <c r="BP57" s="802"/>
    </row>
    <row r="58" spans="1:68" ht="20.100000000000001" customHeight="1">
      <c r="A58" s="784">
        <v>58</v>
      </c>
      <c r="B58" s="1613"/>
      <c r="C58" s="1596"/>
      <c r="D58" s="785" t="s">
        <v>785</v>
      </c>
      <c r="E58" s="790"/>
      <c r="F58" s="810"/>
      <c r="G58" s="787" t="s">
        <v>461</v>
      </c>
      <c r="H58" s="788">
        <f t="shared" ca="1" si="52"/>
        <v>1.19</v>
      </c>
      <c r="I58" s="788">
        <f t="shared" ca="1" si="53"/>
        <v>1.19</v>
      </c>
      <c r="J58" s="788">
        <f t="shared" ca="1" si="54"/>
        <v>1.19</v>
      </c>
      <c r="K58" s="788">
        <f t="shared" ca="1" si="55"/>
        <v>1.19</v>
      </c>
      <c r="L58" s="789">
        <f t="shared" ca="1" si="49"/>
        <v>0</v>
      </c>
      <c r="M58" s="789">
        <f t="shared" ca="1" si="49"/>
        <v>0</v>
      </c>
      <c r="N58" s="789">
        <f t="shared" ca="1" si="49"/>
        <v>0</v>
      </c>
      <c r="O58" s="789">
        <f t="shared" ca="1" si="49"/>
        <v>0</v>
      </c>
      <c r="P58" s="789">
        <f ca="1">SUM(SUMIFS(OFFSET(貼付け_2024実績,$A58,9,1,199),OFFSET(貼付け_2024実績,4,9,1,199),{"横浜*","川崎*"}))</f>
        <v>0</v>
      </c>
      <c r="Q58" s="789">
        <f ca="1">SUM(SUMIFS(OFFSET(貼付け_2025実績,$A58,9,1,199),OFFSET(貼付け_2025実績,4,9,1,199),{"横浜*","川崎*"}))</f>
        <v>0</v>
      </c>
      <c r="R58" s="789">
        <f ca="1">SUM(SUMIFS(OFFSET(貼付け_2026実績,$A58,9,1,199),OFFSET(貼付け_2026実績,4,9,1,199),{"横浜*","川崎*"}))</f>
        <v>0</v>
      </c>
      <c r="S58" s="789">
        <f ca="1">SUM(SUMIFS(OFFSET(貼付け_2027実績,$A58,9,1,199),OFFSET(貼付け_2027実績,4,9,1,199),{"横浜*","川崎*"}))</f>
        <v>0</v>
      </c>
      <c r="T58" s="789">
        <f t="shared" ca="1" si="50"/>
        <v>0</v>
      </c>
      <c r="U58" s="789">
        <f t="shared" ca="1" si="50"/>
        <v>0</v>
      </c>
      <c r="V58" s="789">
        <f t="shared" ca="1" si="50"/>
        <v>0</v>
      </c>
      <c r="W58" s="789">
        <f t="shared" ca="1" si="50"/>
        <v>0</v>
      </c>
      <c r="X58" s="789">
        <f t="shared" ca="1" si="56"/>
        <v>0</v>
      </c>
      <c r="Y58" s="789">
        <f t="shared" ca="1" si="57"/>
        <v>0</v>
      </c>
      <c r="Z58" s="789">
        <f t="shared" ca="1" si="58"/>
        <v>0</v>
      </c>
      <c r="AA58" s="789">
        <f t="shared" ca="1" si="59"/>
        <v>0</v>
      </c>
      <c r="AB58" s="789" t="str">
        <f t="shared" ca="1" si="60"/>
        <v/>
      </c>
      <c r="AC58" s="789" t="str">
        <f t="shared" ca="1" si="61"/>
        <v/>
      </c>
      <c r="AD58" s="789" t="str">
        <f t="shared" ca="1" si="62"/>
        <v/>
      </c>
      <c r="AE58" s="789" t="str">
        <f t="shared" ca="1" si="63"/>
        <v/>
      </c>
      <c r="AF58" s="789" t="str">
        <f t="shared" ca="1" si="64"/>
        <v/>
      </c>
      <c r="AG58" s="789" t="str">
        <f t="shared" ca="1" si="65"/>
        <v/>
      </c>
      <c r="AH58" s="789" t="str">
        <f t="shared" ca="1" si="66"/>
        <v/>
      </c>
      <c r="AI58" s="789" t="str">
        <f t="shared" ca="1" si="67"/>
        <v/>
      </c>
      <c r="AJ58" s="789" t="str">
        <f t="shared" ca="1" si="68"/>
        <v/>
      </c>
      <c r="AK58" s="789" t="str">
        <f t="shared" ca="1" si="69"/>
        <v/>
      </c>
      <c r="AL58" s="789" t="str">
        <f t="shared" ca="1" si="70"/>
        <v/>
      </c>
      <c r="AM58" s="789" t="str">
        <f t="shared" ca="1" si="71"/>
        <v/>
      </c>
      <c r="AN58" s="789" t="str">
        <f t="shared" ca="1" si="72"/>
        <v/>
      </c>
      <c r="AO58" s="789" t="str">
        <f t="shared" ca="1" si="73"/>
        <v/>
      </c>
      <c r="AP58" s="789" t="str">
        <f t="shared" ca="1" si="74"/>
        <v/>
      </c>
      <c r="AQ58" s="789" t="str">
        <f t="shared" ca="1" si="75"/>
        <v/>
      </c>
      <c r="AR58" s="789" t="str">
        <f t="shared" ca="1" si="76"/>
        <v/>
      </c>
      <c r="AS58" s="789" t="str">
        <f t="shared" ca="1" si="77"/>
        <v/>
      </c>
      <c r="AT58" s="789" t="str">
        <f t="shared" ca="1" si="78"/>
        <v/>
      </c>
      <c r="AU58" s="789" t="str">
        <f t="shared" ca="1" si="79"/>
        <v/>
      </c>
      <c r="AV58" s="789" t="str">
        <f t="shared" ca="1" si="80"/>
        <v/>
      </c>
      <c r="AW58" s="789" t="str">
        <f t="shared" ca="1" si="81"/>
        <v/>
      </c>
      <c r="AX58" s="789" t="str">
        <f t="shared" ca="1" si="82"/>
        <v/>
      </c>
      <c r="AY58" s="789" t="str">
        <f t="shared" ca="1" si="83"/>
        <v/>
      </c>
      <c r="AZ58" s="789" t="str">
        <f t="shared" ca="1" si="84"/>
        <v/>
      </c>
      <c r="BA58" s="789" t="str">
        <f t="shared" ca="1" si="85"/>
        <v/>
      </c>
      <c r="BB58" s="789" t="str">
        <f t="shared" ca="1" si="86"/>
        <v/>
      </c>
      <c r="BC58" s="789" t="str">
        <f t="shared" ca="1" si="87"/>
        <v/>
      </c>
      <c r="BD58" s="789" t="str">
        <f t="shared" ca="1" si="88"/>
        <v/>
      </c>
      <c r="BE58" s="789" t="str">
        <f t="shared" ca="1" si="89"/>
        <v/>
      </c>
      <c r="BF58" s="789" t="str">
        <f t="shared" ca="1" si="90"/>
        <v/>
      </c>
      <c r="BG58" s="789" t="str">
        <f t="shared" ca="1" si="91"/>
        <v/>
      </c>
      <c r="BH58" s="789" t="str">
        <f t="shared" ca="1" si="92"/>
        <v/>
      </c>
      <c r="BI58" s="789" t="str">
        <f t="shared" ca="1" si="93"/>
        <v/>
      </c>
      <c r="BJ58" s="789" t="str">
        <f t="shared" ca="1" si="94"/>
        <v/>
      </c>
      <c r="BK58" s="789" t="str">
        <f t="shared" ca="1" si="95"/>
        <v/>
      </c>
      <c r="BL58" s="789" t="str">
        <f t="shared" ca="1" si="96"/>
        <v/>
      </c>
      <c r="BM58" s="789" t="str">
        <f t="shared" ca="1" si="97"/>
        <v/>
      </c>
      <c r="BN58" s="789" t="str">
        <f t="shared" ca="1" si="98"/>
        <v/>
      </c>
      <c r="BO58" s="811" t="str">
        <f t="shared" ca="1" si="99"/>
        <v/>
      </c>
      <c r="BP58" s="802"/>
    </row>
    <row r="59" spans="1:68" ht="20.100000000000001" customHeight="1">
      <c r="A59" s="784">
        <v>60</v>
      </c>
      <c r="B59" s="1613"/>
      <c r="C59" s="1596"/>
      <c r="D59" s="785" t="s">
        <v>786</v>
      </c>
      <c r="E59" s="790"/>
      <c r="F59" s="810"/>
      <c r="G59" s="787" t="s">
        <v>461</v>
      </c>
      <c r="H59" s="788">
        <f t="shared" ca="1" si="52"/>
        <v>1.19</v>
      </c>
      <c r="I59" s="788">
        <f t="shared" ca="1" si="53"/>
        <v>1.19</v>
      </c>
      <c r="J59" s="788">
        <f t="shared" ca="1" si="54"/>
        <v>1.19</v>
      </c>
      <c r="K59" s="788">
        <f t="shared" ca="1" si="55"/>
        <v>1.19</v>
      </c>
      <c r="L59" s="789">
        <f t="shared" ca="1" si="49"/>
        <v>0</v>
      </c>
      <c r="M59" s="789">
        <f t="shared" ca="1" si="49"/>
        <v>0</v>
      </c>
      <c r="N59" s="789">
        <f t="shared" ca="1" si="49"/>
        <v>0</v>
      </c>
      <c r="O59" s="789">
        <f t="shared" ca="1" si="49"/>
        <v>0</v>
      </c>
      <c r="P59" s="789">
        <f ca="1">SUM(SUMIFS(OFFSET(貼付け_2024実績,$A59,9,1,199),OFFSET(貼付け_2024実績,4,9,1,199),{"横浜*","川崎*"}))</f>
        <v>0</v>
      </c>
      <c r="Q59" s="789">
        <f ca="1">SUM(SUMIFS(OFFSET(貼付け_2025実績,$A59,9,1,199),OFFSET(貼付け_2025実績,4,9,1,199),{"横浜*","川崎*"}))</f>
        <v>0</v>
      </c>
      <c r="R59" s="789">
        <f ca="1">SUM(SUMIFS(OFFSET(貼付け_2026実績,$A59,9,1,199),OFFSET(貼付け_2026実績,4,9,1,199),{"横浜*","川崎*"}))</f>
        <v>0</v>
      </c>
      <c r="S59" s="789">
        <f ca="1">SUM(SUMIFS(OFFSET(貼付け_2027実績,$A59,9,1,199),OFFSET(貼付け_2027実績,4,9,1,199),{"横浜*","川崎*"}))</f>
        <v>0</v>
      </c>
      <c r="T59" s="789">
        <f t="shared" ca="1" si="50"/>
        <v>0</v>
      </c>
      <c r="U59" s="789">
        <f t="shared" ca="1" si="50"/>
        <v>0</v>
      </c>
      <c r="V59" s="789">
        <f t="shared" ca="1" si="50"/>
        <v>0</v>
      </c>
      <c r="W59" s="789">
        <f t="shared" ca="1" si="50"/>
        <v>0</v>
      </c>
      <c r="X59" s="789">
        <f t="shared" ca="1" si="56"/>
        <v>0</v>
      </c>
      <c r="Y59" s="789">
        <f t="shared" ca="1" si="57"/>
        <v>0</v>
      </c>
      <c r="Z59" s="789">
        <f t="shared" ca="1" si="58"/>
        <v>0</v>
      </c>
      <c r="AA59" s="789">
        <f t="shared" ca="1" si="59"/>
        <v>0</v>
      </c>
      <c r="AB59" s="789" t="str">
        <f t="shared" ca="1" si="60"/>
        <v/>
      </c>
      <c r="AC59" s="789" t="str">
        <f t="shared" ca="1" si="61"/>
        <v/>
      </c>
      <c r="AD59" s="789" t="str">
        <f t="shared" ca="1" si="62"/>
        <v/>
      </c>
      <c r="AE59" s="789" t="str">
        <f t="shared" ca="1" si="63"/>
        <v/>
      </c>
      <c r="AF59" s="789" t="str">
        <f t="shared" ca="1" si="64"/>
        <v/>
      </c>
      <c r="AG59" s="789" t="str">
        <f t="shared" ca="1" si="65"/>
        <v/>
      </c>
      <c r="AH59" s="789" t="str">
        <f t="shared" ca="1" si="66"/>
        <v/>
      </c>
      <c r="AI59" s="789" t="str">
        <f t="shared" ca="1" si="67"/>
        <v/>
      </c>
      <c r="AJ59" s="789" t="str">
        <f t="shared" ca="1" si="68"/>
        <v/>
      </c>
      <c r="AK59" s="789" t="str">
        <f t="shared" ca="1" si="69"/>
        <v/>
      </c>
      <c r="AL59" s="789" t="str">
        <f t="shared" ca="1" si="70"/>
        <v/>
      </c>
      <c r="AM59" s="789" t="str">
        <f t="shared" ca="1" si="71"/>
        <v/>
      </c>
      <c r="AN59" s="789" t="str">
        <f t="shared" ca="1" si="72"/>
        <v/>
      </c>
      <c r="AO59" s="789" t="str">
        <f t="shared" ca="1" si="73"/>
        <v/>
      </c>
      <c r="AP59" s="789" t="str">
        <f t="shared" ca="1" si="74"/>
        <v/>
      </c>
      <c r="AQ59" s="789" t="str">
        <f t="shared" ca="1" si="75"/>
        <v/>
      </c>
      <c r="AR59" s="789" t="str">
        <f t="shared" ca="1" si="76"/>
        <v/>
      </c>
      <c r="AS59" s="789" t="str">
        <f t="shared" ca="1" si="77"/>
        <v/>
      </c>
      <c r="AT59" s="789" t="str">
        <f t="shared" ca="1" si="78"/>
        <v/>
      </c>
      <c r="AU59" s="789" t="str">
        <f t="shared" ca="1" si="79"/>
        <v/>
      </c>
      <c r="AV59" s="789" t="str">
        <f t="shared" ca="1" si="80"/>
        <v/>
      </c>
      <c r="AW59" s="789" t="str">
        <f t="shared" ca="1" si="81"/>
        <v/>
      </c>
      <c r="AX59" s="789" t="str">
        <f t="shared" ca="1" si="82"/>
        <v/>
      </c>
      <c r="AY59" s="789" t="str">
        <f t="shared" ca="1" si="83"/>
        <v/>
      </c>
      <c r="AZ59" s="789" t="str">
        <f t="shared" ca="1" si="84"/>
        <v/>
      </c>
      <c r="BA59" s="789" t="str">
        <f t="shared" ca="1" si="85"/>
        <v/>
      </c>
      <c r="BB59" s="789" t="str">
        <f t="shared" ca="1" si="86"/>
        <v/>
      </c>
      <c r="BC59" s="789" t="str">
        <f t="shared" ca="1" si="87"/>
        <v/>
      </c>
      <c r="BD59" s="789" t="str">
        <f t="shared" ca="1" si="88"/>
        <v/>
      </c>
      <c r="BE59" s="789" t="str">
        <f t="shared" ca="1" si="89"/>
        <v/>
      </c>
      <c r="BF59" s="789" t="str">
        <f t="shared" ca="1" si="90"/>
        <v/>
      </c>
      <c r="BG59" s="789" t="str">
        <f t="shared" ca="1" si="91"/>
        <v/>
      </c>
      <c r="BH59" s="789" t="str">
        <f t="shared" ca="1" si="92"/>
        <v/>
      </c>
      <c r="BI59" s="789" t="str">
        <f t="shared" ca="1" si="93"/>
        <v/>
      </c>
      <c r="BJ59" s="789" t="str">
        <f t="shared" ca="1" si="94"/>
        <v/>
      </c>
      <c r="BK59" s="789" t="str">
        <f t="shared" ca="1" si="95"/>
        <v/>
      </c>
      <c r="BL59" s="789" t="str">
        <f t="shared" ca="1" si="96"/>
        <v/>
      </c>
      <c r="BM59" s="789" t="str">
        <f t="shared" ca="1" si="97"/>
        <v/>
      </c>
      <c r="BN59" s="789" t="str">
        <f t="shared" ca="1" si="98"/>
        <v/>
      </c>
      <c r="BO59" s="811" t="str">
        <f t="shared" ca="1" si="99"/>
        <v/>
      </c>
      <c r="BP59" s="802"/>
    </row>
    <row r="60" spans="1:68" ht="20.100000000000001" customHeight="1">
      <c r="A60" s="784">
        <v>62</v>
      </c>
      <c r="B60" s="1613"/>
      <c r="C60" s="1596"/>
      <c r="D60" s="785" t="s">
        <v>787</v>
      </c>
      <c r="E60" s="790"/>
      <c r="F60" s="810"/>
      <c r="G60" s="787" t="s">
        <v>461</v>
      </c>
      <c r="H60" s="788">
        <f t="shared" ca="1" si="52"/>
        <v>1.19</v>
      </c>
      <c r="I60" s="788">
        <f t="shared" ca="1" si="53"/>
        <v>1.19</v>
      </c>
      <c r="J60" s="788">
        <f t="shared" ca="1" si="54"/>
        <v>1.19</v>
      </c>
      <c r="K60" s="788">
        <f t="shared" ca="1" si="55"/>
        <v>1.19</v>
      </c>
      <c r="L60" s="789">
        <f t="shared" ca="1" si="49"/>
        <v>0</v>
      </c>
      <c r="M60" s="789">
        <f t="shared" ca="1" si="49"/>
        <v>0</v>
      </c>
      <c r="N60" s="789">
        <f t="shared" ca="1" si="49"/>
        <v>0</v>
      </c>
      <c r="O60" s="789">
        <f t="shared" ca="1" si="49"/>
        <v>0</v>
      </c>
      <c r="P60" s="789">
        <f ca="1">SUM(SUMIFS(OFFSET(貼付け_2024実績,$A60,9,1,199),OFFSET(貼付け_2024実績,4,9,1,199),{"横浜*","川崎*"}))</f>
        <v>0</v>
      </c>
      <c r="Q60" s="789">
        <f ca="1">SUM(SUMIFS(OFFSET(貼付け_2025実績,$A60,9,1,199),OFFSET(貼付け_2025実績,4,9,1,199),{"横浜*","川崎*"}))</f>
        <v>0</v>
      </c>
      <c r="R60" s="789">
        <f ca="1">SUM(SUMIFS(OFFSET(貼付け_2026実績,$A60,9,1,199),OFFSET(貼付け_2026実績,4,9,1,199),{"横浜*","川崎*"}))</f>
        <v>0</v>
      </c>
      <c r="S60" s="789">
        <f ca="1">SUM(SUMIFS(OFFSET(貼付け_2027実績,$A60,9,1,199),OFFSET(貼付け_2027実績,4,9,1,199),{"横浜*","川崎*"}))</f>
        <v>0</v>
      </c>
      <c r="T60" s="789">
        <f t="shared" ca="1" si="50"/>
        <v>0</v>
      </c>
      <c r="U60" s="789">
        <f t="shared" ca="1" si="50"/>
        <v>0</v>
      </c>
      <c r="V60" s="789">
        <f t="shared" ca="1" si="50"/>
        <v>0</v>
      </c>
      <c r="W60" s="789">
        <f t="shared" ca="1" si="50"/>
        <v>0</v>
      </c>
      <c r="X60" s="789">
        <f t="shared" ca="1" si="56"/>
        <v>0</v>
      </c>
      <c r="Y60" s="789">
        <f t="shared" ca="1" si="57"/>
        <v>0</v>
      </c>
      <c r="Z60" s="789">
        <f t="shared" ca="1" si="58"/>
        <v>0</v>
      </c>
      <c r="AA60" s="789">
        <f t="shared" ca="1" si="59"/>
        <v>0</v>
      </c>
      <c r="AB60" s="789" t="str">
        <f t="shared" ca="1" si="60"/>
        <v/>
      </c>
      <c r="AC60" s="789" t="str">
        <f t="shared" ca="1" si="61"/>
        <v/>
      </c>
      <c r="AD60" s="789" t="str">
        <f t="shared" ca="1" si="62"/>
        <v/>
      </c>
      <c r="AE60" s="789" t="str">
        <f t="shared" ca="1" si="63"/>
        <v/>
      </c>
      <c r="AF60" s="789" t="str">
        <f t="shared" ca="1" si="64"/>
        <v/>
      </c>
      <c r="AG60" s="789" t="str">
        <f t="shared" ca="1" si="65"/>
        <v/>
      </c>
      <c r="AH60" s="789" t="str">
        <f t="shared" ca="1" si="66"/>
        <v/>
      </c>
      <c r="AI60" s="789" t="str">
        <f t="shared" ca="1" si="67"/>
        <v/>
      </c>
      <c r="AJ60" s="789" t="str">
        <f t="shared" ca="1" si="68"/>
        <v/>
      </c>
      <c r="AK60" s="789" t="str">
        <f t="shared" ca="1" si="69"/>
        <v/>
      </c>
      <c r="AL60" s="789" t="str">
        <f t="shared" ca="1" si="70"/>
        <v/>
      </c>
      <c r="AM60" s="789" t="str">
        <f t="shared" ca="1" si="71"/>
        <v/>
      </c>
      <c r="AN60" s="789" t="str">
        <f t="shared" ca="1" si="72"/>
        <v/>
      </c>
      <c r="AO60" s="789" t="str">
        <f t="shared" ca="1" si="73"/>
        <v/>
      </c>
      <c r="AP60" s="789" t="str">
        <f t="shared" ca="1" si="74"/>
        <v/>
      </c>
      <c r="AQ60" s="789" t="str">
        <f t="shared" ca="1" si="75"/>
        <v/>
      </c>
      <c r="AR60" s="789" t="str">
        <f t="shared" ca="1" si="76"/>
        <v/>
      </c>
      <c r="AS60" s="789" t="str">
        <f t="shared" ca="1" si="77"/>
        <v/>
      </c>
      <c r="AT60" s="789" t="str">
        <f t="shared" ca="1" si="78"/>
        <v/>
      </c>
      <c r="AU60" s="789" t="str">
        <f t="shared" ca="1" si="79"/>
        <v/>
      </c>
      <c r="AV60" s="789" t="str">
        <f t="shared" ca="1" si="80"/>
        <v/>
      </c>
      <c r="AW60" s="789" t="str">
        <f t="shared" ca="1" si="81"/>
        <v/>
      </c>
      <c r="AX60" s="789" t="str">
        <f t="shared" ca="1" si="82"/>
        <v/>
      </c>
      <c r="AY60" s="789" t="str">
        <f t="shared" ca="1" si="83"/>
        <v/>
      </c>
      <c r="AZ60" s="789" t="str">
        <f t="shared" ca="1" si="84"/>
        <v/>
      </c>
      <c r="BA60" s="789" t="str">
        <f t="shared" ca="1" si="85"/>
        <v/>
      </c>
      <c r="BB60" s="789" t="str">
        <f t="shared" ca="1" si="86"/>
        <v/>
      </c>
      <c r="BC60" s="789" t="str">
        <f t="shared" ca="1" si="87"/>
        <v/>
      </c>
      <c r="BD60" s="789" t="str">
        <f t="shared" ca="1" si="88"/>
        <v/>
      </c>
      <c r="BE60" s="789" t="str">
        <f t="shared" ca="1" si="89"/>
        <v/>
      </c>
      <c r="BF60" s="789" t="str">
        <f t="shared" ca="1" si="90"/>
        <v/>
      </c>
      <c r="BG60" s="789" t="str">
        <f t="shared" ca="1" si="91"/>
        <v/>
      </c>
      <c r="BH60" s="789" t="str">
        <f t="shared" ca="1" si="92"/>
        <v/>
      </c>
      <c r="BI60" s="789" t="str">
        <f t="shared" ca="1" si="93"/>
        <v/>
      </c>
      <c r="BJ60" s="789" t="str">
        <f t="shared" ca="1" si="94"/>
        <v/>
      </c>
      <c r="BK60" s="789" t="str">
        <f t="shared" ca="1" si="95"/>
        <v/>
      </c>
      <c r="BL60" s="789" t="str">
        <f t="shared" ca="1" si="96"/>
        <v/>
      </c>
      <c r="BM60" s="789" t="str">
        <f t="shared" ca="1" si="97"/>
        <v/>
      </c>
      <c r="BN60" s="789" t="str">
        <f t="shared" ca="1" si="98"/>
        <v/>
      </c>
      <c r="BO60" s="811" t="str">
        <f t="shared" ca="1" si="99"/>
        <v/>
      </c>
      <c r="BP60" s="802"/>
    </row>
    <row r="61" spans="1:68" ht="20.100000000000001" customHeight="1">
      <c r="A61" s="784">
        <v>64</v>
      </c>
      <c r="B61" s="1613"/>
      <c r="C61" s="1596"/>
      <c r="D61" s="812" t="s">
        <v>398</v>
      </c>
      <c r="E61" s="792" t="str">
        <f ca="1">OFFSET(A1_その他欄集計,9,7)</f>
        <v/>
      </c>
      <c r="F61" s="794"/>
      <c r="G61" s="787" t="s">
        <v>461</v>
      </c>
      <c r="H61" s="788">
        <f t="shared" ca="1" si="52"/>
        <v>0</v>
      </c>
      <c r="I61" s="788">
        <f t="shared" ca="1" si="53"/>
        <v>0</v>
      </c>
      <c r="J61" s="788">
        <f t="shared" ca="1" si="54"/>
        <v>0</v>
      </c>
      <c r="K61" s="788">
        <f t="shared" ca="1" si="55"/>
        <v>0</v>
      </c>
      <c r="L61" s="789">
        <f t="shared" ca="1" si="49"/>
        <v>0</v>
      </c>
      <c r="M61" s="789">
        <f t="shared" ca="1" si="49"/>
        <v>0</v>
      </c>
      <c r="N61" s="789">
        <f t="shared" ca="1" si="49"/>
        <v>0</v>
      </c>
      <c r="O61" s="789">
        <f t="shared" ca="1" si="49"/>
        <v>0</v>
      </c>
      <c r="P61" s="789">
        <f ca="1">SUM(SUMIFS(OFFSET(貼付け_2024実績,$A61,9,1,199),OFFSET(貼付け_2024実績,4,9,1,199),{"横浜*","川崎*"}))</f>
        <v>0</v>
      </c>
      <c r="Q61" s="789">
        <f ca="1">SUM(SUMIFS(OFFSET(貼付け_2025実績,$A61,9,1,199),OFFSET(貼付け_2025実績,4,9,1,199),{"横浜*","川崎*"}))</f>
        <v>0</v>
      </c>
      <c r="R61" s="789">
        <f ca="1">SUM(SUMIFS(OFFSET(貼付け_2026実績,$A61,9,1,199),OFFSET(貼付け_2026実績,4,9,1,199),{"横浜*","川崎*"}))</f>
        <v>0</v>
      </c>
      <c r="S61" s="789">
        <f ca="1">SUM(SUMIFS(OFFSET(貼付け_2027実績,$A61,9,1,199),OFFSET(貼付け_2027実績,4,9,1,199),{"横浜*","川崎*"}))</f>
        <v>0</v>
      </c>
      <c r="T61" s="789">
        <f t="shared" ca="1" si="50"/>
        <v>0</v>
      </c>
      <c r="U61" s="789">
        <f t="shared" ca="1" si="50"/>
        <v>0</v>
      </c>
      <c r="V61" s="789">
        <f t="shared" ca="1" si="50"/>
        <v>0</v>
      </c>
      <c r="W61" s="789">
        <f t="shared" ca="1" si="50"/>
        <v>0</v>
      </c>
      <c r="X61" s="789">
        <f t="shared" ca="1" si="56"/>
        <v>0</v>
      </c>
      <c r="Y61" s="789">
        <f t="shared" ca="1" si="57"/>
        <v>0</v>
      </c>
      <c r="Z61" s="789">
        <f t="shared" ca="1" si="58"/>
        <v>0</v>
      </c>
      <c r="AA61" s="789">
        <f t="shared" ca="1" si="59"/>
        <v>0</v>
      </c>
      <c r="AB61" s="789" t="str">
        <f t="shared" ca="1" si="60"/>
        <v/>
      </c>
      <c r="AC61" s="789" t="str">
        <f t="shared" ca="1" si="61"/>
        <v/>
      </c>
      <c r="AD61" s="789" t="str">
        <f t="shared" ca="1" si="62"/>
        <v/>
      </c>
      <c r="AE61" s="789" t="str">
        <f t="shared" ca="1" si="63"/>
        <v/>
      </c>
      <c r="AF61" s="789" t="str">
        <f t="shared" ca="1" si="64"/>
        <v/>
      </c>
      <c r="AG61" s="789" t="str">
        <f t="shared" ca="1" si="65"/>
        <v/>
      </c>
      <c r="AH61" s="789" t="str">
        <f t="shared" ca="1" si="66"/>
        <v/>
      </c>
      <c r="AI61" s="789" t="str">
        <f t="shared" ca="1" si="67"/>
        <v/>
      </c>
      <c r="AJ61" s="789" t="str">
        <f t="shared" ca="1" si="68"/>
        <v/>
      </c>
      <c r="AK61" s="789" t="str">
        <f t="shared" ca="1" si="69"/>
        <v/>
      </c>
      <c r="AL61" s="789" t="str">
        <f t="shared" ca="1" si="70"/>
        <v/>
      </c>
      <c r="AM61" s="789" t="str">
        <f t="shared" ca="1" si="71"/>
        <v/>
      </c>
      <c r="AN61" s="789" t="str">
        <f t="shared" ca="1" si="72"/>
        <v/>
      </c>
      <c r="AO61" s="789" t="str">
        <f t="shared" ca="1" si="73"/>
        <v/>
      </c>
      <c r="AP61" s="789" t="str">
        <f t="shared" ca="1" si="74"/>
        <v/>
      </c>
      <c r="AQ61" s="789" t="str">
        <f t="shared" ca="1" si="75"/>
        <v/>
      </c>
      <c r="AR61" s="789" t="str">
        <f t="shared" ca="1" si="76"/>
        <v/>
      </c>
      <c r="AS61" s="789" t="str">
        <f t="shared" ca="1" si="77"/>
        <v/>
      </c>
      <c r="AT61" s="789" t="str">
        <f t="shared" ca="1" si="78"/>
        <v/>
      </c>
      <c r="AU61" s="789" t="str">
        <f t="shared" ca="1" si="79"/>
        <v/>
      </c>
      <c r="AV61" s="789" t="str">
        <f t="shared" ca="1" si="80"/>
        <v/>
      </c>
      <c r="AW61" s="789" t="str">
        <f t="shared" ca="1" si="81"/>
        <v/>
      </c>
      <c r="AX61" s="789" t="str">
        <f t="shared" ca="1" si="82"/>
        <v/>
      </c>
      <c r="AY61" s="789" t="str">
        <f t="shared" ca="1" si="83"/>
        <v/>
      </c>
      <c r="AZ61" s="789" t="str">
        <f t="shared" ca="1" si="84"/>
        <v/>
      </c>
      <c r="BA61" s="789" t="str">
        <f t="shared" ca="1" si="85"/>
        <v/>
      </c>
      <c r="BB61" s="789" t="str">
        <f t="shared" ca="1" si="86"/>
        <v/>
      </c>
      <c r="BC61" s="789" t="str">
        <f t="shared" ca="1" si="87"/>
        <v/>
      </c>
      <c r="BD61" s="789" t="str">
        <f t="shared" ca="1" si="88"/>
        <v/>
      </c>
      <c r="BE61" s="789" t="str">
        <f t="shared" ca="1" si="89"/>
        <v/>
      </c>
      <c r="BF61" s="789" t="str">
        <f t="shared" ca="1" si="90"/>
        <v/>
      </c>
      <c r="BG61" s="789" t="str">
        <f t="shared" ca="1" si="91"/>
        <v/>
      </c>
      <c r="BH61" s="789" t="str">
        <f t="shared" ca="1" si="92"/>
        <v/>
      </c>
      <c r="BI61" s="789" t="str">
        <f t="shared" ca="1" si="93"/>
        <v/>
      </c>
      <c r="BJ61" s="789" t="str">
        <f t="shared" ca="1" si="94"/>
        <v/>
      </c>
      <c r="BK61" s="789" t="str">
        <f t="shared" ca="1" si="95"/>
        <v/>
      </c>
      <c r="BL61" s="789" t="str">
        <f t="shared" ca="1" si="96"/>
        <v/>
      </c>
      <c r="BM61" s="789" t="str">
        <f t="shared" ca="1" si="97"/>
        <v/>
      </c>
      <c r="BN61" s="789" t="str">
        <f t="shared" ca="1" si="98"/>
        <v/>
      </c>
      <c r="BO61" s="811" t="str">
        <f t="shared" ca="1" si="99"/>
        <v/>
      </c>
      <c r="BP61" s="802"/>
    </row>
    <row r="62" spans="1:68" ht="20.100000000000001" customHeight="1">
      <c r="A62" s="784">
        <v>66</v>
      </c>
      <c r="B62" s="1613"/>
      <c r="C62" s="1596" t="s">
        <v>399</v>
      </c>
      <c r="D62" s="813" t="s">
        <v>400</v>
      </c>
      <c r="E62" s="785"/>
      <c r="F62" s="810"/>
      <c r="G62" s="787" t="s">
        <v>461</v>
      </c>
      <c r="H62" s="788">
        <f t="shared" ca="1" si="52"/>
        <v>0</v>
      </c>
      <c r="I62" s="788">
        <f t="shared" ca="1" si="53"/>
        <v>0</v>
      </c>
      <c r="J62" s="788">
        <f t="shared" ca="1" si="54"/>
        <v>0</v>
      </c>
      <c r="K62" s="788">
        <f t="shared" ca="1" si="55"/>
        <v>0</v>
      </c>
      <c r="L62" s="789">
        <f t="shared" ca="1" si="49"/>
        <v>0</v>
      </c>
      <c r="M62" s="789">
        <f t="shared" ca="1" si="49"/>
        <v>0</v>
      </c>
      <c r="N62" s="789">
        <f t="shared" ca="1" si="49"/>
        <v>0</v>
      </c>
      <c r="O62" s="789">
        <f t="shared" ca="1" si="49"/>
        <v>0</v>
      </c>
      <c r="P62" s="789">
        <f ca="1">SUM(SUMIFS(OFFSET(貼付け_2024実績,$A62,9,1,199),OFFSET(貼付け_2024実績,4,9,1,199),{"横浜*","川崎*"}))</f>
        <v>0</v>
      </c>
      <c r="Q62" s="789">
        <f ca="1">SUM(SUMIFS(OFFSET(貼付け_2025実績,$A62,9,1,199),OFFSET(貼付け_2025実績,4,9,1,199),{"横浜*","川崎*"}))</f>
        <v>0</v>
      </c>
      <c r="R62" s="789">
        <f ca="1">SUM(SUMIFS(OFFSET(貼付け_2026実績,$A62,9,1,199),OFFSET(貼付け_2026実績,4,9,1,199),{"横浜*","川崎*"}))</f>
        <v>0</v>
      </c>
      <c r="S62" s="789">
        <f ca="1">SUM(SUMIFS(OFFSET(貼付け_2027実績,$A62,9,1,199),OFFSET(貼付け_2027実績,4,9,1,199),{"横浜*","川崎*"}))</f>
        <v>0</v>
      </c>
      <c r="T62" s="789">
        <f t="shared" ca="1" si="50"/>
        <v>0</v>
      </c>
      <c r="U62" s="789">
        <f t="shared" ca="1" si="50"/>
        <v>0</v>
      </c>
      <c r="V62" s="789">
        <f t="shared" ca="1" si="50"/>
        <v>0</v>
      </c>
      <c r="W62" s="789">
        <f t="shared" ca="1" si="50"/>
        <v>0</v>
      </c>
      <c r="X62" s="789">
        <f t="shared" ca="1" si="56"/>
        <v>0</v>
      </c>
      <c r="Y62" s="789">
        <f t="shared" ca="1" si="57"/>
        <v>0</v>
      </c>
      <c r="Z62" s="789">
        <f t="shared" ca="1" si="58"/>
        <v>0</v>
      </c>
      <c r="AA62" s="789">
        <f t="shared" ca="1" si="59"/>
        <v>0</v>
      </c>
      <c r="AB62" s="789" t="str">
        <f t="shared" ca="1" si="60"/>
        <v/>
      </c>
      <c r="AC62" s="789" t="str">
        <f t="shared" ca="1" si="61"/>
        <v/>
      </c>
      <c r="AD62" s="789" t="str">
        <f t="shared" ca="1" si="62"/>
        <v/>
      </c>
      <c r="AE62" s="789" t="str">
        <f t="shared" ca="1" si="63"/>
        <v/>
      </c>
      <c r="AF62" s="789" t="str">
        <f t="shared" ca="1" si="64"/>
        <v/>
      </c>
      <c r="AG62" s="789" t="str">
        <f t="shared" ca="1" si="65"/>
        <v/>
      </c>
      <c r="AH62" s="789" t="str">
        <f t="shared" ca="1" si="66"/>
        <v/>
      </c>
      <c r="AI62" s="789" t="str">
        <f t="shared" ca="1" si="67"/>
        <v/>
      </c>
      <c r="AJ62" s="789" t="str">
        <f t="shared" ca="1" si="68"/>
        <v/>
      </c>
      <c r="AK62" s="789" t="str">
        <f t="shared" ca="1" si="69"/>
        <v/>
      </c>
      <c r="AL62" s="789" t="str">
        <f t="shared" ca="1" si="70"/>
        <v/>
      </c>
      <c r="AM62" s="789" t="str">
        <f t="shared" ca="1" si="71"/>
        <v/>
      </c>
      <c r="AN62" s="789" t="str">
        <f t="shared" ca="1" si="72"/>
        <v/>
      </c>
      <c r="AO62" s="789" t="str">
        <f t="shared" ca="1" si="73"/>
        <v/>
      </c>
      <c r="AP62" s="789" t="str">
        <f t="shared" ca="1" si="74"/>
        <v/>
      </c>
      <c r="AQ62" s="789" t="str">
        <f t="shared" ca="1" si="75"/>
        <v/>
      </c>
      <c r="AR62" s="789" t="str">
        <f t="shared" ca="1" si="76"/>
        <v/>
      </c>
      <c r="AS62" s="789" t="str">
        <f t="shared" ca="1" si="77"/>
        <v/>
      </c>
      <c r="AT62" s="789" t="str">
        <f t="shared" ca="1" si="78"/>
        <v/>
      </c>
      <c r="AU62" s="789" t="str">
        <f t="shared" ca="1" si="79"/>
        <v/>
      </c>
      <c r="AV62" s="789" t="str">
        <f t="shared" ca="1" si="80"/>
        <v/>
      </c>
      <c r="AW62" s="789" t="str">
        <f t="shared" ca="1" si="81"/>
        <v/>
      </c>
      <c r="AX62" s="789" t="str">
        <f t="shared" ca="1" si="82"/>
        <v/>
      </c>
      <c r="AY62" s="789" t="str">
        <f t="shared" ca="1" si="83"/>
        <v/>
      </c>
      <c r="AZ62" s="789" t="str">
        <f t="shared" ca="1" si="84"/>
        <v/>
      </c>
      <c r="BA62" s="789" t="str">
        <f t="shared" ca="1" si="85"/>
        <v/>
      </c>
      <c r="BB62" s="789" t="str">
        <f t="shared" ca="1" si="86"/>
        <v/>
      </c>
      <c r="BC62" s="789" t="str">
        <f t="shared" ca="1" si="87"/>
        <v/>
      </c>
      <c r="BD62" s="789" t="str">
        <f t="shared" ca="1" si="88"/>
        <v/>
      </c>
      <c r="BE62" s="789" t="str">
        <f t="shared" ca="1" si="89"/>
        <v/>
      </c>
      <c r="BF62" s="789" t="str">
        <f t="shared" ca="1" si="90"/>
        <v/>
      </c>
      <c r="BG62" s="789" t="str">
        <f t="shared" ca="1" si="91"/>
        <v/>
      </c>
      <c r="BH62" s="789" t="str">
        <f t="shared" ca="1" si="92"/>
        <v/>
      </c>
      <c r="BI62" s="789" t="str">
        <f t="shared" ca="1" si="93"/>
        <v/>
      </c>
      <c r="BJ62" s="789" t="str">
        <f t="shared" ca="1" si="94"/>
        <v/>
      </c>
      <c r="BK62" s="789" t="str">
        <f t="shared" ca="1" si="95"/>
        <v/>
      </c>
      <c r="BL62" s="789" t="str">
        <f t="shared" ca="1" si="96"/>
        <v/>
      </c>
      <c r="BM62" s="789" t="str">
        <f t="shared" ca="1" si="97"/>
        <v/>
      </c>
      <c r="BN62" s="789" t="str">
        <f t="shared" ca="1" si="98"/>
        <v/>
      </c>
      <c r="BO62" s="811" t="str">
        <f t="shared" ca="1" si="99"/>
        <v/>
      </c>
      <c r="BP62" s="802"/>
    </row>
    <row r="63" spans="1:68" ht="20.100000000000001" customHeight="1">
      <c r="A63" s="784">
        <v>67</v>
      </c>
      <c r="B63" s="1613"/>
      <c r="C63" s="1596"/>
      <c r="D63" s="813" t="s">
        <v>401</v>
      </c>
      <c r="E63" s="785"/>
      <c r="F63" s="810"/>
      <c r="G63" s="787" t="s">
        <v>461</v>
      </c>
      <c r="H63" s="788">
        <f t="shared" ca="1" si="52"/>
        <v>0</v>
      </c>
      <c r="I63" s="788">
        <f t="shared" ca="1" si="53"/>
        <v>0</v>
      </c>
      <c r="J63" s="788">
        <f t="shared" ca="1" si="54"/>
        <v>0</v>
      </c>
      <c r="K63" s="788">
        <f t="shared" ca="1" si="55"/>
        <v>0</v>
      </c>
      <c r="L63" s="789">
        <f t="shared" ca="1" si="49"/>
        <v>0</v>
      </c>
      <c r="M63" s="789">
        <f t="shared" ca="1" si="49"/>
        <v>0</v>
      </c>
      <c r="N63" s="789">
        <f t="shared" ca="1" si="49"/>
        <v>0</v>
      </c>
      <c r="O63" s="789">
        <f t="shared" ca="1" si="49"/>
        <v>0</v>
      </c>
      <c r="P63" s="789">
        <f ca="1">SUM(SUMIFS(OFFSET(貼付け_2024実績,$A63,9,1,199),OFFSET(貼付け_2024実績,4,9,1,199),{"横浜*","川崎*"}))</f>
        <v>0</v>
      </c>
      <c r="Q63" s="789">
        <f ca="1">SUM(SUMIFS(OFFSET(貼付け_2025実績,$A63,9,1,199),OFFSET(貼付け_2025実績,4,9,1,199),{"横浜*","川崎*"}))</f>
        <v>0</v>
      </c>
      <c r="R63" s="789">
        <f ca="1">SUM(SUMIFS(OFFSET(貼付け_2026実績,$A63,9,1,199),OFFSET(貼付け_2026実績,4,9,1,199),{"横浜*","川崎*"}))</f>
        <v>0</v>
      </c>
      <c r="S63" s="789">
        <f ca="1">SUM(SUMIFS(OFFSET(貼付け_2027実績,$A63,9,1,199),OFFSET(貼付け_2027実績,4,9,1,199),{"横浜*","川崎*"}))</f>
        <v>0</v>
      </c>
      <c r="T63" s="789">
        <f t="shared" ca="1" si="50"/>
        <v>0</v>
      </c>
      <c r="U63" s="789">
        <f t="shared" ca="1" si="50"/>
        <v>0</v>
      </c>
      <c r="V63" s="789">
        <f t="shared" ca="1" si="50"/>
        <v>0</v>
      </c>
      <c r="W63" s="789">
        <f t="shared" ca="1" si="50"/>
        <v>0</v>
      </c>
      <c r="X63" s="789">
        <f t="shared" ca="1" si="56"/>
        <v>0</v>
      </c>
      <c r="Y63" s="789">
        <f t="shared" ca="1" si="57"/>
        <v>0</v>
      </c>
      <c r="Z63" s="789">
        <f t="shared" ca="1" si="58"/>
        <v>0</v>
      </c>
      <c r="AA63" s="789">
        <f t="shared" ca="1" si="59"/>
        <v>0</v>
      </c>
      <c r="AB63" s="789" t="str">
        <f t="shared" ca="1" si="60"/>
        <v/>
      </c>
      <c r="AC63" s="789" t="str">
        <f t="shared" ca="1" si="61"/>
        <v/>
      </c>
      <c r="AD63" s="789" t="str">
        <f t="shared" ca="1" si="62"/>
        <v/>
      </c>
      <c r="AE63" s="789" t="str">
        <f t="shared" ca="1" si="63"/>
        <v/>
      </c>
      <c r="AF63" s="789" t="str">
        <f t="shared" ca="1" si="64"/>
        <v/>
      </c>
      <c r="AG63" s="789" t="str">
        <f t="shared" ca="1" si="65"/>
        <v/>
      </c>
      <c r="AH63" s="789" t="str">
        <f t="shared" ca="1" si="66"/>
        <v/>
      </c>
      <c r="AI63" s="789" t="str">
        <f t="shared" ca="1" si="67"/>
        <v/>
      </c>
      <c r="AJ63" s="789" t="str">
        <f t="shared" ca="1" si="68"/>
        <v/>
      </c>
      <c r="AK63" s="789" t="str">
        <f t="shared" ca="1" si="69"/>
        <v/>
      </c>
      <c r="AL63" s="789" t="str">
        <f t="shared" ca="1" si="70"/>
        <v/>
      </c>
      <c r="AM63" s="789" t="str">
        <f t="shared" ca="1" si="71"/>
        <v/>
      </c>
      <c r="AN63" s="789" t="str">
        <f t="shared" ca="1" si="72"/>
        <v/>
      </c>
      <c r="AO63" s="789" t="str">
        <f t="shared" ca="1" si="73"/>
        <v/>
      </c>
      <c r="AP63" s="789" t="str">
        <f t="shared" ca="1" si="74"/>
        <v/>
      </c>
      <c r="AQ63" s="789" t="str">
        <f t="shared" ca="1" si="75"/>
        <v/>
      </c>
      <c r="AR63" s="789" t="str">
        <f t="shared" ca="1" si="76"/>
        <v/>
      </c>
      <c r="AS63" s="789" t="str">
        <f t="shared" ca="1" si="77"/>
        <v/>
      </c>
      <c r="AT63" s="789" t="str">
        <f t="shared" ca="1" si="78"/>
        <v/>
      </c>
      <c r="AU63" s="789" t="str">
        <f t="shared" ca="1" si="79"/>
        <v/>
      </c>
      <c r="AV63" s="789" t="str">
        <f t="shared" ca="1" si="80"/>
        <v/>
      </c>
      <c r="AW63" s="789" t="str">
        <f t="shared" ca="1" si="81"/>
        <v/>
      </c>
      <c r="AX63" s="789" t="str">
        <f t="shared" ca="1" si="82"/>
        <v/>
      </c>
      <c r="AY63" s="789" t="str">
        <f t="shared" ca="1" si="83"/>
        <v/>
      </c>
      <c r="AZ63" s="789" t="str">
        <f t="shared" ca="1" si="84"/>
        <v/>
      </c>
      <c r="BA63" s="789" t="str">
        <f t="shared" ca="1" si="85"/>
        <v/>
      </c>
      <c r="BB63" s="789" t="str">
        <f t="shared" ca="1" si="86"/>
        <v/>
      </c>
      <c r="BC63" s="789" t="str">
        <f t="shared" ca="1" si="87"/>
        <v/>
      </c>
      <c r="BD63" s="789" t="str">
        <f t="shared" ca="1" si="88"/>
        <v/>
      </c>
      <c r="BE63" s="789" t="str">
        <f t="shared" ca="1" si="89"/>
        <v/>
      </c>
      <c r="BF63" s="789" t="str">
        <f t="shared" ca="1" si="90"/>
        <v/>
      </c>
      <c r="BG63" s="789" t="str">
        <f t="shared" ca="1" si="91"/>
        <v/>
      </c>
      <c r="BH63" s="789" t="str">
        <f t="shared" ca="1" si="92"/>
        <v/>
      </c>
      <c r="BI63" s="789" t="str">
        <f t="shared" ca="1" si="93"/>
        <v/>
      </c>
      <c r="BJ63" s="789" t="str">
        <f t="shared" ca="1" si="94"/>
        <v/>
      </c>
      <c r="BK63" s="789" t="str">
        <f t="shared" ca="1" si="95"/>
        <v/>
      </c>
      <c r="BL63" s="789" t="str">
        <f t="shared" ca="1" si="96"/>
        <v/>
      </c>
      <c r="BM63" s="789" t="str">
        <f t="shared" ca="1" si="97"/>
        <v/>
      </c>
      <c r="BN63" s="789" t="str">
        <f t="shared" ca="1" si="98"/>
        <v/>
      </c>
      <c r="BO63" s="811" t="str">
        <f t="shared" ca="1" si="99"/>
        <v/>
      </c>
      <c r="BP63" s="802"/>
    </row>
    <row r="64" spans="1:68" ht="20.100000000000001" customHeight="1">
      <c r="A64" s="784">
        <v>68</v>
      </c>
      <c r="B64" s="1613"/>
      <c r="C64" s="1596"/>
      <c r="D64" s="813" t="s">
        <v>402</v>
      </c>
      <c r="E64" s="785"/>
      <c r="F64" s="810"/>
      <c r="G64" s="787" t="s">
        <v>461</v>
      </c>
      <c r="H64" s="788">
        <f t="shared" ca="1" si="52"/>
        <v>0</v>
      </c>
      <c r="I64" s="788">
        <f t="shared" ca="1" si="53"/>
        <v>0</v>
      </c>
      <c r="J64" s="788">
        <f t="shared" ca="1" si="54"/>
        <v>0</v>
      </c>
      <c r="K64" s="788">
        <f t="shared" ca="1" si="55"/>
        <v>0</v>
      </c>
      <c r="L64" s="789">
        <f t="shared" ca="1" si="49"/>
        <v>0</v>
      </c>
      <c r="M64" s="789">
        <f t="shared" ca="1" si="49"/>
        <v>0</v>
      </c>
      <c r="N64" s="789">
        <f t="shared" ca="1" si="49"/>
        <v>0</v>
      </c>
      <c r="O64" s="789">
        <f t="shared" ca="1" si="49"/>
        <v>0</v>
      </c>
      <c r="P64" s="789">
        <f ca="1">SUM(SUMIFS(OFFSET(貼付け_2024実績,$A64,9,1,199),OFFSET(貼付け_2024実績,4,9,1,199),{"横浜*","川崎*"}))</f>
        <v>0</v>
      </c>
      <c r="Q64" s="789">
        <f ca="1">SUM(SUMIFS(OFFSET(貼付け_2025実績,$A64,9,1,199),OFFSET(貼付け_2025実績,4,9,1,199),{"横浜*","川崎*"}))</f>
        <v>0</v>
      </c>
      <c r="R64" s="789">
        <f ca="1">SUM(SUMIFS(OFFSET(貼付け_2026実績,$A64,9,1,199),OFFSET(貼付け_2026実績,4,9,1,199),{"横浜*","川崎*"}))</f>
        <v>0</v>
      </c>
      <c r="S64" s="789">
        <f ca="1">SUM(SUMIFS(OFFSET(貼付け_2027実績,$A64,9,1,199),OFFSET(貼付け_2027実績,4,9,1,199),{"横浜*","川崎*"}))</f>
        <v>0</v>
      </c>
      <c r="T64" s="789">
        <f t="shared" ca="1" si="50"/>
        <v>0</v>
      </c>
      <c r="U64" s="789">
        <f t="shared" ca="1" si="50"/>
        <v>0</v>
      </c>
      <c r="V64" s="789">
        <f t="shared" ca="1" si="50"/>
        <v>0</v>
      </c>
      <c r="W64" s="789">
        <f t="shared" ca="1" si="50"/>
        <v>0</v>
      </c>
      <c r="X64" s="789">
        <f t="shared" ca="1" si="56"/>
        <v>0</v>
      </c>
      <c r="Y64" s="789">
        <f t="shared" ca="1" si="57"/>
        <v>0</v>
      </c>
      <c r="Z64" s="789">
        <f t="shared" ca="1" si="58"/>
        <v>0</v>
      </c>
      <c r="AA64" s="789">
        <f t="shared" ca="1" si="59"/>
        <v>0</v>
      </c>
      <c r="AB64" s="789" t="str">
        <f t="shared" ca="1" si="60"/>
        <v/>
      </c>
      <c r="AC64" s="789" t="str">
        <f t="shared" ca="1" si="61"/>
        <v/>
      </c>
      <c r="AD64" s="789" t="str">
        <f t="shared" ca="1" si="62"/>
        <v/>
      </c>
      <c r="AE64" s="789" t="str">
        <f t="shared" ca="1" si="63"/>
        <v/>
      </c>
      <c r="AF64" s="789" t="str">
        <f t="shared" ca="1" si="64"/>
        <v/>
      </c>
      <c r="AG64" s="789" t="str">
        <f t="shared" ca="1" si="65"/>
        <v/>
      </c>
      <c r="AH64" s="789" t="str">
        <f t="shared" ca="1" si="66"/>
        <v/>
      </c>
      <c r="AI64" s="789" t="str">
        <f t="shared" ca="1" si="67"/>
        <v/>
      </c>
      <c r="AJ64" s="789" t="str">
        <f t="shared" ca="1" si="68"/>
        <v/>
      </c>
      <c r="AK64" s="789" t="str">
        <f t="shared" ca="1" si="69"/>
        <v/>
      </c>
      <c r="AL64" s="789" t="str">
        <f t="shared" ca="1" si="70"/>
        <v/>
      </c>
      <c r="AM64" s="789" t="str">
        <f t="shared" ca="1" si="71"/>
        <v/>
      </c>
      <c r="AN64" s="789" t="str">
        <f t="shared" ca="1" si="72"/>
        <v/>
      </c>
      <c r="AO64" s="789" t="str">
        <f t="shared" ca="1" si="73"/>
        <v/>
      </c>
      <c r="AP64" s="789" t="str">
        <f t="shared" ca="1" si="74"/>
        <v/>
      </c>
      <c r="AQ64" s="789" t="str">
        <f t="shared" ca="1" si="75"/>
        <v/>
      </c>
      <c r="AR64" s="789" t="str">
        <f t="shared" ca="1" si="76"/>
        <v/>
      </c>
      <c r="AS64" s="789" t="str">
        <f t="shared" ca="1" si="77"/>
        <v/>
      </c>
      <c r="AT64" s="789" t="str">
        <f t="shared" ca="1" si="78"/>
        <v/>
      </c>
      <c r="AU64" s="789" t="str">
        <f t="shared" ca="1" si="79"/>
        <v/>
      </c>
      <c r="AV64" s="789" t="str">
        <f t="shared" ca="1" si="80"/>
        <v/>
      </c>
      <c r="AW64" s="789" t="str">
        <f t="shared" ca="1" si="81"/>
        <v/>
      </c>
      <c r="AX64" s="789" t="str">
        <f t="shared" ca="1" si="82"/>
        <v/>
      </c>
      <c r="AY64" s="789" t="str">
        <f t="shared" ca="1" si="83"/>
        <v/>
      </c>
      <c r="AZ64" s="789" t="str">
        <f t="shared" ca="1" si="84"/>
        <v/>
      </c>
      <c r="BA64" s="789" t="str">
        <f t="shared" ca="1" si="85"/>
        <v/>
      </c>
      <c r="BB64" s="789" t="str">
        <f t="shared" ca="1" si="86"/>
        <v/>
      </c>
      <c r="BC64" s="789" t="str">
        <f t="shared" ca="1" si="87"/>
        <v/>
      </c>
      <c r="BD64" s="789" t="str">
        <f t="shared" ca="1" si="88"/>
        <v/>
      </c>
      <c r="BE64" s="789" t="str">
        <f t="shared" ca="1" si="89"/>
        <v/>
      </c>
      <c r="BF64" s="789" t="str">
        <f t="shared" ca="1" si="90"/>
        <v/>
      </c>
      <c r="BG64" s="789" t="str">
        <f t="shared" ca="1" si="91"/>
        <v/>
      </c>
      <c r="BH64" s="789" t="str">
        <f t="shared" ca="1" si="92"/>
        <v/>
      </c>
      <c r="BI64" s="789" t="str">
        <f t="shared" ca="1" si="93"/>
        <v/>
      </c>
      <c r="BJ64" s="789" t="str">
        <f t="shared" ca="1" si="94"/>
        <v/>
      </c>
      <c r="BK64" s="789" t="str">
        <f t="shared" ca="1" si="95"/>
        <v/>
      </c>
      <c r="BL64" s="789" t="str">
        <f t="shared" ca="1" si="96"/>
        <v/>
      </c>
      <c r="BM64" s="789" t="str">
        <f t="shared" ca="1" si="97"/>
        <v/>
      </c>
      <c r="BN64" s="789" t="str">
        <f t="shared" ca="1" si="98"/>
        <v/>
      </c>
      <c r="BO64" s="811" t="str">
        <f t="shared" ca="1" si="99"/>
        <v/>
      </c>
      <c r="BP64" s="802"/>
    </row>
    <row r="65" spans="1:68" ht="20.100000000000001" customHeight="1">
      <c r="A65" s="784">
        <v>69</v>
      </c>
      <c r="B65" s="1613"/>
      <c r="C65" s="1596"/>
      <c r="D65" s="813" t="s">
        <v>403</v>
      </c>
      <c r="E65" s="785"/>
      <c r="F65" s="810"/>
      <c r="G65" s="787" t="s">
        <v>461</v>
      </c>
      <c r="H65" s="788">
        <f t="shared" ca="1" si="52"/>
        <v>0</v>
      </c>
      <c r="I65" s="788">
        <f t="shared" ca="1" si="53"/>
        <v>0</v>
      </c>
      <c r="J65" s="788">
        <f t="shared" ca="1" si="54"/>
        <v>0</v>
      </c>
      <c r="K65" s="788">
        <f t="shared" ca="1" si="55"/>
        <v>0</v>
      </c>
      <c r="L65" s="789">
        <f t="shared" ca="1" si="49"/>
        <v>0</v>
      </c>
      <c r="M65" s="789">
        <f t="shared" ca="1" si="49"/>
        <v>0</v>
      </c>
      <c r="N65" s="789">
        <f t="shared" ca="1" si="49"/>
        <v>0</v>
      </c>
      <c r="O65" s="789">
        <f t="shared" ca="1" si="49"/>
        <v>0</v>
      </c>
      <c r="P65" s="789">
        <f ca="1">SUM(SUMIFS(OFFSET(貼付け_2024実績,$A65,9,1,199),OFFSET(貼付け_2024実績,4,9,1,199),{"横浜*","川崎*"}))</f>
        <v>0</v>
      </c>
      <c r="Q65" s="789">
        <f ca="1">SUM(SUMIFS(OFFSET(貼付け_2025実績,$A65,9,1,199),OFFSET(貼付け_2025実績,4,9,1,199),{"横浜*","川崎*"}))</f>
        <v>0</v>
      </c>
      <c r="R65" s="789">
        <f ca="1">SUM(SUMIFS(OFFSET(貼付け_2026実績,$A65,9,1,199),OFFSET(貼付け_2026実績,4,9,1,199),{"横浜*","川崎*"}))</f>
        <v>0</v>
      </c>
      <c r="S65" s="789">
        <f ca="1">SUM(SUMIFS(OFFSET(貼付け_2027実績,$A65,9,1,199),OFFSET(貼付け_2027実績,4,9,1,199),{"横浜*","川崎*"}))</f>
        <v>0</v>
      </c>
      <c r="T65" s="789">
        <f t="shared" ca="1" si="50"/>
        <v>0</v>
      </c>
      <c r="U65" s="789">
        <f t="shared" ca="1" si="50"/>
        <v>0</v>
      </c>
      <c r="V65" s="789">
        <f t="shared" ca="1" si="50"/>
        <v>0</v>
      </c>
      <c r="W65" s="789">
        <f t="shared" ca="1" si="50"/>
        <v>0</v>
      </c>
      <c r="X65" s="789">
        <f t="shared" ca="1" si="56"/>
        <v>0</v>
      </c>
      <c r="Y65" s="789">
        <f t="shared" ca="1" si="57"/>
        <v>0</v>
      </c>
      <c r="Z65" s="789">
        <f t="shared" ca="1" si="58"/>
        <v>0</v>
      </c>
      <c r="AA65" s="789">
        <f t="shared" ca="1" si="59"/>
        <v>0</v>
      </c>
      <c r="AB65" s="789" t="str">
        <f t="shared" ca="1" si="60"/>
        <v/>
      </c>
      <c r="AC65" s="789" t="str">
        <f t="shared" ca="1" si="61"/>
        <v/>
      </c>
      <c r="AD65" s="789" t="str">
        <f t="shared" ca="1" si="62"/>
        <v/>
      </c>
      <c r="AE65" s="789" t="str">
        <f t="shared" ca="1" si="63"/>
        <v/>
      </c>
      <c r="AF65" s="789" t="str">
        <f t="shared" ca="1" si="64"/>
        <v/>
      </c>
      <c r="AG65" s="789" t="str">
        <f t="shared" ca="1" si="65"/>
        <v/>
      </c>
      <c r="AH65" s="789" t="str">
        <f t="shared" ca="1" si="66"/>
        <v/>
      </c>
      <c r="AI65" s="789" t="str">
        <f t="shared" ca="1" si="67"/>
        <v/>
      </c>
      <c r="AJ65" s="789" t="str">
        <f t="shared" ca="1" si="68"/>
        <v/>
      </c>
      <c r="AK65" s="789" t="str">
        <f t="shared" ca="1" si="69"/>
        <v/>
      </c>
      <c r="AL65" s="789" t="str">
        <f t="shared" ca="1" si="70"/>
        <v/>
      </c>
      <c r="AM65" s="789" t="str">
        <f t="shared" ca="1" si="71"/>
        <v/>
      </c>
      <c r="AN65" s="789" t="str">
        <f t="shared" ca="1" si="72"/>
        <v/>
      </c>
      <c r="AO65" s="789" t="str">
        <f t="shared" ca="1" si="73"/>
        <v/>
      </c>
      <c r="AP65" s="789" t="str">
        <f t="shared" ca="1" si="74"/>
        <v/>
      </c>
      <c r="AQ65" s="789" t="str">
        <f t="shared" ca="1" si="75"/>
        <v/>
      </c>
      <c r="AR65" s="789" t="str">
        <f t="shared" ca="1" si="76"/>
        <v/>
      </c>
      <c r="AS65" s="789" t="str">
        <f t="shared" ca="1" si="77"/>
        <v/>
      </c>
      <c r="AT65" s="789" t="str">
        <f t="shared" ca="1" si="78"/>
        <v/>
      </c>
      <c r="AU65" s="789" t="str">
        <f t="shared" ca="1" si="79"/>
        <v/>
      </c>
      <c r="AV65" s="789" t="str">
        <f t="shared" ca="1" si="80"/>
        <v/>
      </c>
      <c r="AW65" s="789" t="str">
        <f t="shared" ca="1" si="81"/>
        <v/>
      </c>
      <c r="AX65" s="789" t="str">
        <f t="shared" ca="1" si="82"/>
        <v/>
      </c>
      <c r="AY65" s="789" t="str">
        <f t="shared" ca="1" si="83"/>
        <v/>
      </c>
      <c r="AZ65" s="789" t="str">
        <f t="shared" ca="1" si="84"/>
        <v/>
      </c>
      <c r="BA65" s="789" t="str">
        <f t="shared" ca="1" si="85"/>
        <v/>
      </c>
      <c r="BB65" s="789" t="str">
        <f t="shared" ca="1" si="86"/>
        <v/>
      </c>
      <c r="BC65" s="789" t="str">
        <f t="shared" ca="1" si="87"/>
        <v/>
      </c>
      <c r="BD65" s="789" t="str">
        <f t="shared" ca="1" si="88"/>
        <v/>
      </c>
      <c r="BE65" s="789" t="str">
        <f t="shared" ca="1" si="89"/>
        <v/>
      </c>
      <c r="BF65" s="789" t="str">
        <f t="shared" ca="1" si="90"/>
        <v/>
      </c>
      <c r="BG65" s="789" t="str">
        <f t="shared" ca="1" si="91"/>
        <v/>
      </c>
      <c r="BH65" s="789" t="str">
        <f t="shared" ca="1" si="92"/>
        <v/>
      </c>
      <c r="BI65" s="789" t="str">
        <f t="shared" ca="1" si="93"/>
        <v/>
      </c>
      <c r="BJ65" s="789" t="str">
        <f t="shared" ca="1" si="94"/>
        <v/>
      </c>
      <c r="BK65" s="789" t="str">
        <f t="shared" ca="1" si="95"/>
        <v/>
      </c>
      <c r="BL65" s="789" t="str">
        <f t="shared" ca="1" si="96"/>
        <v/>
      </c>
      <c r="BM65" s="789" t="str">
        <f t="shared" ca="1" si="97"/>
        <v/>
      </c>
      <c r="BN65" s="789" t="str">
        <f t="shared" ca="1" si="98"/>
        <v/>
      </c>
      <c r="BO65" s="811" t="str">
        <f t="shared" ca="1" si="99"/>
        <v/>
      </c>
      <c r="BP65" s="802"/>
    </row>
    <row r="66" spans="1:68" ht="20.100000000000001" customHeight="1">
      <c r="A66" s="784">
        <v>70</v>
      </c>
      <c r="B66" s="1613"/>
      <c r="C66" s="1596"/>
      <c r="D66" s="814" t="s">
        <v>788</v>
      </c>
      <c r="E66" s="792" t="str">
        <f ca="1">OFFSET(A1_その他欄集計,10,7)</f>
        <v/>
      </c>
      <c r="F66" s="794"/>
      <c r="G66" s="787" t="s">
        <v>461</v>
      </c>
      <c r="H66" s="788">
        <f t="shared" ca="1" si="52"/>
        <v>0</v>
      </c>
      <c r="I66" s="788">
        <f t="shared" ca="1" si="53"/>
        <v>0</v>
      </c>
      <c r="J66" s="788">
        <f t="shared" ca="1" si="54"/>
        <v>0</v>
      </c>
      <c r="K66" s="788">
        <f t="shared" ca="1" si="55"/>
        <v>0</v>
      </c>
      <c r="L66" s="789">
        <f t="shared" ca="1" si="49"/>
        <v>0</v>
      </c>
      <c r="M66" s="789">
        <f t="shared" ca="1" si="49"/>
        <v>0</v>
      </c>
      <c r="N66" s="789">
        <f t="shared" ca="1" si="49"/>
        <v>0</v>
      </c>
      <c r="O66" s="789">
        <f t="shared" ca="1" si="49"/>
        <v>0</v>
      </c>
      <c r="P66" s="789">
        <f ca="1">SUM(SUMIFS(OFFSET(貼付け_2024実績,$A66,9,1,199),OFFSET(貼付け_2024実績,4,9,1,199),{"横浜*","川崎*"}))</f>
        <v>0</v>
      </c>
      <c r="Q66" s="789">
        <f ca="1">SUM(SUMIFS(OFFSET(貼付け_2025実績,$A66,9,1,199),OFFSET(貼付け_2025実績,4,9,1,199),{"横浜*","川崎*"}))</f>
        <v>0</v>
      </c>
      <c r="R66" s="789">
        <f ca="1">SUM(SUMIFS(OFFSET(貼付け_2026実績,$A66,9,1,199),OFFSET(貼付け_2026実績,4,9,1,199),{"横浜*","川崎*"}))</f>
        <v>0</v>
      </c>
      <c r="S66" s="789">
        <f ca="1">SUM(SUMIFS(OFFSET(貼付け_2027実績,$A66,9,1,199),OFFSET(貼付け_2027実績,4,9,1,199),{"横浜*","川崎*"}))</f>
        <v>0</v>
      </c>
      <c r="T66" s="789">
        <f t="shared" ca="1" si="50"/>
        <v>0</v>
      </c>
      <c r="U66" s="789">
        <f t="shared" ca="1" si="50"/>
        <v>0</v>
      </c>
      <c r="V66" s="789">
        <f t="shared" ca="1" si="50"/>
        <v>0</v>
      </c>
      <c r="W66" s="789">
        <f t="shared" ca="1" si="50"/>
        <v>0</v>
      </c>
      <c r="X66" s="789">
        <f t="shared" ca="1" si="56"/>
        <v>0</v>
      </c>
      <c r="Y66" s="789">
        <f t="shared" ca="1" si="57"/>
        <v>0</v>
      </c>
      <c r="Z66" s="789">
        <f t="shared" ca="1" si="58"/>
        <v>0</v>
      </c>
      <c r="AA66" s="789">
        <f t="shared" ca="1" si="59"/>
        <v>0</v>
      </c>
      <c r="AB66" s="789" t="str">
        <f t="shared" ca="1" si="60"/>
        <v/>
      </c>
      <c r="AC66" s="789" t="str">
        <f t="shared" ca="1" si="61"/>
        <v/>
      </c>
      <c r="AD66" s="789" t="str">
        <f t="shared" ca="1" si="62"/>
        <v/>
      </c>
      <c r="AE66" s="789" t="str">
        <f t="shared" ca="1" si="63"/>
        <v/>
      </c>
      <c r="AF66" s="789" t="str">
        <f t="shared" ca="1" si="64"/>
        <v/>
      </c>
      <c r="AG66" s="789" t="str">
        <f t="shared" ca="1" si="65"/>
        <v/>
      </c>
      <c r="AH66" s="789" t="str">
        <f t="shared" ca="1" si="66"/>
        <v/>
      </c>
      <c r="AI66" s="789" t="str">
        <f t="shared" ca="1" si="67"/>
        <v/>
      </c>
      <c r="AJ66" s="789" t="str">
        <f t="shared" ca="1" si="68"/>
        <v/>
      </c>
      <c r="AK66" s="789" t="str">
        <f t="shared" ca="1" si="69"/>
        <v/>
      </c>
      <c r="AL66" s="789" t="str">
        <f t="shared" ca="1" si="70"/>
        <v/>
      </c>
      <c r="AM66" s="789" t="str">
        <f t="shared" ca="1" si="71"/>
        <v/>
      </c>
      <c r="AN66" s="789" t="str">
        <f t="shared" ca="1" si="72"/>
        <v/>
      </c>
      <c r="AO66" s="789" t="str">
        <f t="shared" ca="1" si="73"/>
        <v/>
      </c>
      <c r="AP66" s="789" t="str">
        <f t="shared" ca="1" si="74"/>
        <v/>
      </c>
      <c r="AQ66" s="789" t="str">
        <f t="shared" ca="1" si="75"/>
        <v/>
      </c>
      <c r="AR66" s="789" t="str">
        <f t="shared" ca="1" si="76"/>
        <v/>
      </c>
      <c r="AS66" s="789" t="str">
        <f t="shared" ca="1" si="77"/>
        <v/>
      </c>
      <c r="AT66" s="789" t="str">
        <f t="shared" ca="1" si="78"/>
        <v/>
      </c>
      <c r="AU66" s="789" t="str">
        <f t="shared" ca="1" si="79"/>
        <v/>
      </c>
      <c r="AV66" s="789" t="str">
        <f t="shared" ca="1" si="80"/>
        <v/>
      </c>
      <c r="AW66" s="789" t="str">
        <f t="shared" ca="1" si="81"/>
        <v/>
      </c>
      <c r="AX66" s="789" t="str">
        <f t="shared" ca="1" si="82"/>
        <v/>
      </c>
      <c r="AY66" s="789" t="str">
        <f t="shared" ca="1" si="83"/>
        <v/>
      </c>
      <c r="AZ66" s="789" t="str">
        <f t="shared" ca="1" si="84"/>
        <v/>
      </c>
      <c r="BA66" s="789" t="str">
        <f t="shared" ca="1" si="85"/>
        <v/>
      </c>
      <c r="BB66" s="789" t="str">
        <f t="shared" ca="1" si="86"/>
        <v/>
      </c>
      <c r="BC66" s="789" t="str">
        <f t="shared" ca="1" si="87"/>
        <v/>
      </c>
      <c r="BD66" s="789" t="str">
        <f t="shared" ca="1" si="88"/>
        <v/>
      </c>
      <c r="BE66" s="789" t="str">
        <f t="shared" ca="1" si="89"/>
        <v/>
      </c>
      <c r="BF66" s="789" t="str">
        <f t="shared" ca="1" si="90"/>
        <v/>
      </c>
      <c r="BG66" s="789" t="str">
        <f t="shared" ca="1" si="91"/>
        <v/>
      </c>
      <c r="BH66" s="789" t="str">
        <f t="shared" ca="1" si="92"/>
        <v/>
      </c>
      <c r="BI66" s="789" t="str">
        <f t="shared" ca="1" si="93"/>
        <v/>
      </c>
      <c r="BJ66" s="789" t="str">
        <f t="shared" ca="1" si="94"/>
        <v/>
      </c>
      <c r="BK66" s="789" t="str">
        <f t="shared" ca="1" si="95"/>
        <v/>
      </c>
      <c r="BL66" s="789" t="str">
        <f t="shared" ca="1" si="96"/>
        <v/>
      </c>
      <c r="BM66" s="789" t="str">
        <f t="shared" ca="1" si="97"/>
        <v/>
      </c>
      <c r="BN66" s="789" t="str">
        <f t="shared" ca="1" si="98"/>
        <v/>
      </c>
      <c r="BO66" s="811" t="str">
        <f t="shared" ca="1" si="99"/>
        <v/>
      </c>
      <c r="BP66" s="802"/>
    </row>
    <row r="67" spans="1:68" ht="20.100000000000001" customHeight="1" thickBot="1">
      <c r="A67" s="784">
        <v>71</v>
      </c>
      <c r="B67" s="1614"/>
      <c r="C67" s="1616"/>
      <c r="D67" s="815" t="s">
        <v>789</v>
      </c>
      <c r="E67" s="816" t="str">
        <f ca="1">OFFSET(A1_その他欄集計,11,7)</f>
        <v/>
      </c>
      <c r="F67" s="817"/>
      <c r="G67" s="818" t="s">
        <v>461</v>
      </c>
      <c r="H67" s="819">
        <f t="shared" ca="1" si="52"/>
        <v>0</v>
      </c>
      <c r="I67" s="819">
        <f t="shared" ca="1" si="53"/>
        <v>0</v>
      </c>
      <c r="J67" s="819">
        <f t="shared" ca="1" si="54"/>
        <v>0</v>
      </c>
      <c r="K67" s="819">
        <f t="shared" ca="1" si="55"/>
        <v>0</v>
      </c>
      <c r="L67" s="820">
        <f t="shared" ca="1" si="49"/>
        <v>0</v>
      </c>
      <c r="M67" s="820">
        <f t="shared" ca="1" si="49"/>
        <v>0</v>
      </c>
      <c r="N67" s="820">
        <f t="shared" ca="1" si="49"/>
        <v>0</v>
      </c>
      <c r="O67" s="820">
        <f t="shared" ca="1" si="49"/>
        <v>0</v>
      </c>
      <c r="P67" s="820">
        <f ca="1">SUM(SUMIFS(OFFSET(貼付け_2024実績,$A67,9,1,199),OFFSET(貼付け_2024実績,4,9,1,199),{"横浜*","川崎*"}))</f>
        <v>0</v>
      </c>
      <c r="Q67" s="820">
        <f ca="1">SUM(SUMIFS(OFFSET(貼付け_2025実績,$A67,9,1,199),OFFSET(貼付け_2025実績,4,9,1,199),{"横浜*","川崎*"}))</f>
        <v>0</v>
      </c>
      <c r="R67" s="820">
        <f ca="1">SUM(SUMIFS(OFFSET(貼付け_2026実績,$A67,9,1,199),OFFSET(貼付け_2026実績,4,9,1,199),{"横浜*","川崎*"}))</f>
        <v>0</v>
      </c>
      <c r="S67" s="820">
        <f ca="1">SUM(SUMIFS(OFFSET(貼付け_2027実績,$A67,9,1,199),OFFSET(貼付け_2027実績,4,9,1,199),{"横浜*","川崎*"}))</f>
        <v>0</v>
      </c>
      <c r="T67" s="820">
        <f t="shared" ca="1" si="50"/>
        <v>0</v>
      </c>
      <c r="U67" s="820">
        <f t="shared" ca="1" si="50"/>
        <v>0</v>
      </c>
      <c r="V67" s="820">
        <f t="shared" ca="1" si="50"/>
        <v>0</v>
      </c>
      <c r="W67" s="820">
        <f t="shared" ca="1" si="50"/>
        <v>0</v>
      </c>
      <c r="X67" s="820">
        <f t="shared" ca="1" si="56"/>
        <v>0</v>
      </c>
      <c r="Y67" s="820">
        <f t="shared" ca="1" si="57"/>
        <v>0</v>
      </c>
      <c r="Z67" s="820">
        <f t="shared" ca="1" si="58"/>
        <v>0</v>
      </c>
      <c r="AA67" s="820">
        <f t="shared" ca="1" si="59"/>
        <v>0</v>
      </c>
      <c r="AB67" s="820" t="str">
        <f t="shared" ca="1" si="60"/>
        <v/>
      </c>
      <c r="AC67" s="820" t="str">
        <f t="shared" ca="1" si="61"/>
        <v/>
      </c>
      <c r="AD67" s="820" t="str">
        <f t="shared" ca="1" si="62"/>
        <v/>
      </c>
      <c r="AE67" s="820" t="str">
        <f t="shared" ca="1" si="63"/>
        <v/>
      </c>
      <c r="AF67" s="820" t="str">
        <f t="shared" ca="1" si="64"/>
        <v/>
      </c>
      <c r="AG67" s="820" t="str">
        <f t="shared" ca="1" si="65"/>
        <v/>
      </c>
      <c r="AH67" s="820" t="str">
        <f t="shared" ca="1" si="66"/>
        <v/>
      </c>
      <c r="AI67" s="820" t="str">
        <f t="shared" ca="1" si="67"/>
        <v/>
      </c>
      <c r="AJ67" s="820" t="str">
        <f t="shared" ca="1" si="68"/>
        <v/>
      </c>
      <c r="AK67" s="820" t="str">
        <f t="shared" ca="1" si="69"/>
        <v/>
      </c>
      <c r="AL67" s="820" t="str">
        <f t="shared" ca="1" si="70"/>
        <v/>
      </c>
      <c r="AM67" s="820" t="str">
        <f t="shared" ca="1" si="71"/>
        <v/>
      </c>
      <c r="AN67" s="820" t="str">
        <f t="shared" ca="1" si="72"/>
        <v/>
      </c>
      <c r="AO67" s="820" t="str">
        <f t="shared" ca="1" si="73"/>
        <v/>
      </c>
      <c r="AP67" s="820" t="str">
        <f t="shared" ca="1" si="74"/>
        <v/>
      </c>
      <c r="AQ67" s="820" t="str">
        <f t="shared" ca="1" si="75"/>
        <v/>
      </c>
      <c r="AR67" s="820" t="str">
        <f t="shared" ca="1" si="76"/>
        <v/>
      </c>
      <c r="AS67" s="820" t="str">
        <f t="shared" ca="1" si="77"/>
        <v/>
      </c>
      <c r="AT67" s="820" t="str">
        <f t="shared" ca="1" si="78"/>
        <v/>
      </c>
      <c r="AU67" s="820" t="str">
        <f t="shared" ca="1" si="79"/>
        <v/>
      </c>
      <c r="AV67" s="820" t="str">
        <f t="shared" ca="1" si="80"/>
        <v/>
      </c>
      <c r="AW67" s="820" t="str">
        <f t="shared" ca="1" si="81"/>
        <v/>
      </c>
      <c r="AX67" s="820" t="str">
        <f t="shared" ca="1" si="82"/>
        <v/>
      </c>
      <c r="AY67" s="820" t="str">
        <f t="shared" ca="1" si="83"/>
        <v/>
      </c>
      <c r="AZ67" s="820" t="str">
        <f t="shared" ca="1" si="84"/>
        <v/>
      </c>
      <c r="BA67" s="820" t="str">
        <f t="shared" ca="1" si="85"/>
        <v/>
      </c>
      <c r="BB67" s="820" t="str">
        <f t="shared" ca="1" si="86"/>
        <v/>
      </c>
      <c r="BC67" s="820" t="str">
        <f t="shared" ca="1" si="87"/>
        <v/>
      </c>
      <c r="BD67" s="820" t="str">
        <f t="shared" ca="1" si="88"/>
        <v/>
      </c>
      <c r="BE67" s="820" t="str">
        <f t="shared" ca="1" si="89"/>
        <v/>
      </c>
      <c r="BF67" s="820" t="str">
        <f t="shared" ca="1" si="90"/>
        <v/>
      </c>
      <c r="BG67" s="820" t="str">
        <f t="shared" ca="1" si="91"/>
        <v/>
      </c>
      <c r="BH67" s="820" t="str">
        <f t="shared" ca="1" si="92"/>
        <v/>
      </c>
      <c r="BI67" s="820" t="str">
        <f t="shared" ca="1" si="93"/>
        <v/>
      </c>
      <c r="BJ67" s="820" t="str">
        <f t="shared" ca="1" si="94"/>
        <v/>
      </c>
      <c r="BK67" s="820" t="str">
        <f t="shared" ca="1" si="95"/>
        <v/>
      </c>
      <c r="BL67" s="820" t="str">
        <f t="shared" ca="1" si="96"/>
        <v/>
      </c>
      <c r="BM67" s="820" t="str">
        <f t="shared" ca="1" si="97"/>
        <v/>
      </c>
      <c r="BN67" s="820" t="str">
        <f t="shared" ca="1" si="98"/>
        <v/>
      </c>
      <c r="BO67" s="821" t="str">
        <f t="shared" ca="1" si="99"/>
        <v/>
      </c>
      <c r="BP67" s="802"/>
    </row>
    <row r="68" spans="1:68" ht="20.100000000000001" customHeight="1">
      <c r="A68" s="784">
        <v>72</v>
      </c>
      <c r="B68" s="1594" t="s">
        <v>422</v>
      </c>
      <c r="C68" s="822" t="s">
        <v>405</v>
      </c>
      <c r="D68" s="823"/>
      <c r="E68" s="824"/>
      <c r="F68" s="825"/>
      <c r="G68" s="826" t="s">
        <v>462</v>
      </c>
      <c r="H68" s="827">
        <f t="shared" ca="1" si="52"/>
        <v>8.64</v>
      </c>
      <c r="I68" s="827">
        <f t="shared" ca="1" si="53"/>
        <v>8.64</v>
      </c>
      <c r="J68" s="827">
        <f t="shared" ca="1" si="54"/>
        <v>8.64</v>
      </c>
      <c r="K68" s="827">
        <f t="shared" ca="1" si="55"/>
        <v>8.64</v>
      </c>
      <c r="L68" s="828">
        <f t="shared" ca="1" si="49"/>
        <v>0</v>
      </c>
      <c r="M68" s="828">
        <f t="shared" ca="1" si="49"/>
        <v>0</v>
      </c>
      <c r="N68" s="828">
        <f t="shared" ca="1" si="49"/>
        <v>0</v>
      </c>
      <c r="O68" s="828">
        <f t="shared" ca="1" si="49"/>
        <v>0</v>
      </c>
      <c r="P68" s="828">
        <f ca="1">SUM(SUMIFS(OFFSET(貼付け_2024実績,$A68,9,1,199),OFFSET(貼付け_2024実績,4,9,1,199),{"横浜*","川崎*"}))</f>
        <v>0</v>
      </c>
      <c r="Q68" s="828">
        <f ca="1">SUM(SUMIFS(OFFSET(貼付け_2025実績,$A68,9,1,199),OFFSET(貼付け_2025実績,4,9,1,199),{"横浜*","川崎*"}))</f>
        <v>0</v>
      </c>
      <c r="R68" s="828">
        <f ca="1">SUM(SUMIFS(OFFSET(貼付け_2026実績,$A68,9,1,199),OFFSET(貼付け_2026実績,4,9,1,199),{"横浜*","川崎*"}))</f>
        <v>0</v>
      </c>
      <c r="S68" s="828">
        <f ca="1">SUM(SUMIFS(OFFSET(貼付け_2027実績,$A68,9,1,199),OFFSET(貼付け_2027実績,4,9,1,199),{"横浜*","川崎*"}))</f>
        <v>0</v>
      </c>
      <c r="T68" s="828">
        <f t="shared" ca="1" si="50"/>
        <v>0</v>
      </c>
      <c r="U68" s="828">
        <f t="shared" ca="1" si="50"/>
        <v>0</v>
      </c>
      <c r="V68" s="828">
        <f t="shared" ca="1" si="50"/>
        <v>0</v>
      </c>
      <c r="W68" s="828">
        <f t="shared" ca="1" si="50"/>
        <v>0</v>
      </c>
      <c r="X68" s="828">
        <f t="shared" ca="1" si="56"/>
        <v>0</v>
      </c>
      <c r="Y68" s="828">
        <f t="shared" ca="1" si="57"/>
        <v>0</v>
      </c>
      <c r="Z68" s="828">
        <f t="shared" ca="1" si="58"/>
        <v>0</v>
      </c>
      <c r="AA68" s="828">
        <f t="shared" ca="1" si="59"/>
        <v>0</v>
      </c>
      <c r="AB68" s="828" t="str">
        <f t="shared" ca="1" si="60"/>
        <v/>
      </c>
      <c r="AC68" s="828" t="str">
        <f t="shared" ca="1" si="61"/>
        <v/>
      </c>
      <c r="AD68" s="828" t="str">
        <f t="shared" ca="1" si="62"/>
        <v/>
      </c>
      <c r="AE68" s="828" t="str">
        <f t="shared" ca="1" si="63"/>
        <v/>
      </c>
      <c r="AF68" s="828" t="str">
        <f t="shared" ca="1" si="64"/>
        <v/>
      </c>
      <c r="AG68" s="828" t="str">
        <f t="shared" ca="1" si="65"/>
        <v/>
      </c>
      <c r="AH68" s="828" t="str">
        <f t="shared" ca="1" si="66"/>
        <v/>
      </c>
      <c r="AI68" s="828" t="str">
        <f t="shared" ca="1" si="67"/>
        <v/>
      </c>
      <c r="AJ68" s="828" t="str">
        <f t="shared" ca="1" si="68"/>
        <v/>
      </c>
      <c r="AK68" s="828" t="str">
        <f t="shared" ca="1" si="69"/>
        <v/>
      </c>
      <c r="AL68" s="828" t="str">
        <f t="shared" ca="1" si="70"/>
        <v/>
      </c>
      <c r="AM68" s="828" t="str">
        <f t="shared" ca="1" si="71"/>
        <v/>
      </c>
      <c r="AN68" s="828" t="str">
        <f t="shared" ca="1" si="72"/>
        <v/>
      </c>
      <c r="AO68" s="828" t="str">
        <f t="shared" ca="1" si="73"/>
        <v/>
      </c>
      <c r="AP68" s="828" t="str">
        <f t="shared" ca="1" si="74"/>
        <v/>
      </c>
      <c r="AQ68" s="828" t="str">
        <f t="shared" ca="1" si="75"/>
        <v/>
      </c>
      <c r="AR68" s="828" t="str">
        <f t="shared" ca="1" si="76"/>
        <v/>
      </c>
      <c r="AS68" s="828" t="str">
        <f t="shared" ca="1" si="77"/>
        <v/>
      </c>
      <c r="AT68" s="828" t="str">
        <f t="shared" ca="1" si="78"/>
        <v/>
      </c>
      <c r="AU68" s="828" t="str">
        <f t="shared" ca="1" si="79"/>
        <v/>
      </c>
      <c r="AV68" s="828" t="str">
        <f t="shared" ca="1" si="80"/>
        <v/>
      </c>
      <c r="AW68" s="828" t="str">
        <f t="shared" ca="1" si="81"/>
        <v/>
      </c>
      <c r="AX68" s="828" t="str">
        <f t="shared" ca="1" si="82"/>
        <v/>
      </c>
      <c r="AY68" s="828" t="str">
        <f t="shared" ca="1" si="83"/>
        <v/>
      </c>
      <c r="AZ68" s="828" t="str">
        <f t="shared" ca="1" si="84"/>
        <v/>
      </c>
      <c r="BA68" s="828" t="str">
        <f t="shared" ca="1" si="85"/>
        <v/>
      </c>
      <c r="BB68" s="828" t="str">
        <f t="shared" ca="1" si="86"/>
        <v/>
      </c>
      <c r="BC68" s="828" t="str">
        <f t="shared" ca="1" si="87"/>
        <v/>
      </c>
      <c r="BD68" s="828" t="str">
        <f t="shared" ca="1" si="88"/>
        <v/>
      </c>
      <c r="BE68" s="828" t="str">
        <f t="shared" ca="1" si="89"/>
        <v/>
      </c>
      <c r="BF68" s="828" t="str">
        <f t="shared" ca="1" si="90"/>
        <v/>
      </c>
      <c r="BG68" s="828" t="str">
        <f t="shared" ca="1" si="91"/>
        <v/>
      </c>
      <c r="BH68" s="828" t="str">
        <f t="shared" ca="1" si="92"/>
        <v/>
      </c>
      <c r="BI68" s="828" t="str">
        <f t="shared" ca="1" si="93"/>
        <v/>
      </c>
      <c r="BJ68" s="828" t="str">
        <f t="shared" ca="1" si="94"/>
        <v/>
      </c>
      <c r="BK68" s="828" t="str">
        <f t="shared" ca="1" si="95"/>
        <v/>
      </c>
      <c r="BL68" s="828" t="str">
        <f t="shared" ca="1" si="96"/>
        <v/>
      </c>
      <c r="BM68" s="828" t="str">
        <f t="shared" ca="1" si="97"/>
        <v/>
      </c>
      <c r="BN68" s="828" t="str">
        <f t="shared" ca="1" si="98"/>
        <v/>
      </c>
      <c r="BO68" s="828" t="str">
        <f t="shared" ca="1" si="99"/>
        <v/>
      </c>
      <c r="BP68" s="802"/>
    </row>
    <row r="69" spans="1:68" ht="20.100000000000001" customHeight="1">
      <c r="A69" s="784">
        <v>74</v>
      </c>
      <c r="B69" s="1594"/>
      <c r="C69" s="1596" t="s">
        <v>406</v>
      </c>
      <c r="D69" s="812" t="s">
        <v>407</v>
      </c>
      <c r="E69" s="785"/>
      <c r="F69" s="810"/>
      <c r="G69" s="787" t="s">
        <v>462</v>
      </c>
      <c r="H69" s="788">
        <f t="shared" ca="1" si="52"/>
        <v>3.6</v>
      </c>
      <c r="I69" s="788">
        <f t="shared" ca="1" si="53"/>
        <v>3.6</v>
      </c>
      <c r="J69" s="788">
        <f t="shared" ca="1" si="54"/>
        <v>3.6</v>
      </c>
      <c r="K69" s="788">
        <f t="shared" ca="1" si="55"/>
        <v>3.6</v>
      </c>
      <c r="L69" s="789">
        <f t="shared" ca="1" si="49"/>
        <v>0</v>
      </c>
      <c r="M69" s="789">
        <f t="shared" ca="1" si="49"/>
        <v>0</v>
      </c>
      <c r="N69" s="789">
        <f t="shared" ca="1" si="49"/>
        <v>0</v>
      </c>
      <c r="O69" s="789">
        <f t="shared" ca="1" si="49"/>
        <v>0</v>
      </c>
      <c r="P69" s="789">
        <f ca="1">SUM(SUMIFS(OFFSET(貼付け_2024実績,$A69,9,1,199),OFFSET(貼付け_2024実績,4,9,1,199),{"横浜*","川崎*"}))</f>
        <v>0</v>
      </c>
      <c r="Q69" s="789">
        <f ca="1">SUM(SUMIFS(OFFSET(貼付け_2025実績,$A69,9,1,199),OFFSET(貼付け_2025実績,4,9,1,199),{"横浜*","川崎*"}))</f>
        <v>0</v>
      </c>
      <c r="R69" s="789">
        <f ca="1">SUM(SUMIFS(OFFSET(貼付け_2026実績,$A69,9,1,199),OFFSET(貼付け_2026実績,4,9,1,199),{"横浜*","川崎*"}))</f>
        <v>0</v>
      </c>
      <c r="S69" s="789">
        <f ca="1">SUM(SUMIFS(OFFSET(貼付け_2027実績,$A69,9,1,199),OFFSET(貼付け_2027実績,4,9,1,199),{"横浜*","川崎*"}))</f>
        <v>0</v>
      </c>
      <c r="T69" s="789">
        <f t="shared" ca="1" si="50"/>
        <v>0</v>
      </c>
      <c r="U69" s="789">
        <f t="shared" ca="1" si="50"/>
        <v>0</v>
      </c>
      <c r="V69" s="789">
        <f t="shared" ca="1" si="50"/>
        <v>0</v>
      </c>
      <c r="W69" s="789">
        <f t="shared" ca="1" si="50"/>
        <v>0</v>
      </c>
      <c r="X69" s="789">
        <f t="shared" ca="1" si="56"/>
        <v>0</v>
      </c>
      <c r="Y69" s="789">
        <f t="shared" ca="1" si="57"/>
        <v>0</v>
      </c>
      <c r="Z69" s="789">
        <f t="shared" ca="1" si="58"/>
        <v>0</v>
      </c>
      <c r="AA69" s="789">
        <f t="shared" ca="1" si="59"/>
        <v>0</v>
      </c>
      <c r="AB69" s="789" t="str">
        <f t="shared" ca="1" si="60"/>
        <v/>
      </c>
      <c r="AC69" s="789" t="str">
        <f t="shared" ca="1" si="61"/>
        <v/>
      </c>
      <c r="AD69" s="789" t="str">
        <f t="shared" ca="1" si="62"/>
        <v/>
      </c>
      <c r="AE69" s="789" t="str">
        <f t="shared" ca="1" si="63"/>
        <v/>
      </c>
      <c r="AF69" s="789" t="str">
        <f t="shared" ca="1" si="64"/>
        <v/>
      </c>
      <c r="AG69" s="789" t="str">
        <f t="shared" ca="1" si="65"/>
        <v/>
      </c>
      <c r="AH69" s="789" t="str">
        <f t="shared" ca="1" si="66"/>
        <v/>
      </c>
      <c r="AI69" s="789" t="str">
        <f t="shared" ca="1" si="67"/>
        <v/>
      </c>
      <c r="AJ69" s="789" t="str">
        <f t="shared" ca="1" si="68"/>
        <v/>
      </c>
      <c r="AK69" s="789" t="str">
        <f t="shared" ca="1" si="69"/>
        <v/>
      </c>
      <c r="AL69" s="789" t="str">
        <f t="shared" ca="1" si="70"/>
        <v/>
      </c>
      <c r="AM69" s="789" t="str">
        <f t="shared" ca="1" si="71"/>
        <v/>
      </c>
      <c r="AN69" s="789" t="str">
        <f t="shared" ca="1" si="72"/>
        <v/>
      </c>
      <c r="AO69" s="789" t="str">
        <f t="shared" ca="1" si="73"/>
        <v/>
      </c>
      <c r="AP69" s="789" t="str">
        <f t="shared" ca="1" si="74"/>
        <v/>
      </c>
      <c r="AQ69" s="789" t="str">
        <f t="shared" ca="1" si="75"/>
        <v/>
      </c>
      <c r="AR69" s="789" t="str">
        <f t="shared" ca="1" si="76"/>
        <v/>
      </c>
      <c r="AS69" s="789" t="str">
        <f t="shared" ca="1" si="77"/>
        <v/>
      </c>
      <c r="AT69" s="789" t="str">
        <f t="shared" ca="1" si="78"/>
        <v/>
      </c>
      <c r="AU69" s="789" t="str">
        <f t="shared" ca="1" si="79"/>
        <v/>
      </c>
      <c r="AV69" s="789" t="str">
        <f t="shared" ca="1" si="80"/>
        <v/>
      </c>
      <c r="AW69" s="789" t="str">
        <f t="shared" ca="1" si="81"/>
        <v/>
      </c>
      <c r="AX69" s="789" t="str">
        <f t="shared" ca="1" si="82"/>
        <v/>
      </c>
      <c r="AY69" s="789" t="str">
        <f t="shared" ca="1" si="83"/>
        <v/>
      </c>
      <c r="AZ69" s="789" t="str">
        <f t="shared" ca="1" si="84"/>
        <v/>
      </c>
      <c r="BA69" s="789" t="str">
        <f t="shared" ca="1" si="85"/>
        <v/>
      </c>
      <c r="BB69" s="789" t="str">
        <f t="shared" ca="1" si="86"/>
        <v/>
      </c>
      <c r="BC69" s="789" t="str">
        <f t="shared" ca="1" si="87"/>
        <v/>
      </c>
      <c r="BD69" s="789" t="str">
        <f t="shared" ca="1" si="88"/>
        <v/>
      </c>
      <c r="BE69" s="789" t="str">
        <f t="shared" ca="1" si="89"/>
        <v/>
      </c>
      <c r="BF69" s="789" t="str">
        <f t="shared" ca="1" si="90"/>
        <v/>
      </c>
      <c r="BG69" s="789" t="str">
        <f t="shared" ca="1" si="91"/>
        <v/>
      </c>
      <c r="BH69" s="789" t="str">
        <f t="shared" ca="1" si="92"/>
        <v/>
      </c>
      <c r="BI69" s="789" t="str">
        <f t="shared" ca="1" si="93"/>
        <v/>
      </c>
      <c r="BJ69" s="789" t="str">
        <f t="shared" ca="1" si="94"/>
        <v/>
      </c>
      <c r="BK69" s="789" t="str">
        <f t="shared" ca="1" si="95"/>
        <v/>
      </c>
      <c r="BL69" s="789" t="str">
        <f t="shared" ca="1" si="96"/>
        <v/>
      </c>
      <c r="BM69" s="789" t="str">
        <f t="shared" ca="1" si="97"/>
        <v/>
      </c>
      <c r="BN69" s="789" t="str">
        <f t="shared" ca="1" si="98"/>
        <v/>
      </c>
      <c r="BO69" s="789" t="str">
        <f t="shared" ca="1" si="99"/>
        <v/>
      </c>
      <c r="BP69" s="802"/>
    </row>
    <row r="70" spans="1:68" ht="20.100000000000001" customHeight="1">
      <c r="A70" s="784">
        <v>76</v>
      </c>
      <c r="B70" s="1594"/>
      <c r="C70" s="1596"/>
      <c r="D70" s="814" t="s">
        <v>408</v>
      </c>
      <c r="E70" s="785"/>
      <c r="F70" s="810"/>
      <c r="G70" s="787" t="s">
        <v>462</v>
      </c>
      <c r="H70" s="788">
        <f t="shared" ca="1" si="52"/>
        <v>3.6</v>
      </c>
      <c r="I70" s="788">
        <f t="shared" ca="1" si="53"/>
        <v>3.6</v>
      </c>
      <c r="J70" s="788">
        <f t="shared" ca="1" si="54"/>
        <v>3.6</v>
      </c>
      <c r="K70" s="788">
        <f t="shared" ca="1" si="55"/>
        <v>3.6</v>
      </c>
      <c r="L70" s="789">
        <f t="shared" ca="1" si="49"/>
        <v>0</v>
      </c>
      <c r="M70" s="789">
        <f t="shared" ca="1" si="49"/>
        <v>0</v>
      </c>
      <c r="N70" s="789">
        <f t="shared" ca="1" si="49"/>
        <v>0</v>
      </c>
      <c r="O70" s="789">
        <f t="shared" ca="1" si="49"/>
        <v>0</v>
      </c>
      <c r="P70" s="789">
        <f ca="1">SUM(SUMIFS(OFFSET(貼付け_2024実績,$A70,9,1,199),OFFSET(貼付け_2024実績,4,9,1,199),{"横浜*","川崎*"}))</f>
        <v>0</v>
      </c>
      <c r="Q70" s="789">
        <f ca="1">SUM(SUMIFS(OFFSET(貼付け_2025実績,$A70,9,1,199),OFFSET(貼付け_2025実績,4,9,1,199),{"横浜*","川崎*"}))</f>
        <v>0</v>
      </c>
      <c r="R70" s="789">
        <f ca="1">SUM(SUMIFS(OFFSET(貼付け_2026実績,$A70,9,1,199),OFFSET(貼付け_2026実績,4,9,1,199),{"横浜*","川崎*"}))</f>
        <v>0</v>
      </c>
      <c r="S70" s="789">
        <f ca="1">SUM(SUMIFS(OFFSET(貼付け_2027実績,$A70,9,1,199),OFFSET(貼付け_2027実績,4,9,1,199),{"横浜*","川崎*"}))</f>
        <v>0</v>
      </c>
      <c r="T70" s="789">
        <f t="shared" ca="1" si="50"/>
        <v>0</v>
      </c>
      <c r="U70" s="789">
        <f t="shared" ca="1" si="50"/>
        <v>0</v>
      </c>
      <c r="V70" s="789">
        <f t="shared" ca="1" si="50"/>
        <v>0</v>
      </c>
      <c r="W70" s="789">
        <f t="shared" ca="1" si="50"/>
        <v>0</v>
      </c>
      <c r="X70" s="789">
        <f t="shared" ca="1" si="56"/>
        <v>0</v>
      </c>
      <c r="Y70" s="789">
        <f t="shared" ca="1" si="57"/>
        <v>0</v>
      </c>
      <c r="Z70" s="789">
        <f t="shared" ca="1" si="58"/>
        <v>0</v>
      </c>
      <c r="AA70" s="789">
        <f t="shared" ca="1" si="59"/>
        <v>0</v>
      </c>
      <c r="AB70" s="789" t="str">
        <f t="shared" ca="1" si="60"/>
        <v/>
      </c>
      <c r="AC70" s="789" t="str">
        <f t="shared" ca="1" si="61"/>
        <v/>
      </c>
      <c r="AD70" s="789" t="str">
        <f t="shared" ca="1" si="62"/>
        <v/>
      </c>
      <c r="AE70" s="789" t="str">
        <f t="shared" ca="1" si="63"/>
        <v/>
      </c>
      <c r="AF70" s="789" t="str">
        <f t="shared" ca="1" si="64"/>
        <v/>
      </c>
      <c r="AG70" s="789" t="str">
        <f t="shared" ca="1" si="65"/>
        <v/>
      </c>
      <c r="AH70" s="789" t="str">
        <f t="shared" ca="1" si="66"/>
        <v/>
      </c>
      <c r="AI70" s="789" t="str">
        <f t="shared" ca="1" si="67"/>
        <v/>
      </c>
      <c r="AJ70" s="789" t="str">
        <f t="shared" ca="1" si="68"/>
        <v/>
      </c>
      <c r="AK70" s="789" t="str">
        <f t="shared" ca="1" si="69"/>
        <v/>
      </c>
      <c r="AL70" s="789" t="str">
        <f t="shared" ca="1" si="70"/>
        <v/>
      </c>
      <c r="AM70" s="789" t="str">
        <f t="shared" ca="1" si="71"/>
        <v/>
      </c>
      <c r="AN70" s="789" t="str">
        <f t="shared" ca="1" si="72"/>
        <v/>
      </c>
      <c r="AO70" s="789" t="str">
        <f t="shared" ca="1" si="73"/>
        <v/>
      </c>
      <c r="AP70" s="789" t="str">
        <f t="shared" ca="1" si="74"/>
        <v/>
      </c>
      <c r="AQ70" s="789" t="str">
        <f t="shared" ca="1" si="75"/>
        <v/>
      </c>
      <c r="AR70" s="789" t="str">
        <f t="shared" ca="1" si="76"/>
        <v/>
      </c>
      <c r="AS70" s="789" t="str">
        <f t="shared" ca="1" si="77"/>
        <v/>
      </c>
      <c r="AT70" s="789" t="str">
        <f t="shared" ca="1" si="78"/>
        <v/>
      </c>
      <c r="AU70" s="789" t="str">
        <f t="shared" ca="1" si="79"/>
        <v/>
      </c>
      <c r="AV70" s="789" t="str">
        <f t="shared" ca="1" si="80"/>
        <v/>
      </c>
      <c r="AW70" s="789" t="str">
        <f t="shared" ca="1" si="81"/>
        <v/>
      </c>
      <c r="AX70" s="789" t="str">
        <f t="shared" ca="1" si="82"/>
        <v/>
      </c>
      <c r="AY70" s="789" t="str">
        <f t="shared" ca="1" si="83"/>
        <v/>
      </c>
      <c r="AZ70" s="789" t="str">
        <f t="shared" ca="1" si="84"/>
        <v/>
      </c>
      <c r="BA70" s="789" t="str">
        <f t="shared" ca="1" si="85"/>
        <v/>
      </c>
      <c r="BB70" s="789" t="str">
        <f t="shared" ca="1" si="86"/>
        <v/>
      </c>
      <c r="BC70" s="789" t="str">
        <f t="shared" ca="1" si="87"/>
        <v/>
      </c>
      <c r="BD70" s="789" t="str">
        <f t="shared" ca="1" si="88"/>
        <v/>
      </c>
      <c r="BE70" s="789" t="str">
        <f t="shared" ca="1" si="89"/>
        <v/>
      </c>
      <c r="BF70" s="789" t="str">
        <f t="shared" ca="1" si="90"/>
        <v/>
      </c>
      <c r="BG70" s="789" t="str">
        <f t="shared" ca="1" si="91"/>
        <v/>
      </c>
      <c r="BH70" s="789" t="str">
        <f t="shared" ca="1" si="92"/>
        <v/>
      </c>
      <c r="BI70" s="789" t="str">
        <f t="shared" ca="1" si="93"/>
        <v/>
      </c>
      <c r="BJ70" s="789" t="str">
        <f t="shared" ca="1" si="94"/>
        <v/>
      </c>
      <c r="BK70" s="789" t="str">
        <f t="shared" ca="1" si="95"/>
        <v/>
      </c>
      <c r="BL70" s="789" t="str">
        <f t="shared" ca="1" si="96"/>
        <v/>
      </c>
      <c r="BM70" s="789" t="str">
        <f t="shared" ca="1" si="97"/>
        <v/>
      </c>
      <c r="BN70" s="789" t="str">
        <f t="shared" ca="1" si="98"/>
        <v/>
      </c>
      <c r="BO70" s="789" t="str">
        <f t="shared" ca="1" si="99"/>
        <v/>
      </c>
      <c r="BP70" s="802"/>
    </row>
    <row r="71" spans="1:68" ht="20.100000000000001" customHeight="1">
      <c r="A71" s="784">
        <v>77</v>
      </c>
      <c r="B71" s="1594"/>
      <c r="C71" s="1596"/>
      <c r="D71" s="829" t="s">
        <v>409</v>
      </c>
      <c r="E71" s="812" t="str">
        <f ca="1">OFFSET(A1_その他欄集計,12,7)</f>
        <v/>
      </c>
      <c r="F71" s="794"/>
      <c r="G71" s="787" t="s">
        <v>462</v>
      </c>
      <c r="H71" s="788">
        <f t="shared" ca="1" si="52"/>
        <v>8.64</v>
      </c>
      <c r="I71" s="788">
        <f t="shared" ca="1" si="53"/>
        <v>8.64</v>
      </c>
      <c r="J71" s="788">
        <f t="shared" ca="1" si="54"/>
        <v>8.64</v>
      </c>
      <c r="K71" s="788">
        <f t="shared" ca="1" si="55"/>
        <v>8.64</v>
      </c>
      <c r="L71" s="789">
        <f t="shared" ca="1" si="49"/>
        <v>0</v>
      </c>
      <c r="M71" s="789">
        <f t="shared" ca="1" si="49"/>
        <v>0</v>
      </c>
      <c r="N71" s="789">
        <f t="shared" ca="1" si="49"/>
        <v>0</v>
      </c>
      <c r="O71" s="789">
        <f t="shared" ca="1" si="49"/>
        <v>0</v>
      </c>
      <c r="P71" s="789">
        <f ca="1">SUM(SUMIFS(OFFSET(貼付け_2024実績,$A71,9,1,199),OFFSET(貼付け_2024実績,4,9,1,199),{"横浜*","川崎*"}))</f>
        <v>0</v>
      </c>
      <c r="Q71" s="789">
        <f ca="1">SUM(SUMIFS(OFFSET(貼付け_2025実績,$A71,9,1,199),OFFSET(貼付け_2025実績,4,9,1,199),{"横浜*","川崎*"}))</f>
        <v>0</v>
      </c>
      <c r="R71" s="789">
        <f ca="1">SUM(SUMIFS(OFFSET(貼付け_2026実績,$A71,9,1,199),OFFSET(貼付け_2026実績,4,9,1,199),{"横浜*","川崎*"}))</f>
        <v>0</v>
      </c>
      <c r="S71" s="789">
        <f ca="1">SUM(SUMIFS(OFFSET(貼付け_2027実績,$A71,9,1,199),OFFSET(貼付け_2027実績,4,9,1,199),{"横浜*","川崎*"}))</f>
        <v>0</v>
      </c>
      <c r="T71" s="789">
        <f t="shared" ca="1" si="50"/>
        <v>0</v>
      </c>
      <c r="U71" s="789">
        <f t="shared" ca="1" si="50"/>
        <v>0</v>
      </c>
      <c r="V71" s="789">
        <f t="shared" ca="1" si="50"/>
        <v>0</v>
      </c>
      <c r="W71" s="789">
        <f t="shared" ca="1" si="50"/>
        <v>0</v>
      </c>
      <c r="X71" s="789">
        <f t="shared" ca="1" si="56"/>
        <v>0</v>
      </c>
      <c r="Y71" s="789">
        <f t="shared" ca="1" si="57"/>
        <v>0</v>
      </c>
      <c r="Z71" s="789">
        <f t="shared" ca="1" si="58"/>
        <v>0</v>
      </c>
      <c r="AA71" s="789">
        <f t="shared" ca="1" si="59"/>
        <v>0</v>
      </c>
      <c r="AB71" s="789" t="str">
        <f t="shared" ca="1" si="60"/>
        <v/>
      </c>
      <c r="AC71" s="789" t="str">
        <f t="shared" ca="1" si="61"/>
        <v/>
      </c>
      <c r="AD71" s="789" t="str">
        <f t="shared" ca="1" si="62"/>
        <v/>
      </c>
      <c r="AE71" s="789" t="str">
        <f t="shared" ca="1" si="63"/>
        <v/>
      </c>
      <c r="AF71" s="789" t="str">
        <f t="shared" ca="1" si="64"/>
        <v/>
      </c>
      <c r="AG71" s="789" t="str">
        <f t="shared" ca="1" si="65"/>
        <v/>
      </c>
      <c r="AH71" s="789" t="str">
        <f t="shared" ca="1" si="66"/>
        <v/>
      </c>
      <c r="AI71" s="789" t="str">
        <f t="shared" ca="1" si="67"/>
        <v/>
      </c>
      <c r="AJ71" s="789" t="str">
        <f t="shared" ca="1" si="68"/>
        <v/>
      </c>
      <c r="AK71" s="789" t="str">
        <f t="shared" ca="1" si="69"/>
        <v/>
      </c>
      <c r="AL71" s="789" t="str">
        <f t="shared" ca="1" si="70"/>
        <v/>
      </c>
      <c r="AM71" s="789" t="str">
        <f t="shared" ca="1" si="71"/>
        <v/>
      </c>
      <c r="AN71" s="789" t="str">
        <f t="shared" ca="1" si="72"/>
        <v/>
      </c>
      <c r="AO71" s="789" t="str">
        <f t="shared" ca="1" si="73"/>
        <v/>
      </c>
      <c r="AP71" s="789" t="str">
        <f t="shared" ca="1" si="74"/>
        <v/>
      </c>
      <c r="AQ71" s="789" t="str">
        <f t="shared" ca="1" si="75"/>
        <v/>
      </c>
      <c r="AR71" s="789" t="str">
        <f t="shared" ca="1" si="76"/>
        <v/>
      </c>
      <c r="AS71" s="789" t="str">
        <f t="shared" ca="1" si="77"/>
        <v/>
      </c>
      <c r="AT71" s="789" t="str">
        <f t="shared" ca="1" si="78"/>
        <v/>
      </c>
      <c r="AU71" s="789" t="str">
        <f t="shared" ca="1" si="79"/>
        <v/>
      </c>
      <c r="AV71" s="789" t="str">
        <f t="shared" ca="1" si="80"/>
        <v/>
      </c>
      <c r="AW71" s="789" t="str">
        <f t="shared" ca="1" si="81"/>
        <v/>
      </c>
      <c r="AX71" s="789" t="str">
        <f t="shared" ca="1" si="82"/>
        <v/>
      </c>
      <c r="AY71" s="789" t="str">
        <f t="shared" ca="1" si="83"/>
        <v/>
      </c>
      <c r="AZ71" s="789" t="str">
        <f t="shared" ca="1" si="84"/>
        <v/>
      </c>
      <c r="BA71" s="789" t="str">
        <f t="shared" ca="1" si="85"/>
        <v/>
      </c>
      <c r="BB71" s="789" t="str">
        <f t="shared" ca="1" si="86"/>
        <v/>
      </c>
      <c r="BC71" s="789" t="str">
        <f t="shared" ca="1" si="87"/>
        <v/>
      </c>
      <c r="BD71" s="789" t="str">
        <f t="shared" ca="1" si="88"/>
        <v/>
      </c>
      <c r="BE71" s="789" t="str">
        <f t="shared" ca="1" si="89"/>
        <v/>
      </c>
      <c r="BF71" s="789" t="str">
        <f t="shared" ca="1" si="90"/>
        <v/>
      </c>
      <c r="BG71" s="789" t="str">
        <f t="shared" ca="1" si="91"/>
        <v/>
      </c>
      <c r="BH71" s="789" t="str">
        <f t="shared" ca="1" si="92"/>
        <v/>
      </c>
      <c r="BI71" s="789" t="str">
        <f t="shared" ca="1" si="93"/>
        <v/>
      </c>
      <c r="BJ71" s="789" t="str">
        <f t="shared" ca="1" si="94"/>
        <v/>
      </c>
      <c r="BK71" s="789" t="str">
        <f t="shared" ca="1" si="95"/>
        <v/>
      </c>
      <c r="BL71" s="789" t="str">
        <f t="shared" ca="1" si="96"/>
        <v/>
      </c>
      <c r="BM71" s="789" t="str">
        <f t="shared" ca="1" si="97"/>
        <v/>
      </c>
      <c r="BN71" s="789" t="str">
        <f t="shared" ca="1" si="98"/>
        <v/>
      </c>
      <c r="BO71" s="789" t="str">
        <f t="shared" ca="1" si="99"/>
        <v/>
      </c>
      <c r="BP71" s="802"/>
    </row>
    <row r="72" spans="1:68" ht="20.100000000000001" customHeight="1">
      <c r="A72" s="784">
        <v>78</v>
      </c>
      <c r="B72" s="1594"/>
      <c r="C72" s="1596"/>
      <c r="D72" s="830"/>
      <c r="E72" s="785" t="s">
        <v>790</v>
      </c>
      <c r="F72" s="794"/>
      <c r="G72" s="787" t="s">
        <v>462</v>
      </c>
      <c r="H72" s="788">
        <f t="shared" ca="1" si="52"/>
        <v>8.64</v>
      </c>
      <c r="I72" s="788">
        <f t="shared" ca="1" si="53"/>
        <v>8.64</v>
      </c>
      <c r="J72" s="788">
        <f t="shared" ca="1" si="54"/>
        <v>8.64</v>
      </c>
      <c r="K72" s="788">
        <f t="shared" ca="1" si="55"/>
        <v>8.64</v>
      </c>
      <c r="L72" s="789">
        <f t="shared" ca="1" si="49"/>
        <v>0</v>
      </c>
      <c r="M72" s="789">
        <f t="shared" ca="1" si="49"/>
        <v>0</v>
      </c>
      <c r="N72" s="789">
        <f t="shared" ca="1" si="49"/>
        <v>0</v>
      </c>
      <c r="O72" s="789">
        <f t="shared" ca="1" si="49"/>
        <v>0</v>
      </c>
      <c r="P72" s="789">
        <f ca="1">SUM(SUMIFS(OFFSET(貼付け_2024実績,$A72,9,1,199),OFFSET(貼付け_2024実績,4,9,1,199),{"横浜*","川崎*"}))</f>
        <v>0</v>
      </c>
      <c r="Q72" s="789">
        <f ca="1">SUM(SUMIFS(OFFSET(貼付け_2025実績,$A72,9,1,199),OFFSET(貼付け_2025実績,4,9,1,199),{"横浜*","川崎*"}))</f>
        <v>0</v>
      </c>
      <c r="R72" s="789">
        <f ca="1">SUM(SUMIFS(OFFSET(貼付け_2026実績,$A72,9,1,199),OFFSET(貼付け_2026実績,4,9,1,199),{"横浜*","川崎*"}))</f>
        <v>0</v>
      </c>
      <c r="S72" s="789">
        <f ca="1">SUM(SUMIFS(OFFSET(貼付け_2027実績,$A72,9,1,199),OFFSET(貼付け_2027実績,4,9,1,199),{"横浜*","川崎*"}))</f>
        <v>0</v>
      </c>
      <c r="T72" s="789">
        <f t="shared" ca="1" si="50"/>
        <v>0</v>
      </c>
      <c r="U72" s="789">
        <f t="shared" ca="1" si="50"/>
        <v>0</v>
      </c>
      <c r="V72" s="789">
        <f t="shared" ca="1" si="50"/>
        <v>0</v>
      </c>
      <c r="W72" s="789">
        <f t="shared" ca="1" si="50"/>
        <v>0</v>
      </c>
      <c r="X72" s="789">
        <f t="shared" ca="1" si="56"/>
        <v>0</v>
      </c>
      <c r="Y72" s="789">
        <f t="shared" ca="1" si="57"/>
        <v>0</v>
      </c>
      <c r="Z72" s="789">
        <f t="shared" ca="1" si="58"/>
        <v>0</v>
      </c>
      <c r="AA72" s="789">
        <f t="shared" ca="1" si="59"/>
        <v>0</v>
      </c>
      <c r="AB72" s="789" t="str">
        <f t="shared" ca="1" si="60"/>
        <v/>
      </c>
      <c r="AC72" s="789" t="str">
        <f t="shared" ca="1" si="61"/>
        <v/>
      </c>
      <c r="AD72" s="789" t="str">
        <f t="shared" ca="1" si="62"/>
        <v/>
      </c>
      <c r="AE72" s="789" t="str">
        <f t="shared" ca="1" si="63"/>
        <v/>
      </c>
      <c r="AF72" s="789" t="str">
        <f t="shared" ca="1" si="64"/>
        <v/>
      </c>
      <c r="AG72" s="789" t="str">
        <f t="shared" ca="1" si="65"/>
        <v/>
      </c>
      <c r="AH72" s="789" t="str">
        <f t="shared" ca="1" si="66"/>
        <v/>
      </c>
      <c r="AI72" s="789" t="str">
        <f t="shared" ca="1" si="67"/>
        <v/>
      </c>
      <c r="AJ72" s="789" t="str">
        <f t="shared" ca="1" si="68"/>
        <v/>
      </c>
      <c r="AK72" s="789" t="str">
        <f t="shared" ca="1" si="69"/>
        <v/>
      </c>
      <c r="AL72" s="789" t="str">
        <f t="shared" ca="1" si="70"/>
        <v/>
      </c>
      <c r="AM72" s="789" t="str">
        <f t="shared" ca="1" si="71"/>
        <v/>
      </c>
      <c r="AN72" s="789" t="str">
        <f t="shared" ca="1" si="72"/>
        <v/>
      </c>
      <c r="AO72" s="789" t="str">
        <f t="shared" ca="1" si="73"/>
        <v/>
      </c>
      <c r="AP72" s="789" t="str">
        <f t="shared" ca="1" si="74"/>
        <v/>
      </c>
      <c r="AQ72" s="789" t="str">
        <f t="shared" ca="1" si="75"/>
        <v/>
      </c>
      <c r="AR72" s="789" t="str">
        <f t="shared" ca="1" si="76"/>
        <v/>
      </c>
      <c r="AS72" s="789" t="str">
        <f t="shared" ca="1" si="77"/>
        <v/>
      </c>
      <c r="AT72" s="789" t="str">
        <f t="shared" ca="1" si="78"/>
        <v/>
      </c>
      <c r="AU72" s="789" t="str">
        <f t="shared" ca="1" si="79"/>
        <v/>
      </c>
      <c r="AV72" s="789" t="str">
        <f t="shared" ca="1" si="80"/>
        <v/>
      </c>
      <c r="AW72" s="789" t="str">
        <f t="shared" ca="1" si="81"/>
        <v/>
      </c>
      <c r="AX72" s="789" t="str">
        <f t="shared" ca="1" si="82"/>
        <v/>
      </c>
      <c r="AY72" s="789" t="str">
        <f t="shared" ca="1" si="83"/>
        <v/>
      </c>
      <c r="AZ72" s="789" t="str">
        <f t="shared" ca="1" si="84"/>
        <v/>
      </c>
      <c r="BA72" s="789" t="str">
        <f t="shared" ca="1" si="85"/>
        <v/>
      </c>
      <c r="BB72" s="789" t="str">
        <f t="shared" ca="1" si="86"/>
        <v/>
      </c>
      <c r="BC72" s="789" t="str">
        <f t="shared" ca="1" si="87"/>
        <v/>
      </c>
      <c r="BD72" s="789" t="str">
        <f t="shared" ca="1" si="88"/>
        <v/>
      </c>
      <c r="BE72" s="789" t="str">
        <f t="shared" ca="1" si="89"/>
        <v/>
      </c>
      <c r="BF72" s="789" t="str">
        <f t="shared" ca="1" si="90"/>
        <v/>
      </c>
      <c r="BG72" s="789" t="str">
        <f t="shared" ca="1" si="91"/>
        <v/>
      </c>
      <c r="BH72" s="789" t="str">
        <f t="shared" ca="1" si="92"/>
        <v/>
      </c>
      <c r="BI72" s="789" t="str">
        <f t="shared" ca="1" si="93"/>
        <v/>
      </c>
      <c r="BJ72" s="789" t="str">
        <f t="shared" ca="1" si="94"/>
        <v/>
      </c>
      <c r="BK72" s="789" t="str">
        <f t="shared" ca="1" si="95"/>
        <v/>
      </c>
      <c r="BL72" s="789" t="str">
        <f t="shared" ca="1" si="96"/>
        <v/>
      </c>
      <c r="BM72" s="789" t="str">
        <f t="shared" ca="1" si="97"/>
        <v/>
      </c>
      <c r="BN72" s="789" t="str">
        <f t="shared" ca="1" si="98"/>
        <v/>
      </c>
      <c r="BO72" s="789" t="str">
        <f t="shared" ca="1" si="99"/>
        <v/>
      </c>
      <c r="BP72" s="802"/>
    </row>
    <row r="73" spans="1:68" ht="20.100000000000001" customHeight="1">
      <c r="A73" s="784">
        <v>80</v>
      </c>
      <c r="B73" s="1594"/>
      <c r="C73" s="1597"/>
      <c r="D73" s="831" t="s">
        <v>410</v>
      </c>
      <c r="E73" s="832" t="str">
        <f ca="1">OFFSET(A1_その他欄集計,13,7)</f>
        <v/>
      </c>
      <c r="F73" s="798"/>
      <c r="G73" s="787" t="s">
        <v>462</v>
      </c>
      <c r="H73" s="788">
        <f t="shared" ca="1" si="52"/>
        <v>0</v>
      </c>
      <c r="I73" s="788">
        <f t="shared" ca="1" si="53"/>
        <v>0</v>
      </c>
      <c r="J73" s="788">
        <f t="shared" ca="1" si="54"/>
        <v>0</v>
      </c>
      <c r="K73" s="788">
        <f t="shared" ca="1" si="55"/>
        <v>0</v>
      </c>
      <c r="L73" s="789">
        <f t="shared" ca="1" si="49"/>
        <v>0</v>
      </c>
      <c r="M73" s="789">
        <f t="shared" ca="1" si="49"/>
        <v>0</v>
      </c>
      <c r="N73" s="789">
        <f t="shared" ca="1" si="49"/>
        <v>0</v>
      </c>
      <c r="O73" s="789">
        <f t="shared" ca="1" si="49"/>
        <v>0</v>
      </c>
      <c r="P73" s="789">
        <f ca="1">SUM(SUMIFS(OFFSET(貼付け_2024実績,$A73,9,1,199),OFFSET(貼付け_2024実績,4,9,1,199),{"横浜*","川崎*"}))</f>
        <v>0</v>
      </c>
      <c r="Q73" s="789">
        <f ca="1">SUM(SUMIFS(OFFSET(貼付け_2025実績,$A73,9,1,199),OFFSET(貼付け_2025実績,4,9,1,199),{"横浜*","川崎*"}))</f>
        <v>0</v>
      </c>
      <c r="R73" s="789">
        <f ca="1">SUM(SUMIFS(OFFSET(貼付け_2026実績,$A73,9,1,199),OFFSET(貼付け_2026実績,4,9,1,199),{"横浜*","川崎*"}))</f>
        <v>0</v>
      </c>
      <c r="S73" s="789">
        <f ca="1">SUM(SUMIFS(OFFSET(貼付け_2027実績,$A73,9,1,199),OFFSET(貼付け_2027実績,4,9,1,199),{"横浜*","川崎*"}))</f>
        <v>0</v>
      </c>
      <c r="T73" s="789">
        <f t="shared" ca="1" si="50"/>
        <v>0</v>
      </c>
      <c r="U73" s="789">
        <f t="shared" ca="1" si="50"/>
        <v>0</v>
      </c>
      <c r="V73" s="789">
        <f t="shared" ca="1" si="50"/>
        <v>0</v>
      </c>
      <c r="W73" s="789">
        <f t="shared" ca="1" si="50"/>
        <v>0</v>
      </c>
      <c r="X73" s="789">
        <f t="shared" ref="X73:X90" ca="1" si="100">SUMIFS(OFFSET(貼付け_2024実績,$A73,9,1,199),OFFSET(貼付け_2024実績,4,9,1,199),"県域*")</f>
        <v>0</v>
      </c>
      <c r="Y73" s="789">
        <f t="shared" ref="Y73:Y90" ca="1" si="101">SUMIFS(OFFSET(貼付け_2025実績,$A73,9,1,199),OFFSET(貼付け_2025実績,4,9,1,199),"県域*")</f>
        <v>0</v>
      </c>
      <c r="Z73" s="789">
        <f t="shared" ref="Z73:Z90" ca="1" si="102">SUMIFS(OFFSET(貼付け_2026実績,$A73,9,1,199),OFFSET(貼付け_2026実績,4,9,1,199),"県域*")</f>
        <v>0</v>
      </c>
      <c r="AA73" s="789">
        <f t="shared" ref="AA73:AA90" ca="1" si="103">SUMIFS(OFFSET(貼付け_2027実績,$A73,9,1,199),OFFSET(貼付け_2027実績,4,9,1,199),"県域*")</f>
        <v>0</v>
      </c>
      <c r="AB73" s="789" t="str">
        <f t="shared" ca="1" si="60"/>
        <v/>
      </c>
      <c r="AC73" s="789" t="str">
        <f t="shared" ca="1" si="61"/>
        <v/>
      </c>
      <c r="AD73" s="789" t="str">
        <f t="shared" ca="1" si="62"/>
        <v/>
      </c>
      <c r="AE73" s="789" t="str">
        <f t="shared" ca="1" si="63"/>
        <v/>
      </c>
      <c r="AF73" s="789" t="str">
        <f t="shared" ca="1" si="64"/>
        <v/>
      </c>
      <c r="AG73" s="789" t="str">
        <f t="shared" ca="1" si="65"/>
        <v/>
      </c>
      <c r="AH73" s="789" t="str">
        <f t="shared" ca="1" si="66"/>
        <v/>
      </c>
      <c r="AI73" s="789" t="str">
        <f t="shared" ca="1" si="67"/>
        <v/>
      </c>
      <c r="AJ73" s="789" t="str">
        <f t="shared" ca="1" si="68"/>
        <v/>
      </c>
      <c r="AK73" s="789" t="str">
        <f t="shared" ca="1" si="69"/>
        <v/>
      </c>
      <c r="AL73" s="789" t="str">
        <f t="shared" ca="1" si="70"/>
        <v/>
      </c>
      <c r="AM73" s="789" t="str">
        <f t="shared" ca="1" si="71"/>
        <v/>
      </c>
      <c r="AN73" s="789" t="str">
        <f t="shared" ca="1" si="72"/>
        <v/>
      </c>
      <c r="AO73" s="789" t="str">
        <f t="shared" ca="1" si="73"/>
        <v/>
      </c>
      <c r="AP73" s="789" t="str">
        <f t="shared" ca="1" si="74"/>
        <v/>
      </c>
      <c r="AQ73" s="789" t="str">
        <f t="shared" ca="1" si="75"/>
        <v/>
      </c>
      <c r="AR73" s="789" t="str">
        <f t="shared" ca="1" si="76"/>
        <v/>
      </c>
      <c r="AS73" s="789" t="str">
        <f t="shared" ca="1" si="77"/>
        <v/>
      </c>
      <c r="AT73" s="789" t="str">
        <f t="shared" ca="1" si="78"/>
        <v/>
      </c>
      <c r="AU73" s="789" t="str">
        <f t="shared" ca="1" si="79"/>
        <v/>
      </c>
      <c r="AV73" s="789" t="str">
        <f t="shared" ca="1" si="80"/>
        <v/>
      </c>
      <c r="AW73" s="789" t="str">
        <f t="shared" ca="1" si="81"/>
        <v/>
      </c>
      <c r="AX73" s="789" t="str">
        <f t="shared" ca="1" si="82"/>
        <v/>
      </c>
      <c r="AY73" s="789" t="str">
        <f t="shared" ca="1" si="83"/>
        <v/>
      </c>
      <c r="AZ73" s="789" t="str">
        <f t="shared" ca="1" si="84"/>
        <v/>
      </c>
      <c r="BA73" s="789" t="str">
        <f t="shared" ca="1" si="85"/>
        <v/>
      </c>
      <c r="BB73" s="789" t="str">
        <f t="shared" ca="1" si="86"/>
        <v/>
      </c>
      <c r="BC73" s="789" t="str">
        <f t="shared" ca="1" si="87"/>
        <v/>
      </c>
      <c r="BD73" s="789" t="str">
        <f t="shared" ca="1" si="88"/>
        <v/>
      </c>
      <c r="BE73" s="789" t="str">
        <f t="shared" ca="1" si="89"/>
        <v/>
      </c>
      <c r="BF73" s="789" t="str">
        <f t="shared" ca="1" si="90"/>
        <v/>
      </c>
      <c r="BG73" s="789" t="str">
        <f t="shared" ca="1" si="91"/>
        <v/>
      </c>
      <c r="BH73" s="789" t="str">
        <f t="shared" ca="1" si="92"/>
        <v/>
      </c>
      <c r="BI73" s="789" t="str">
        <f t="shared" ca="1" si="93"/>
        <v/>
      </c>
      <c r="BJ73" s="789" t="str">
        <f t="shared" ca="1" si="94"/>
        <v/>
      </c>
      <c r="BK73" s="789" t="str">
        <f t="shared" ca="1" si="95"/>
        <v/>
      </c>
      <c r="BL73" s="789" t="str">
        <f t="shared" ca="1" si="96"/>
        <v/>
      </c>
      <c r="BM73" s="789" t="str">
        <f t="shared" ca="1" si="97"/>
        <v/>
      </c>
      <c r="BN73" s="789" t="str">
        <f t="shared" ca="1" si="98"/>
        <v/>
      </c>
      <c r="BO73" s="789" t="str">
        <f t="shared" ca="1" si="99"/>
        <v/>
      </c>
      <c r="BP73" s="802"/>
    </row>
    <row r="74" spans="1:68" ht="20.100000000000001" customHeight="1">
      <c r="A74" s="784">
        <v>81</v>
      </c>
      <c r="B74" s="1594"/>
      <c r="C74" s="833"/>
      <c r="D74" s="834"/>
      <c r="E74" s="785" t="s">
        <v>790</v>
      </c>
      <c r="F74" s="835"/>
      <c r="G74" s="787" t="s">
        <v>462</v>
      </c>
      <c r="H74" s="788">
        <f t="shared" ca="1" si="52"/>
        <v>0</v>
      </c>
      <c r="I74" s="788">
        <f t="shared" ca="1" si="53"/>
        <v>0</v>
      </c>
      <c r="J74" s="788">
        <f t="shared" ca="1" si="54"/>
        <v>0</v>
      </c>
      <c r="K74" s="788">
        <f t="shared" ca="1" si="55"/>
        <v>0</v>
      </c>
      <c r="L74" s="789">
        <f t="shared" ca="1" si="49"/>
        <v>0</v>
      </c>
      <c r="M74" s="789">
        <f t="shared" ca="1" si="49"/>
        <v>0</v>
      </c>
      <c r="N74" s="789">
        <f t="shared" ca="1" si="49"/>
        <v>0</v>
      </c>
      <c r="O74" s="789">
        <f t="shared" ca="1" si="49"/>
        <v>0</v>
      </c>
      <c r="P74" s="789">
        <f ca="1">SUM(SUMIFS(OFFSET(貼付け_2024実績,$A74,9,1,199),OFFSET(貼付け_2024実績,4,9,1,199),{"横浜*","川崎*"}))</f>
        <v>0</v>
      </c>
      <c r="Q74" s="789">
        <f ca="1">SUM(SUMIFS(OFFSET(貼付け_2025実績,$A74,9,1,199),OFFSET(貼付け_2025実績,4,9,1,199),{"横浜*","川崎*"}))</f>
        <v>0</v>
      </c>
      <c r="R74" s="789">
        <f ca="1">SUM(SUMIFS(OFFSET(貼付け_2026実績,$A74,9,1,199),OFFSET(貼付け_2026実績,4,9,1,199),{"横浜*","川崎*"}))</f>
        <v>0</v>
      </c>
      <c r="S74" s="789">
        <f ca="1">SUM(SUMIFS(OFFSET(貼付け_2027実績,$A74,9,1,199),OFFSET(貼付け_2027実績,4,9,1,199),{"横浜*","川崎*"}))</f>
        <v>0</v>
      </c>
      <c r="T74" s="789">
        <f t="shared" ca="1" si="50"/>
        <v>0</v>
      </c>
      <c r="U74" s="789">
        <f t="shared" ca="1" si="50"/>
        <v>0</v>
      </c>
      <c r="V74" s="789">
        <f t="shared" ca="1" si="50"/>
        <v>0</v>
      </c>
      <c r="W74" s="789">
        <f t="shared" ca="1" si="50"/>
        <v>0</v>
      </c>
      <c r="X74" s="789">
        <f t="shared" ca="1" si="100"/>
        <v>0</v>
      </c>
      <c r="Y74" s="789">
        <f t="shared" ca="1" si="101"/>
        <v>0</v>
      </c>
      <c r="Z74" s="789">
        <f t="shared" ca="1" si="102"/>
        <v>0</v>
      </c>
      <c r="AA74" s="789">
        <f t="shared" ca="1" si="103"/>
        <v>0</v>
      </c>
      <c r="AB74" s="789" t="str">
        <f t="shared" ca="1" si="60"/>
        <v/>
      </c>
      <c r="AC74" s="789" t="str">
        <f t="shared" ca="1" si="61"/>
        <v/>
      </c>
      <c r="AD74" s="789" t="str">
        <f t="shared" ca="1" si="62"/>
        <v/>
      </c>
      <c r="AE74" s="789" t="str">
        <f t="shared" ca="1" si="63"/>
        <v/>
      </c>
      <c r="AF74" s="789" t="str">
        <f t="shared" ca="1" si="64"/>
        <v/>
      </c>
      <c r="AG74" s="789" t="str">
        <f t="shared" ca="1" si="65"/>
        <v/>
      </c>
      <c r="AH74" s="789" t="str">
        <f t="shared" ca="1" si="66"/>
        <v/>
      </c>
      <c r="AI74" s="789" t="str">
        <f t="shared" ca="1" si="67"/>
        <v/>
      </c>
      <c r="AJ74" s="789" t="str">
        <f t="shared" ca="1" si="68"/>
        <v/>
      </c>
      <c r="AK74" s="789" t="str">
        <f t="shared" ca="1" si="69"/>
        <v/>
      </c>
      <c r="AL74" s="789" t="str">
        <f t="shared" ca="1" si="70"/>
        <v/>
      </c>
      <c r="AM74" s="789" t="str">
        <f t="shared" ca="1" si="71"/>
        <v/>
      </c>
      <c r="AN74" s="789" t="str">
        <f t="shared" ca="1" si="72"/>
        <v/>
      </c>
      <c r="AO74" s="789" t="str">
        <f t="shared" ca="1" si="73"/>
        <v/>
      </c>
      <c r="AP74" s="789" t="str">
        <f t="shared" ca="1" si="74"/>
        <v/>
      </c>
      <c r="AQ74" s="789" t="str">
        <f t="shared" ca="1" si="75"/>
        <v/>
      </c>
      <c r="AR74" s="789" t="str">
        <f t="shared" ca="1" si="76"/>
        <v/>
      </c>
      <c r="AS74" s="789" t="str">
        <f t="shared" ca="1" si="77"/>
        <v/>
      </c>
      <c r="AT74" s="789" t="str">
        <f t="shared" ca="1" si="78"/>
        <v/>
      </c>
      <c r="AU74" s="789" t="str">
        <f t="shared" ca="1" si="79"/>
        <v/>
      </c>
      <c r="AV74" s="789" t="str">
        <f t="shared" ca="1" si="80"/>
        <v/>
      </c>
      <c r="AW74" s="789" t="str">
        <f t="shared" ca="1" si="81"/>
        <v/>
      </c>
      <c r="AX74" s="789" t="str">
        <f t="shared" ca="1" si="82"/>
        <v/>
      </c>
      <c r="AY74" s="789" t="str">
        <f t="shared" ca="1" si="83"/>
        <v/>
      </c>
      <c r="AZ74" s="789" t="str">
        <f t="shared" ca="1" si="84"/>
        <v/>
      </c>
      <c r="BA74" s="789" t="str">
        <f t="shared" ca="1" si="85"/>
        <v/>
      </c>
      <c r="BB74" s="789" t="str">
        <f t="shared" ca="1" si="86"/>
        <v/>
      </c>
      <c r="BC74" s="789" t="str">
        <f t="shared" ca="1" si="87"/>
        <v/>
      </c>
      <c r="BD74" s="789" t="str">
        <f t="shared" ca="1" si="88"/>
        <v/>
      </c>
      <c r="BE74" s="789" t="str">
        <f t="shared" ca="1" si="89"/>
        <v/>
      </c>
      <c r="BF74" s="789" t="str">
        <f t="shared" ca="1" si="90"/>
        <v/>
      </c>
      <c r="BG74" s="789" t="str">
        <f t="shared" ca="1" si="91"/>
        <v/>
      </c>
      <c r="BH74" s="789" t="str">
        <f t="shared" ca="1" si="92"/>
        <v/>
      </c>
      <c r="BI74" s="789" t="str">
        <f t="shared" ca="1" si="93"/>
        <v/>
      </c>
      <c r="BJ74" s="789" t="str">
        <f t="shared" ca="1" si="94"/>
        <v/>
      </c>
      <c r="BK74" s="789" t="str">
        <f t="shared" ca="1" si="95"/>
        <v/>
      </c>
      <c r="BL74" s="789" t="str">
        <f t="shared" ca="1" si="96"/>
        <v/>
      </c>
      <c r="BM74" s="789" t="str">
        <f t="shared" ca="1" si="97"/>
        <v/>
      </c>
      <c r="BN74" s="789" t="str">
        <f t="shared" ca="1" si="98"/>
        <v/>
      </c>
      <c r="BO74" s="789" t="str">
        <f t="shared" ca="1" si="99"/>
        <v/>
      </c>
      <c r="BP74" s="802"/>
    </row>
    <row r="75" spans="1:68" ht="20.100000000000001" customHeight="1">
      <c r="A75" s="784">
        <v>83</v>
      </c>
      <c r="B75" s="1594"/>
      <c r="C75" s="1596" t="s">
        <v>411</v>
      </c>
      <c r="D75" s="814" t="s">
        <v>791</v>
      </c>
      <c r="E75" s="785"/>
      <c r="F75" s="836"/>
      <c r="G75" s="787" t="s">
        <v>462</v>
      </c>
      <c r="H75" s="788">
        <f t="shared" ref="H75:H90" ca="1" si="104">IFERROR(OFFSET(貼付け_2024実績,$A75,5),"")</f>
        <v>3.6</v>
      </c>
      <c r="I75" s="788">
        <f t="shared" ref="I75:I90" ca="1" si="105">IFERROR(OFFSET(貼付け_2025実績,$A75,5),"")</f>
        <v>3.6</v>
      </c>
      <c r="J75" s="788">
        <f t="shared" ref="J75:J90" ca="1" si="106">IFERROR(OFFSET(貼付け_2026実績,$A75,5),"")</f>
        <v>3.6</v>
      </c>
      <c r="K75" s="788">
        <f t="shared" ref="K75:K90" ca="1" si="107">IFERROR(OFFSET(貼付け_2027実績,$A75,5),"")</f>
        <v>3.6</v>
      </c>
      <c r="L75" s="789">
        <f t="shared" ca="1" si="49"/>
        <v>0</v>
      </c>
      <c r="M75" s="789">
        <f t="shared" ca="1" si="49"/>
        <v>0</v>
      </c>
      <c r="N75" s="789">
        <f t="shared" ca="1" si="49"/>
        <v>0</v>
      </c>
      <c r="O75" s="789">
        <f t="shared" ca="1" si="49"/>
        <v>0</v>
      </c>
      <c r="P75" s="789">
        <f ca="1">SUM(SUMIFS(OFFSET(貼付け_2024実績,$A75,9,1,199),OFFSET(貼付け_2024実績,4,9,1,199),{"横浜*","川崎*"}))</f>
        <v>0</v>
      </c>
      <c r="Q75" s="789">
        <f ca="1">SUM(SUMIFS(OFFSET(貼付け_2025実績,$A75,9,1,199),OFFSET(貼付け_2025実績,4,9,1,199),{"横浜*","川崎*"}))</f>
        <v>0</v>
      </c>
      <c r="R75" s="789">
        <f ca="1">SUM(SUMIFS(OFFSET(貼付け_2026実績,$A75,9,1,199),OFFSET(貼付け_2026実績,4,9,1,199),{"横浜*","川崎*"}))</f>
        <v>0</v>
      </c>
      <c r="S75" s="789">
        <f ca="1">SUM(SUMIFS(OFFSET(貼付け_2027実績,$A75,9,1,199),OFFSET(貼付け_2027実績,4,9,1,199),{"横浜*","川崎*"}))</f>
        <v>0</v>
      </c>
      <c r="T75" s="789">
        <f t="shared" ca="1" si="50"/>
        <v>0</v>
      </c>
      <c r="U75" s="789">
        <f t="shared" ca="1" si="50"/>
        <v>0</v>
      </c>
      <c r="V75" s="789">
        <f t="shared" ca="1" si="50"/>
        <v>0</v>
      </c>
      <c r="W75" s="789">
        <f t="shared" ca="1" si="50"/>
        <v>0</v>
      </c>
      <c r="X75" s="789">
        <f t="shared" ca="1" si="100"/>
        <v>0</v>
      </c>
      <c r="Y75" s="789">
        <f t="shared" ca="1" si="101"/>
        <v>0</v>
      </c>
      <c r="Z75" s="789">
        <f t="shared" ca="1" si="102"/>
        <v>0</v>
      </c>
      <c r="AA75" s="789">
        <f t="shared" ca="1" si="103"/>
        <v>0</v>
      </c>
      <c r="AB75" s="789" t="str">
        <f t="shared" ref="AB75:AB89" ca="1" si="108">IFERROR(OFFSET(貼付け_2024実績,$A75,AB$1),"")</f>
        <v/>
      </c>
      <c r="AC75" s="789" t="str">
        <f t="shared" ref="AC75:AC90" ca="1" si="109">IFERROR(OFFSET(貼付け_2025実績,$A75,AC$1),"")</f>
        <v/>
      </c>
      <c r="AD75" s="789" t="str">
        <f t="shared" ref="AD75:AD90" ca="1" si="110">IFERROR(OFFSET(貼付け_2026実績,$A75,AD$1),"")</f>
        <v/>
      </c>
      <c r="AE75" s="789" t="str">
        <f t="shared" ref="AE75:AE90" ca="1" si="111">IFERROR(OFFSET(貼付け_2027実績,$A75,AE$1),"")</f>
        <v/>
      </c>
      <c r="AF75" s="789" t="str">
        <f t="shared" ref="AF75:AF90" ca="1" si="112">IFERROR(OFFSET(貼付け_2024実績,$A75,AF$1),"")</f>
        <v/>
      </c>
      <c r="AG75" s="789" t="str">
        <f t="shared" ref="AG75:AG90" ca="1" si="113">IFERROR(OFFSET(貼付け_2025実績,$A75,AG$1),"")</f>
        <v/>
      </c>
      <c r="AH75" s="789" t="str">
        <f t="shared" ref="AH75:AH90" ca="1" si="114">IFERROR(OFFSET(貼付け_2026実績,$A75,AH$1),"")</f>
        <v/>
      </c>
      <c r="AI75" s="789" t="str">
        <f t="shared" ref="AI75:AI90" ca="1" si="115">IFERROR(OFFSET(貼付け_2027実績,$A75,AI$1),"")</f>
        <v/>
      </c>
      <c r="AJ75" s="789" t="str">
        <f t="shared" ref="AJ75:AJ90" ca="1" si="116">IFERROR(OFFSET(貼付け_2024実績,$A75,AJ$1),"")</f>
        <v/>
      </c>
      <c r="AK75" s="789" t="str">
        <f t="shared" ref="AK75:AK90" ca="1" si="117">IFERROR(OFFSET(貼付け_2025実績,$A75,AK$1),"")</f>
        <v/>
      </c>
      <c r="AL75" s="789" t="str">
        <f t="shared" ref="AL75:AL90" ca="1" si="118">IFERROR(OFFSET(貼付け_2026実績,$A75,AL$1),"")</f>
        <v/>
      </c>
      <c r="AM75" s="789" t="str">
        <f t="shared" ref="AM75:AM90" ca="1" si="119">IFERROR(OFFSET(貼付け_2027実績,$A75,AM$1),"")</f>
        <v/>
      </c>
      <c r="AN75" s="789" t="str">
        <f t="shared" ref="AN75:AN90" ca="1" si="120">IFERROR(OFFSET(貼付け_2024実績,$A75,AN$1),"")</f>
        <v/>
      </c>
      <c r="AO75" s="789" t="str">
        <f t="shared" ref="AO75:AO90" ca="1" si="121">IFERROR(OFFSET(貼付け_2025実績,$A75,AO$1),"")</f>
        <v/>
      </c>
      <c r="AP75" s="789" t="str">
        <f t="shared" ref="AP75:AP90" ca="1" si="122">IFERROR(OFFSET(貼付け_2026実績,$A75,AP$1),"")</f>
        <v/>
      </c>
      <c r="AQ75" s="789" t="str">
        <f t="shared" ref="AQ75:AQ90" ca="1" si="123">IFERROR(OFFSET(貼付け_2027実績,$A75,AQ$1),"")</f>
        <v/>
      </c>
      <c r="AR75" s="789" t="str">
        <f t="shared" ref="AR75:AR90" ca="1" si="124">IFERROR(OFFSET(貼付け_2024実績,$A75,AR$1),"")</f>
        <v/>
      </c>
      <c r="AS75" s="789" t="str">
        <f t="shared" ref="AS75:AS90" ca="1" si="125">IFERROR(OFFSET(貼付け_2025実績,$A75,AS$1),"")</f>
        <v/>
      </c>
      <c r="AT75" s="789" t="str">
        <f t="shared" ref="AT75:AT90" ca="1" si="126">IFERROR(OFFSET(貼付け_2026実績,$A75,AT$1),"")</f>
        <v/>
      </c>
      <c r="AU75" s="789" t="str">
        <f t="shared" ref="AU75:AU90" ca="1" si="127">IFERROR(OFFSET(貼付け_2027実績,$A75,AU$1),"")</f>
        <v/>
      </c>
      <c r="AV75" s="789" t="str">
        <f t="shared" ref="AV75:AV90" ca="1" si="128">IFERROR(OFFSET(貼付け_2024実績,$A75,AV$1),"")</f>
        <v/>
      </c>
      <c r="AW75" s="789" t="str">
        <f t="shared" ref="AW75:AW90" ca="1" si="129">IFERROR(OFFSET(貼付け_2025実績,$A75,AW$1),"")</f>
        <v/>
      </c>
      <c r="AX75" s="789" t="str">
        <f t="shared" ref="AX75:AX90" ca="1" si="130">IFERROR(OFFSET(貼付け_2026実績,$A75,AX$1),"")</f>
        <v/>
      </c>
      <c r="AY75" s="789" t="str">
        <f t="shared" ref="AY75:AY90" ca="1" si="131">IFERROR(OFFSET(貼付け_2027実績,$A75,AY$1),"")</f>
        <v/>
      </c>
      <c r="AZ75" s="789" t="str">
        <f t="shared" ref="AZ75:AZ90" ca="1" si="132">IFERROR(OFFSET(貼付け_2024実績,$A75,AZ$1),"")</f>
        <v/>
      </c>
      <c r="BA75" s="789" t="str">
        <f t="shared" ref="BA75:BA90" ca="1" si="133">IFERROR(OFFSET(貼付け_2025実績,$A75,BA$1),"")</f>
        <v/>
      </c>
      <c r="BB75" s="789" t="str">
        <f t="shared" ref="BB75:BB90" ca="1" si="134">IFERROR(OFFSET(貼付け_2026実績,$A75,BB$1),"")</f>
        <v/>
      </c>
      <c r="BC75" s="789" t="str">
        <f t="shared" ref="BC75:BC90" ca="1" si="135">IFERROR(OFFSET(貼付け_2027実績,$A75,BC$1),"")</f>
        <v/>
      </c>
      <c r="BD75" s="789" t="str">
        <f t="shared" ref="BD75:BD90" ca="1" si="136">IFERROR(OFFSET(貼付け_2024実績,$A75,BD$1),"")</f>
        <v/>
      </c>
      <c r="BE75" s="789" t="str">
        <f t="shared" ref="BE75:BE90" ca="1" si="137">IFERROR(OFFSET(貼付け_2025実績,$A75,BE$1),"")</f>
        <v/>
      </c>
      <c r="BF75" s="789" t="str">
        <f t="shared" ref="BF75:BF90" ca="1" si="138">IFERROR(OFFSET(貼付け_2026実績,$A75,BF$1),"")</f>
        <v/>
      </c>
      <c r="BG75" s="789" t="str">
        <f t="shared" ref="BG75:BG90" ca="1" si="139">IFERROR(OFFSET(貼付け_2027実績,$A75,BG$1),"")</f>
        <v/>
      </c>
      <c r="BH75" s="789" t="str">
        <f t="shared" ref="BH75:BH90" ca="1" si="140">IFERROR(OFFSET(貼付け_2024実績,$A75,BH$1),"")</f>
        <v/>
      </c>
      <c r="BI75" s="789" t="str">
        <f t="shared" ref="BI75:BI90" ca="1" si="141">IFERROR(OFFSET(貼付け_2025実績,$A75,BI$1),"")</f>
        <v/>
      </c>
      <c r="BJ75" s="789" t="str">
        <f t="shared" ref="BJ75:BJ90" ca="1" si="142">IFERROR(OFFSET(貼付け_2026実績,$A75,BJ$1),"")</f>
        <v/>
      </c>
      <c r="BK75" s="789" t="str">
        <f t="shared" ref="BK75:BK90" ca="1" si="143">IFERROR(OFFSET(貼付け_2027実績,$A75,BK$1),"")</f>
        <v/>
      </c>
      <c r="BL75" s="789" t="str">
        <f t="shared" ref="BL75:BL90" ca="1" si="144">IFERROR(OFFSET(貼付け_2024実績,$A75,BL$1),"")</f>
        <v/>
      </c>
      <c r="BM75" s="789" t="str">
        <f t="shared" ref="BM75:BM90" ca="1" si="145">IFERROR(OFFSET(貼付け_2025実績,$A75,BM$1),"")</f>
        <v/>
      </c>
      <c r="BN75" s="789" t="str">
        <f t="shared" ref="BN75:BN90" ca="1" si="146">IFERROR(OFFSET(貼付け_2026実績,$A75,BN$1),"")</f>
        <v/>
      </c>
      <c r="BO75" s="789" t="str">
        <f t="shared" ref="BO75:BO90" ca="1" si="147">IFERROR(OFFSET(貼付け_2027実績,$A75,BO$1),"")</f>
        <v/>
      </c>
      <c r="BP75" s="802"/>
    </row>
    <row r="76" spans="1:68" ht="20.100000000000001" customHeight="1">
      <c r="A76" s="784">
        <v>84</v>
      </c>
      <c r="B76" s="1594"/>
      <c r="C76" s="1596"/>
      <c r="D76" s="814" t="s">
        <v>792</v>
      </c>
      <c r="E76" s="785"/>
      <c r="F76" s="836"/>
      <c r="G76" s="787" t="s">
        <v>463</v>
      </c>
      <c r="H76" s="837"/>
      <c r="I76" s="837"/>
      <c r="J76" s="837"/>
      <c r="K76" s="837"/>
      <c r="L76" s="789">
        <f t="shared" ref="L76:O90" ca="1" si="148">P76+T76</f>
        <v>0</v>
      </c>
      <c r="M76" s="789">
        <f t="shared" ca="1" si="148"/>
        <v>0</v>
      </c>
      <c r="N76" s="789">
        <f t="shared" ca="1" si="148"/>
        <v>0</v>
      </c>
      <c r="O76" s="789">
        <f t="shared" ca="1" si="148"/>
        <v>0</v>
      </c>
      <c r="P76" s="789">
        <f ca="1">SUM(SUMIFS(OFFSET(貼付け_2024実績,$A76,9,1,199),OFFSET(貼付け_2024実績,4,9,1,199),{"横浜*","川崎*"}))</f>
        <v>0</v>
      </c>
      <c r="Q76" s="789">
        <f ca="1">SUM(SUMIFS(OFFSET(貼付け_2025実績,$A76,9,1,199),OFFSET(貼付け_2025実績,4,9,1,199),{"横浜*","川崎*"}))</f>
        <v>0</v>
      </c>
      <c r="R76" s="789">
        <f ca="1">SUM(SUMIFS(OFFSET(貼付け_2026実績,$A76,9,1,199),OFFSET(貼付け_2026実績,4,9,1,199),{"横浜*","川崎*"}))</f>
        <v>0</v>
      </c>
      <c r="S76" s="789">
        <f ca="1">SUM(SUMIFS(OFFSET(貼付け_2027実績,$A76,9,1,199),OFFSET(貼付け_2027実績,4,9,1,199),{"横浜*","川崎*"}))</f>
        <v>0</v>
      </c>
      <c r="T76" s="789">
        <f t="shared" ref="T76:W90" ca="1" si="149">SUM(X76,AB76,AF76,AJ76,AN76,AR76,AV76,AZ76,BD76,BH76,BL76)</f>
        <v>0</v>
      </c>
      <c r="U76" s="789">
        <f t="shared" ca="1" si="149"/>
        <v>0</v>
      </c>
      <c r="V76" s="789">
        <f t="shared" ca="1" si="149"/>
        <v>0</v>
      </c>
      <c r="W76" s="789">
        <f t="shared" ca="1" si="149"/>
        <v>0</v>
      </c>
      <c r="X76" s="789">
        <f t="shared" ca="1" si="100"/>
        <v>0</v>
      </c>
      <c r="Y76" s="789">
        <f t="shared" ca="1" si="101"/>
        <v>0</v>
      </c>
      <c r="Z76" s="789">
        <f t="shared" ca="1" si="102"/>
        <v>0</v>
      </c>
      <c r="AA76" s="789">
        <f t="shared" ca="1" si="103"/>
        <v>0</v>
      </c>
      <c r="AB76" s="789" t="str">
        <f t="shared" ca="1" si="108"/>
        <v/>
      </c>
      <c r="AC76" s="789" t="str">
        <f t="shared" ca="1" si="109"/>
        <v/>
      </c>
      <c r="AD76" s="789" t="str">
        <f t="shared" ca="1" si="110"/>
        <v/>
      </c>
      <c r="AE76" s="789" t="str">
        <f t="shared" ca="1" si="111"/>
        <v/>
      </c>
      <c r="AF76" s="789" t="str">
        <f t="shared" ca="1" si="112"/>
        <v/>
      </c>
      <c r="AG76" s="789" t="str">
        <f t="shared" ca="1" si="113"/>
        <v/>
      </c>
      <c r="AH76" s="789" t="str">
        <f t="shared" ca="1" si="114"/>
        <v/>
      </c>
      <c r="AI76" s="789" t="str">
        <f t="shared" ca="1" si="115"/>
        <v/>
      </c>
      <c r="AJ76" s="789" t="str">
        <f t="shared" ca="1" si="116"/>
        <v/>
      </c>
      <c r="AK76" s="789" t="str">
        <f t="shared" ca="1" si="117"/>
        <v/>
      </c>
      <c r="AL76" s="789" t="str">
        <f t="shared" ca="1" si="118"/>
        <v/>
      </c>
      <c r="AM76" s="789" t="str">
        <f t="shared" ca="1" si="119"/>
        <v/>
      </c>
      <c r="AN76" s="789" t="str">
        <f t="shared" ca="1" si="120"/>
        <v/>
      </c>
      <c r="AO76" s="789" t="str">
        <f t="shared" ca="1" si="121"/>
        <v/>
      </c>
      <c r="AP76" s="789" t="str">
        <f t="shared" ca="1" si="122"/>
        <v/>
      </c>
      <c r="AQ76" s="789" t="str">
        <f t="shared" ca="1" si="123"/>
        <v/>
      </c>
      <c r="AR76" s="789" t="str">
        <f t="shared" ca="1" si="124"/>
        <v/>
      </c>
      <c r="AS76" s="789" t="str">
        <f t="shared" ca="1" si="125"/>
        <v/>
      </c>
      <c r="AT76" s="789" t="str">
        <f t="shared" ca="1" si="126"/>
        <v/>
      </c>
      <c r="AU76" s="789" t="str">
        <f t="shared" ca="1" si="127"/>
        <v/>
      </c>
      <c r="AV76" s="789" t="str">
        <f t="shared" ca="1" si="128"/>
        <v/>
      </c>
      <c r="AW76" s="789" t="str">
        <f t="shared" ca="1" si="129"/>
        <v/>
      </c>
      <c r="AX76" s="789" t="str">
        <f t="shared" ca="1" si="130"/>
        <v/>
      </c>
      <c r="AY76" s="789" t="str">
        <f t="shared" ca="1" si="131"/>
        <v/>
      </c>
      <c r="AZ76" s="789" t="str">
        <f t="shared" ca="1" si="132"/>
        <v/>
      </c>
      <c r="BA76" s="789" t="str">
        <f t="shared" ca="1" si="133"/>
        <v/>
      </c>
      <c r="BB76" s="789" t="str">
        <f t="shared" ca="1" si="134"/>
        <v/>
      </c>
      <c r="BC76" s="789" t="str">
        <f t="shared" ca="1" si="135"/>
        <v/>
      </c>
      <c r="BD76" s="789" t="str">
        <f t="shared" ca="1" si="136"/>
        <v/>
      </c>
      <c r="BE76" s="789" t="str">
        <f t="shared" ca="1" si="137"/>
        <v/>
      </c>
      <c r="BF76" s="789" t="str">
        <f t="shared" ca="1" si="138"/>
        <v/>
      </c>
      <c r="BG76" s="789" t="str">
        <f t="shared" ca="1" si="139"/>
        <v/>
      </c>
      <c r="BH76" s="789" t="str">
        <f t="shared" ca="1" si="140"/>
        <v/>
      </c>
      <c r="BI76" s="789" t="str">
        <f t="shared" ca="1" si="141"/>
        <v/>
      </c>
      <c r="BJ76" s="789" t="str">
        <f t="shared" ca="1" si="142"/>
        <v/>
      </c>
      <c r="BK76" s="789" t="str">
        <f t="shared" ca="1" si="143"/>
        <v/>
      </c>
      <c r="BL76" s="789" t="str">
        <f t="shared" ca="1" si="144"/>
        <v/>
      </c>
      <c r="BM76" s="789" t="str">
        <f t="shared" ca="1" si="145"/>
        <v/>
      </c>
      <c r="BN76" s="789" t="str">
        <f t="shared" ca="1" si="146"/>
        <v/>
      </c>
      <c r="BO76" s="789" t="str">
        <f t="shared" ca="1" si="147"/>
        <v/>
      </c>
      <c r="BP76" s="802"/>
    </row>
    <row r="77" spans="1:68" ht="20.100000000000001" customHeight="1">
      <c r="A77" s="784">
        <v>85</v>
      </c>
      <c r="B77" s="1594"/>
      <c r="C77" s="1596"/>
      <c r="D77" s="814" t="s">
        <v>793</v>
      </c>
      <c r="E77" s="785"/>
      <c r="F77" s="836"/>
      <c r="G77" s="787" t="s">
        <v>462</v>
      </c>
      <c r="H77" s="788">
        <f t="shared" ca="1" si="104"/>
        <v>3.6</v>
      </c>
      <c r="I77" s="788">
        <f t="shared" ca="1" si="105"/>
        <v>3.6</v>
      </c>
      <c r="J77" s="788">
        <f t="shared" ca="1" si="106"/>
        <v>3.6</v>
      </c>
      <c r="K77" s="788">
        <f t="shared" ca="1" si="107"/>
        <v>3.6</v>
      </c>
      <c r="L77" s="789">
        <f t="shared" ca="1" si="148"/>
        <v>0</v>
      </c>
      <c r="M77" s="789">
        <f t="shared" ca="1" si="148"/>
        <v>0</v>
      </c>
      <c r="N77" s="789">
        <f t="shared" ca="1" si="148"/>
        <v>0</v>
      </c>
      <c r="O77" s="789">
        <f t="shared" ca="1" si="148"/>
        <v>0</v>
      </c>
      <c r="P77" s="789">
        <f ca="1">SUM(SUMIFS(OFFSET(貼付け_2024実績,$A77,9,1,199),OFFSET(貼付け_2024実績,4,9,1,199),{"横浜*","川崎*"}))</f>
        <v>0</v>
      </c>
      <c r="Q77" s="789">
        <f ca="1">SUM(SUMIFS(OFFSET(貼付け_2025実績,$A77,9,1,199),OFFSET(貼付け_2025実績,4,9,1,199),{"横浜*","川崎*"}))</f>
        <v>0</v>
      </c>
      <c r="R77" s="789">
        <f ca="1">SUM(SUMIFS(OFFSET(貼付け_2026実績,$A77,9,1,199),OFFSET(貼付け_2026実績,4,9,1,199),{"横浜*","川崎*"}))</f>
        <v>0</v>
      </c>
      <c r="S77" s="789">
        <f ca="1">SUM(SUMIFS(OFFSET(貼付け_2027実績,$A77,9,1,199),OFFSET(貼付け_2027実績,4,9,1,199),{"横浜*","川崎*"}))</f>
        <v>0</v>
      </c>
      <c r="T77" s="789">
        <f t="shared" ca="1" si="149"/>
        <v>0</v>
      </c>
      <c r="U77" s="789">
        <f t="shared" ca="1" si="149"/>
        <v>0</v>
      </c>
      <c r="V77" s="789">
        <f t="shared" ca="1" si="149"/>
        <v>0</v>
      </c>
      <c r="W77" s="789">
        <f t="shared" ca="1" si="149"/>
        <v>0</v>
      </c>
      <c r="X77" s="789">
        <f t="shared" ca="1" si="100"/>
        <v>0</v>
      </c>
      <c r="Y77" s="789">
        <f t="shared" ca="1" si="101"/>
        <v>0</v>
      </c>
      <c r="Z77" s="789">
        <f t="shared" ca="1" si="102"/>
        <v>0</v>
      </c>
      <c r="AA77" s="789">
        <f t="shared" ca="1" si="103"/>
        <v>0</v>
      </c>
      <c r="AB77" s="789" t="str">
        <f t="shared" ca="1" si="108"/>
        <v/>
      </c>
      <c r="AC77" s="789" t="str">
        <f t="shared" ca="1" si="109"/>
        <v/>
      </c>
      <c r="AD77" s="789" t="str">
        <f t="shared" ca="1" si="110"/>
        <v/>
      </c>
      <c r="AE77" s="789" t="str">
        <f t="shared" ca="1" si="111"/>
        <v/>
      </c>
      <c r="AF77" s="789" t="str">
        <f t="shared" ca="1" si="112"/>
        <v/>
      </c>
      <c r="AG77" s="789" t="str">
        <f t="shared" ca="1" si="113"/>
        <v/>
      </c>
      <c r="AH77" s="789" t="str">
        <f t="shared" ca="1" si="114"/>
        <v/>
      </c>
      <c r="AI77" s="789" t="str">
        <f t="shared" ca="1" si="115"/>
        <v/>
      </c>
      <c r="AJ77" s="789" t="str">
        <f t="shared" ca="1" si="116"/>
        <v/>
      </c>
      <c r="AK77" s="789" t="str">
        <f t="shared" ca="1" si="117"/>
        <v/>
      </c>
      <c r="AL77" s="789" t="str">
        <f t="shared" ca="1" si="118"/>
        <v/>
      </c>
      <c r="AM77" s="789" t="str">
        <f t="shared" ca="1" si="119"/>
        <v/>
      </c>
      <c r="AN77" s="789" t="str">
        <f t="shared" ca="1" si="120"/>
        <v/>
      </c>
      <c r="AO77" s="789" t="str">
        <f t="shared" ca="1" si="121"/>
        <v/>
      </c>
      <c r="AP77" s="789" t="str">
        <f t="shared" ca="1" si="122"/>
        <v/>
      </c>
      <c r="AQ77" s="789" t="str">
        <f t="shared" ca="1" si="123"/>
        <v/>
      </c>
      <c r="AR77" s="789" t="str">
        <f t="shared" ca="1" si="124"/>
        <v/>
      </c>
      <c r="AS77" s="789" t="str">
        <f t="shared" ca="1" si="125"/>
        <v/>
      </c>
      <c r="AT77" s="789" t="str">
        <f t="shared" ca="1" si="126"/>
        <v/>
      </c>
      <c r="AU77" s="789" t="str">
        <f t="shared" ca="1" si="127"/>
        <v/>
      </c>
      <c r="AV77" s="789" t="str">
        <f t="shared" ca="1" si="128"/>
        <v/>
      </c>
      <c r="AW77" s="789" t="str">
        <f t="shared" ca="1" si="129"/>
        <v/>
      </c>
      <c r="AX77" s="789" t="str">
        <f t="shared" ca="1" si="130"/>
        <v/>
      </c>
      <c r="AY77" s="789" t="str">
        <f t="shared" ca="1" si="131"/>
        <v/>
      </c>
      <c r="AZ77" s="789" t="str">
        <f t="shared" ca="1" si="132"/>
        <v/>
      </c>
      <c r="BA77" s="789" t="str">
        <f t="shared" ca="1" si="133"/>
        <v/>
      </c>
      <c r="BB77" s="789" t="str">
        <f t="shared" ca="1" si="134"/>
        <v/>
      </c>
      <c r="BC77" s="789" t="str">
        <f t="shared" ca="1" si="135"/>
        <v/>
      </c>
      <c r="BD77" s="789" t="str">
        <f t="shared" ca="1" si="136"/>
        <v/>
      </c>
      <c r="BE77" s="789" t="str">
        <f t="shared" ca="1" si="137"/>
        <v/>
      </c>
      <c r="BF77" s="789" t="str">
        <f t="shared" ca="1" si="138"/>
        <v/>
      </c>
      <c r="BG77" s="789" t="str">
        <f t="shared" ca="1" si="139"/>
        <v/>
      </c>
      <c r="BH77" s="789" t="str">
        <f t="shared" ca="1" si="140"/>
        <v/>
      </c>
      <c r="BI77" s="789" t="str">
        <f t="shared" ca="1" si="141"/>
        <v/>
      </c>
      <c r="BJ77" s="789" t="str">
        <f t="shared" ca="1" si="142"/>
        <v/>
      </c>
      <c r="BK77" s="789" t="str">
        <f t="shared" ca="1" si="143"/>
        <v/>
      </c>
      <c r="BL77" s="789" t="str">
        <f t="shared" ca="1" si="144"/>
        <v/>
      </c>
      <c r="BM77" s="789" t="str">
        <f t="shared" ca="1" si="145"/>
        <v/>
      </c>
      <c r="BN77" s="789" t="str">
        <f t="shared" ca="1" si="146"/>
        <v/>
      </c>
      <c r="BO77" s="789" t="str">
        <f t="shared" ca="1" si="147"/>
        <v/>
      </c>
      <c r="BP77" s="802"/>
    </row>
    <row r="78" spans="1:68" ht="20.100000000000001" customHeight="1">
      <c r="A78" s="784">
        <v>86</v>
      </c>
      <c r="B78" s="1594"/>
      <c r="C78" s="1596"/>
      <c r="D78" s="814" t="s">
        <v>794</v>
      </c>
      <c r="E78" s="785"/>
      <c r="F78" s="836"/>
      <c r="G78" s="787" t="s">
        <v>463</v>
      </c>
      <c r="H78" s="837"/>
      <c r="I78" s="837"/>
      <c r="J78" s="837"/>
      <c r="K78" s="837"/>
      <c r="L78" s="789">
        <f t="shared" ca="1" si="148"/>
        <v>0</v>
      </c>
      <c r="M78" s="789">
        <f t="shared" ca="1" si="148"/>
        <v>0</v>
      </c>
      <c r="N78" s="789">
        <f t="shared" ca="1" si="148"/>
        <v>0</v>
      </c>
      <c r="O78" s="789">
        <f t="shared" ca="1" si="148"/>
        <v>0</v>
      </c>
      <c r="P78" s="789">
        <f ca="1">SUM(SUMIFS(OFFSET(貼付け_2024実績,$A78,9,1,199),OFFSET(貼付け_2024実績,4,9,1,199),{"横浜*","川崎*"}))</f>
        <v>0</v>
      </c>
      <c r="Q78" s="789">
        <f ca="1">SUM(SUMIFS(OFFSET(貼付け_2025実績,$A78,9,1,199),OFFSET(貼付け_2025実績,4,9,1,199),{"横浜*","川崎*"}))</f>
        <v>0</v>
      </c>
      <c r="R78" s="789">
        <f ca="1">SUM(SUMIFS(OFFSET(貼付け_2026実績,$A78,9,1,199),OFFSET(貼付け_2026実績,4,9,1,199),{"横浜*","川崎*"}))</f>
        <v>0</v>
      </c>
      <c r="S78" s="789">
        <f ca="1">SUM(SUMIFS(OFFSET(貼付け_2027実績,$A78,9,1,199),OFFSET(貼付け_2027実績,4,9,1,199),{"横浜*","川崎*"}))</f>
        <v>0</v>
      </c>
      <c r="T78" s="789">
        <f t="shared" ca="1" si="149"/>
        <v>0</v>
      </c>
      <c r="U78" s="789">
        <f t="shared" ca="1" si="149"/>
        <v>0</v>
      </c>
      <c r="V78" s="789">
        <f t="shared" ca="1" si="149"/>
        <v>0</v>
      </c>
      <c r="W78" s="789">
        <f t="shared" ca="1" si="149"/>
        <v>0</v>
      </c>
      <c r="X78" s="789">
        <f t="shared" ca="1" si="100"/>
        <v>0</v>
      </c>
      <c r="Y78" s="789">
        <f t="shared" ca="1" si="101"/>
        <v>0</v>
      </c>
      <c r="Z78" s="789">
        <f t="shared" ca="1" si="102"/>
        <v>0</v>
      </c>
      <c r="AA78" s="789">
        <f t="shared" ca="1" si="103"/>
        <v>0</v>
      </c>
      <c r="AB78" s="789" t="str">
        <f t="shared" ca="1" si="108"/>
        <v/>
      </c>
      <c r="AC78" s="789" t="str">
        <f t="shared" ca="1" si="109"/>
        <v/>
      </c>
      <c r="AD78" s="789" t="str">
        <f t="shared" ca="1" si="110"/>
        <v/>
      </c>
      <c r="AE78" s="789" t="str">
        <f t="shared" ca="1" si="111"/>
        <v/>
      </c>
      <c r="AF78" s="789" t="str">
        <f t="shared" ca="1" si="112"/>
        <v/>
      </c>
      <c r="AG78" s="789" t="str">
        <f t="shared" ca="1" si="113"/>
        <v/>
      </c>
      <c r="AH78" s="789" t="str">
        <f t="shared" ca="1" si="114"/>
        <v/>
      </c>
      <c r="AI78" s="789" t="str">
        <f t="shared" ca="1" si="115"/>
        <v/>
      </c>
      <c r="AJ78" s="789" t="str">
        <f t="shared" ca="1" si="116"/>
        <v/>
      </c>
      <c r="AK78" s="789" t="str">
        <f t="shared" ca="1" si="117"/>
        <v/>
      </c>
      <c r="AL78" s="789" t="str">
        <f t="shared" ca="1" si="118"/>
        <v/>
      </c>
      <c r="AM78" s="789" t="str">
        <f t="shared" ca="1" si="119"/>
        <v/>
      </c>
      <c r="AN78" s="789" t="str">
        <f t="shared" ca="1" si="120"/>
        <v/>
      </c>
      <c r="AO78" s="789" t="str">
        <f t="shared" ca="1" si="121"/>
        <v/>
      </c>
      <c r="AP78" s="789" t="str">
        <f t="shared" ca="1" si="122"/>
        <v/>
      </c>
      <c r="AQ78" s="789" t="str">
        <f t="shared" ca="1" si="123"/>
        <v/>
      </c>
      <c r="AR78" s="789" t="str">
        <f t="shared" ca="1" si="124"/>
        <v/>
      </c>
      <c r="AS78" s="789" t="str">
        <f t="shared" ca="1" si="125"/>
        <v/>
      </c>
      <c r="AT78" s="789" t="str">
        <f t="shared" ca="1" si="126"/>
        <v/>
      </c>
      <c r="AU78" s="789" t="str">
        <f t="shared" ca="1" si="127"/>
        <v/>
      </c>
      <c r="AV78" s="789" t="str">
        <f t="shared" ca="1" si="128"/>
        <v/>
      </c>
      <c r="AW78" s="789" t="str">
        <f t="shared" ca="1" si="129"/>
        <v/>
      </c>
      <c r="AX78" s="789" t="str">
        <f t="shared" ca="1" si="130"/>
        <v/>
      </c>
      <c r="AY78" s="789" t="str">
        <f t="shared" ca="1" si="131"/>
        <v/>
      </c>
      <c r="AZ78" s="789" t="str">
        <f t="shared" ca="1" si="132"/>
        <v/>
      </c>
      <c r="BA78" s="789" t="str">
        <f t="shared" ca="1" si="133"/>
        <v/>
      </c>
      <c r="BB78" s="789" t="str">
        <f t="shared" ca="1" si="134"/>
        <v/>
      </c>
      <c r="BC78" s="789" t="str">
        <f t="shared" ca="1" si="135"/>
        <v/>
      </c>
      <c r="BD78" s="789" t="str">
        <f t="shared" ca="1" si="136"/>
        <v/>
      </c>
      <c r="BE78" s="789" t="str">
        <f t="shared" ca="1" si="137"/>
        <v/>
      </c>
      <c r="BF78" s="789" t="str">
        <f t="shared" ca="1" si="138"/>
        <v/>
      </c>
      <c r="BG78" s="789" t="str">
        <f t="shared" ca="1" si="139"/>
        <v/>
      </c>
      <c r="BH78" s="789" t="str">
        <f t="shared" ca="1" si="140"/>
        <v/>
      </c>
      <c r="BI78" s="789" t="str">
        <f t="shared" ca="1" si="141"/>
        <v/>
      </c>
      <c r="BJ78" s="789" t="str">
        <f t="shared" ca="1" si="142"/>
        <v/>
      </c>
      <c r="BK78" s="789" t="str">
        <f t="shared" ca="1" si="143"/>
        <v/>
      </c>
      <c r="BL78" s="789" t="str">
        <f t="shared" ca="1" si="144"/>
        <v/>
      </c>
      <c r="BM78" s="789" t="str">
        <f t="shared" ca="1" si="145"/>
        <v/>
      </c>
      <c r="BN78" s="789" t="str">
        <f t="shared" ca="1" si="146"/>
        <v/>
      </c>
      <c r="BO78" s="789" t="str">
        <f t="shared" ca="1" si="147"/>
        <v/>
      </c>
      <c r="BP78" s="802"/>
    </row>
    <row r="79" spans="1:68" ht="20.100000000000001" customHeight="1">
      <c r="A79" s="784">
        <v>87</v>
      </c>
      <c r="B79" s="1594"/>
      <c r="C79" s="1596"/>
      <c r="D79" s="814" t="s">
        <v>795</v>
      </c>
      <c r="E79" s="785"/>
      <c r="F79" s="836"/>
      <c r="G79" s="787" t="s">
        <v>462</v>
      </c>
      <c r="H79" s="788">
        <f t="shared" ca="1" si="104"/>
        <v>3.6</v>
      </c>
      <c r="I79" s="788">
        <f t="shared" ca="1" si="105"/>
        <v>3.6</v>
      </c>
      <c r="J79" s="788">
        <f t="shared" ca="1" si="106"/>
        <v>3.6</v>
      </c>
      <c r="K79" s="788">
        <f t="shared" ca="1" si="107"/>
        <v>3.6</v>
      </c>
      <c r="L79" s="789">
        <f t="shared" ca="1" si="148"/>
        <v>0</v>
      </c>
      <c r="M79" s="789">
        <f t="shared" ca="1" si="148"/>
        <v>0</v>
      </c>
      <c r="N79" s="789">
        <f t="shared" ca="1" si="148"/>
        <v>0</v>
      </c>
      <c r="O79" s="789">
        <f t="shared" ca="1" si="148"/>
        <v>0</v>
      </c>
      <c r="P79" s="789">
        <f ca="1">SUM(SUMIFS(OFFSET(貼付け_2024実績,$A79,9,1,199),OFFSET(貼付け_2024実績,4,9,1,199),{"横浜*","川崎*"}))</f>
        <v>0</v>
      </c>
      <c r="Q79" s="789">
        <f ca="1">SUM(SUMIFS(OFFSET(貼付け_2025実績,$A79,9,1,199),OFFSET(貼付け_2025実績,4,9,1,199),{"横浜*","川崎*"}))</f>
        <v>0</v>
      </c>
      <c r="R79" s="789">
        <f ca="1">SUM(SUMIFS(OFFSET(貼付け_2026実績,$A79,9,1,199),OFFSET(貼付け_2026実績,4,9,1,199),{"横浜*","川崎*"}))</f>
        <v>0</v>
      </c>
      <c r="S79" s="789">
        <f ca="1">SUM(SUMIFS(OFFSET(貼付け_2027実績,$A79,9,1,199),OFFSET(貼付け_2027実績,4,9,1,199),{"横浜*","川崎*"}))</f>
        <v>0</v>
      </c>
      <c r="T79" s="789">
        <f t="shared" ca="1" si="149"/>
        <v>0</v>
      </c>
      <c r="U79" s="789">
        <f t="shared" ca="1" si="149"/>
        <v>0</v>
      </c>
      <c r="V79" s="789">
        <f t="shared" ca="1" si="149"/>
        <v>0</v>
      </c>
      <c r="W79" s="789">
        <f t="shared" ca="1" si="149"/>
        <v>0</v>
      </c>
      <c r="X79" s="789">
        <f t="shared" ca="1" si="100"/>
        <v>0</v>
      </c>
      <c r="Y79" s="789">
        <f t="shared" ca="1" si="101"/>
        <v>0</v>
      </c>
      <c r="Z79" s="789">
        <f t="shared" ca="1" si="102"/>
        <v>0</v>
      </c>
      <c r="AA79" s="789">
        <f t="shared" ca="1" si="103"/>
        <v>0</v>
      </c>
      <c r="AB79" s="789" t="str">
        <f t="shared" ca="1" si="108"/>
        <v/>
      </c>
      <c r="AC79" s="789" t="str">
        <f t="shared" ca="1" si="109"/>
        <v/>
      </c>
      <c r="AD79" s="789" t="str">
        <f t="shared" ca="1" si="110"/>
        <v/>
      </c>
      <c r="AE79" s="789" t="str">
        <f t="shared" ca="1" si="111"/>
        <v/>
      </c>
      <c r="AF79" s="789" t="str">
        <f t="shared" ca="1" si="112"/>
        <v/>
      </c>
      <c r="AG79" s="789" t="str">
        <f t="shared" ca="1" si="113"/>
        <v/>
      </c>
      <c r="AH79" s="789" t="str">
        <f t="shared" ca="1" si="114"/>
        <v/>
      </c>
      <c r="AI79" s="789" t="str">
        <f t="shared" ca="1" si="115"/>
        <v/>
      </c>
      <c r="AJ79" s="789" t="str">
        <f t="shared" ca="1" si="116"/>
        <v/>
      </c>
      <c r="AK79" s="789" t="str">
        <f t="shared" ca="1" si="117"/>
        <v/>
      </c>
      <c r="AL79" s="789" t="str">
        <f t="shared" ca="1" si="118"/>
        <v/>
      </c>
      <c r="AM79" s="789" t="str">
        <f t="shared" ca="1" si="119"/>
        <v/>
      </c>
      <c r="AN79" s="789" t="str">
        <f t="shared" ca="1" si="120"/>
        <v/>
      </c>
      <c r="AO79" s="789" t="str">
        <f t="shared" ca="1" si="121"/>
        <v/>
      </c>
      <c r="AP79" s="789" t="str">
        <f t="shared" ca="1" si="122"/>
        <v/>
      </c>
      <c r="AQ79" s="789" t="str">
        <f t="shared" ca="1" si="123"/>
        <v/>
      </c>
      <c r="AR79" s="789" t="str">
        <f t="shared" ca="1" si="124"/>
        <v/>
      </c>
      <c r="AS79" s="789" t="str">
        <f t="shared" ca="1" si="125"/>
        <v/>
      </c>
      <c r="AT79" s="789" t="str">
        <f t="shared" ca="1" si="126"/>
        <v/>
      </c>
      <c r="AU79" s="789" t="str">
        <f t="shared" ca="1" si="127"/>
        <v/>
      </c>
      <c r="AV79" s="789" t="str">
        <f t="shared" ca="1" si="128"/>
        <v/>
      </c>
      <c r="AW79" s="789" t="str">
        <f t="shared" ca="1" si="129"/>
        <v/>
      </c>
      <c r="AX79" s="789" t="str">
        <f t="shared" ca="1" si="130"/>
        <v/>
      </c>
      <c r="AY79" s="789" t="str">
        <f t="shared" ca="1" si="131"/>
        <v/>
      </c>
      <c r="AZ79" s="789" t="str">
        <f t="shared" ca="1" si="132"/>
        <v/>
      </c>
      <c r="BA79" s="789" t="str">
        <f t="shared" ca="1" si="133"/>
        <v/>
      </c>
      <c r="BB79" s="789" t="str">
        <f t="shared" ca="1" si="134"/>
        <v/>
      </c>
      <c r="BC79" s="789" t="str">
        <f t="shared" ca="1" si="135"/>
        <v/>
      </c>
      <c r="BD79" s="789" t="str">
        <f t="shared" ca="1" si="136"/>
        <v/>
      </c>
      <c r="BE79" s="789" t="str">
        <f t="shared" ca="1" si="137"/>
        <v/>
      </c>
      <c r="BF79" s="789" t="str">
        <f t="shared" ca="1" si="138"/>
        <v/>
      </c>
      <c r="BG79" s="789" t="str">
        <f t="shared" ca="1" si="139"/>
        <v/>
      </c>
      <c r="BH79" s="789" t="str">
        <f t="shared" ca="1" si="140"/>
        <v/>
      </c>
      <c r="BI79" s="789" t="str">
        <f t="shared" ca="1" si="141"/>
        <v/>
      </c>
      <c r="BJ79" s="789" t="str">
        <f t="shared" ca="1" si="142"/>
        <v/>
      </c>
      <c r="BK79" s="789" t="str">
        <f t="shared" ca="1" si="143"/>
        <v/>
      </c>
      <c r="BL79" s="789" t="str">
        <f t="shared" ca="1" si="144"/>
        <v/>
      </c>
      <c r="BM79" s="789" t="str">
        <f t="shared" ca="1" si="145"/>
        <v/>
      </c>
      <c r="BN79" s="789" t="str">
        <f t="shared" ca="1" si="146"/>
        <v/>
      </c>
      <c r="BO79" s="789" t="str">
        <f t="shared" ca="1" si="147"/>
        <v/>
      </c>
      <c r="BP79" s="802"/>
    </row>
    <row r="80" spans="1:68" ht="20.100000000000001" customHeight="1">
      <c r="A80" s="784">
        <v>88</v>
      </c>
      <c r="B80" s="1594"/>
      <c r="C80" s="1596"/>
      <c r="D80" s="814" t="s">
        <v>796</v>
      </c>
      <c r="E80" s="785"/>
      <c r="F80" s="836"/>
      <c r="G80" s="787" t="s">
        <v>463</v>
      </c>
      <c r="H80" s="837"/>
      <c r="I80" s="837"/>
      <c r="J80" s="837"/>
      <c r="K80" s="837"/>
      <c r="L80" s="789">
        <f t="shared" ca="1" si="148"/>
        <v>0</v>
      </c>
      <c r="M80" s="789">
        <f t="shared" ca="1" si="148"/>
        <v>0</v>
      </c>
      <c r="N80" s="789">
        <f t="shared" ca="1" si="148"/>
        <v>0</v>
      </c>
      <c r="O80" s="789">
        <f t="shared" ca="1" si="148"/>
        <v>0</v>
      </c>
      <c r="P80" s="789">
        <f ca="1">SUM(SUMIFS(OFFSET(貼付け_2024実績,$A80,9,1,199),OFFSET(貼付け_2024実績,4,9,1,199),{"横浜*","川崎*"}))</f>
        <v>0</v>
      </c>
      <c r="Q80" s="789">
        <f ca="1">SUM(SUMIFS(OFFSET(貼付け_2025実績,$A80,9,1,199),OFFSET(貼付け_2025実績,4,9,1,199),{"横浜*","川崎*"}))</f>
        <v>0</v>
      </c>
      <c r="R80" s="789">
        <f ca="1">SUM(SUMIFS(OFFSET(貼付け_2026実績,$A80,9,1,199),OFFSET(貼付け_2026実績,4,9,1,199),{"横浜*","川崎*"}))</f>
        <v>0</v>
      </c>
      <c r="S80" s="789">
        <f ca="1">SUM(SUMIFS(OFFSET(貼付け_2027実績,$A80,9,1,199),OFFSET(貼付け_2027実績,4,9,1,199),{"横浜*","川崎*"}))</f>
        <v>0</v>
      </c>
      <c r="T80" s="789">
        <f t="shared" ca="1" si="149"/>
        <v>0</v>
      </c>
      <c r="U80" s="789">
        <f t="shared" ca="1" si="149"/>
        <v>0</v>
      </c>
      <c r="V80" s="789">
        <f t="shared" ca="1" si="149"/>
        <v>0</v>
      </c>
      <c r="W80" s="789">
        <f t="shared" ca="1" si="149"/>
        <v>0</v>
      </c>
      <c r="X80" s="789">
        <f t="shared" ca="1" si="100"/>
        <v>0</v>
      </c>
      <c r="Y80" s="789">
        <f t="shared" ca="1" si="101"/>
        <v>0</v>
      </c>
      <c r="Z80" s="789">
        <f t="shared" ca="1" si="102"/>
        <v>0</v>
      </c>
      <c r="AA80" s="789">
        <f t="shared" ca="1" si="103"/>
        <v>0</v>
      </c>
      <c r="AB80" s="789" t="str">
        <f t="shared" ca="1" si="108"/>
        <v/>
      </c>
      <c r="AC80" s="789" t="str">
        <f t="shared" ca="1" si="109"/>
        <v/>
      </c>
      <c r="AD80" s="789" t="str">
        <f t="shared" ca="1" si="110"/>
        <v/>
      </c>
      <c r="AE80" s="789" t="str">
        <f t="shared" ca="1" si="111"/>
        <v/>
      </c>
      <c r="AF80" s="789" t="str">
        <f t="shared" ca="1" si="112"/>
        <v/>
      </c>
      <c r="AG80" s="789" t="str">
        <f t="shared" ca="1" si="113"/>
        <v/>
      </c>
      <c r="AH80" s="789" t="str">
        <f t="shared" ca="1" si="114"/>
        <v/>
      </c>
      <c r="AI80" s="789" t="str">
        <f t="shared" ca="1" si="115"/>
        <v/>
      </c>
      <c r="AJ80" s="789" t="str">
        <f t="shared" ca="1" si="116"/>
        <v/>
      </c>
      <c r="AK80" s="789" t="str">
        <f t="shared" ca="1" si="117"/>
        <v/>
      </c>
      <c r="AL80" s="789" t="str">
        <f t="shared" ca="1" si="118"/>
        <v/>
      </c>
      <c r="AM80" s="789" t="str">
        <f t="shared" ca="1" si="119"/>
        <v/>
      </c>
      <c r="AN80" s="789" t="str">
        <f t="shared" ca="1" si="120"/>
        <v/>
      </c>
      <c r="AO80" s="789" t="str">
        <f t="shared" ca="1" si="121"/>
        <v/>
      </c>
      <c r="AP80" s="789" t="str">
        <f t="shared" ca="1" si="122"/>
        <v/>
      </c>
      <c r="AQ80" s="789" t="str">
        <f t="shared" ca="1" si="123"/>
        <v/>
      </c>
      <c r="AR80" s="789" t="str">
        <f t="shared" ca="1" si="124"/>
        <v/>
      </c>
      <c r="AS80" s="789" t="str">
        <f t="shared" ca="1" si="125"/>
        <v/>
      </c>
      <c r="AT80" s="789" t="str">
        <f t="shared" ca="1" si="126"/>
        <v/>
      </c>
      <c r="AU80" s="789" t="str">
        <f t="shared" ca="1" si="127"/>
        <v/>
      </c>
      <c r="AV80" s="789" t="str">
        <f t="shared" ca="1" si="128"/>
        <v/>
      </c>
      <c r="AW80" s="789" t="str">
        <f t="shared" ca="1" si="129"/>
        <v/>
      </c>
      <c r="AX80" s="789" t="str">
        <f t="shared" ca="1" si="130"/>
        <v/>
      </c>
      <c r="AY80" s="789" t="str">
        <f t="shared" ca="1" si="131"/>
        <v/>
      </c>
      <c r="AZ80" s="789" t="str">
        <f t="shared" ca="1" si="132"/>
        <v/>
      </c>
      <c r="BA80" s="789" t="str">
        <f t="shared" ca="1" si="133"/>
        <v/>
      </c>
      <c r="BB80" s="789" t="str">
        <f t="shared" ca="1" si="134"/>
        <v/>
      </c>
      <c r="BC80" s="789" t="str">
        <f t="shared" ca="1" si="135"/>
        <v/>
      </c>
      <c r="BD80" s="789" t="str">
        <f t="shared" ca="1" si="136"/>
        <v/>
      </c>
      <c r="BE80" s="789" t="str">
        <f t="shared" ca="1" si="137"/>
        <v/>
      </c>
      <c r="BF80" s="789" t="str">
        <f t="shared" ca="1" si="138"/>
        <v/>
      </c>
      <c r="BG80" s="789" t="str">
        <f t="shared" ca="1" si="139"/>
        <v/>
      </c>
      <c r="BH80" s="789" t="str">
        <f t="shared" ca="1" si="140"/>
        <v/>
      </c>
      <c r="BI80" s="789" t="str">
        <f t="shared" ca="1" si="141"/>
        <v/>
      </c>
      <c r="BJ80" s="789" t="str">
        <f t="shared" ca="1" si="142"/>
        <v/>
      </c>
      <c r="BK80" s="789" t="str">
        <f t="shared" ca="1" si="143"/>
        <v/>
      </c>
      <c r="BL80" s="789" t="str">
        <f t="shared" ca="1" si="144"/>
        <v/>
      </c>
      <c r="BM80" s="789" t="str">
        <f t="shared" ca="1" si="145"/>
        <v/>
      </c>
      <c r="BN80" s="789" t="str">
        <f t="shared" ca="1" si="146"/>
        <v/>
      </c>
      <c r="BO80" s="789" t="str">
        <f t="shared" ca="1" si="147"/>
        <v/>
      </c>
      <c r="BP80" s="802"/>
    </row>
    <row r="81" spans="1:68" ht="20.100000000000001" customHeight="1">
      <c r="A81" s="784">
        <v>89</v>
      </c>
      <c r="B81" s="1594"/>
      <c r="C81" s="1596"/>
      <c r="D81" s="814" t="s">
        <v>797</v>
      </c>
      <c r="E81" s="785"/>
      <c r="F81" s="836"/>
      <c r="G81" s="787" t="s">
        <v>462</v>
      </c>
      <c r="H81" s="788">
        <f t="shared" ca="1" si="104"/>
        <v>3.6</v>
      </c>
      <c r="I81" s="788">
        <f t="shared" ca="1" si="105"/>
        <v>3.6</v>
      </c>
      <c r="J81" s="788">
        <f t="shared" ca="1" si="106"/>
        <v>3.6</v>
      </c>
      <c r="K81" s="788">
        <f t="shared" ca="1" si="107"/>
        <v>3.6</v>
      </c>
      <c r="L81" s="789">
        <f t="shared" ca="1" si="148"/>
        <v>0</v>
      </c>
      <c r="M81" s="789">
        <f t="shared" ca="1" si="148"/>
        <v>0</v>
      </c>
      <c r="N81" s="789">
        <f t="shared" ca="1" si="148"/>
        <v>0</v>
      </c>
      <c r="O81" s="789">
        <f t="shared" ca="1" si="148"/>
        <v>0</v>
      </c>
      <c r="P81" s="789">
        <f ca="1">SUM(SUMIFS(OFFSET(貼付け_2024実績,$A81,9,1,199),OFFSET(貼付け_2024実績,4,9,1,199),{"横浜*","川崎*"}))</f>
        <v>0</v>
      </c>
      <c r="Q81" s="789">
        <f ca="1">SUM(SUMIFS(OFFSET(貼付け_2025実績,$A81,9,1,199),OFFSET(貼付け_2025実績,4,9,1,199),{"横浜*","川崎*"}))</f>
        <v>0</v>
      </c>
      <c r="R81" s="789">
        <f ca="1">SUM(SUMIFS(OFFSET(貼付け_2026実績,$A81,9,1,199),OFFSET(貼付け_2026実績,4,9,1,199),{"横浜*","川崎*"}))</f>
        <v>0</v>
      </c>
      <c r="S81" s="789">
        <f ca="1">SUM(SUMIFS(OFFSET(貼付け_2027実績,$A81,9,1,199),OFFSET(貼付け_2027実績,4,9,1,199),{"横浜*","川崎*"}))</f>
        <v>0</v>
      </c>
      <c r="T81" s="789">
        <f t="shared" ca="1" si="149"/>
        <v>0</v>
      </c>
      <c r="U81" s="789">
        <f t="shared" ca="1" si="149"/>
        <v>0</v>
      </c>
      <c r="V81" s="789">
        <f t="shared" ca="1" si="149"/>
        <v>0</v>
      </c>
      <c r="W81" s="789">
        <f t="shared" ca="1" si="149"/>
        <v>0</v>
      </c>
      <c r="X81" s="789">
        <f t="shared" ca="1" si="100"/>
        <v>0</v>
      </c>
      <c r="Y81" s="789">
        <f t="shared" ca="1" si="101"/>
        <v>0</v>
      </c>
      <c r="Z81" s="789">
        <f t="shared" ca="1" si="102"/>
        <v>0</v>
      </c>
      <c r="AA81" s="789">
        <f t="shared" ca="1" si="103"/>
        <v>0</v>
      </c>
      <c r="AB81" s="789" t="str">
        <f t="shared" ca="1" si="108"/>
        <v/>
      </c>
      <c r="AC81" s="789" t="str">
        <f t="shared" ca="1" si="109"/>
        <v/>
      </c>
      <c r="AD81" s="789" t="str">
        <f t="shared" ca="1" si="110"/>
        <v/>
      </c>
      <c r="AE81" s="789" t="str">
        <f t="shared" ca="1" si="111"/>
        <v/>
      </c>
      <c r="AF81" s="789" t="str">
        <f t="shared" ca="1" si="112"/>
        <v/>
      </c>
      <c r="AG81" s="789" t="str">
        <f t="shared" ca="1" si="113"/>
        <v/>
      </c>
      <c r="AH81" s="789" t="str">
        <f t="shared" ca="1" si="114"/>
        <v/>
      </c>
      <c r="AI81" s="789" t="str">
        <f t="shared" ca="1" si="115"/>
        <v/>
      </c>
      <c r="AJ81" s="789" t="str">
        <f t="shared" ca="1" si="116"/>
        <v/>
      </c>
      <c r="AK81" s="789" t="str">
        <f t="shared" ca="1" si="117"/>
        <v/>
      </c>
      <c r="AL81" s="789" t="str">
        <f t="shared" ca="1" si="118"/>
        <v/>
      </c>
      <c r="AM81" s="789" t="str">
        <f t="shared" ca="1" si="119"/>
        <v/>
      </c>
      <c r="AN81" s="789" t="str">
        <f t="shared" ca="1" si="120"/>
        <v/>
      </c>
      <c r="AO81" s="789" t="str">
        <f t="shared" ca="1" si="121"/>
        <v/>
      </c>
      <c r="AP81" s="789" t="str">
        <f t="shared" ca="1" si="122"/>
        <v/>
      </c>
      <c r="AQ81" s="789" t="str">
        <f t="shared" ca="1" si="123"/>
        <v/>
      </c>
      <c r="AR81" s="789" t="str">
        <f t="shared" ca="1" si="124"/>
        <v/>
      </c>
      <c r="AS81" s="789" t="str">
        <f t="shared" ca="1" si="125"/>
        <v/>
      </c>
      <c r="AT81" s="789" t="str">
        <f t="shared" ca="1" si="126"/>
        <v/>
      </c>
      <c r="AU81" s="789" t="str">
        <f t="shared" ca="1" si="127"/>
        <v/>
      </c>
      <c r="AV81" s="789" t="str">
        <f t="shared" ca="1" si="128"/>
        <v/>
      </c>
      <c r="AW81" s="789" t="str">
        <f t="shared" ca="1" si="129"/>
        <v/>
      </c>
      <c r="AX81" s="789" t="str">
        <f t="shared" ca="1" si="130"/>
        <v/>
      </c>
      <c r="AY81" s="789" t="str">
        <f t="shared" ca="1" si="131"/>
        <v/>
      </c>
      <c r="AZ81" s="789" t="str">
        <f t="shared" ca="1" si="132"/>
        <v/>
      </c>
      <c r="BA81" s="789" t="str">
        <f t="shared" ca="1" si="133"/>
        <v/>
      </c>
      <c r="BB81" s="789" t="str">
        <f t="shared" ca="1" si="134"/>
        <v/>
      </c>
      <c r="BC81" s="789" t="str">
        <f t="shared" ca="1" si="135"/>
        <v/>
      </c>
      <c r="BD81" s="789" t="str">
        <f t="shared" ca="1" si="136"/>
        <v/>
      </c>
      <c r="BE81" s="789" t="str">
        <f t="shared" ca="1" si="137"/>
        <v/>
      </c>
      <c r="BF81" s="789" t="str">
        <f t="shared" ca="1" si="138"/>
        <v/>
      </c>
      <c r="BG81" s="789" t="str">
        <f t="shared" ca="1" si="139"/>
        <v/>
      </c>
      <c r="BH81" s="789" t="str">
        <f t="shared" ca="1" si="140"/>
        <v/>
      </c>
      <c r="BI81" s="789" t="str">
        <f t="shared" ca="1" si="141"/>
        <v/>
      </c>
      <c r="BJ81" s="789" t="str">
        <f t="shared" ca="1" si="142"/>
        <v/>
      </c>
      <c r="BK81" s="789" t="str">
        <f t="shared" ca="1" si="143"/>
        <v/>
      </c>
      <c r="BL81" s="789" t="str">
        <f t="shared" ca="1" si="144"/>
        <v/>
      </c>
      <c r="BM81" s="789" t="str">
        <f t="shared" ca="1" si="145"/>
        <v/>
      </c>
      <c r="BN81" s="789" t="str">
        <f t="shared" ca="1" si="146"/>
        <v/>
      </c>
      <c r="BO81" s="789" t="str">
        <f t="shared" ca="1" si="147"/>
        <v/>
      </c>
      <c r="BP81" s="802"/>
    </row>
    <row r="82" spans="1:68" ht="20.100000000000001" customHeight="1">
      <c r="A82" s="784">
        <v>90</v>
      </c>
      <c r="B82" s="1594"/>
      <c r="C82" s="1596"/>
      <c r="D82" s="814" t="s">
        <v>798</v>
      </c>
      <c r="E82" s="785"/>
      <c r="F82" s="836"/>
      <c r="G82" s="787" t="s">
        <v>463</v>
      </c>
      <c r="H82" s="837"/>
      <c r="I82" s="837"/>
      <c r="J82" s="837"/>
      <c r="K82" s="837"/>
      <c r="L82" s="789">
        <f t="shared" ca="1" si="148"/>
        <v>0</v>
      </c>
      <c r="M82" s="789">
        <f t="shared" ca="1" si="148"/>
        <v>0</v>
      </c>
      <c r="N82" s="789">
        <f t="shared" ca="1" si="148"/>
        <v>0</v>
      </c>
      <c r="O82" s="789">
        <f t="shared" ca="1" si="148"/>
        <v>0</v>
      </c>
      <c r="P82" s="789">
        <f ca="1">SUM(SUMIFS(OFFSET(貼付け_2024実績,$A82,9,1,199),OFFSET(貼付け_2024実績,4,9,1,199),{"横浜*","川崎*"}))</f>
        <v>0</v>
      </c>
      <c r="Q82" s="789">
        <f ca="1">SUM(SUMIFS(OFFSET(貼付け_2025実績,$A82,9,1,199),OFFSET(貼付け_2025実績,4,9,1,199),{"横浜*","川崎*"}))</f>
        <v>0</v>
      </c>
      <c r="R82" s="789">
        <f ca="1">SUM(SUMIFS(OFFSET(貼付け_2026実績,$A82,9,1,199),OFFSET(貼付け_2026実績,4,9,1,199),{"横浜*","川崎*"}))</f>
        <v>0</v>
      </c>
      <c r="S82" s="789">
        <f ca="1">SUM(SUMIFS(OFFSET(貼付け_2027実績,$A82,9,1,199),OFFSET(貼付け_2027実績,4,9,1,199),{"横浜*","川崎*"}))</f>
        <v>0</v>
      </c>
      <c r="T82" s="789">
        <f t="shared" ca="1" si="149"/>
        <v>0</v>
      </c>
      <c r="U82" s="789">
        <f t="shared" ca="1" si="149"/>
        <v>0</v>
      </c>
      <c r="V82" s="789">
        <f t="shared" ca="1" si="149"/>
        <v>0</v>
      </c>
      <c r="W82" s="789">
        <f t="shared" ca="1" si="149"/>
        <v>0</v>
      </c>
      <c r="X82" s="789">
        <f t="shared" ca="1" si="100"/>
        <v>0</v>
      </c>
      <c r="Y82" s="789">
        <f t="shared" ca="1" si="101"/>
        <v>0</v>
      </c>
      <c r="Z82" s="789">
        <f t="shared" ca="1" si="102"/>
        <v>0</v>
      </c>
      <c r="AA82" s="789">
        <f t="shared" ca="1" si="103"/>
        <v>0</v>
      </c>
      <c r="AB82" s="789" t="str">
        <f t="shared" ca="1" si="108"/>
        <v/>
      </c>
      <c r="AC82" s="789" t="str">
        <f t="shared" ca="1" si="109"/>
        <v/>
      </c>
      <c r="AD82" s="789" t="str">
        <f t="shared" ca="1" si="110"/>
        <v/>
      </c>
      <c r="AE82" s="789" t="str">
        <f t="shared" ca="1" si="111"/>
        <v/>
      </c>
      <c r="AF82" s="789" t="str">
        <f t="shared" ca="1" si="112"/>
        <v/>
      </c>
      <c r="AG82" s="789" t="str">
        <f t="shared" ca="1" si="113"/>
        <v/>
      </c>
      <c r="AH82" s="789" t="str">
        <f t="shared" ca="1" si="114"/>
        <v/>
      </c>
      <c r="AI82" s="789" t="str">
        <f t="shared" ca="1" si="115"/>
        <v/>
      </c>
      <c r="AJ82" s="789" t="str">
        <f t="shared" ca="1" si="116"/>
        <v/>
      </c>
      <c r="AK82" s="789" t="str">
        <f t="shared" ca="1" si="117"/>
        <v/>
      </c>
      <c r="AL82" s="789" t="str">
        <f t="shared" ca="1" si="118"/>
        <v/>
      </c>
      <c r="AM82" s="789" t="str">
        <f t="shared" ca="1" si="119"/>
        <v/>
      </c>
      <c r="AN82" s="789" t="str">
        <f t="shared" ca="1" si="120"/>
        <v/>
      </c>
      <c r="AO82" s="789" t="str">
        <f t="shared" ca="1" si="121"/>
        <v/>
      </c>
      <c r="AP82" s="789" t="str">
        <f t="shared" ca="1" si="122"/>
        <v/>
      </c>
      <c r="AQ82" s="789" t="str">
        <f t="shared" ca="1" si="123"/>
        <v/>
      </c>
      <c r="AR82" s="789" t="str">
        <f t="shared" ca="1" si="124"/>
        <v/>
      </c>
      <c r="AS82" s="789" t="str">
        <f t="shared" ca="1" si="125"/>
        <v/>
      </c>
      <c r="AT82" s="789" t="str">
        <f t="shared" ca="1" si="126"/>
        <v/>
      </c>
      <c r="AU82" s="789" t="str">
        <f t="shared" ca="1" si="127"/>
        <v/>
      </c>
      <c r="AV82" s="789" t="str">
        <f t="shared" ca="1" si="128"/>
        <v/>
      </c>
      <c r="AW82" s="789" t="str">
        <f t="shared" ca="1" si="129"/>
        <v/>
      </c>
      <c r="AX82" s="789" t="str">
        <f t="shared" ca="1" si="130"/>
        <v/>
      </c>
      <c r="AY82" s="789" t="str">
        <f t="shared" ca="1" si="131"/>
        <v/>
      </c>
      <c r="AZ82" s="789" t="str">
        <f t="shared" ca="1" si="132"/>
        <v/>
      </c>
      <c r="BA82" s="789" t="str">
        <f t="shared" ca="1" si="133"/>
        <v/>
      </c>
      <c r="BB82" s="789" t="str">
        <f t="shared" ca="1" si="134"/>
        <v/>
      </c>
      <c r="BC82" s="789" t="str">
        <f t="shared" ca="1" si="135"/>
        <v/>
      </c>
      <c r="BD82" s="789" t="str">
        <f t="shared" ca="1" si="136"/>
        <v/>
      </c>
      <c r="BE82" s="789" t="str">
        <f t="shared" ca="1" si="137"/>
        <v/>
      </c>
      <c r="BF82" s="789" t="str">
        <f t="shared" ca="1" si="138"/>
        <v/>
      </c>
      <c r="BG82" s="789" t="str">
        <f t="shared" ca="1" si="139"/>
        <v/>
      </c>
      <c r="BH82" s="789" t="str">
        <f t="shared" ca="1" si="140"/>
        <v/>
      </c>
      <c r="BI82" s="789" t="str">
        <f t="shared" ca="1" si="141"/>
        <v/>
      </c>
      <c r="BJ82" s="789" t="str">
        <f t="shared" ca="1" si="142"/>
        <v/>
      </c>
      <c r="BK82" s="789" t="str">
        <f t="shared" ca="1" si="143"/>
        <v/>
      </c>
      <c r="BL82" s="789" t="str">
        <f t="shared" ca="1" si="144"/>
        <v/>
      </c>
      <c r="BM82" s="789" t="str">
        <f t="shared" ca="1" si="145"/>
        <v/>
      </c>
      <c r="BN82" s="789" t="str">
        <f t="shared" ca="1" si="146"/>
        <v/>
      </c>
      <c r="BO82" s="789" t="str">
        <f t="shared" ca="1" si="147"/>
        <v/>
      </c>
      <c r="BP82" s="802"/>
    </row>
    <row r="83" spans="1:68" ht="20.100000000000001" customHeight="1">
      <c r="A83" s="784">
        <v>91</v>
      </c>
      <c r="B83" s="1594"/>
      <c r="C83" s="1596"/>
      <c r="D83" s="1617" t="s">
        <v>799</v>
      </c>
      <c r="E83" s="838" t="str">
        <f ca="1">OFFSET(A1_その他欄集計,14,7)</f>
        <v/>
      </c>
      <c r="F83" s="839"/>
      <c r="G83" s="787" t="s">
        <v>462</v>
      </c>
      <c r="H83" s="788">
        <f t="shared" ca="1" si="104"/>
        <v>0</v>
      </c>
      <c r="I83" s="788">
        <f t="shared" ca="1" si="105"/>
        <v>0</v>
      </c>
      <c r="J83" s="788">
        <f t="shared" ca="1" si="106"/>
        <v>0</v>
      </c>
      <c r="K83" s="788">
        <f t="shared" ca="1" si="107"/>
        <v>0</v>
      </c>
      <c r="L83" s="789">
        <f t="shared" ca="1" si="148"/>
        <v>0</v>
      </c>
      <c r="M83" s="789">
        <f t="shared" ca="1" si="148"/>
        <v>0</v>
      </c>
      <c r="N83" s="789">
        <f t="shared" ca="1" si="148"/>
        <v>0</v>
      </c>
      <c r="O83" s="789">
        <f t="shared" ca="1" si="148"/>
        <v>0</v>
      </c>
      <c r="P83" s="789">
        <f ca="1">SUM(SUMIFS(OFFSET(貼付け_2024実績,$A83,9,1,199),OFFSET(貼付け_2024実績,4,9,1,199),{"横浜*","川崎*"}))</f>
        <v>0</v>
      </c>
      <c r="Q83" s="789">
        <f ca="1">SUM(SUMIFS(OFFSET(貼付け_2025実績,$A83,9,1,199),OFFSET(貼付け_2025実績,4,9,1,199),{"横浜*","川崎*"}))</f>
        <v>0</v>
      </c>
      <c r="R83" s="789">
        <f ca="1">SUM(SUMIFS(OFFSET(貼付け_2026実績,$A83,9,1,199),OFFSET(貼付け_2026実績,4,9,1,199),{"横浜*","川崎*"}))</f>
        <v>0</v>
      </c>
      <c r="S83" s="789">
        <f ca="1">SUM(SUMIFS(OFFSET(貼付け_2027実績,$A83,9,1,199),OFFSET(貼付け_2027実績,4,9,1,199),{"横浜*","川崎*"}))</f>
        <v>0</v>
      </c>
      <c r="T83" s="789">
        <f t="shared" ca="1" si="149"/>
        <v>0</v>
      </c>
      <c r="U83" s="789">
        <f t="shared" ca="1" si="149"/>
        <v>0</v>
      </c>
      <c r="V83" s="789">
        <f t="shared" ca="1" si="149"/>
        <v>0</v>
      </c>
      <c r="W83" s="789">
        <f t="shared" ca="1" si="149"/>
        <v>0</v>
      </c>
      <c r="X83" s="789">
        <f t="shared" ca="1" si="100"/>
        <v>0</v>
      </c>
      <c r="Y83" s="789">
        <f t="shared" ca="1" si="101"/>
        <v>0</v>
      </c>
      <c r="Z83" s="789">
        <f t="shared" ca="1" si="102"/>
        <v>0</v>
      </c>
      <c r="AA83" s="789">
        <f t="shared" ca="1" si="103"/>
        <v>0</v>
      </c>
      <c r="AB83" s="789" t="str">
        <f t="shared" ca="1" si="108"/>
        <v/>
      </c>
      <c r="AC83" s="789" t="str">
        <f t="shared" ca="1" si="109"/>
        <v/>
      </c>
      <c r="AD83" s="789" t="str">
        <f t="shared" ca="1" si="110"/>
        <v/>
      </c>
      <c r="AE83" s="789" t="str">
        <f t="shared" ca="1" si="111"/>
        <v/>
      </c>
      <c r="AF83" s="789" t="str">
        <f t="shared" ca="1" si="112"/>
        <v/>
      </c>
      <c r="AG83" s="789" t="str">
        <f t="shared" ca="1" si="113"/>
        <v/>
      </c>
      <c r="AH83" s="789" t="str">
        <f t="shared" ca="1" si="114"/>
        <v/>
      </c>
      <c r="AI83" s="789" t="str">
        <f t="shared" ca="1" si="115"/>
        <v/>
      </c>
      <c r="AJ83" s="789" t="str">
        <f t="shared" ca="1" si="116"/>
        <v/>
      </c>
      <c r="AK83" s="789" t="str">
        <f t="shared" ca="1" si="117"/>
        <v/>
      </c>
      <c r="AL83" s="789" t="str">
        <f t="shared" ca="1" si="118"/>
        <v/>
      </c>
      <c r="AM83" s="789" t="str">
        <f t="shared" ca="1" si="119"/>
        <v/>
      </c>
      <c r="AN83" s="789" t="str">
        <f t="shared" ca="1" si="120"/>
        <v/>
      </c>
      <c r="AO83" s="789" t="str">
        <f t="shared" ca="1" si="121"/>
        <v/>
      </c>
      <c r="AP83" s="789" t="str">
        <f t="shared" ca="1" si="122"/>
        <v/>
      </c>
      <c r="AQ83" s="789" t="str">
        <f t="shared" ca="1" si="123"/>
        <v/>
      </c>
      <c r="AR83" s="789" t="str">
        <f t="shared" ca="1" si="124"/>
        <v/>
      </c>
      <c r="AS83" s="789" t="str">
        <f t="shared" ca="1" si="125"/>
        <v/>
      </c>
      <c r="AT83" s="789" t="str">
        <f t="shared" ca="1" si="126"/>
        <v/>
      </c>
      <c r="AU83" s="789" t="str">
        <f t="shared" ca="1" si="127"/>
        <v/>
      </c>
      <c r="AV83" s="789" t="str">
        <f t="shared" ca="1" si="128"/>
        <v/>
      </c>
      <c r="AW83" s="789" t="str">
        <f t="shared" ca="1" si="129"/>
        <v/>
      </c>
      <c r="AX83" s="789" t="str">
        <f t="shared" ca="1" si="130"/>
        <v/>
      </c>
      <c r="AY83" s="789" t="str">
        <f t="shared" ca="1" si="131"/>
        <v/>
      </c>
      <c r="AZ83" s="789" t="str">
        <f t="shared" ca="1" si="132"/>
        <v/>
      </c>
      <c r="BA83" s="789" t="str">
        <f t="shared" ca="1" si="133"/>
        <v/>
      </c>
      <c r="BB83" s="789" t="str">
        <f t="shared" ca="1" si="134"/>
        <v/>
      </c>
      <c r="BC83" s="789" t="str">
        <f t="shared" ca="1" si="135"/>
        <v/>
      </c>
      <c r="BD83" s="789" t="str">
        <f t="shared" ca="1" si="136"/>
        <v/>
      </c>
      <c r="BE83" s="789" t="str">
        <f t="shared" ca="1" si="137"/>
        <v/>
      </c>
      <c r="BF83" s="789" t="str">
        <f t="shared" ca="1" si="138"/>
        <v/>
      </c>
      <c r="BG83" s="789" t="str">
        <f t="shared" ca="1" si="139"/>
        <v/>
      </c>
      <c r="BH83" s="789" t="str">
        <f t="shared" ca="1" si="140"/>
        <v/>
      </c>
      <c r="BI83" s="789" t="str">
        <f t="shared" ca="1" si="141"/>
        <v/>
      </c>
      <c r="BJ83" s="789" t="str">
        <f t="shared" ca="1" si="142"/>
        <v/>
      </c>
      <c r="BK83" s="789" t="str">
        <f t="shared" ca="1" si="143"/>
        <v/>
      </c>
      <c r="BL83" s="789" t="str">
        <f t="shared" ca="1" si="144"/>
        <v/>
      </c>
      <c r="BM83" s="789" t="str">
        <f t="shared" ca="1" si="145"/>
        <v/>
      </c>
      <c r="BN83" s="789" t="str">
        <f t="shared" ca="1" si="146"/>
        <v/>
      </c>
      <c r="BO83" s="789" t="str">
        <f t="shared" ca="1" si="147"/>
        <v/>
      </c>
      <c r="BP83" s="802"/>
    </row>
    <row r="84" spans="1:68" ht="20.100000000000001" customHeight="1">
      <c r="A84" s="784">
        <v>92</v>
      </c>
      <c r="B84" s="1594"/>
      <c r="C84" s="1596"/>
      <c r="D84" s="1617"/>
      <c r="E84" s="840"/>
      <c r="F84" s="841"/>
      <c r="G84" s="787" t="s">
        <v>463</v>
      </c>
      <c r="H84" s="837"/>
      <c r="I84" s="837"/>
      <c r="J84" s="837"/>
      <c r="K84" s="837"/>
      <c r="L84" s="789">
        <f t="shared" ca="1" si="148"/>
        <v>0</v>
      </c>
      <c r="M84" s="789">
        <f t="shared" ca="1" si="148"/>
        <v>0</v>
      </c>
      <c r="N84" s="789">
        <f t="shared" ca="1" si="148"/>
        <v>0</v>
      </c>
      <c r="O84" s="789">
        <f t="shared" ca="1" si="148"/>
        <v>0</v>
      </c>
      <c r="P84" s="789">
        <f ca="1">SUM(SUMIFS(OFFSET(貼付け_2024実績,$A84,9,1,199),OFFSET(貼付け_2024実績,4,9,1,199),{"横浜*","川崎*"}))</f>
        <v>0</v>
      </c>
      <c r="Q84" s="789">
        <f ca="1">SUM(SUMIFS(OFFSET(貼付け_2025実績,$A84,9,1,199),OFFSET(貼付け_2025実績,4,9,1,199),{"横浜*","川崎*"}))</f>
        <v>0</v>
      </c>
      <c r="R84" s="789">
        <f ca="1">SUM(SUMIFS(OFFSET(貼付け_2026実績,$A84,9,1,199),OFFSET(貼付け_2026実績,4,9,1,199),{"横浜*","川崎*"}))</f>
        <v>0</v>
      </c>
      <c r="S84" s="789">
        <f ca="1">SUM(SUMIFS(OFFSET(貼付け_2027実績,$A84,9,1,199),OFFSET(貼付け_2027実績,4,9,1,199),{"横浜*","川崎*"}))</f>
        <v>0</v>
      </c>
      <c r="T84" s="789">
        <f t="shared" ca="1" si="149"/>
        <v>0</v>
      </c>
      <c r="U84" s="789">
        <f t="shared" ca="1" si="149"/>
        <v>0</v>
      </c>
      <c r="V84" s="789">
        <f t="shared" ca="1" si="149"/>
        <v>0</v>
      </c>
      <c r="W84" s="789">
        <f t="shared" ca="1" si="149"/>
        <v>0</v>
      </c>
      <c r="X84" s="789">
        <f t="shared" ca="1" si="100"/>
        <v>0</v>
      </c>
      <c r="Y84" s="789">
        <f t="shared" ca="1" si="101"/>
        <v>0</v>
      </c>
      <c r="Z84" s="789">
        <f t="shared" ca="1" si="102"/>
        <v>0</v>
      </c>
      <c r="AA84" s="789">
        <f t="shared" ca="1" si="103"/>
        <v>0</v>
      </c>
      <c r="AB84" s="789" t="str">
        <f t="shared" ca="1" si="108"/>
        <v/>
      </c>
      <c r="AC84" s="789" t="str">
        <f t="shared" ca="1" si="109"/>
        <v/>
      </c>
      <c r="AD84" s="789" t="str">
        <f t="shared" ca="1" si="110"/>
        <v/>
      </c>
      <c r="AE84" s="789" t="str">
        <f t="shared" ca="1" si="111"/>
        <v/>
      </c>
      <c r="AF84" s="789" t="str">
        <f t="shared" ca="1" si="112"/>
        <v/>
      </c>
      <c r="AG84" s="789" t="str">
        <f t="shared" ca="1" si="113"/>
        <v/>
      </c>
      <c r="AH84" s="789" t="str">
        <f t="shared" ca="1" si="114"/>
        <v/>
      </c>
      <c r="AI84" s="789" t="str">
        <f t="shared" ca="1" si="115"/>
        <v/>
      </c>
      <c r="AJ84" s="789" t="str">
        <f t="shared" ca="1" si="116"/>
        <v/>
      </c>
      <c r="AK84" s="789" t="str">
        <f t="shared" ca="1" si="117"/>
        <v/>
      </c>
      <c r="AL84" s="789" t="str">
        <f t="shared" ca="1" si="118"/>
        <v/>
      </c>
      <c r="AM84" s="789" t="str">
        <f t="shared" ca="1" si="119"/>
        <v/>
      </c>
      <c r="AN84" s="789" t="str">
        <f t="shared" ca="1" si="120"/>
        <v/>
      </c>
      <c r="AO84" s="789" t="str">
        <f t="shared" ca="1" si="121"/>
        <v/>
      </c>
      <c r="AP84" s="789" t="str">
        <f t="shared" ca="1" si="122"/>
        <v/>
      </c>
      <c r="AQ84" s="789" t="str">
        <f t="shared" ca="1" si="123"/>
        <v/>
      </c>
      <c r="AR84" s="789" t="str">
        <f t="shared" ca="1" si="124"/>
        <v/>
      </c>
      <c r="AS84" s="789" t="str">
        <f t="shared" ca="1" si="125"/>
        <v/>
      </c>
      <c r="AT84" s="789" t="str">
        <f t="shared" ca="1" si="126"/>
        <v/>
      </c>
      <c r="AU84" s="789" t="str">
        <f t="shared" ca="1" si="127"/>
        <v/>
      </c>
      <c r="AV84" s="789" t="str">
        <f t="shared" ca="1" si="128"/>
        <v/>
      </c>
      <c r="AW84" s="789" t="str">
        <f t="shared" ca="1" si="129"/>
        <v/>
      </c>
      <c r="AX84" s="789" t="str">
        <f t="shared" ca="1" si="130"/>
        <v/>
      </c>
      <c r="AY84" s="789" t="str">
        <f t="shared" ca="1" si="131"/>
        <v/>
      </c>
      <c r="AZ84" s="789" t="str">
        <f t="shared" ca="1" si="132"/>
        <v/>
      </c>
      <c r="BA84" s="789" t="str">
        <f t="shared" ca="1" si="133"/>
        <v/>
      </c>
      <c r="BB84" s="789" t="str">
        <f t="shared" ca="1" si="134"/>
        <v/>
      </c>
      <c r="BC84" s="789" t="str">
        <f t="shared" ca="1" si="135"/>
        <v/>
      </c>
      <c r="BD84" s="789" t="str">
        <f t="shared" ca="1" si="136"/>
        <v/>
      </c>
      <c r="BE84" s="789" t="str">
        <f t="shared" ca="1" si="137"/>
        <v/>
      </c>
      <c r="BF84" s="789" t="str">
        <f t="shared" ca="1" si="138"/>
        <v/>
      </c>
      <c r="BG84" s="789" t="str">
        <f t="shared" ca="1" si="139"/>
        <v/>
      </c>
      <c r="BH84" s="789" t="str">
        <f t="shared" ca="1" si="140"/>
        <v/>
      </c>
      <c r="BI84" s="789" t="str">
        <f t="shared" ca="1" si="141"/>
        <v/>
      </c>
      <c r="BJ84" s="789" t="str">
        <f t="shared" ca="1" si="142"/>
        <v/>
      </c>
      <c r="BK84" s="789" t="str">
        <f t="shared" ca="1" si="143"/>
        <v/>
      </c>
      <c r="BL84" s="789" t="str">
        <f t="shared" ca="1" si="144"/>
        <v/>
      </c>
      <c r="BM84" s="789" t="str">
        <f t="shared" ca="1" si="145"/>
        <v/>
      </c>
      <c r="BN84" s="789" t="str">
        <f t="shared" ca="1" si="146"/>
        <v/>
      </c>
      <c r="BO84" s="789" t="str">
        <f t="shared" ca="1" si="147"/>
        <v/>
      </c>
      <c r="BP84" s="802"/>
    </row>
    <row r="85" spans="1:68" ht="20.100000000000001" customHeight="1">
      <c r="A85" s="784">
        <v>93</v>
      </c>
      <c r="B85" s="1594"/>
      <c r="C85" s="1596"/>
      <c r="D85" s="1617" t="s">
        <v>800</v>
      </c>
      <c r="E85" s="838" t="str">
        <f ca="1">OFFSET(A1_その他欄集計,15,7)</f>
        <v/>
      </c>
      <c r="F85" s="839"/>
      <c r="G85" s="787" t="s">
        <v>462</v>
      </c>
      <c r="H85" s="788">
        <f t="shared" ca="1" si="104"/>
        <v>0</v>
      </c>
      <c r="I85" s="788">
        <f t="shared" ca="1" si="105"/>
        <v>0</v>
      </c>
      <c r="J85" s="788">
        <f t="shared" ca="1" si="106"/>
        <v>0</v>
      </c>
      <c r="K85" s="788">
        <f t="shared" ca="1" si="107"/>
        <v>0</v>
      </c>
      <c r="L85" s="789">
        <f t="shared" ca="1" si="148"/>
        <v>0</v>
      </c>
      <c r="M85" s="789">
        <f t="shared" ca="1" si="148"/>
        <v>0</v>
      </c>
      <c r="N85" s="789">
        <f t="shared" ca="1" si="148"/>
        <v>0</v>
      </c>
      <c r="O85" s="789">
        <f t="shared" ca="1" si="148"/>
        <v>0</v>
      </c>
      <c r="P85" s="789">
        <f ca="1">SUM(SUMIFS(OFFSET(貼付け_2024実績,$A85,9,1,199),OFFSET(貼付け_2024実績,4,9,1,199),{"横浜*","川崎*"}))</f>
        <v>0</v>
      </c>
      <c r="Q85" s="789">
        <f ca="1">SUM(SUMIFS(OFFSET(貼付け_2025実績,$A85,9,1,199),OFFSET(貼付け_2025実績,4,9,1,199),{"横浜*","川崎*"}))</f>
        <v>0</v>
      </c>
      <c r="R85" s="789">
        <f ca="1">SUM(SUMIFS(OFFSET(貼付け_2026実績,$A85,9,1,199),OFFSET(貼付け_2026実績,4,9,1,199),{"横浜*","川崎*"}))</f>
        <v>0</v>
      </c>
      <c r="S85" s="789">
        <f ca="1">SUM(SUMIFS(OFFSET(貼付け_2027実績,$A85,9,1,199),OFFSET(貼付け_2027実績,4,9,1,199),{"横浜*","川崎*"}))</f>
        <v>0</v>
      </c>
      <c r="T85" s="789">
        <f t="shared" ca="1" si="149"/>
        <v>0</v>
      </c>
      <c r="U85" s="789">
        <f t="shared" ca="1" si="149"/>
        <v>0</v>
      </c>
      <c r="V85" s="789">
        <f t="shared" ca="1" si="149"/>
        <v>0</v>
      </c>
      <c r="W85" s="789">
        <f t="shared" ca="1" si="149"/>
        <v>0</v>
      </c>
      <c r="X85" s="789">
        <f t="shared" ca="1" si="100"/>
        <v>0</v>
      </c>
      <c r="Y85" s="789">
        <f t="shared" ca="1" si="101"/>
        <v>0</v>
      </c>
      <c r="Z85" s="789">
        <f t="shared" ca="1" si="102"/>
        <v>0</v>
      </c>
      <c r="AA85" s="789">
        <f t="shared" ca="1" si="103"/>
        <v>0</v>
      </c>
      <c r="AB85" s="789" t="str">
        <f t="shared" ca="1" si="108"/>
        <v/>
      </c>
      <c r="AC85" s="789" t="str">
        <f t="shared" ca="1" si="109"/>
        <v/>
      </c>
      <c r="AD85" s="789" t="str">
        <f t="shared" ca="1" si="110"/>
        <v/>
      </c>
      <c r="AE85" s="789" t="str">
        <f t="shared" ca="1" si="111"/>
        <v/>
      </c>
      <c r="AF85" s="789" t="str">
        <f t="shared" ca="1" si="112"/>
        <v/>
      </c>
      <c r="AG85" s="789" t="str">
        <f t="shared" ca="1" si="113"/>
        <v/>
      </c>
      <c r="AH85" s="789" t="str">
        <f t="shared" ca="1" si="114"/>
        <v/>
      </c>
      <c r="AI85" s="789" t="str">
        <f t="shared" ca="1" si="115"/>
        <v/>
      </c>
      <c r="AJ85" s="789" t="str">
        <f t="shared" ca="1" si="116"/>
        <v/>
      </c>
      <c r="AK85" s="789" t="str">
        <f t="shared" ca="1" si="117"/>
        <v/>
      </c>
      <c r="AL85" s="789" t="str">
        <f t="shared" ca="1" si="118"/>
        <v/>
      </c>
      <c r="AM85" s="789" t="str">
        <f t="shared" ca="1" si="119"/>
        <v/>
      </c>
      <c r="AN85" s="789" t="str">
        <f t="shared" ca="1" si="120"/>
        <v/>
      </c>
      <c r="AO85" s="789" t="str">
        <f t="shared" ca="1" si="121"/>
        <v/>
      </c>
      <c r="AP85" s="789" t="str">
        <f t="shared" ca="1" si="122"/>
        <v/>
      </c>
      <c r="AQ85" s="789" t="str">
        <f t="shared" ca="1" si="123"/>
        <v/>
      </c>
      <c r="AR85" s="789" t="str">
        <f t="shared" ca="1" si="124"/>
        <v/>
      </c>
      <c r="AS85" s="789" t="str">
        <f t="shared" ca="1" si="125"/>
        <v/>
      </c>
      <c r="AT85" s="789" t="str">
        <f t="shared" ca="1" si="126"/>
        <v/>
      </c>
      <c r="AU85" s="789" t="str">
        <f t="shared" ca="1" si="127"/>
        <v/>
      </c>
      <c r="AV85" s="789" t="str">
        <f t="shared" ca="1" si="128"/>
        <v/>
      </c>
      <c r="AW85" s="789" t="str">
        <f t="shared" ca="1" si="129"/>
        <v/>
      </c>
      <c r="AX85" s="789" t="str">
        <f t="shared" ca="1" si="130"/>
        <v/>
      </c>
      <c r="AY85" s="789" t="str">
        <f t="shared" ca="1" si="131"/>
        <v/>
      </c>
      <c r="AZ85" s="789" t="str">
        <f t="shared" ca="1" si="132"/>
        <v/>
      </c>
      <c r="BA85" s="789" t="str">
        <f t="shared" ca="1" si="133"/>
        <v/>
      </c>
      <c r="BB85" s="789" t="str">
        <f t="shared" ca="1" si="134"/>
        <v/>
      </c>
      <c r="BC85" s="789" t="str">
        <f t="shared" ca="1" si="135"/>
        <v/>
      </c>
      <c r="BD85" s="789" t="str">
        <f t="shared" ca="1" si="136"/>
        <v/>
      </c>
      <c r="BE85" s="789" t="str">
        <f t="shared" ca="1" si="137"/>
        <v/>
      </c>
      <c r="BF85" s="789" t="str">
        <f t="shared" ca="1" si="138"/>
        <v/>
      </c>
      <c r="BG85" s="789" t="str">
        <f t="shared" ca="1" si="139"/>
        <v/>
      </c>
      <c r="BH85" s="789" t="str">
        <f t="shared" ca="1" si="140"/>
        <v/>
      </c>
      <c r="BI85" s="789" t="str">
        <f t="shared" ca="1" si="141"/>
        <v/>
      </c>
      <c r="BJ85" s="789" t="str">
        <f t="shared" ca="1" si="142"/>
        <v/>
      </c>
      <c r="BK85" s="789" t="str">
        <f t="shared" ca="1" si="143"/>
        <v/>
      </c>
      <c r="BL85" s="789" t="str">
        <f t="shared" ca="1" si="144"/>
        <v/>
      </c>
      <c r="BM85" s="789" t="str">
        <f t="shared" ca="1" si="145"/>
        <v/>
      </c>
      <c r="BN85" s="789" t="str">
        <f t="shared" ca="1" si="146"/>
        <v/>
      </c>
      <c r="BO85" s="789" t="str">
        <f t="shared" ca="1" si="147"/>
        <v/>
      </c>
      <c r="BP85" s="802"/>
    </row>
    <row r="86" spans="1:68" ht="20.100000000000001" customHeight="1">
      <c r="A86" s="784">
        <v>94</v>
      </c>
      <c r="B86" s="1594"/>
      <c r="C86" s="1596"/>
      <c r="D86" s="1617"/>
      <c r="E86" s="840"/>
      <c r="F86" s="841"/>
      <c r="G86" s="787" t="s">
        <v>463</v>
      </c>
      <c r="H86" s="837"/>
      <c r="I86" s="837"/>
      <c r="J86" s="837"/>
      <c r="K86" s="837"/>
      <c r="L86" s="789">
        <f t="shared" ca="1" si="148"/>
        <v>0</v>
      </c>
      <c r="M86" s="789">
        <f t="shared" ca="1" si="148"/>
        <v>0</v>
      </c>
      <c r="N86" s="789">
        <f t="shared" ca="1" si="148"/>
        <v>0</v>
      </c>
      <c r="O86" s="789">
        <f t="shared" ca="1" si="148"/>
        <v>0</v>
      </c>
      <c r="P86" s="789">
        <f ca="1">SUM(SUMIFS(OFFSET(貼付け_2024実績,$A86,9,1,199),OFFSET(貼付け_2024実績,4,9,1,199),{"横浜*","川崎*"}))</f>
        <v>0</v>
      </c>
      <c r="Q86" s="789">
        <f ca="1">SUM(SUMIFS(OFFSET(貼付け_2025実績,$A86,9,1,199),OFFSET(貼付け_2025実績,4,9,1,199),{"横浜*","川崎*"}))</f>
        <v>0</v>
      </c>
      <c r="R86" s="789">
        <f ca="1">SUM(SUMIFS(OFFSET(貼付け_2026実績,$A86,9,1,199),OFFSET(貼付け_2026実績,4,9,1,199),{"横浜*","川崎*"}))</f>
        <v>0</v>
      </c>
      <c r="S86" s="789">
        <f ca="1">SUM(SUMIFS(OFFSET(貼付け_2027実績,$A86,9,1,199),OFFSET(貼付け_2027実績,4,9,1,199),{"横浜*","川崎*"}))</f>
        <v>0</v>
      </c>
      <c r="T86" s="789">
        <f t="shared" ca="1" si="149"/>
        <v>0</v>
      </c>
      <c r="U86" s="789">
        <f t="shared" ca="1" si="149"/>
        <v>0</v>
      </c>
      <c r="V86" s="789">
        <f t="shared" ca="1" si="149"/>
        <v>0</v>
      </c>
      <c r="W86" s="789">
        <f t="shared" ca="1" si="149"/>
        <v>0</v>
      </c>
      <c r="X86" s="789">
        <f t="shared" ca="1" si="100"/>
        <v>0</v>
      </c>
      <c r="Y86" s="789">
        <f t="shared" ca="1" si="101"/>
        <v>0</v>
      </c>
      <c r="Z86" s="789">
        <f t="shared" ca="1" si="102"/>
        <v>0</v>
      </c>
      <c r="AA86" s="789">
        <f t="shared" ca="1" si="103"/>
        <v>0</v>
      </c>
      <c r="AB86" s="789" t="str">
        <f t="shared" ca="1" si="108"/>
        <v/>
      </c>
      <c r="AC86" s="789" t="str">
        <f t="shared" ca="1" si="109"/>
        <v/>
      </c>
      <c r="AD86" s="789" t="str">
        <f t="shared" ca="1" si="110"/>
        <v/>
      </c>
      <c r="AE86" s="789" t="str">
        <f t="shared" ca="1" si="111"/>
        <v/>
      </c>
      <c r="AF86" s="789" t="str">
        <f t="shared" ca="1" si="112"/>
        <v/>
      </c>
      <c r="AG86" s="789" t="str">
        <f t="shared" ca="1" si="113"/>
        <v/>
      </c>
      <c r="AH86" s="789" t="str">
        <f t="shared" ca="1" si="114"/>
        <v/>
      </c>
      <c r="AI86" s="789" t="str">
        <f t="shared" ca="1" si="115"/>
        <v/>
      </c>
      <c r="AJ86" s="789" t="str">
        <f t="shared" ca="1" si="116"/>
        <v/>
      </c>
      <c r="AK86" s="789" t="str">
        <f t="shared" ca="1" si="117"/>
        <v/>
      </c>
      <c r="AL86" s="789" t="str">
        <f t="shared" ca="1" si="118"/>
        <v/>
      </c>
      <c r="AM86" s="789" t="str">
        <f t="shared" ca="1" si="119"/>
        <v/>
      </c>
      <c r="AN86" s="789" t="str">
        <f t="shared" ca="1" si="120"/>
        <v/>
      </c>
      <c r="AO86" s="789" t="str">
        <f t="shared" ca="1" si="121"/>
        <v/>
      </c>
      <c r="AP86" s="789" t="str">
        <f t="shared" ca="1" si="122"/>
        <v/>
      </c>
      <c r="AQ86" s="789" t="str">
        <f t="shared" ca="1" si="123"/>
        <v/>
      </c>
      <c r="AR86" s="789" t="str">
        <f t="shared" ca="1" si="124"/>
        <v/>
      </c>
      <c r="AS86" s="789" t="str">
        <f t="shared" ca="1" si="125"/>
        <v/>
      </c>
      <c r="AT86" s="789" t="str">
        <f t="shared" ca="1" si="126"/>
        <v/>
      </c>
      <c r="AU86" s="789" t="str">
        <f t="shared" ca="1" si="127"/>
        <v/>
      </c>
      <c r="AV86" s="789" t="str">
        <f t="shared" ca="1" si="128"/>
        <v/>
      </c>
      <c r="AW86" s="789" t="str">
        <f t="shared" ca="1" si="129"/>
        <v/>
      </c>
      <c r="AX86" s="789" t="str">
        <f t="shared" ca="1" si="130"/>
        <v/>
      </c>
      <c r="AY86" s="789" t="str">
        <f t="shared" ca="1" si="131"/>
        <v/>
      </c>
      <c r="AZ86" s="789" t="str">
        <f t="shared" ca="1" si="132"/>
        <v/>
      </c>
      <c r="BA86" s="789" t="str">
        <f t="shared" ca="1" si="133"/>
        <v/>
      </c>
      <c r="BB86" s="789" t="str">
        <f t="shared" ca="1" si="134"/>
        <v/>
      </c>
      <c r="BC86" s="789" t="str">
        <f t="shared" ca="1" si="135"/>
        <v/>
      </c>
      <c r="BD86" s="789" t="str">
        <f t="shared" ca="1" si="136"/>
        <v/>
      </c>
      <c r="BE86" s="789" t="str">
        <f t="shared" ca="1" si="137"/>
        <v/>
      </c>
      <c r="BF86" s="789" t="str">
        <f t="shared" ca="1" si="138"/>
        <v/>
      </c>
      <c r="BG86" s="789" t="str">
        <f t="shared" ca="1" si="139"/>
        <v/>
      </c>
      <c r="BH86" s="789" t="str">
        <f t="shared" ca="1" si="140"/>
        <v/>
      </c>
      <c r="BI86" s="789" t="str">
        <f t="shared" ca="1" si="141"/>
        <v/>
      </c>
      <c r="BJ86" s="789" t="str">
        <f t="shared" ca="1" si="142"/>
        <v/>
      </c>
      <c r="BK86" s="789" t="str">
        <f t="shared" ca="1" si="143"/>
        <v/>
      </c>
      <c r="BL86" s="789" t="str">
        <f t="shared" ca="1" si="144"/>
        <v/>
      </c>
      <c r="BM86" s="789" t="str">
        <f t="shared" ca="1" si="145"/>
        <v/>
      </c>
      <c r="BN86" s="789" t="str">
        <f t="shared" ca="1" si="146"/>
        <v/>
      </c>
      <c r="BO86" s="789" t="str">
        <f t="shared" ca="1" si="147"/>
        <v/>
      </c>
      <c r="BP86" s="802"/>
    </row>
    <row r="87" spans="1:68" ht="20.100000000000001" customHeight="1">
      <c r="A87" s="784">
        <v>95</v>
      </c>
      <c r="B87" s="1594"/>
      <c r="C87" s="1596"/>
      <c r="D87" s="814" t="s">
        <v>412</v>
      </c>
      <c r="E87" s="840" t="str">
        <f ca="1">OFFSET(A1_その他欄集計,16,7)</f>
        <v/>
      </c>
      <c r="F87" s="786" t="s">
        <v>479</v>
      </c>
      <c r="G87" s="787" t="s">
        <v>462</v>
      </c>
      <c r="H87" s="788">
        <f t="shared" ca="1" si="104"/>
        <v>8.64</v>
      </c>
      <c r="I87" s="788">
        <f t="shared" ca="1" si="105"/>
        <v>8.64</v>
      </c>
      <c r="J87" s="788">
        <f t="shared" ca="1" si="106"/>
        <v>8.64</v>
      </c>
      <c r="K87" s="788">
        <f t="shared" ca="1" si="107"/>
        <v>8.64</v>
      </c>
      <c r="L87" s="789">
        <f t="shared" ca="1" si="148"/>
        <v>0</v>
      </c>
      <c r="M87" s="789">
        <f t="shared" ca="1" si="148"/>
        <v>0</v>
      </c>
      <c r="N87" s="789">
        <f t="shared" ca="1" si="148"/>
        <v>0</v>
      </c>
      <c r="O87" s="789">
        <f t="shared" ca="1" si="148"/>
        <v>0</v>
      </c>
      <c r="P87" s="789">
        <f ca="1">SUM(SUMIFS(OFFSET(貼付け_2024実績,$A87,9,1,199),OFFSET(貼付け_2024実績,4,9,1,199),{"横浜*","川崎*"}))</f>
        <v>0</v>
      </c>
      <c r="Q87" s="789">
        <f ca="1">SUM(SUMIFS(OFFSET(貼付け_2025実績,$A87,9,1,199),OFFSET(貼付け_2025実績,4,9,1,199),{"横浜*","川崎*"}))</f>
        <v>0</v>
      </c>
      <c r="R87" s="789">
        <f ca="1">SUM(SUMIFS(OFFSET(貼付け_2026実績,$A87,9,1,199),OFFSET(貼付け_2026実績,4,9,1,199),{"横浜*","川崎*"}))</f>
        <v>0</v>
      </c>
      <c r="S87" s="789">
        <f ca="1">SUM(SUMIFS(OFFSET(貼付け_2027実績,$A87,9,1,199),OFFSET(貼付け_2027実績,4,9,1,199),{"横浜*","川崎*"}))</f>
        <v>0</v>
      </c>
      <c r="T87" s="789">
        <f t="shared" ca="1" si="149"/>
        <v>0</v>
      </c>
      <c r="U87" s="789">
        <f t="shared" ca="1" si="149"/>
        <v>0</v>
      </c>
      <c r="V87" s="789">
        <f t="shared" ca="1" si="149"/>
        <v>0</v>
      </c>
      <c r="W87" s="789">
        <f t="shared" ca="1" si="149"/>
        <v>0</v>
      </c>
      <c r="X87" s="789">
        <f t="shared" ca="1" si="100"/>
        <v>0</v>
      </c>
      <c r="Y87" s="789">
        <f t="shared" ca="1" si="101"/>
        <v>0</v>
      </c>
      <c r="Z87" s="789">
        <f t="shared" ca="1" si="102"/>
        <v>0</v>
      </c>
      <c r="AA87" s="789">
        <f t="shared" ca="1" si="103"/>
        <v>0</v>
      </c>
      <c r="AB87" s="789" t="str">
        <f t="shared" ca="1" si="108"/>
        <v/>
      </c>
      <c r="AC87" s="789" t="str">
        <f t="shared" ca="1" si="109"/>
        <v/>
      </c>
      <c r="AD87" s="789" t="str">
        <f t="shared" ca="1" si="110"/>
        <v/>
      </c>
      <c r="AE87" s="789" t="str">
        <f t="shared" ca="1" si="111"/>
        <v/>
      </c>
      <c r="AF87" s="789" t="str">
        <f t="shared" ca="1" si="112"/>
        <v/>
      </c>
      <c r="AG87" s="789" t="str">
        <f t="shared" ca="1" si="113"/>
        <v/>
      </c>
      <c r="AH87" s="789" t="str">
        <f t="shared" ca="1" si="114"/>
        <v/>
      </c>
      <c r="AI87" s="789" t="str">
        <f t="shared" ca="1" si="115"/>
        <v/>
      </c>
      <c r="AJ87" s="789" t="str">
        <f t="shared" ca="1" si="116"/>
        <v/>
      </c>
      <c r="AK87" s="789" t="str">
        <f t="shared" ca="1" si="117"/>
        <v/>
      </c>
      <c r="AL87" s="789" t="str">
        <f t="shared" ca="1" si="118"/>
        <v/>
      </c>
      <c r="AM87" s="789" t="str">
        <f t="shared" ca="1" si="119"/>
        <v/>
      </c>
      <c r="AN87" s="789" t="str">
        <f t="shared" ca="1" si="120"/>
        <v/>
      </c>
      <c r="AO87" s="789" t="str">
        <f t="shared" ca="1" si="121"/>
        <v/>
      </c>
      <c r="AP87" s="789" t="str">
        <f t="shared" ca="1" si="122"/>
        <v/>
      </c>
      <c r="AQ87" s="789" t="str">
        <f t="shared" ca="1" si="123"/>
        <v/>
      </c>
      <c r="AR87" s="789" t="str">
        <f t="shared" ca="1" si="124"/>
        <v/>
      </c>
      <c r="AS87" s="789" t="str">
        <f t="shared" ca="1" si="125"/>
        <v/>
      </c>
      <c r="AT87" s="789" t="str">
        <f t="shared" ca="1" si="126"/>
        <v/>
      </c>
      <c r="AU87" s="789" t="str">
        <f t="shared" ca="1" si="127"/>
        <v/>
      </c>
      <c r="AV87" s="789" t="str">
        <f t="shared" ca="1" si="128"/>
        <v/>
      </c>
      <c r="AW87" s="789" t="str">
        <f t="shared" ca="1" si="129"/>
        <v/>
      </c>
      <c r="AX87" s="789" t="str">
        <f t="shared" ca="1" si="130"/>
        <v/>
      </c>
      <c r="AY87" s="789" t="str">
        <f t="shared" ca="1" si="131"/>
        <v/>
      </c>
      <c r="AZ87" s="789" t="str">
        <f t="shared" ca="1" si="132"/>
        <v/>
      </c>
      <c r="BA87" s="789" t="str">
        <f t="shared" ca="1" si="133"/>
        <v/>
      </c>
      <c r="BB87" s="789" t="str">
        <f t="shared" ca="1" si="134"/>
        <v/>
      </c>
      <c r="BC87" s="789" t="str">
        <f t="shared" ca="1" si="135"/>
        <v/>
      </c>
      <c r="BD87" s="789" t="str">
        <f t="shared" ca="1" si="136"/>
        <v/>
      </c>
      <c r="BE87" s="789" t="str">
        <f t="shared" ca="1" si="137"/>
        <v/>
      </c>
      <c r="BF87" s="789" t="str">
        <f t="shared" ca="1" si="138"/>
        <v/>
      </c>
      <c r="BG87" s="789" t="str">
        <f t="shared" ca="1" si="139"/>
        <v/>
      </c>
      <c r="BH87" s="789" t="str">
        <f t="shared" ca="1" si="140"/>
        <v/>
      </c>
      <c r="BI87" s="789" t="str">
        <f t="shared" ca="1" si="141"/>
        <v/>
      </c>
      <c r="BJ87" s="789" t="str">
        <f t="shared" ca="1" si="142"/>
        <v/>
      </c>
      <c r="BK87" s="789" t="str">
        <f t="shared" ca="1" si="143"/>
        <v/>
      </c>
      <c r="BL87" s="789" t="str">
        <f t="shared" ca="1" si="144"/>
        <v/>
      </c>
      <c r="BM87" s="789" t="str">
        <f t="shared" ca="1" si="145"/>
        <v/>
      </c>
      <c r="BN87" s="789" t="str">
        <f t="shared" ca="1" si="146"/>
        <v/>
      </c>
      <c r="BO87" s="789" t="str">
        <f t="shared" ca="1" si="147"/>
        <v/>
      </c>
      <c r="BP87" s="802"/>
    </row>
    <row r="88" spans="1:68" ht="20.100000000000001" customHeight="1">
      <c r="A88" s="784">
        <v>96</v>
      </c>
      <c r="B88" s="1594"/>
      <c r="C88" s="1596"/>
      <c r="D88" s="814" t="s">
        <v>414</v>
      </c>
      <c r="E88" s="840" t="str">
        <f ca="1">OFFSET(A1_その他欄集計,17,7)</f>
        <v/>
      </c>
      <c r="F88" s="842" t="s">
        <v>801</v>
      </c>
      <c r="G88" s="787" t="s">
        <v>462</v>
      </c>
      <c r="H88" s="788">
        <f t="shared" ca="1" si="104"/>
        <v>8.64</v>
      </c>
      <c r="I88" s="788">
        <f t="shared" ca="1" si="105"/>
        <v>8.64</v>
      </c>
      <c r="J88" s="788">
        <f t="shared" ca="1" si="106"/>
        <v>8.64</v>
      </c>
      <c r="K88" s="788">
        <f t="shared" ca="1" si="107"/>
        <v>8.64</v>
      </c>
      <c r="L88" s="789">
        <f t="shared" ca="1" si="148"/>
        <v>0</v>
      </c>
      <c r="M88" s="789">
        <f t="shared" ca="1" si="148"/>
        <v>0</v>
      </c>
      <c r="N88" s="789">
        <f t="shared" ca="1" si="148"/>
        <v>0</v>
      </c>
      <c r="O88" s="789">
        <f t="shared" ca="1" si="148"/>
        <v>0</v>
      </c>
      <c r="P88" s="789">
        <f ca="1">SUM(SUMIFS(OFFSET(貼付け_2024実績,$A88,9,1,199),OFFSET(貼付け_2024実績,4,9,1,199),{"横浜*","川崎*"}))</f>
        <v>0</v>
      </c>
      <c r="Q88" s="789">
        <f ca="1">SUM(SUMIFS(OFFSET(貼付け_2025実績,$A88,9,1,199),OFFSET(貼付け_2025実績,4,9,1,199),{"横浜*","川崎*"}))</f>
        <v>0</v>
      </c>
      <c r="R88" s="789">
        <f ca="1">SUM(SUMIFS(OFFSET(貼付け_2026実績,$A88,9,1,199),OFFSET(貼付け_2026実績,4,9,1,199),{"横浜*","川崎*"}))</f>
        <v>0</v>
      </c>
      <c r="S88" s="789">
        <f ca="1">SUM(SUMIFS(OFFSET(貼付け_2027実績,$A88,9,1,199),OFFSET(貼付け_2027実績,4,9,1,199),{"横浜*","川崎*"}))</f>
        <v>0</v>
      </c>
      <c r="T88" s="789">
        <f t="shared" ca="1" si="149"/>
        <v>0</v>
      </c>
      <c r="U88" s="789">
        <f t="shared" ca="1" si="149"/>
        <v>0</v>
      </c>
      <c r="V88" s="789">
        <f t="shared" ca="1" si="149"/>
        <v>0</v>
      </c>
      <c r="W88" s="789">
        <f t="shared" ca="1" si="149"/>
        <v>0</v>
      </c>
      <c r="X88" s="789">
        <f t="shared" ca="1" si="100"/>
        <v>0</v>
      </c>
      <c r="Y88" s="789">
        <f t="shared" ca="1" si="101"/>
        <v>0</v>
      </c>
      <c r="Z88" s="789">
        <f t="shared" ca="1" si="102"/>
        <v>0</v>
      </c>
      <c r="AA88" s="789">
        <f t="shared" ca="1" si="103"/>
        <v>0</v>
      </c>
      <c r="AB88" s="789" t="str">
        <f t="shared" ca="1" si="108"/>
        <v/>
      </c>
      <c r="AC88" s="789" t="str">
        <f t="shared" ca="1" si="109"/>
        <v/>
      </c>
      <c r="AD88" s="789" t="str">
        <f t="shared" ca="1" si="110"/>
        <v/>
      </c>
      <c r="AE88" s="789" t="str">
        <f t="shared" ca="1" si="111"/>
        <v/>
      </c>
      <c r="AF88" s="789" t="str">
        <f t="shared" ca="1" si="112"/>
        <v/>
      </c>
      <c r="AG88" s="789" t="str">
        <f t="shared" ca="1" si="113"/>
        <v/>
      </c>
      <c r="AH88" s="789" t="str">
        <f t="shared" ca="1" si="114"/>
        <v/>
      </c>
      <c r="AI88" s="789" t="str">
        <f t="shared" ca="1" si="115"/>
        <v/>
      </c>
      <c r="AJ88" s="789" t="str">
        <f t="shared" ca="1" si="116"/>
        <v/>
      </c>
      <c r="AK88" s="789" t="str">
        <f t="shared" ca="1" si="117"/>
        <v/>
      </c>
      <c r="AL88" s="789" t="str">
        <f t="shared" ca="1" si="118"/>
        <v/>
      </c>
      <c r="AM88" s="789" t="str">
        <f t="shared" ca="1" si="119"/>
        <v/>
      </c>
      <c r="AN88" s="789" t="str">
        <f t="shared" ca="1" si="120"/>
        <v/>
      </c>
      <c r="AO88" s="789" t="str">
        <f t="shared" ca="1" si="121"/>
        <v/>
      </c>
      <c r="AP88" s="789" t="str">
        <f t="shared" ca="1" si="122"/>
        <v/>
      </c>
      <c r="AQ88" s="789" t="str">
        <f t="shared" ca="1" si="123"/>
        <v/>
      </c>
      <c r="AR88" s="789" t="str">
        <f t="shared" ca="1" si="124"/>
        <v/>
      </c>
      <c r="AS88" s="789" t="str">
        <f t="shared" ca="1" si="125"/>
        <v/>
      </c>
      <c r="AT88" s="789" t="str">
        <f t="shared" ca="1" si="126"/>
        <v/>
      </c>
      <c r="AU88" s="789" t="str">
        <f t="shared" ca="1" si="127"/>
        <v/>
      </c>
      <c r="AV88" s="789" t="str">
        <f t="shared" ca="1" si="128"/>
        <v/>
      </c>
      <c r="AW88" s="789" t="str">
        <f t="shared" ca="1" si="129"/>
        <v/>
      </c>
      <c r="AX88" s="789" t="str">
        <f t="shared" ca="1" si="130"/>
        <v/>
      </c>
      <c r="AY88" s="789" t="str">
        <f t="shared" ca="1" si="131"/>
        <v/>
      </c>
      <c r="AZ88" s="789" t="str">
        <f t="shared" ca="1" si="132"/>
        <v/>
      </c>
      <c r="BA88" s="789" t="str">
        <f t="shared" ca="1" si="133"/>
        <v/>
      </c>
      <c r="BB88" s="789" t="str">
        <f t="shared" ca="1" si="134"/>
        <v/>
      </c>
      <c r="BC88" s="789" t="str">
        <f t="shared" ca="1" si="135"/>
        <v/>
      </c>
      <c r="BD88" s="789" t="str">
        <f t="shared" ca="1" si="136"/>
        <v/>
      </c>
      <c r="BE88" s="789" t="str">
        <f t="shared" ca="1" si="137"/>
        <v/>
      </c>
      <c r="BF88" s="789" t="str">
        <f t="shared" ca="1" si="138"/>
        <v/>
      </c>
      <c r="BG88" s="789" t="str">
        <f t="shared" ca="1" si="139"/>
        <v/>
      </c>
      <c r="BH88" s="789" t="str">
        <f t="shared" ca="1" si="140"/>
        <v/>
      </c>
      <c r="BI88" s="789" t="str">
        <f t="shared" ca="1" si="141"/>
        <v/>
      </c>
      <c r="BJ88" s="789" t="str">
        <f t="shared" ca="1" si="142"/>
        <v/>
      </c>
      <c r="BK88" s="789" t="str">
        <f t="shared" ca="1" si="143"/>
        <v/>
      </c>
      <c r="BL88" s="789" t="str">
        <f t="shared" ca="1" si="144"/>
        <v/>
      </c>
      <c r="BM88" s="789" t="str">
        <f t="shared" ca="1" si="145"/>
        <v/>
      </c>
      <c r="BN88" s="789" t="str">
        <f t="shared" ca="1" si="146"/>
        <v/>
      </c>
      <c r="BO88" s="789" t="str">
        <f t="shared" ca="1" si="147"/>
        <v/>
      </c>
      <c r="BP88" s="802"/>
    </row>
    <row r="89" spans="1:68" ht="20.100000000000001" customHeight="1">
      <c r="A89" s="784">
        <v>97</v>
      </c>
      <c r="B89" s="1594"/>
      <c r="C89" s="1596"/>
      <c r="D89" s="814" t="s">
        <v>416</v>
      </c>
      <c r="E89" s="840" t="str">
        <f ca="1">OFFSET(A1_その他欄集計,18,7)</f>
        <v/>
      </c>
      <c r="F89" s="842" t="s">
        <v>802</v>
      </c>
      <c r="G89" s="787" t="s">
        <v>462</v>
      </c>
      <c r="H89" s="788">
        <f t="shared" ca="1" si="104"/>
        <v>8.64</v>
      </c>
      <c r="I89" s="788">
        <f t="shared" ca="1" si="105"/>
        <v>8.64</v>
      </c>
      <c r="J89" s="788">
        <f t="shared" ca="1" si="106"/>
        <v>8.64</v>
      </c>
      <c r="K89" s="788">
        <f t="shared" ca="1" si="107"/>
        <v>8.64</v>
      </c>
      <c r="L89" s="789">
        <f t="shared" ca="1" si="148"/>
        <v>0</v>
      </c>
      <c r="M89" s="789">
        <f t="shared" ca="1" si="148"/>
        <v>0</v>
      </c>
      <c r="N89" s="789">
        <f t="shared" ca="1" si="148"/>
        <v>0</v>
      </c>
      <c r="O89" s="789">
        <f t="shared" ca="1" si="148"/>
        <v>0</v>
      </c>
      <c r="P89" s="789">
        <f ca="1">SUM(SUMIFS(OFFSET(貼付け_2024実績,$A89,9,1,199),OFFSET(貼付け_2024実績,4,9,1,199),{"横浜*","川崎*"}))</f>
        <v>0</v>
      </c>
      <c r="Q89" s="789">
        <f ca="1">SUM(SUMIFS(OFFSET(貼付け_2025実績,$A89,9,1,199),OFFSET(貼付け_2025実績,4,9,1,199),{"横浜*","川崎*"}))</f>
        <v>0</v>
      </c>
      <c r="R89" s="789">
        <f ca="1">SUM(SUMIFS(OFFSET(貼付け_2026実績,$A89,9,1,199),OFFSET(貼付け_2026実績,4,9,1,199),{"横浜*","川崎*"}))</f>
        <v>0</v>
      </c>
      <c r="S89" s="789">
        <f ca="1">SUM(SUMIFS(OFFSET(貼付け_2027実績,$A89,9,1,199),OFFSET(貼付け_2027実績,4,9,1,199),{"横浜*","川崎*"}))</f>
        <v>0</v>
      </c>
      <c r="T89" s="789">
        <f t="shared" ca="1" si="149"/>
        <v>0</v>
      </c>
      <c r="U89" s="789">
        <f t="shared" ca="1" si="149"/>
        <v>0</v>
      </c>
      <c r="V89" s="789">
        <f t="shared" ca="1" si="149"/>
        <v>0</v>
      </c>
      <c r="W89" s="789">
        <f t="shared" ca="1" si="149"/>
        <v>0</v>
      </c>
      <c r="X89" s="789">
        <f t="shared" ca="1" si="100"/>
        <v>0</v>
      </c>
      <c r="Y89" s="789">
        <f t="shared" ca="1" si="101"/>
        <v>0</v>
      </c>
      <c r="Z89" s="789">
        <f t="shared" ca="1" si="102"/>
        <v>0</v>
      </c>
      <c r="AA89" s="789">
        <f t="shared" ca="1" si="103"/>
        <v>0</v>
      </c>
      <c r="AB89" s="789" t="str">
        <f t="shared" ca="1" si="108"/>
        <v/>
      </c>
      <c r="AC89" s="789" t="str">
        <f t="shared" ca="1" si="109"/>
        <v/>
      </c>
      <c r="AD89" s="789" t="str">
        <f t="shared" ca="1" si="110"/>
        <v/>
      </c>
      <c r="AE89" s="789" t="str">
        <f t="shared" ca="1" si="111"/>
        <v/>
      </c>
      <c r="AF89" s="789" t="str">
        <f t="shared" ca="1" si="112"/>
        <v/>
      </c>
      <c r="AG89" s="789" t="str">
        <f t="shared" ca="1" si="113"/>
        <v/>
      </c>
      <c r="AH89" s="789" t="str">
        <f t="shared" ca="1" si="114"/>
        <v/>
      </c>
      <c r="AI89" s="789" t="str">
        <f t="shared" ca="1" si="115"/>
        <v/>
      </c>
      <c r="AJ89" s="789" t="str">
        <f t="shared" ca="1" si="116"/>
        <v/>
      </c>
      <c r="AK89" s="789" t="str">
        <f t="shared" ca="1" si="117"/>
        <v/>
      </c>
      <c r="AL89" s="789" t="str">
        <f t="shared" ca="1" si="118"/>
        <v/>
      </c>
      <c r="AM89" s="789" t="str">
        <f t="shared" ca="1" si="119"/>
        <v/>
      </c>
      <c r="AN89" s="789" t="str">
        <f t="shared" ca="1" si="120"/>
        <v/>
      </c>
      <c r="AO89" s="789" t="str">
        <f t="shared" ca="1" si="121"/>
        <v/>
      </c>
      <c r="AP89" s="789" t="str">
        <f t="shared" ca="1" si="122"/>
        <v/>
      </c>
      <c r="AQ89" s="789" t="str">
        <f t="shared" ca="1" si="123"/>
        <v/>
      </c>
      <c r="AR89" s="789" t="str">
        <f t="shared" ca="1" si="124"/>
        <v/>
      </c>
      <c r="AS89" s="789" t="str">
        <f t="shared" ca="1" si="125"/>
        <v/>
      </c>
      <c r="AT89" s="789" t="str">
        <f t="shared" ca="1" si="126"/>
        <v/>
      </c>
      <c r="AU89" s="789" t="str">
        <f t="shared" ca="1" si="127"/>
        <v/>
      </c>
      <c r="AV89" s="789" t="str">
        <f t="shared" ca="1" si="128"/>
        <v/>
      </c>
      <c r="AW89" s="789" t="str">
        <f t="shared" ca="1" si="129"/>
        <v/>
      </c>
      <c r="AX89" s="789" t="str">
        <f t="shared" ca="1" si="130"/>
        <v/>
      </c>
      <c r="AY89" s="789" t="str">
        <f t="shared" ca="1" si="131"/>
        <v/>
      </c>
      <c r="AZ89" s="789" t="str">
        <f t="shared" ca="1" si="132"/>
        <v/>
      </c>
      <c r="BA89" s="789" t="str">
        <f t="shared" ca="1" si="133"/>
        <v/>
      </c>
      <c r="BB89" s="789" t="str">
        <f t="shared" ca="1" si="134"/>
        <v/>
      </c>
      <c r="BC89" s="789" t="str">
        <f t="shared" ca="1" si="135"/>
        <v/>
      </c>
      <c r="BD89" s="789" t="str">
        <f t="shared" ca="1" si="136"/>
        <v/>
      </c>
      <c r="BE89" s="789" t="str">
        <f t="shared" ca="1" si="137"/>
        <v/>
      </c>
      <c r="BF89" s="789" t="str">
        <f t="shared" ca="1" si="138"/>
        <v/>
      </c>
      <c r="BG89" s="789" t="str">
        <f t="shared" ca="1" si="139"/>
        <v/>
      </c>
      <c r="BH89" s="789" t="str">
        <f t="shared" ca="1" si="140"/>
        <v/>
      </c>
      <c r="BI89" s="789" t="str">
        <f t="shared" ca="1" si="141"/>
        <v/>
      </c>
      <c r="BJ89" s="789" t="str">
        <f t="shared" ca="1" si="142"/>
        <v/>
      </c>
      <c r="BK89" s="789" t="str">
        <f t="shared" ca="1" si="143"/>
        <v/>
      </c>
      <c r="BL89" s="789" t="str">
        <f t="shared" ca="1" si="144"/>
        <v/>
      </c>
      <c r="BM89" s="789" t="str">
        <f t="shared" ca="1" si="145"/>
        <v/>
      </c>
      <c r="BN89" s="789" t="str">
        <f t="shared" ca="1" si="146"/>
        <v/>
      </c>
      <c r="BO89" s="789" t="str">
        <f t="shared" ca="1" si="147"/>
        <v/>
      </c>
      <c r="BP89" s="802"/>
    </row>
    <row r="90" spans="1:68" ht="20.100000000000001" customHeight="1">
      <c r="A90" s="784">
        <v>98</v>
      </c>
      <c r="B90" s="1594"/>
      <c r="C90" s="1596"/>
      <c r="D90" s="814" t="s">
        <v>418</v>
      </c>
      <c r="E90" s="840" t="str">
        <f ca="1">OFFSET(A1_その他欄集計,19,7)</f>
        <v/>
      </c>
      <c r="F90" s="842" t="s">
        <v>803</v>
      </c>
      <c r="G90" s="787" t="s">
        <v>462</v>
      </c>
      <c r="H90" s="788">
        <f t="shared" ca="1" si="104"/>
        <v>8.64</v>
      </c>
      <c r="I90" s="788">
        <f t="shared" ca="1" si="105"/>
        <v>8.64</v>
      </c>
      <c r="J90" s="788">
        <f t="shared" ca="1" si="106"/>
        <v>8.64</v>
      </c>
      <c r="K90" s="788">
        <f t="shared" ca="1" si="107"/>
        <v>8.64</v>
      </c>
      <c r="L90" s="789">
        <f t="shared" ca="1" si="148"/>
        <v>0</v>
      </c>
      <c r="M90" s="789">
        <f t="shared" ca="1" si="148"/>
        <v>0</v>
      </c>
      <c r="N90" s="789">
        <f t="shared" ca="1" si="148"/>
        <v>0</v>
      </c>
      <c r="O90" s="789">
        <f t="shared" ca="1" si="148"/>
        <v>0</v>
      </c>
      <c r="P90" s="789">
        <f ca="1">SUM(SUMIFS(OFFSET(貼付け_2024実績,$A90,9,1,199),OFFSET(貼付け_2024実績,4,9,1,199),{"横浜*","川崎*"}))</f>
        <v>0</v>
      </c>
      <c r="Q90" s="789">
        <f ca="1">SUM(SUMIFS(OFFSET(貼付け_2025実績,$A90,9,1,199),OFFSET(貼付け_2025実績,4,9,1,199),{"横浜*","川崎*"}))</f>
        <v>0</v>
      </c>
      <c r="R90" s="789">
        <f ca="1">SUM(SUMIFS(OFFSET(貼付け_2026実績,$A90,9,1,199),OFFSET(貼付け_2026実績,4,9,1,199),{"横浜*","川崎*"}))</f>
        <v>0</v>
      </c>
      <c r="S90" s="789">
        <f ca="1">SUM(SUMIFS(OFFSET(貼付け_2027実績,$A90,9,1,199),OFFSET(貼付け_2027実績,4,9,1,199),{"横浜*","川崎*"}))</f>
        <v>0</v>
      </c>
      <c r="T90" s="789">
        <f t="shared" ca="1" si="149"/>
        <v>0</v>
      </c>
      <c r="U90" s="789">
        <f t="shared" ca="1" si="149"/>
        <v>0</v>
      </c>
      <c r="V90" s="789">
        <f t="shared" ca="1" si="149"/>
        <v>0</v>
      </c>
      <c r="W90" s="789">
        <f t="shared" ca="1" si="149"/>
        <v>0</v>
      </c>
      <c r="X90" s="789">
        <f t="shared" ca="1" si="100"/>
        <v>0</v>
      </c>
      <c r="Y90" s="789">
        <f t="shared" ca="1" si="101"/>
        <v>0</v>
      </c>
      <c r="Z90" s="789">
        <f t="shared" ca="1" si="102"/>
        <v>0</v>
      </c>
      <c r="AA90" s="789">
        <f t="shared" ca="1" si="103"/>
        <v>0</v>
      </c>
      <c r="AB90" s="789" t="str">
        <f ca="1">IFERROR(OFFSET(貼付け_2024実績,$A90,AB$1),"")</f>
        <v/>
      </c>
      <c r="AC90" s="789" t="str">
        <f t="shared" ca="1" si="109"/>
        <v/>
      </c>
      <c r="AD90" s="789" t="str">
        <f t="shared" ca="1" si="110"/>
        <v/>
      </c>
      <c r="AE90" s="789" t="str">
        <f t="shared" ca="1" si="111"/>
        <v/>
      </c>
      <c r="AF90" s="789" t="str">
        <f t="shared" ca="1" si="112"/>
        <v/>
      </c>
      <c r="AG90" s="789" t="str">
        <f t="shared" ca="1" si="113"/>
        <v/>
      </c>
      <c r="AH90" s="789" t="str">
        <f t="shared" ca="1" si="114"/>
        <v/>
      </c>
      <c r="AI90" s="789" t="str">
        <f t="shared" ca="1" si="115"/>
        <v/>
      </c>
      <c r="AJ90" s="789" t="str">
        <f t="shared" ca="1" si="116"/>
        <v/>
      </c>
      <c r="AK90" s="789" t="str">
        <f t="shared" ca="1" si="117"/>
        <v/>
      </c>
      <c r="AL90" s="789" t="str">
        <f t="shared" ca="1" si="118"/>
        <v/>
      </c>
      <c r="AM90" s="789" t="str">
        <f t="shared" ca="1" si="119"/>
        <v/>
      </c>
      <c r="AN90" s="789" t="str">
        <f t="shared" ca="1" si="120"/>
        <v/>
      </c>
      <c r="AO90" s="789" t="str">
        <f t="shared" ca="1" si="121"/>
        <v/>
      </c>
      <c r="AP90" s="789" t="str">
        <f t="shared" ca="1" si="122"/>
        <v/>
      </c>
      <c r="AQ90" s="789" t="str">
        <f t="shared" ca="1" si="123"/>
        <v/>
      </c>
      <c r="AR90" s="789" t="str">
        <f t="shared" ca="1" si="124"/>
        <v/>
      </c>
      <c r="AS90" s="789" t="str">
        <f t="shared" ca="1" si="125"/>
        <v/>
      </c>
      <c r="AT90" s="789" t="str">
        <f t="shared" ca="1" si="126"/>
        <v/>
      </c>
      <c r="AU90" s="789" t="str">
        <f t="shared" ca="1" si="127"/>
        <v/>
      </c>
      <c r="AV90" s="789" t="str">
        <f t="shared" ca="1" si="128"/>
        <v/>
      </c>
      <c r="AW90" s="789" t="str">
        <f t="shared" ca="1" si="129"/>
        <v/>
      </c>
      <c r="AX90" s="789" t="str">
        <f t="shared" ca="1" si="130"/>
        <v/>
      </c>
      <c r="AY90" s="789" t="str">
        <f t="shared" ca="1" si="131"/>
        <v/>
      </c>
      <c r="AZ90" s="789" t="str">
        <f t="shared" ca="1" si="132"/>
        <v/>
      </c>
      <c r="BA90" s="789" t="str">
        <f t="shared" ca="1" si="133"/>
        <v/>
      </c>
      <c r="BB90" s="789" t="str">
        <f t="shared" ca="1" si="134"/>
        <v/>
      </c>
      <c r="BC90" s="789" t="str">
        <f t="shared" ca="1" si="135"/>
        <v/>
      </c>
      <c r="BD90" s="789" t="str">
        <f t="shared" ca="1" si="136"/>
        <v/>
      </c>
      <c r="BE90" s="789" t="str">
        <f t="shared" ca="1" si="137"/>
        <v/>
      </c>
      <c r="BF90" s="789" t="str">
        <f t="shared" ca="1" si="138"/>
        <v/>
      </c>
      <c r="BG90" s="789" t="str">
        <f t="shared" ca="1" si="139"/>
        <v/>
      </c>
      <c r="BH90" s="789" t="str">
        <f t="shared" ca="1" si="140"/>
        <v/>
      </c>
      <c r="BI90" s="789" t="str">
        <f t="shared" ca="1" si="141"/>
        <v/>
      </c>
      <c r="BJ90" s="789" t="str">
        <f t="shared" ca="1" si="142"/>
        <v/>
      </c>
      <c r="BK90" s="789" t="str">
        <f t="shared" ca="1" si="143"/>
        <v/>
      </c>
      <c r="BL90" s="789" t="str">
        <f t="shared" ca="1" si="144"/>
        <v/>
      </c>
      <c r="BM90" s="789" t="str">
        <f t="shared" ca="1" si="145"/>
        <v/>
      </c>
      <c r="BN90" s="789" t="str">
        <f t="shared" ca="1" si="146"/>
        <v/>
      </c>
      <c r="BO90" s="789" t="str">
        <f t="shared" ca="1" si="147"/>
        <v/>
      </c>
      <c r="BP90" s="802"/>
    </row>
    <row r="91" spans="1:68" ht="20.100000000000001" customHeight="1">
      <c r="A91" s="784">
        <v>2</v>
      </c>
      <c r="B91" s="1596" t="s">
        <v>804</v>
      </c>
      <c r="C91" s="1596"/>
      <c r="D91" s="785" t="s">
        <v>805</v>
      </c>
      <c r="E91" s="785"/>
      <c r="F91" s="810" t="s">
        <v>806</v>
      </c>
      <c r="G91" s="787" t="s">
        <v>807</v>
      </c>
      <c r="H91" s="843"/>
      <c r="I91" s="843"/>
      <c r="J91" s="843"/>
      <c r="K91" s="843"/>
      <c r="L91" s="844">
        <f ca="1">SUMPRODUCT(ROUND(L9:L56*$H9:$H56,0))+ROUND(SUM(SUMIFS(OFFSET(A1_集計2024,$A91,9,1,199),OFFSET(貼付け_2024実績,4,9,1,199),{"横浜*","川崎*","県域*","エネルギー管理指定工場等*"})),0)</f>
        <v>0</v>
      </c>
      <c r="M91" s="844">
        <f ca="1">SUMPRODUCT(ROUND(M9:M56*$I9:$I56,0))+ROUND(SUM(SUMIFS(OFFSET(A1_集計2025,$A91,9,1,199),OFFSET(貼付け_2025実績,4,9,1,199),{"横浜*","川崎*","県域*","エネルギー管理指定工場等*"})),0)</f>
        <v>0</v>
      </c>
      <c r="N91" s="844" cm="1">
        <f t="array" aca="1" ref="N91" ca="1">SUMPRODUCT(ROUND(N9:N56*$J9:$J56,0))+ROUND(SUM(SUMIFS(OFFSET(A1_集計2026,$A91,9,1,199),OFFSET(貼付け_2026実績,4,9,1,199),{"横浜*","川崎*","県域*","エネルギー管理指定工場等*"})),0)</f>
        <v>0</v>
      </c>
      <c r="O91" s="844">
        <f ca="1">SUMPRODUCT(ROUND(O9:O56*$K9:$K56,0))+ROUND(SUM(SUMIFS(OFFSET(A1_集計2027,$A91,9,1,199),OFFSET(貼付け_2027実績,4,9,1,199),{"横浜*","川崎*","県域*","エネルギー管理指定工場等*"})),0)</f>
        <v>0</v>
      </c>
      <c r="P91" s="844">
        <f ca="1">SUMPRODUCT(ROUND(P9:P56*$H9:$H56,0))+ROUND(SUM(SUMIFS(OFFSET(A1_集計2024,$A91,9,1,199),OFFSET(貼付け_2024実績,4,9,1,199),{"横浜*","川崎*"})),0)</f>
        <v>0</v>
      </c>
      <c r="Q91" s="844">
        <f ca="1">SUMPRODUCT(ROUND(Q9:Q56*$I9:$I56,0))+ROUND(SUM(SUMIFS(OFFSET(A1_集計2025,$A91,9,1,199),OFFSET(貼付け_2025実績,4,9,1,199),{"横浜*","川崎*"})),0)</f>
        <v>0</v>
      </c>
      <c r="R91" s="844">
        <f ca="1">SUMPRODUCT(ROUND(R9:R56*$J9:$J56,0))+ROUND(SUM(SUMIFS(OFFSET(A1_集計2026,$A91,9,1,199),OFFSET(貼付け_2026実績,4,9,1,199),{"横浜*","川崎*"})),0)</f>
        <v>0</v>
      </c>
      <c r="S91" s="844">
        <f ca="1">SUMPRODUCT(ROUND(S9:S56*$K9:$K56,0))+ROUND(SUM(SUMIFS(OFFSET(A1_集計2027,$A91,9,1,199),OFFSET(貼付け_2027実績,4,9,1,199),{"横浜*","川崎*"})),0)</f>
        <v>0</v>
      </c>
      <c r="T91" s="844">
        <f ca="1">SUMPRODUCT(ROUND(T9:T56*$H9:$H56,0))+ROUND(SUM(SUMIFS(OFFSET(A1_集計2024,$A91,9,1,199),OFFSET(貼付け_2024実績,4,9,1,199),{"県域*","エネルギー管理指定工場等*"})),0)</f>
        <v>0</v>
      </c>
      <c r="U91" s="844">
        <f ca="1">SUMPRODUCT(ROUND(U9:U56*$I9:$I56,0))+ROUND(SUM(SUMIFS(OFFSET(A1_集計2025,$A91,9,1,199),OFFSET(貼付け_2025実績,4,9,1,199),{"県域*","エネルギー管理指定工場等*"})),0)</f>
        <v>0</v>
      </c>
      <c r="V91" s="844">
        <f ca="1">SUMPRODUCT(ROUND(V9:V56*$J9:$J56,0))+ROUND(SUM(SUMIFS(OFFSET(A1_集計2026,$A91,9,1,199),OFFSET(貼付け_2026実績,4,9,1,199),{"県域*","エネルギー管理指定工場等*"})),0)</f>
        <v>0</v>
      </c>
      <c r="W91" s="844">
        <f ca="1">SUMPRODUCT(ROUND(W9:W56*$K9:$K56,0))+ROUND(SUM(SUMIFS(OFFSET(A1_集計2027,$A91,9,1,199),OFFSET(貼付け_2027実績,4,9,1,199),{"県域*","エネルギー管理指定工場等*"})),0)</f>
        <v>0</v>
      </c>
      <c r="X91" s="844">
        <f ca="1">SUMPRODUCT(ROUND(X9:X56*$H9:$H56,0))+ROUND(SUMIFS(OFFSET(A1_集計2024,$A91,9,1,199),OFFSET(貼付け_2024実績,4,9,1,199),"県域*"),0)</f>
        <v>0</v>
      </c>
      <c r="Y91" s="844">
        <f ca="1">SUMPRODUCT(ROUND(Y9:Y56*$I9:$I56,0))+ROUND(SUMIFS(OFFSET(A1_集計2025,$A91,9,1,199),OFFSET(貼付け_2025実績,4,9,1,199),"県域*"),0)</f>
        <v>0</v>
      </c>
      <c r="Z91" s="844">
        <f ca="1">SUMPRODUCT(ROUND(Z9:Z56*$J9:$J56,0))+ROUND(SUMIFS(OFFSET(A1_集計2026,$A91,9,1,199),OFFSET(貼付け_2026実績,4,9,1,199),"県域*"),0)</f>
        <v>0</v>
      </c>
      <c r="AA91" s="844">
        <f ca="1">SUMPRODUCT(ROUND(AA9:AA56*$K9:$K56,0))+ROUND(SUMIFS(OFFSET(A1_集計2027,$A91,9,1,199),OFFSET(貼付け_2027実績,4,9,1,199),"県域*"),0)</f>
        <v>0</v>
      </c>
      <c r="AB91" s="844">
        <f ca="1">SUMPRODUCT(ROUND((0&amp;AB9:AB56)*$H9:$H56,0))+ROUND(IFERROR(OFFSET(A1_集計2024,$A91,AB$1),0),0)</f>
        <v>0</v>
      </c>
      <c r="AC91" s="844">
        <f ca="1">SUMPRODUCT(ROUND((0&amp;AC9:AC56)*$I9:$I56,0))+ROUND(IFERROR(OFFSET(A1_集計2025,$A91,AC$1),0),0)</f>
        <v>0</v>
      </c>
      <c r="AD91" s="844">
        <f ca="1">SUMPRODUCT(ROUND((0&amp;AD9:AD56)*$J9:$J56,0))+ROUND(IFERROR(OFFSET(A1_集計2026,$A91,AD$1),0),0)</f>
        <v>0</v>
      </c>
      <c r="AE91" s="844">
        <f ca="1">SUMPRODUCT(ROUND((0&amp;AE9:AE56)*$K9:$K56,0))+ROUND(IFERROR(OFFSET(A1_集計2027,$A91,AE$1),0),0)</f>
        <v>0</v>
      </c>
      <c r="AF91" s="844">
        <f ca="1">SUMPRODUCT(ROUND((0&amp;AF9:AF56)*$H9:$H56,0))+ROUND(IFERROR(OFFSET(A1_集計2024,$A91,AF$1),0),0)</f>
        <v>0</v>
      </c>
      <c r="AG91" s="844">
        <f ca="1">SUMPRODUCT(ROUND((0&amp;AG9:AG56)*$I9:$I56,0))+ROUND(IFERROR(OFFSET(A1_集計2025,$A91,AG$1),0),0)</f>
        <v>0</v>
      </c>
      <c r="AH91" s="844">
        <f ca="1">SUMPRODUCT(ROUND((0&amp;AH9:AH56)*$J9:$J56,0))+ROUND(IFERROR(OFFSET(A1_集計2026,$A91,AH$1),0),0)</f>
        <v>0</v>
      </c>
      <c r="AI91" s="844">
        <f ca="1">SUMPRODUCT(ROUND((0&amp;AI9:AI56)*$K9:$K56,0))+ROUND(IFERROR(OFFSET(A1_集計2027,$A91,AI$1),0),0)</f>
        <v>0</v>
      </c>
      <c r="AJ91" s="844">
        <f ca="1">SUMPRODUCT(ROUND((0&amp;AJ9:AJ56)*$H9:$H56,0))+ROUND(IFERROR(OFFSET(A1_集計2024,$A91,AJ$1),0),0)</f>
        <v>0</v>
      </c>
      <c r="AK91" s="844">
        <f ca="1">SUMPRODUCT(ROUND((0&amp;AK9:AK56)*$I9:$I56,0))+ROUND(IFERROR(OFFSET(A1_集計2025,$A91,AK$1),0),0)</f>
        <v>0</v>
      </c>
      <c r="AL91" s="844">
        <f ca="1">SUMPRODUCT(ROUND((0&amp;AL9:AL56)*$J9:$J56,0))+ROUND(IFERROR(OFFSET(A1_集計2026,$A91,AL$1),0),0)</f>
        <v>0</v>
      </c>
      <c r="AM91" s="844">
        <f ca="1">SUMPRODUCT(ROUND((0&amp;AM9:AM56)*$K9:$K56,0))+ROUND(IFERROR(OFFSET(A1_集計2027,$A91,AM$1),0),0)</f>
        <v>0</v>
      </c>
      <c r="AN91" s="844">
        <f ca="1">SUMPRODUCT(ROUND((0&amp;AN9:AN56)*$H9:$H56,0))+ROUND(IFERROR(OFFSET(A1_集計2024,$A91,AN$1),0),0)</f>
        <v>0</v>
      </c>
      <c r="AO91" s="844">
        <f ca="1">SUMPRODUCT(ROUND((0&amp;AO9:AO56)*$I9:$I56,0))+ROUND(IFERROR(OFFSET(A1_集計2025,$A91,AO$1),0),0)</f>
        <v>0</v>
      </c>
      <c r="AP91" s="844">
        <f ca="1">SUMPRODUCT(ROUND((0&amp;AP9:AP56)*$J9:$J56,0))+ROUND(IFERROR(OFFSET(A1_集計2026,$A91,AP$1),0),0)</f>
        <v>0</v>
      </c>
      <c r="AQ91" s="844">
        <f ca="1">SUMPRODUCT(ROUND((0&amp;AQ9:AQ56)*$K9:$K56,0))+ROUND(IFERROR(OFFSET(A1_集計2027,$A91,AQ$1),0),0)</f>
        <v>0</v>
      </c>
      <c r="AR91" s="844">
        <f ca="1">SUMPRODUCT(ROUND((0&amp;AR9:AR56)*$H9:$H56,0))+ROUND(IFERROR(OFFSET(A1_集計2024,$A91,AR$1),0),0)</f>
        <v>0</v>
      </c>
      <c r="AS91" s="844">
        <f ca="1">SUMPRODUCT(ROUND((0&amp;AS9:AS56)*$I9:$I56,0))+ROUND(IFERROR(OFFSET(A1_集計2025,$A91,AS$1),0),0)</f>
        <v>0</v>
      </c>
      <c r="AT91" s="844">
        <f ca="1">SUMPRODUCT(ROUND((0&amp;AT9:AT56)*$J9:$J56,0))+ROUND(IFERROR(OFFSET(A1_集計2026,$A91,AT$1),0),0)</f>
        <v>0</v>
      </c>
      <c r="AU91" s="844">
        <f ca="1">SUMPRODUCT(ROUND((0&amp;AU9:AU56)*$K9:$K56,0))+ROUND(IFERROR(OFFSET(A1_集計2027,$A91,AU$1),0),0)</f>
        <v>0</v>
      </c>
      <c r="AV91" s="844">
        <f ca="1">SUMPRODUCT(ROUND((0&amp;AV9:AV56)*$H9:$H56,0))+ROUND(IFERROR(OFFSET(A1_集計2024,$A91,AV$1),0),0)</f>
        <v>0</v>
      </c>
      <c r="AW91" s="844">
        <f ca="1">SUMPRODUCT(ROUND((0&amp;AW9:AW56)*$I9:$I56,0))+ROUND(IFERROR(OFFSET(A1_集計2025,$A91,AW$1),0),0)</f>
        <v>0</v>
      </c>
      <c r="AX91" s="844">
        <f ca="1">SUMPRODUCT(ROUND((0&amp;AX9:AX56)*$J9:$J56,0))+ROUND(IFERROR(OFFSET(A1_集計2026,$A91,AX$1),0),0)</f>
        <v>0</v>
      </c>
      <c r="AY91" s="844">
        <f ca="1">SUMPRODUCT(ROUND((0&amp;AY9:AY56)*$K9:$K56,0))+ROUND(IFERROR(OFFSET(A1_集計2027,$A91,AY$1),0),0)</f>
        <v>0</v>
      </c>
      <c r="AZ91" s="844">
        <f ca="1">SUMPRODUCT(ROUND((0&amp;AZ9:AZ56)*$H9:$H56,0))+ROUND(IFERROR(OFFSET(A1_集計2024,$A91,AZ$1),0),0)</f>
        <v>0</v>
      </c>
      <c r="BA91" s="844">
        <f ca="1">SUMPRODUCT(ROUND((0&amp;BA9:BA56)*$I9:$I56,0))+ROUND(IFERROR(OFFSET(A1_集計2025,$A91,BA$1),0),0)</f>
        <v>0</v>
      </c>
      <c r="BB91" s="844">
        <f ca="1">SUMPRODUCT(ROUND((0&amp;BB9:BB56)*$J9:$J56,0))+ROUND(IFERROR(OFFSET(A1_集計2026,$A91,BB$1),0),0)</f>
        <v>0</v>
      </c>
      <c r="BC91" s="844">
        <f ca="1">SUMPRODUCT(ROUND((0&amp;BC9:BC56)*$K9:$K56,0))+ROUND(IFERROR(OFFSET(A1_集計2027,$A91,BC$1),0),0)</f>
        <v>0</v>
      </c>
      <c r="BD91" s="844">
        <f ca="1">SUMPRODUCT(ROUND((0&amp;BD9:BD56)*$H9:$H56,0))+ROUND(IFERROR(OFFSET(A1_集計2024,$A91,BD$1),0),0)</f>
        <v>0</v>
      </c>
      <c r="BE91" s="844">
        <f ca="1">SUMPRODUCT(ROUND((0&amp;BE9:BE56)*$I9:$I56,0))+ROUND(IFERROR(OFFSET(A1_集計2025,$A91,BE$1),0),0)</f>
        <v>0</v>
      </c>
      <c r="BF91" s="844">
        <f ca="1">SUMPRODUCT(ROUND((0&amp;BF9:BF56)*$J9:$J56,0))+ROUND(IFERROR(OFFSET(A1_集計2026,$A91,BF$1),0),0)</f>
        <v>0</v>
      </c>
      <c r="BG91" s="844">
        <f ca="1">SUMPRODUCT(ROUND((0&amp;BG9:BG56)*$K9:$K56,0))+ROUND(IFERROR(OFFSET(A1_集計2027,$A91,BG$1),0),0)</f>
        <v>0</v>
      </c>
      <c r="BH91" s="844">
        <f ca="1">SUMPRODUCT(ROUND((0&amp;BH9:BH56)*$H9:$H56,0))+ROUND(IFERROR(OFFSET(A1_集計2024,$A91,BH$1),0),0)</f>
        <v>0</v>
      </c>
      <c r="BI91" s="844">
        <f ca="1">SUMPRODUCT(ROUND((0&amp;BI9:BI56)*$I9:$I56,0))+ROUND(IFERROR(OFFSET(A1_集計2025,$A91,BI$1),0),0)</f>
        <v>0</v>
      </c>
      <c r="BJ91" s="844">
        <f ca="1">SUMPRODUCT(ROUND((0&amp;BJ9:BJ56)*$J9:$J56,0))+ROUND(IFERROR(OFFSET(A1_集計2026,$A91,BJ$1),0),0)</f>
        <v>0</v>
      </c>
      <c r="BK91" s="844">
        <f ca="1">SUMPRODUCT(ROUND((0&amp;BK9:BK56)*$K9:$K56,0))+ROUND(IFERROR(OFFSET(A1_集計2027,$A91,BK$1),0),0)</f>
        <v>0</v>
      </c>
      <c r="BL91" s="844">
        <f ca="1">SUMPRODUCT(ROUND((0&amp;BL9:BL56)*$H9:$H56,0))+ROUND(IFERROR(OFFSET(A1_集計2024,$A91,BL$1),0),0)</f>
        <v>0</v>
      </c>
      <c r="BM91" s="844">
        <f ca="1">SUMPRODUCT(ROUND((0&amp;BM9:BM56)*$I9:$I56,0))+ROUND(IFERROR(OFFSET(A1_集計2025,$A91,BM$1),0),0)</f>
        <v>0</v>
      </c>
      <c r="BN91" s="844">
        <f ca="1">SUMPRODUCT(ROUND((0&amp;BN9:BN56)*$J9:$J56,0))+ROUND(IFERROR(OFFSET(A1_集計2026,$A91,BN$1),0),0)</f>
        <v>0</v>
      </c>
      <c r="BO91" s="844">
        <f ca="1">SUMPRODUCT(ROUND((0&amp;BO9:BO56)*$K9:$K56,0))+ROUND(IFERROR(OFFSET(A1_集計2027,$A91,BO$1),0),0)</f>
        <v>0</v>
      </c>
      <c r="BP91" s="802"/>
    </row>
    <row r="92" spans="1:68" ht="20.100000000000001" customHeight="1">
      <c r="A92" s="784"/>
      <c r="B92" s="1596"/>
      <c r="C92" s="1596"/>
      <c r="D92" s="785" t="s">
        <v>808</v>
      </c>
      <c r="E92" s="785"/>
      <c r="F92" s="810" t="s">
        <v>809</v>
      </c>
      <c r="G92" s="787" t="s">
        <v>807</v>
      </c>
      <c r="H92" s="843"/>
      <c r="I92" s="843"/>
      <c r="J92" s="843"/>
      <c r="K92" s="843"/>
      <c r="L92" s="844">
        <f ca="1">SUMPRODUCT(ROUND(L57:L67*$H57:$H67,0))</f>
        <v>0</v>
      </c>
      <c r="M92" s="844">
        <f ca="1">SUMPRODUCT(ROUND(M57:M67*$I57:$I67,0))</f>
        <v>0</v>
      </c>
      <c r="N92" s="844">
        <f ca="1">SUMPRODUCT(ROUND(N57:N67*$J57:$J67,0))</f>
        <v>0</v>
      </c>
      <c r="O92" s="844">
        <f ca="1">SUMPRODUCT(ROUND(O57:O67*$K57:$K67,0))</f>
        <v>0</v>
      </c>
      <c r="P92" s="844">
        <f ca="1">SUMPRODUCT(ROUND(P57:P67*$H57:$H67,0))</f>
        <v>0</v>
      </c>
      <c r="Q92" s="844">
        <f ca="1">SUMPRODUCT(ROUND(Q57:Q67*$I57:$I67,0))</f>
        <v>0</v>
      </c>
      <c r="R92" s="844">
        <f ca="1">SUMPRODUCT(ROUND(R57:R67*$J57:$J67,0))</f>
        <v>0</v>
      </c>
      <c r="S92" s="844">
        <f ca="1">SUMPRODUCT(ROUND(S57:S67*$K57:$K67,0))</f>
        <v>0</v>
      </c>
      <c r="T92" s="844">
        <f ca="1">SUMPRODUCT(ROUND(T57:T67*$H57:$H67,0))</f>
        <v>0</v>
      </c>
      <c r="U92" s="844">
        <f ca="1">SUMPRODUCT(ROUND(U57:U67*$I57:$I67,0))</f>
        <v>0</v>
      </c>
      <c r="V92" s="844">
        <f ca="1">SUMPRODUCT(ROUND(V57:V67*$J57:$J67,0))</f>
        <v>0</v>
      </c>
      <c r="W92" s="844">
        <f ca="1">SUMPRODUCT(ROUND(W57:W67*$K57:$K67,0))</f>
        <v>0</v>
      </c>
      <c r="X92" s="844">
        <f ca="1">SUMPRODUCT(ROUND(X57:X67*$H57:$H67,0))</f>
        <v>0</v>
      </c>
      <c r="Y92" s="844">
        <f ca="1">SUMPRODUCT(ROUND(Y57:Y67*$I57:$I67,0))</f>
        <v>0</v>
      </c>
      <c r="Z92" s="844">
        <f ca="1">SUMPRODUCT(ROUND(Z57:Z67*$J57:$J67,0))</f>
        <v>0</v>
      </c>
      <c r="AA92" s="844">
        <f ca="1">SUMPRODUCT(ROUND(AA57:AA67*$K57:$K67,0))</f>
        <v>0</v>
      </c>
      <c r="AB92" s="844">
        <f ca="1">SUMPRODUCT(ROUND((0&amp;AB57:AB67)*$H57:$H67,0))</f>
        <v>0</v>
      </c>
      <c r="AC92" s="844">
        <f ca="1">SUMPRODUCT(ROUND((0&amp;AC57:AC67)*$I57:$I67,0))</f>
        <v>0</v>
      </c>
      <c r="AD92" s="844">
        <f ca="1">SUMPRODUCT(ROUND((0&amp;AD57:AD67)*$J57:$J67,0))</f>
        <v>0</v>
      </c>
      <c r="AE92" s="844">
        <f ca="1">SUMPRODUCT(ROUND((0&amp;AE57:AE67)*$K57:$K67,0))</f>
        <v>0</v>
      </c>
      <c r="AF92" s="844">
        <f ca="1">SUMPRODUCT(ROUND((0&amp;AF57:AF67)*$H57:$H67,0))</f>
        <v>0</v>
      </c>
      <c r="AG92" s="844">
        <f ca="1">SUMPRODUCT(ROUND((0&amp;AG57:AG67)*$I57:$I67,0))</f>
        <v>0</v>
      </c>
      <c r="AH92" s="844">
        <f ca="1">SUMPRODUCT(ROUND((0&amp;AH57:AH67)*$J57:$J67,0))</f>
        <v>0</v>
      </c>
      <c r="AI92" s="844">
        <f ca="1">SUMPRODUCT(ROUND((0&amp;AI57:AI67)*$K57:$K67,0))</f>
        <v>0</v>
      </c>
      <c r="AJ92" s="844">
        <f ca="1">SUMPRODUCT(ROUND((0&amp;AJ57:AJ67)*$H57:$H67,0))</f>
        <v>0</v>
      </c>
      <c r="AK92" s="844">
        <f ca="1">SUMPRODUCT(ROUND((0&amp;AK57:AK67)*$I57:$I67,0))</f>
        <v>0</v>
      </c>
      <c r="AL92" s="844">
        <f ca="1">SUMPRODUCT(ROUND((0&amp;AL57:AL67)*$J57:$J67,0))</f>
        <v>0</v>
      </c>
      <c r="AM92" s="844">
        <f ca="1">SUMPRODUCT(ROUND((0&amp;AM57:AM67)*$K57:$K67,0))</f>
        <v>0</v>
      </c>
      <c r="AN92" s="844">
        <f ca="1">SUMPRODUCT(ROUND((0&amp;AN57:AN67)*$H57:$H67,0))</f>
        <v>0</v>
      </c>
      <c r="AO92" s="844">
        <f ca="1">SUMPRODUCT(ROUND((0&amp;AO57:AO67)*$I57:$I67,0))</f>
        <v>0</v>
      </c>
      <c r="AP92" s="844">
        <f ca="1">SUMPRODUCT(ROUND((0&amp;AP57:AP67)*$J57:$J67,0))</f>
        <v>0</v>
      </c>
      <c r="AQ92" s="844">
        <f ca="1">SUMPRODUCT(ROUND((0&amp;AQ57:AQ67)*$K57:$K67,0))</f>
        <v>0</v>
      </c>
      <c r="AR92" s="844">
        <f ca="1">SUMPRODUCT(ROUND((0&amp;AR57:AR67)*$H57:$H67,0))</f>
        <v>0</v>
      </c>
      <c r="AS92" s="844">
        <f ca="1">SUMPRODUCT(ROUND((0&amp;AS57:AS67)*$I57:$I67,0))</f>
        <v>0</v>
      </c>
      <c r="AT92" s="844">
        <f ca="1">SUMPRODUCT(ROUND((0&amp;AT57:AT67)*$J57:$J67,0))</f>
        <v>0</v>
      </c>
      <c r="AU92" s="844">
        <f ca="1">SUMPRODUCT(ROUND((0&amp;AU57:AU67)*$K57:$K67,0))</f>
        <v>0</v>
      </c>
      <c r="AV92" s="844">
        <f ca="1">SUMPRODUCT(ROUND((0&amp;AV57:AV67)*$H57:$H67,0))</f>
        <v>0</v>
      </c>
      <c r="AW92" s="844">
        <f ca="1">SUMPRODUCT(ROUND((0&amp;AW57:AW67)*$I57:$I67,0))</f>
        <v>0</v>
      </c>
      <c r="AX92" s="844">
        <f ca="1">SUMPRODUCT(ROUND((0&amp;AX57:AX67)*$J57:$J67,0))</f>
        <v>0</v>
      </c>
      <c r="AY92" s="844">
        <f ca="1">SUMPRODUCT(ROUND((0&amp;AY57:AY67)*$K57:$K67,0))</f>
        <v>0</v>
      </c>
      <c r="AZ92" s="844">
        <f ca="1">SUMPRODUCT(ROUND((0&amp;AZ57:AZ67)*$H57:$H67,0))</f>
        <v>0</v>
      </c>
      <c r="BA92" s="844">
        <f ca="1">SUMPRODUCT(ROUND((0&amp;BA57:BA67)*$I57:$I67,0))</f>
        <v>0</v>
      </c>
      <c r="BB92" s="844">
        <f ca="1">SUMPRODUCT(ROUND((0&amp;BB57:BB67)*$J57:$J67,0))</f>
        <v>0</v>
      </c>
      <c r="BC92" s="844">
        <f ca="1">SUMPRODUCT(ROUND((0&amp;BC57:BC67)*$K57:$K67,0))</f>
        <v>0</v>
      </c>
      <c r="BD92" s="844">
        <f ca="1">SUMPRODUCT(ROUND((0&amp;BD57:BD67)*$H57:$H67,0))</f>
        <v>0</v>
      </c>
      <c r="BE92" s="844">
        <f ca="1">SUMPRODUCT(ROUND((0&amp;BE57:BE67)*$I57:$I67,0))</f>
        <v>0</v>
      </c>
      <c r="BF92" s="844">
        <f ca="1">SUMPRODUCT(ROUND((0&amp;BF57:BF67)*$J57:$J67,0))</f>
        <v>0</v>
      </c>
      <c r="BG92" s="844">
        <f ca="1">SUMPRODUCT(ROUND((0&amp;BG57:BG67)*$K57:$K67,0))</f>
        <v>0</v>
      </c>
      <c r="BH92" s="844">
        <f ca="1">SUMPRODUCT(ROUND((0&amp;BH57:BH67)*$H57:$H67,0))</f>
        <v>0</v>
      </c>
      <c r="BI92" s="844">
        <f ca="1">SUMPRODUCT(ROUND((0&amp;BI57:BI67)*$I57:$I67,0))</f>
        <v>0</v>
      </c>
      <c r="BJ92" s="844">
        <f ca="1">SUMPRODUCT(ROUND((0&amp;BJ57:BJ67)*$J57:$J67,0))</f>
        <v>0</v>
      </c>
      <c r="BK92" s="844">
        <f ca="1">SUMPRODUCT(ROUND((0&amp;BK57:BK67)*$K57:$K67,0))</f>
        <v>0</v>
      </c>
      <c r="BL92" s="844">
        <f ca="1">SUMPRODUCT(ROUND((0&amp;BL57:BL67)*$H57:$H67,0))</f>
        <v>0</v>
      </c>
      <c r="BM92" s="844">
        <f ca="1">SUMPRODUCT(ROUND((0&amp;BM57:BM67)*$I57:$I67,0))</f>
        <v>0</v>
      </c>
      <c r="BN92" s="844">
        <f ca="1">SUMPRODUCT(ROUND((0&amp;BN57:BN67)*$J57:$J67,0))</f>
        <v>0</v>
      </c>
      <c r="BO92" s="844">
        <f ca="1">SUMPRODUCT(ROUND((0&amp;BO57:BO67)*$K57:$K67,0))</f>
        <v>0</v>
      </c>
      <c r="BP92" s="802"/>
    </row>
    <row r="93" spans="1:68" ht="20.100000000000001" customHeight="1">
      <c r="A93" s="784"/>
      <c r="B93" s="1596"/>
      <c r="C93" s="1596"/>
      <c r="D93" s="785" t="s">
        <v>810</v>
      </c>
      <c r="E93" s="785" t="s">
        <v>811</v>
      </c>
      <c r="F93" s="810" t="s">
        <v>812</v>
      </c>
      <c r="G93" s="787" t="s">
        <v>807</v>
      </c>
      <c r="H93" s="843"/>
      <c r="I93" s="843"/>
      <c r="J93" s="843"/>
      <c r="K93" s="843"/>
      <c r="L93" s="844">
        <f ca="1">SUMPRODUCT(ROUND((0&amp;L68:L71)*$H68:$H71,0))+ROUND($H73*(0&amp;L73),0)+SUMPRODUCT(ROUND((0&amp;L75:L86)*$H75:$H86,0))</f>
        <v>0</v>
      </c>
      <c r="M93" s="844">
        <f ca="1">SUMPRODUCT(ROUND((0&amp;M68:M71)*$I68:$I71,0))+ROUND($I73*(0&amp;M73),0)+SUMPRODUCT(ROUND((0&amp;M75:M86)*$I75:$I86,0))</f>
        <v>0</v>
      </c>
      <c r="N93" s="844">
        <f ca="1">SUMPRODUCT(ROUND((0&amp;N68:N71)*$J68:$J71,0))+ROUND($J73*(0&amp;N73),0)+SUMPRODUCT(ROUND((0&amp;N75:N86)*$J75:$J86,0))</f>
        <v>0</v>
      </c>
      <c r="O93" s="844">
        <f ca="1">SUMPRODUCT(ROUND((0&amp;O68:O71)*$K68:$K71,0))+ROUND($K73*(0&amp;O73),0)+SUMPRODUCT(ROUND((0&amp;O75:O86)*$K75:$K86,0))</f>
        <v>0</v>
      </c>
      <c r="P93" s="844">
        <f t="shared" ref="P93" ca="1" si="150">SUMPRODUCT(ROUND((0&amp;P68:P71)*$H68:$H71,0))+ROUND($H73*(0&amp;P73),0)+SUMPRODUCT(ROUND((0&amp;P75:P86)*$H75:$H86,0))</f>
        <v>0</v>
      </c>
      <c r="Q93" s="844">
        <f t="shared" ref="Q93" ca="1" si="151">SUMPRODUCT(ROUND((0&amp;Q68:Q71)*$I68:$I71,0))+ROUND($I73*(0&amp;Q73),0)+SUMPRODUCT(ROUND((0&amp;Q75:Q86)*$I75:$I86,0))</f>
        <v>0</v>
      </c>
      <c r="R93" s="844">
        <f t="shared" ref="R93" ca="1" si="152">SUMPRODUCT(ROUND((0&amp;R68:R71)*$J68:$J71,0))+ROUND($J73*(0&amp;R73),0)+SUMPRODUCT(ROUND((0&amp;R75:R86)*$J75:$J86,0))</f>
        <v>0</v>
      </c>
      <c r="S93" s="844">
        <f t="shared" ref="S93" ca="1" si="153">SUMPRODUCT(ROUND((0&amp;S68:S71)*$K68:$K71,0))+ROUND($K73*(0&amp;S73),0)+SUMPRODUCT(ROUND((0&amp;S75:S86)*$K75:$K86,0))</f>
        <v>0</v>
      </c>
      <c r="T93" s="844">
        <f t="shared" ref="T93" ca="1" si="154">SUMPRODUCT(ROUND((0&amp;T68:T71)*$H68:$H71,0))+ROUND($H73*(0&amp;T73),0)+SUMPRODUCT(ROUND((0&amp;T75:T86)*$H75:$H86,0))</f>
        <v>0</v>
      </c>
      <c r="U93" s="844">
        <f t="shared" ref="U93" ca="1" si="155">SUMPRODUCT(ROUND((0&amp;U68:U71)*$I68:$I71,0))+ROUND($I73*(0&amp;U73),0)+SUMPRODUCT(ROUND((0&amp;U75:U86)*$I75:$I86,0))</f>
        <v>0</v>
      </c>
      <c r="V93" s="844">
        <f t="shared" ref="V93" ca="1" si="156">SUMPRODUCT(ROUND((0&amp;V68:V71)*$J68:$J71,0))+ROUND($J73*(0&amp;V73),0)+SUMPRODUCT(ROUND((0&amp;V75:V86)*$J75:$J86,0))</f>
        <v>0</v>
      </c>
      <c r="W93" s="844">
        <f t="shared" ref="W93" ca="1" si="157">SUMPRODUCT(ROUND((0&amp;W68:W71)*$K68:$K71,0))+ROUND($K73*(0&amp;W73),0)+SUMPRODUCT(ROUND((0&amp;W75:W86)*$K75:$K86,0))</f>
        <v>0</v>
      </c>
      <c r="X93" s="844">
        <f t="shared" ref="X93" ca="1" si="158">SUMPRODUCT(ROUND((0&amp;X68:X71)*$H68:$H71,0))+ROUND($H73*(0&amp;X73),0)+SUMPRODUCT(ROUND((0&amp;X75:X86)*$H75:$H86,0))</f>
        <v>0</v>
      </c>
      <c r="Y93" s="844">
        <f t="shared" ref="Y93" ca="1" si="159">SUMPRODUCT(ROUND((0&amp;Y68:Y71)*$I68:$I71,0))+ROUND($I73*(0&amp;Y73),0)+SUMPRODUCT(ROUND((0&amp;Y75:Y86)*$I75:$I86,0))</f>
        <v>0</v>
      </c>
      <c r="Z93" s="844">
        <f t="shared" ref="Z93" ca="1" si="160">SUMPRODUCT(ROUND((0&amp;Z68:Z71)*$J68:$J71,0))+ROUND($J73*(0&amp;Z73),0)+SUMPRODUCT(ROUND((0&amp;Z75:Z86)*$J75:$J86,0))</f>
        <v>0</v>
      </c>
      <c r="AA93" s="844">
        <f t="shared" ref="AA93" ca="1" si="161">SUMPRODUCT(ROUND((0&amp;AA68:AA71)*$K68:$K71,0))+ROUND($K73*(0&amp;AA73),0)+SUMPRODUCT(ROUND((0&amp;AA75:AA86)*$K75:$K86,0))</f>
        <v>0</v>
      </c>
      <c r="AB93" s="844">
        <f t="shared" ref="AB93" ca="1" si="162">SUMPRODUCT(ROUND((0&amp;AB68:AB71)*$H68:$H71,0))+ROUND($H73*(0&amp;AB73),0)+SUMPRODUCT(ROUND((0&amp;AB75:AB86)*$H75:$H86,0))</f>
        <v>0</v>
      </c>
      <c r="AC93" s="844">
        <f t="shared" ref="AC93" ca="1" si="163">SUMPRODUCT(ROUND((0&amp;AC68:AC71)*$I68:$I71,0))+ROUND($I73*(0&amp;AC73),0)+SUMPRODUCT(ROUND((0&amp;AC75:AC86)*$I75:$I86,0))</f>
        <v>0</v>
      </c>
      <c r="AD93" s="844">
        <f t="shared" ref="AD93" ca="1" si="164">SUMPRODUCT(ROUND((0&amp;AD68:AD71)*$J68:$J71,0))+ROUND($J73*(0&amp;AD73),0)+SUMPRODUCT(ROUND((0&amp;AD75:AD86)*$J75:$J86,0))</f>
        <v>0</v>
      </c>
      <c r="AE93" s="844">
        <f t="shared" ref="AE93" ca="1" si="165">SUMPRODUCT(ROUND((0&amp;AE68:AE71)*$K68:$K71,0))+ROUND($K73*(0&amp;AE73),0)+SUMPRODUCT(ROUND((0&amp;AE75:AE86)*$K75:$K86,0))</f>
        <v>0</v>
      </c>
      <c r="AF93" s="844">
        <f t="shared" ref="AF93" ca="1" si="166">SUMPRODUCT(ROUND((0&amp;AF68:AF71)*$H68:$H71,0))+ROUND($H73*(0&amp;AF73),0)+SUMPRODUCT(ROUND((0&amp;AF75:AF86)*$H75:$H86,0))</f>
        <v>0</v>
      </c>
      <c r="AG93" s="844">
        <f t="shared" ref="AG93" ca="1" si="167">SUMPRODUCT(ROUND((0&amp;AG68:AG71)*$I68:$I71,0))+ROUND($I73*(0&amp;AG73),0)+SUMPRODUCT(ROUND((0&amp;AG75:AG86)*$I75:$I86,0))</f>
        <v>0</v>
      </c>
      <c r="AH93" s="844">
        <f t="shared" ref="AH93" ca="1" si="168">SUMPRODUCT(ROUND((0&amp;AH68:AH71)*$J68:$J71,0))+ROUND($J73*(0&amp;AH73),0)+SUMPRODUCT(ROUND((0&amp;AH75:AH86)*$J75:$J86,0))</f>
        <v>0</v>
      </c>
      <c r="AI93" s="844">
        <f t="shared" ref="AI93" ca="1" si="169">SUMPRODUCT(ROUND((0&amp;AI68:AI71)*$K68:$K71,0))+ROUND($K73*(0&amp;AI73),0)+SUMPRODUCT(ROUND((0&amp;AI75:AI86)*$K75:$K86,0))</f>
        <v>0</v>
      </c>
      <c r="AJ93" s="844">
        <f t="shared" ref="AJ93" ca="1" si="170">SUMPRODUCT(ROUND((0&amp;AJ68:AJ71)*$H68:$H71,0))+ROUND($H73*(0&amp;AJ73),0)+SUMPRODUCT(ROUND((0&amp;AJ75:AJ86)*$H75:$H86,0))</f>
        <v>0</v>
      </c>
      <c r="AK93" s="844">
        <f t="shared" ref="AK93" ca="1" si="171">SUMPRODUCT(ROUND((0&amp;AK68:AK71)*$I68:$I71,0))+ROUND($I73*(0&amp;AK73),0)+SUMPRODUCT(ROUND((0&amp;AK75:AK86)*$I75:$I86,0))</f>
        <v>0</v>
      </c>
      <c r="AL93" s="844">
        <f t="shared" ref="AL93" ca="1" si="172">SUMPRODUCT(ROUND((0&amp;AL68:AL71)*$J68:$J71,0))+ROUND($J73*(0&amp;AL73),0)+SUMPRODUCT(ROUND((0&amp;AL75:AL86)*$J75:$J86,0))</f>
        <v>0</v>
      </c>
      <c r="AM93" s="844">
        <f t="shared" ref="AM93" ca="1" si="173">SUMPRODUCT(ROUND((0&amp;AM68:AM71)*$K68:$K71,0))+ROUND($K73*(0&amp;AM73),0)+SUMPRODUCT(ROUND((0&amp;AM75:AM86)*$K75:$K86,0))</f>
        <v>0</v>
      </c>
      <c r="AN93" s="844">
        <f t="shared" ref="AN93" ca="1" si="174">SUMPRODUCT(ROUND((0&amp;AN68:AN71)*$H68:$H71,0))+ROUND($H73*(0&amp;AN73),0)+SUMPRODUCT(ROUND((0&amp;AN75:AN86)*$H75:$H86,0))</f>
        <v>0</v>
      </c>
      <c r="AO93" s="844">
        <f t="shared" ref="AO93" ca="1" si="175">SUMPRODUCT(ROUND((0&amp;AO68:AO71)*$I68:$I71,0))+ROUND($I73*(0&amp;AO73),0)+SUMPRODUCT(ROUND((0&amp;AO75:AO86)*$I75:$I86,0))</f>
        <v>0</v>
      </c>
      <c r="AP93" s="844">
        <f t="shared" ref="AP93" ca="1" si="176">SUMPRODUCT(ROUND((0&amp;AP68:AP71)*$J68:$J71,0))+ROUND($J73*(0&amp;AP73),0)+SUMPRODUCT(ROUND((0&amp;AP75:AP86)*$J75:$J86,0))</f>
        <v>0</v>
      </c>
      <c r="AQ93" s="844">
        <f t="shared" ref="AQ93" ca="1" si="177">SUMPRODUCT(ROUND((0&amp;AQ68:AQ71)*$K68:$K71,0))+ROUND($K73*(0&amp;AQ73),0)+SUMPRODUCT(ROUND((0&amp;AQ75:AQ86)*$K75:$K86,0))</f>
        <v>0</v>
      </c>
      <c r="AR93" s="844">
        <f t="shared" ref="AR93" ca="1" si="178">SUMPRODUCT(ROUND((0&amp;AR68:AR71)*$H68:$H71,0))+ROUND($H73*(0&amp;AR73),0)+SUMPRODUCT(ROUND((0&amp;AR75:AR86)*$H75:$H86,0))</f>
        <v>0</v>
      </c>
      <c r="AS93" s="844">
        <f t="shared" ref="AS93" ca="1" si="179">SUMPRODUCT(ROUND((0&amp;AS68:AS71)*$I68:$I71,0))+ROUND($I73*(0&amp;AS73),0)+SUMPRODUCT(ROUND((0&amp;AS75:AS86)*$I75:$I86,0))</f>
        <v>0</v>
      </c>
      <c r="AT93" s="844">
        <f t="shared" ref="AT93" ca="1" si="180">SUMPRODUCT(ROUND((0&amp;AT68:AT71)*$J68:$J71,0))+ROUND($J73*(0&amp;AT73),0)+SUMPRODUCT(ROUND((0&amp;AT75:AT86)*$J75:$J86,0))</f>
        <v>0</v>
      </c>
      <c r="AU93" s="844">
        <f t="shared" ref="AU93" ca="1" si="181">SUMPRODUCT(ROUND((0&amp;AU68:AU71)*$K68:$K71,0))+ROUND($K73*(0&amp;AU73),0)+SUMPRODUCT(ROUND((0&amp;AU75:AU86)*$K75:$K86,0))</f>
        <v>0</v>
      </c>
      <c r="AV93" s="844">
        <f t="shared" ref="AV93" ca="1" si="182">SUMPRODUCT(ROUND((0&amp;AV68:AV71)*$H68:$H71,0))+ROUND($H73*(0&amp;AV73),0)+SUMPRODUCT(ROUND((0&amp;AV75:AV86)*$H75:$H86,0))</f>
        <v>0</v>
      </c>
      <c r="AW93" s="844">
        <f t="shared" ref="AW93" ca="1" si="183">SUMPRODUCT(ROUND((0&amp;AW68:AW71)*$I68:$I71,0))+ROUND($I73*(0&amp;AW73),0)+SUMPRODUCT(ROUND((0&amp;AW75:AW86)*$I75:$I86,0))</f>
        <v>0</v>
      </c>
      <c r="AX93" s="844">
        <f t="shared" ref="AX93" ca="1" si="184">SUMPRODUCT(ROUND((0&amp;AX68:AX71)*$J68:$J71,0))+ROUND($J73*(0&amp;AX73),0)+SUMPRODUCT(ROUND((0&amp;AX75:AX86)*$J75:$J86,0))</f>
        <v>0</v>
      </c>
      <c r="AY93" s="844">
        <f t="shared" ref="AY93" ca="1" si="185">SUMPRODUCT(ROUND((0&amp;AY68:AY71)*$K68:$K71,0))+ROUND($K73*(0&amp;AY73),0)+SUMPRODUCT(ROUND((0&amp;AY75:AY86)*$K75:$K86,0))</f>
        <v>0</v>
      </c>
      <c r="AZ93" s="844">
        <f t="shared" ref="AZ93" ca="1" si="186">SUMPRODUCT(ROUND((0&amp;AZ68:AZ71)*$H68:$H71,0))+ROUND($H73*(0&amp;AZ73),0)+SUMPRODUCT(ROUND((0&amp;AZ75:AZ86)*$H75:$H86,0))</f>
        <v>0</v>
      </c>
      <c r="BA93" s="844">
        <f t="shared" ref="BA93" ca="1" si="187">SUMPRODUCT(ROUND((0&amp;BA68:BA71)*$I68:$I71,0))+ROUND($I73*(0&amp;BA73),0)+SUMPRODUCT(ROUND((0&amp;BA75:BA86)*$I75:$I86,0))</f>
        <v>0</v>
      </c>
      <c r="BB93" s="844">
        <f t="shared" ref="BB93" ca="1" si="188">SUMPRODUCT(ROUND((0&amp;BB68:BB71)*$J68:$J71,0))+ROUND($J73*(0&amp;BB73),0)+SUMPRODUCT(ROUND((0&amp;BB75:BB86)*$J75:$J86,0))</f>
        <v>0</v>
      </c>
      <c r="BC93" s="844">
        <f t="shared" ref="BC93" ca="1" si="189">SUMPRODUCT(ROUND((0&amp;BC68:BC71)*$K68:$K71,0))+ROUND($K73*(0&amp;BC73),0)+SUMPRODUCT(ROUND((0&amp;BC75:BC86)*$K75:$K86,0))</f>
        <v>0</v>
      </c>
      <c r="BD93" s="844">
        <f t="shared" ref="BD93" ca="1" si="190">SUMPRODUCT(ROUND((0&amp;BD68:BD71)*$H68:$H71,0))+ROUND($H73*(0&amp;BD73),0)+SUMPRODUCT(ROUND((0&amp;BD75:BD86)*$H75:$H86,0))</f>
        <v>0</v>
      </c>
      <c r="BE93" s="844">
        <f t="shared" ref="BE93" ca="1" si="191">SUMPRODUCT(ROUND((0&amp;BE68:BE71)*$I68:$I71,0))+ROUND($I73*(0&amp;BE73),0)+SUMPRODUCT(ROUND((0&amp;BE75:BE86)*$I75:$I86,0))</f>
        <v>0</v>
      </c>
      <c r="BF93" s="844">
        <f t="shared" ref="BF93" ca="1" si="192">SUMPRODUCT(ROUND((0&amp;BF68:BF71)*$J68:$J71,0))+ROUND($J73*(0&amp;BF73),0)+SUMPRODUCT(ROUND((0&amp;BF75:BF86)*$J75:$J86,0))</f>
        <v>0</v>
      </c>
      <c r="BG93" s="844">
        <f t="shared" ref="BG93" ca="1" si="193">SUMPRODUCT(ROUND((0&amp;BG68:BG71)*$K68:$K71,0))+ROUND($K73*(0&amp;BG73),0)+SUMPRODUCT(ROUND((0&amp;BG75:BG86)*$K75:$K86,0))</f>
        <v>0</v>
      </c>
      <c r="BH93" s="844">
        <f t="shared" ref="BH93" ca="1" si="194">SUMPRODUCT(ROUND((0&amp;BH68:BH71)*$H68:$H71,0))+ROUND($H73*(0&amp;BH73),0)+SUMPRODUCT(ROUND((0&amp;BH75:BH86)*$H75:$H86,0))</f>
        <v>0</v>
      </c>
      <c r="BI93" s="844">
        <f t="shared" ref="BI93" ca="1" si="195">SUMPRODUCT(ROUND((0&amp;BI68:BI71)*$I68:$I71,0))+ROUND($I73*(0&amp;BI73),0)+SUMPRODUCT(ROUND((0&amp;BI75:BI86)*$I75:$I86,0))</f>
        <v>0</v>
      </c>
      <c r="BJ93" s="844">
        <f t="shared" ref="BJ93" ca="1" si="196">SUMPRODUCT(ROUND((0&amp;BJ68:BJ71)*$J68:$J71,0))+ROUND($J73*(0&amp;BJ73),0)+SUMPRODUCT(ROUND((0&amp;BJ75:BJ86)*$J75:$J86,0))</f>
        <v>0</v>
      </c>
      <c r="BK93" s="844">
        <f t="shared" ref="BK93" ca="1" si="197">SUMPRODUCT(ROUND((0&amp;BK68:BK71)*$K68:$K71,0))+ROUND($K73*(0&amp;BK73),0)+SUMPRODUCT(ROUND((0&amp;BK75:BK86)*$K75:$K86,0))</f>
        <v>0</v>
      </c>
      <c r="BL93" s="844">
        <f t="shared" ref="BL93" ca="1" si="198">SUMPRODUCT(ROUND((0&amp;BL68:BL71)*$H68:$H71,0))+ROUND($H73*(0&amp;BL73),0)+SUMPRODUCT(ROUND((0&amp;BL75:BL86)*$H75:$H86,0))</f>
        <v>0</v>
      </c>
      <c r="BM93" s="844">
        <f t="shared" ref="BM93" ca="1" si="199">SUMPRODUCT(ROUND((0&amp;BM68:BM71)*$I68:$I71,0))+ROUND($I73*(0&amp;BM73),0)+SUMPRODUCT(ROUND((0&amp;BM75:BM86)*$I75:$I86,0))</f>
        <v>0</v>
      </c>
      <c r="BN93" s="844">
        <f t="shared" ref="BN93" ca="1" si="200">SUMPRODUCT(ROUND((0&amp;BN68:BN71)*$J68:$J71,0))+ROUND($J73*(0&amp;BN73),0)+SUMPRODUCT(ROUND((0&amp;BN75:BN86)*$J75:$J86,0))</f>
        <v>0</v>
      </c>
      <c r="BO93" s="844">
        <f t="shared" ref="BO93" ca="1" si="201">SUMPRODUCT(ROUND((0&amp;BO68:BO71)*$K68:$K71,0))+ROUND($K73*(0&amp;BO73),0)+SUMPRODUCT(ROUND((0&amp;BO75:BO86)*$K75:$K86,0))</f>
        <v>0</v>
      </c>
      <c r="BP93" s="802"/>
    </row>
    <row r="94" spans="1:68" ht="20.100000000000001" customHeight="1">
      <c r="A94" s="784"/>
      <c r="B94" s="1596"/>
      <c r="C94" s="1596"/>
      <c r="D94" s="785" t="s">
        <v>813</v>
      </c>
      <c r="E94" s="785" t="s">
        <v>814</v>
      </c>
      <c r="F94" s="810" t="s">
        <v>815</v>
      </c>
      <c r="G94" s="787" t="s">
        <v>807</v>
      </c>
      <c r="H94" s="843"/>
      <c r="I94" s="843"/>
      <c r="J94" s="843"/>
      <c r="K94" s="843"/>
      <c r="L94" s="845">
        <f ca="1">SUM(L91:L93)</f>
        <v>0</v>
      </c>
      <c r="M94" s="845">
        <f t="shared" ref="M94:O94" ca="1" si="202">SUM(M91:M93)</f>
        <v>0</v>
      </c>
      <c r="N94" s="845">
        <f t="shared" ca="1" si="202"/>
        <v>0</v>
      </c>
      <c r="O94" s="845">
        <f t="shared" ca="1" si="202"/>
        <v>0</v>
      </c>
      <c r="P94" s="846">
        <f ca="1">SUM(P91:P93)</f>
        <v>0</v>
      </c>
      <c r="Q94" s="846">
        <f t="shared" ref="Q94:S94" ca="1" si="203">SUM(Q91:Q93)</f>
        <v>0</v>
      </c>
      <c r="R94" s="846">
        <f t="shared" ca="1" si="203"/>
        <v>0</v>
      </c>
      <c r="S94" s="846">
        <f t="shared" ca="1" si="203"/>
        <v>0</v>
      </c>
      <c r="T94" s="789">
        <f t="shared" ref="T94:W94" ca="1" si="204">SUM(X94,AB94,AF94,AJ94,AN94,AR94,AV94,AZ94,BD94,BH94,BL94)</f>
        <v>0</v>
      </c>
      <c r="U94" s="789">
        <f t="shared" ca="1" si="204"/>
        <v>0</v>
      </c>
      <c r="V94" s="789">
        <f t="shared" ca="1" si="204"/>
        <v>0</v>
      </c>
      <c r="W94" s="789">
        <f t="shared" ca="1" si="204"/>
        <v>0</v>
      </c>
      <c r="X94" s="846">
        <f ca="1">SUM(X91:X93)</f>
        <v>0</v>
      </c>
      <c r="Y94" s="846">
        <f t="shared" ref="Y94:AA94" ca="1" si="205">SUM(Y91:Y93)</f>
        <v>0</v>
      </c>
      <c r="Z94" s="846">
        <f t="shared" ca="1" si="205"/>
        <v>0</v>
      </c>
      <c r="AA94" s="846">
        <f t="shared" ca="1" si="205"/>
        <v>0</v>
      </c>
      <c r="AB94" s="846">
        <f ca="1">SUM(AB91:AB93)</f>
        <v>0</v>
      </c>
      <c r="AC94" s="846">
        <f t="shared" ref="AC94:AE94" ca="1" si="206">SUM(AC91:AC93)</f>
        <v>0</v>
      </c>
      <c r="AD94" s="846">
        <f t="shared" ca="1" si="206"/>
        <v>0</v>
      </c>
      <c r="AE94" s="846">
        <f t="shared" ca="1" si="206"/>
        <v>0</v>
      </c>
      <c r="AF94" s="846">
        <f ca="1">SUM(AF91:AF93)</f>
        <v>0</v>
      </c>
      <c r="AG94" s="846">
        <f t="shared" ref="AG94:AI94" ca="1" si="207">SUM(AG91:AG93)</f>
        <v>0</v>
      </c>
      <c r="AH94" s="846">
        <f t="shared" ca="1" si="207"/>
        <v>0</v>
      </c>
      <c r="AI94" s="846">
        <f t="shared" ca="1" si="207"/>
        <v>0</v>
      </c>
      <c r="AJ94" s="846">
        <f ca="1">SUM(AJ91:AJ93)</f>
        <v>0</v>
      </c>
      <c r="AK94" s="846">
        <f t="shared" ref="AK94:AM94" ca="1" si="208">SUM(AK91:AK93)</f>
        <v>0</v>
      </c>
      <c r="AL94" s="846">
        <f t="shared" ca="1" si="208"/>
        <v>0</v>
      </c>
      <c r="AM94" s="846">
        <f t="shared" ca="1" si="208"/>
        <v>0</v>
      </c>
      <c r="AN94" s="846">
        <f ca="1">SUM(AN91:AN93)</f>
        <v>0</v>
      </c>
      <c r="AO94" s="846">
        <f t="shared" ref="AO94:AQ94" ca="1" si="209">SUM(AO91:AO93)</f>
        <v>0</v>
      </c>
      <c r="AP94" s="846">
        <f t="shared" ca="1" si="209"/>
        <v>0</v>
      </c>
      <c r="AQ94" s="846">
        <f t="shared" ca="1" si="209"/>
        <v>0</v>
      </c>
      <c r="AR94" s="846">
        <f ca="1">SUM(AR91:AR93)</f>
        <v>0</v>
      </c>
      <c r="AS94" s="846">
        <f t="shared" ref="AS94:AU94" ca="1" si="210">SUM(AS91:AS93)</f>
        <v>0</v>
      </c>
      <c r="AT94" s="846">
        <f t="shared" ca="1" si="210"/>
        <v>0</v>
      </c>
      <c r="AU94" s="846">
        <f t="shared" ca="1" si="210"/>
        <v>0</v>
      </c>
      <c r="AV94" s="846">
        <f ca="1">SUM(AV91:AV93)</f>
        <v>0</v>
      </c>
      <c r="AW94" s="846">
        <f t="shared" ref="AW94:AY94" ca="1" si="211">SUM(AW91:AW93)</f>
        <v>0</v>
      </c>
      <c r="AX94" s="846">
        <f t="shared" ca="1" si="211"/>
        <v>0</v>
      </c>
      <c r="AY94" s="846">
        <f t="shared" ca="1" si="211"/>
        <v>0</v>
      </c>
      <c r="AZ94" s="846">
        <f ca="1">SUM(AZ91:AZ93)</f>
        <v>0</v>
      </c>
      <c r="BA94" s="846">
        <f t="shared" ref="BA94:BC94" ca="1" si="212">SUM(BA91:BA93)</f>
        <v>0</v>
      </c>
      <c r="BB94" s="846">
        <f t="shared" ca="1" si="212"/>
        <v>0</v>
      </c>
      <c r="BC94" s="846">
        <f t="shared" ca="1" si="212"/>
        <v>0</v>
      </c>
      <c r="BD94" s="846">
        <f ca="1">SUM(BD91:BD93)</f>
        <v>0</v>
      </c>
      <c r="BE94" s="846">
        <f t="shared" ref="BE94:BG94" ca="1" si="213">SUM(BE91:BE93)</f>
        <v>0</v>
      </c>
      <c r="BF94" s="846">
        <f t="shared" ca="1" si="213"/>
        <v>0</v>
      </c>
      <c r="BG94" s="846">
        <f t="shared" ca="1" si="213"/>
        <v>0</v>
      </c>
      <c r="BH94" s="846">
        <f ca="1">SUM(BH91:BH93)</f>
        <v>0</v>
      </c>
      <c r="BI94" s="846">
        <f t="shared" ref="BI94:BK94" ca="1" si="214">SUM(BI91:BI93)</f>
        <v>0</v>
      </c>
      <c r="BJ94" s="846">
        <f t="shared" ca="1" si="214"/>
        <v>0</v>
      </c>
      <c r="BK94" s="846">
        <f t="shared" ca="1" si="214"/>
        <v>0</v>
      </c>
      <c r="BL94" s="846">
        <f ca="1">SUM(BL91:BL93)</f>
        <v>0</v>
      </c>
      <c r="BM94" s="846">
        <f t="shared" ref="BM94:BO94" ca="1" si="215">SUM(BM91:BM93)</f>
        <v>0</v>
      </c>
      <c r="BN94" s="846">
        <f t="shared" ca="1" si="215"/>
        <v>0</v>
      </c>
      <c r="BO94" s="846">
        <f t="shared" ca="1" si="215"/>
        <v>0</v>
      </c>
      <c r="BP94" s="802"/>
    </row>
    <row r="95" spans="1:68" ht="20.100000000000001" customHeight="1">
      <c r="A95" s="784"/>
      <c r="B95" s="847" t="s">
        <v>816</v>
      </c>
      <c r="C95" s="848"/>
      <c r="D95" s="785"/>
      <c r="E95" s="785" t="s">
        <v>817</v>
      </c>
      <c r="F95" s="810" t="s">
        <v>818</v>
      </c>
      <c r="G95" s="787" t="s">
        <v>347</v>
      </c>
      <c r="H95" s="843"/>
      <c r="I95" s="843"/>
      <c r="J95" s="843"/>
      <c r="K95" s="843"/>
      <c r="L95" s="845">
        <f ca="1">ROUND(L94*0.0258,0)</f>
        <v>0</v>
      </c>
      <c r="M95" s="845">
        <f t="shared" ref="M95:BO95" ca="1" si="216">ROUND(M94*0.0258,0)</f>
        <v>0</v>
      </c>
      <c r="N95" s="845">
        <f t="shared" ca="1" si="216"/>
        <v>0</v>
      </c>
      <c r="O95" s="845">
        <f t="shared" ca="1" si="216"/>
        <v>0</v>
      </c>
      <c r="P95" s="845">
        <f t="shared" ca="1" si="216"/>
        <v>0</v>
      </c>
      <c r="Q95" s="845">
        <f t="shared" ca="1" si="216"/>
        <v>0</v>
      </c>
      <c r="R95" s="845">
        <f t="shared" ca="1" si="216"/>
        <v>0</v>
      </c>
      <c r="S95" s="845">
        <f t="shared" ca="1" si="216"/>
        <v>0</v>
      </c>
      <c r="T95" s="845">
        <f t="shared" ca="1" si="216"/>
        <v>0</v>
      </c>
      <c r="U95" s="845">
        <f t="shared" ca="1" si="216"/>
        <v>0</v>
      </c>
      <c r="V95" s="845">
        <f t="shared" ca="1" si="216"/>
        <v>0</v>
      </c>
      <c r="W95" s="845">
        <f t="shared" ca="1" si="216"/>
        <v>0</v>
      </c>
      <c r="X95" s="845">
        <f t="shared" ca="1" si="216"/>
        <v>0</v>
      </c>
      <c r="Y95" s="845">
        <f t="shared" ca="1" si="216"/>
        <v>0</v>
      </c>
      <c r="Z95" s="845">
        <f t="shared" ca="1" si="216"/>
        <v>0</v>
      </c>
      <c r="AA95" s="845">
        <f t="shared" ca="1" si="216"/>
        <v>0</v>
      </c>
      <c r="AB95" s="845">
        <f t="shared" ca="1" si="216"/>
        <v>0</v>
      </c>
      <c r="AC95" s="845">
        <f t="shared" ca="1" si="216"/>
        <v>0</v>
      </c>
      <c r="AD95" s="845">
        <f t="shared" ca="1" si="216"/>
        <v>0</v>
      </c>
      <c r="AE95" s="845">
        <f t="shared" ca="1" si="216"/>
        <v>0</v>
      </c>
      <c r="AF95" s="845">
        <f t="shared" ca="1" si="216"/>
        <v>0</v>
      </c>
      <c r="AG95" s="845">
        <f t="shared" ca="1" si="216"/>
        <v>0</v>
      </c>
      <c r="AH95" s="845">
        <f t="shared" ca="1" si="216"/>
        <v>0</v>
      </c>
      <c r="AI95" s="845">
        <f t="shared" ca="1" si="216"/>
        <v>0</v>
      </c>
      <c r="AJ95" s="845">
        <f t="shared" ca="1" si="216"/>
        <v>0</v>
      </c>
      <c r="AK95" s="845">
        <f t="shared" ca="1" si="216"/>
        <v>0</v>
      </c>
      <c r="AL95" s="845">
        <f t="shared" ca="1" si="216"/>
        <v>0</v>
      </c>
      <c r="AM95" s="845">
        <f t="shared" ca="1" si="216"/>
        <v>0</v>
      </c>
      <c r="AN95" s="845">
        <f t="shared" ca="1" si="216"/>
        <v>0</v>
      </c>
      <c r="AO95" s="845">
        <f t="shared" ca="1" si="216"/>
        <v>0</v>
      </c>
      <c r="AP95" s="845">
        <f t="shared" ca="1" si="216"/>
        <v>0</v>
      </c>
      <c r="AQ95" s="845">
        <f t="shared" ca="1" si="216"/>
        <v>0</v>
      </c>
      <c r="AR95" s="845">
        <f t="shared" ca="1" si="216"/>
        <v>0</v>
      </c>
      <c r="AS95" s="845">
        <f t="shared" ca="1" si="216"/>
        <v>0</v>
      </c>
      <c r="AT95" s="845">
        <f t="shared" ca="1" si="216"/>
        <v>0</v>
      </c>
      <c r="AU95" s="845">
        <f t="shared" ca="1" si="216"/>
        <v>0</v>
      </c>
      <c r="AV95" s="845">
        <f t="shared" ca="1" si="216"/>
        <v>0</v>
      </c>
      <c r="AW95" s="845">
        <f t="shared" ca="1" si="216"/>
        <v>0</v>
      </c>
      <c r="AX95" s="845">
        <f t="shared" ca="1" si="216"/>
        <v>0</v>
      </c>
      <c r="AY95" s="845">
        <f t="shared" ca="1" si="216"/>
        <v>0</v>
      </c>
      <c r="AZ95" s="845">
        <f t="shared" ca="1" si="216"/>
        <v>0</v>
      </c>
      <c r="BA95" s="845">
        <f t="shared" ca="1" si="216"/>
        <v>0</v>
      </c>
      <c r="BB95" s="845">
        <f t="shared" ca="1" si="216"/>
        <v>0</v>
      </c>
      <c r="BC95" s="845">
        <f t="shared" ca="1" si="216"/>
        <v>0</v>
      </c>
      <c r="BD95" s="845">
        <f t="shared" ca="1" si="216"/>
        <v>0</v>
      </c>
      <c r="BE95" s="845">
        <f t="shared" ca="1" si="216"/>
        <v>0</v>
      </c>
      <c r="BF95" s="845">
        <f t="shared" ca="1" si="216"/>
        <v>0</v>
      </c>
      <c r="BG95" s="845">
        <f t="shared" ca="1" si="216"/>
        <v>0</v>
      </c>
      <c r="BH95" s="845">
        <f t="shared" ca="1" si="216"/>
        <v>0</v>
      </c>
      <c r="BI95" s="845">
        <f t="shared" ca="1" si="216"/>
        <v>0</v>
      </c>
      <c r="BJ95" s="845">
        <f t="shared" ca="1" si="216"/>
        <v>0</v>
      </c>
      <c r="BK95" s="845">
        <f t="shared" ca="1" si="216"/>
        <v>0</v>
      </c>
      <c r="BL95" s="845">
        <f t="shared" ca="1" si="216"/>
        <v>0</v>
      </c>
      <c r="BM95" s="845">
        <f t="shared" ca="1" si="216"/>
        <v>0</v>
      </c>
      <c r="BN95" s="845">
        <f t="shared" ca="1" si="216"/>
        <v>0</v>
      </c>
      <c r="BO95" s="845">
        <f t="shared" ca="1" si="216"/>
        <v>0</v>
      </c>
      <c r="BP95" s="802"/>
    </row>
    <row r="96" spans="1:68" ht="20.100000000000001" customHeight="1">
      <c r="A96" s="784"/>
      <c r="B96" s="1618" t="s">
        <v>343</v>
      </c>
      <c r="C96" s="1618"/>
      <c r="D96" s="813" t="s">
        <v>819</v>
      </c>
      <c r="E96" s="785"/>
      <c r="F96" s="810" t="s">
        <v>820</v>
      </c>
      <c r="G96" s="787" t="s">
        <v>347</v>
      </c>
      <c r="H96" s="843"/>
      <c r="I96" s="843"/>
      <c r="J96" s="843"/>
      <c r="K96" s="843"/>
      <c r="L96" s="845">
        <f ca="1">ROUND((L94-SUMPRODUCT(ROUND((0&amp;L38:L56)*$H38:$H56,0))+SUMPRODUCT(ROUND((0&amp;L38:L56)*0.8*$H38:$H56,0)))*0.0258,0)</f>
        <v>0</v>
      </c>
      <c r="M96" s="845">
        <f ca="1">ROUND((M94-SUMPRODUCT(ROUND((0&amp;M38:M56)*$I38:$I56,0))+SUMPRODUCT(ROUND((0&amp;M38:M56)*0.8*$I38:$I56,0)))*0.0258,0)</f>
        <v>0</v>
      </c>
      <c r="N96" s="845">
        <f ca="1">ROUND((N94-SUMPRODUCT(ROUND((0&amp;N38:N56)*$J38:$J56,0))+SUMPRODUCT(ROUND((0&amp;N38:N56)*0.8*$J38:$J56,0)))*0.0258,0)</f>
        <v>0</v>
      </c>
      <c r="O96" s="845">
        <f ca="1">ROUND((O94-SUMPRODUCT(ROUND((0&amp;O38:O56)*$K38:$K56,0))+SUMPRODUCT(ROUND((0&amp;O38:O56)*0.8*$K38:$K56,0)))*0.0258,0)</f>
        <v>0</v>
      </c>
      <c r="P96" s="845">
        <f t="shared" ref="P96" ca="1" si="217">ROUND((P94-SUMPRODUCT(ROUND((0&amp;P38:P56)*$H38:$H56,0))+SUMPRODUCT(ROUND((0&amp;P38:P56)*0.8*$H38:$H56,0)))*0.0258,0)</f>
        <v>0</v>
      </c>
      <c r="Q96" s="845">
        <f t="shared" ref="Q96" ca="1" si="218">ROUND((Q94-SUMPRODUCT(ROUND((0&amp;Q38:Q56)*$I38:$I56,0))+SUMPRODUCT(ROUND((0&amp;Q38:Q56)*0.8*$I38:$I56,0)))*0.0258,0)</f>
        <v>0</v>
      </c>
      <c r="R96" s="845">
        <f t="shared" ref="R96" ca="1" si="219">ROUND((R94-SUMPRODUCT(ROUND((0&amp;R38:R56)*$J38:$J56,0))+SUMPRODUCT(ROUND((0&amp;R38:R56)*0.8*$J38:$J56,0)))*0.0258,0)</f>
        <v>0</v>
      </c>
      <c r="S96" s="845">
        <f t="shared" ref="S96" ca="1" si="220">ROUND((S94-SUMPRODUCT(ROUND((0&amp;S38:S56)*$K38:$K56,0))+SUMPRODUCT(ROUND((0&amp;S38:S56)*0.8*$K38:$K56,0)))*0.0258,0)</f>
        <v>0</v>
      </c>
      <c r="T96" s="845">
        <f t="shared" ref="T96" ca="1" si="221">ROUND((T94-SUMPRODUCT(ROUND((0&amp;T38:T56)*$H38:$H56,0))+SUMPRODUCT(ROUND((0&amp;T38:T56)*0.8*$H38:$H56,0)))*0.0258,0)</f>
        <v>0</v>
      </c>
      <c r="U96" s="845">
        <f t="shared" ref="U96" ca="1" si="222">ROUND((U94-SUMPRODUCT(ROUND((0&amp;U38:U56)*$I38:$I56,0))+SUMPRODUCT(ROUND((0&amp;U38:U56)*0.8*$I38:$I56,0)))*0.0258,0)</f>
        <v>0</v>
      </c>
      <c r="V96" s="845">
        <f t="shared" ref="V96" ca="1" si="223">ROUND((V94-SUMPRODUCT(ROUND((0&amp;V38:V56)*$J38:$J56,0))+SUMPRODUCT(ROUND((0&amp;V38:V56)*0.8*$J38:$J56,0)))*0.0258,0)</f>
        <v>0</v>
      </c>
      <c r="W96" s="845">
        <f t="shared" ref="W96" ca="1" si="224">ROUND((W94-SUMPRODUCT(ROUND((0&amp;W38:W56)*$K38:$K56,0))+SUMPRODUCT(ROUND((0&amp;W38:W56)*0.8*$K38:$K56,0)))*0.0258,0)</f>
        <v>0</v>
      </c>
      <c r="X96" s="845">
        <f t="shared" ref="X96" ca="1" si="225">ROUND((X94-SUMPRODUCT(ROUND((0&amp;X38:X56)*$H38:$H56,0))+SUMPRODUCT(ROUND((0&amp;X38:X56)*0.8*$H38:$H56,0)))*0.0258,0)</f>
        <v>0</v>
      </c>
      <c r="Y96" s="845">
        <f t="shared" ref="Y96" ca="1" si="226">ROUND((Y94-SUMPRODUCT(ROUND((0&amp;Y38:Y56)*$I38:$I56,0))+SUMPRODUCT(ROUND((0&amp;Y38:Y56)*0.8*$I38:$I56,0)))*0.0258,0)</f>
        <v>0</v>
      </c>
      <c r="Z96" s="845">
        <f t="shared" ref="Z96" ca="1" si="227">ROUND((Z94-SUMPRODUCT(ROUND((0&amp;Z38:Z56)*$J38:$J56,0))+SUMPRODUCT(ROUND((0&amp;Z38:Z56)*0.8*$J38:$J56,0)))*0.0258,0)</f>
        <v>0</v>
      </c>
      <c r="AA96" s="845">
        <f t="shared" ref="AA96" ca="1" si="228">ROUND((AA94-SUMPRODUCT(ROUND((0&amp;AA38:AA56)*$K38:$K56,0))+SUMPRODUCT(ROUND((0&amp;AA38:AA56)*0.8*$K38:$K56,0)))*0.0258,0)</f>
        <v>0</v>
      </c>
      <c r="AB96" s="845">
        <f t="shared" ref="AB96" ca="1" si="229">ROUND((AB94-SUMPRODUCT(ROUND((0&amp;AB38:AB56)*$H38:$H56,0))+SUMPRODUCT(ROUND((0&amp;AB38:AB56)*0.8*$H38:$H56,0)))*0.0258,0)</f>
        <v>0</v>
      </c>
      <c r="AC96" s="845">
        <f t="shared" ref="AC96" ca="1" si="230">ROUND((AC94-SUMPRODUCT(ROUND((0&amp;AC38:AC56)*$I38:$I56,0))+SUMPRODUCT(ROUND((0&amp;AC38:AC56)*0.8*$I38:$I56,0)))*0.0258,0)</f>
        <v>0</v>
      </c>
      <c r="AD96" s="845">
        <f t="shared" ref="AD96" ca="1" si="231">ROUND((AD94-SUMPRODUCT(ROUND((0&amp;AD38:AD56)*$J38:$J56,0))+SUMPRODUCT(ROUND((0&amp;AD38:AD56)*0.8*$J38:$J56,0)))*0.0258,0)</f>
        <v>0</v>
      </c>
      <c r="AE96" s="845">
        <f t="shared" ref="AE96" ca="1" si="232">ROUND((AE94-SUMPRODUCT(ROUND((0&amp;AE38:AE56)*$K38:$K56,0))+SUMPRODUCT(ROUND((0&amp;AE38:AE56)*0.8*$K38:$K56,0)))*0.0258,0)</f>
        <v>0</v>
      </c>
      <c r="AF96" s="845">
        <f t="shared" ref="AF96" ca="1" si="233">ROUND((AF94-SUMPRODUCT(ROUND((0&amp;AF38:AF56)*$H38:$H56,0))+SUMPRODUCT(ROUND((0&amp;AF38:AF56)*0.8*$H38:$H56,0)))*0.0258,0)</f>
        <v>0</v>
      </c>
      <c r="AG96" s="845">
        <f t="shared" ref="AG96" ca="1" si="234">ROUND((AG94-SUMPRODUCT(ROUND((0&amp;AG38:AG56)*$I38:$I56,0))+SUMPRODUCT(ROUND((0&amp;AG38:AG56)*0.8*$I38:$I56,0)))*0.0258,0)</f>
        <v>0</v>
      </c>
      <c r="AH96" s="845">
        <f t="shared" ref="AH96" ca="1" si="235">ROUND((AH94-SUMPRODUCT(ROUND((0&amp;AH38:AH56)*$J38:$J56,0))+SUMPRODUCT(ROUND((0&amp;AH38:AH56)*0.8*$J38:$J56,0)))*0.0258,0)</f>
        <v>0</v>
      </c>
      <c r="AI96" s="845">
        <f t="shared" ref="AI96" ca="1" si="236">ROUND((AI94-SUMPRODUCT(ROUND((0&amp;AI38:AI56)*$K38:$K56,0))+SUMPRODUCT(ROUND((0&amp;AI38:AI56)*0.8*$K38:$K56,0)))*0.0258,0)</f>
        <v>0</v>
      </c>
      <c r="AJ96" s="845">
        <f t="shared" ref="AJ96" ca="1" si="237">ROUND((AJ94-SUMPRODUCT(ROUND((0&amp;AJ38:AJ56)*$H38:$H56,0))+SUMPRODUCT(ROUND((0&amp;AJ38:AJ56)*0.8*$H38:$H56,0)))*0.0258,0)</f>
        <v>0</v>
      </c>
      <c r="AK96" s="845">
        <f t="shared" ref="AK96" ca="1" si="238">ROUND((AK94-SUMPRODUCT(ROUND((0&amp;AK38:AK56)*$I38:$I56,0))+SUMPRODUCT(ROUND((0&amp;AK38:AK56)*0.8*$I38:$I56,0)))*0.0258,0)</f>
        <v>0</v>
      </c>
      <c r="AL96" s="845">
        <f t="shared" ref="AL96" ca="1" si="239">ROUND((AL94-SUMPRODUCT(ROUND((0&amp;AL38:AL56)*$J38:$J56,0))+SUMPRODUCT(ROUND((0&amp;AL38:AL56)*0.8*$J38:$J56,0)))*0.0258,0)</f>
        <v>0</v>
      </c>
      <c r="AM96" s="845">
        <f t="shared" ref="AM96" ca="1" si="240">ROUND((AM94-SUMPRODUCT(ROUND((0&amp;AM38:AM56)*$K38:$K56,0))+SUMPRODUCT(ROUND((0&amp;AM38:AM56)*0.8*$K38:$K56,0)))*0.0258,0)</f>
        <v>0</v>
      </c>
      <c r="AN96" s="845">
        <f t="shared" ref="AN96" ca="1" si="241">ROUND((AN94-SUMPRODUCT(ROUND((0&amp;AN38:AN56)*$H38:$H56,0))+SUMPRODUCT(ROUND((0&amp;AN38:AN56)*0.8*$H38:$H56,0)))*0.0258,0)</f>
        <v>0</v>
      </c>
      <c r="AO96" s="845">
        <f t="shared" ref="AO96" ca="1" si="242">ROUND((AO94-SUMPRODUCT(ROUND((0&amp;AO38:AO56)*$I38:$I56,0))+SUMPRODUCT(ROUND((0&amp;AO38:AO56)*0.8*$I38:$I56,0)))*0.0258,0)</f>
        <v>0</v>
      </c>
      <c r="AP96" s="845">
        <f t="shared" ref="AP96" ca="1" si="243">ROUND((AP94-SUMPRODUCT(ROUND((0&amp;AP38:AP56)*$J38:$J56,0))+SUMPRODUCT(ROUND((0&amp;AP38:AP56)*0.8*$J38:$J56,0)))*0.0258,0)</f>
        <v>0</v>
      </c>
      <c r="AQ96" s="845">
        <f t="shared" ref="AQ96" ca="1" si="244">ROUND((AQ94-SUMPRODUCT(ROUND((0&amp;AQ38:AQ56)*$K38:$K56,0))+SUMPRODUCT(ROUND((0&amp;AQ38:AQ56)*0.8*$K38:$K56,0)))*0.0258,0)</f>
        <v>0</v>
      </c>
      <c r="AR96" s="845">
        <f t="shared" ref="AR96" ca="1" si="245">ROUND((AR94-SUMPRODUCT(ROUND((0&amp;AR38:AR56)*$H38:$H56,0))+SUMPRODUCT(ROUND((0&amp;AR38:AR56)*0.8*$H38:$H56,0)))*0.0258,0)</f>
        <v>0</v>
      </c>
      <c r="AS96" s="845">
        <f t="shared" ref="AS96" ca="1" si="246">ROUND((AS94-SUMPRODUCT(ROUND((0&amp;AS38:AS56)*$I38:$I56,0))+SUMPRODUCT(ROUND((0&amp;AS38:AS56)*0.8*$I38:$I56,0)))*0.0258,0)</f>
        <v>0</v>
      </c>
      <c r="AT96" s="845">
        <f t="shared" ref="AT96" ca="1" si="247">ROUND((AT94-SUMPRODUCT(ROUND((0&amp;AT38:AT56)*$J38:$J56,0))+SUMPRODUCT(ROUND((0&amp;AT38:AT56)*0.8*$J38:$J56,0)))*0.0258,0)</f>
        <v>0</v>
      </c>
      <c r="AU96" s="845">
        <f t="shared" ref="AU96" ca="1" si="248">ROUND((AU94-SUMPRODUCT(ROUND((0&amp;AU38:AU56)*$K38:$K56,0))+SUMPRODUCT(ROUND((0&amp;AU38:AU56)*0.8*$K38:$K56,0)))*0.0258,0)</f>
        <v>0</v>
      </c>
      <c r="AV96" s="845">
        <f t="shared" ref="AV96" ca="1" si="249">ROUND((AV94-SUMPRODUCT(ROUND((0&amp;AV38:AV56)*$H38:$H56,0))+SUMPRODUCT(ROUND((0&amp;AV38:AV56)*0.8*$H38:$H56,0)))*0.0258,0)</f>
        <v>0</v>
      </c>
      <c r="AW96" s="845">
        <f t="shared" ref="AW96" ca="1" si="250">ROUND((AW94-SUMPRODUCT(ROUND((0&amp;AW38:AW56)*$I38:$I56,0))+SUMPRODUCT(ROUND((0&amp;AW38:AW56)*0.8*$I38:$I56,0)))*0.0258,0)</f>
        <v>0</v>
      </c>
      <c r="AX96" s="845">
        <f t="shared" ref="AX96" ca="1" si="251">ROUND((AX94-SUMPRODUCT(ROUND((0&amp;AX38:AX56)*$J38:$J56,0))+SUMPRODUCT(ROUND((0&amp;AX38:AX56)*0.8*$J38:$J56,0)))*0.0258,0)</f>
        <v>0</v>
      </c>
      <c r="AY96" s="845">
        <f t="shared" ref="AY96" ca="1" si="252">ROUND((AY94-SUMPRODUCT(ROUND((0&amp;AY38:AY56)*$K38:$K56,0))+SUMPRODUCT(ROUND((0&amp;AY38:AY56)*0.8*$K38:$K56,0)))*0.0258,0)</f>
        <v>0</v>
      </c>
      <c r="AZ96" s="845">
        <f t="shared" ref="AZ96" ca="1" si="253">ROUND((AZ94-SUMPRODUCT(ROUND((0&amp;AZ38:AZ56)*$H38:$H56,0))+SUMPRODUCT(ROUND((0&amp;AZ38:AZ56)*0.8*$H38:$H56,0)))*0.0258,0)</f>
        <v>0</v>
      </c>
      <c r="BA96" s="845">
        <f t="shared" ref="BA96" ca="1" si="254">ROUND((BA94-SUMPRODUCT(ROUND((0&amp;BA38:BA56)*$I38:$I56,0))+SUMPRODUCT(ROUND((0&amp;BA38:BA56)*0.8*$I38:$I56,0)))*0.0258,0)</f>
        <v>0</v>
      </c>
      <c r="BB96" s="845">
        <f t="shared" ref="BB96" ca="1" si="255">ROUND((BB94-SUMPRODUCT(ROUND((0&amp;BB38:BB56)*$J38:$J56,0))+SUMPRODUCT(ROUND((0&amp;BB38:BB56)*0.8*$J38:$J56,0)))*0.0258,0)</f>
        <v>0</v>
      </c>
      <c r="BC96" s="845">
        <f t="shared" ref="BC96" ca="1" si="256">ROUND((BC94-SUMPRODUCT(ROUND((0&amp;BC38:BC56)*$K38:$K56,0))+SUMPRODUCT(ROUND((0&amp;BC38:BC56)*0.8*$K38:$K56,0)))*0.0258,0)</f>
        <v>0</v>
      </c>
      <c r="BD96" s="845">
        <f t="shared" ref="BD96" ca="1" si="257">ROUND((BD94-SUMPRODUCT(ROUND((0&amp;BD38:BD56)*$H38:$H56,0))+SUMPRODUCT(ROUND((0&amp;BD38:BD56)*0.8*$H38:$H56,0)))*0.0258,0)</f>
        <v>0</v>
      </c>
      <c r="BE96" s="845">
        <f t="shared" ref="BE96" ca="1" si="258">ROUND((BE94-SUMPRODUCT(ROUND((0&amp;BE38:BE56)*$I38:$I56,0))+SUMPRODUCT(ROUND((0&amp;BE38:BE56)*0.8*$I38:$I56,0)))*0.0258,0)</f>
        <v>0</v>
      </c>
      <c r="BF96" s="845">
        <f t="shared" ref="BF96" ca="1" si="259">ROUND((BF94-SUMPRODUCT(ROUND((0&amp;BF38:BF56)*$J38:$J56,0))+SUMPRODUCT(ROUND((0&amp;BF38:BF56)*0.8*$J38:$J56,0)))*0.0258,0)</f>
        <v>0</v>
      </c>
      <c r="BG96" s="845">
        <f t="shared" ref="BG96" ca="1" si="260">ROUND((BG94-SUMPRODUCT(ROUND((0&amp;BG38:BG56)*$K38:$K56,0))+SUMPRODUCT(ROUND((0&amp;BG38:BG56)*0.8*$K38:$K56,0)))*0.0258,0)</f>
        <v>0</v>
      </c>
      <c r="BH96" s="845">
        <f t="shared" ref="BH96" ca="1" si="261">ROUND((BH94-SUMPRODUCT(ROUND((0&amp;BH38:BH56)*$H38:$H56,0))+SUMPRODUCT(ROUND((0&amp;BH38:BH56)*0.8*$H38:$H56,0)))*0.0258,0)</f>
        <v>0</v>
      </c>
      <c r="BI96" s="845">
        <f t="shared" ref="BI96" ca="1" si="262">ROUND((BI94-SUMPRODUCT(ROUND((0&amp;BI38:BI56)*$I38:$I56,0))+SUMPRODUCT(ROUND((0&amp;BI38:BI56)*0.8*$I38:$I56,0)))*0.0258,0)</f>
        <v>0</v>
      </c>
      <c r="BJ96" s="845">
        <f t="shared" ref="BJ96" ca="1" si="263">ROUND((BJ94-SUMPRODUCT(ROUND((0&amp;BJ38:BJ56)*$J38:$J56,0))+SUMPRODUCT(ROUND((0&amp;BJ38:BJ56)*0.8*$J38:$J56,0)))*0.0258,0)</f>
        <v>0</v>
      </c>
      <c r="BK96" s="845">
        <f t="shared" ref="BK96" ca="1" si="264">ROUND((BK94-SUMPRODUCT(ROUND((0&amp;BK38:BK56)*$K38:$K56,0))+SUMPRODUCT(ROUND((0&amp;BK38:BK56)*0.8*$K38:$K56,0)))*0.0258,0)</f>
        <v>0</v>
      </c>
      <c r="BL96" s="845">
        <f t="shared" ref="BL96" ca="1" si="265">ROUND((BL94-SUMPRODUCT(ROUND((0&amp;BL38:BL56)*$H38:$H56,0))+SUMPRODUCT(ROUND((0&amp;BL38:BL56)*0.8*$H38:$H56,0)))*0.0258,0)</f>
        <v>0</v>
      </c>
      <c r="BM96" s="845">
        <f t="shared" ref="BM96" ca="1" si="266">ROUND((BM94-SUMPRODUCT(ROUND((0&amp;BM38:BM56)*$I38:$I56,0))+SUMPRODUCT(ROUND((0&amp;BM38:BM56)*0.8*$I38:$I56,0)))*0.0258,0)</f>
        <v>0</v>
      </c>
      <c r="BN96" s="845">
        <f t="shared" ref="BN96" ca="1" si="267">ROUND((BN94-SUMPRODUCT(ROUND((0&amp;BN38:BN56)*$J38:$J56,0))+SUMPRODUCT(ROUND((0&amp;BN38:BN56)*0.8*$J38:$J56,0)))*0.0258,0)</f>
        <v>0</v>
      </c>
      <c r="BO96" s="845">
        <f t="shared" ref="BO96" ca="1" si="268">ROUND((BO94-SUMPRODUCT(ROUND((0&amp;BO38:BO56)*$K38:$K56,0))+SUMPRODUCT(ROUND((0&amp;BO38:BO56)*0.8*$K38:$K56,0)))*0.0258,0)</f>
        <v>0</v>
      </c>
      <c r="BP96" s="802"/>
    </row>
    <row r="97" spans="1:68" ht="19.5" customHeight="1">
      <c r="A97" s="784"/>
      <c r="B97" s="1618"/>
      <c r="C97" s="1618"/>
      <c r="D97" s="849" t="s">
        <v>821</v>
      </c>
      <c r="E97" s="850"/>
      <c r="F97" s="851" t="s">
        <v>822</v>
      </c>
      <c r="G97" s="852" t="s">
        <v>562</v>
      </c>
      <c r="H97" s="843"/>
      <c r="I97" s="843"/>
      <c r="J97" s="843"/>
      <c r="K97" s="843"/>
      <c r="L97" s="845">
        <f t="shared" ref="L97:O97" ca="1" si="269">L344</f>
        <v>0</v>
      </c>
      <c r="M97" s="845">
        <f t="shared" ca="1" si="269"/>
        <v>0</v>
      </c>
      <c r="N97" s="845">
        <f t="shared" ca="1" si="269"/>
        <v>0</v>
      </c>
      <c r="O97" s="845">
        <f t="shared" ca="1" si="269"/>
        <v>0</v>
      </c>
      <c r="P97" s="789">
        <f ca="1">P344</f>
        <v>0</v>
      </c>
      <c r="Q97" s="789">
        <f t="shared" ref="Q97:W97" ca="1" si="270">Q344</f>
        <v>0</v>
      </c>
      <c r="R97" s="789">
        <f t="shared" ca="1" si="270"/>
        <v>0</v>
      </c>
      <c r="S97" s="789">
        <f t="shared" ca="1" si="270"/>
        <v>0</v>
      </c>
      <c r="T97" s="845">
        <f t="shared" ca="1" si="270"/>
        <v>0</v>
      </c>
      <c r="U97" s="845">
        <f t="shared" ca="1" si="270"/>
        <v>0</v>
      </c>
      <c r="V97" s="845">
        <f t="shared" ca="1" si="270"/>
        <v>0</v>
      </c>
      <c r="W97" s="845">
        <f t="shared" ca="1" si="270"/>
        <v>0</v>
      </c>
      <c r="X97" s="789">
        <f ca="1">X344</f>
        <v>0</v>
      </c>
      <c r="Y97" s="789">
        <f t="shared" ref="Y97:BO97" ca="1" si="271">Y344</f>
        <v>0</v>
      </c>
      <c r="Z97" s="789">
        <f t="shared" ca="1" si="271"/>
        <v>0</v>
      </c>
      <c r="AA97" s="789">
        <f t="shared" ca="1" si="271"/>
        <v>0</v>
      </c>
      <c r="AB97" s="789">
        <f t="shared" ca="1" si="271"/>
        <v>0</v>
      </c>
      <c r="AC97" s="789">
        <f t="shared" ca="1" si="271"/>
        <v>0</v>
      </c>
      <c r="AD97" s="789">
        <f t="shared" ca="1" si="271"/>
        <v>0</v>
      </c>
      <c r="AE97" s="789">
        <f t="shared" ca="1" si="271"/>
        <v>0</v>
      </c>
      <c r="AF97" s="789">
        <f t="shared" ca="1" si="271"/>
        <v>0</v>
      </c>
      <c r="AG97" s="789">
        <f t="shared" ca="1" si="271"/>
        <v>0</v>
      </c>
      <c r="AH97" s="789">
        <f t="shared" ca="1" si="271"/>
        <v>0</v>
      </c>
      <c r="AI97" s="789">
        <f t="shared" ca="1" si="271"/>
        <v>0</v>
      </c>
      <c r="AJ97" s="789">
        <f t="shared" ca="1" si="271"/>
        <v>0</v>
      </c>
      <c r="AK97" s="789">
        <f t="shared" ca="1" si="271"/>
        <v>0</v>
      </c>
      <c r="AL97" s="789">
        <f t="shared" ca="1" si="271"/>
        <v>0</v>
      </c>
      <c r="AM97" s="789">
        <f t="shared" ca="1" si="271"/>
        <v>0</v>
      </c>
      <c r="AN97" s="789">
        <f t="shared" ca="1" si="271"/>
        <v>0</v>
      </c>
      <c r="AO97" s="789">
        <f t="shared" ca="1" si="271"/>
        <v>0</v>
      </c>
      <c r="AP97" s="789">
        <f t="shared" ca="1" si="271"/>
        <v>0</v>
      </c>
      <c r="AQ97" s="789">
        <f t="shared" ca="1" si="271"/>
        <v>0</v>
      </c>
      <c r="AR97" s="789">
        <f t="shared" ca="1" si="271"/>
        <v>0</v>
      </c>
      <c r="AS97" s="789">
        <f t="shared" ca="1" si="271"/>
        <v>0</v>
      </c>
      <c r="AT97" s="789">
        <f t="shared" ca="1" si="271"/>
        <v>0</v>
      </c>
      <c r="AU97" s="789">
        <f t="shared" ca="1" si="271"/>
        <v>0</v>
      </c>
      <c r="AV97" s="789">
        <f t="shared" ca="1" si="271"/>
        <v>0</v>
      </c>
      <c r="AW97" s="789">
        <f t="shared" ca="1" si="271"/>
        <v>0</v>
      </c>
      <c r="AX97" s="789">
        <f t="shared" ca="1" si="271"/>
        <v>0</v>
      </c>
      <c r="AY97" s="789">
        <f t="shared" ca="1" si="271"/>
        <v>0</v>
      </c>
      <c r="AZ97" s="789">
        <f t="shared" ca="1" si="271"/>
        <v>0</v>
      </c>
      <c r="BA97" s="789">
        <f t="shared" ca="1" si="271"/>
        <v>0</v>
      </c>
      <c r="BB97" s="789">
        <f t="shared" ca="1" si="271"/>
        <v>0</v>
      </c>
      <c r="BC97" s="789">
        <f t="shared" ca="1" si="271"/>
        <v>0</v>
      </c>
      <c r="BD97" s="789">
        <f t="shared" ca="1" si="271"/>
        <v>0</v>
      </c>
      <c r="BE97" s="789">
        <f t="shared" ca="1" si="271"/>
        <v>0</v>
      </c>
      <c r="BF97" s="789">
        <f t="shared" ca="1" si="271"/>
        <v>0</v>
      </c>
      <c r="BG97" s="789">
        <f t="shared" ca="1" si="271"/>
        <v>0</v>
      </c>
      <c r="BH97" s="789">
        <f t="shared" ca="1" si="271"/>
        <v>0</v>
      </c>
      <c r="BI97" s="789">
        <f t="shared" ca="1" si="271"/>
        <v>0</v>
      </c>
      <c r="BJ97" s="789">
        <f t="shared" ca="1" si="271"/>
        <v>0</v>
      </c>
      <c r="BK97" s="789">
        <f t="shared" ca="1" si="271"/>
        <v>0</v>
      </c>
      <c r="BL97" s="789">
        <f t="shared" ca="1" si="271"/>
        <v>0</v>
      </c>
      <c r="BM97" s="789">
        <f t="shared" ca="1" si="271"/>
        <v>0</v>
      </c>
      <c r="BN97" s="789">
        <f t="shared" ca="1" si="271"/>
        <v>0</v>
      </c>
      <c r="BO97" s="789">
        <f t="shared" ca="1" si="271"/>
        <v>0</v>
      </c>
      <c r="BP97" s="802"/>
    </row>
    <row r="98" spans="1:68">
      <c r="A98" s="784"/>
      <c r="B98" s="1618"/>
      <c r="C98" s="1618"/>
      <c r="D98" s="849" t="s">
        <v>823</v>
      </c>
      <c r="E98" s="850"/>
      <c r="F98" s="851" t="s">
        <v>824</v>
      </c>
      <c r="G98" s="852" t="s">
        <v>562</v>
      </c>
      <c r="H98" s="843"/>
      <c r="I98" s="843"/>
      <c r="J98" s="843"/>
      <c r="K98" s="843"/>
      <c r="L98" s="845">
        <f t="shared" ref="L98:O98" ca="1" si="272">L431</f>
        <v>0</v>
      </c>
      <c r="M98" s="845">
        <f t="shared" ca="1" si="272"/>
        <v>0</v>
      </c>
      <c r="N98" s="845">
        <f t="shared" ca="1" si="272"/>
        <v>0</v>
      </c>
      <c r="O98" s="845">
        <f t="shared" ca="1" si="272"/>
        <v>0</v>
      </c>
      <c r="P98" s="789">
        <f ca="1">P431</f>
        <v>0</v>
      </c>
      <c r="Q98" s="789">
        <f t="shared" ref="Q98:W98" ca="1" si="273">Q431</f>
        <v>0</v>
      </c>
      <c r="R98" s="789">
        <f t="shared" ca="1" si="273"/>
        <v>0</v>
      </c>
      <c r="S98" s="789">
        <f t="shared" ca="1" si="273"/>
        <v>0</v>
      </c>
      <c r="T98" s="845">
        <f t="shared" ca="1" si="273"/>
        <v>0</v>
      </c>
      <c r="U98" s="845">
        <f t="shared" ca="1" si="273"/>
        <v>0</v>
      </c>
      <c r="V98" s="845">
        <f t="shared" ca="1" si="273"/>
        <v>0</v>
      </c>
      <c r="W98" s="845">
        <f t="shared" ca="1" si="273"/>
        <v>0</v>
      </c>
      <c r="X98" s="789">
        <f ca="1">X431</f>
        <v>0</v>
      </c>
      <c r="Y98" s="789">
        <f t="shared" ref="Y98:BO98" ca="1" si="274">Y431</f>
        <v>0</v>
      </c>
      <c r="Z98" s="789">
        <f t="shared" ca="1" si="274"/>
        <v>0</v>
      </c>
      <c r="AA98" s="789">
        <f t="shared" ca="1" si="274"/>
        <v>0</v>
      </c>
      <c r="AB98" s="789">
        <f t="shared" ca="1" si="274"/>
        <v>0</v>
      </c>
      <c r="AC98" s="789">
        <f t="shared" ca="1" si="274"/>
        <v>0</v>
      </c>
      <c r="AD98" s="789">
        <f t="shared" ca="1" si="274"/>
        <v>0</v>
      </c>
      <c r="AE98" s="789">
        <f t="shared" ca="1" si="274"/>
        <v>0</v>
      </c>
      <c r="AF98" s="789">
        <f t="shared" ca="1" si="274"/>
        <v>0</v>
      </c>
      <c r="AG98" s="789">
        <f t="shared" ca="1" si="274"/>
        <v>0</v>
      </c>
      <c r="AH98" s="789">
        <f t="shared" ca="1" si="274"/>
        <v>0</v>
      </c>
      <c r="AI98" s="789">
        <f t="shared" ca="1" si="274"/>
        <v>0</v>
      </c>
      <c r="AJ98" s="789">
        <f t="shared" ca="1" si="274"/>
        <v>0</v>
      </c>
      <c r="AK98" s="789">
        <f t="shared" ca="1" si="274"/>
        <v>0</v>
      </c>
      <c r="AL98" s="789">
        <f t="shared" ca="1" si="274"/>
        <v>0</v>
      </c>
      <c r="AM98" s="789">
        <f t="shared" ca="1" si="274"/>
        <v>0</v>
      </c>
      <c r="AN98" s="789">
        <f t="shared" ca="1" si="274"/>
        <v>0</v>
      </c>
      <c r="AO98" s="789">
        <f t="shared" ca="1" si="274"/>
        <v>0</v>
      </c>
      <c r="AP98" s="789">
        <f t="shared" ca="1" si="274"/>
        <v>0</v>
      </c>
      <c r="AQ98" s="789">
        <f t="shared" ca="1" si="274"/>
        <v>0</v>
      </c>
      <c r="AR98" s="789">
        <f t="shared" ca="1" si="274"/>
        <v>0</v>
      </c>
      <c r="AS98" s="789">
        <f t="shared" ca="1" si="274"/>
        <v>0</v>
      </c>
      <c r="AT98" s="789">
        <f t="shared" ca="1" si="274"/>
        <v>0</v>
      </c>
      <c r="AU98" s="789">
        <f t="shared" ca="1" si="274"/>
        <v>0</v>
      </c>
      <c r="AV98" s="789">
        <f t="shared" ca="1" si="274"/>
        <v>0</v>
      </c>
      <c r="AW98" s="789">
        <f t="shared" ca="1" si="274"/>
        <v>0</v>
      </c>
      <c r="AX98" s="789">
        <f t="shared" ca="1" si="274"/>
        <v>0</v>
      </c>
      <c r="AY98" s="789">
        <f t="shared" ca="1" si="274"/>
        <v>0</v>
      </c>
      <c r="AZ98" s="789">
        <f t="shared" ca="1" si="274"/>
        <v>0</v>
      </c>
      <c r="BA98" s="789">
        <f t="shared" ca="1" si="274"/>
        <v>0</v>
      </c>
      <c r="BB98" s="789">
        <f t="shared" ca="1" si="274"/>
        <v>0</v>
      </c>
      <c r="BC98" s="789">
        <f t="shared" ca="1" si="274"/>
        <v>0</v>
      </c>
      <c r="BD98" s="789">
        <f t="shared" ca="1" si="274"/>
        <v>0</v>
      </c>
      <c r="BE98" s="789">
        <f t="shared" ca="1" si="274"/>
        <v>0</v>
      </c>
      <c r="BF98" s="789">
        <f t="shared" ca="1" si="274"/>
        <v>0</v>
      </c>
      <c r="BG98" s="789">
        <f t="shared" ca="1" si="274"/>
        <v>0</v>
      </c>
      <c r="BH98" s="789">
        <f t="shared" ca="1" si="274"/>
        <v>0</v>
      </c>
      <c r="BI98" s="789">
        <f t="shared" ca="1" si="274"/>
        <v>0</v>
      </c>
      <c r="BJ98" s="789">
        <f t="shared" ca="1" si="274"/>
        <v>0</v>
      </c>
      <c r="BK98" s="789">
        <f t="shared" ca="1" si="274"/>
        <v>0</v>
      </c>
      <c r="BL98" s="789">
        <f t="shared" ca="1" si="274"/>
        <v>0</v>
      </c>
      <c r="BM98" s="789">
        <f t="shared" ca="1" si="274"/>
        <v>0</v>
      </c>
      <c r="BN98" s="789">
        <f t="shared" ca="1" si="274"/>
        <v>0</v>
      </c>
      <c r="BO98" s="789">
        <f t="shared" ca="1" si="274"/>
        <v>0</v>
      </c>
      <c r="BP98" s="802"/>
    </row>
    <row r="99" spans="1:68">
      <c r="A99" s="784"/>
      <c r="B99" s="1618"/>
      <c r="C99" s="1618"/>
      <c r="D99" s="849" t="s">
        <v>825</v>
      </c>
      <c r="E99" s="853"/>
      <c r="F99" s="851" t="s">
        <v>826</v>
      </c>
      <c r="G99" s="852" t="s">
        <v>562</v>
      </c>
      <c r="H99" s="843"/>
      <c r="I99" s="843"/>
      <c r="J99" s="843"/>
      <c r="K99" s="843"/>
      <c r="L99" s="844">
        <f t="shared" ref="L99:O99" ca="1" si="275">L96-L97-L98</f>
        <v>0</v>
      </c>
      <c r="M99" s="844">
        <f t="shared" ca="1" si="275"/>
        <v>0</v>
      </c>
      <c r="N99" s="844">
        <f t="shared" ca="1" si="275"/>
        <v>0</v>
      </c>
      <c r="O99" s="844">
        <f t="shared" ca="1" si="275"/>
        <v>0</v>
      </c>
      <c r="P99" s="846">
        <f ca="1">P96-P97-P98</f>
        <v>0</v>
      </c>
      <c r="Q99" s="846">
        <f t="shared" ref="Q99:W99" ca="1" si="276">Q96-Q97-Q98</f>
        <v>0</v>
      </c>
      <c r="R99" s="846">
        <f t="shared" ca="1" si="276"/>
        <v>0</v>
      </c>
      <c r="S99" s="846">
        <f t="shared" ca="1" si="276"/>
        <v>0</v>
      </c>
      <c r="T99" s="844">
        <f t="shared" ca="1" si="276"/>
        <v>0</v>
      </c>
      <c r="U99" s="844">
        <f t="shared" ca="1" si="276"/>
        <v>0</v>
      </c>
      <c r="V99" s="844">
        <f t="shared" ca="1" si="276"/>
        <v>0</v>
      </c>
      <c r="W99" s="844">
        <f t="shared" ca="1" si="276"/>
        <v>0</v>
      </c>
      <c r="X99" s="846">
        <f ca="1">X96-X97-X98</f>
        <v>0</v>
      </c>
      <c r="Y99" s="846">
        <f t="shared" ref="Y99:BO99" ca="1" si="277">Y96-Y97-Y98</f>
        <v>0</v>
      </c>
      <c r="Z99" s="846">
        <f t="shared" ca="1" si="277"/>
        <v>0</v>
      </c>
      <c r="AA99" s="846">
        <f t="shared" ca="1" si="277"/>
        <v>0</v>
      </c>
      <c r="AB99" s="846">
        <f t="shared" ca="1" si="277"/>
        <v>0</v>
      </c>
      <c r="AC99" s="846">
        <f t="shared" ca="1" si="277"/>
        <v>0</v>
      </c>
      <c r="AD99" s="846">
        <f t="shared" ca="1" si="277"/>
        <v>0</v>
      </c>
      <c r="AE99" s="846">
        <f t="shared" ca="1" si="277"/>
        <v>0</v>
      </c>
      <c r="AF99" s="846">
        <f t="shared" ca="1" si="277"/>
        <v>0</v>
      </c>
      <c r="AG99" s="846">
        <f t="shared" ca="1" si="277"/>
        <v>0</v>
      </c>
      <c r="AH99" s="846">
        <f t="shared" ca="1" si="277"/>
        <v>0</v>
      </c>
      <c r="AI99" s="846">
        <f t="shared" ca="1" si="277"/>
        <v>0</v>
      </c>
      <c r="AJ99" s="846">
        <f t="shared" ca="1" si="277"/>
        <v>0</v>
      </c>
      <c r="AK99" s="846">
        <f t="shared" ca="1" si="277"/>
        <v>0</v>
      </c>
      <c r="AL99" s="846">
        <f t="shared" ca="1" si="277"/>
        <v>0</v>
      </c>
      <c r="AM99" s="846">
        <f t="shared" ca="1" si="277"/>
        <v>0</v>
      </c>
      <c r="AN99" s="846">
        <f t="shared" ca="1" si="277"/>
        <v>0</v>
      </c>
      <c r="AO99" s="846">
        <f t="shared" ca="1" si="277"/>
        <v>0</v>
      </c>
      <c r="AP99" s="846">
        <f t="shared" ca="1" si="277"/>
        <v>0</v>
      </c>
      <c r="AQ99" s="846">
        <f t="shared" ca="1" si="277"/>
        <v>0</v>
      </c>
      <c r="AR99" s="846">
        <f t="shared" ca="1" si="277"/>
        <v>0</v>
      </c>
      <c r="AS99" s="846">
        <f t="shared" ca="1" si="277"/>
        <v>0</v>
      </c>
      <c r="AT99" s="846">
        <f t="shared" ca="1" si="277"/>
        <v>0</v>
      </c>
      <c r="AU99" s="846">
        <f t="shared" ca="1" si="277"/>
        <v>0</v>
      </c>
      <c r="AV99" s="846">
        <f t="shared" ca="1" si="277"/>
        <v>0</v>
      </c>
      <c r="AW99" s="846">
        <f t="shared" ca="1" si="277"/>
        <v>0</v>
      </c>
      <c r="AX99" s="846">
        <f t="shared" ca="1" si="277"/>
        <v>0</v>
      </c>
      <c r="AY99" s="846">
        <f t="shared" ca="1" si="277"/>
        <v>0</v>
      </c>
      <c r="AZ99" s="846">
        <f t="shared" ca="1" si="277"/>
        <v>0</v>
      </c>
      <c r="BA99" s="846">
        <f t="shared" ca="1" si="277"/>
        <v>0</v>
      </c>
      <c r="BB99" s="846">
        <f t="shared" ca="1" si="277"/>
        <v>0</v>
      </c>
      <c r="BC99" s="846">
        <f t="shared" ca="1" si="277"/>
        <v>0</v>
      </c>
      <c r="BD99" s="846">
        <f t="shared" ca="1" si="277"/>
        <v>0</v>
      </c>
      <c r="BE99" s="846">
        <f t="shared" ca="1" si="277"/>
        <v>0</v>
      </c>
      <c r="BF99" s="846">
        <f t="shared" ca="1" si="277"/>
        <v>0</v>
      </c>
      <c r="BG99" s="846">
        <f t="shared" ca="1" si="277"/>
        <v>0</v>
      </c>
      <c r="BH99" s="846">
        <f t="shared" ca="1" si="277"/>
        <v>0</v>
      </c>
      <c r="BI99" s="846">
        <f t="shared" ca="1" si="277"/>
        <v>0</v>
      </c>
      <c r="BJ99" s="846">
        <f t="shared" ca="1" si="277"/>
        <v>0</v>
      </c>
      <c r="BK99" s="846">
        <f t="shared" ca="1" si="277"/>
        <v>0</v>
      </c>
      <c r="BL99" s="846">
        <f t="shared" ca="1" si="277"/>
        <v>0</v>
      </c>
      <c r="BM99" s="846">
        <f t="shared" ca="1" si="277"/>
        <v>0</v>
      </c>
      <c r="BN99" s="846">
        <f t="shared" ca="1" si="277"/>
        <v>0</v>
      </c>
      <c r="BO99" s="846">
        <f t="shared" ca="1" si="277"/>
        <v>0</v>
      </c>
      <c r="BP99" s="802"/>
    </row>
    <row r="100" spans="1:68">
      <c r="A100" s="784"/>
      <c r="B100" s="1618"/>
      <c r="C100" s="1618"/>
      <c r="D100" s="854"/>
      <c r="E100" s="855" t="s">
        <v>827</v>
      </c>
      <c r="F100" s="851" t="s">
        <v>828</v>
      </c>
      <c r="G100" s="856" t="s">
        <v>761</v>
      </c>
      <c r="H100" s="843"/>
      <c r="I100" s="843"/>
      <c r="J100" s="843"/>
      <c r="K100" s="843"/>
      <c r="L100" s="843"/>
      <c r="M100" s="843"/>
      <c r="N100" s="843"/>
      <c r="O100" s="843"/>
      <c r="P100" s="843"/>
      <c r="Q100" s="843"/>
      <c r="R100" s="843"/>
      <c r="S100" s="843"/>
      <c r="T100" s="857">
        <f ca="1">IF($T$99=0,0,T99/$T$99*100)</f>
        <v>0</v>
      </c>
      <c r="U100" s="857">
        <f ca="1">IF($U$99=0,0,U99/$U$99*100)</f>
        <v>0</v>
      </c>
      <c r="V100" s="857">
        <f ca="1">IF($V$99=0,0,V99/$V$99*100)</f>
        <v>0</v>
      </c>
      <c r="W100" s="857">
        <f ca="1">IF($W$99=0,0,W99/$W$99*100)</f>
        <v>0</v>
      </c>
      <c r="X100" s="858">
        <f ca="1">IF($T$99=0,0,X99/$T$99*100)</f>
        <v>0</v>
      </c>
      <c r="Y100" s="858">
        <f ca="1">IF($U$99=0,0,Y99/$U$99*100)</f>
        <v>0</v>
      </c>
      <c r="Z100" s="858">
        <f ca="1">IF($V$99=0,0,Z99/$V$99*100)</f>
        <v>0</v>
      </c>
      <c r="AA100" s="858">
        <f ca="1">IF($W$99=0,0,AA99/$W$99*100)</f>
        <v>0</v>
      </c>
      <c r="AB100" s="858">
        <f ca="1">IF($T$99=0,0,AB99/$T$99*100)</f>
        <v>0</v>
      </c>
      <c r="AC100" s="858">
        <f ca="1">IF($U$99=0,0,AC99/$U$99*100)</f>
        <v>0</v>
      </c>
      <c r="AD100" s="858">
        <f ca="1">IF($V$99=0,0,AD99/$V$99*100)</f>
        <v>0</v>
      </c>
      <c r="AE100" s="858">
        <f ca="1">IF($W$99=0,0,AE99/$W$99*100)</f>
        <v>0</v>
      </c>
      <c r="AF100" s="858">
        <f ca="1">IF($T$99=0,0,AF99/$T$99*100)</f>
        <v>0</v>
      </c>
      <c r="AG100" s="858">
        <f ca="1">IF($U$99=0,0,AG99/$U$99*100)</f>
        <v>0</v>
      </c>
      <c r="AH100" s="858">
        <f ca="1">IF($V$99=0,0,AH99/$V$99*100)</f>
        <v>0</v>
      </c>
      <c r="AI100" s="858">
        <f ca="1">IF($W$99=0,0,AI99/$W$99*100)</f>
        <v>0</v>
      </c>
      <c r="AJ100" s="858">
        <f ca="1">IF($T$99=0,0,AJ99/$T$99*100)</f>
        <v>0</v>
      </c>
      <c r="AK100" s="858">
        <f ca="1">IF($U$99=0,0,AK99/$U$99*100)</f>
        <v>0</v>
      </c>
      <c r="AL100" s="858">
        <f ca="1">IF($V$99=0,0,AL99/$V$99*100)</f>
        <v>0</v>
      </c>
      <c r="AM100" s="858">
        <f ca="1">IF($W$99=0,0,AM99/$W$99*100)</f>
        <v>0</v>
      </c>
      <c r="AN100" s="858">
        <f ca="1">IF($T$99=0,0,AN99/$T$99*100)</f>
        <v>0</v>
      </c>
      <c r="AO100" s="858">
        <f ca="1">IF($U$99=0,0,AO99/$U$99*100)</f>
        <v>0</v>
      </c>
      <c r="AP100" s="858">
        <f ca="1">IF($V$99=0,0,AP99/$V$99*100)</f>
        <v>0</v>
      </c>
      <c r="AQ100" s="858">
        <f ca="1">IF($W$99=0,0,AQ99/$W$99*100)</f>
        <v>0</v>
      </c>
      <c r="AR100" s="858">
        <f ca="1">IF($T$99=0,0,AR99/$T$99*100)</f>
        <v>0</v>
      </c>
      <c r="AS100" s="858">
        <f ca="1">IF($U$99=0,0,AS99/$U$99*100)</f>
        <v>0</v>
      </c>
      <c r="AT100" s="858">
        <f ca="1">IF($V$99=0,0,AT99/$V$99*100)</f>
        <v>0</v>
      </c>
      <c r="AU100" s="858">
        <f ca="1">IF($W$99=0,0,AU99/$W$99*100)</f>
        <v>0</v>
      </c>
      <c r="AV100" s="858">
        <f ca="1">IF($T$99=0,0,AV99/$T$99*100)</f>
        <v>0</v>
      </c>
      <c r="AW100" s="858">
        <f ca="1">IF($U$99=0,0,AW99/$U$99*100)</f>
        <v>0</v>
      </c>
      <c r="AX100" s="858">
        <f ca="1">IF($V$99=0,0,AX99/$V$99*100)</f>
        <v>0</v>
      </c>
      <c r="AY100" s="858">
        <f ca="1">IF($W$99=0,0,AY99/$W$99*100)</f>
        <v>0</v>
      </c>
      <c r="AZ100" s="858">
        <f ca="1">IF($T$99=0,0,AZ99/$T$99*100)</f>
        <v>0</v>
      </c>
      <c r="BA100" s="858">
        <f ca="1">IF($U$99=0,0,BA99/$U$99*100)</f>
        <v>0</v>
      </c>
      <c r="BB100" s="858">
        <f ca="1">IF($V$99=0,0,BB99/$V$99*100)</f>
        <v>0</v>
      </c>
      <c r="BC100" s="858">
        <f ca="1">IF($W$99=0,0,BC99/$W$99*100)</f>
        <v>0</v>
      </c>
      <c r="BD100" s="858">
        <f ca="1">IF($T$99=0,0,BD99/$T$99*100)</f>
        <v>0</v>
      </c>
      <c r="BE100" s="858">
        <f ca="1">IF($U$99=0,0,BE99/$U$99*100)</f>
        <v>0</v>
      </c>
      <c r="BF100" s="858">
        <f ca="1">IF($V$99=0,0,BF99/$V$99*100)</f>
        <v>0</v>
      </c>
      <c r="BG100" s="858">
        <f ca="1">IF($W$99=0,0,BG99/$W$99*100)</f>
        <v>0</v>
      </c>
      <c r="BH100" s="858">
        <f ca="1">IF($T$99=0,0,BH99/$T$99*100)</f>
        <v>0</v>
      </c>
      <c r="BI100" s="858">
        <f ca="1">IF($U$99=0,0,BI99/$U$99*100)</f>
        <v>0</v>
      </c>
      <c r="BJ100" s="858">
        <f ca="1">IF($V$99=0,0,BJ99/$V$99*100)</f>
        <v>0</v>
      </c>
      <c r="BK100" s="858">
        <f ca="1">IF($W$99=0,0,BK99/$W$99*100)</f>
        <v>0</v>
      </c>
      <c r="BL100" s="858">
        <f ca="1">IF($T$99=0,0,BL99/$T$99*100)</f>
        <v>0</v>
      </c>
      <c r="BM100" s="858">
        <f ca="1">IF($U$99=0,0,BM99/$U$99*100)</f>
        <v>0</v>
      </c>
      <c r="BN100" s="858">
        <f ca="1">IF($V$99=0,0,BN99/$V$99*100)</f>
        <v>0</v>
      </c>
      <c r="BO100" s="858">
        <f ca="1">IF($W$99=0,0,BO99/$W$99*100)</f>
        <v>0</v>
      </c>
      <c r="BP100" s="802"/>
    </row>
    <row r="101" spans="1:68">
      <c r="A101" s="784"/>
      <c r="B101" s="1618"/>
      <c r="C101" s="1618"/>
      <c r="D101" s="859"/>
      <c r="E101" s="860" t="s">
        <v>829</v>
      </c>
      <c r="F101" s="851" t="s">
        <v>830</v>
      </c>
      <c r="G101" s="856" t="s">
        <v>761</v>
      </c>
      <c r="H101" s="843"/>
      <c r="I101" s="843"/>
      <c r="J101" s="843"/>
      <c r="K101" s="843"/>
      <c r="L101" s="857">
        <f ca="1">IF($L$99=0,0,L99/$L$99*100)</f>
        <v>0</v>
      </c>
      <c r="M101" s="857">
        <f ca="1">IF($M$99=0,0,M99/$M$99*100)</f>
        <v>0</v>
      </c>
      <c r="N101" s="857">
        <f ca="1">IF($N$99=0,0,N99/$N$99*100)</f>
        <v>0</v>
      </c>
      <c r="O101" s="857">
        <f ca="1">IF($O$99=0,0,O99/$O$99*100)</f>
        <v>0</v>
      </c>
      <c r="P101" s="858">
        <f ca="1">IF($L$99=0,0,P99/$L$99*100)</f>
        <v>0</v>
      </c>
      <c r="Q101" s="858">
        <f ca="1">IF($M$99=0,0,Q99/$M$99*100)</f>
        <v>0</v>
      </c>
      <c r="R101" s="858">
        <f ca="1">IF($N$99=0,0,R99/$N$99*100)</f>
        <v>0</v>
      </c>
      <c r="S101" s="858">
        <f ca="1">IF($O$99=0,0,S99/$O$99*100)</f>
        <v>0</v>
      </c>
      <c r="T101" s="857">
        <f ca="1">IF($L$99=0,0,T99/$L$99*100)</f>
        <v>0</v>
      </c>
      <c r="U101" s="857">
        <f t="shared" ref="U101:W101" ca="1" si="278">IF($L$99=0,0,U99/$L$99*100)</f>
        <v>0</v>
      </c>
      <c r="V101" s="857">
        <f t="shared" ca="1" si="278"/>
        <v>0</v>
      </c>
      <c r="W101" s="857">
        <f t="shared" ca="1" si="278"/>
        <v>0</v>
      </c>
      <c r="X101" s="858">
        <f ca="1">IF($L$99=0,0,X99/$L$99*100)</f>
        <v>0</v>
      </c>
      <c r="Y101" s="858">
        <f ca="1">IF($M$99=0,0,Y99/$M$99*100)</f>
        <v>0</v>
      </c>
      <c r="Z101" s="858">
        <f ca="1">IF($N$99=0,0,Z99/$N$99*100)</f>
        <v>0</v>
      </c>
      <c r="AA101" s="858">
        <f ca="1">IF($O$99=0,0,AA99/$O$99*100)</f>
        <v>0</v>
      </c>
      <c r="AB101" s="858">
        <f t="shared" ref="AB101" ca="1" si="279">IF($L$99=0,0,AB99/$L$99*100)</f>
        <v>0</v>
      </c>
      <c r="AC101" s="858">
        <f t="shared" ref="AC101" ca="1" si="280">IF($M$99=0,0,AC99/$M$99*100)</f>
        <v>0</v>
      </c>
      <c r="AD101" s="858">
        <f t="shared" ref="AD101" ca="1" si="281">IF($N$99=0,0,AD99/$N$99*100)</f>
        <v>0</v>
      </c>
      <c r="AE101" s="858">
        <f t="shared" ref="AE101" ca="1" si="282">IF($O$99=0,0,AE99/$O$99*100)</f>
        <v>0</v>
      </c>
      <c r="AF101" s="858">
        <f t="shared" ref="AF101" ca="1" si="283">IF($L$99=0,0,AF99/$L$99*100)</f>
        <v>0</v>
      </c>
      <c r="AG101" s="858">
        <f t="shared" ref="AG101" ca="1" si="284">IF($M$99=0,0,AG99/$M$99*100)</f>
        <v>0</v>
      </c>
      <c r="AH101" s="858">
        <f t="shared" ref="AH101" ca="1" si="285">IF($N$99=0,0,AH99/$N$99*100)</f>
        <v>0</v>
      </c>
      <c r="AI101" s="858">
        <f t="shared" ref="AI101" ca="1" si="286">IF($O$99=0,0,AI99/$O$99*100)</f>
        <v>0</v>
      </c>
      <c r="AJ101" s="858">
        <f t="shared" ref="AJ101" ca="1" si="287">IF($L$99=0,0,AJ99/$L$99*100)</f>
        <v>0</v>
      </c>
      <c r="AK101" s="858">
        <f t="shared" ref="AK101" ca="1" si="288">IF($M$99=0,0,AK99/$M$99*100)</f>
        <v>0</v>
      </c>
      <c r="AL101" s="858">
        <f t="shared" ref="AL101" ca="1" si="289">IF($N$99=0,0,AL99/$N$99*100)</f>
        <v>0</v>
      </c>
      <c r="AM101" s="858">
        <f t="shared" ref="AM101" ca="1" si="290">IF($O$99=0,0,AM99/$O$99*100)</f>
        <v>0</v>
      </c>
      <c r="AN101" s="858">
        <f t="shared" ref="AN101" ca="1" si="291">IF($L$99=0,0,AN99/$L$99*100)</f>
        <v>0</v>
      </c>
      <c r="AO101" s="858">
        <f t="shared" ref="AO101" ca="1" si="292">IF($M$99=0,0,AO99/$M$99*100)</f>
        <v>0</v>
      </c>
      <c r="AP101" s="858">
        <f t="shared" ref="AP101" ca="1" si="293">IF($N$99=0,0,AP99/$N$99*100)</f>
        <v>0</v>
      </c>
      <c r="AQ101" s="858">
        <f t="shared" ref="AQ101" ca="1" si="294">IF($O$99=0,0,AQ99/$O$99*100)</f>
        <v>0</v>
      </c>
      <c r="AR101" s="858">
        <f t="shared" ref="AR101" ca="1" si="295">IF($L$99=0,0,AR99/$L$99*100)</f>
        <v>0</v>
      </c>
      <c r="AS101" s="858">
        <f t="shared" ref="AS101" ca="1" si="296">IF($M$99=0,0,AS99/$M$99*100)</f>
        <v>0</v>
      </c>
      <c r="AT101" s="858">
        <f t="shared" ref="AT101" ca="1" si="297">IF($N$99=0,0,AT99/$N$99*100)</f>
        <v>0</v>
      </c>
      <c r="AU101" s="858">
        <f t="shared" ref="AU101" ca="1" si="298">IF($O$99=0,0,AU99/$O$99*100)</f>
        <v>0</v>
      </c>
      <c r="AV101" s="858">
        <f t="shared" ref="AV101" ca="1" si="299">IF($L$99=0,0,AV99/$L$99*100)</f>
        <v>0</v>
      </c>
      <c r="AW101" s="858">
        <f t="shared" ref="AW101" ca="1" si="300">IF($M$99=0,0,AW99/$M$99*100)</f>
        <v>0</v>
      </c>
      <c r="AX101" s="858">
        <f t="shared" ref="AX101" ca="1" si="301">IF($N$99=0,0,AX99/$N$99*100)</f>
        <v>0</v>
      </c>
      <c r="AY101" s="858">
        <f t="shared" ref="AY101" ca="1" si="302">IF($O$99=0,0,AY99/$O$99*100)</f>
        <v>0</v>
      </c>
      <c r="AZ101" s="858">
        <f t="shared" ref="AZ101" ca="1" si="303">IF($L$99=0,0,AZ99/$L$99*100)</f>
        <v>0</v>
      </c>
      <c r="BA101" s="858">
        <f t="shared" ref="BA101" ca="1" si="304">IF($M$99=0,0,BA99/$M$99*100)</f>
        <v>0</v>
      </c>
      <c r="BB101" s="858">
        <f t="shared" ref="BB101" ca="1" si="305">IF($N$99=0,0,BB99/$N$99*100)</f>
        <v>0</v>
      </c>
      <c r="BC101" s="858">
        <f t="shared" ref="BC101" ca="1" si="306">IF($O$99=0,0,BC99/$O$99*100)</f>
        <v>0</v>
      </c>
      <c r="BD101" s="858">
        <f t="shared" ref="BD101" ca="1" si="307">IF($L$99=0,0,BD99/$L$99*100)</f>
        <v>0</v>
      </c>
      <c r="BE101" s="858">
        <f t="shared" ref="BE101" ca="1" si="308">IF($M$99=0,0,BE99/$M$99*100)</f>
        <v>0</v>
      </c>
      <c r="BF101" s="858">
        <f t="shared" ref="BF101" ca="1" si="309">IF($N$99=0,0,BF99/$N$99*100)</f>
        <v>0</v>
      </c>
      <c r="BG101" s="858">
        <f t="shared" ref="BG101" ca="1" si="310">IF($O$99=0,0,BG99/$O$99*100)</f>
        <v>0</v>
      </c>
      <c r="BH101" s="858">
        <f t="shared" ref="BH101" ca="1" si="311">IF($L$99=0,0,BH99/$L$99*100)</f>
        <v>0</v>
      </c>
      <c r="BI101" s="858">
        <f t="shared" ref="BI101" ca="1" si="312">IF($M$99=0,0,BI99/$M$99*100)</f>
        <v>0</v>
      </c>
      <c r="BJ101" s="858">
        <f t="shared" ref="BJ101" ca="1" si="313">IF($N$99=0,0,BJ99/$N$99*100)</f>
        <v>0</v>
      </c>
      <c r="BK101" s="858">
        <f t="shared" ref="BK101" ca="1" si="314">IF($O$99=0,0,BK99/$O$99*100)</f>
        <v>0</v>
      </c>
      <c r="BL101" s="858">
        <f t="shared" ref="BL101" ca="1" si="315">IF($L$99=0,0,BL99/$L$99*100)</f>
        <v>0</v>
      </c>
      <c r="BM101" s="858">
        <f t="shared" ref="BM101" ca="1" si="316">IF($M$99=0,0,BM99/$M$99*100)</f>
        <v>0</v>
      </c>
      <c r="BN101" s="858">
        <f t="shared" ref="BN101" ca="1" si="317">IF($N$99=0,0,BN99/$N$99*100)</f>
        <v>0</v>
      </c>
      <c r="BO101" s="858">
        <f t="shared" ref="BO101" ca="1" si="318">IF($O$99=0,0,BO99/$O$99*100)</f>
        <v>0</v>
      </c>
      <c r="BP101" s="802"/>
    </row>
    <row r="102" spans="1:68">
      <c r="A102" s="784">
        <v>99</v>
      </c>
      <c r="B102" s="1618"/>
      <c r="C102" s="1618"/>
      <c r="D102" s="860" t="s">
        <v>831</v>
      </c>
      <c r="E102" s="861"/>
      <c r="F102" s="862"/>
      <c r="G102" s="856"/>
      <c r="H102" s="843"/>
      <c r="I102" s="843"/>
      <c r="J102" s="843"/>
      <c r="K102" s="843"/>
      <c r="L102" s="788" t="str">
        <f ca="1">IF(L$6&lt;$D$5,"-",IF(L$6=$D$5,IF(OFFSET(貼付け_2024実績,1,211)="","複数指標を設定",OFFSET(貼付け_2024実績,1,211))))</f>
        <v>複数指標を設定</v>
      </c>
      <c r="M102" s="788" t="str">
        <f ca="1">IF(M$6&lt;$D$5,"-",IF(M$6=$D$5,IF(OFFSET(貼付け_2025実績,1,211)="","複数指標を設定",OFFSET(貼付け_2025実績,1,211)),IF(AND(OFFSET(貼付け_2025実績,1,211)="",L102="複数指標を設定"),"複数指標を設定",OFFSET(貼付け_2025実績,1,211))))</f>
        <v>複数指標を設定</v>
      </c>
      <c r="N102" s="788" t="str">
        <f ca="1">IF(N$6&lt;$D$5,"-",IF(N$6=$D$5,IF(OFFSET(貼付け_2026実績,1,211)="","複数指標を設定",OFFSET(貼付け_2026実績,1,211)),IF(AND(OFFSET(貼付け_2026実績,1,211)="",M102="複数指標を設定"),"複数指標を設定",OFFSET(貼付け_2026実績,1,211))))</f>
        <v>複数指標を設定</v>
      </c>
      <c r="O102" s="788" t="str">
        <f ca="1">IF(O$6&lt;$D$5,"-",IF(O$6=$D$5,IF(OFFSET(貼付け_2027実績,1,211)="","複数指標を設定",OFFSET(貼付け_2027実績,1,211)),IF(AND(OFFSET(貼付け_2027実績,1,211)="",N102="複数指標を設定"),"複数指標を設定",OFFSET(貼付け_2027実績,1,211))))</f>
        <v>複数指標を設定</v>
      </c>
      <c r="P102" s="858" t="str">
        <f ca="1">OFFSET(A1_原単位2024,50,5)</f>
        <v>-</v>
      </c>
      <c r="Q102" s="858" t="str">
        <f ca="1">OFFSET(A1_原単位2025,50,5)</f>
        <v>-</v>
      </c>
      <c r="R102" s="858" t="str">
        <f ca="1">OFFSET(A1_原単位2026,50,5)</f>
        <v>-</v>
      </c>
      <c r="S102" s="858" t="str">
        <f ca="1">OFFSET(A1_原単位2027,50,5)</f>
        <v>-</v>
      </c>
      <c r="T102" s="788" t="str">
        <f ca="1">IF(T$6&lt;$D$5,"-",IF(T$6=$D$5,IF(OFFSET(貼付け_2024実績,1,213)="","複数指標を設定",OFFSET(貼付け_2024実績,1,213))))</f>
        <v>複数指標を設定</v>
      </c>
      <c r="U102" s="788" t="str">
        <f ca="1">IF(U$6&lt;$D$5,"-",IF(U$6=$D$5,IF(OFFSET(貼付け_2025実績,1,213)="","複数指標を設定",OFFSET(貼付け_2025実績,1,213)),IF(AND(OFFSET(貼付け_2025実績,1,213)="",T102="複数指標を設定"),"複数指標を設定",OFFSET(貼付け_2025実績,1,213))))</f>
        <v>複数指標を設定</v>
      </c>
      <c r="V102" s="788" t="str">
        <f ca="1">IF(V$6&lt;$D$5,"-",IF(V$6=$D$5,IF(OFFSET(貼付け_2026実績,1,213)="","複数指標を設定",OFFSET(貼付け_2026実績,1,213)),IF(AND(OFFSET(貼付け_2026実績,1,213)="",U102="複数指標を設定"),"複数指標を設定",OFFSET(貼付け_2026実績,1,213))))</f>
        <v>複数指標を設定</v>
      </c>
      <c r="W102" s="788" t="str">
        <f ca="1">IF(W$6&lt;$D$5,"-",IF(W$6=$D$5,IF(OFFSET(貼付け_2027実績,1,213)="","複数指標を設定",OFFSET(貼付け_2027実績,1,213)),IF(AND(OFFSET(貼付け_2027実績,1,213)="",V102="複数指標を設定"),"複数指標を設定",OFFSET(貼付け_2027実績,1,213))))</f>
        <v>複数指標を設定</v>
      </c>
      <c r="X102" s="858" t="str">
        <f ca="1">OFFSET(A1_原単位2024,51,5)</f>
        <v>-</v>
      </c>
      <c r="Y102" s="858" t="str">
        <f ca="1">OFFSET(A1_原単位2025,51,5)</f>
        <v>-</v>
      </c>
      <c r="Z102" s="858" t="str">
        <f ca="1">OFFSET(A1_原単位2026,51,5)</f>
        <v>-</v>
      </c>
      <c r="AA102" s="858" t="str">
        <f ca="1">OFFSET(A1_原単位2027,51,5)</f>
        <v>-</v>
      </c>
      <c r="AB102" s="788" t="str">
        <f ca="1">IFERROR(OFFSET(貼付け_2024実績,$A102,AB$1),"")</f>
        <v/>
      </c>
      <c r="AC102" s="788" t="str">
        <f t="shared" ref="AC102:AC104" ca="1" si="319">IFERROR(OFFSET(貼付け_2025実績,$A102,AC$1),"")</f>
        <v/>
      </c>
      <c r="AD102" s="788" t="str">
        <f t="shared" ref="AD102:AD104" ca="1" si="320">IFERROR(OFFSET(貼付け_2026実績,$A102,AD$1),"")</f>
        <v/>
      </c>
      <c r="AE102" s="788" t="str">
        <f t="shared" ref="AE102:AE104" ca="1" si="321">IFERROR(OFFSET(貼付け_2027実績,$A102,AE$1),"")</f>
        <v/>
      </c>
      <c r="AF102" s="788" t="str">
        <f ca="1">IFERROR(OFFSET(貼付け_2024実績,$A102,AF$1),"")</f>
        <v/>
      </c>
      <c r="AG102" s="788" t="str">
        <f t="shared" ref="AG102:BM103" ca="1" si="322">IFERROR(OFFSET(貼付け_2025実績,$A102,AG$1),"")</f>
        <v/>
      </c>
      <c r="AH102" s="788" t="str">
        <f t="shared" ref="AH102:BN103" ca="1" si="323">IFERROR(OFFSET(貼付け_2026実績,$A102,AH$1),"")</f>
        <v/>
      </c>
      <c r="AI102" s="788" t="str">
        <f t="shared" ref="AI102:BO103" ca="1" si="324">IFERROR(OFFSET(貼付け_2027実績,$A102,AI$1),"")</f>
        <v/>
      </c>
      <c r="AJ102" s="788" t="str">
        <f ca="1">IFERROR(OFFSET(貼付け_2024実績,$A102,AJ$1),"")</f>
        <v/>
      </c>
      <c r="AK102" s="788" t="str">
        <f t="shared" ca="1" si="322"/>
        <v/>
      </c>
      <c r="AL102" s="788" t="str">
        <f t="shared" ca="1" si="323"/>
        <v/>
      </c>
      <c r="AM102" s="788" t="str">
        <f t="shared" ca="1" si="324"/>
        <v/>
      </c>
      <c r="AN102" s="788" t="str">
        <f ca="1">IFERROR(OFFSET(貼付け_2024実績,$A102,AN$1),"")</f>
        <v/>
      </c>
      <c r="AO102" s="788" t="str">
        <f t="shared" ca="1" si="322"/>
        <v/>
      </c>
      <c r="AP102" s="788" t="str">
        <f t="shared" ca="1" si="323"/>
        <v/>
      </c>
      <c r="AQ102" s="788" t="str">
        <f t="shared" ca="1" si="324"/>
        <v/>
      </c>
      <c r="AR102" s="788" t="str">
        <f ca="1">IFERROR(OFFSET(貼付け_2024実績,$A102,AR$1),"")</f>
        <v/>
      </c>
      <c r="AS102" s="788" t="str">
        <f t="shared" ca="1" si="322"/>
        <v/>
      </c>
      <c r="AT102" s="788" t="str">
        <f t="shared" ca="1" si="323"/>
        <v/>
      </c>
      <c r="AU102" s="788" t="str">
        <f t="shared" ca="1" si="324"/>
        <v/>
      </c>
      <c r="AV102" s="788" t="str">
        <f ca="1">IFERROR(OFFSET(貼付け_2024実績,$A102,AV$1),"")</f>
        <v/>
      </c>
      <c r="AW102" s="788" t="str">
        <f t="shared" ca="1" si="322"/>
        <v/>
      </c>
      <c r="AX102" s="788" t="str">
        <f t="shared" ca="1" si="323"/>
        <v/>
      </c>
      <c r="AY102" s="788" t="str">
        <f t="shared" ca="1" si="324"/>
        <v/>
      </c>
      <c r="AZ102" s="788" t="str">
        <f ca="1">IFERROR(OFFSET(貼付け_2024実績,$A102,AZ$1),"")</f>
        <v/>
      </c>
      <c r="BA102" s="788" t="str">
        <f t="shared" ca="1" si="322"/>
        <v/>
      </c>
      <c r="BB102" s="788" t="str">
        <f t="shared" ca="1" si="323"/>
        <v/>
      </c>
      <c r="BC102" s="788" t="str">
        <f t="shared" ca="1" si="324"/>
        <v/>
      </c>
      <c r="BD102" s="788" t="str">
        <f ca="1">IFERROR(OFFSET(貼付け_2024実績,$A102,BD$1),"")</f>
        <v/>
      </c>
      <c r="BE102" s="788" t="str">
        <f t="shared" ca="1" si="322"/>
        <v/>
      </c>
      <c r="BF102" s="788" t="str">
        <f t="shared" ca="1" si="323"/>
        <v/>
      </c>
      <c r="BG102" s="788" t="str">
        <f t="shared" ca="1" si="324"/>
        <v/>
      </c>
      <c r="BH102" s="788" t="str">
        <f ca="1">IFERROR(OFFSET(貼付け_2024実績,$A102,BH$1),"")</f>
        <v/>
      </c>
      <c r="BI102" s="788" t="str">
        <f t="shared" ca="1" si="322"/>
        <v/>
      </c>
      <c r="BJ102" s="788" t="str">
        <f t="shared" ca="1" si="323"/>
        <v/>
      </c>
      <c r="BK102" s="788" t="str">
        <f t="shared" ca="1" si="324"/>
        <v/>
      </c>
      <c r="BL102" s="788" t="str">
        <f ca="1">IFERROR(OFFSET(貼付け_2024実績,$A102,BL$1),"")</f>
        <v/>
      </c>
      <c r="BM102" s="788" t="str">
        <f t="shared" ca="1" si="322"/>
        <v/>
      </c>
      <c r="BN102" s="788" t="str">
        <f t="shared" ca="1" si="323"/>
        <v/>
      </c>
      <c r="BO102" s="788" t="str">
        <f t="shared" ca="1" si="324"/>
        <v/>
      </c>
      <c r="BP102" s="802"/>
    </row>
    <row r="103" spans="1:68">
      <c r="A103" s="784">
        <v>100</v>
      </c>
      <c r="B103" s="1618"/>
      <c r="C103" s="1618"/>
      <c r="D103" s="860" t="s">
        <v>832</v>
      </c>
      <c r="E103" s="861"/>
      <c r="F103" s="862"/>
      <c r="G103" s="856"/>
      <c r="H103" s="843"/>
      <c r="I103" s="843"/>
      <c r="J103" s="843"/>
      <c r="K103" s="843"/>
      <c r="L103" s="788" t="str">
        <f ca="1">IF(L$6&lt;$D$5,"-",IF(L$6=$D$5,IF(OFFSET(貼付け_2024実績,2,211)="","-",OFFSET(貼付け_2024実績,2,211))))</f>
        <v>-</v>
      </c>
      <c r="M103" s="788" t="str">
        <f ca="1">IF(M$6&lt;$D$5,"-",IF(M$6=$D$5,IF(OFFSET(貼付け_2025実績,2,211)="","-",OFFSET(貼付け_2025実績,2,211)),IF(AND(OFFSET(貼付け_2025実績,2,211)="",L103="-"),"-",OFFSET(貼付け_2025実績,2,211))))</f>
        <v>-</v>
      </c>
      <c r="N103" s="788" t="str">
        <f ca="1">IF(N$6&lt;$D$5,"-",IF(N$6=$D$5,IF(OFFSET(貼付け_2026実績,2,211)="","-",OFFSET(貼付け_2026実績,2,211)),IF(AND(OFFSET(貼付け_2026実績,2,211)="",M103="-"),"-",OFFSET(貼付け_2026実績,2,211))))</f>
        <v>-</v>
      </c>
      <c r="O103" s="788" t="str">
        <f ca="1">IF(O$6&lt;$D$5,"-",IF(O$6=$D$5,IF(OFFSET(貼付け_2027実績,2,211)="","-",OFFSET(貼付け_2027実績,2,211)),IF(AND(OFFSET(貼付け_2027実績,2,211)="",N103="-"),"-",OFFSET(貼付け_2027実績,2,211))))</f>
        <v>-</v>
      </c>
      <c r="P103" s="858" t="str">
        <f ca="1">OFFSET(A1_原単位2024,50,7)</f>
        <v>-</v>
      </c>
      <c r="Q103" s="858" t="str">
        <f ca="1">OFFSET(A1_原単位2025,50,7)</f>
        <v>-</v>
      </c>
      <c r="R103" s="858" t="str">
        <f ca="1">OFFSET(A1_原単位2026,50,7)</f>
        <v>-</v>
      </c>
      <c r="S103" s="858" t="str">
        <f ca="1">OFFSET(A1_原単位2027,50,7)</f>
        <v>-</v>
      </c>
      <c r="T103" s="788" t="str">
        <f ca="1">IF(T$6&lt;$D$5,"-",IF(T$6=$D$5,IF(OFFSET(貼付け_2024実績,2,213)="","-",OFFSET(貼付け_2024実績,2,213))))</f>
        <v>-</v>
      </c>
      <c r="U103" s="788" t="str">
        <f ca="1">IF(U$6&lt;$D$5,"-",IF(U$6=$D$5,IF(OFFSET(貼付け_2025実績,2,213)="","-",OFFSET(貼付け_2025実績,2,213)),IF(AND(OFFSET(貼付け_2025実績,2,213)="",T103="-"),"-",OFFSET(貼付け_2025実績,2,213))))</f>
        <v>-</v>
      </c>
      <c r="V103" s="788" t="str">
        <f ca="1">IF(V$6&lt;$D$5,"-",IF(V$6=$D$5,IF(OFFSET(貼付け_2026実績,2,213)="","-",OFFSET(貼付け_2026実績,2,213)),IF(AND(OFFSET(貼付け_2026実績,2,213)="",U103="-"),"-",OFFSET(貼付け_2026実績,2,213))))</f>
        <v>-</v>
      </c>
      <c r="W103" s="788" t="str">
        <f ca="1">IF(W$6&lt;$D$5,"-",IF(W$6=$D$5,IF(OFFSET(貼付け_2027実績,2,213)="","-",OFFSET(貼付け_2027実績,2,213)),IF(AND(OFFSET(貼付け_2027実績,2,213)="",V103="-"),"-",OFFSET(貼付け_2027実績,2,213))))</f>
        <v>-</v>
      </c>
      <c r="X103" s="858" t="str">
        <f ca="1">OFFSET(A1_原単位2024,51,7)</f>
        <v>-</v>
      </c>
      <c r="Y103" s="858" t="str">
        <f ca="1">OFFSET(A1_原単位2025,51,7)</f>
        <v>-</v>
      </c>
      <c r="Z103" s="858" t="str">
        <f ca="1">OFFSET(A1_原単位2026,51,7)</f>
        <v>-</v>
      </c>
      <c r="AA103" s="858" t="str">
        <f ca="1">OFFSET(A1_原単位2027,51,7)</f>
        <v>-</v>
      </c>
      <c r="AB103" s="788" t="str">
        <f ca="1">IFERROR(OFFSET(貼付け_2024実績,$A103,AB$1),"")</f>
        <v/>
      </c>
      <c r="AC103" s="788" t="str">
        <f t="shared" ca="1" si="319"/>
        <v/>
      </c>
      <c r="AD103" s="788" t="str">
        <f t="shared" ca="1" si="320"/>
        <v/>
      </c>
      <c r="AE103" s="788" t="str">
        <f t="shared" ca="1" si="321"/>
        <v/>
      </c>
      <c r="AF103" s="788" t="str">
        <f ca="1">IFERROR(OFFSET(貼付け_2024実績,$A103,AF$1),"")</f>
        <v/>
      </c>
      <c r="AG103" s="788" t="str">
        <f t="shared" ca="1" si="322"/>
        <v/>
      </c>
      <c r="AH103" s="788" t="str">
        <f t="shared" ca="1" si="323"/>
        <v/>
      </c>
      <c r="AI103" s="788" t="str">
        <f t="shared" ca="1" si="324"/>
        <v/>
      </c>
      <c r="AJ103" s="788" t="str">
        <f ca="1">IFERROR(OFFSET(貼付け_2024実績,$A103,AJ$1),"")</f>
        <v/>
      </c>
      <c r="AK103" s="788" t="str">
        <f t="shared" ca="1" si="322"/>
        <v/>
      </c>
      <c r="AL103" s="788" t="str">
        <f t="shared" ca="1" si="323"/>
        <v/>
      </c>
      <c r="AM103" s="788" t="str">
        <f t="shared" ca="1" si="324"/>
        <v/>
      </c>
      <c r="AN103" s="788" t="str">
        <f ca="1">IFERROR(OFFSET(貼付け_2024実績,$A103,AN$1),"")</f>
        <v/>
      </c>
      <c r="AO103" s="788" t="str">
        <f t="shared" ca="1" si="322"/>
        <v/>
      </c>
      <c r="AP103" s="788" t="str">
        <f t="shared" ca="1" si="323"/>
        <v/>
      </c>
      <c r="AQ103" s="788" t="str">
        <f t="shared" ca="1" si="324"/>
        <v/>
      </c>
      <c r="AR103" s="788" t="str">
        <f ca="1">IFERROR(OFFSET(貼付け_2024実績,$A103,AR$1),"")</f>
        <v/>
      </c>
      <c r="AS103" s="788" t="str">
        <f t="shared" ca="1" si="322"/>
        <v/>
      </c>
      <c r="AT103" s="788" t="str">
        <f t="shared" ca="1" si="323"/>
        <v/>
      </c>
      <c r="AU103" s="788" t="str">
        <f t="shared" ca="1" si="324"/>
        <v/>
      </c>
      <c r="AV103" s="788" t="str">
        <f ca="1">IFERROR(OFFSET(貼付け_2024実績,$A103,AV$1),"")</f>
        <v/>
      </c>
      <c r="AW103" s="788" t="str">
        <f t="shared" ca="1" si="322"/>
        <v/>
      </c>
      <c r="AX103" s="788" t="str">
        <f t="shared" ca="1" si="323"/>
        <v/>
      </c>
      <c r="AY103" s="788" t="str">
        <f t="shared" ca="1" si="324"/>
        <v/>
      </c>
      <c r="AZ103" s="788" t="str">
        <f ca="1">IFERROR(OFFSET(貼付け_2024実績,$A103,AZ$1),"")</f>
        <v/>
      </c>
      <c r="BA103" s="788" t="str">
        <f t="shared" ca="1" si="322"/>
        <v/>
      </c>
      <c r="BB103" s="788" t="str">
        <f t="shared" ca="1" si="323"/>
        <v/>
      </c>
      <c r="BC103" s="788" t="str">
        <f t="shared" ca="1" si="324"/>
        <v/>
      </c>
      <c r="BD103" s="788" t="str">
        <f ca="1">IFERROR(OFFSET(貼付け_2024実績,$A103,BD$1),"")</f>
        <v/>
      </c>
      <c r="BE103" s="788" t="str">
        <f t="shared" ca="1" si="322"/>
        <v/>
      </c>
      <c r="BF103" s="788" t="str">
        <f t="shared" ca="1" si="323"/>
        <v/>
      </c>
      <c r="BG103" s="788" t="str">
        <f t="shared" ca="1" si="324"/>
        <v/>
      </c>
      <c r="BH103" s="788" t="str">
        <f ca="1">IFERROR(OFFSET(貼付け_2024実績,$A103,BH$1),"")</f>
        <v/>
      </c>
      <c r="BI103" s="788" t="str">
        <f t="shared" ca="1" si="322"/>
        <v/>
      </c>
      <c r="BJ103" s="788" t="str">
        <f t="shared" ca="1" si="323"/>
        <v/>
      </c>
      <c r="BK103" s="788" t="str">
        <f t="shared" ca="1" si="324"/>
        <v/>
      </c>
      <c r="BL103" s="788" t="str">
        <f ca="1">IFERROR(OFFSET(貼付け_2024実績,$A103,BL$1),"")</f>
        <v/>
      </c>
      <c r="BM103" s="788" t="str">
        <f t="shared" ca="1" si="322"/>
        <v/>
      </c>
      <c r="BN103" s="788" t="str">
        <f t="shared" ca="1" si="323"/>
        <v/>
      </c>
      <c r="BO103" s="788" t="str">
        <f t="shared" ca="1" si="324"/>
        <v/>
      </c>
      <c r="BP103" s="802"/>
    </row>
    <row r="104" spans="1:68">
      <c r="A104" s="783">
        <v>101</v>
      </c>
      <c r="B104" s="1618"/>
      <c r="C104" s="1618"/>
      <c r="D104" s="863" t="s">
        <v>833</v>
      </c>
      <c r="E104" s="864"/>
      <c r="F104" s="865" t="s">
        <v>834</v>
      </c>
      <c r="G104" s="866"/>
      <c r="H104" s="843"/>
      <c r="I104" s="843"/>
      <c r="J104" s="843"/>
      <c r="K104" s="843"/>
      <c r="L104" s="788" t="str">
        <f ca="1">OFFSET(貼付け_2024実績,3,211)</f>
        <v/>
      </c>
      <c r="M104" s="788" t="str">
        <f ca="1">OFFSET(貼付け_2025実績,3,211)</f>
        <v/>
      </c>
      <c r="N104" s="788" t="str">
        <f ca="1">OFFSET(貼付け_2026実績,3,211)</f>
        <v/>
      </c>
      <c r="O104" s="788" t="str">
        <f ca="1">OFFSET(貼付け_2027実績,3,211)</f>
        <v/>
      </c>
      <c r="P104" s="858" t="str">
        <f ca="1">OFFSET(A1_原単位2024,50,9)</f>
        <v>-</v>
      </c>
      <c r="Q104" s="858" t="str">
        <f ca="1">OFFSET(A1_原単位2025,50,9)</f>
        <v>-</v>
      </c>
      <c r="R104" s="858" t="str">
        <f ca="1">OFFSET(A1_原単位2026,50,9)</f>
        <v>-</v>
      </c>
      <c r="S104" s="858" t="str">
        <f ca="1">OFFSET(A1_原単位2027,50,9)</f>
        <v>-</v>
      </c>
      <c r="T104" s="788" t="str">
        <f ca="1">OFFSET(貼付け_2024実績,3,213)</f>
        <v/>
      </c>
      <c r="U104" s="788" t="str">
        <f ca="1">OFFSET(貼付け_2025実績,3,213)</f>
        <v/>
      </c>
      <c r="V104" s="788" t="str">
        <f ca="1">OFFSET(貼付け_2026実績,3,213)</f>
        <v/>
      </c>
      <c r="W104" s="788" t="str">
        <f ca="1">OFFSET(貼付け_2027実績,3,213)</f>
        <v/>
      </c>
      <c r="X104" s="858" t="str">
        <f ca="1">OFFSET(A1_原単位2024,51,9)</f>
        <v>-</v>
      </c>
      <c r="Y104" s="858" t="str">
        <f ca="1">OFFSET(A1_原単位2025,51,9)</f>
        <v>-</v>
      </c>
      <c r="Z104" s="858" t="str">
        <f ca="1">OFFSET(A1_原単位2026,51,9)</f>
        <v>-</v>
      </c>
      <c r="AA104" s="858" t="str">
        <f ca="1">OFFSET(A1_原単位2027,51,9)</f>
        <v>-</v>
      </c>
      <c r="AB104" s="788" t="str">
        <f ca="1">IFERROR(OFFSET(貼付け_2024実績,$A104,AB$1),"")</f>
        <v/>
      </c>
      <c r="AC104" s="788" t="str">
        <f t="shared" ca="1" si="319"/>
        <v/>
      </c>
      <c r="AD104" s="788" t="str">
        <f t="shared" ca="1" si="320"/>
        <v/>
      </c>
      <c r="AE104" s="788" t="str">
        <f t="shared" ca="1" si="321"/>
        <v/>
      </c>
      <c r="AF104" s="788" t="str">
        <f ca="1">IFERROR(OFFSET(貼付け_2024実績,$A104,AF$1),"")</f>
        <v/>
      </c>
      <c r="AG104" s="788" t="str">
        <f t="shared" ref="AG104" ca="1" si="325">IFERROR(OFFSET(貼付け_2025実績,$A104,AG$1),"")</f>
        <v/>
      </c>
      <c r="AH104" s="788" t="str">
        <f t="shared" ref="AH104" ca="1" si="326">IFERROR(OFFSET(貼付け_2026実績,$A104,AH$1),"")</f>
        <v/>
      </c>
      <c r="AI104" s="788" t="str">
        <f t="shared" ref="AI104" ca="1" si="327">IFERROR(OFFSET(貼付け_2027実績,$A104,AI$1),"")</f>
        <v/>
      </c>
      <c r="AJ104" s="788" t="str">
        <f ca="1">IFERROR(OFFSET(貼付け_2024実績,$A104,AJ$1),"")</f>
        <v/>
      </c>
      <c r="AK104" s="788" t="str">
        <f t="shared" ref="AK104" ca="1" si="328">IFERROR(OFFSET(貼付け_2025実績,$A104,AK$1),"")</f>
        <v/>
      </c>
      <c r="AL104" s="788" t="str">
        <f t="shared" ref="AL104" ca="1" si="329">IFERROR(OFFSET(貼付け_2026実績,$A104,AL$1),"")</f>
        <v/>
      </c>
      <c r="AM104" s="788" t="str">
        <f t="shared" ref="AM104" ca="1" si="330">IFERROR(OFFSET(貼付け_2027実績,$A104,AM$1),"")</f>
        <v/>
      </c>
      <c r="AN104" s="788" t="str">
        <f ca="1">IFERROR(OFFSET(貼付け_2024実績,$A104,AN$1),"")</f>
        <v/>
      </c>
      <c r="AO104" s="788" t="str">
        <f t="shared" ref="AO104:BM104" ca="1" si="331">IFERROR(OFFSET(貼付け_2025実績,$A104,AO$1),"")</f>
        <v/>
      </c>
      <c r="AP104" s="788" t="str">
        <f t="shared" ref="AP104:BN104" ca="1" si="332">IFERROR(OFFSET(貼付け_2026実績,$A104,AP$1),"")</f>
        <v/>
      </c>
      <c r="AQ104" s="788" t="str">
        <f t="shared" ref="AQ104:BO104" ca="1" si="333">IFERROR(OFFSET(貼付け_2027実績,$A104,AQ$1),"")</f>
        <v/>
      </c>
      <c r="AR104" s="788" t="str">
        <f ca="1">IFERROR(OFFSET(貼付け_2024実績,$A104,AR$1),"")</f>
        <v/>
      </c>
      <c r="AS104" s="788" t="str">
        <f t="shared" ca="1" si="331"/>
        <v/>
      </c>
      <c r="AT104" s="788" t="str">
        <f t="shared" ca="1" si="332"/>
        <v/>
      </c>
      <c r="AU104" s="788" t="str">
        <f t="shared" ca="1" si="333"/>
        <v/>
      </c>
      <c r="AV104" s="788" t="str">
        <f ca="1">IFERROR(OFFSET(貼付け_2024実績,$A104,AV$1),"")</f>
        <v/>
      </c>
      <c r="AW104" s="788" t="str">
        <f t="shared" ca="1" si="331"/>
        <v/>
      </c>
      <c r="AX104" s="788" t="str">
        <f t="shared" ca="1" si="332"/>
        <v/>
      </c>
      <c r="AY104" s="788" t="str">
        <f t="shared" ca="1" si="333"/>
        <v/>
      </c>
      <c r="AZ104" s="788" t="str">
        <f ca="1">IFERROR(OFFSET(貼付け_2024実績,$A104,AZ$1),"")</f>
        <v/>
      </c>
      <c r="BA104" s="788" t="str">
        <f t="shared" ca="1" si="331"/>
        <v/>
      </c>
      <c r="BB104" s="788" t="str">
        <f t="shared" ca="1" si="332"/>
        <v/>
      </c>
      <c r="BC104" s="788" t="str">
        <f t="shared" ca="1" si="333"/>
        <v/>
      </c>
      <c r="BD104" s="788" t="str">
        <f ca="1">IFERROR(OFFSET(貼付け_2024実績,$A104,BD$1),"")</f>
        <v/>
      </c>
      <c r="BE104" s="788" t="str">
        <f t="shared" ca="1" si="331"/>
        <v/>
      </c>
      <c r="BF104" s="788" t="str">
        <f t="shared" ca="1" si="332"/>
        <v/>
      </c>
      <c r="BG104" s="788" t="str">
        <f t="shared" ca="1" si="333"/>
        <v/>
      </c>
      <c r="BH104" s="788" t="str">
        <f ca="1">IFERROR(OFFSET(貼付け_2024実績,$A104,BH$1),"")</f>
        <v/>
      </c>
      <c r="BI104" s="788" t="str">
        <f t="shared" ca="1" si="331"/>
        <v/>
      </c>
      <c r="BJ104" s="788" t="str">
        <f t="shared" ca="1" si="332"/>
        <v/>
      </c>
      <c r="BK104" s="788" t="str">
        <f t="shared" ca="1" si="333"/>
        <v/>
      </c>
      <c r="BL104" s="788" t="str">
        <f ca="1">IFERROR(OFFSET(貼付け_2024実績,$A104,BL$1),"")</f>
        <v/>
      </c>
      <c r="BM104" s="788" t="str">
        <f t="shared" ca="1" si="331"/>
        <v/>
      </c>
      <c r="BN104" s="788" t="str">
        <f t="shared" ca="1" si="332"/>
        <v/>
      </c>
      <c r="BO104" s="788" t="str">
        <f t="shared" ca="1" si="333"/>
        <v/>
      </c>
      <c r="BP104" s="802"/>
    </row>
    <row r="105" spans="1:68">
      <c r="A105" s="783"/>
      <c r="B105" s="1618"/>
      <c r="C105" s="1618"/>
      <c r="D105" s="867" t="s">
        <v>1275</v>
      </c>
      <c r="E105" s="861"/>
      <c r="F105" s="851" t="s">
        <v>835</v>
      </c>
      <c r="G105" s="868"/>
      <c r="H105" s="843"/>
      <c r="I105" s="843"/>
      <c r="J105" s="843"/>
      <c r="K105" s="843"/>
      <c r="L105" s="869">
        <f ca="1">IF(L6=$D$5,IFERROR(L99/L104,IF(L102="複数指標を設定",100,"")),"-")</f>
        <v>100</v>
      </c>
      <c r="M105" s="869" t="e">
        <f ca="1">IF(M6=$D$5,IFERROR(M99/M104,IF(M102="複数指標を設定",100,"")),IF(M6&gt;$D$5,IFERROR(M99/M104,IF(M102="複数指標を設定",L105*(1-M109/100),"")),"-"))</f>
        <v>#VALUE!</v>
      </c>
      <c r="N105" s="869" t="e">
        <f ca="1">IF(N6=$D$5,IFERROR(N99/N104,IF(N102="複数指標を設定",100,"")),IF(N6&gt;$D$5,IFERROR(N99/N104,IF(N102="複数指標を設定",M105*(1-N109/100),"")),"-"))</f>
        <v>#VALUE!</v>
      </c>
      <c r="O105" s="869" t="e">
        <f ca="1">IF(O6=$D$5,IFERROR(O99/O104,IF(O102="複数指標を設定",100,"")),IF(O6&gt;$D$5,IFERROR(O99/O104,IF(O102="複数指標を設定",N105*(1-O109/100),"")),"-"))</f>
        <v>#VALUE!</v>
      </c>
      <c r="P105" s="869" t="str">
        <f ca="1">IFERROR(P99/P104,"-")</f>
        <v>-</v>
      </c>
      <c r="Q105" s="869" t="str">
        <f ca="1">IFERROR(Q99/Q104,"-")</f>
        <v>-</v>
      </c>
      <c r="R105" s="869" t="str">
        <f ca="1">IFERROR(R99/R104,"-")</f>
        <v>-</v>
      </c>
      <c r="S105" s="869" t="str">
        <f t="shared" ref="S105:BO105" ca="1" si="334">IFERROR(S99/S104,"-")</f>
        <v>-</v>
      </c>
      <c r="T105" s="869">
        <f ca="1">IF(T6=$D$5,IFERROR(T99/T104,IF(T102="複数指標を設定",100,"")),"-")</f>
        <v>100</v>
      </c>
      <c r="U105" s="869" t="e">
        <f ca="1">IF(U6=$D$5,IFERROR(U99/U104,IF(U102="複数指標を設定",100,"")),IF(U6&gt;$D$5,IFERROR(U99/U104,IF(U102="複数指標を設定",T105*(1-U108/100),"")),"-"))</f>
        <v>#VALUE!</v>
      </c>
      <c r="V105" s="869" t="e">
        <f t="shared" ref="V105:W105" ca="1" si="335">IF(V6=$D$5,IFERROR(V99/V104,IF(V102="複数指標を設定",100,"")),IF(V6&gt;$D$5,IFERROR(V99/V104,IF(V102="複数指標を設定",U105*(1-V108/100),"")),"-"))</f>
        <v>#VALUE!</v>
      </c>
      <c r="W105" s="869" t="e">
        <f t="shared" ca="1" si="335"/>
        <v>#VALUE!</v>
      </c>
      <c r="X105" s="869" t="str">
        <f ca="1">IFERROR(X99/X104,"-")</f>
        <v>-</v>
      </c>
      <c r="Y105" s="869" t="str">
        <f ca="1">IFERROR(Y99/Y104,"-")</f>
        <v>-</v>
      </c>
      <c r="Z105" s="869" t="str">
        <f ca="1">IFERROR(Z99/Z104,"-")</f>
        <v>-</v>
      </c>
      <c r="AA105" s="869" t="str">
        <f t="shared" ca="1" si="334"/>
        <v>-</v>
      </c>
      <c r="AB105" s="869" t="str">
        <f t="shared" ca="1" si="334"/>
        <v>-</v>
      </c>
      <c r="AC105" s="869" t="str">
        <f t="shared" ca="1" si="334"/>
        <v>-</v>
      </c>
      <c r="AD105" s="869" t="str">
        <f t="shared" ca="1" si="334"/>
        <v>-</v>
      </c>
      <c r="AE105" s="869" t="str">
        <f t="shared" ca="1" si="334"/>
        <v>-</v>
      </c>
      <c r="AF105" s="869" t="str">
        <f t="shared" ca="1" si="334"/>
        <v>-</v>
      </c>
      <c r="AG105" s="869" t="str">
        <f t="shared" ca="1" si="334"/>
        <v>-</v>
      </c>
      <c r="AH105" s="869" t="str">
        <f t="shared" ca="1" si="334"/>
        <v>-</v>
      </c>
      <c r="AI105" s="869" t="str">
        <f t="shared" ca="1" si="334"/>
        <v>-</v>
      </c>
      <c r="AJ105" s="869" t="str">
        <f t="shared" ca="1" si="334"/>
        <v>-</v>
      </c>
      <c r="AK105" s="869" t="str">
        <f t="shared" ca="1" si="334"/>
        <v>-</v>
      </c>
      <c r="AL105" s="869" t="str">
        <f t="shared" ca="1" si="334"/>
        <v>-</v>
      </c>
      <c r="AM105" s="869" t="str">
        <f t="shared" ca="1" si="334"/>
        <v>-</v>
      </c>
      <c r="AN105" s="869" t="str">
        <f t="shared" ca="1" si="334"/>
        <v>-</v>
      </c>
      <c r="AO105" s="869" t="str">
        <f t="shared" ca="1" si="334"/>
        <v>-</v>
      </c>
      <c r="AP105" s="869" t="str">
        <f t="shared" ca="1" si="334"/>
        <v>-</v>
      </c>
      <c r="AQ105" s="869" t="str">
        <f t="shared" ca="1" si="334"/>
        <v>-</v>
      </c>
      <c r="AR105" s="869" t="str">
        <f t="shared" ca="1" si="334"/>
        <v>-</v>
      </c>
      <c r="AS105" s="869" t="str">
        <f t="shared" ca="1" si="334"/>
        <v>-</v>
      </c>
      <c r="AT105" s="869" t="str">
        <f t="shared" ca="1" si="334"/>
        <v>-</v>
      </c>
      <c r="AU105" s="869" t="str">
        <f t="shared" ca="1" si="334"/>
        <v>-</v>
      </c>
      <c r="AV105" s="869" t="str">
        <f t="shared" ca="1" si="334"/>
        <v>-</v>
      </c>
      <c r="AW105" s="869" t="str">
        <f t="shared" ca="1" si="334"/>
        <v>-</v>
      </c>
      <c r="AX105" s="869" t="str">
        <f t="shared" ca="1" si="334"/>
        <v>-</v>
      </c>
      <c r="AY105" s="869" t="str">
        <f t="shared" ca="1" si="334"/>
        <v>-</v>
      </c>
      <c r="AZ105" s="869" t="str">
        <f t="shared" ca="1" si="334"/>
        <v>-</v>
      </c>
      <c r="BA105" s="869" t="str">
        <f t="shared" ca="1" si="334"/>
        <v>-</v>
      </c>
      <c r="BB105" s="869" t="str">
        <f t="shared" ca="1" si="334"/>
        <v>-</v>
      </c>
      <c r="BC105" s="869" t="str">
        <f t="shared" ca="1" si="334"/>
        <v>-</v>
      </c>
      <c r="BD105" s="869" t="str">
        <f t="shared" ca="1" si="334"/>
        <v>-</v>
      </c>
      <c r="BE105" s="869" t="str">
        <f t="shared" ca="1" si="334"/>
        <v>-</v>
      </c>
      <c r="BF105" s="869" t="str">
        <f t="shared" ca="1" si="334"/>
        <v>-</v>
      </c>
      <c r="BG105" s="869" t="str">
        <f t="shared" ca="1" si="334"/>
        <v>-</v>
      </c>
      <c r="BH105" s="869" t="str">
        <f t="shared" ca="1" si="334"/>
        <v>-</v>
      </c>
      <c r="BI105" s="869" t="str">
        <f t="shared" ca="1" si="334"/>
        <v>-</v>
      </c>
      <c r="BJ105" s="869" t="str">
        <f t="shared" ca="1" si="334"/>
        <v>-</v>
      </c>
      <c r="BK105" s="869" t="str">
        <f t="shared" ca="1" si="334"/>
        <v>-</v>
      </c>
      <c r="BL105" s="869" t="str">
        <f t="shared" ca="1" si="334"/>
        <v>-</v>
      </c>
      <c r="BM105" s="869" t="str">
        <f t="shared" ca="1" si="334"/>
        <v>-</v>
      </c>
      <c r="BN105" s="869" t="str">
        <f t="shared" ca="1" si="334"/>
        <v>-</v>
      </c>
      <c r="BO105" s="869" t="str">
        <f t="shared" ca="1" si="334"/>
        <v>-</v>
      </c>
      <c r="BP105" s="802"/>
    </row>
    <row r="106" spans="1:68">
      <c r="A106" s="783"/>
      <c r="B106" s="1618"/>
      <c r="C106" s="1618"/>
      <c r="D106" s="861" t="s">
        <v>836</v>
      </c>
      <c r="E106" s="861"/>
      <c r="F106" s="851" t="s">
        <v>837</v>
      </c>
      <c r="G106" s="868"/>
      <c r="H106" s="843"/>
      <c r="I106" s="843"/>
      <c r="J106" s="843"/>
      <c r="K106" s="843"/>
      <c r="L106" s="843"/>
      <c r="M106" s="788">
        <f ca="1">L105</f>
        <v>100</v>
      </c>
      <c r="N106" s="788" t="e">
        <f t="shared" ref="N106:O106" ca="1" si="336">M105</f>
        <v>#VALUE!</v>
      </c>
      <c r="O106" s="788" t="e">
        <f t="shared" ca="1" si="336"/>
        <v>#VALUE!</v>
      </c>
      <c r="P106" s="843"/>
      <c r="Q106" s="843"/>
      <c r="R106" s="843"/>
      <c r="S106" s="843"/>
      <c r="T106" s="843"/>
      <c r="U106" s="788">
        <f ca="1">T105</f>
        <v>100</v>
      </c>
      <c r="V106" s="788" t="e">
        <f t="shared" ref="V106:W106" ca="1" si="337">U105</f>
        <v>#VALUE!</v>
      </c>
      <c r="W106" s="788" t="e">
        <f t="shared" ca="1" si="337"/>
        <v>#VALUE!</v>
      </c>
      <c r="X106" s="843"/>
      <c r="Y106" s="843"/>
      <c r="Z106" s="843"/>
      <c r="AA106" s="843"/>
      <c r="AB106" s="843"/>
      <c r="AC106" s="788" t="str">
        <f ca="1">AB105</f>
        <v>-</v>
      </c>
      <c r="AD106" s="788" t="str">
        <f t="shared" ref="AD106:AE106" ca="1" si="338">AC105</f>
        <v>-</v>
      </c>
      <c r="AE106" s="788" t="str">
        <f t="shared" ca="1" si="338"/>
        <v>-</v>
      </c>
      <c r="AF106" s="843"/>
      <c r="AG106" s="788" t="str">
        <f t="shared" ref="AG106:BO106" ca="1" si="339">AF105</f>
        <v>-</v>
      </c>
      <c r="AH106" s="788" t="str">
        <f t="shared" ca="1" si="339"/>
        <v>-</v>
      </c>
      <c r="AI106" s="788" t="str">
        <f t="shared" ca="1" si="339"/>
        <v>-</v>
      </c>
      <c r="AJ106" s="843"/>
      <c r="AK106" s="788" t="str">
        <f t="shared" ref="AK106" ca="1" si="340">AJ105</f>
        <v>-</v>
      </c>
      <c r="AL106" s="788" t="str">
        <f t="shared" ca="1" si="339"/>
        <v>-</v>
      </c>
      <c r="AM106" s="788" t="str">
        <f t="shared" ca="1" si="339"/>
        <v>-</v>
      </c>
      <c r="AN106" s="843"/>
      <c r="AO106" s="788" t="str">
        <f t="shared" ref="AO106" ca="1" si="341">AN105</f>
        <v>-</v>
      </c>
      <c r="AP106" s="788" t="str">
        <f t="shared" ca="1" si="339"/>
        <v>-</v>
      </c>
      <c r="AQ106" s="788" t="str">
        <f t="shared" ca="1" si="339"/>
        <v>-</v>
      </c>
      <c r="AR106" s="843"/>
      <c r="AS106" s="788" t="str">
        <f t="shared" ref="AS106" ca="1" si="342">AR105</f>
        <v>-</v>
      </c>
      <c r="AT106" s="788" t="str">
        <f t="shared" ca="1" si="339"/>
        <v>-</v>
      </c>
      <c r="AU106" s="788" t="str">
        <f t="shared" ca="1" si="339"/>
        <v>-</v>
      </c>
      <c r="AV106" s="843"/>
      <c r="AW106" s="788" t="str">
        <f t="shared" ref="AW106" ca="1" si="343">AV105</f>
        <v>-</v>
      </c>
      <c r="AX106" s="788" t="str">
        <f t="shared" ca="1" si="339"/>
        <v>-</v>
      </c>
      <c r="AY106" s="788" t="str">
        <f t="shared" ca="1" si="339"/>
        <v>-</v>
      </c>
      <c r="AZ106" s="843"/>
      <c r="BA106" s="788" t="str">
        <f t="shared" ref="BA106" ca="1" si="344">AZ105</f>
        <v>-</v>
      </c>
      <c r="BB106" s="788" t="str">
        <f t="shared" ca="1" si="339"/>
        <v>-</v>
      </c>
      <c r="BC106" s="788" t="str">
        <f t="shared" ca="1" si="339"/>
        <v>-</v>
      </c>
      <c r="BD106" s="843"/>
      <c r="BE106" s="788" t="str">
        <f t="shared" ref="BE106" ca="1" si="345">BD105</f>
        <v>-</v>
      </c>
      <c r="BF106" s="788" t="str">
        <f t="shared" ca="1" si="339"/>
        <v>-</v>
      </c>
      <c r="BG106" s="788" t="str">
        <f t="shared" ca="1" si="339"/>
        <v>-</v>
      </c>
      <c r="BH106" s="843"/>
      <c r="BI106" s="788" t="str">
        <f t="shared" ref="BI106" ca="1" si="346">BH105</f>
        <v>-</v>
      </c>
      <c r="BJ106" s="788" t="str">
        <f t="shared" ca="1" si="339"/>
        <v>-</v>
      </c>
      <c r="BK106" s="788" t="str">
        <f t="shared" ca="1" si="339"/>
        <v>-</v>
      </c>
      <c r="BL106" s="843"/>
      <c r="BM106" s="788" t="str">
        <f t="shared" ref="BM106" ca="1" si="347">BL105</f>
        <v>-</v>
      </c>
      <c r="BN106" s="788" t="str">
        <f t="shared" ca="1" si="339"/>
        <v>-</v>
      </c>
      <c r="BO106" s="788" t="str">
        <f t="shared" ca="1" si="339"/>
        <v>-</v>
      </c>
      <c r="BP106" s="802"/>
    </row>
    <row r="107" spans="1:68">
      <c r="A107" s="783"/>
      <c r="B107" s="1618"/>
      <c r="C107" s="1618"/>
      <c r="D107" s="853" t="s">
        <v>1276</v>
      </c>
      <c r="E107" s="867"/>
      <c r="F107" s="851" t="s">
        <v>838</v>
      </c>
      <c r="G107" s="856" t="s">
        <v>761</v>
      </c>
      <c r="H107" s="843"/>
      <c r="I107" s="843"/>
      <c r="J107" s="843"/>
      <c r="K107" s="843"/>
      <c r="L107" s="843"/>
      <c r="M107" s="870" t="str">
        <f ca="1">IFERROR(ROUND((1-M105/M106)*100,1),"-")</f>
        <v>-</v>
      </c>
      <c r="N107" s="870" t="str">
        <f ca="1">IFERROR(ROUND((1-N105/N106)*100,1),"-")</f>
        <v>-</v>
      </c>
      <c r="O107" s="870" t="str">
        <f ca="1">IFERROR(ROUND((1-O105/O106)*100,1),"-")</f>
        <v>-</v>
      </c>
      <c r="P107" s="843"/>
      <c r="Q107" s="870" t="str">
        <f ca="1">IFERROR(ROUND(OFFSET(A1_原単位2025,50,3),1),"")</f>
        <v/>
      </c>
      <c r="R107" s="870" t="str">
        <f ca="1">IFERROR(ROUND(OFFSET(A1_原単位2026,50,3),1),"")</f>
        <v/>
      </c>
      <c r="S107" s="870" t="str">
        <f ca="1">IFERROR(ROUND(OFFSET(A1_原単位2027,50,3),1),"")</f>
        <v/>
      </c>
      <c r="T107" s="843"/>
      <c r="U107" s="870" t="str">
        <f ca="1">IFERROR(ROUND((1-U105/U106)*100,1),"-")</f>
        <v>-</v>
      </c>
      <c r="V107" s="870" t="str">
        <f ca="1">IFERROR(ROUND((1-V105/V106)*100,1),"-")</f>
        <v>-</v>
      </c>
      <c r="W107" s="870" t="str">
        <f ca="1">IFERROR(ROUND((1-W105/W106)*100,1),"-")</f>
        <v>-</v>
      </c>
      <c r="X107" s="843"/>
      <c r="Y107" s="870" t="str">
        <f ca="1">IFERROR(ROUND(OFFSET(A1_原単位2025,51,3),1),"")</f>
        <v/>
      </c>
      <c r="Z107" s="870" t="str">
        <f ca="1">IFERROR(ROUND(OFFSET(A1_原単位2026,51,3),1),"")</f>
        <v/>
      </c>
      <c r="AA107" s="870" t="str">
        <f ca="1">IFERROR(ROUND(OFFSET(A1_原単位2027,51,3),1),"")</f>
        <v/>
      </c>
      <c r="AB107" s="843"/>
      <c r="AC107" s="870" t="str">
        <f t="shared" ref="AC107:AE107" ca="1" si="348">IFERROR(ROUND((1-AC105/AC106)*100,1),"-")</f>
        <v>-</v>
      </c>
      <c r="AD107" s="870" t="str">
        <f t="shared" ca="1" si="348"/>
        <v>-</v>
      </c>
      <c r="AE107" s="870" t="str">
        <f t="shared" ca="1" si="348"/>
        <v>-</v>
      </c>
      <c r="AF107" s="843"/>
      <c r="AG107" s="870" t="str">
        <f t="shared" ref="AG107:AI107" ca="1" si="349">IFERROR(ROUND((1-AG105/AG106)*100,1),"-")</f>
        <v>-</v>
      </c>
      <c r="AH107" s="870" t="str">
        <f t="shared" ca="1" si="349"/>
        <v>-</v>
      </c>
      <c r="AI107" s="870" t="str">
        <f t="shared" ca="1" si="349"/>
        <v>-</v>
      </c>
      <c r="AJ107" s="843"/>
      <c r="AK107" s="870" t="str">
        <f t="shared" ref="AK107:AM107" ca="1" si="350">IFERROR(ROUND((1-AK105/AK106)*100,1),"-")</f>
        <v>-</v>
      </c>
      <c r="AL107" s="870" t="str">
        <f t="shared" ca="1" si="350"/>
        <v>-</v>
      </c>
      <c r="AM107" s="870" t="str">
        <f t="shared" ca="1" si="350"/>
        <v>-</v>
      </c>
      <c r="AN107" s="843"/>
      <c r="AO107" s="870" t="str">
        <f t="shared" ref="AO107:AQ107" ca="1" si="351">IFERROR(ROUND((1-AO105/AO106)*100,1),"-")</f>
        <v>-</v>
      </c>
      <c r="AP107" s="870" t="str">
        <f t="shared" ca="1" si="351"/>
        <v>-</v>
      </c>
      <c r="AQ107" s="870" t="str">
        <f t="shared" ca="1" si="351"/>
        <v>-</v>
      </c>
      <c r="AR107" s="843"/>
      <c r="AS107" s="870" t="str">
        <f t="shared" ref="AS107:AU107" ca="1" si="352">IFERROR(ROUND((1-AS105/AS106)*100,1),"-")</f>
        <v>-</v>
      </c>
      <c r="AT107" s="870" t="str">
        <f t="shared" ca="1" si="352"/>
        <v>-</v>
      </c>
      <c r="AU107" s="870" t="str">
        <f t="shared" ca="1" si="352"/>
        <v>-</v>
      </c>
      <c r="AV107" s="843"/>
      <c r="AW107" s="870" t="str">
        <f t="shared" ref="AW107:AY107" ca="1" si="353">IFERROR(ROUND((1-AW105/AW106)*100,1),"-")</f>
        <v>-</v>
      </c>
      <c r="AX107" s="870" t="str">
        <f t="shared" ca="1" si="353"/>
        <v>-</v>
      </c>
      <c r="AY107" s="870" t="str">
        <f t="shared" ca="1" si="353"/>
        <v>-</v>
      </c>
      <c r="AZ107" s="843"/>
      <c r="BA107" s="870" t="str">
        <f t="shared" ref="BA107:BC107" ca="1" si="354">IFERROR(ROUND((1-BA105/BA106)*100,1),"-")</f>
        <v>-</v>
      </c>
      <c r="BB107" s="870" t="str">
        <f t="shared" ca="1" si="354"/>
        <v>-</v>
      </c>
      <c r="BC107" s="870" t="str">
        <f t="shared" ca="1" si="354"/>
        <v>-</v>
      </c>
      <c r="BD107" s="843"/>
      <c r="BE107" s="870" t="str">
        <f t="shared" ref="BE107:BG107" ca="1" si="355">IFERROR(ROUND((1-BE105/BE106)*100,1),"-")</f>
        <v>-</v>
      </c>
      <c r="BF107" s="870" t="str">
        <f t="shared" ca="1" si="355"/>
        <v>-</v>
      </c>
      <c r="BG107" s="870" t="str">
        <f t="shared" ca="1" si="355"/>
        <v>-</v>
      </c>
      <c r="BH107" s="843"/>
      <c r="BI107" s="870" t="str">
        <f t="shared" ref="BI107:BK107" ca="1" si="356">IFERROR(ROUND((1-BI105/BI106)*100,1),"-")</f>
        <v>-</v>
      </c>
      <c r="BJ107" s="870" t="str">
        <f t="shared" ca="1" si="356"/>
        <v>-</v>
      </c>
      <c r="BK107" s="870" t="str">
        <f t="shared" ca="1" si="356"/>
        <v>-</v>
      </c>
      <c r="BL107" s="843"/>
      <c r="BM107" s="870" t="str">
        <f t="shared" ref="BM107:BO107" ca="1" si="357">IFERROR(ROUND((1-BM105/BM106)*100,1),"-")</f>
        <v>-</v>
      </c>
      <c r="BN107" s="870" t="str">
        <f t="shared" ca="1" si="357"/>
        <v>-</v>
      </c>
      <c r="BO107" s="870" t="str">
        <f t="shared" ca="1" si="357"/>
        <v>-</v>
      </c>
      <c r="BP107" s="802"/>
    </row>
    <row r="108" spans="1:68">
      <c r="A108" s="783"/>
      <c r="B108" s="1618"/>
      <c r="C108" s="1618"/>
      <c r="D108" s="871" t="s">
        <v>1277</v>
      </c>
      <c r="E108" s="867"/>
      <c r="F108" s="851" t="s">
        <v>839</v>
      </c>
      <c r="G108" s="856" t="s">
        <v>761</v>
      </c>
      <c r="H108" s="843"/>
      <c r="I108" s="843"/>
      <c r="J108" s="843"/>
      <c r="K108" s="843"/>
      <c r="L108" s="843"/>
      <c r="M108" s="843"/>
      <c r="N108" s="843"/>
      <c r="O108" s="843"/>
      <c r="P108" s="843"/>
      <c r="Q108" s="843"/>
      <c r="R108" s="843"/>
      <c r="S108" s="843"/>
      <c r="T108" s="843"/>
      <c r="U108" s="870" t="str">
        <f ca="1">IF(T102="-","-",OFFSET(A1_原単位2025,51,11))</f>
        <v/>
      </c>
      <c r="V108" s="870" t="str">
        <f ca="1">IF(U102="-","-",OFFSET(A1_原単位2026,51,11))</f>
        <v/>
      </c>
      <c r="W108" s="870" t="str">
        <f ca="1">IF(V102="-","-",OFFSET(A1_原単位2027,51,11))</f>
        <v/>
      </c>
      <c r="X108" s="843"/>
      <c r="Y108" s="788" t="str">
        <f ca="1">IFERROR(Y100/100*Y107/100*100,"")</f>
        <v/>
      </c>
      <c r="Z108" s="788" t="str">
        <f ca="1">IFERROR(Z100/100*Z107/100*100,"")</f>
        <v/>
      </c>
      <c r="AA108" s="788" t="str">
        <f ca="1">IFERROR(AA100/100*AA107/100*100,"")</f>
        <v/>
      </c>
      <c r="AB108" s="843"/>
      <c r="AC108" s="788" t="str">
        <f ca="1">IFERROR(AC100/100*AC107/100*100,"")</f>
        <v/>
      </c>
      <c r="AD108" s="788" t="str">
        <f t="shared" ref="AD108:AE108" ca="1" si="358">IFERROR(AD100/100*AD107/100*100,"")</f>
        <v/>
      </c>
      <c r="AE108" s="788" t="str">
        <f t="shared" ca="1" si="358"/>
        <v/>
      </c>
      <c r="AF108" s="843"/>
      <c r="AG108" s="788" t="str">
        <f ca="1">IFERROR(AG100/100*AG107/100*100,"")</f>
        <v/>
      </c>
      <c r="AH108" s="788" t="str">
        <f t="shared" ref="AH108:AI108" ca="1" si="359">IFERROR(AH100/100*AH107/100*100,"")</f>
        <v/>
      </c>
      <c r="AI108" s="788" t="str">
        <f t="shared" ca="1" si="359"/>
        <v/>
      </c>
      <c r="AJ108" s="843"/>
      <c r="AK108" s="788" t="str">
        <f ca="1">IFERROR(AK100/100*AK107/100*100,"")</f>
        <v/>
      </c>
      <c r="AL108" s="788" t="str">
        <f t="shared" ref="AL108:AM108" ca="1" si="360">IFERROR(AL100/100*AL107/100*100,"")</f>
        <v/>
      </c>
      <c r="AM108" s="788" t="str">
        <f t="shared" ca="1" si="360"/>
        <v/>
      </c>
      <c r="AN108" s="843"/>
      <c r="AO108" s="788" t="str">
        <f ca="1">IFERROR(AO100/100*AO107/100*100,"")</f>
        <v/>
      </c>
      <c r="AP108" s="788" t="str">
        <f t="shared" ref="AP108:AQ108" ca="1" si="361">IFERROR(AP100/100*AP107/100*100,"")</f>
        <v/>
      </c>
      <c r="AQ108" s="788" t="str">
        <f t="shared" ca="1" si="361"/>
        <v/>
      </c>
      <c r="AR108" s="843"/>
      <c r="AS108" s="788" t="str">
        <f t="shared" ref="AS108:AU108" ca="1" si="362">IFERROR(AS100/100*AS107/100*100,"")</f>
        <v/>
      </c>
      <c r="AT108" s="788" t="str">
        <f t="shared" ca="1" si="362"/>
        <v/>
      </c>
      <c r="AU108" s="788" t="str">
        <f t="shared" ca="1" si="362"/>
        <v/>
      </c>
      <c r="AV108" s="843"/>
      <c r="AW108" s="788" t="str">
        <f t="shared" ref="AW108:AY108" ca="1" si="363">IFERROR(AW100/100*AW107/100*100,"")</f>
        <v/>
      </c>
      <c r="AX108" s="788" t="str">
        <f t="shared" ca="1" si="363"/>
        <v/>
      </c>
      <c r="AY108" s="788" t="str">
        <f t="shared" ca="1" si="363"/>
        <v/>
      </c>
      <c r="AZ108" s="843"/>
      <c r="BA108" s="788" t="str">
        <f t="shared" ref="BA108:BC108" ca="1" si="364">IFERROR(BA100/100*BA107/100*100,"")</f>
        <v/>
      </c>
      <c r="BB108" s="788" t="str">
        <f t="shared" ca="1" si="364"/>
        <v/>
      </c>
      <c r="BC108" s="788" t="str">
        <f t="shared" ca="1" si="364"/>
        <v/>
      </c>
      <c r="BD108" s="843"/>
      <c r="BE108" s="788" t="str">
        <f t="shared" ref="BE108:BG108" ca="1" si="365">IFERROR(BE100/100*BE107/100*100,"")</f>
        <v/>
      </c>
      <c r="BF108" s="788" t="str">
        <f t="shared" ca="1" si="365"/>
        <v/>
      </c>
      <c r="BG108" s="788" t="str">
        <f t="shared" ca="1" si="365"/>
        <v/>
      </c>
      <c r="BH108" s="843"/>
      <c r="BI108" s="788" t="str">
        <f t="shared" ref="BI108:BK108" ca="1" si="366">IFERROR(BI100/100*BI107/100*100,"")</f>
        <v/>
      </c>
      <c r="BJ108" s="788" t="str">
        <f t="shared" ca="1" si="366"/>
        <v/>
      </c>
      <c r="BK108" s="788" t="str">
        <f t="shared" ca="1" si="366"/>
        <v/>
      </c>
      <c r="BL108" s="843"/>
      <c r="BM108" s="788" t="str">
        <f t="shared" ref="BM108:BO108" ca="1" si="367">IFERROR(BM100/100*BM107/100*100,"")</f>
        <v/>
      </c>
      <c r="BN108" s="788" t="str">
        <f t="shared" ca="1" si="367"/>
        <v/>
      </c>
      <c r="BO108" s="788" t="str">
        <f t="shared" ca="1" si="367"/>
        <v/>
      </c>
      <c r="BP108" s="802"/>
    </row>
    <row r="109" spans="1:68">
      <c r="A109" s="783"/>
      <c r="B109" s="1618"/>
      <c r="C109" s="1618"/>
      <c r="D109" s="871" t="s">
        <v>1278</v>
      </c>
      <c r="E109" s="867"/>
      <c r="F109" s="851" t="s">
        <v>840</v>
      </c>
      <c r="G109" s="856" t="s">
        <v>761</v>
      </c>
      <c r="H109" s="843"/>
      <c r="I109" s="843"/>
      <c r="J109" s="843"/>
      <c r="K109" s="843"/>
      <c r="L109" s="843"/>
      <c r="M109" s="870" t="str">
        <f ca="1">IF(L102="-","-",OFFSET(A1_原単位2025,50,11))</f>
        <v/>
      </c>
      <c r="N109" s="870" t="str">
        <f ca="1">IF(M102="-","-",OFFSET(A1_原単位2026,50,11))</f>
        <v/>
      </c>
      <c r="O109" s="870" t="str">
        <f ca="1">IF(N102="-","-",OFFSET(A1_原単位2027,50,11))</f>
        <v/>
      </c>
      <c r="P109" s="843"/>
      <c r="Q109" s="788" t="str">
        <f ca="1">IFERROR(Q101/100*Q107/100*100,"")</f>
        <v/>
      </c>
      <c r="R109" s="788" t="str">
        <f t="shared" ref="R109:S109" ca="1" si="368">IFERROR(R101/100*R107/100*100,"")</f>
        <v/>
      </c>
      <c r="S109" s="788" t="str">
        <f t="shared" ca="1" si="368"/>
        <v/>
      </c>
      <c r="T109" s="843"/>
      <c r="U109" s="788" t="str">
        <f ca="1">IFERROR(U101/100*U107/100*100,"")</f>
        <v/>
      </c>
      <c r="V109" s="788" t="str">
        <f t="shared" ref="V109:W109" ca="1" si="369">IFERROR(V101/100*V107/100*100,"")</f>
        <v/>
      </c>
      <c r="W109" s="788" t="str">
        <f t="shared" ca="1" si="369"/>
        <v/>
      </c>
      <c r="X109" s="843"/>
      <c r="Y109" s="788" t="str">
        <f ca="1">IFERROR(Y101/100*Y107/100*100,"")</f>
        <v/>
      </c>
      <c r="Z109" s="788" t="str">
        <f ca="1">IFERROR(Z101/100*Z107/100*100,"")</f>
        <v/>
      </c>
      <c r="AA109" s="788" t="str">
        <f ca="1">IFERROR(AA101/100*AA107/100*100,"")</f>
        <v/>
      </c>
      <c r="AB109" s="843"/>
      <c r="AC109" s="788" t="str">
        <f ca="1">IFERROR(AC101/100*AC107/100*100,"")</f>
        <v/>
      </c>
      <c r="AD109" s="788" t="str">
        <f t="shared" ref="AD109:AE109" ca="1" si="370">IFERROR(AD101/100*AD107/100*100,"")</f>
        <v/>
      </c>
      <c r="AE109" s="788" t="str">
        <f t="shared" ca="1" si="370"/>
        <v/>
      </c>
      <c r="AF109" s="843"/>
      <c r="AG109" s="788" t="str">
        <f ca="1">IFERROR(AG101/100*AG107/100*100,"")</f>
        <v/>
      </c>
      <c r="AH109" s="788" t="str">
        <f t="shared" ref="AH109:AI109" ca="1" si="371">IFERROR(AH101/100*AH107/100*100,"")</f>
        <v/>
      </c>
      <c r="AI109" s="788" t="str">
        <f t="shared" ca="1" si="371"/>
        <v/>
      </c>
      <c r="AJ109" s="843"/>
      <c r="AK109" s="788" t="str">
        <f ca="1">IFERROR(AK101/100*AK107/100*100,"")</f>
        <v/>
      </c>
      <c r="AL109" s="788" t="str">
        <f t="shared" ref="AL109:AM109" ca="1" si="372">IFERROR(AL101/100*AL107/100*100,"")</f>
        <v/>
      </c>
      <c r="AM109" s="788" t="str">
        <f t="shared" ca="1" si="372"/>
        <v/>
      </c>
      <c r="AN109" s="843"/>
      <c r="AO109" s="788" t="str">
        <f ca="1">IFERROR(AO101/100*AO107/100*100,"")</f>
        <v/>
      </c>
      <c r="AP109" s="788" t="str">
        <f t="shared" ref="AP109:AQ109" ca="1" si="373">IFERROR(AP101/100*AP107/100*100,"")</f>
        <v/>
      </c>
      <c r="AQ109" s="788" t="str">
        <f t="shared" ca="1" si="373"/>
        <v/>
      </c>
      <c r="AR109" s="843"/>
      <c r="AS109" s="788" t="str">
        <f t="shared" ref="AS109:AU109" ca="1" si="374">IFERROR(AS101/100*AS107/100*100,"")</f>
        <v/>
      </c>
      <c r="AT109" s="788" t="str">
        <f t="shared" ca="1" si="374"/>
        <v/>
      </c>
      <c r="AU109" s="788" t="str">
        <f t="shared" ca="1" si="374"/>
        <v/>
      </c>
      <c r="AV109" s="843"/>
      <c r="AW109" s="788" t="str">
        <f t="shared" ref="AW109:AY109" ca="1" si="375">IFERROR(AW101/100*AW107/100*100,"")</f>
        <v/>
      </c>
      <c r="AX109" s="788" t="str">
        <f t="shared" ca="1" si="375"/>
        <v/>
      </c>
      <c r="AY109" s="788" t="str">
        <f t="shared" ca="1" si="375"/>
        <v/>
      </c>
      <c r="AZ109" s="843"/>
      <c r="BA109" s="788" t="str">
        <f t="shared" ref="BA109:BC109" ca="1" si="376">IFERROR(BA101/100*BA107/100*100,"")</f>
        <v/>
      </c>
      <c r="BB109" s="788" t="str">
        <f t="shared" ca="1" si="376"/>
        <v/>
      </c>
      <c r="BC109" s="788" t="str">
        <f t="shared" ca="1" si="376"/>
        <v/>
      </c>
      <c r="BD109" s="843"/>
      <c r="BE109" s="788" t="str">
        <f t="shared" ref="BE109:BG109" ca="1" si="377">IFERROR(BE101/100*BE107/100*100,"")</f>
        <v/>
      </c>
      <c r="BF109" s="788" t="str">
        <f t="shared" ca="1" si="377"/>
        <v/>
      </c>
      <c r="BG109" s="788" t="str">
        <f t="shared" ca="1" si="377"/>
        <v/>
      </c>
      <c r="BH109" s="843"/>
      <c r="BI109" s="788" t="str">
        <f t="shared" ref="BI109:BK109" ca="1" si="378">IFERROR(BI101/100*BI107/100*100,"")</f>
        <v/>
      </c>
      <c r="BJ109" s="788" t="str">
        <f t="shared" ca="1" si="378"/>
        <v/>
      </c>
      <c r="BK109" s="788" t="str">
        <f t="shared" ca="1" si="378"/>
        <v/>
      </c>
      <c r="BL109" s="843"/>
      <c r="BM109" s="788" t="str">
        <f t="shared" ref="BM109:BO109" ca="1" si="379">IFERROR(BM101/100*BM107/100*100,"")</f>
        <v/>
      </c>
      <c r="BN109" s="788" t="str">
        <f t="shared" ca="1" si="379"/>
        <v/>
      </c>
      <c r="BO109" s="788" t="str">
        <f t="shared" ca="1" si="379"/>
        <v/>
      </c>
      <c r="BP109" s="802"/>
    </row>
    <row r="110" spans="1:68" ht="19.5" customHeight="1">
      <c r="A110" s="783"/>
      <c r="B110" s="1619" t="s">
        <v>841</v>
      </c>
      <c r="C110" s="1620"/>
      <c r="D110" s="853" t="s">
        <v>842</v>
      </c>
      <c r="E110" s="867"/>
      <c r="F110" s="862"/>
      <c r="G110" s="852" t="s">
        <v>843</v>
      </c>
      <c r="H110" s="872"/>
      <c r="I110" s="872"/>
      <c r="J110" s="872"/>
      <c r="K110" s="872"/>
      <c r="L110" s="844">
        <f ca="1">参考3_排出量経年!L224/1000</f>
        <v>0</v>
      </c>
      <c r="M110" s="844">
        <f ca="1">参考3_排出量経年!M224/1000</f>
        <v>0</v>
      </c>
      <c r="N110" s="844">
        <f ca="1">参考3_排出量経年!N224/1000</f>
        <v>0</v>
      </c>
      <c r="O110" s="844">
        <f ca="1">参考3_排出量経年!O224/1000</f>
        <v>0</v>
      </c>
      <c r="P110" s="844">
        <f ca="1">参考3_排出量経年!P224/1000</f>
        <v>0</v>
      </c>
      <c r="Q110" s="844">
        <f ca="1">参考3_排出量経年!Q224/1000</f>
        <v>0</v>
      </c>
      <c r="R110" s="844">
        <f ca="1">参考3_排出量経年!R224/1000</f>
        <v>0</v>
      </c>
      <c r="S110" s="844">
        <f ca="1">参考3_排出量経年!S224/1000</f>
        <v>0</v>
      </c>
      <c r="T110" s="844">
        <f ca="1">参考3_排出量経年!T224/1000</f>
        <v>0</v>
      </c>
      <c r="U110" s="844">
        <f ca="1">参考3_排出量経年!U224/1000</f>
        <v>0</v>
      </c>
      <c r="V110" s="844">
        <f ca="1">参考3_排出量経年!V224/1000</f>
        <v>0</v>
      </c>
      <c r="W110" s="844">
        <f ca="1">参考3_排出量経年!W224/1000</f>
        <v>0</v>
      </c>
      <c r="X110" s="873"/>
      <c r="Y110" s="873"/>
      <c r="Z110" s="873"/>
      <c r="AA110" s="873"/>
      <c r="AB110" s="873"/>
      <c r="AC110" s="873"/>
      <c r="AD110" s="873"/>
      <c r="AE110" s="873"/>
      <c r="AF110" s="873"/>
      <c r="AG110" s="873"/>
      <c r="AH110" s="873"/>
      <c r="AI110" s="873"/>
      <c r="AJ110" s="873"/>
      <c r="AK110" s="873"/>
      <c r="AL110" s="873"/>
      <c r="AM110" s="873"/>
      <c r="AN110" s="873"/>
      <c r="AO110" s="873"/>
      <c r="AP110" s="873"/>
      <c r="AQ110" s="873"/>
      <c r="AR110" s="873"/>
      <c r="AS110" s="873"/>
      <c r="AT110" s="873"/>
      <c r="AU110" s="873"/>
      <c r="AV110" s="873"/>
      <c r="AW110" s="873"/>
      <c r="AX110" s="873"/>
      <c r="AY110" s="873"/>
      <c r="AZ110" s="873"/>
      <c r="BA110" s="873"/>
      <c r="BB110" s="873"/>
      <c r="BC110" s="873"/>
      <c r="BD110" s="873"/>
      <c r="BE110" s="873"/>
      <c r="BF110" s="873"/>
      <c r="BG110" s="873"/>
      <c r="BH110" s="873"/>
      <c r="BI110" s="873"/>
      <c r="BJ110" s="873"/>
      <c r="BK110" s="873"/>
      <c r="BL110" s="873"/>
      <c r="BM110" s="873"/>
      <c r="BN110" s="873"/>
      <c r="BO110" s="873"/>
      <c r="BP110" s="802"/>
    </row>
    <row r="111" spans="1:68">
      <c r="A111" s="783">
        <v>17</v>
      </c>
      <c r="B111" s="1621"/>
      <c r="C111" s="1622"/>
      <c r="D111" s="853" t="s">
        <v>844</v>
      </c>
      <c r="E111" s="867"/>
      <c r="F111" s="862"/>
      <c r="G111" s="852" t="s">
        <v>843</v>
      </c>
      <c r="H111" s="872"/>
      <c r="I111" s="872"/>
      <c r="J111" s="872"/>
      <c r="K111" s="872"/>
      <c r="L111" s="789">
        <f t="shared" ref="L111:O113" ca="1" si="380">P111+T111</f>
        <v>0</v>
      </c>
      <c r="M111" s="789">
        <f t="shared" ca="1" si="380"/>
        <v>0</v>
      </c>
      <c r="N111" s="789">
        <f t="shared" ca="1" si="380"/>
        <v>0</v>
      </c>
      <c r="O111" s="789">
        <f t="shared" ca="1" si="380"/>
        <v>0</v>
      </c>
      <c r="P111" s="846">
        <f ca="1">SUM(SUMIFS(OFFSET(A1_集計2024,$A111,9,1,199),OFFSET(貼付け_2024実績,4,9,1,199),{"横浜*","川崎*"}))</f>
        <v>0</v>
      </c>
      <c r="Q111" s="846">
        <f ca="1">SUM(SUMIFS(OFFSET(A1_集計2025,$A111,9,1,199),OFFSET(貼付け_2025実績,4,9,1,199),{"横浜*","川崎*"}))</f>
        <v>0</v>
      </c>
      <c r="R111" s="846">
        <f ca="1">SUM(SUMIFS(OFFSET(A1_集計2026,$A111,9,1,199),OFFSET(貼付け_2026実績,4,9,1,199),{"横浜*","川崎*"}))</f>
        <v>0</v>
      </c>
      <c r="S111" s="846">
        <f ca="1">SUM(SUMIFS(OFFSET(A1_集計2027,$A111,9,1,199),OFFSET(貼付け_2027実績,4,9,1,199),{"横浜*","川崎*"}))</f>
        <v>0</v>
      </c>
      <c r="T111" s="846">
        <f ca="1">SUM(SUMIFS(OFFSET(A1_集計2024,$A111,9,1,199),OFFSET(貼付け_2024実績,4,9,1,199),{"県域*","エネルギー管理指定工場等*"}))</f>
        <v>0</v>
      </c>
      <c r="U111" s="846">
        <f ca="1">SUM(SUMIFS(OFFSET(A1_集計2025,$A111,9,1,199),OFFSET(貼付け_2025実績,4,9,1,199),{"県域*","エネルギー管理指定工場等*"}))</f>
        <v>0</v>
      </c>
      <c r="V111" s="846">
        <f ca="1">SUM(SUMIFS(OFFSET(A1_集計2026,$A111,9,1,199),OFFSET(貼付け_2026実績,4,9,1,199),{"県域*","エネルギー管理指定工場等*"}))</f>
        <v>0</v>
      </c>
      <c r="W111" s="846">
        <f ca="1">SUM(SUMIFS(OFFSET(A1_集計2027,$A111,9,1,199),OFFSET(貼付け_2027実績,4,9,1,199),{"県域*","エネルギー管理指定工場等*"}))</f>
        <v>0</v>
      </c>
      <c r="X111" s="873"/>
      <c r="Y111" s="873"/>
      <c r="Z111" s="873"/>
      <c r="AA111" s="873"/>
      <c r="AB111" s="873"/>
      <c r="AC111" s="873"/>
      <c r="AD111" s="873"/>
      <c r="AE111" s="873"/>
      <c r="AF111" s="873"/>
      <c r="AG111" s="873"/>
      <c r="AH111" s="873"/>
      <c r="AI111" s="873"/>
      <c r="AJ111" s="873"/>
      <c r="AK111" s="873"/>
      <c r="AL111" s="873"/>
      <c r="AM111" s="873"/>
      <c r="AN111" s="873"/>
      <c r="AO111" s="873"/>
      <c r="AP111" s="873"/>
      <c r="AQ111" s="873"/>
      <c r="AR111" s="873"/>
      <c r="AS111" s="873"/>
      <c r="AT111" s="873"/>
      <c r="AU111" s="873"/>
      <c r="AV111" s="873"/>
      <c r="AW111" s="873"/>
      <c r="AX111" s="873"/>
      <c r="AY111" s="873"/>
      <c r="AZ111" s="873"/>
      <c r="BA111" s="873"/>
      <c r="BB111" s="873"/>
      <c r="BC111" s="873"/>
      <c r="BD111" s="873"/>
      <c r="BE111" s="873"/>
      <c r="BF111" s="873"/>
      <c r="BG111" s="873"/>
      <c r="BH111" s="873"/>
      <c r="BI111" s="873"/>
      <c r="BJ111" s="873"/>
      <c r="BK111" s="873"/>
      <c r="BL111" s="873"/>
      <c r="BM111" s="873"/>
      <c r="BN111" s="873"/>
      <c r="BO111" s="873"/>
      <c r="BP111" s="802"/>
    </row>
    <row r="112" spans="1:68" ht="19.5" customHeight="1">
      <c r="A112" s="783"/>
      <c r="B112" s="1621"/>
      <c r="C112" s="1622"/>
      <c r="D112" s="874" t="s">
        <v>845</v>
      </c>
      <c r="E112" s="861"/>
      <c r="F112" s="862"/>
      <c r="G112" s="852" t="s">
        <v>843</v>
      </c>
      <c r="H112" s="872"/>
      <c r="I112" s="872"/>
      <c r="J112" s="872"/>
      <c r="K112" s="872"/>
      <c r="L112" s="789">
        <f t="shared" ca="1" si="380"/>
        <v>0</v>
      </c>
      <c r="M112" s="789">
        <f t="shared" ca="1" si="380"/>
        <v>0</v>
      </c>
      <c r="N112" s="789">
        <f t="shared" ca="1" si="380"/>
        <v>0</v>
      </c>
      <c r="O112" s="789">
        <f t="shared" ca="1" si="380"/>
        <v>0</v>
      </c>
      <c r="P112" s="846">
        <f ca="1">P69+P70+P72+P74+P75+P77+P79+P81+P83+P85+P88+P90</f>
        <v>0</v>
      </c>
      <c r="Q112" s="846">
        <f t="shared" ref="Q112:W112" ca="1" si="381">Q69+Q70+Q72+Q74+Q75+Q77+Q79+Q81+Q83+Q85+Q88+Q90</f>
        <v>0</v>
      </c>
      <c r="R112" s="846">
        <f t="shared" ca="1" si="381"/>
        <v>0</v>
      </c>
      <c r="S112" s="846">
        <f t="shared" ca="1" si="381"/>
        <v>0</v>
      </c>
      <c r="T112" s="846">
        <f t="shared" ca="1" si="381"/>
        <v>0</v>
      </c>
      <c r="U112" s="846">
        <f t="shared" ca="1" si="381"/>
        <v>0</v>
      </c>
      <c r="V112" s="846">
        <f t="shared" ca="1" si="381"/>
        <v>0</v>
      </c>
      <c r="W112" s="846">
        <f t="shared" ca="1" si="381"/>
        <v>0</v>
      </c>
      <c r="X112" s="873"/>
      <c r="Y112" s="875"/>
      <c r="Z112" s="875"/>
      <c r="AA112" s="875"/>
      <c r="AB112" s="873"/>
      <c r="AC112" s="875"/>
      <c r="AD112" s="875"/>
      <c r="AE112" s="875"/>
      <c r="AF112" s="873"/>
      <c r="AG112" s="875"/>
      <c r="AH112" s="875"/>
      <c r="AI112" s="875"/>
      <c r="AJ112" s="873"/>
      <c r="AK112" s="875"/>
      <c r="AL112" s="875"/>
      <c r="AM112" s="875"/>
      <c r="AN112" s="873"/>
      <c r="AO112" s="875"/>
      <c r="AP112" s="875"/>
      <c r="AQ112" s="875"/>
      <c r="AR112" s="873"/>
      <c r="AS112" s="875"/>
      <c r="AT112" s="875"/>
      <c r="AU112" s="875"/>
      <c r="AV112" s="873"/>
      <c r="AW112" s="875"/>
      <c r="AX112" s="875"/>
      <c r="AY112" s="875"/>
      <c r="AZ112" s="873"/>
      <c r="BA112" s="875"/>
      <c r="BB112" s="875"/>
      <c r="BC112" s="875"/>
      <c r="BD112" s="873"/>
      <c r="BE112" s="875"/>
      <c r="BF112" s="875"/>
      <c r="BG112" s="875"/>
      <c r="BH112" s="873"/>
      <c r="BI112" s="875"/>
      <c r="BJ112" s="875"/>
      <c r="BK112" s="875"/>
      <c r="BL112" s="873"/>
      <c r="BM112" s="875"/>
      <c r="BN112" s="875"/>
      <c r="BO112" s="875"/>
      <c r="BP112" s="802"/>
    </row>
    <row r="113" spans="1:68">
      <c r="A113" s="783"/>
      <c r="B113" s="1621"/>
      <c r="C113" s="1622"/>
      <c r="D113" s="874" t="s">
        <v>846</v>
      </c>
      <c r="E113" s="861"/>
      <c r="F113" s="862"/>
      <c r="G113" s="852" t="s">
        <v>843</v>
      </c>
      <c r="H113" s="872"/>
      <c r="I113" s="872"/>
      <c r="J113" s="872"/>
      <c r="K113" s="872"/>
      <c r="L113" s="789">
        <f ca="1">P113+T113</f>
        <v>0</v>
      </c>
      <c r="M113" s="789">
        <f t="shared" ca="1" si="380"/>
        <v>0</v>
      </c>
      <c r="N113" s="789">
        <f t="shared" ca="1" si="380"/>
        <v>0</v>
      </c>
      <c r="O113" s="789">
        <f t="shared" ca="1" si="380"/>
        <v>0</v>
      </c>
      <c r="P113" s="846">
        <f ca="1">P112-P338</f>
        <v>0</v>
      </c>
      <c r="Q113" s="846">
        <f t="shared" ref="Q113:W113" ca="1" si="382">Q112-Q338</f>
        <v>0</v>
      </c>
      <c r="R113" s="846">
        <f t="shared" ca="1" si="382"/>
        <v>0</v>
      </c>
      <c r="S113" s="846">
        <f t="shared" ca="1" si="382"/>
        <v>0</v>
      </c>
      <c r="T113" s="846">
        <f t="shared" ca="1" si="382"/>
        <v>0</v>
      </c>
      <c r="U113" s="846">
        <f t="shared" ca="1" si="382"/>
        <v>0</v>
      </c>
      <c r="V113" s="846">
        <f t="shared" ca="1" si="382"/>
        <v>0</v>
      </c>
      <c r="W113" s="846">
        <f t="shared" ca="1" si="382"/>
        <v>0</v>
      </c>
      <c r="X113" s="873"/>
      <c r="Y113" s="875"/>
      <c r="Z113" s="875"/>
      <c r="AA113" s="875"/>
      <c r="AB113" s="873"/>
      <c r="AC113" s="875"/>
      <c r="AD113" s="875"/>
      <c r="AE113" s="875"/>
      <c r="AF113" s="873"/>
      <c r="AG113" s="875"/>
      <c r="AH113" s="875"/>
      <c r="AI113" s="875"/>
      <c r="AJ113" s="873"/>
      <c r="AK113" s="875"/>
      <c r="AL113" s="875"/>
      <c r="AM113" s="875"/>
      <c r="AN113" s="873"/>
      <c r="AO113" s="875"/>
      <c r="AP113" s="875"/>
      <c r="AQ113" s="875"/>
      <c r="AR113" s="873"/>
      <c r="AS113" s="875"/>
      <c r="AT113" s="875"/>
      <c r="AU113" s="875"/>
      <c r="AV113" s="873"/>
      <c r="AW113" s="875"/>
      <c r="AX113" s="875"/>
      <c r="AY113" s="875"/>
      <c r="AZ113" s="873"/>
      <c r="BA113" s="875"/>
      <c r="BB113" s="875"/>
      <c r="BC113" s="875"/>
      <c r="BD113" s="873"/>
      <c r="BE113" s="875"/>
      <c r="BF113" s="875"/>
      <c r="BG113" s="875"/>
      <c r="BH113" s="873"/>
      <c r="BI113" s="875"/>
      <c r="BJ113" s="875"/>
      <c r="BK113" s="875"/>
      <c r="BL113" s="873"/>
      <c r="BM113" s="875"/>
      <c r="BN113" s="875"/>
      <c r="BO113" s="875"/>
      <c r="BP113" s="802"/>
    </row>
    <row r="114" spans="1:68">
      <c r="A114" s="783"/>
      <c r="B114" s="1621"/>
      <c r="C114" s="1622"/>
      <c r="D114" s="874" t="s">
        <v>847</v>
      </c>
      <c r="E114" s="861"/>
      <c r="F114" s="862"/>
      <c r="G114" s="852" t="s">
        <v>843</v>
      </c>
      <c r="H114" s="872"/>
      <c r="I114" s="872"/>
      <c r="J114" s="872"/>
      <c r="K114" s="872"/>
      <c r="L114" s="846">
        <f t="shared" ref="L114:W114" ca="1" si="383">SUM(L68:L71,L73,L75,L77,L79,L81,L83,L85,L87:L90,)</f>
        <v>0</v>
      </c>
      <c r="M114" s="846">
        <f t="shared" ca="1" si="383"/>
        <v>0</v>
      </c>
      <c r="N114" s="846">
        <f t="shared" ca="1" si="383"/>
        <v>0</v>
      </c>
      <c r="O114" s="846">
        <f t="shared" ca="1" si="383"/>
        <v>0</v>
      </c>
      <c r="P114" s="846">
        <f t="shared" ca="1" si="383"/>
        <v>0</v>
      </c>
      <c r="Q114" s="846">
        <f t="shared" ca="1" si="383"/>
        <v>0</v>
      </c>
      <c r="R114" s="846">
        <f t="shared" ca="1" si="383"/>
        <v>0</v>
      </c>
      <c r="S114" s="846">
        <f t="shared" ca="1" si="383"/>
        <v>0</v>
      </c>
      <c r="T114" s="846">
        <f t="shared" ca="1" si="383"/>
        <v>0</v>
      </c>
      <c r="U114" s="846">
        <f t="shared" ca="1" si="383"/>
        <v>0</v>
      </c>
      <c r="V114" s="846">
        <f t="shared" ca="1" si="383"/>
        <v>0</v>
      </c>
      <c r="W114" s="846">
        <f t="shared" ca="1" si="383"/>
        <v>0</v>
      </c>
      <c r="X114" s="873"/>
      <c r="Y114" s="875"/>
      <c r="Z114" s="875"/>
      <c r="AA114" s="875"/>
      <c r="AB114" s="873"/>
      <c r="AC114" s="875"/>
      <c r="AD114" s="875"/>
      <c r="AE114" s="875"/>
      <c r="AF114" s="873"/>
      <c r="AG114" s="875"/>
      <c r="AH114" s="875"/>
      <c r="AI114" s="875"/>
      <c r="AJ114" s="873"/>
      <c r="AK114" s="875"/>
      <c r="AL114" s="875"/>
      <c r="AM114" s="875"/>
      <c r="AN114" s="873"/>
      <c r="AO114" s="875"/>
      <c r="AP114" s="875"/>
      <c r="AQ114" s="875"/>
      <c r="AR114" s="873"/>
      <c r="AS114" s="875"/>
      <c r="AT114" s="875"/>
      <c r="AU114" s="875"/>
      <c r="AV114" s="873"/>
      <c r="AW114" s="875"/>
      <c r="AX114" s="875"/>
      <c r="AY114" s="875"/>
      <c r="AZ114" s="873"/>
      <c r="BA114" s="875"/>
      <c r="BB114" s="875"/>
      <c r="BC114" s="875"/>
      <c r="BD114" s="873"/>
      <c r="BE114" s="875"/>
      <c r="BF114" s="875"/>
      <c r="BG114" s="875"/>
      <c r="BH114" s="873"/>
      <c r="BI114" s="875"/>
      <c r="BJ114" s="875"/>
      <c r="BK114" s="875"/>
      <c r="BL114" s="873"/>
      <c r="BM114" s="875"/>
      <c r="BN114" s="875"/>
      <c r="BO114" s="875"/>
      <c r="BP114" s="802"/>
    </row>
    <row r="115" spans="1:68">
      <c r="A115" s="783"/>
      <c r="B115" s="1621"/>
      <c r="C115" s="1622"/>
      <c r="D115" s="874" t="s">
        <v>846</v>
      </c>
      <c r="E115" s="861"/>
      <c r="F115" s="862"/>
      <c r="G115" s="852" t="s">
        <v>843</v>
      </c>
      <c r="H115" s="872"/>
      <c r="I115" s="872"/>
      <c r="J115" s="872"/>
      <c r="K115" s="872"/>
      <c r="L115" s="846">
        <f ca="1">L114-L339</f>
        <v>0</v>
      </c>
      <c r="M115" s="846">
        <f t="shared" ref="M115:W115" ca="1" si="384">M114-M339</f>
        <v>0</v>
      </c>
      <c r="N115" s="846">
        <f t="shared" ca="1" si="384"/>
        <v>0</v>
      </c>
      <c r="O115" s="846">
        <f t="shared" ca="1" si="384"/>
        <v>0</v>
      </c>
      <c r="P115" s="846">
        <f t="shared" ca="1" si="384"/>
        <v>0</v>
      </c>
      <c r="Q115" s="846">
        <f t="shared" ca="1" si="384"/>
        <v>0</v>
      </c>
      <c r="R115" s="846">
        <f t="shared" ca="1" si="384"/>
        <v>0</v>
      </c>
      <c r="S115" s="846">
        <f t="shared" ca="1" si="384"/>
        <v>0</v>
      </c>
      <c r="T115" s="846">
        <f t="shared" ca="1" si="384"/>
        <v>0</v>
      </c>
      <c r="U115" s="846">
        <f t="shared" ca="1" si="384"/>
        <v>0</v>
      </c>
      <c r="V115" s="846">
        <f t="shared" ca="1" si="384"/>
        <v>0</v>
      </c>
      <c r="W115" s="846">
        <f t="shared" ca="1" si="384"/>
        <v>0</v>
      </c>
      <c r="X115" s="873"/>
      <c r="Y115" s="875"/>
      <c r="Z115" s="875"/>
      <c r="AA115" s="875"/>
      <c r="AB115" s="873"/>
      <c r="AC115" s="875"/>
      <c r="AD115" s="875"/>
      <c r="AE115" s="875"/>
      <c r="AF115" s="873"/>
      <c r="AG115" s="875"/>
      <c r="AH115" s="875"/>
      <c r="AI115" s="875"/>
      <c r="AJ115" s="873"/>
      <c r="AK115" s="875"/>
      <c r="AL115" s="875"/>
      <c r="AM115" s="875"/>
      <c r="AN115" s="873"/>
      <c r="AO115" s="875"/>
      <c r="AP115" s="875"/>
      <c r="AQ115" s="875"/>
      <c r="AR115" s="873"/>
      <c r="AS115" s="875"/>
      <c r="AT115" s="875"/>
      <c r="AU115" s="875"/>
      <c r="AV115" s="873"/>
      <c r="AW115" s="875"/>
      <c r="AX115" s="875"/>
      <c r="AY115" s="875"/>
      <c r="AZ115" s="873"/>
      <c r="BA115" s="875"/>
      <c r="BB115" s="875"/>
      <c r="BC115" s="875"/>
      <c r="BD115" s="873"/>
      <c r="BE115" s="875"/>
      <c r="BF115" s="875"/>
      <c r="BG115" s="875"/>
      <c r="BH115" s="873"/>
      <c r="BI115" s="875"/>
      <c r="BJ115" s="875"/>
      <c r="BK115" s="875"/>
      <c r="BL115" s="873"/>
      <c r="BM115" s="875"/>
      <c r="BN115" s="875"/>
      <c r="BO115" s="875"/>
      <c r="BP115" s="802"/>
    </row>
    <row r="116" spans="1:68">
      <c r="A116" s="783"/>
      <c r="B116" s="1623"/>
      <c r="C116" s="1624"/>
      <c r="D116" s="874" t="s">
        <v>848</v>
      </c>
      <c r="E116" s="861"/>
      <c r="F116" s="862"/>
      <c r="G116" s="852" t="s">
        <v>761</v>
      </c>
      <c r="H116" s="872"/>
      <c r="I116" s="872"/>
      <c r="J116" s="872"/>
      <c r="K116" s="872"/>
      <c r="L116" s="876" t="str">
        <f ca="1">IFERROR(IF(((L110+L111+L112)/L114*100)&gt;100,100,(L110+L111+L112)/L114*100),"")</f>
        <v/>
      </c>
      <c r="M116" s="876" t="str">
        <f t="shared" ref="M116:W116" ca="1" si="385">IFERROR(IF(((M110+M111+M112)/M114*100)&gt;100,100,(M110+M111+M112)/M114*100),"")</f>
        <v/>
      </c>
      <c r="N116" s="876" t="str">
        <f t="shared" ca="1" si="385"/>
        <v/>
      </c>
      <c r="O116" s="876" t="str">
        <f t="shared" ca="1" si="385"/>
        <v/>
      </c>
      <c r="P116" s="876" t="str">
        <f t="shared" ca="1" si="385"/>
        <v/>
      </c>
      <c r="Q116" s="876" t="str">
        <f t="shared" ca="1" si="385"/>
        <v/>
      </c>
      <c r="R116" s="876" t="str">
        <f t="shared" ca="1" si="385"/>
        <v/>
      </c>
      <c r="S116" s="876" t="str">
        <f t="shared" ca="1" si="385"/>
        <v/>
      </c>
      <c r="T116" s="876" t="str">
        <f t="shared" ca="1" si="385"/>
        <v/>
      </c>
      <c r="U116" s="876" t="str">
        <f t="shared" ca="1" si="385"/>
        <v/>
      </c>
      <c r="V116" s="876" t="str">
        <f t="shared" ca="1" si="385"/>
        <v/>
      </c>
      <c r="W116" s="876" t="str">
        <f t="shared" ca="1" si="385"/>
        <v/>
      </c>
      <c r="X116" s="872"/>
      <c r="Y116" s="877"/>
      <c r="Z116" s="877"/>
      <c r="AA116" s="877"/>
      <c r="AB116" s="872"/>
      <c r="AC116" s="877"/>
      <c r="AD116" s="877"/>
      <c r="AE116" s="877"/>
      <c r="AF116" s="872"/>
      <c r="AG116" s="877"/>
      <c r="AH116" s="877"/>
      <c r="AI116" s="877"/>
      <c r="AJ116" s="872"/>
      <c r="AK116" s="877"/>
      <c r="AL116" s="877"/>
      <c r="AM116" s="877"/>
      <c r="AN116" s="872"/>
      <c r="AO116" s="877"/>
      <c r="AP116" s="877"/>
      <c r="AQ116" s="877"/>
      <c r="AR116" s="872"/>
      <c r="AS116" s="877"/>
      <c r="AT116" s="877"/>
      <c r="AU116" s="877"/>
      <c r="AV116" s="872"/>
      <c r="AW116" s="877"/>
      <c r="AX116" s="877"/>
      <c r="AY116" s="877"/>
      <c r="AZ116" s="872"/>
      <c r="BA116" s="877"/>
      <c r="BB116" s="877"/>
      <c r="BC116" s="877"/>
      <c r="BD116" s="872"/>
      <c r="BE116" s="877"/>
      <c r="BF116" s="877"/>
      <c r="BG116" s="877"/>
      <c r="BH116" s="872"/>
      <c r="BI116" s="877"/>
      <c r="BJ116" s="877"/>
      <c r="BK116" s="877"/>
      <c r="BL116" s="872"/>
      <c r="BM116" s="877"/>
      <c r="BN116" s="877"/>
      <c r="BO116" s="877"/>
      <c r="BP116" s="802"/>
    </row>
    <row r="117" spans="1:68" ht="20.100000000000001" customHeight="1">
      <c r="A117" s="783"/>
      <c r="B117" s="878">
        <v>2</v>
      </c>
      <c r="C117" s="878" t="s">
        <v>849</v>
      </c>
      <c r="D117" s="781"/>
      <c r="E117" s="781"/>
      <c r="F117" s="781"/>
      <c r="G117" s="781"/>
      <c r="H117" s="879"/>
      <c r="I117" s="879"/>
      <c r="J117" s="879"/>
      <c r="K117" s="879"/>
      <c r="L117" s="879"/>
      <c r="M117" s="879"/>
      <c r="N117" s="879"/>
      <c r="O117" s="879"/>
      <c r="P117" s="879"/>
      <c r="Q117" s="879"/>
      <c r="R117" s="879"/>
      <c r="S117" s="879"/>
      <c r="T117" s="879"/>
      <c r="U117" s="879"/>
      <c r="V117" s="879"/>
      <c r="W117" s="879"/>
      <c r="X117" s="879"/>
      <c r="Y117" s="879"/>
      <c r="Z117" s="879"/>
      <c r="AA117" s="879"/>
      <c r="AB117" s="879"/>
      <c r="AC117" s="879"/>
      <c r="AD117" s="879"/>
      <c r="AE117" s="879"/>
      <c r="AF117" s="879"/>
      <c r="AG117" s="879"/>
      <c r="AH117" s="879"/>
      <c r="AI117" s="879"/>
      <c r="AJ117" s="879"/>
      <c r="AK117" s="879"/>
      <c r="AL117" s="879"/>
      <c r="AM117" s="879"/>
      <c r="AN117" s="879"/>
      <c r="AO117" s="879"/>
      <c r="AP117" s="879"/>
      <c r="AQ117" s="879"/>
      <c r="AR117" s="879"/>
      <c r="AS117" s="879"/>
      <c r="AT117" s="879"/>
      <c r="AU117" s="879"/>
      <c r="AV117" s="879"/>
      <c r="AW117" s="879"/>
      <c r="AX117" s="879"/>
      <c r="AY117" s="879"/>
      <c r="AZ117" s="879"/>
      <c r="BA117" s="879"/>
      <c r="BB117" s="879"/>
      <c r="BC117" s="879"/>
      <c r="BD117" s="879"/>
      <c r="BE117" s="879"/>
      <c r="BF117" s="879"/>
      <c r="BG117" s="879"/>
      <c r="BH117" s="879"/>
      <c r="BI117" s="879"/>
      <c r="BJ117" s="879"/>
      <c r="BK117" s="879"/>
      <c r="BL117" s="879"/>
      <c r="BM117" s="879"/>
      <c r="BN117" s="879"/>
      <c r="BO117" s="879"/>
    </row>
    <row r="118" spans="1:68" ht="20.100000000000001" customHeight="1">
      <c r="A118" s="783">
        <v>200</v>
      </c>
      <c r="B118" s="880" t="s">
        <v>850</v>
      </c>
      <c r="C118" s="881"/>
      <c r="D118" s="882"/>
      <c r="E118" s="882"/>
      <c r="F118" s="883"/>
      <c r="G118" s="787" t="s">
        <v>423</v>
      </c>
      <c r="H118" s="843"/>
      <c r="I118" s="843"/>
      <c r="J118" s="843"/>
      <c r="K118" s="843"/>
      <c r="L118" s="789">
        <f t="shared" ref="L118:O133" ca="1" si="386">P118+T118</f>
        <v>0</v>
      </c>
      <c r="M118" s="789">
        <f t="shared" ca="1" si="386"/>
        <v>0</v>
      </c>
      <c r="N118" s="789">
        <f t="shared" ca="1" si="386"/>
        <v>0</v>
      </c>
      <c r="O118" s="789">
        <f t="shared" ca="1" si="386"/>
        <v>0</v>
      </c>
      <c r="P118" s="789">
        <f ca="1">OFFSET(貼付け_2024実績,$A118,10)+OFFSET(貼付け_2024実績,$A118+2,10)-OFFSET(貼付け_2024実績,$A118+1,10)-OFFSET(貼付け_2024実績,$A118+3,10)</f>
        <v>0</v>
      </c>
      <c r="Q118" s="789">
        <f ca="1">OFFSET(貼付け_2025実績,$A118,10)+OFFSET(貼付け_2025実績,$A118+2,10)-OFFSET(貼付け_2025実績,$A118+1,10)-OFFSET(貼付け_2025実績,$A118+3,10)</f>
        <v>0</v>
      </c>
      <c r="R118" s="789">
        <f ca="1">OFFSET(貼付け_2026実績,$A118,10)+OFFSET(貼付け_2026実績,$A118+2,10)-OFFSET(貼付け_2026実績,$A118+1,10)-OFFSET(貼付け_2026実績,$A118+3,10)</f>
        <v>0</v>
      </c>
      <c r="S118" s="789">
        <f ca="1">OFFSET(貼付け_2027実績,$A118,10)+OFFSET(貼付け_2027実績,$A118+2,10)-OFFSET(貼付け_2027実績,$A118+1,10)-OFFSET(貼付け_2027実績,$A118+3,10)</f>
        <v>0</v>
      </c>
      <c r="T118" s="789">
        <f ca="1">OFFSET(貼付け_2024実績,$A118,11)+OFFSET(貼付け_2024実績,$A118+2,11)-OFFSET(貼付け_2024実績,$A118+1,11)-OFFSET(貼付け_2024実績,$A118+3,11)</f>
        <v>0</v>
      </c>
      <c r="U118" s="789">
        <f ca="1">OFFSET(貼付け_2025実績,$A118,11)+OFFSET(貼付け_2025実績,$A118+2,11)-OFFSET(貼付け_2025実績,$A118+1,11)-OFFSET(貼付け_2025実績,$A118+3,11)</f>
        <v>0</v>
      </c>
      <c r="V118" s="789">
        <f ca="1">OFFSET(貼付け_2026実績,$A118,11)+OFFSET(貼付け_2026実績,$A118+2,11)-OFFSET(貼付け_2026実績,$A118+1,11)-OFFSET(貼付け_2026実績,$A118+3,11)</f>
        <v>0</v>
      </c>
      <c r="W118" s="789">
        <f ca="1">OFFSET(貼付け_2027実績,$A118,11)+OFFSET(貼付け_2027実績,$A118+2,11)-OFFSET(貼付け_2027実績,$A118+1,11)-OFFSET(貼付け_2027実績,$A118+3,11)</f>
        <v>0</v>
      </c>
      <c r="X118" s="884"/>
      <c r="Y118" s="884"/>
      <c r="Z118" s="884"/>
      <c r="AA118" s="884"/>
      <c r="AB118" s="884"/>
      <c r="AC118" s="884"/>
      <c r="AD118" s="884"/>
      <c r="AE118" s="884"/>
      <c r="AF118" s="884"/>
      <c r="AG118" s="884"/>
      <c r="AH118" s="884"/>
      <c r="AI118" s="884"/>
      <c r="AJ118" s="884"/>
      <c r="AK118" s="884"/>
      <c r="AL118" s="884"/>
      <c r="AM118" s="884"/>
      <c r="AN118" s="884"/>
      <c r="AO118" s="884"/>
      <c r="AP118" s="884"/>
      <c r="AQ118" s="884"/>
      <c r="AR118" s="884"/>
      <c r="AS118" s="884"/>
      <c r="AT118" s="884"/>
      <c r="AU118" s="884"/>
      <c r="AV118" s="884"/>
      <c r="AW118" s="884"/>
      <c r="AX118" s="884"/>
      <c r="AY118" s="884"/>
      <c r="AZ118" s="884"/>
      <c r="BA118" s="884"/>
      <c r="BB118" s="884"/>
      <c r="BC118" s="884"/>
      <c r="BD118" s="884"/>
      <c r="BE118" s="884"/>
      <c r="BF118" s="884"/>
      <c r="BG118" s="884"/>
      <c r="BH118" s="884"/>
      <c r="BI118" s="884"/>
      <c r="BJ118" s="884"/>
      <c r="BK118" s="884"/>
      <c r="BL118" s="884"/>
      <c r="BM118" s="884"/>
      <c r="BN118" s="884"/>
      <c r="BO118" s="884"/>
    </row>
    <row r="119" spans="1:68" ht="20.100000000000001" customHeight="1">
      <c r="A119" s="783">
        <v>204</v>
      </c>
      <c r="B119" s="885" t="s">
        <v>851</v>
      </c>
      <c r="C119" s="886"/>
      <c r="D119" s="814" t="s">
        <v>852</v>
      </c>
      <c r="E119" s="882"/>
      <c r="F119" s="883"/>
      <c r="G119" s="787" t="s">
        <v>423</v>
      </c>
      <c r="H119" s="843"/>
      <c r="I119" s="843"/>
      <c r="J119" s="843"/>
      <c r="K119" s="843"/>
      <c r="L119" s="789">
        <f t="shared" ca="1" si="386"/>
        <v>0</v>
      </c>
      <c r="M119" s="789">
        <f t="shared" ca="1" si="386"/>
        <v>0</v>
      </c>
      <c r="N119" s="789">
        <f t="shared" ca="1" si="386"/>
        <v>0</v>
      </c>
      <c r="O119" s="789">
        <f t="shared" ca="1" si="386"/>
        <v>0</v>
      </c>
      <c r="P119" s="789">
        <f ca="1">OFFSET(貼付け_2024実績,$A119,10)</f>
        <v>0</v>
      </c>
      <c r="Q119" s="789">
        <f ca="1">OFFSET(貼付け_2025実績,$A119,10)</f>
        <v>0</v>
      </c>
      <c r="R119" s="789">
        <f ca="1">OFFSET(貼付け_2026実績,$A119,10)</f>
        <v>0</v>
      </c>
      <c r="S119" s="789">
        <f ca="1">OFFSET(貼付け_2027実績,$A119,10)</f>
        <v>0</v>
      </c>
      <c r="T119" s="789">
        <f ca="1">OFFSET(貼付け_2024実績,$A119,11)</f>
        <v>0</v>
      </c>
      <c r="U119" s="789">
        <f ca="1">OFFSET(貼付け_2025実績,$A119,11)</f>
        <v>0</v>
      </c>
      <c r="V119" s="789">
        <f ca="1">OFFSET(貼付け_2026実績,$A119,11)</f>
        <v>0</v>
      </c>
      <c r="W119" s="789">
        <f ca="1">OFFSET(貼付け_2027実績,$A119,11)</f>
        <v>0</v>
      </c>
      <c r="X119" s="884"/>
      <c r="Y119" s="884"/>
      <c r="Z119" s="884"/>
      <c r="AA119" s="884"/>
      <c r="AB119" s="884"/>
      <c r="AC119" s="884"/>
      <c r="AD119" s="884"/>
      <c r="AE119" s="884"/>
      <c r="AF119" s="884"/>
      <c r="AG119" s="884"/>
      <c r="AH119" s="884"/>
      <c r="AI119" s="884"/>
      <c r="AJ119" s="884"/>
      <c r="AK119" s="884"/>
      <c r="AL119" s="884"/>
      <c r="AM119" s="884"/>
      <c r="AN119" s="884"/>
      <c r="AO119" s="884"/>
      <c r="AP119" s="884"/>
      <c r="AQ119" s="884"/>
      <c r="AR119" s="884"/>
      <c r="AS119" s="884"/>
      <c r="AT119" s="884"/>
      <c r="AU119" s="884"/>
      <c r="AV119" s="884"/>
      <c r="AW119" s="884"/>
      <c r="AX119" s="884"/>
      <c r="AY119" s="884"/>
      <c r="AZ119" s="884"/>
      <c r="BA119" s="884"/>
      <c r="BB119" s="884"/>
      <c r="BC119" s="884"/>
      <c r="BD119" s="884"/>
      <c r="BE119" s="884"/>
      <c r="BF119" s="884"/>
      <c r="BG119" s="884"/>
      <c r="BH119" s="884"/>
      <c r="BI119" s="884"/>
      <c r="BJ119" s="884"/>
      <c r="BK119" s="884"/>
      <c r="BL119" s="884"/>
      <c r="BM119" s="884"/>
      <c r="BN119" s="884"/>
      <c r="BO119" s="884"/>
    </row>
    <row r="120" spans="1:68" ht="20.100000000000001" customHeight="1">
      <c r="A120" s="783">
        <v>205</v>
      </c>
      <c r="B120" s="887"/>
      <c r="C120" s="888"/>
      <c r="D120" s="814" t="s">
        <v>853</v>
      </c>
      <c r="E120" s="882"/>
      <c r="F120" s="883"/>
      <c r="G120" s="787" t="s">
        <v>423</v>
      </c>
      <c r="H120" s="843"/>
      <c r="I120" s="843"/>
      <c r="J120" s="843"/>
      <c r="K120" s="843"/>
      <c r="L120" s="789">
        <f t="shared" ca="1" si="386"/>
        <v>0</v>
      </c>
      <c r="M120" s="789">
        <f t="shared" ca="1" si="386"/>
        <v>0</v>
      </c>
      <c r="N120" s="789">
        <f t="shared" ca="1" si="386"/>
        <v>0</v>
      </c>
      <c r="O120" s="789">
        <f t="shared" ca="1" si="386"/>
        <v>0</v>
      </c>
      <c r="P120" s="789">
        <f ca="1">OFFSET(貼付け_2024実績,$A120,10)</f>
        <v>0</v>
      </c>
      <c r="Q120" s="789">
        <f ca="1">OFFSET(貼付け_2025実績,$A120,10)</f>
        <v>0</v>
      </c>
      <c r="R120" s="789">
        <f ca="1">OFFSET(貼付け_2026実績,$A120,10)</f>
        <v>0</v>
      </c>
      <c r="S120" s="789">
        <f ca="1">OFFSET(貼付け_2027実績,$A120,10)</f>
        <v>0</v>
      </c>
      <c r="T120" s="789">
        <f ca="1">OFFSET(貼付け_2024実績,$A120,11)</f>
        <v>0</v>
      </c>
      <c r="U120" s="789">
        <f ca="1">OFFSET(貼付け_2025実績,$A120,11)</f>
        <v>0</v>
      </c>
      <c r="V120" s="789">
        <f ca="1">OFFSET(貼付け_2026実績,$A120,11)</f>
        <v>0</v>
      </c>
      <c r="W120" s="789">
        <f ca="1">OFFSET(貼付け_2027実績,$A120,11)</f>
        <v>0</v>
      </c>
      <c r="X120" s="884"/>
      <c r="Y120" s="884"/>
      <c r="Z120" s="884"/>
      <c r="AA120" s="884"/>
      <c r="AB120" s="884"/>
      <c r="AC120" s="884"/>
      <c r="AD120" s="884"/>
      <c r="AE120" s="884"/>
      <c r="AF120" s="884"/>
      <c r="AG120" s="884"/>
      <c r="AH120" s="884"/>
      <c r="AI120" s="884"/>
      <c r="AJ120" s="884"/>
      <c r="AK120" s="884"/>
      <c r="AL120" s="884"/>
      <c r="AM120" s="884"/>
      <c r="AN120" s="884"/>
      <c r="AO120" s="884"/>
      <c r="AP120" s="884"/>
      <c r="AQ120" s="884"/>
      <c r="AR120" s="884"/>
      <c r="AS120" s="884"/>
      <c r="AT120" s="884"/>
      <c r="AU120" s="884"/>
      <c r="AV120" s="884"/>
      <c r="AW120" s="884"/>
      <c r="AX120" s="884"/>
      <c r="AY120" s="884"/>
      <c r="AZ120" s="884"/>
      <c r="BA120" s="884"/>
      <c r="BB120" s="884"/>
      <c r="BC120" s="884"/>
      <c r="BD120" s="884"/>
      <c r="BE120" s="884"/>
      <c r="BF120" s="884"/>
      <c r="BG120" s="884"/>
      <c r="BH120" s="884"/>
      <c r="BI120" s="884"/>
      <c r="BJ120" s="884"/>
      <c r="BK120" s="884"/>
      <c r="BL120" s="884"/>
      <c r="BM120" s="884"/>
      <c r="BN120" s="884"/>
      <c r="BO120" s="884"/>
    </row>
    <row r="121" spans="1:68" ht="20.100000000000001" customHeight="1">
      <c r="A121" s="783">
        <v>206</v>
      </c>
      <c r="B121" s="889"/>
      <c r="C121" s="890"/>
      <c r="D121" s="814" t="s">
        <v>762</v>
      </c>
      <c r="E121" s="882"/>
      <c r="F121" s="883"/>
      <c r="G121" s="787" t="s">
        <v>423</v>
      </c>
      <c r="H121" s="843"/>
      <c r="I121" s="843"/>
      <c r="J121" s="843"/>
      <c r="K121" s="843"/>
      <c r="L121" s="789">
        <f t="shared" ca="1" si="386"/>
        <v>0</v>
      </c>
      <c r="M121" s="789">
        <f t="shared" ca="1" si="386"/>
        <v>0</v>
      </c>
      <c r="N121" s="789">
        <f t="shared" ca="1" si="386"/>
        <v>0</v>
      </c>
      <c r="O121" s="789">
        <f t="shared" ca="1" si="386"/>
        <v>0</v>
      </c>
      <c r="P121" s="789">
        <f ca="1">OFFSET(貼付け_2024実績,$A121,10)+OFFSET(貼付け_2024実績,$A121+1,10)+OFFSET(貼付け_2024実績,$A121+2,10)</f>
        <v>0</v>
      </c>
      <c r="Q121" s="789">
        <f ca="1">OFFSET(貼付け_2025実績,$A121,10)+OFFSET(貼付け_2025実績,$A121+1,10)+OFFSET(貼付け_2025実績,$A121+2,10)</f>
        <v>0</v>
      </c>
      <c r="R121" s="789">
        <f ca="1">OFFSET(貼付け_2026実績,$A121,10)+OFFSET(貼付け_2026実績,$A121+1,10)+OFFSET(貼付け_2026実績,$A121+2,10)</f>
        <v>0</v>
      </c>
      <c r="S121" s="789">
        <f ca="1">OFFSET(貼付け_2027実績,$A121,10)+OFFSET(貼付け_2027実績,$A121+1,10)+OFFSET(貼付け_2027実績,$A121+2,10)</f>
        <v>0</v>
      </c>
      <c r="T121" s="789">
        <f ca="1">OFFSET(貼付け_2024実績,$A121,11)+OFFSET(貼付け_2024実績,$A121+1,11)+OFFSET(貼付け_2024実績,$A121+2,11)</f>
        <v>0</v>
      </c>
      <c r="U121" s="789">
        <f ca="1">OFFSET(貼付け_2025実績,$A121,11)+OFFSET(貼付け_2025実績,$A121+1,11)+OFFSET(貼付け_2025実績,$A121+2,11)</f>
        <v>0</v>
      </c>
      <c r="V121" s="789">
        <f ca="1">OFFSET(貼付け_2026実績,$A121,11)+OFFSET(貼付け_2026実績,$A121+1,11)+OFFSET(貼付け_2026実績,$A121+2,11)</f>
        <v>0</v>
      </c>
      <c r="W121" s="789">
        <f ca="1">OFFSET(貼付け_2027実績,$A121,11)+OFFSET(貼付け_2027実績,$A121+1,11)+OFFSET(貼付け_2027実績,$A121+2,11)</f>
        <v>0</v>
      </c>
      <c r="X121" s="884"/>
      <c r="Y121" s="884"/>
      <c r="Z121" s="884"/>
      <c r="AA121" s="884"/>
      <c r="AB121" s="884"/>
      <c r="AC121" s="884"/>
      <c r="AD121" s="884"/>
      <c r="AE121" s="884"/>
      <c r="AF121" s="884"/>
      <c r="AG121" s="884"/>
      <c r="AH121" s="884"/>
      <c r="AI121" s="884"/>
      <c r="AJ121" s="884"/>
      <c r="AK121" s="884"/>
      <c r="AL121" s="884"/>
      <c r="AM121" s="884"/>
      <c r="AN121" s="884"/>
      <c r="AO121" s="884"/>
      <c r="AP121" s="884"/>
      <c r="AQ121" s="884"/>
      <c r="AR121" s="884"/>
      <c r="AS121" s="884"/>
      <c r="AT121" s="884"/>
      <c r="AU121" s="884"/>
      <c r="AV121" s="884"/>
      <c r="AW121" s="884"/>
      <c r="AX121" s="884"/>
      <c r="AY121" s="884"/>
      <c r="AZ121" s="884"/>
      <c r="BA121" s="884"/>
      <c r="BB121" s="884"/>
      <c r="BC121" s="884"/>
      <c r="BD121" s="884"/>
      <c r="BE121" s="884"/>
      <c r="BF121" s="884"/>
      <c r="BG121" s="884"/>
      <c r="BH121" s="884"/>
      <c r="BI121" s="884"/>
      <c r="BJ121" s="884"/>
      <c r="BK121" s="884"/>
      <c r="BL121" s="884"/>
      <c r="BM121" s="884"/>
      <c r="BN121" s="884"/>
      <c r="BO121" s="884"/>
    </row>
    <row r="122" spans="1:68" ht="20.100000000000001" customHeight="1">
      <c r="A122" s="783">
        <v>209</v>
      </c>
      <c r="B122" s="887" t="s">
        <v>854</v>
      </c>
      <c r="C122" s="891"/>
      <c r="D122" s="848"/>
      <c r="E122" s="882"/>
      <c r="F122" s="883"/>
      <c r="G122" s="787" t="s">
        <v>423</v>
      </c>
      <c r="H122" s="872"/>
      <c r="I122" s="872"/>
      <c r="J122" s="872"/>
      <c r="K122" s="872"/>
      <c r="L122" s="789">
        <f t="shared" ca="1" si="386"/>
        <v>0</v>
      </c>
      <c r="M122" s="789">
        <f t="shared" ca="1" si="386"/>
        <v>0</v>
      </c>
      <c r="N122" s="789">
        <f t="shared" ca="1" si="386"/>
        <v>0</v>
      </c>
      <c r="O122" s="789">
        <f t="shared" ca="1" si="386"/>
        <v>0</v>
      </c>
      <c r="P122" s="789">
        <f ca="1">OFFSET(貼付け_2024実績,$A122,10)+OFFSET(貼付け_2024実績,$A122+1,10)</f>
        <v>0</v>
      </c>
      <c r="Q122" s="789">
        <f ca="1">OFFSET(貼付け_2025実績,$A122,10)+OFFSET(貼付け_2025実績,$A122+1,10)</f>
        <v>0</v>
      </c>
      <c r="R122" s="789">
        <f ca="1">OFFSET(貼付け_2026実績,$A122,10)+OFFSET(貼付け_2026実績,$A122+1,10)</f>
        <v>0</v>
      </c>
      <c r="S122" s="789">
        <f ca="1">OFFSET(貼付け_2027実績,$A122,10)+OFFSET(貼付け_2027実績,$A122+1,10)</f>
        <v>0</v>
      </c>
      <c r="T122" s="789">
        <f ca="1">OFFSET(貼付け_2024実績,$A122,11)+OFFSET(貼付け_2024実績,$A122+1,11)</f>
        <v>0</v>
      </c>
      <c r="U122" s="789">
        <f ca="1">OFFSET(貼付け_2025実績,$A122,11)+OFFSET(貼付け_2025実績,$A122+1,11)</f>
        <v>0</v>
      </c>
      <c r="V122" s="789">
        <f ca="1">OFFSET(貼付け_2026実績,$A122,11)+OFFSET(貼付け_2026実績,$A122+1,11)</f>
        <v>0</v>
      </c>
      <c r="W122" s="789">
        <f ca="1">OFFSET(貼付け_2027実績,$A122,11)+OFFSET(貼付け_2027実績,$A122+1,11)</f>
        <v>0</v>
      </c>
      <c r="X122" s="884"/>
      <c r="Y122" s="884"/>
      <c r="Z122" s="884"/>
      <c r="AA122" s="884"/>
      <c r="AB122" s="884"/>
      <c r="AC122" s="884"/>
      <c r="AD122" s="884"/>
      <c r="AE122" s="884"/>
      <c r="AF122" s="884"/>
      <c r="AG122" s="884"/>
      <c r="AH122" s="884"/>
      <c r="AI122" s="884"/>
      <c r="AJ122" s="884"/>
      <c r="AK122" s="884"/>
      <c r="AL122" s="884"/>
      <c r="AM122" s="884"/>
      <c r="AN122" s="884"/>
      <c r="AO122" s="884"/>
      <c r="AP122" s="884"/>
      <c r="AQ122" s="884"/>
      <c r="AR122" s="884"/>
      <c r="AS122" s="884"/>
      <c r="AT122" s="884"/>
      <c r="AU122" s="884"/>
      <c r="AV122" s="884"/>
      <c r="AW122" s="884"/>
      <c r="AX122" s="884"/>
      <c r="AY122" s="884"/>
      <c r="AZ122" s="884"/>
      <c r="BA122" s="884"/>
      <c r="BB122" s="884"/>
      <c r="BC122" s="884"/>
      <c r="BD122" s="884"/>
      <c r="BE122" s="884"/>
      <c r="BF122" s="884"/>
      <c r="BG122" s="884"/>
      <c r="BH122" s="884"/>
      <c r="BI122" s="884"/>
      <c r="BJ122" s="884"/>
      <c r="BK122" s="884"/>
      <c r="BL122" s="884"/>
      <c r="BM122" s="884"/>
      <c r="BN122" s="884"/>
      <c r="BO122" s="884"/>
    </row>
    <row r="123" spans="1:68" ht="20.100000000000001" customHeight="1">
      <c r="A123" s="783">
        <v>10</v>
      </c>
      <c r="B123" s="1593" t="s">
        <v>420</v>
      </c>
      <c r="C123" s="1597" t="s">
        <v>345</v>
      </c>
      <c r="D123" s="785" t="s">
        <v>350</v>
      </c>
      <c r="E123" s="785"/>
      <c r="F123" s="786"/>
      <c r="G123" s="787" t="s">
        <v>855</v>
      </c>
      <c r="H123" s="788">
        <f t="shared" ref="H123:H148" ca="1" si="387">IFERROR(OFFSET(貼付け_2024実績,$A123,5),"")</f>
        <v>33.4</v>
      </c>
      <c r="I123" s="788">
        <f t="shared" ref="I123:I148" ca="1" si="388">IFERROR(OFFSET(貼付け_2025実績,$A123,5),"")</f>
        <v>33.4</v>
      </c>
      <c r="J123" s="788">
        <f t="shared" ref="J123:J148" ca="1" si="389">IFERROR(OFFSET(貼付け_2026実績,$A123,5),"")</f>
        <v>33.4</v>
      </c>
      <c r="K123" s="788">
        <f t="shared" ref="K123:K148" ca="1" si="390">IFERROR(OFFSET(貼付け_2027実績,$A123,5),"")</f>
        <v>33.4</v>
      </c>
      <c r="L123" s="789">
        <f ca="1">P123+T123</f>
        <v>0</v>
      </c>
      <c r="M123" s="789">
        <f t="shared" ca="1" si="386"/>
        <v>0</v>
      </c>
      <c r="N123" s="789">
        <f t="shared" ca="1" si="386"/>
        <v>0</v>
      </c>
      <c r="O123" s="789">
        <f t="shared" ca="1" si="386"/>
        <v>0</v>
      </c>
      <c r="P123" s="789">
        <f t="shared" ref="P123:P130" ca="1" si="391">IFERROR(OFFSET(貼付け_2024実績,$A123,7),"")</f>
        <v>0</v>
      </c>
      <c r="Q123" s="789">
        <f t="shared" ref="Q123:Q130" ca="1" si="392">IFERROR(OFFSET(貼付け_2025実績,$A123,7),"")</f>
        <v>0</v>
      </c>
      <c r="R123" s="789">
        <f t="shared" ref="R123:R130" ca="1" si="393">IFERROR(OFFSET(貼付け_2026実績,$A123,7),"")</f>
        <v>0</v>
      </c>
      <c r="S123" s="789">
        <f t="shared" ref="S123:S130" ca="1" si="394">IFERROR(OFFSET(貼付け_2027実績,$A123,7),"")</f>
        <v>0</v>
      </c>
      <c r="T123" s="789">
        <f t="shared" ref="T123:T149" ca="1" si="395">IFERROR(OFFSET(貼付け_2024実績,$A123,8),"")</f>
        <v>0</v>
      </c>
      <c r="U123" s="789">
        <f t="shared" ref="U123:U149" ca="1" si="396">IFERROR(OFFSET(貼付け_2025実績,$A123,8),"")</f>
        <v>0</v>
      </c>
      <c r="V123" s="789">
        <f t="shared" ref="V123:V149" ca="1" si="397">IFERROR(OFFSET(貼付け_2026実績,$A123,8),"")</f>
        <v>0</v>
      </c>
      <c r="W123" s="789">
        <f t="shared" ref="W123:W149" ca="1" si="398">IFERROR(OFFSET(貼付け_2027実績,$A123,8),"")</f>
        <v>0</v>
      </c>
      <c r="X123" s="884"/>
      <c r="Y123" s="884"/>
      <c r="Z123" s="884"/>
      <c r="AA123" s="884"/>
      <c r="AB123" s="884"/>
      <c r="AC123" s="884"/>
      <c r="AD123" s="884"/>
      <c r="AE123" s="884"/>
      <c r="AF123" s="884"/>
      <c r="AG123" s="884"/>
      <c r="AH123" s="884"/>
      <c r="AI123" s="884"/>
      <c r="AJ123" s="884"/>
      <c r="AK123" s="884"/>
      <c r="AL123" s="884"/>
      <c r="AM123" s="884"/>
      <c r="AN123" s="884"/>
      <c r="AO123" s="884"/>
      <c r="AP123" s="884"/>
      <c r="AQ123" s="884"/>
      <c r="AR123" s="884"/>
      <c r="AS123" s="884"/>
      <c r="AT123" s="884"/>
      <c r="AU123" s="884"/>
      <c r="AV123" s="884"/>
      <c r="AW123" s="884"/>
      <c r="AX123" s="884"/>
      <c r="AY123" s="884"/>
      <c r="AZ123" s="884"/>
      <c r="BA123" s="884"/>
      <c r="BB123" s="884"/>
      <c r="BC123" s="884"/>
      <c r="BD123" s="884"/>
      <c r="BE123" s="884"/>
      <c r="BF123" s="884"/>
      <c r="BG123" s="884"/>
      <c r="BH123" s="884"/>
      <c r="BI123" s="884"/>
      <c r="BJ123" s="884"/>
      <c r="BK123" s="884"/>
      <c r="BL123" s="884"/>
      <c r="BM123" s="884"/>
      <c r="BN123" s="884"/>
      <c r="BO123" s="884"/>
    </row>
    <row r="124" spans="1:68" ht="20.100000000000001" customHeight="1">
      <c r="A124" s="783">
        <v>12</v>
      </c>
      <c r="B124" s="1594"/>
      <c r="C124" s="1625"/>
      <c r="D124" s="785" t="s">
        <v>352</v>
      </c>
      <c r="E124" s="785"/>
      <c r="F124" s="786"/>
      <c r="G124" s="787" t="s">
        <v>855</v>
      </c>
      <c r="H124" s="788">
        <f t="shared" ca="1" si="387"/>
        <v>36.299999999999997</v>
      </c>
      <c r="I124" s="788">
        <f t="shared" ca="1" si="388"/>
        <v>36.299999999999997</v>
      </c>
      <c r="J124" s="788">
        <f t="shared" ca="1" si="389"/>
        <v>36.299999999999997</v>
      </c>
      <c r="K124" s="788">
        <f t="shared" ca="1" si="390"/>
        <v>36.299999999999997</v>
      </c>
      <c r="L124" s="789">
        <f t="shared" ref="L124:O157" ca="1" si="399">P124+T124</f>
        <v>0</v>
      </c>
      <c r="M124" s="789">
        <f t="shared" ca="1" si="386"/>
        <v>0</v>
      </c>
      <c r="N124" s="789">
        <f t="shared" ca="1" si="386"/>
        <v>0</v>
      </c>
      <c r="O124" s="789">
        <f t="shared" ca="1" si="386"/>
        <v>0</v>
      </c>
      <c r="P124" s="789">
        <f t="shared" ca="1" si="391"/>
        <v>0</v>
      </c>
      <c r="Q124" s="789">
        <f t="shared" ca="1" si="392"/>
        <v>0</v>
      </c>
      <c r="R124" s="789">
        <f t="shared" ca="1" si="393"/>
        <v>0</v>
      </c>
      <c r="S124" s="789">
        <f t="shared" ca="1" si="394"/>
        <v>0</v>
      </c>
      <c r="T124" s="789">
        <f t="shared" ca="1" si="395"/>
        <v>0</v>
      </c>
      <c r="U124" s="789">
        <f t="shared" ca="1" si="396"/>
        <v>0</v>
      </c>
      <c r="V124" s="789">
        <f t="shared" ca="1" si="397"/>
        <v>0</v>
      </c>
      <c r="W124" s="789">
        <f t="shared" ca="1" si="398"/>
        <v>0</v>
      </c>
      <c r="X124" s="884"/>
      <c r="Y124" s="884"/>
      <c r="Z124" s="884"/>
      <c r="AA124" s="884"/>
      <c r="AB124" s="884"/>
      <c r="AC124" s="884"/>
      <c r="AD124" s="884"/>
      <c r="AE124" s="884"/>
      <c r="AF124" s="884"/>
      <c r="AG124" s="884"/>
      <c r="AH124" s="884"/>
      <c r="AI124" s="884"/>
      <c r="AJ124" s="884"/>
      <c r="AK124" s="884"/>
      <c r="AL124" s="884"/>
      <c r="AM124" s="884"/>
      <c r="AN124" s="884"/>
      <c r="AO124" s="884"/>
      <c r="AP124" s="884"/>
      <c r="AQ124" s="884"/>
      <c r="AR124" s="884"/>
      <c r="AS124" s="884"/>
      <c r="AT124" s="884"/>
      <c r="AU124" s="884"/>
      <c r="AV124" s="884"/>
      <c r="AW124" s="884"/>
      <c r="AX124" s="884"/>
      <c r="AY124" s="884"/>
      <c r="AZ124" s="884"/>
      <c r="BA124" s="884"/>
      <c r="BB124" s="884"/>
      <c r="BC124" s="884"/>
      <c r="BD124" s="884"/>
      <c r="BE124" s="884"/>
      <c r="BF124" s="884"/>
      <c r="BG124" s="884"/>
      <c r="BH124" s="884"/>
      <c r="BI124" s="884"/>
      <c r="BJ124" s="884"/>
      <c r="BK124" s="884"/>
      <c r="BL124" s="884"/>
      <c r="BM124" s="884"/>
      <c r="BN124" s="884"/>
      <c r="BO124" s="884"/>
    </row>
    <row r="125" spans="1:68" ht="20.100000000000001" customHeight="1">
      <c r="A125" s="783">
        <v>14</v>
      </c>
      <c r="B125" s="1594"/>
      <c r="C125" s="1625"/>
      <c r="D125" s="785" t="s">
        <v>354</v>
      </c>
      <c r="E125" s="785"/>
      <c r="F125" s="786"/>
      <c r="G125" s="787" t="s">
        <v>855</v>
      </c>
      <c r="H125" s="788">
        <f t="shared" ca="1" si="387"/>
        <v>38</v>
      </c>
      <c r="I125" s="788">
        <f t="shared" ca="1" si="388"/>
        <v>38</v>
      </c>
      <c r="J125" s="788">
        <f t="shared" ca="1" si="389"/>
        <v>38</v>
      </c>
      <c r="K125" s="788">
        <f t="shared" ca="1" si="390"/>
        <v>38</v>
      </c>
      <c r="L125" s="789">
        <f t="shared" ca="1" si="399"/>
        <v>0</v>
      </c>
      <c r="M125" s="789">
        <f t="shared" ca="1" si="386"/>
        <v>0</v>
      </c>
      <c r="N125" s="789">
        <f t="shared" ca="1" si="386"/>
        <v>0</v>
      </c>
      <c r="O125" s="789">
        <f t="shared" ca="1" si="386"/>
        <v>0</v>
      </c>
      <c r="P125" s="789">
        <f t="shared" ca="1" si="391"/>
        <v>0</v>
      </c>
      <c r="Q125" s="789">
        <f t="shared" ca="1" si="392"/>
        <v>0</v>
      </c>
      <c r="R125" s="789">
        <f t="shared" ca="1" si="393"/>
        <v>0</v>
      </c>
      <c r="S125" s="789">
        <f t="shared" ca="1" si="394"/>
        <v>0</v>
      </c>
      <c r="T125" s="789">
        <f t="shared" ca="1" si="395"/>
        <v>0</v>
      </c>
      <c r="U125" s="789">
        <f t="shared" ca="1" si="396"/>
        <v>0</v>
      </c>
      <c r="V125" s="789">
        <f t="shared" ca="1" si="397"/>
        <v>0</v>
      </c>
      <c r="W125" s="789">
        <f t="shared" ca="1" si="398"/>
        <v>0</v>
      </c>
      <c r="X125" s="884"/>
      <c r="Y125" s="884"/>
      <c r="Z125" s="884"/>
      <c r="AA125" s="884"/>
      <c r="AB125" s="884"/>
      <c r="AC125" s="884"/>
      <c r="AD125" s="884"/>
      <c r="AE125" s="884"/>
      <c r="AF125" s="884"/>
      <c r="AG125" s="884"/>
      <c r="AH125" s="884"/>
      <c r="AI125" s="884"/>
      <c r="AJ125" s="884"/>
      <c r="AK125" s="884"/>
      <c r="AL125" s="884"/>
      <c r="AM125" s="884"/>
      <c r="AN125" s="884"/>
      <c r="AO125" s="884"/>
      <c r="AP125" s="884"/>
      <c r="AQ125" s="884"/>
      <c r="AR125" s="884"/>
      <c r="AS125" s="884"/>
      <c r="AT125" s="884"/>
      <c r="AU125" s="884"/>
      <c r="AV125" s="884"/>
      <c r="AW125" s="884"/>
      <c r="AX125" s="884"/>
      <c r="AY125" s="884"/>
      <c r="AZ125" s="884"/>
      <c r="BA125" s="884"/>
      <c r="BB125" s="884"/>
      <c r="BC125" s="884"/>
      <c r="BD125" s="884"/>
      <c r="BE125" s="884"/>
      <c r="BF125" s="884"/>
      <c r="BG125" s="884"/>
      <c r="BH125" s="884"/>
      <c r="BI125" s="884"/>
      <c r="BJ125" s="884"/>
      <c r="BK125" s="884"/>
      <c r="BL125" s="884"/>
      <c r="BM125" s="884"/>
      <c r="BN125" s="884"/>
      <c r="BO125" s="884"/>
    </row>
    <row r="126" spans="1:68" ht="20.100000000000001" customHeight="1">
      <c r="A126" s="783">
        <v>15</v>
      </c>
      <c r="B126" s="1594"/>
      <c r="C126" s="1625"/>
      <c r="D126" s="785" t="s">
        <v>355</v>
      </c>
      <c r="E126" s="785"/>
      <c r="F126" s="786"/>
      <c r="G126" s="787" t="s">
        <v>855</v>
      </c>
      <c r="H126" s="788">
        <f t="shared" ca="1" si="387"/>
        <v>38.9</v>
      </c>
      <c r="I126" s="788">
        <f t="shared" ca="1" si="388"/>
        <v>38.9</v>
      </c>
      <c r="J126" s="788">
        <f t="shared" ca="1" si="389"/>
        <v>38.9</v>
      </c>
      <c r="K126" s="788">
        <f t="shared" ca="1" si="390"/>
        <v>38.9</v>
      </c>
      <c r="L126" s="789">
        <f t="shared" ca="1" si="399"/>
        <v>0</v>
      </c>
      <c r="M126" s="789">
        <f t="shared" ca="1" si="386"/>
        <v>0</v>
      </c>
      <c r="N126" s="789">
        <f t="shared" ca="1" si="386"/>
        <v>0</v>
      </c>
      <c r="O126" s="789">
        <f t="shared" ca="1" si="386"/>
        <v>0</v>
      </c>
      <c r="P126" s="789">
        <f t="shared" ca="1" si="391"/>
        <v>0</v>
      </c>
      <c r="Q126" s="789">
        <f t="shared" ca="1" si="392"/>
        <v>0</v>
      </c>
      <c r="R126" s="789">
        <f t="shared" ca="1" si="393"/>
        <v>0</v>
      </c>
      <c r="S126" s="789">
        <f t="shared" ca="1" si="394"/>
        <v>0</v>
      </c>
      <c r="T126" s="789">
        <f t="shared" ca="1" si="395"/>
        <v>0</v>
      </c>
      <c r="U126" s="789">
        <f t="shared" ca="1" si="396"/>
        <v>0</v>
      </c>
      <c r="V126" s="789">
        <f t="shared" ca="1" si="397"/>
        <v>0</v>
      </c>
      <c r="W126" s="789">
        <f t="shared" ca="1" si="398"/>
        <v>0</v>
      </c>
      <c r="X126" s="884"/>
      <c r="Y126" s="884"/>
      <c r="Z126" s="884"/>
      <c r="AA126" s="884"/>
      <c r="AB126" s="884"/>
      <c r="AC126" s="884"/>
      <c r="AD126" s="884"/>
      <c r="AE126" s="884"/>
      <c r="AF126" s="884"/>
      <c r="AG126" s="884"/>
      <c r="AH126" s="884"/>
      <c r="AI126" s="884"/>
      <c r="AJ126" s="884"/>
      <c r="AK126" s="884"/>
      <c r="AL126" s="884"/>
      <c r="AM126" s="884"/>
      <c r="AN126" s="884"/>
      <c r="AO126" s="884"/>
      <c r="AP126" s="884"/>
      <c r="AQ126" s="884"/>
      <c r="AR126" s="884"/>
      <c r="AS126" s="884"/>
      <c r="AT126" s="884"/>
      <c r="AU126" s="884"/>
      <c r="AV126" s="884"/>
      <c r="AW126" s="884"/>
      <c r="AX126" s="884"/>
      <c r="AY126" s="884"/>
      <c r="AZ126" s="884"/>
      <c r="BA126" s="884"/>
      <c r="BB126" s="884"/>
      <c r="BC126" s="884"/>
      <c r="BD126" s="884"/>
      <c r="BE126" s="884"/>
      <c r="BF126" s="884"/>
      <c r="BG126" s="884"/>
      <c r="BH126" s="884"/>
      <c r="BI126" s="884"/>
      <c r="BJ126" s="884"/>
      <c r="BK126" s="884"/>
      <c r="BL126" s="884"/>
      <c r="BM126" s="884"/>
      <c r="BN126" s="884"/>
      <c r="BO126" s="884"/>
    </row>
    <row r="127" spans="1:68" ht="20.100000000000001" customHeight="1">
      <c r="A127" s="783">
        <v>16</v>
      </c>
      <c r="B127" s="1594"/>
      <c r="C127" s="1625"/>
      <c r="D127" s="785" t="s">
        <v>356</v>
      </c>
      <c r="E127" s="779"/>
      <c r="F127" s="786"/>
      <c r="G127" s="787" t="s">
        <v>855</v>
      </c>
      <c r="H127" s="788">
        <f t="shared" ca="1" si="387"/>
        <v>41.8</v>
      </c>
      <c r="I127" s="788">
        <f t="shared" ca="1" si="388"/>
        <v>41.8</v>
      </c>
      <c r="J127" s="788">
        <f t="shared" ca="1" si="389"/>
        <v>41.8</v>
      </c>
      <c r="K127" s="788">
        <f t="shared" ca="1" si="390"/>
        <v>41.8</v>
      </c>
      <c r="L127" s="789">
        <f t="shared" ca="1" si="399"/>
        <v>0</v>
      </c>
      <c r="M127" s="789">
        <f t="shared" ca="1" si="386"/>
        <v>0</v>
      </c>
      <c r="N127" s="789">
        <f t="shared" ca="1" si="386"/>
        <v>0</v>
      </c>
      <c r="O127" s="789">
        <f t="shared" ca="1" si="386"/>
        <v>0</v>
      </c>
      <c r="P127" s="789">
        <f t="shared" ca="1" si="391"/>
        <v>0</v>
      </c>
      <c r="Q127" s="789">
        <f t="shared" ca="1" si="392"/>
        <v>0</v>
      </c>
      <c r="R127" s="789">
        <f t="shared" ca="1" si="393"/>
        <v>0</v>
      </c>
      <c r="S127" s="789">
        <f t="shared" ca="1" si="394"/>
        <v>0</v>
      </c>
      <c r="T127" s="789">
        <f t="shared" ca="1" si="395"/>
        <v>0</v>
      </c>
      <c r="U127" s="789">
        <f t="shared" ca="1" si="396"/>
        <v>0</v>
      </c>
      <c r="V127" s="789">
        <f t="shared" ca="1" si="397"/>
        <v>0</v>
      </c>
      <c r="W127" s="789">
        <f t="shared" ca="1" si="398"/>
        <v>0</v>
      </c>
      <c r="X127" s="884"/>
      <c r="Y127" s="884"/>
      <c r="Z127" s="884"/>
      <c r="AA127" s="884"/>
      <c r="AB127" s="884"/>
      <c r="AC127" s="884"/>
      <c r="AD127" s="884"/>
      <c r="AE127" s="884"/>
      <c r="AF127" s="884"/>
      <c r="AG127" s="884"/>
      <c r="AH127" s="884"/>
      <c r="AI127" s="884"/>
      <c r="AJ127" s="884"/>
      <c r="AK127" s="884"/>
      <c r="AL127" s="884"/>
      <c r="AM127" s="884"/>
      <c r="AN127" s="884"/>
      <c r="AO127" s="884"/>
      <c r="AP127" s="884"/>
      <c r="AQ127" s="884"/>
      <c r="AR127" s="884"/>
      <c r="AS127" s="884"/>
      <c r="AT127" s="884"/>
      <c r="AU127" s="884"/>
      <c r="AV127" s="884"/>
      <c r="AW127" s="884"/>
      <c r="AX127" s="884"/>
      <c r="AY127" s="884"/>
      <c r="AZ127" s="884"/>
      <c r="BA127" s="884"/>
      <c r="BB127" s="884"/>
      <c r="BC127" s="884"/>
      <c r="BD127" s="884"/>
      <c r="BE127" s="884"/>
      <c r="BF127" s="884"/>
      <c r="BG127" s="884"/>
      <c r="BH127" s="884"/>
      <c r="BI127" s="884"/>
      <c r="BJ127" s="884"/>
      <c r="BK127" s="884"/>
      <c r="BL127" s="884"/>
      <c r="BM127" s="884"/>
      <c r="BN127" s="884"/>
      <c r="BO127" s="884"/>
    </row>
    <row r="128" spans="1:68" ht="20.100000000000001" customHeight="1">
      <c r="A128" s="783">
        <v>19</v>
      </c>
      <c r="B128" s="1594"/>
      <c r="C128" s="1625"/>
      <c r="D128" s="785" t="s">
        <v>360</v>
      </c>
      <c r="E128" s="785"/>
      <c r="F128" s="786"/>
      <c r="G128" s="787" t="s">
        <v>357</v>
      </c>
      <c r="H128" s="788">
        <f t="shared" ca="1" si="387"/>
        <v>50.1</v>
      </c>
      <c r="I128" s="788">
        <f t="shared" ca="1" si="388"/>
        <v>50.1</v>
      </c>
      <c r="J128" s="788">
        <f t="shared" ca="1" si="389"/>
        <v>50.1</v>
      </c>
      <c r="K128" s="788">
        <f t="shared" ca="1" si="390"/>
        <v>50.1</v>
      </c>
      <c r="L128" s="789">
        <f t="shared" ca="1" si="399"/>
        <v>0</v>
      </c>
      <c r="M128" s="789">
        <f t="shared" ca="1" si="386"/>
        <v>0</v>
      </c>
      <c r="N128" s="789">
        <f t="shared" ca="1" si="386"/>
        <v>0</v>
      </c>
      <c r="O128" s="789">
        <f t="shared" ca="1" si="386"/>
        <v>0</v>
      </c>
      <c r="P128" s="789">
        <f t="shared" ca="1" si="391"/>
        <v>0</v>
      </c>
      <c r="Q128" s="789">
        <f t="shared" ca="1" si="392"/>
        <v>0</v>
      </c>
      <c r="R128" s="789">
        <f t="shared" ca="1" si="393"/>
        <v>0</v>
      </c>
      <c r="S128" s="789">
        <f t="shared" ca="1" si="394"/>
        <v>0</v>
      </c>
      <c r="T128" s="789">
        <f t="shared" ca="1" si="395"/>
        <v>0</v>
      </c>
      <c r="U128" s="789">
        <f t="shared" ca="1" si="396"/>
        <v>0</v>
      </c>
      <c r="V128" s="789">
        <f t="shared" ca="1" si="397"/>
        <v>0</v>
      </c>
      <c r="W128" s="789">
        <f t="shared" ca="1" si="398"/>
        <v>0</v>
      </c>
      <c r="X128" s="884"/>
      <c r="Y128" s="884"/>
      <c r="Z128" s="884"/>
      <c r="AA128" s="884"/>
      <c r="AB128" s="884"/>
      <c r="AC128" s="884"/>
      <c r="AD128" s="884"/>
      <c r="AE128" s="884"/>
      <c r="AF128" s="884"/>
      <c r="AG128" s="884"/>
      <c r="AH128" s="884"/>
      <c r="AI128" s="884"/>
      <c r="AJ128" s="884"/>
      <c r="AK128" s="884"/>
      <c r="AL128" s="884"/>
      <c r="AM128" s="884"/>
      <c r="AN128" s="884"/>
      <c r="AO128" s="884"/>
      <c r="AP128" s="884"/>
      <c r="AQ128" s="884"/>
      <c r="AR128" s="884"/>
      <c r="AS128" s="884"/>
      <c r="AT128" s="884"/>
      <c r="AU128" s="884"/>
      <c r="AV128" s="884"/>
      <c r="AW128" s="884"/>
      <c r="AX128" s="884"/>
      <c r="AY128" s="884"/>
      <c r="AZ128" s="884"/>
      <c r="BA128" s="884"/>
      <c r="BB128" s="884"/>
      <c r="BC128" s="884"/>
      <c r="BD128" s="884"/>
      <c r="BE128" s="884"/>
      <c r="BF128" s="884"/>
      <c r="BG128" s="884"/>
      <c r="BH128" s="884"/>
      <c r="BI128" s="884"/>
      <c r="BJ128" s="884"/>
      <c r="BK128" s="884"/>
      <c r="BL128" s="884"/>
      <c r="BM128" s="884"/>
      <c r="BN128" s="884"/>
      <c r="BO128" s="884"/>
    </row>
    <row r="129" spans="1:67" ht="20.100000000000001" customHeight="1">
      <c r="A129" s="783">
        <v>21</v>
      </c>
      <c r="B129" s="1594"/>
      <c r="C129" s="1625"/>
      <c r="D129" s="785" t="s">
        <v>362</v>
      </c>
      <c r="E129" s="779"/>
      <c r="F129" s="786"/>
      <c r="G129" s="787" t="s">
        <v>357</v>
      </c>
      <c r="H129" s="788">
        <f t="shared" ca="1" si="387"/>
        <v>54.7</v>
      </c>
      <c r="I129" s="788">
        <f t="shared" ca="1" si="388"/>
        <v>54.7</v>
      </c>
      <c r="J129" s="788">
        <f t="shared" ca="1" si="389"/>
        <v>54.7</v>
      </c>
      <c r="K129" s="788">
        <f t="shared" ca="1" si="390"/>
        <v>54.7</v>
      </c>
      <c r="L129" s="789">
        <f t="shared" ca="1" si="399"/>
        <v>0</v>
      </c>
      <c r="M129" s="789">
        <f t="shared" ca="1" si="386"/>
        <v>0</v>
      </c>
      <c r="N129" s="789">
        <f t="shared" ca="1" si="386"/>
        <v>0</v>
      </c>
      <c r="O129" s="789">
        <f t="shared" ca="1" si="386"/>
        <v>0</v>
      </c>
      <c r="P129" s="789">
        <f t="shared" ca="1" si="391"/>
        <v>0</v>
      </c>
      <c r="Q129" s="789">
        <f t="shared" ca="1" si="392"/>
        <v>0</v>
      </c>
      <c r="R129" s="789">
        <f t="shared" ca="1" si="393"/>
        <v>0</v>
      </c>
      <c r="S129" s="789">
        <f t="shared" ca="1" si="394"/>
        <v>0</v>
      </c>
      <c r="T129" s="789">
        <f t="shared" ca="1" si="395"/>
        <v>0</v>
      </c>
      <c r="U129" s="789">
        <f t="shared" ca="1" si="396"/>
        <v>0</v>
      </c>
      <c r="V129" s="789">
        <f t="shared" ca="1" si="397"/>
        <v>0</v>
      </c>
      <c r="W129" s="789">
        <f t="shared" ca="1" si="398"/>
        <v>0</v>
      </c>
      <c r="X129" s="884"/>
      <c r="Y129" s="884"/>
      <c r="Z129" s="884"/>
      <c r="AA129" s="884"/>
      <c r="AB129" s="884"/>
      <c r="AC129" s="884"/>
      <c r="AD129" s="884"/>
      <c r="AE129" s="884"/>
      <c r="AF129" s="884"/>
      <c r="AG129" s="884"/>
      <c r="AH129" s="884"/>
      <c r="AI129" s="884"/>
      <c r="AJ129" s="884"/>
      <c r="AK129" s="884"/>
      <c r="AL129" s="884"/>
      <c r="AM129" s="884"/>
      <c r="AN129" s="884"/>
      <c r="AO129" s="884"/>
      <c r="AP129" s="884"/>
      <c r="AQ129" s="884"/>
      <c r="AR129" s="884"/>
      <c r="AS129" s="884"/>
      <c r="AT129" s="884"/>
      <c r="AU129" s="884"/>
      <c r="AV129" s="884"/>
      <c r="AW129" s="884"/>
      <c r="AX129" s="884"/>
      <c r="AY129" s="884"/>
      <c r="AZ129" s="884"/>
      <c r="BA129" s="884"/>
      <c r="BB129" s="884"/>
      <c r="BC129" s="884"/>
      <c r="BD129" s="884"/>
      <c r="BE129" s="884"/>
      <c r="BF129" s="884"/>
      <c r="BG129" s="884"/>
      <c r="BH129" s="884"/>
      <c r="BI129" s="884"/>
      <c r="BJ129" s="884"/>
      <c r="BK129" s="884"/>
      <c r="BL129" s="884"/>
      <c r="BM129" s="884"/>
      <c r="BN129" s="884"/>
      <c r="BO129" s="884"/>
    </row>
    <row r="130" spans="1:67" ht="20.100000000000001" customHeight="1">
      <c r="A130" s="783">
        <v>35</v>
      </c>
      <c r="B130" s="1594"/>
      <c r="C130" s="1625"/>
      <c r="D130" s="785" t="s">
        <v>856</v>
      </c>
      <c r="E130" s="790"/>
      <c r="F130" s="786"/>
      <c r="G130" s="892" t="s">
        <v>457</v>
      </c>
      <c r="H130" s="837"/>
      <c r="I130" s="837"/>
      <c r="J130" s="837"/>
      <c r="K130" s="837"/>
      <c r="L130" s="789">
        <f t="shared" ca="1" si="399"/>
        <v>0</v>
      </c>
      <c r="M130" s="789">
        <f t="shared" ca="1" si="386"/>
        <v>0</v>
      </c>
      <c r="N130" s="789">
        <f t="shared" ca="1" si="386"/>
        <v>0</v>
      </c>
      <c r="O130" s="789">
        <f t="shared" ca="1" si="386"/>
        <v>0</v>
      </c>
      <c r="P130" s="789">
        <f t="shared" ca="1" si="391"/>
        <v>0</v>
      </c>
      <c r="Q130" s="789">
        <f t="shared" ca="1" si="392"/>
        <v>0</v>
      </c>
      <c r="R130" s="789">
        <f t="shared" ca="1" si="393"/>
        <v>0</v>
      </c>
      <c r="S130" s="789">
        <f t="shared" ca="1" si="394"/>
        <v>0</v>
      </c>
      <c r="T130" s="789">
        <f t="shared" ca="1" si="395"/>
        <v>0</v>
      </c>
      <c r="U130" s="789">
        <f t="shared" ca="1" si="396"/>
        <v>0</v>
      </c>
      <c r="V130" s="789">
        <f t="shared" ca="1" si="397"/>
        <v>0</v>
      </c>
      <c r="W130" s="789">
        <f t="shared" ca="1" si="398"/>
        <v>0</v>
      </c>
      <c r="X130" s="884"/>
      <c r="Y130" s="884"/>
      <c r="Z130" s="884"/>
      <c r="AA130" s="884"/>
      <c r="AB130" s="884"/>
      <c r="AC130" s="884"/>
      <c r="AD130" s="884"/>
      <c r="AE130" s="884"/>
      <c r="AF130" s="884"/>
      <c r="AG130" s="884"/>
      <c r="AH130" s="884"/>
      <c r="AI130" s="884"/>
      <c r="AJ130" s="884"/>
      <c r="AK130" s="884"/>
      <c r="AL130" s="884"/>
      <c r="AM130" s="884"/>
      <c r="AN130" s="884"/>
      <c r="AO130" s="884"/>
      <c r="AP130" s="884"/>
      <c r="AQ130" s="884"/>
      <c r="AR130" s="884"/>
      <c r="AS130" s="884"/>
      <c r="AT130" s="884"/>
      <c r="AU130" s="884"/>
      <c r="AV130" s="884"/>
      <c r="AW130" s="884"/>
      <c r="AX130" s="884"/>
      <c r="AY130" s="884"/>
      <c r="AZ130" s="884"/>
      <c r="BA130" s="884"/>
      <c r="BB130" s="884"/>
      <c r="BC130" s="884"/>
      <c r="BD130" s="884"/>
      <c r="BE130" s="884"/>
      <c r="BF130" s="884"/>
      <c r="BG130" s="884"/>
      <c r="BH130" s="884"/>
      <c r="BI130" s="884"/>
      <c r="BJ130" s="884"/>
      <c r="BK130" s="884"/>
      <c r="BL130" s="884"/>
      <c r="BM130" s="884"/>
      <c r="BN130" s="884"/>
      <c r="BO130" s="884"/>
    </row>
    <row r="131" spans="1:67" ht="20.100000000000001" customHeight="1">
      <c r="A131" s="783">
        <v>200</v>
      </c>
      <c r="B131" s="1594"/>
      <c r="C131" s="1626"/>
      <c r="D131" s="893" t="s">
        <v>376</v>
      </c>
      <c r="E131" s="792" t="str">
        <f ca="1">OFFSET(A1_その他欄集計,2,13)</f>
        <v/>
      </c>
      <c r="F131" s="786"/>
      <c r="G131" s="792" t="str">
        <f ca="1">OFFSET(A1_その他欄集計,3,13)</f>
        <v/>
      </c>
      <c r="H131" s="788">
        <f ca="1">IFERROR(OFFSET(貼付け_2024実績,$A131,15),"")</f>
        <v>0</v>
      </c>
      <c r="I131" s="788">
        <f ca="1">IFERROR(OFFSET(貼付け_2025実績,$A131,15),"")</f>
        <v>0</v>
      </c>
      <c r="J131" s="788">
        <f ca="1">IFERROR(OFFSET(貼付け_2026実績,$A131,15),"")</f>
        <v>0</v>
      </c>
      <c r="K131" s="788">
        <f ca="1">IFERROR(OFFSET(貼付け_2027実績,$A131,15),"")</f>
        <v>0</v>
      </c>
      <c r="L131" s="789">
        <f t="shared" ca="1" si="399"/>
        <v>0</v>
      </c>
      <c r="M131" s="789">
        <f t="shared" ca="1" si="386"/>
        <v>0</v>
      </c>
      <c r="N131" s="789">
        <f t="shared" ca="1" si="386"/>
        <v>0</v>
      </c>
      <c r="O131" s="789">
        <f t="shared" ca="1" si="386"/>
        <v>0</v>
      </c>
      <c r="P131" s="789">
        <f ca="1">IFERROR(OFFSET(貼付け_2024実績,$A131,18),"")</f>
        <v>0</v>
      </c>
      <c r="Q131" s="789">
        <f ca="1">IFERROR(OFFSET(貼付け_2025実績,$A131,18),"")</f>
        <v>0</v>
      </c>
      <c r="R131" s="789">
        <f ca="1">IFERROR(OFFSET(貼付け_2026実績,$A131,18),"")</f>
        <v>0</v>
      </c>
      <c r="S131" s="789">
        <f ca="1">IFERROR(OFFSET(貼付け_2027実績,$A131,18),"")</f>
        <v>0</v>
      </c>
      <c r="T131" s="789">
        <f ca="1">IFERROR(OFFSET(貼付け_2024実績,$A131,19),"")</f>
        <v>0</v>
      </c>
      <c r="U131" s="789">
        <f ca="1">IFERROR(OFFSET(貼付け_2025実績,$A131,19),"")</f>
        <v>0</v>
      </c>
      <c r="V131" s="789">
        <f ca="1">IFERROR(OFFSET(貼付け_2026実績,$A131,19),"")</f>
        <v>0</v>
      </c>
      <c r="W131" s="789">
        <f ca="1">IFERROR(OFFSET(貼付け_2027実績,$A131,19),"")</f>
        <v>0</v>
      </c>
      <c r="X131" s="884"/>
      <c r="Y131" s="884"/>
      <c r="Z131" s="884"/>
      <c r="AA131" s="884"/>
      <c r="AB131" s="884"/>
      <c r="AC131" s="884"/>
      <c r="AD131" s="884"/>
      <c r="AE131" s="884"/>
      <c r="AF131" s="884"/>
      <c r="AG131" s="884"/>
      <c r="AH131" s="884"/>
      <c r="AI131" s="884"/>
      <c r="AJ131" s="884"/>
      <c r="AK131" s="884"/>
      <c r="AL131" s="884"/>
      <c r="AM131" s="884"/>
      <c r="AN131" s="884"/>
      <c r="AO131" s="884"/>
      <c r="AP131" s="884"/>
      <c r="AQ131" s="884"/>
      <c r="AR131" s="884"/>
      <c r="AS131" s="884"/>
      <c r="AT131" s="884"/>
      <c r="AU131" s="884"/>
      <c r="AV131" s="884"/>
      <c r="AW131" s="884"/>
      <c r="AX131" s="884"/>
      <c r="AY131" s="884"/>
      <c r="AZ131" s="884"/>
      <c r="BA131" s="884"/>
      <c r="BB131" s="884"/>
      <c r="BC131" s="884"/>
      <c r="BD131" s="884"/>
      <c r="BE131" s="884"/>
      <c r="BF131" s="884"/>
      <c r="BG131" s="884"/>
      <c r="BH131" s="884"/>
      <c r="BI131" s="884"/>
      <c r="BJ131" s="884"/>
      <c r="BK131" s="884"/>
      <c r="BL131" s="884"/>
      <c r="BM131" s="884"/>
      <c r="BN131" s="884"/>
      <c r="BO131" s="884"/>
    </row>
    <row r="132" spans="1:67" ht="20.100000000000001" customHeight="1">
      <c r="A132" s="783">
        <v>40</v>
      </c>
      <c r="B132" s="1594"/>
      <c r="C132" s="1597" t="s">
        <v>377</v>
      </c>
      <c r="D132" s="785" t="s">
        <v>381</v>
      </c>
      <c r="E132" s="785"/>
      <c r="F132" s="786"/>
      <c r="G132" s="787" t="s">
        <v>855</v>
      </c>
      <c r="H132" s="788">
        <f t="shared" ca="1" si="387"/>
        <v>23.4</v>
      </c>
      <c r="I132" s="788">
        <f t="shared" ca="1" si="388"/>
        <v>23.4</v>
      </c>
      <c r="J132" s="788">
        <f t="shared" ca="1" si="389"/>
        <v>23.4</v>
      </c>
      <c r="K132" s="788">
        <f t="shared" ca="1" si="390"/>
        <v>23.4</v>
      </c>
      <c r="L132" s="789">
        <f t="shared" ca="1" si="399"/>
        <v>0</v>
      </c>
      <c r="M132" s="789">
        <f t="shared" ca="1" si="386"/>
        <v>0</v>
      </c>
      <c r="N132" s="789">
        <f t="shared" ca="1" si="386"/>
        <v>0</v>
      </c>
      <c r="O132" s="789">
        <f t="shared" ca="1" si="386"/>
        <v>0</v>
      </c>
      <c r="P132" s="789">
        <f ca="1">IFERROR(OFFSET(貼付け_2024実績,$A132,7),"")</f>
        <v>0</v>
      </c>
      <c r="Q132" s="789">
        <f ca="1">IFERROR(OFFSET(貼付け_2025実績,$A132,7),"")</f>
        <v>0</v>
      </c>
      <c r="R132" s="789">
        <f ca="1">IFERROR(OFFSET(貼付け_2026実績,$A132,7),"")</f>
        <v>0</v>
      </c>
      <c r="S132" s="789">
        <f ca="1">IFERROR(OFFSET(貼付け_2027実績,$A132,7),"")</f>
        <v>0</v>
      </c>
      <c r="T132" s="789">
        <f t="shared" ca="1" si="395"/>
        <v>0</v>
      </c>
      <c r="U132" s="789">
        <f t="shared" ca="1" si="396"/>
        <v>0</v>
      </c>
      <c r="V132" s="789">
        <f t="shared" ca="1" si="397"/>
        <v>0</v>
      </c>
      <c r="W132" s="789">
        <f t="shared" ca="1" si="398"/>
        <v>0</v>
      </c>
      <c r="X132" s="884"/>
      <c r="Y132" s="884"/>
      <c r="Z132" s="884"/>
      <c r="AA132" s="884"/>
      <c r="AB132" s="884"/>
      <c r="AC132" s="884"/>
      <c r="AD132" s="884"/>
      <c r="AE132" s="884"/>
      <c r="AF132" s="884"/>
      <c r="AG132" s="884"/>
      <c r="AH132" s="884"/>
      <c r="AI132" s="884"/>
      <c r="AJ132" s="884"/>
      <c r="AK132" s="884"/>
      <c r="AL132" s="884"/>
      <c r="AM132" s="884"/>
      <c r="AN132" s="884"/>
      <c r="AO132" s="884"/>
      <c r="AP132" s="884"/>
      <c r="AQ132" s="884"/>
      <c r="AR132" s="884"/>
      <c r="AS132" s="884"/>
      <c r="AT132" s="884"/>
      <c r="AU132" s="884"/>
      <c r="AV132" s="884"/>
      <c r="AW132" s="884"/>
      <c r="AX132" s="884"/>
      <c r="AY132" s="884"/>
      <c r="AZ132" s="884"/>
      <c r="BA132" s="884"/>
      <c r="BB132" s="884"/>
      <c r="BC132" s="884"/>
      <c r="BD132" s="884"/>
      <c r="BE132" s="884"/>
      <c r="BF132" s="884"/>
      <c r="BG132" s="884"/>
      <c r="BH132" s="884"/>
      <c r="BI132" s="884"/>
      <c r="BJ132" s="884"/>
      <c r="BK132" s="884"/>
      <c r="BL132" s="884"/>
      <c r="BM132" s="884"/>
      <c r="BN132" s="884"/>
      <c r="BO132" s="884"/>
    </row>
    <row r="133" spans="1:67" ht="20.100000000000001" customHeight="1">
      <c r="A133" s="783">
        <v>41</v>
      </c>
      <c r="B133" s="1594"/>
      <c r="C133" s="1625"/>
      <c r="D133" s="785" t="s">
        <v>382</v>
      </c>
      <c r="E133" s="785"/>
      <c r="F133" s="786"/>
      <c r="G133" s="787" t="s">
        <v>855</v>
      </c>
      <c r="H133" s="788">
        <f t="shared" ca="1" si="387"/>
        <v>35.6</v>
      </c>
      <c r="I133" s="788">
        <f t="shared" ca="1" si="388"/>
        <v>35.6</v>
      </c>
      <c r="J133" s="788">
        <f t="shared" ca="1" si="389"/>
        <v>35.6</v>
      </c>
      <c r="K133" s="788">
        <f t="shared" ca="1" si="390"/>
        <v>35.6</v>
      </c>
      <c r="L133" s="789">
        <f t="shared" ca="1" si="399"/>
        <v>0</v>
      </c>
      <c r="M133" s="789">
        <f t="shared" ca="1" si="386"/>
        <v>0</v>
      </c>
      <c r="N133" s="789">
        <f t="shared" ca="1" si="386"/>
        <v>0</v>
      </c>
      <c r="O133" s="789">
        <f t="shared" ca="1" si="386"/>
        <v>0</v>
      </c>
      <c r="P133" s="789">
        <f ca="1">IFERROR(OFFSET(貼付け_2024実績,$A133,7),"")</f>
        <v>0</v>
      </c>
      <c r="Q133" s="789">
        <f ca="1">IFERROR(OFFSET(貼付け_2025実績,$A133,7),"")</f>
        <v>0</v>
      </c>
      <c r="R133" s="789">
        <f ca="1">IFERROR(OFFSET(貼付け_2026実績,$A133,7),"")</f>
        <v>0</v>
      </c>
      <c r="S133" s="789">
        <f ca="1">IFERROR(OFFSET(貼付け_2027実績,$A133,7),"")</f>
        <v>0</v>
      </c>
      <c r="T133" s="789">
        <f t="shared" ca="1" si="395"/>
        <v>0</v>
      </c>
      <c r="U133" s="789">
        <f t="shared" ca="1" si="396"/>
        <v>0</v>
      </c>
      <c r="V133" s="789">
        <f t="shared" ca="1" si="397"/>
        <v>0</v>
      </c>
      <c r="W133" s="789">
        <f t="shared" ca="1" si="398"/>
        <v>0</v>
      </c>
      <c r="X133" s="884"/>
      <c r="Y133" s="884"/>
      <c r="Z133" s="884"/>
      <c r="AA133" s="884"/>
      <c r="AB133" s="884"/>
      <c r="AC133" s="884"/>
      <c r="AD133" s="884"/>
      <c r="AE133" s="884"/>
      <c r="AF133" s="884"/>
      <c r="AG133" s="884"/>
      <c r="AH133" s="884"/>
      <c r="AI133" s="884"/>
      <c r="AJ133" s="884"/>
      <c r="AK133" s="884"/>
      <c r="AL133" s="884"/>
      <c r="AM133" s="884"/>
      <c r="AN133" s="884"/>
      <c r="AO133" s="884"/>
      <c r="AP133" s="884"/>
      <c r="AQ133" s="884"/>
      <c r="AR133" s="884"/>
      <c r="AS133" s="884"/>
      <c r="AT133" s="884"/>
      <c r="AU133" s="884"/>
      <c r="AV133" s="884"/>
      <c r="AW133" s="884"/>
      <c r="AX133" s="884"/>
      <c r="AY133" s="884"/>
      <c r="AZ133" s="884"/>
      <c r="BA133" s="884"/>
      <c r="BB133" s="884"/>
      <c r="BC133" s="884"/>
      <c r="BD133" s="884"/>
      <c r="BE133" s="884"/>
      <c r="BF133" s="884"/>
      <c r="BG133" s="884"/>
      <c r="BH133" s="884"/>
      <c r="BI133" s="884"/>
      <c r="BJ133" s="884"/>
      <c r="BK133" s="884"/>
      <c r="BL133" s="884"/>
      <c r="BM133" s="884"/>
      <c r="BN133" s="884"/>
      <c r="BO133" s="884"/>
    </row>
    <row r="134" spans="1:67" ht="20.100000000000001" customHeight="1">
      <c r="A134" s="783">
        <v>52</v>
      </c>
      <c r="B134" s="1594"/>
      <c r="C134" s="1625"/>
      <c r="D134" s="785" t="s">
        <v>393</v>
      </c>
      <c r="E134" s="785"/>
      <c r="F134" s="786"/>
      <c r="G134" s="787" t="s">
        <v>357</v>
      </c>
      <c r="H134" s="788">
        <f t="shared" ca="1" si="387"/>
        <v>142</v>
      </c>
      <c r="I134" s="788">
        <f t="shared" ca="1" si="388"/>
        <v>142</v>
      </c>
      <c r="J134" s="788">
        <f t="shared" ca="1" si="389"/>
        <v>142</v>
      </c>
      <c r="K134" s="788">
        <f t="shared" ca="1" si="390"/>
        <v>142</v>
      </c>
      <c r="L134" s="789">
        <f t="shared" ca="1" si="399"/>
        <v>0</v>
      </c>
      <c r="M134" s="789">
        <f t="shared" ca="1" si="399"/>
        <v>0</v>
      </c>
      <c r="N134" s="789">
        <f t="shared" ca="1" si="399"/>
        <v>0</v>
      </c>
      <c r="O134" s="789">
        <f t="shared" ca="1" si="399"/>
        <v>0</v>
      </c>
      <c r="P134" s="789">
        <f ca="1">IFERROR(OFFSET(貼付け_2024実績,$A134,7),"")</f>
        <v>0</v>
      </c>
      <c r="Q134" s="789">
        <f ca="1">IFERROR(OFFSET(貼付け_2025実績,$A134,7),"")</f>
        <v>0</v>
      </c>
      <c r="R134" s="789">
        <f ca="1">IFERROR(OFFSET(貼付け_2026実績,$A134,7),"")</f>
        <v>0</v>
      </c>
      <c r="S134" s="789">
        <f ca="1">IFERROR(OFFSET(貼付け_2027実績,$A134,7),"")</f>
        <v>0</v>
      </c>
      <c r="T134" s="789">
        <f t="shared" ca="1" si="395"/>
        <v>0</v>
      </c>
      <c r="U134" s="789">
        <f t="shared" ca="1" si="396"/>
        <v>0</v>
      </c>
      <c r="V134" s="789">
        <f t="shared" ca="1" si="397"/>
        <v>0</v>
      </c>
      <c r="W134" s="789">
        <f t="shared" ca="1" si="398"/>
        <v>0</v>
      </c>
      <c r="X134" s="884"/>
      <c r="Y134" s="884"/>
      <c r="Z134" s="884"/>
      <c r="AA134" s="884"/>
      <c r="AB134" s="884"/>
      <c r="AC134" s="884"/>
      <c r="AD134" s="884"/>
      <c r="AE134" s="884"/>
      <c r="AF134" s="884"/>
      <c r="AG134" s="884"/>
      <c r="AH134" s="884"/>
      <c r="AI134" s="884"/>
      <c r="AJ134" s="884"/>
      <c r="AK134" s="884"/>
      <c r="AL134" s="884"/>
      <c r="AM134" s="884"/>
      <c r="AN134" s="884"/>
      <c r="AO134" s="884"/>
      <c r="AP134" s="884"/>
      <c r="AQ134" s="884"/>
      <c r="AR134" s="884"/>
      <c r="AS134" s="884"/>
      <c r="AT134" s="884"/>
      <c r="AU134" s="884"/>
      <c r="AV134" s="884"/>
      <c r="AW134" s="884"/>
      <c r="AX134" s="884"/>
      <c r="AY134" s="884"/>
      <c r="AZ134" s="884"/>
      <c r="BA134" s="884"/>
      <c r="BB134" s="884"/>
      <c r="BC134" s="884"/>
      <c r="BD134" s="884"/>
      <c r="BE134" s="884"/>
      <c r="BF134" s="884"/>
      <c r="BG134" s="884"/>
      <c r="BH134" s="884"/>
      <c r="BI134" s="884"/>
      <c r="BJ134" s="884"/>
      <c r="BK134" s="884"/>
      <c r="BL134" s="884"/>
      <c r="BM134" s="884"/>
      <c r="BN134" s="884"/>
      <c r="BO134" s="884"/>
    </row>
    <row r="135" spans="1:67" ht="20.100000000000001" customHeight="1">
      <c r="A135" s="783">
        <v>53</v>
      </c>
      <c r="B135" s="1594"/>
      <c r="C135" s="1625"/>
      <c r="D135" s="785" t="s">
        <v>394</v>
      </c>
      <c r="E135" s="785"/>
      <c r="F135" s="786"/>
      <c r="G135" s="787" t="s">
        <v>357</v>
      </c>
      <c r="H135" s="788">
        <f t="shared" ca="1" si="387"/>
        <v>22.5</v>
      </c>
      <c r="I135" s="788">
        <f t="shared" ca="1" si="388"/>
        <v>22.5</v>
      </c>
      <c r="J135" s="788">
        <f t="shared" ca="1" si="389"/>
        <v>22.5</v>
      </c>
      <c r="K135" s="788">
        <f t="shared" ca="1" si="390"/>
        <v>22.5</v>
      </c>
      <c r="L135" s="789">
        <f t="shared" ca="1" si="399"/>
        <v>0</v>
      </c>
      <c r="M135" s="789">
        <f t="shared" ca="1" si="399"/>
        <v>0</v>
      </c>
      <c r="N135" s="789">
        <f t="shared" ca="1" si="399"/>
        <v>0</v>
      </c>
      <c r="O135" s="789">
        <f t="shared" ca="1" si="399"/>
        <v>0</v>
      </c>
      <c r="P135" s="789">
        <f ca="1">IFERROR(OFFSET(貼付け_2024実績,$A135,7),"")</f>
        <v>0</v>
      </c>
      <c r="Q135" s="789">
        <f ca="1">IFERROR(OFFSET(貼付け_2025実績,$A135,7),"")</f>
        <v>0</v>
      </c>
      <c r="R135" s="789">
        <f ca="1">IFERROR(OFFSET(貼付け_2026実績,$A135,7),"")</f>
        <v>0</v>
      </c>
      <c r="S135" s="789">
        <f ca="1">IFERROR(OFFSET(貼付け_2027実績,$A135,7),"")</f>
        <v>0</v>
      </c>
      <c r="T135" s="789">
        <f t="shared" ca="1" si="395"/>
        <v>0</v>
      </c>
      <c r="U135" s="789">
        <f t="shared" ca="1" si="396"/>
        <v>0</v>
      </c>
      <c r="V135" s="789">
        <f t="shared" ca="1" si="397"/>
        <v>0</v>
      </c>
      <c r="W135" s="789">
        <f t="shared" ca="1" si="398"/>
        <v>0</v>
      </c>
      <c r="X135" s="884"/>
      <c r="Y135" s="884"/>
      <c r="Z135" s="884"/>
      <c r="AA135" s="884"/>
      <c r="AB135" s="884"/>
      <c r="AC135" s="884"/>
      <c r="AD135" s="884"/>
      <c r="AE135" s="884"/>
      <c r="AF135" s="884"/>
      <c r="AG135" s="884"/>
      <c r="AH135" s="884"/>
      <c r="AI135" s="884"/>
      <c r="AJ135" s="884"/>
      <c r="AK135" s="884"/>
      <c r="AL135" s="884"/>
      <c r="AM135" s="884"/>
      <c r="AN135" s="884"/>
      <c r="AO135" s="884"/>
      <c r="AP135" s="884"/>
      <c r="AQ135" s="884"/>
      <c r="AR135" s="884"/>
      <c r="AS135" s="884"/>
      <c r="AT135" s="884"/>
      <c r="AU135" s="884"/>
      <c r="AV135" s="884"/>
      <c r="AW135" s="884"/>
      <c r="AX135" s="884"/>
      <c r="AY135" s="884"/>
      <c r="AZ135" s="884"/>
      <c r="BA135" s="884"/>
      <c r="BB135" s="884"/>
      <c r="BC135" s="884"/>
      <c r="BD135" s="884"/>
      <c r="BE135" s="884"/>
      <c r="BF135" s="884"/>
      <c r="BG135" s="884"/>
      <c r="BH135" s="884"/>
      <c r="BI135" s="884"/>
      <c r="BJ135" s="884"/>
      <c r="BK135" s="884"/>
      <c r="BL135" s="884"/>
      <c r="BM135" s="884"/>
      <c r="BN135" s="884"/>
      <c r="BO135" s="884"/>
    </row>
    <row r="136" spans="1:67" ht="20.100000000000001" customHeight="1">
      <c r="A136" s="783">
        <v>201</v>
      </c>
      <c r="B136" s="1594"/>
      <c r="C136" s="1625"/>
      <c r="D136" s="893" t="s">
        <v>857</v>
      </c>
      <c r="E136" s="792" t="str">
        <f ca="1">OFFSET(A1_その他欄集計,5,13)</f>
        <v/>
      </c>
      <c r="F136" s="786"/>
      <c r="G136" s="792" t="str">
        <f ca="1">OFFSET(A1_その他欄集計,6,13)</f>
        <v/>
      </c>
      <c r="H136" s="788">
        <f ca="1">IFERROR(OFFSET(貼付け_2024実績,$A136,15),"")</f>
        <v>0</v>
      </c>
      <c r="I136" s="788">
        <f ca="1">IFERROR(OFFSET(貼付け_2025実績,$A136,15),"")</f>
        <v>0</v>
      </c>
      <c r="J136" s="788">
        <f ca="1">IFERROR(OFFSET(貼付け_2026実績,$A136,15),"")</f>
        <v>0</v>
      </c>
      <c r="K136" s="788">
        <f ca="1">IFERROR(OFFSET(貼付け_2027実績,$A136,15),"")</f>
        <v>0</v>
      </c>
      <c r="L136" s="789">
        <f t="shared" ca="1" si="399"/>
        <v>0</v>
      </c>
      <c r="M136" s="789">
        <f t="shared" ca="1" si="399"/>
        <v>0</v>
      </c>
      <c r="N136" s="789">
        <f t="shared" ca="1" si="399"/>
        <v>0</v>
      </c>
      <c r="O136" s="789">
        <f t="shared" ca="1" si="399"/>
        <v>0</v>
      </c>
      <c r="P136" s="789">
        <f ca="1">IFERROR(OFFSET(貼付け_2024実績,$A136,18),"")</f>
        <v>0</v>
      </c>
      <c r="Q136" s="789">
        <f ca="1">IFERROR(OFFSET(貼付け_2025実績,$A136,18),"")</f>
        <v>0</v>
      </c>
      <c r="R136" s="789">
        <f ca="1">IFERROR(OFFSET(貼付け_2026実績,$A136,18),"")</f>
        <v>0</v>
      </c>
      <c r="S136" s="789">
        <f ca="1">IFERROR(OFFSET(貼付け_2027実績,$A136,18),"")</f>
        <v>0</v>
      </c>
      <c r="T136" s="789">
        <f ca="1">IFERROR(OFFSET(貼付け_2024実績,$A136,19),"")</f>
        <v>0</v>
      </c>
      <c r="U136" s="789">
        <f ca="1">IFERROR(OFFSET(貼付け_2025実績,$A136,19),"")</f>
        <v>0</v>
      </c>
      <c r="V136" s="789">
        <f ca="1">IFERROR(OFFSET(貼付け_2026実績,$A136,19),"")</f>
        <v>0</v>
      </c>
      <c r="W136" s="789">
        <f ca="1">IFERROR(OFFSET(貼付け_2027実績,$A136,19),"")</f>
        <v>0</v>
      </c>
      <c r="X136" s="884"/>
      <c r="Y136" s="884"/>
      <c r="Z136" s="884"/>
      <c r="AA136" s="884"/>
      <c r="AB136" s="884"/>
      <c r="AC136" s="884"/>
      <c r="AD136" s="884"/>
      <c r="AE136" s="884"/>
      <c r="AF136" s="884"/>
      <c r="AG136" s="884"/>
      <c r="AH136" s="884"/>
      <c r="AI136" s="884"/>
      <c r="AJ136" s="884"/>
      <c r="AK136" s="884"/>
      <c r="AL136" s="884"/>
      <c r="AM136" s="884"/>
      <c r="AN136" s="884"/>
      <c r="AO136" s="884"/>
      <c r="AP136" s="884"/>
      <c r="AQ136" s="884"/>
      <c r="AR136" s="884"/>
      <c r="AS136" s="884"/>
      <c r="AT136" s="884"/>
      <c r="AU136" s="884"/>
      <c r="AV136" s="884"/>
      <c r="AW136" s="884"/>
      <c r="AX136" s="884"/>
      <c r="AY136" s="884"/>
      <c r="AZ136" s="884"/>
      <c r="BA136" s="884"/>
      <c r="BB136" s="884"/>
      <c r="BC136" s="884"/>
      <c r="BD136" s="884"/>
      <c r="BE136" s="884"/>
      <c r="BF136" s="884"/>
      <c r="BG136" s="884"/>
      <c r="BH136" s="884"/>
      <c r="BI136" s="884"/>
      <c r="BJ136" s="884"/>
      <c r="BK136" s="884"/>
      <c r="BL136" s="884"/>
      <c r="BM136" s="884"/>
      <c r="BN136" s="884"/>
      <c r="BO136" s="884"/>
    </row>
    <row r="137" spans="1:67" ht="20.100000000000001" customHeight="1">
      <c r="A137" s="783">
        <v>72</v>
      </c>
      <c r="B137" s="1593" t="s">
        <v>422</v>
      </c>
      <c r="C137" s="894" t="s">
        <v>405</v>
      </c>
      <c r="D137" s="895"/>
      <c r="E137" s="790"/>
      <c r="F137" s="810"/>
      <c r="G137" s="787" t="s">
        <v>858</v>
      </c>
      <c r="H137" s="788">
        <f t="shared" ca="1" si="387"/>
        <v>8.64</v>
      </c>
      <c r="I137" s="788">
        <f t="shared" ca="1" si="388"/>
        <v>8.64</v>
      </c>
      <c r="J137" s="788">
        <f t="shared" ca="1" si="389"/>
        <v>8.64</v>
      </c>
      <c r="K137" s="788">
        <f t="shared" ca="1" si="390"/>
        <v>8.64</v>
      </c>
      <c r="L137" s="789">
        <f t="shared" ca="1" si="399"/>
        <v>0</v>
      </c>
      <c r="M137" s="789">
        <f t="shared" ca="1" si="399"/>
        <v>0</v>
      </c>
      <c r="N137" s="789">
        <f t="shared" ca="1" si="399"/>
        <v>0</v>
      </c>
      <c r="O137" s="789">
        <f t="shared" ca="1" si="399"/>
        <v>0</v>
      </c>
      <c r="P137" s="789">
        <f ca="1">IFERROR(OFFSET(貼付け_2024実績,$A137,7),"")</f>
        <v>0</v>
      </c>
      <c r="Q137" s="789">
        <f ca="1">IFERROR(OFFSET(貼付け_2025実績,$A137,7),"")</f>
        <v>0</v>
      </c>
      <c r="R137" s="789">
        <f ca="1">IFERROR(OFFSET(貼付け_2026実績,$A137,7),"")</f>
        <v>0</v>
      </c>
      <c r="S137" s="789">
        <f ca="1">IFERROR(OFFSET(貼付け_2027実績,$A137,7),"")</f>
        <v>0</v>
      </c>
      <c r="T137" s="789">
        <f t="shared" ca="1" si="395"/>
        <v>0</v>
      </c>
      <c r="U137" s="789">
        <f t="shared" ca="1" si="396"/>
        <v>0</v>
      </c>
      <c r="V137" s="789">
        <f t="shared" ca="1" si="397"/>
        <v>0</v>
      </c>
      <c r="W137" s="789">
        <f t="shared" ca="1" si="398"/>
        <v>0</v>
      </c>
      <c r="X137" s="884"/>
      <c r="Y137" s="884"/>
      <c r="Z137" s="884"/>
      <c r="AA137" s="884"/>
      <c r="AB137" s="884"/>
      <c r="AC137" s="884"/>
      <c r="AD137" s="884"/>
      <c r="AE137" s="884"/>
      <c r="AF137" s="884"/>
      <c r="AG137" s="884"/>
      <c r="AH137" s="884"/>
      <c r="AI137" s="884"/>
      <c r="AJ137" s="884"/>
      <c r="AK137" s="884"/>
      <c r="AL137" s="884"/>
      <c r="AM137" s="884"/>
      <c r="AN137" s="884"/>
      <c r="AO137" s="884"/>
      <c r="AP137" s="884"/>
      <c r="AQ137" s="884"/>
      <c r="AR137" s="884"/>
      <c r="AS137" s="884"/>
      <c r="AT137" s="884"/>
      <c r="AU137" s="884"/>
      <c r="AV137" s="884"/>
      <c r="AW137" s="884"/>
      <c r="AX137" s="884"/>
      <c r="AY137" s="884"/>
      <c r="AZ137" s="884"/>
      <c r="BA137" s="884"/>
      <c r="BB137" s="884"/>
      <c r="BC137" s="884"/>
      <c r="BD137" s="884"/>
      <c r="BE137" s="884"/>
      <c r="BF137" s="884"/>
      <c r="BG137" s="884"/>
      <c r="BH137" s="884"/>
      <c r="BI137" s="884"/>
      <c r="BJ137" s="884"/>
      <c r="BK137" s="884"/>
      <c r="BL137" s="884"/>
      <c r="BM137" s="884"/>
      <c r="BN137" s="884"/>
      <c r="BO137" s="884"/>
    </row>
    <row r="138" spans="1:67" ht="20.100000000000001" customHeight="1">
      <c r="A138" s="783">
        <v>74</v>
      </c>
      <c r="B138" s="1594"/>
      <c r="C138" s="1597" t="s">
        <v>406</v>
      </c>
      <c r="D138" s="812" t="s">
        <v>407</v>
      </c>
      <c r="E138" s="785"/>
      <c r="F138" s="810"/>
      <c r="G138" s="787" t="s">
        <v>858</v>
      </c>
      <c r="H138" s="788">
        <f t="shared" ca="1" si="387"/>
        <v>3.6</v>
      </c>
      <c r="I138" s="788">
        <f t="shared" ca="1" si="388"/>
        <v>3.6</v>
      </c>
      <c r="J138" s="788">
        <f t="shared" ca="1" si="389"/>
        <v>3.6</v>
      </c>
      <c r="K138" s="788">
        <f t="shared" ca="1" si="390"/>
        <v>3.6</v>
      </c>
      <c r="L138" s="789">
        <f t="shared" ca="1" si="399"/>
        <v>0</v>
      </c>
      <c r="M138" s="789">
        <f t="shared" ca="1" si="399"/>
        <v>0</v>
      </c>
      <c r="N138" s="789">
        <f t="shared" ca="1" si="399"/>
        <v>0</v>
      </c>
      <c r="O138" s="789">
        <f t="shared" ca="1" si="399"/>
        <v>0</v>
      </c>
      <c r="P138" s="789">
        <f ca="1">IFERROR(OFFSET(貼付け_2024実績,$A138,7),"")</f>
        <v>0</v>
      </c>
      <c r="Q138" s="789">
        <f ca="1">IFERROR(OFFSET(貼付け_2025実績,$A138,7),"")</f>
        <v>0</v>
      </c>
      <c r="R138" s="789">
        <f ca="1">IFERROR(OFFSET(貼付け_2026実績,$A138,7),"")</f>
        <v>0</v>
      </c>
      <c r="S138" s="789">
        <f ca="1">IFERROR(OFFSET(貼付け_2027実績,$A138,7),"")</f>
        <v>0</v>
      </c>
      <c r="T138" s="789">
        <f t="shared" ca="1" si="395"/>
        <v>0</v>
      </c>
      <c r="U138" s="789">
        <f t="shared" ca="1" si="396"/>
        <v>0</v>
      </c>
      <c r="V138" s="789">
        <f t="shared" ca="1" si="397"/>
        <v>0</v>
      </c>
      <c r="W138" s="789">
        <f t="shared" ca="1" si="398"/>
        <v>0</v>
      </c>
      <c r="X138" s="884"/>
      <c r="Y138" s="884"/>
      <c r="Z138" s="884"/>
      <c r="AA138" s="884"/>
      <c r="AB138" s="884"/>
      <c r="AC138" s="884"/>
      <c r="AD138" s="884"/>
      <c r="AE138" s="884"/>
      <c r="AF138" s="884"/>
      <c r="AG138" s="884"/>
      <c r="AH138" s="884"/>
      <c r="AI138" s="884"/>
      <c r="AJ138" s="884"/>
      <c r="AK138" s="884"/>
      <c r="AL138" s="884"/>
      <c r="AM138" s="884"/>
      <c r="AN138" s="884"/>
      <c r="AO138" s="884"/>
      <c r="AP138" s="884"/>
      <c r="AQ138" s="884"/>
      <c r="AR138" s="884"/>
      <c r="AS138" s="884"/>
      <c r="AT138" s="884"/>
      <c r="AU138" s="884"/>
      <c r="AV138" s="884"/>
      <c r="AW138" s="884"/>
      <c r="AX138" s="884"/>
      <c r="AY138" s="884"/>
      <c r="AZ138" s="884"/>
      <c r="BA138" s="884"/>
      <c r="BB138" s="884"/>
      <c r="BC138" s="884"/>
      <c r="BD138" s="884"/>
      <c r="BE138" s="884"/>
      <c r="BF138" s="884"/>
      <c r="BG138" s="884"/>
      <c r="BH138" s="884"/>
      <c r="BI138" s="884"/>
      <c r="BJ138" s="884"/>
      <c r="BK138" s="884"/>
      <c r="BL138" s="884"/>
      <c r="BM138" s="884"/>
      <c r="BN138" s="884"/>
      <c r="BO138" s="884"/>
    </row>
    <row r="139" spans="1:67" ht="20.100000000000001" customHeight="1">
      <c r="A139" s="783">
        <v>76</v>
      </c>
      <c r="B139" s="1594"/>
      <c r="C139" s="1625"/>
      <c r="D139" s="814" t="s">
        <v>408</v>
      </c>
      <c r="E139" s="785"/>
      <c r="F139" s="810"/>
      <c r="G139" s="787" t="s">
        <v>858</v>
      </c>
      <c r="H139" s="788">
        <f t="shared" ca="1" si="387"/>
        <v>3.6</v>
      </c>
      <c r="I139" s="788">
        <f t="shared" ca="1" si="388"/>
        <v>3.6</v>
      </c>
      <c r="J139" s="788">
        <f t="shared" ca="1" si="389"/>
        <v>3.6</v>
      </c>
      <c r="K139" s="788">
        <f t="shared" ca="1" si="390"/>
        <v>3.6</v>
      </c>
      <c r="L139" s="789">
        <f t="shared" ca="1" si="399"/>
        <v>0</v>
      </c>
      <c r="M139" s="789">
        <f t="shared" ca="1" si="399"/>
        <v>0</v>
      </c>
      <c r="N139" s="789">
        <f t="shared" ca="1" si="399"/>
        <v>0</v>
      </c>
      <c r="O139" s="789">
        <f t="shared" ca="1" si="399"/>
        <v>0</v>
      </c>
      <c r="P139" s="789">
        <f ca="1">IFERROR(OFFSET(貼付け_2024実績,$A139,7),"")</f>
        <v>0</v>
      </c>
      <c r="Q139" s="789">
        <f ca="1">IFERROR(OFFSET(貼付け_2025実績,$A139,7),"")</f>
        <v>0</v>
      </c>
      <c r="R139" s="789">
        <f ca="1">IFERROR(OFFSET(貼付け_2026実績,$A139,7),"")</f>
        <v>0</v>
      </c>
      <c r="S139" s="789">
        <f ca="1">IFERROR(OFFSET(貼付け_2027実績,$A139,7),"")</f>
        <v>0</v>
      </c>
      <c r="T139" s="789">
        <f t="shared" ca="1" si="395"/>
        <v>0</v>
      </c>
      <c r="U139" s="789">
        <f t="shared" ca="1" si="396"/>
        <v>0</v>
      </c>
      <c r="V139" s="789">
        <f t="shared" ca="1" si="397"/>
        <v>0</v>
      </c>
      <c r="W139" s="789">
        <f t="shared" ca="1" si="398"/>
        <v>0</v>
      </c>
      <c r="X139" s="884"/>
      <c r="Y139" s="884"/>
      <c r="Z139" s="884"/>
      <c r="AA139" s="884"/>
      <c r="AB139" s="884"/>
      <c r="AC139" s="884"/>
      <c r="AD139" s="884"/>
      <c r="AE139" s="884"/>
      <c r="AF139" s="884"/>
      <c r="AG139" s="884"/>
      <c r="AH139" s="884"/>
      <c r="AI139" s="884"/>
      <c r="AJ139" s="884"/>
      <c r="AK139" s="884"/>
      <c r="AL139" s="884"/>
      <c r="AM139" s="884"/>
      <c r="AN139" s="884"/>
      <c r="AO139" s="884"/>
      <c r="AP139" s="884"/>
      <c r="AQ139" s="884"/>
      <c r="AR139" s="884"/>
      <c r="AS139" s="884"/>
      <c r="AT139" s="884"/>
      <c r="AU139" s="884"/>
      <c r="AV139" s="884"/>
      <c r="AW139" s="884"/>
      <c r="AX139" s="884"/>
      <c r="AY139" s="884"/>
      <c r="AZ139" s="884"/>
      <c r="BA139" s="884"/>
      <c r="BB139" s="884"/>
      <c r="BC139" s="884"/>
      <c r="BD139" s="884"/>
      <c r="BE139" s="884"/>
      <c r="BF139" s="884"/>
      <c r="BG139" s="884"/>
      <c r="BH139" s="884"/>
      <c r="BI139" s="884"/>
      <c r="BJ139" s="884"/>
      <c r="BK139" s="884"/>
      <c r="BL139" s="884"/>
      <c r="BM139" s="884"/>
      <c r="BN139" s="884"/>
      <c r="BO139" s="884"/>
    </row>
    <row r="140" spans="1:67" ht="20.100000000000001" customHeight="1">
      <c r="A140" s="783">
        <v>202</v>
      </c>
      <c r="B140" s="1594"/>
      <c r="C140" s="1625"/>
      <c r="D140" s="896" t="s">
        <v>409</v>
      </c>
      <c r="E140" s="792" t="str">
        <f ca="1">OFFSET(A1_その他欄集計,12,13)</f>
        <v/>
      </c>
      <c r="F140" s="794"/>
      <c r="G140" s="787" t="s">
        <v>858</v>
      </c>
      <c r="H140" s="788">
        <f ca="1">IFERROR(OFFSET(貼付け_2024実績,$A140,15),"")</f>
        <v>0</v>
      </c>
      <c r="I140" s="788">
        <f ca="1">IFERROR(OFFSET(貼付け_2025実績,$A140,15),"")</f>
        <v>0</v>
      </c>
      <c r="J140" s="788">
        <f ca="1">IFERROR(OFFSET(貼付け_2026実績,$A140,15),"")</f>
        <v>0</v>
      </c>
      <c r="K140" s="788">
        <f ca="1">IFERROR(OFFSET(貼付け_2027実績,$A140,15),"")</f>
        <v>0</v>
      </c>
      <c r="L140" s="789">
        <f t="shared" ca="1" si="399"/>
        <v>0</v>
      </c>
      <c r="M140" s="789">
        <f t="shared" ca="1" si="399"/>
        <v>0</v>
      </c>
      <c r="N140" s="789">
        <f t="shared" ca="1" si="399"/>
        <v>0</v>
      </c>
      <c r="O140" s="789">
        <f t="shared" ca="1" si="399"/>
        <v>0</v>
      </c>
      <c r="P140" s="789">
        <f ca="1">IFERROR(OFFSET(貼付け_2024実績,$A140,18),"")</f>
        <v>0</v>
      </c>
      <c r="Q140" s="789">
        <f ca="1">IFERROR(OFFSET(貼付け_2025実績,$A140,18),"")</f>
        <v>0</v>
      </c>
      <c r="R140" s="789">
        <f ca="1">IFERROR(OFFSET(貼付け_2026実績,$A140,18),"")</f>
        <v>0</v>
      </c>
      <c r="S140" s="789">
        <f ca="1">IFERROR(OFFSET(貼付け_2027実績,$A140,18),"")</f>
        <v>0</v>
      </c>
      <c r="T140" s="789">
        <f ca="1">IFERROR(OFFSET(貼付け_2024実績,$A140,19),"")</f>
        <v>0</v>
      </c>
      <c r="U140" s="789">
        <f ca="1">IFERROR(OFFSET(貼付け_2025実績,$A140,19),"")</f>
        <v>0</v>
      </c>
      <c r="V140" s="789">
        <f ca="1">IFERROR(OFFSET(貼付け_2026実績,$A140,19),"")</f>
        <v>0</v>
      </c>
      <c r="W140" s="789">
        <f ca="1">IFERROR(OFFSET(貼付け_2027実績,$A140,19),"")</f>
        <v>0</v>
      </c>
      <c r="X140" s="884"/>
      <c r="Y140" s="884"/>
      <c r="Z140" s="884"/>
      <c r="AA140" s="884"/>
      <c r="AB140" s="884"/>
      <c r="AC140" s="884"/>
      <c r="AD140" s="884"/>
      <c r="AE140" s="884"/>
      <c r="AF140" s="884"/>
      <c r="AG140" s="884"/>
      <c r="AH140" s="884"/>
      <c r="AI140" s="884"/>
      <c r="AJ140" s="884"/>
      <c r="AK140" s="884"/>
      <c r="AL140" s="884"/>
      <c r="AM140" s="884"/>
      <c r="AN140" s="884"/>
      <c r="AO140" s="884"/>
      <c r="AP140" s="884"/>
      <c r="AQ140" s="884"/>
      <c r="AR140" s="884"/>
      <c r="AS140" s="884"/>
      <c r="AT140" s="884"/>
      <c r="AU140" s="884"/>
      <c r="AV140" s="884"/>
      <c r="AW140" s="884"/>
      <c r="AX140" s="884"/>
      <c r="AY140" s="884"/>
      <c r="AZ140" s="884"/>
      <c r="BA140" s="884"/>
      <c r="BB140" s="884"/>
      <c r="BC140" s="884"/>
      <c r="BD140" s="884"/>
      <c r="BE140" s="884"/>
      <c r="BF140" s="884"/>
      <c r="BG140" s="884"/>
      <c r="BH140" s="884"/>
      <c r="BI140" s="884"/>
      <c r="BJ140" s="884"/>
      <c r="BK140" s="884"/>
      <c r="BL140" s="884"/>
      <c r="BM140" s="884"/>
      <c r="BN140" s="884"/>
      <c r="BO140" s="884"/>
    </row>
    <row r="141" spans="1:67" ht="20.100000000000001" customHeight="1">
      <c r="A141" s="783">
        <v>203</v>
      </c>
      <c r="B141" s="1594"/>
      <c r="C141" s="1626"/>
      <c r="D141" s="897" t="s">
        <v>410</v>
      </c>
      <c r="E141" s="792" t="str">
        <f ca="1">OFFSET(A1_その他欄集計,13,13)</f>
        <v/>
      </c>
      <c r="F141" s="794"/>
      <c r="G141" s="787" t="s">
        <v>858</v>
      </c>
      <c r="H141" s="788">
        <f ca="1">IFERROR(OFFSET(貼付け_2024実績,$A141,15),"")</f>
        <v>0</v>
      </c>
      <c r="I141" s="788">
        <f ca="1">IFERROR(OFFSET(貼付け_2025実績,$A141,15),"")</f>
        <v>0</v>
      </c>
      <c r="J141" s="788">
        <f ca="1">IFERROR(OFFSET(貼付け_2026実績,$A141,15),"")</f>
        <v>0</v>
      </c>
      <c r="K141" s="788">
        <f ca="1">IFERROR(OFFSET(貼付け_2027実績,$A141,15),"")</f>
        <v>0</v>
      </c>
      <c r="L141" s="789">
        <f t="shared" ca="1" si="399"/>
        <v>0</v>
      </c>
      <c r="M141" s="789">
        <f t="shared" ca="1" si="399"/>
        <v>0</v>
      </c>
      <c r="N141" s="789">
        <f t="shared" ca="1" si="399"/>
        <v>0</v>
      </c>
      <c r="O141" s="789">
        <f t="shared" ca="1" si="399"/>
        <v>0</v>
      </c>
      <c r="P141" s="789">
        <f ca="1">IFERROR(OFFSET(貼付け_2024実績,$A141,18),"")</f>
        <v>0</v>
      </c>
      <c r="Q141" s="789">
        <f ca="1">IFERROR(OFFSET(貼付け_2025実績,$A141,18),"")</f>
        <v>0</v>
      </c>
      <c r="R141" s="789">
        <f ca="1">IFERROR(OFFSET(貼付け_2026実績,$A141,18),"")</f>
        <v>0</v>
      </c>
      <c r="S141" s="789">
        <f ca="1">IFERROR(OFFSET(貼付け_2027実績,$A141,18),"")</f>
        <v>0</v>
      </c>
      <c r="T141" s="789">
        <f ca="1">IFERROR(OFFSET(貼付け_2024実績,$A141,19),"")</f>
        <v>0</v>
      </c>
      <c r="U141" s="789">
        <f ca="1">IFERROR(OFFSET(貼付け_2025実績,$A141,19),"")</f>
        <v>0</v>
      </c>
      <c r="V141" s="789">
        <f ca="1">IFERROR(OFFSET(貼付け_2026実績,$A141,19),"")</f>
        <v>0</v>
      </c>
      <c r="W141" s="789">
        <f ca="1">IFERROR(OFFSET(貼付け_2027実績,$A141,19),"")</f>
        <v>0</v>
      </c>
      <c r="X141" s="884"/>
      <c r="Y141" s="884"/>
      <c r="Z141" s="884"/>
      <c r="AA141" s="884"/>
      <c r="AB141" s="884"/>
      <c r="AC141" s="884"/>
      <c r="AD141" s="884"/>
      <c r="AE141" s="884"/>
      <c r="AF141" s="884"/>
      <c r="AG141" s="884"/>
      <c r="AH141" s="884"/>
      <c r="AI141" s="884"/>
      <c r="AJ141" s="884"/>
      <c r="AK141" s="884"/>
      <c r="AL141" s="884"/>
      <c r="AM141" s="884"/>
      <c r="AN141" s="884"/>
      <c r="AO141" s="884"/>
      <c r="AP141" s="884"/>
      <c r="AQ141" s="884"/>
      <c r="AR141" s="884"/>
      <c r="AS141" s="884"/>
      <c r="AT141" s="884"/>
      <c r="AU141" s="884"/>
      <c r="AV141" s="884"/>
      <c r="AW141" s="884"/>
      <c r="AX141" s="884"/>
      <c r="AY141" s="884"/>
      <c r="AZ141" s="884"/>
      <c r="BA141" s="884"/>
      <c r="BB141" s="884"/>
      <c r="BC141" s="884"/>
      <c r="BD141" s="884"/>
      <c r="BE141" s="884"/>
      <c r="BF141" s="884"/>
      <c r="BG141" s="884"/>
      <c r="BH141" s="884"/>
      <c r="BI141" s="884"/>
      <c r="BJ141" s="884"/>
      <c r="BK141" s="884"/>
      <c r="BL141" s="884"/>
      <c r="BM141" s="884"/>
      <c r="BN141" s="884"/>
      <c r="BO141" s="884"/>
    </row>
    <row r="142" spans="1:67" ht="20.100000000000001" customHeight="1">
      <c r="A142" s="783">
        <v>83</v>
      </c>
      <c r="B142" s="1594"/>
      <c r="C142" s="1597" t="s">
        <v>411</v>
      </c>
      <c r="D142" s="814" t="s">
        <v>791</v>
      </c>
      <c r="E142" s="785"/>
      <c r="F142" s="836"/>
      <c r="G142" s="787" t="s">
        <v>858</v>
      </c>
      <c r="H142" s="788">
        <f t="shared" ca="1" si="387"/>
        <v>3.6</v>
      </c>
      <c r="I142" s="788">
        <f t="shared" ca="1" si="388"/>
        <v>3.6</v>
      </c>
      <c r="J142" s="788">
        <f t="shared" ca="1" si="389"/>
        <v>3.6</v>
      </c>
      <c r="K142" s="788">
        <f t="shared" ca="1" si="390"/>
        <v>3.6</v>
      </c>
      <c r="L142" s="789">
        <f t="shared" ca="1" si="399"/>
        <v>0</v>
      </c>
      <c r="M142" s="789">
        <f t="shared" ca="1" si="399"/>
        <v>0</v>
      </c>
      <c r="N142" s="789">
        <f t="shared" ca="1" si="399"/>
        <v>0</v>
      </c>
      <c r="O142" s="789">
        <f t="shared" ca="1" si="399"/>
        <v>0</v>
      </c>
      <c r="P142" s="789">
        <f t="shared" ref="P142:P149" ca="1" si="400">IFERROR(OFFSET(貼付け_2024実績,$A142,7),"")</f>
        <v>0</v>
      </c>
      <c r="Q142" s="789">
        <f t="shared" ref="Q142:Q149" ca="1" si="401">IFERROR(OFFSET(貼付け_2025実績,$A142,7),"")</f>
        <v>0</v>
      </c>
      <c r="R142" s="789">
        <f t="shared" ref="R142:R149" ca="1" si="402">IFERROR(OFFSET(貼付け_2026実績,$A142,7),"")</f>
        <v>0</v>
      </c>
      <c r="S142" s="789">
        <f t="shared" ref="S142:S149" ca="1" si="403">IFERROR(OFFSET(貼付け_2027実績,$A142,7),"")</f>
        <v>0</v>
      </c>
      <c r="T142" s="789">
        <f t="shared" ca="1" si="395"/>
        <v>0</v>
      </c>
      <c r="U142" s="789">
        <f t="shared" ca="1" si="396"/>
        <v>0</v>
      </c>
      <c r="V142" s="789">
        <f t="shared" ca="1" si="397"/>
        <v>0</v>
      </c>
      <c r="W142" s="789">
        <f t="shared" ca="1" si="398"/>
        <v>0</v>
      </c>
      <c r="X142" s="884"/>
      <c r="Y142" s="884"/>
      <c r="Z142" s="884"/>
      <c r="AA142" s="884"/>
      <c r="AB142" s="884"/>
      <c r="AC142" s="884"/>
      <c r="AD142" s="884"/>
      <c r="AE142" s="884"/>
      <c r="AF142" s="884"/>
      <c r="AG142" s="884"/>
      <c r="AH142" s="884"/>
      <c r="AI142" s="884"/>
      <c r="AJ142" s="884"/>
      <c r="AK142" s="884"/>
      <c r="AL142" s="884"/>
      <c r="AM142" s="884"/>
      <c r="AN142" s="884"/>
      <c r="AO142" s="884"/>
      <c r="AP142" s="884"/>
      <c r="AQ142" s="884"/>
      <c r="AR142" s="884"/>
      <c r="AS142" s="884"/>
      <c r="AT142" s="884"/>
      <c r="AU142" s="884"/>
      <c r="AV142" s="884"/>
      <c r="AW142" s="884"/>
      <c r="AX142" s="884"/>
      <c r="AY142" s="884"/>
      <c r="AZ142" s="884"/>
      <c r="BA142" s="884"/>
      <c r="BB142" s="884"/>
      <c r="BC142" s="884"/>
      <c r="BD142" s="884"/>
      <c r="BE142" s="884"/>
      <c r="BF142" s="884"/>
      <c r="BG142" s="884"/>
      <c r="BH142" s="884"/>
      <c r="BI142" s="884"/>
      <c r="BJ142" s="884"/>
      <c r="BK142" s="884"/>
      <c r="BL142" s="884"/>
      <c r="BM142" s="884"/>
      <c r="BN142" s="884"/>
      <c r="BO142" s="884"/>
    </row>
    <row r="143" spans="1:67" ht="20.100000000000001" customHeight="1">
      <c r="A143" s="783">
        <v>84</v>
      </c>
      <c r="B143" s="1594"/>
      <c r="C143" s="1625"/>
      <c r="D143" s="814" t="s">
        <v>792</v>
      </c>
      <c r="E143" s="785"/>
      <c r="F143" s="836"/>
      <c r="G143" s="787" t="s">
        <v>859</v>
      </c>
      <c r="H143" s="837"/>
      <c r="I143" s="837"/>
      <c r="J143" s="837"/>
      <c r="K143" s="837"/>
      <c r="L143" s="789">
        <f t="shared" ca="1" si="399"/>
        <v>0</v>
      </c>
      <c r="M143" s="789">
        <f t="shared" ca="1" si="399"/>
        <v>0</v>
      </c>
      <c r="N143" s="789">
        <f t="shared" ca="1" si="399"/>
        <v>0</v>
      </c>
      <c r="O143" s="789">
        <f t="shared" ca="1" si="399"/>
        <v>0</v>
      </c>
      <c r="P143" s="789">
        <f t="shared" ca="1" si="400"/>
        <v>0</v>
      </c>
      <c r="Q143" s="789">
        <f t="shared" ca="1" si="401"/>
        <v>0</v>
      </c>
      <c r="R143" s="789">
        <f t="shared" ca="1" si="402"/>
        <v>0</v>
      </c>
      <c r="S143" s="789">
        <f t="shared" ca="1" si="403"/>
        <v>0</v>
      </c>
      <c r="T143" s="789">
        <f t="shared" ca="1" si="395"/>
        <v>0</v>
      </c>
      <c r="U143" s="789">
        <f t="shared" ca="1" si="396"/>
        <v>0</v>
      </c>
      <c r="V143" s="789">
        <f t="shared" ca="1" si="397"/>
        <v>0</v>
      </c>
      <c r="W143" s="789">
        <f t="shared" ca="1" si="398"/>
        <v>0</v>
      </c>
      <c r="X143" s="884"/>
      <c r="Y143" s="884"/>
      <c r="Z143" s="884"/>
      <c r="AA143" s="884"/>
      <c r="AB143" s="884"/>
      <c r="AC143" s="884"/>
      <c r="AD143" s="884"/>
      <c r="AE143" s="884"/>
      <c r="AF143" s="884"/>
      <c r="AG143" s="884"/>
      <c r="AH143" s="884"/>
      <c r="AI143" s="884"/>
      <c r="AJ143" s="884"/>
      <c r="AK143" s="884"/>
      <c r="AL143" s="884"/>
      <c r="AM143" s="884"/>
      <c r="AN143" s="884"/>
      <c r="AO143" s="884"/>
      <c r="AP143" s="884"/>
      <c r="AQ143" s="884"/>
      <c r="AR143" s="884"/>
      <c r="AS143" s="884"/>
      <c r="AT143" s="884"/>
      <c r="AU143" s="884"/>
      <c r="AV143" s="884"/>
      <c r="AW143" s="884"/>
      <c r="AX143" s="884"/>
      <c r="AY143" s="884"/>
      <c r="AZ143" s="884"/>
      <c r="BA143" s="884"/>
      <c r="BB143" s="884"/>
      <c r="BC143" s="884"/>
      <c r="BD143" s="884"/>
      <c r="BE143" s="884"/>
      <c r="BF143" s="884"/>
      <c r="BG143" s="884"/>
      <c r="BH143" s="884"/>
      <c r="BI143" s="884"/>
      <c r="BJ143" s="884"/>
      <c r="BK143" s="884"/>
      <c r="BL143" s="884"/>
      <c r="BM143" s="884"/>
      <c r="BN143" s="884"/>
      <c r="BO143" s="884"/>
    </row>
    <row r="144" spans="1:67" ht="20.100000000000001" customHeight="1">
      <c r="A144" s="783">
        <v>85</v>
      </c>
      <c r="B144" s="1594"/>
      <c r="C144" s="1625"/>
      <c r="D144" s="814" t="s">
        <v>793</v>
      </c>
      <c r="E144" s="785"/>
      <c r="F144" s="836"/>
      <c r="G144" s="787" t="s">
        <v>858</v>
      </c>
      <c r="H144" s="788">
        <f t="shared" ca="1" si="387"/>
        <v>3.6</v>
      </c>
      <c r="I144" s="788">
        <f t="shared" ca="1" si="388"/>
        <v>3.6</v>
      </c>
      <c r="J144" s="788">
        <f t="shared" ca="1" si="389"/>
        <v>3.6</v>
      </c>
      <c r="K144" s="788">
        <f t="shared" ca="1" si="390"/>
        <v>3.6</v>
      </c>
      <c r="L144" s="789">
        <f t="shared" ca="1" si="399"/>
        <v>0</v>
      </c>
      <c r="M144" s="789">
        <f t="shared" ca="1" si="399"/>
        <v>0</v>
      </c>
      <c r="N144" s="789">
        <f t="shared" ca="1" si="399"/>
        <v>0</v>
      </c>
      <c r="O144" s="789">
        <f t="shared" ca="1" si="399"/>
        <v>0</v>
      </c>
      <c r="P144" s="789">
        <f t="shared" ca="1" si="400"/>
        <v>0</v>
      </c>
      <c r="Q144" s="789">
        <f t="shared" ca="1" si="401"/>
        <v>0</v>
      </c>
      <c r="R144" s="789">
        <f t="shared" ca="1" si="402"/>
        <v>0</v>
      </c>
      <c r="S144" s="789">
        <f t="shared" ca="1" si="403"/>
        <v>0</v>
      </c>
      <c r="T144" s="789">
        <f t="shared" ca="1" si="395"/>
        <v>0</v>
      </c>
      <c r="U144" s="789">
        <f t="shared" ca="1" si="396"/>
        <v>0</v>
      </c>
      <c r="V144" s="789">
        <f t="shared" ca="1" si="397"/>
        <v>0</v>
      </c>
      <c r="W144" s="789">
        <f t="shared" ca="1" si="398"/>
        <v>0</v>
      </c>
      <c r="X144" s="884"/>
      <c r="Y144" s="884"/>
      <c r="Z144" s="884"/>
      <c r="AA144" s="884"/>
      <c r="AB144" s="884"/>
      <c r="AC144" s="884"/>
      <c r="AD144" s="884"/>
      <c r="AE144" s="884"/>
      <c r="AF144" s="884"/>
      <c r="AG144" s="884"/>
      <c r="AH144" s="884"/>
      <c r="AI144" s="884"/>
      <c r="AJ144" s="884"/>
      <c r="AK144" s="884"/>
      <c r="AL144" s="884"/>
      <c r="AM144" s="884"/>
      <c r="AN144" s="884"/>
      <c r="AO144" s="884"/>
      <c r="AP144" s="884"/>
      <c r="AQ144" s="884"/>
      <c r="AR144" s="884"/>
      <c r="AS144" s="884"/>
      <c r="AT144" s="884"/>
      <c r="AU144" s="884"/>
      <c r="AV144" s="884"/>
      <c r="AW144" s="884"/>
      <c r="AX144" s="884"/>
      <c r="AY144" s="884"/>
      <c r="AZ144" s="884"/>
      <c r="BA144" s="884"/>
      <c r="BB144" s="884"/>
      <c r="BC144" s="884"/>
      <c r="BD144" s="884"/>
      <c r="BE144" s="884"/>
      <c r="BF144" s="884"/>
      <c r="BG144" s="884"/>
      <c r="BH144" s="884"/>
      <c r="BI144" s="884"/>
      <c r="BJ144" s="884"/>
      <c r="BK144" s="884"/>
      <c r="BL144" s="884"/>
      <c r="BM144" s="884"/>
      <c r="BN144" s="884"/>
      <c r="BO144" s="884"/>
    </row>
    <row r="145" spans="1:67" ht="20.100000000000001" customHeight="1">
      <c r="A145" s="783">
        <v>86</v>
      </c>
      <c r="B145" s="1594"/>
      <c r="C145" s="1625"/>
      <c r="D145" s="814" t="s">
        <v>794</v>
      </c>
      <c r="E145" s="785"/>
      <c r="F145" s="836"/>
      <c r="G145" s="787" t="s">
        <v>859</v>
      </c>
      <c r="H145" s="837"/>
      <c r="I145" s="837"/>
      <c r="J145" s="837"/>
      <c r="K145" s="837"/>
      <c r="L145" s="789">
        <f t="shared" ca="1" si="399"/>
        <v>0</v>
      </c>
      <c r="M145" s="789">
        <f t="shared" ca="1" si="399"/>
        <v>0</v>
      </c>
      <c r="N145" s="789">
        <f t="shared" ca="1" si="399"/>
        <v>0</v>
      </c>
      <c r="O145" s="789">
        <f t="shared" ca="1" si="399"/>
        <v>0</v>
      </c>
      <c r="P145" s="789">
        <f t="shared" ca="1" si="400"/>
        <v>0</v>
      </c>
      <c r="Q145" s="789">
        <f t="shared" ca="1" si="401"/>
        <v>0</v>
      </c>
      <c r="R145" s="789">
        <f t="shared" ca="1" si="402"/>
        <v>0</v>
      </c>
      <c r="S145" s="789">
        <f t="shared" ca="1" si="403"/>
        <v>0</v>
      </c>
      <c r="T145" s="789">
        <f t="shared" ca="1" si="395"/>
        <v>0</v>
      </c>
      <c r="U145" s="789">
        <f t="shared" ca="1" si="396"/>
        <v>0</v>
      </c>
      <c r="V145" s="789">
        <f t="shared" ca="1" si="397"/>
        <v>0</v>
      </c>
      <c r="W145" s="789">
        <f t="shared" ca="1" si="398"/>
        <v>0</v>
      </c>
      <c r="X145" s="884"/>
      <c r="Y145" s="884"/>
      <c r="Z145" s="884"/>
      <c r="AA145" s="884"/>
      <c r="AB145" s="884"/>
      <c r="AC145" s="884"/>
      <c r="AD145" s="884"/>
      <c r="AE145" s="884"/>
      <c r="AF145" s="884"/>
      <c r="AG145" s="884"/>
      <c r="AH145" s="884"/>
      <c r="AI145" s="884"/>
      <c r="AJ145" s="884"/>
      <c r="AK145" s="884"/>
      <c r="AL145" s="884"/>
      <c r="AM145" s="884"/>
      <c r="AN145" s="884"/>
      <c r="AO145" s="884"/>
      <c r="AP145" s="884"/>
      <c r="AQ145" s="884"/>
      <c r="AR145" s="884"/>
      <c r="AS145" s="884"/>
      <c r="AT145" s="884"/>
      <c r="AU145" s="884"/>
      <c r="AV145" s="884"/>
      <c r="AW145" s="884"/>
      <c r="AX145" s="884"/>
      <c r="AY145" s="884"/>
      <c r="AZ145" s="884"/>
      <c r="BA145" s="884"/>
      <c r="BB145" s="884"/>
      <c r="BC145" s="884"/>
      <c r="BD145" s="884"/>
      <c r="BE145" s="884"/>
      <c r="BF145" s="884"/>
      <c r="BG145" s="884"/>
      <c r="BH145" s="884"/>
      <c r="BI145" s="884"/>
      <c r="BJ145" s="884"/>
      <c r="BK145" s="884"/>
      <c r="BL145" s="884"/>
      <c r="BM145" s="884"/>
      <c r="BN145" s="884"/>
      <c r="BO145" s="884"/>
    </row>
    <row r="146" spans="1:67" ht="20.100000000000001" customHeight="1">
      <c r="A146" s="783">
        <v>87</v>
      </c>
      <c r="B146" s="1594"/>
      <c r="C146" s="1625"/>
      <c r="D146" s="814" t="s">
        <v>795</v>
      </c>
      <c r="E146" s="785"/>
      <c r="F146" s="836"/>
      <c r="G146" s="787" t="s">
        <v>858</v>
      </c>
      <c r="H146" s="788">
        <f t="shared" ca="1" si="387"/>
        <v>3.6</v>
      </c>
      <c r="I146" s="788">
        <f t="shared" ca="1" si="388"/>
        <v>3.6</v>
      </c>
      <c r="J146" s="788">
        <f t="shared" ca="1" si="389"/>
        <v>3.6</v>
      </c>
      <c r="K146" s="788">
        <f t="shared" ca="1" si="390"/>
        <v>3.6</v>
      </c>
      <c r="L146" s="789">
        <f t="shared" ca="1" si="399"/>
        <v>0</v>
      </c>
      <c r="M146" s="789">
        <f t="shared" ca="1" si="399"/>
        <v>0</v>
      </c>
      <c r="N146" s="789">
        <f t="shared" ca="1" si="399"/>
        <v>0</v>
      </c>
      <c r="O146" s="789">
        <f t="shared" ca="1" si="399"/>
        <v>0</v>
      </c>
      <c r="P146" s="789">
        <f t="shared" ca="1" si="400"/>
        <v>0</v>
      </c>
      <c r="Q146" s="789">
        <f t="shared" ca="1" si="401"/>
        <v>0</v>
      </c>
      <c r="R146" s="789">
        <f t="shared" ca="1" si="402"/>
        <v>0</v>
      </c>
      <c r="S146" s="789">
        <f t="shared" ca="1" si="403"/>
        <v>0</v>
      </c>
      <c r="T146" s="789">
        <f t="shared" ca="1" si="395"/>
        <v>0</v>
      </c>
      <c r="U146" s="789">
        <f t="shared" ca="1" si="396"/>
        <v>0</v>
      </c>
      <c r="V146" s="789">
        <f t="shared" ca="1" si="397"/>
        <v>0</v>
      </c>
      <c r="W146" s="789">
        <f t="shared" ca="1" si="398"/>
        <v>0</v>
      </c>
      <c r="X146" s="884"/>
      <c r="Y146" s="884"/>
      <c r="Z146" s="884"/>
      <c r="AA146" s="884"/>
      <c r="AB146" s="884"/>
      <c r="AC146" s="884"/>
      <c r="AD146" s="884"/>
      <c r="AE146" s="884"/>
      <c r="AF146" s="884"/>
      <c r="AG146" s="884"/>
      <c r="AH146" s="884"/>
      <c r="AI146" s="884"/>
      <c r="AJ146" s="884"/>
      <c r="AK146" s="884"/>
      <c r="AL146" s="884"/>
      <c r="AM146" s="884"/>
      <c r="AN146" s="884"/>
      <c r="AO146" s="884"/>
      <c r="AP146" s="884"/>
      <c r="AQ146" s="884"/>
      <c r="AR146" s="884"/>
      <c r="AS146" s="884"/>
      <c r="AT146" s="884"/>
      <c r="AU146" s="884"/>
      <c r="AV146" s="884"/>
      <c r="AW146" s="884"/>
      <c r="AX146" s="884"/>
      <c r="AY146" s="884"/>
      <c r="AZ146" s="884"/>
      <c r="BA146" s="884"/>
      <c r="BB146" s="884"/>
      <c r="BC146" s="884"/>
      <c r="BD146" s="884"/>
      <c r="BE146" s="884"/>
      <c r="BF146" s="884"/>
      <c r="BG146" s="884"/>
      <c r="BH146" s="884"/>
      <c r="BI146" s="884"/>
      <c r="BJ146" s="884"/>
      <c r="BK146" s="884"/>
      <c r="BL146" s="884"/>
      <c r="BM146" s="884"/>
      <c r="BN146" s="884"/>
      <c r="BO146" s="884"/>
    </row>
    <row r="147" spans="1:67" ht="20.100000000000001" customHeight="1">
      <c r="A147" s="783">
        <v>88</v>
      </c>
      <c r="B147" s="1594"/>
      <c r="C147" s="1625"/>
      <c r="D147" s="814" t="s">
        <v>796</v>
      </c>
      <c r="E147" s="785"/>
      <c r="F147" s="836"/>
      <c r="G147" s="787" t="s">
        <v>859</v>
      </c>
      <c r="H147" s="837"/>
      <c r="I147" s="837"/>
      <c r="J147" s="837"/>
      <c r="K147" s="837"/>
      <c r="L147" s="789">
        <f t="shared" ca="1" si="399"/>
        <v>0</v>
      </c>
      <c r="M147" s="789">
        <f t="shared" ca="1" si="399"/>
        <v>0</v>
      </c>
      <c r="N147" s="789">
        <f t="shared" ca="1" si="399"/>
        <v>0</v>
      </c>
      <c r="O147" s="789">
        <f t="shared" ca="1" si="399"/>
        <v>0</v>
      </c>
      <c r="P147" s="789">
        <f t="shared" ca="1" si="400"/>
        <v>0</v>
      </c>
      <c r="Q147" s="789">
        <f t="shared" ca="1" si="401"/>
        <v>0</v>
      </c>
      <c r="R147" s="789">
        <f t="shared" ca="1" si="402"/>
        <v>0</v>
      </c>
      <c r="S147" s="789">
        <f t="shared" ca="1" si="403"/>
        <v>0</v>
      </c>
      <c r="T147" s="789">
        <f t="shared" ca="1" si="395"/>
        <v>0</v>
      </c>
      <c r="U147" s="789">
        <f t="shared" ca="1" si="396"/>
        <v>0</v>
      </c>
      <c r="V147" s="789">
        <f t="shared" ca="1" si="397"/>
        <v>0</v>
      </c>
      <c r="W147" s="789">
        <f t="shared" ca="1" si="398"/>
        <v>0</v>
      </c>
      <c r="X147" s="884"/>
      <c r="Y147" s="884"/>
      <c r="Z147" s="884"/>
      <c r="AA147" s="884"/>
      <c r="AB147" s="884"/>
      <c r="AC147" s="884"/>
      <c r="AD147" s="884"/>
      <c r="AE147" s="884"/>
      <c r="AF147" s="884"/>
      <c r="AG147" s="884"/>
      <c r="AH147" s="884"/>
      <c r="AI147" s="884"/>
      <c r="AJ147" s="884"/>
      <c r="AK147" s="884"/>
      <c r="AL147" s="884"/>
      <c r="AM147" s="884"/>
      <c r="AN147" s="884"/>
      <c r="AO147" s="884"/>
      <c r="AP147" s="884"/>
      <c r="AQ147" s="884"/>
      <c r="AR147" s="884"/>
      <c r="AS147" s="884"/>
      <c r="AT147" s="884"/>
      <c r="AU147" s="884"/>
      <c r="AV147" s="884"/>
      <c r="AW147" s="884"/>
      <c r="AX147" s="884"/>
      <c r="AY147" s="884"/>
      <c r="AZ147" s="884"/>
      <c r="BA147" s="884"/>
      <c r="BB147" s="884"/>
      <c r="BC147" s="884"/>
      <c r="BD147" s="884"/>
      <c r="BE147" s="884"/>
      <c r="BF147" s="884"/>
      <c r="BG147" s="884"/>
      <c r="BH147" s="884"/>
      <c r="BI147" s="884"/>
      <c r="BJ147" s="884"/>
      <c r="BK147" s="884"/>
      <c r="BL147" s="884"/>
      <c r="BM147" s="884"/>
      <c r="BN147" s="884"/>
      <c r="BO147" s="884"/>
    </row>
    <row r="148" spans="1:67" ht="20.100000000000001" customHeight="1">
      <c r="A148" s="783">
        <v>89</v>
      </c>
      <c r="B148" s="1594"/>
      <c r="C148" s="1625"/>
      <c r="D148" s="814" t="s">
        <v>797</v>
      </c>
      <c r="E148" s="785"/>
      <c r="F148" s="836"/>
      <c r="G148" s="787" t="s">
        <v>858</v>
      </c>
      <c r="H148" s="788">
        <f t="shared" ca="1" si="387"/>
        <v>3.6</v>
      </c>
      <c r="I148" s="788">
        <f t="shared" ca="1" si="388"/>
        <v>3.6</v>
      </c>
      <c r="J148" s="788">
        <f t="shared" ca="1" si="389"/>
        <v>3.6</v>
      </c>
      <c r="K148" s="788">
        <f t="shared" ca="1" si="390"/>
        <v>3.6</v>
      </c>
      <c r="L148" s="789">
        <f t="shared" ca="1" si="399"/>
        <v>0</v>
      </c>
      <c r="M148" s="789">
        <f t="shared" ca="1" si="399"/>
        <v>0</v>
      </c>
      <c r="N148" s="789">
        <f t="shared" ca="1" si="399"/>
        <v>0</v>
      </c>
      <c r="O148" s="789">
        <f t="shared" ca="1" si="399"/>
        <v>0</v>
      </c>
      <c r="P148" s="789">
        <f t="shared" ca="1" si="400"/>
        <v>0</v>
      </c>
      <c r="Q148" s="789">
        <f t="shared" ca="1" si="401"/>
        <v>0</v>
      </c>
      <c r="R148" s="789">
        <f t="shared" ca="1" si="402"/>
        <v>0</v>
      </c>
      <c r="S148" s="789">
        <f t="shared" ca="1" si="403"/>
        <v>0</v>
      </c>
      <c r="T148" s="789">
        <f t="shared" ca="1" si="395"/>
        <v>0</v>
      </c>
      <c r="U148" s="789">
        <f t="shared" ca="1" si="396"/>
        <v>0</v>
      </c>
      <c r="V148" s="789">
        <f t="shared" ca="1" si="397"/>
        <v>0</v>
      </c>
      <c r="W148" s="789">
        <f t="shared" ca="1" si="398"/>
        <v>0</v>
      </c>
      <c r="X148" s="884"/>
      <c r="Y148" s="884"/>
      <c r="Z148" s="884"/>
      <c r="AA148" s="884"/>
      <c r="AB148" s="884"/>
      <c r="AC148" s="884"/>
      <c r="AD148" s="884"/>
      <c r="AE148" s="884"/>
      <c r="AF148" s="884"/>
      <c r="AG148" s="884"/>
      <c r="AH148" s="884"/>
      <c r="AI148" s="884"/>
      <c r="AJ148" s="884"/>
      <c r="AK148" s="884"/>
      <c r="AL148" s="884"/>
      <c r="AM148" s="884"/>
      <c r="AN148" s="884"/>
      <c r="AO148" s="884"/>
      <c r="AP148" s="884"/>
      <c r="AQ148" s="884"/>
      <c r="AR148" s="884"/>
      <c r="AS148" s="884"/>
      <c r="AT148" s="884"/>
      <c r="AU148" s="884"/>
      <c r="AV148" s="884"/>
      <c r="AW148" s="884"/>
      <c r="AX148" s="884"/>
      <c r="AY148" s="884"/>
      <c r="AZ148" s="884"/>
      <c r="BA148" s="884"/>
      <c r="BB148" s="884"/>
      <c r="BC148" s="884"/>
      <c r="BD148" s="884"/>
      <c r="BE148" s="884"/>
      <c r="BF148" s="884"/>
      <c r="BG148" s="884"/>
      <c r="BH148" s="884"/>
      <c r="BI148" s="884"/>
      <c r="BJ148" s="884"/>
      <c r="BK148" s="884"/>
      <c r="BL148" s="884"/>
      <c r="BM148" s="884"/>
      <c r="BN148" s="884"/>
      <c r="BO148" s="884"/>
    </row>
    <row r="149" spans="1:67" ht="20.100000000000001" customHeight="1">
      <c r="A149" s="783">
        <v>90</v>
      </c>
      <c r="B149" s="1594"/>
      <c r="C149" s="1625"/>
      <c r="D149" s="814" t="s">
        <v>798</v>
      </c>
      <c r="E149" s="785"/>
      <c r="F149" s="836"/>
      <c r="G149" s="787" t="s">
        <v>859</v>
      </c>
      <c r="H149" s="837"/>
      <c r="I149" s="837"/>
      <c r="J149" s="837"/>
      <c r="K149" s="837"/>
      <c r="L149" s="789">
        <f t="shared" ca="1" si="399"/>
        <v>0</v>
      </c>
      <c r="M149" s="789">
        <f t="shared" ca="1" si="399"/>
        <v>0</v>
      </c>
      <c r="N149" s="789">
        <f t="shared" ca="1" si="399"/>
        <v>0</v>
      </c>
      <c r="O149" s="789">
        <f t="shared" ca="1" si="399"/>
        <v>0</v>
      </c>
      <c r="P149" s="789">
        <f t="shared" ca="1" si="400"/>
        <v>0</v>
      </c>
      <c r="Q149" s="789">
        <f t="shared" ca="1" si="401"/>
        <v>0</v>
      </c>
      <c r="R149" s="789">
        <f t="shared" ca="1" si="402"/>
        <v>0</v>
      </c>
      <c r="S149" s="789">
        <f t="shared" ca="1" si="403"/>
        <v>0</v>
      </c>
      <c r="T149" s="789">
        <f t="shared" ca="1" si="395"/>
        <v>0</v>
      </c>
      <c r="U149" s="789">
        <f t="shared" ca="1" si="396"/>
        <v>0</v>
      </c>
      <c r="V149" s="789">
        <f t="shared" ca="1" si="397"/>
        <v>0</v>
      </c>
      <c r="W149" s="789">
        <f t="shared" ca="1" si="398"/>
        <v>0</v>
      </c>
      <c r="X149" s="884"/>
      <c r="Y149" s="884"/>
      <c r="Z149" s="884"/>
      <c r="AA149" s="884"/>
      <c r="AB149" s="884"/>
      <c r="AC149" s="884"/>
      <c r="AD149" s="884"/>
      <c r="AE149" s="884"/>
      <c r="AF149" s="884"/>
      <c r="AG149" s="884"/>
      <c r="AH149" s="884"/>
      <c r="AI149" s="884"/>
      <c r="AJ149" s="884"/>
      <c r="AK149" s="884"/>
      <c r="AL149" s="884"/>
      <c r="AM149" s="884"/>
      <c r="AN149" s="884"/>
      <c r="AO149" s="884"/>
      <c r="AP149" s="884"/>
      <c r="AQ149" s="884"/>
      <c r="AR149" s="884"/>
      <c r="AS149" s="884"/>
      <c r="AT149" s="884"/>
      <c r="AU149" s="884"/>
      <c r="AV149" s="884"/>
      <c r="AW149" s="884"/>
      <c r="AX149" s="884"/>
      <c r="AY149" s="884"/>
      <c r="AZ149" s="884"/>
      <c r="BA149" s="884"/>
      <c r="BB149" s="884"/>
      <c r="BC149" s="884"/>
      <c r="BD149" s="884"/>
      <c r="BE149" s="884"/>
      <c r="BF149" s="884"/>
      <c r="BG149" s="884"/>
      <c r="BH149" s="884"/>
      <c r="BI149" s="884"/>
      <c r="BJ149" s="884"/>
      <c r="BK149" s="884"/>
      <c r="BL149" s="884"/>
      <c r="BM149" s="884"/>
      <c r="BN149" s="884"/>
      <c r="BO149" s="884"/>
    </row>
    <row r="150" spans="1:67" ht="20.100000000000001" customHeight="1">
      <c r="A150" s="783">
        <v>204</v>
      </c>
      <c r="B150" s="1594"/>
      <c r="C150" s="1625"/>
      <c r="D150" s="1617" t="s">
        <v>799</v>
      </c>
      <c r="E150" s="792" t="str">
        <f ca="1">OFFSET(A1_その他欄集計,14,13)</f>
        <v/>
      </c>
      <c r="F150" s="839"/>
      <c r="G150" s="787" t="s">
        <v>858</v>
      </c>
      <c r="H150" s="788">
        <f ca="1">IFERROR(OFFSET(貼付け_2024実績,$A150,15),"")</f>
        <v>0</v>
      </c>
      <c r="I150" s="788">
        <f ca="1">IFERROR(OFFSET(貼付け_2025実績,$A150,15),"")</f>
        <v>0</v>
      </c>
      <c r="J150" s="788">
        <f ca="1">IFERROR(OFFSET(貼付け_2026実績,$A150,15),"")</f>
        <v>0</v>
      </c>
      <c r="K150" s="788">
        <f ca="1">IFERROR(OFFSET(貼付け_2027実績,$A150,15),"")</f>
        <v>0</v>
      </c>
      <c r="L150" s="789">
        <f t="shared" ca="1" si="399"/>
        <v>0</v>
      </c>
      <c r="M150" s="789">
        <f t="shared" ca="1" si="399"/>
        <v>0</v>
      </c>
      <c r="N150" s="789">
        <f t="shared" ca="1" si="399"/>
        <v>0</v>
      </c>
      <c r="O150" s="789">
        <f t="shared" ca="1" si="399"/>
        <v>0</v>
      </c>
      <c r="P150" s="789">
        <f t="shared" ref="P150:P157" ca="1" si="404">IFERROR(OFFSET(貼付け_2024実績,$A150,18),"")</f>
        <v>0</v>
      </c>
      <c r="Q150" s="789">
        <f t="shared" ref="Q150:Q157" ca="1" si="405">IFERROR(OFFSET(貼付け_2025実績,$A150,18),"")</f>
        <v>0</v>
      </c>
      <c r="R150" s="789">
        <f t="shared" ref="R150:R157" ca="1" si="406">IFERROR(OFFSET(貼付け_2026実績,$A150,18),"")</f>
        <v>0</v>
      </c>
      <c r="S150" s="789">
        <f t="shared" ref="S150:S157" ca="1" si="407">IFERROR(OFFSET(貼付け_2027実績,$A150,18),"")</f>
        <v>0</v>
      </c>
      <c r="T150" s="789">
        <f t="shared" ref="T150:T157" ca="1" si="408">IFERROR(OFFSET(貼付け_2024実績,$A150,19),"")</f>
        <v>0</v>
      </c>
      <c r="U150" s="789">
        <f t="shared" ref="U150:U157" ca="1" si="409">IFERROR(OFFSET(貼付け_2025実績,$A150,19),"")</f>
        <v>0</v>
      </c>
      <c r="V150" s="789">
        <f t="shared" ref="V150:V157" ca="1" si="410">IFERROR(OFFSET(貼付け_2026実績,$A150,19),"")</f>
        <v>0</v>
      </c>
      <c r="W150" s="789">
        <f t="shared" ref="W150:W157" ca="1" si="411">IFERROR(OFFSET(貼付け_2027実績,$A150,19),"")</f>
        <v>0</v>
      </c>
      <c r="X150" s="884"/>
      <c r="Y150" s="884"/>
      <c r="Z150" s="884"/>
      <c r="AA150" s="884"/>
      <c r="AB150" s="884"/>
      <c r="AC150" s="884"/>
      <c r="AD150" s="884"/>
      <c r="AE150" s="884"/>
      <c r="AF150" s="884"/>
      <c r="AG150" s="884"/>
      <c r="AH150" s="884"/>
      <c r="AI150" s="884"/>
      <c r="AJ150" s="884"/>
      <c r="AK150" s="884"/>
      <c r="AL150" s="884"/>
      <c r="AM150" s="884"/>
      <c r="AN150" s="884"/>
      <c r="AO150" s="884"/>
      <c r="AP150" s="884"/>
      <c r="AQ150" s="884"/>
      <c r="AR150" s="884"/>
      <c r="AS150" s="884"/>
      <c r="AT150" s="884"/>
      <c r="AU150" s="884"/>
      <c r="AV150" s="884"/>
      <c r="AW150" s="884"/>
      <c r="AX150" s="884"/>
      <c r="AY150" s="884"/>
      <c r="AZ150" s="884"/>
      <c r="BA150" s="884"/>
      <c r="BB150" s="884"/>
      <c r="BC150" s="884"/>
      <c r="BD150" s="884"/>
      <c r="BE150" s="884"/>
      <c r="BF150" s="884"/>
      <c r="BG150" s="884"/>
      <c r="BH150" s="884"/>
      <c r="BI150" s="884"/>
      <c r="BJ150" s="884"/>
      <c r="BK150" s="884"/>
      <c r="BL150" s="884"/>
      <c r="BM150" s="884"/>
      <c r="BN150" s="884"/>
      <c r="BO150" s="884"/>
    </row>
    <row r="151" spans="1:67" ht="20.100000000000001" customHeight="1">
      <c r="A151" s="783">
        <v>205</v>
      </c>
      <c r="B151" s="1594"/>
      <c r="C151" s="1625"/>
      <c r="D151" s="1617"/>
      <c r="E151" s="840"/>
      <c r="F151" s="841"/>
      <c r="G151" s="787" t="s">
        <v>859</v>
      </c>
      <c r="H151" s="837"/>
      <c r="I151" s="837"/>
      <c r="J151" s="837"/>
      <c r="K151" s="837"/>
      <c r="L151" s="789">
        <f t="shared" ca="1" si="399"/>
        <v>0</v>
      </c>
      <c r="M151" s="789">
        <f t="shared" ca="1" si="399"/>
        <v>0</v>
      </c>
      <c r="N151" s="789">
        <f t="shared" ca="1" si="399"/>
        <v>0</v>
      </c>
      <c r="O151" s="789">
        <f t="shared" ca="1" si="399"/>
        <v>0</v>
      </c>
      <c r="P151" s="789">
        <f t="shared" ca="1" si="404"/>
        <v>0</v>
      </c>
      <c r="Q151" s="789">
        <f t="shared" ca="1" si="405"/>
        <v>0</v>
      </c>
      <c r="R151" s="789">
        <f t="shared" ca="1" si="406"/>
        <v>0</v>
      </c>
      <c r="S151" s="789">
        <f t="shared" ca="1" si="407"/>
        <v>0</v>
      </c>
      <c r="T151" s="789">
        <f t="shared" ca="1" si="408"/>
        <v>0</v>
      </c>
      <c r="U151" s="789">
        <f t="shared" ca="1" si="409"/>
        <v>0</v>
      </c>
      <c r="V151" s="789">
        <f t="shared" ca="1" si="410"/>
        <v>0</v>
      </c>
      <c r="W151" s="789">
        <f t="shared" ca="1" si="411"/>
        <v>0</v>
      </c>
      <c r="X151" s="884"/>
      <c r="Y151" s="884"/>
      <c r="Z151" s="884"/>
      <c r="AA151" s="884"/>
      <c r="AB151" s="884"/>
      <c r="AC151" s="884"/>
      <c r="AD151" s="884"/>
      <c r="AE151" s="884"/>
      <c r="AF151" s="884"/>
      <c r="AG151" s="884"/>
      <c r="AH151" s="884"/>
      <c r="AI151" s="884"/>
      <c r="AJ151" s="884"/>
      <c r="AK151" s="884"/>
      <c r="AL151" s="884"/>
      <c r="AM151" s="884"/>
      <c r="AN151" s="884"/>
      <c r="AO151" s="884"/>
      <c r="AP151" s="884"/>
      <c r="AQ151" s="884"/>
      <c r="AR151" s="884"/>
      <c r="AS151" s="884"/>
      <c r="AT151" s="884"/>
      <c r="AU151" s="884"/>
      <c r="AV151" s="884"/>
      <c r="AW151" s="884"/>
      <c r="AX151" s="884"/>
      <c r="AY151" s="884"/>
      <c r="AZ151" s="884"/>
      <c r="BA151" s="884"/>
      <c r="BB151" s="884"/>
      <c r="BC151" s="884"/>
      <c r="BD151" s="884"/>
      <c r="BE151" s="884"/>
      <c r="BF151" s="884"/>
      <c r="BG151" s="884"/>
      <c r="BH151" s="884"/>
      <c r="BI151" s="884"/>
      <c r="BJ151" s="884"/>
      <c r="BK151" s="884"/>
      <c r="BL151" s="884"/>
      <c r="BM151" s="884"/>
      <c r="BN151" s="884"/>
      <c r="BO151" s="884"/>
    </row>
    <row r="152" spans="1:67" ht="20.100000000000001" customHeight="1">
      <c r="A152" s="783">
        <v>206</v>
      </c>
      <c r="B152" s="1594"/>
      <c r="C152" s="1625"/>
      <c r="D152" s="1617" t="s">
        <v>800</v>
      </c>
      <c r="E152" s="792" t="str">
        <f ca="1">OFFSET(A1_その他欄集計,15,13)</f>
        <v/>
      </c>
      <c r="F152" s="839"/>
      <c r="G152" s="787" t="s">
        <v>858</v>
      </c>
      <c r="H152" s="788">
        <f ca="1">IFERROR(OFFSET(貼付け_2024実績,$A152,15),"")</f>
        <v>0</v>
      </c>
      <c r="I152" s="788">
        <f ca="1">IFERROR(OFFSET(貼付け_2025実績,$A152,15),"")</f>
        <v>0</v>
      </c>
      <c r="J152" s="788">
        <f ca="1">IFERROR(OFFSET(貼付け_2026実績,$A152,15),"")</f>
        <v>0</v>
      </c>
      <c r="K152" s="788">
        <f ca="1">IFERROR(OFFSET(貼付け_2027実績,$A152,15),"")</f>
        <v>0</v>
      </c>
      <c r="L152" s="789">
        <f t="shared" ca="1" si="399"/>
        <v>0</v>
      </c>
      <c r="M152" s="789">
        <f t="shared" ca="1" si="399"/>
        <v>0</v>
      </c>
      <c r="N152" s="789">
        <f t="shared" ca="1" si="399"/>
        <v>0</v>
      </c>
      <c r="O152" s="789">
        <f t="shared" ca="1" si="399"/>
        <v>0</v>
      </c>
      <c r="P152" s="789">
        <f t="shared" ca="1" si="404"/>
        <v>0</v>
      </c>
      <c r="Q152" s="789">
        <f t="shared" ca="1" si="405"/>
        <v>0</v>
      </c>
      <c r="R152" s="789">
        <f t="shared" ca="1" si="406"/>
        <v>0</v>
      </c>
      <c r="S152" s="789">
        <f t="shared" ca="1" si="407"/>
        <v>0</v>
      </c>
      <c r="T152" s="789">
        <f t="shared" ca="1" si="408"/>
        <v>0</v>
      </c>
      <c r="U152" s="789">
        <f t="shared" ca="1" si="409"/>
        <v>0</v>
      </c>
      <c r="V152" s="789">
        <f t="shared" ca="1" si="410"/>
        <v>0</v>
      </c>
      <c r="W152" s="789">
        <f t="shared" ca="1" si="411"/>
        <v>0</v>
      </c>
      <c r="X152" s="884"/>
      <c r="Y152" s="884"/>
      <c r="Z152" s="884"/>
      <c r="AA152" s="884"/>
      <c r="AB152" s="884"/>
      <c r="AC152" s="884"/>
      <c r="AD152" s="884"/>
      <c r="AE152" s="884"/>
      <c r="AF152" s="884"/>
      <c r="AG152" s="884"/>
      <c r="AH152" s="884"/>
      <c r="AI152" s="884"/>
      <c r="AJ152" s="884"/>
      <c r="AK152" s="884"/>
      <c r="AL152" s="884"/>
      <c r="AM152" s="884"/>
      <c r="AN152" s="884"/>
      <c r="AO152" s="884"/>
      <c r="AP152" s="884"/>
      <c r="AQ152" s="884"/>
      <c r="AR152" s="884"/>
      <c r="AS152" s="884"/>
      <c r="AT152" s="884"/>
      <c r="AU152" s="884"/>
      <c r="AV152" s="884"/>
      <c r="AW152" s="884"/>
      <c r="AX152" s="884"/>
      <c r="AY152" s="884"/>
      <c r="AZ152" s="884"/>
      <c r="BA152" s="884"/>
      <c r="BB152" s="884"/>
      <c r="BC152" s="884"/>
      <c r="BD152" s="884"/>
      <c r="BE152" s="884"/>
      <c r="BF152" s="884"/>
      <c r="BG152" s="884"/>
      <c r="BH152" s="884"/>
      <c r="BI152" s="884"/>
      <c r="BJ152" s="884"/>
      <c r="BK152" s="884"/>
      <c r="BL152" s="884"/>
      <c r="BM152" s="884"/>
      <c r="BN152" s="884"/>
      <c r="BO152" s="884"/>
    </row>
    <row r="153" spans="1:67" ht="20.100000000000001" customHeight="1">
      <c r="A153" s="783">
        <v>207</v>
      </c>
      <c r="B153" s="1594"/>
      <c r="C153" s="1625"/>
      <c r="D153" s="1617"/>
      <c r="E153" s="840"/>
      <c r="F153" s="841"/>
      <c r="G153" s="787" t="s">
        <v>859</v>
      </c>
      <c r="H153" s="837"/>
      <c r="I153" s="837"/>
      <c r="J153" s="837"/>
      <c r="K153" s="837"/>
      <c r="L153" s="789">
        <f t="shared" ca="1" si="399"/>
        <v>0</v>
      </c>
      <c r="M153" s="789">
        <f t="shared" ca="1" si="399"/>
        <v>0</v>
      </c>
      <c r="N153" s="789">
        <f t="shared" ca="1" si="399"/>
        <v>0</v>
      </c>
      <c r="O153" s="789">
        <f t="shared" ca="1" si="399"/>
        <v>0</v>
      </c>
      <c r="P153" s="789">
        <f t="shared" ca="1" si="404"/>
        <v>0</v>
      </c>
      <c r="Q153" s="789">
        <f t="shared" ca="1" si="405"/>
        <v>0</v>
      </c>
      <c r="R153" s="789">
        <f t="shared" ca="1" si="406"/>
        <v>0</v>
      </c>
      <c r="S153" s="789">
        <f t="shared" ca="1" si="407"/>
        <v>0</v>
      </c>
      <c r="T153" s="789">
        <f t="shared" ca="1" si="408"/>
        <v>0</v>
      </c>
      <c r="U153" s="789">
        <f t="shared" ca="1" si="409"/>
        <v>0</v>
      </c>
      <c r="V153" s="789">
        <f t="shared" ca="1" si="410"/>
        <v>0</v>
      </c>
      <c r="W153" s="789">
        <f t="shared" ca="1" si="411"/>
        <v>0</v>
      </c>
      <c r="X153" s="884"/>
      <c r="Y153" s="884"/>
      <c r="Z153" s="884"/>
      <c r="AA153" s="884"/>
      <c r="AB153" s="884"/>
      <c r="AC153" s="884"/>
      <c r="AD153" s="884"/>
      <c r="AE153" s="884"/>
      <c r="AF153" s="884"/>
      <c r="AG153" s="884"/>
      <c r="AH153" s="884"/>
      <c r="AI153" s="884"/>
      <c r="AJ153" s="884"/>
      <c r="AK153" s="884"/>
      <c r="AL153" s="884"/>
      <c r="AM153" s="884"/>
      <c r="AN153" s="884"/>
      <c r="AO153" s="884"/>
      <c r="AP153" s="884"/>
      <c r="AQ153" s="884"/>
      <c r="AR153" s="884"/>
      <c r="AS153" s="884"/>
      <c r="AT153" s="884"/>
      <c r="AU153" s="884"/>
      <c r="AV153" s="884"/>
      <c r="AW153" s="884"/>
      <c r="AX153" s="884"/>
      <c r="AY153" s="884"/>
      <c r="AZ153" s="884"/>
      <c r="BA153" s="884"/>
      <c r="BB153" s="884"/>
      <c r="BC153" s="884"/>
      <c r="BD153" s="884"/>
      <c r="BE153" s="884"/>
      <c r="BF153" s="884"/>
      <c r="BG153" s="884"/>
      <c r="BH153" s="884"/>
      <c r="BI153" s="884"/>
      <c r="BJ153" s="884"/>
      <c r="BK153" s="884"/>
      <c r="BL153" s="884"/>
      <c r="BM153" s="884"/>
      <c r="BN153" s="884"/>
      <c r="BO153" s="884"/>
    </row>
    <row r="154" spans="1:67" ht="20.100000000000001" customHeight="1">
      <c r="A154" s="783">
        <v>208</v>
      </c>
      <c r="B154" s="1594"/>
      <c r="C154" s="1625"/>
      <c r="D154" s="896" t="s">
        <v>412</v>
      </c>
      <c r="E154" s="792" t="str">
        <f ca="1">OFFSET(A1_その他欄集計,16,13)</f>
        <v/>
      </c>
      <c r="F154" s="786" t="s">
        <v>413</v>
      </c>
      <c r="G154" s="787" t="s">
        <v>858</v>
      </c>
      <c r="H154" s="788">
        <f ca="1">IFERROR(OFFSET(貼付け_2024実績,$A154,15),"")</f>
        <v>0</v>
      </c>
      <c r="I154" s="788">
        <f ca="1">IFERROR(OFFSET(貼付け_2025実績,$A154,15),"")</f>
        <v>0</v>
      </c>
      <c r="J154" s="788">
        <f ca="1">IFERROR(OFFSET(貼付け_2026実績,$A154,15),"")</f>
        <v>0</v>
      </c>
      <c r="K154" s="788">
        <f ca="1">IFERROR(OFFSET(貼付け_2027実績,$A154,15),"")</f>
        <v>0</v>
      </c>
      <c r="L154" s="789">
        <f t="shared" ca="1" si="399"/>
        <v>0</v>
      </c>
      <c r="M154" s="789">
        <f t="shared" ca="1" si="399"/>
        <v>0</v>
      </c>
      <c r="N154" s="789">
        <f t="shared" ca="1" si="399"/>
        <v>0</v>
      </c>
      <c r="O154" s="789">
        <f t="shared" ca="1" si="399"/>
        <v>0</v>
      </c>
      <c r="P154" s="789">
        <f t="shared" ca="1" si="404"/>
        <v>0</v>
      </c>
      <c r="Q154" s="789">
        <f t="shared" ca="1" si="405"/>
        <v>0</v>
      </c>
      <c r="R154" s="789">
        <f t="shared" ca="1" si="406"/>
        <v>0</v>
      </c>
      <c r="S154" s="789">
        <f t="shared" ca="1" si="407"/>
        <v>0</v>
      </c>
      <c r="T154" s="789">
        <f t="shared" ca="1" si="408"/>
        <v>0</v>
      </c>
      <c r="U154" s="789">
        <f t="shared" ca="1" si="409"/>
        <v>0</v>
      </c>
      <c r="V154" s="789">
        <f t="shared" ca="1" si="410"/>
        <v>0</v>
      </c>
      <c r="W154" s="789">
        <f t="shared" ca="1" si="411"/>
        <v>0</v>
      </c>
      <c r="X154" s="884"/>
      <c r="Y154" s="884"/>
      <c r="Z154" s="884"/>
      <c r="AA154" s="884"/>
      <c r="AB154" s="884"/>
      <c r="AC154" s="884"/>
      <c r="AD154" s="884"/>
      <c r="AE154" s="884"/>
      <c r="AF154" s="884"/>
      <c r="AG154" s="884"/>
      <c r="AH154" s="884"/>
      <c r="AI154" s="884"/>
      <c r="AJ154" s="884"/>
      <c r="AK154" s="884"/>
      <c r="AL154" s="884"/>
      <c r="AM154" s="884"/>
      <c r="AN154" s="884"/>
      <c r="AO154" s="884"/>
      <c r="AP154" s="884"/>
      <c r="AQ154" s="884"/>
      <c r="AR154" s="884"/>
      <c r="AS154" s="884"/>
      <c r="AT154" s="884"/>
      <c r="AU154" s="884"/>
      <c r="AV154" s="884"/>
      <c r="AW154" s="884"/>
      <c r="AX154" s="884"/>
      <c r="AY154" s="884"/>
      <c r="AZ154" s="884"/>
      <c r="BA154" s="884"/>
      <c r="BB154" s="884"/>
      <c r="BC154" s="884"/>
      <c r="BD154" s="884"/>
      <c r="BE154" s="884"/>
      <c r="BF154" s="884"/>
      <c r="BG154" s="884"/>
      <c r="BH154" s="884"/>
      <c r="BI154" s="884"/>
      <c r="BJ154" s="884"/>
      <c r="BK154" s="884"/>
      <c r="BL154" s="884"/>
      <c r="BM154" s="884"/>
      <c r="BN154" s="884"/>
      <c r="BO154" s="884"/>
    </row>
    <row r="155" spans="1:67" ht="20.100000000000001" customHeight="1">
      <c r="A155" s="783">
        <v>209</v>
      </c>
      <c r="B155" s="1594"/>
      <c r="C155" s="1625"/>
      <c r="D155" s="896" t="s">
        <v>414</v>
      </c>
      <c r="E155" s="792" t="str">
        <f ca="1">OFFSET(A1_その他欄集計,17,13)</f>
        <v/>
      </c>
      <c r="F155" s="842" t="s">
        <v>415</v>
      </c>
      <c r="G155" s="787" t="s">
        <v>858</v>
      </c>
      <c r="H155" s="788">
        <f ca="1">IFERROR(OFFSET(貼付け_2024実績,$A155,15),"")</f>
        <v>0</v>
      </c>
      <c r="I155" s="788">
        <f ca="1">IFERROR(OFFSET(貼付け_2025実績,$A155,15),"")</f>
        <v>0</v>
      </c>
      <c r="J155" s="788">
        <f ca="1">IFERROR(OFFSET(貼付け_2026実績,$A155,15),"")</f>
        <v>0</v>
      </c>
      <c r="K155" s="788">
        <f ca="1">IFERROR(OFFSET(貼付け_2027実績,$A155,15),"")</f>
        <v>0</v>
      </c>
      <c r="L155" s="789">
        <f t="shared" ca="1" si="399"/>
        <v>0</v>
      </c>
      <c r="M155" s="789">
        <f t="shared" ca="1" si="399"/>
        <v>0</v>
      </c>
      <c r="N155" s="789">
        <f t="shared" ca="1" si="399"/>
        <v>0</v>
      </c>
      <c r="O155" s="789">
        <f t="shared" ca="1" si="399"/>
        <v>0</v>
      </c>
      <c r="P155" s="789">
        <f t="shared" ca="1" si="404"/>
        <v>0</v>
      </c>
      <c r="Q155" s="789">
        <f t="shared" ca="1" si="405"/>
        <v>0</v>
      </c>
      <c r="R155" s="789">
        <f t="shared" ca="1" si="406"/>
        <v>0</v>
      </c>
      <c r="S155" s="789">
        <f t="shared" ca="1" si="407"/>
        <v>0</v>
      </c>
      <c r="T155" s="789">
        <f t="shared" ca="1" si="408"/>
        <v>0</v>
      </c>
      <c r="U155" s="789">
        <f t="shared" ca="1" si="409"/>
        <v>0</v>
      </c>
      <c r="V155" s="789">
        <f t="shared" ca="1" si="410"/>
        <v>0</v>
      </c>
      <c r="W155" s="789">
        <f t="shared" ca="1" si="411"/>
        <v>0</v>
      </c>
      <c r="X155" s="884"/>
      <c r="Y155" s="884"/>
      <c r="Z155" s="884"/>
      <c r="AA155" s="884"/>
      <c r="AB155" s="884"/>
      <c r="AC155" s="884"/>
      <c r="AD155" s="884"/>
      <c r="AE155" s="884"/>
      <c r="AF155" s="884"/>
      <c r="AG155" s="884"/>
      <c r="AH155" s="884"/>
      <c r="AI155" s="884"/>
      <c r="AJ155" s="884"/>
      <c r="AK155" s="884"/>
      <c r="AL155" s="884"/>
      <c r="AM155" s="884"/>
      <c r="AN155" s="884"/>
      <c r="AO155" s="884"/>
      <c r="AP155" s="884"/>
      <c r="AQ155" s="884"/>
      <c r="AR155" s="884"/>
      <c r="AS155" s="884"/>
      <c r="AT155" s="884"/>
      <c r="AU155" s="884"/>
      <c r="AV155" s="884"/>
      <c r="AW155" s="884"/>
      <c r="AX155" s="884"/>
      <c r="AY155" s="884"/>
      <c r="AZ155" s="884"/>
      <c r="BA155" s="884"/>
      <c r="BB155" s="884"/>
      <c r="BC155" s="884"/>
      <c r="BD155" s="884"/>
      <c r="BE155" s="884"/>
      <c r="BF155" s="884"/>
      <c r="BG155" s="884"/>
      <c r="BH155" s="884"/>
      <c r="BI155" s="884"/>
      <c r="BJ155" s="884"/>
      <c r="BK155" s="884"/>
      <c r="BL155" s="884"/>
      <c r="BM155" s="884"/>
      <c r="BN155" s="884"/>
      <c r="BO155" s="884"/>
    </row>
    <row r="156" spans="1:67" ht="20.100000000000001" customHeight="1">
      <c r="A156" s="783">
        <v>210</v>
      </c>
      <c r="B156" s="898"/>
      <c r="C156" s="899"/>
      <c r="D156" s="900" t="s">
        <v>860</v>
      </c>
      <c r="E156" s="792" t="str">
        <f ca="1">OFFSET(A1_その他欄集計,18,13)</f>
        <v/>
      </c>
      <c r="F156" s="901" t="s">
        <v>417</v>
      </c>
      <c r="G156" s="787" t="s">
        <v>858</v>
      </c>
      <c r="H156" s="788">
        <f ca="1">IFERROR(OFFSET(貼付け_2024実績,$A156,15),"")</f>
        <v>0</v>
      </c>
      <c r="I156" s="788">
        <f ca="1">IFERROR(OFFSET(貼付け_2025実績,$A156,15),"")</f>
        <v>0</v>
      </c>
      <c r="J156" s="788">
        <f ca="1">IFERROR(OFFSET(貼付け_2026実績,$A156,15),"")</f>
        <v>0</v>
      </c>
      <c r="K156" s="788">
        <f ca="1">IFERROR(OFFSET(貼付け_2027実績,$A156,15),"")</f>
        <v>0</v>
      </c>
      <c r="L156" s="789">
        <f t="shared" ca="1" si="399"/>
        <v>0</v>
      </c>
      <c r="M156" s="789">
        <f t="shared" ca="1" si="399"/>
        <v>0</v>
      </c>
      <c r="N156" s="789">
        <f t="shared" ca="1" si="399"/>
        <v>0</v>
      </c>
      <c r="O156" s="789">
        <f t="shared" ca="1" si="399"/>
        <v>0</v>
      </c>
      <c r="P156" s="789">
        <f t="shared" ca="1" si="404"/>
        <v>0</v>
      </c>
      <c r="Q156" s="789">
        <f t="shared" ca="1" si="405"/>
        <v>0</v>
      </c>
      <c r="R156" s="789">
        <f t="shared" ca="1" si="406"/>
        <v>0</v>
      </c>
      <c r="S156" s="789">
        <f t="shared" ca="1" si="407"/>
        <v>0</v>
      </c>
      <c r="T156" s="789">
        <f t="shared" ca="1" si="408"/>
        <v>0</v>
      </c>
      <c r="U156" s="789">
        <f t="shared" ca="1" si="409"/>
        <v>0</v>
      </c>
      <c r="V156" s="789">
        <f t="shared" ca="1" si="410"/>
        <v>0</v>
      </c>
      <c r="W156" s="789">
        <f t="shared" ca="1" si="411"/>
        <v>0</v>
      </c>
      <c r="X156" s="884"/>
      <c r="Y156" s="884"/>
      <c r="Z156" s="884"/>
      <c r="AA156" s="884"/>
      <c r="AB156" s="884"/>
      <c r="AC156" s="884"/>
      <c r="AD156" s="884"/>
      <c r="AE156" s="884"/>
      <c r="AF156" s="884"/>
      <c r="AG156" s="884"/>
      <c r="AH156" s="884"/>
      <c r="AI156" s="884"/>
      <c r="AJ156" s="884"/>
      <c r="AK156" s="884"/>
      <c r="AL156" s="884"/>
      <c r="AM156" s="884"/>
      <c r="AN156" s="884"/>
      <c r="AO156" s="884"/>
      <c r="AP156" s="884"/>
      <c r="AQ156" s="884"/>
      <c r="AR156" s="884"/>
      <c r="AS156" s="884"/>
      <c r="AT156" s="884"/>
      <c r="AU156" s="884"/>
      <c r="AV156" s="884"/>
      <c r="AW156" s="884"/>
      <c r="AX156" s="884"/>
      <c r="AY156" s="884"/>
      <c r="AZ156" s="884"/>
      <c r="BA156" s="884"/>
      <c r="BB156" s="884"/>
      <c r="BC156" s="884"/>
      <c r="BD156" s="884"/>
      <c r="BE156" s="884"/>
      <c r="BF156" s="884"/>
      <c r="BG156" s="884"/>
      <c r="BH156" s="884"/>
      <c r="BI156" s="884"/>
      <c r="BJ156" s="884"/>
      <c r="BK156" s="884"/>
      <c r="BL156" s="884"/>
      <c r="BM156" s="884"/>
      <c r="BN156" s="884"/>
      <c r="BO156" s="884"/>
    </row>
    <row r="157" spans="1:67" ht="20.100000000000001" customHeight="1">
      <c r="A157" s="783">
        <v>211</v>
      </c>
      <c r="B157" s="898"/>
      <c r="C157" s="899"/>
      <c r="D157" s="900" t="s">
        <v>861</v>
      </c>
      <c r="E157" s="792" t="str">
        <f ca="1">OFFSET(A1_その他欄集計,19,13)</f>
        <v/>
      </c>
      <c r="F157" s="901" t="s">
        <v>419</v>
      </c>
      <c r="G157" s="787" t="s">
        <v>858</v>
      </c>
      <c r="H157" s="788">
        <f ca="1">IFERROR(OFFSET(貼付け_2024実績,$A157,15),"")</f>
        <v>0</v>
      </c>
      <c r="I157" s="788">
        <f ca="1">IFERROR(OFFSET(貼付け_2025実績,$A157,15),"")</f>
        <v>0</v>
      </c>
      <c r="J157" s="788">
        <f ca="1">IFERROR(OFFSET(貼付け_2026実績,$A157,15),"")</f>
        <v>0</v>
      </c>
      <c r="K157" s="788">
        <f ca="1">IFERROR(OFFSET(貼付け_2027実績,$A157,15),"")</f>
        <v>0</v>
      </c>
      <c r="L157" s="789">
        <f t="shared" ca="1" si="399"/>
        <v>0</v>
      </c>
      <c r="M157" s="789">
        <f t="shared" ca="1" si="399"/>
        <v>0</v>
      </c>
      <c r="N157" s="789">
        <f t="shared" ca="1" si="399"/>
        <v>0</v>
      </c>
      <c r="O157" s="789">
        <f t="shared" ca="1" si="399"/>
        <v>0</v>
      </c>
      <c r="P157" s="789">
        <f t="shared" ca="1" si="404"/>
        <v>0</v>
      </c>
      <c r="Q157" s="789">
        <f t="shared" ca="1" si="405"/>
        <v>0</v>
      </c>
      <c r="R157" s="789">
        <f t="shared" ca="1" si="406"/>
        <v>0</v>
      </c>
      <c r="S157" s="789">
        <f t="shared" ca="1" si="407"/>
        <v>0</v>
      </c>
      <c r="T157" s="789">
        <f t="shared" ca="1" si="408"/>
        <v>0</v>
      </c>
      <c r="U157" s="789">
        <f t="shared" ca="1" si="409"/>
        <v>0</v>
      </c>
      <c r="V157" s="789">
        <f t="shared" ca="1" si="410"/>
        <v>0</v>
      </c>
      <c r="W157" s="789">
        <f t="shared" ca="1" si="411"/>
        <v>0</v>
      </c>
      <c r="X157" s="884"/>
      <c r="Y157" s="884"/>
      <c r="Z157" s="884"/>
      <c r="AA157" s="884"/>
      <c r="AB157" s="884"/>
      <c r="AC157" s="884"/>
      <c r="AD157" s="884"/>
      <c r="AE157" s="884"/>
      <c r="AF157" s="884"/>
      <c r="AG157" s="884"/>
      <c r="AH157" s="884"/>
      <c r="AI157" s="884"/>
      <c r="AJ157" s="884"/>
      <c r="AK157" s="884"/>
      <c r="AL157" s="884"/>
      <c r="AM157" s="884"/>
      <c r="AN157" s="884"/>
      <c r="AO157" s="884"/>
      <c r="AP157" s="884"/>
      <c r="AQ157" s="884"/>
      <c r="AR157" s="884"/>
      <c r="AS157" s="884"/>
      <c r="AT157" s="884"/>
      <c r="AU157" s="884"/>
      <c r="AV157" s="884"/>
      <c r="AW157" s="884"/>
      <c r="AX157" s="884"/>
      <c r="AY157" s="884"/>
      <c r="AZ157" s="884"/>
      <c r="BA157" s="884"/>
      <c r="BB157" s="884"/>
      <c r="BC157" s="884"/>
      <c r="BD157" s="884"/>
      <c r="BE157" s="884"/>
      <c r="BF157" s="884"/>
      <c r="BG157" s="884"/>
      <c r="BH157" s="884"/>
      <c r="BI157" s="884"/>
      <c r="BJ157" s="884"/>
      <c r="BK157" s="884"/>
      <c r="BL157" s="884"/>
      <c r="BM157" s="884"/>
      <c r="BN157" s="884"/>
      <c r="BO157" s="884"/>
    </row>
    <row r="158" spans="1:67" ht="20.100000000000001" customHeight="1">
      <c r="A158" s="783"/>
      <c r="B158" s="1596" t="s">
        <v>804</v>
      </c>
      <c r="C158" s="1596"/>
      <c r="D158" s="785" t="s">
        <v>805</v>
      </c>
      <c r="E158" s="785"/>
      <c r="F158" s="810" t="s">
        <v>424</v>
      </c>
      <c r="G158" s="787" t="s">
        <v>807</v>
      </c>
      <c r="H158" s="843"/>
      <c r="I158" s="843"/>
      <c r="J158" s="843"/>
      <c r="K158" s="843"/>
      <c r="L158" s="845">
        <f ca="1">SUMPRODUCT(ROUND((0&amp;L123:L136)*$H123:$H136,0))+ROUND(IFERROR(OFFSET(A1_集計2024,2,7),0)+IFERROR(OFFSET(A1_集計2024,2,8),0),0)</f>
        <v>0</v>
      </c>
      <c r="M158" s="845">
        <f ca="1">SUMPRODUCT(ROUND((0&amp;M123:M136)*$H123:$H136,0))+ROUND(IFERROR(OFFSET(A1_集計2025,2,7),0)+IFERROR(OFFSET(A1_集計2025,2,8),0),0)</f>
        <v>0</v>
      </c>
      <c r="N158" s="845">
        <f ca="1">SUMPRODUCT(ROUND((0&amp;N123:N136)*$H123:$H136,0))+ROUND(IFERROR(OFFSET(A1_集計2026,2,7),0)+IFERROR(OFFSET(A1_集計2026,2,8),0),0)</f>
        <v>0</v>
      </c>
      <c r="O158" s="845">
        <f ca="1">SUMPRODUCT(ROUND((0&amp;O123:O136)*$H123:$H136,0))+ROUND(IFERROR(OFFSET(A1_集計2027,2,7),0)+IFERROR(OFFSET(A1_集計2027,2,8),0),0)</f>
        <v>0</v>
      </c>
      <c r="P158" s="845">
        <f ca="1">SUMPRODUCT(ROUND((0&amp;P123:P136)*$H123:$H136,0))+ROUND(IFERROR(OFFSET(A1_集計2024,2,7),0),0)</f>
        <v>0</v>
      </c>
      <c r="Q158" s="845">
        <f ca="1">SUMPRODUCT(ROUND((0&amp;Q123:Q136)*$I123:$I136,0))+ROUND(IFERROR(OFFSET(A1_集計2025,2,7),0),0)</f>
        <v>0</v>
      </c>
      <c r="R158" s="845">
        <f ca="1">SUMPRODUCT(ROUND((0&amp;R123:R136)*$J123:$J136,0))+ROUND(IFERROR(OFFSET(A1_集計2026,2,7),0),0)</f>
        <v>0</v>
      </c>
      <c r="S158" s="845">
        <f ca="1">SUMPRODUCT(ROUND((0&amp;S123:S136)*$K123:$K136,0))+ROUND(IFERROR(OFFSET(A1_集計2027,2,7),0),0)</f>
        <v>0</v>
      </c>
      <c r="T158" s="845">
        <f ca="1">SUMPRODUCT(ROUND((0&amp;T123:T136)*$H123:$H136,0))+ROUND(IFERROR(OFFSET(A1_集計2024,2,8),0),0)</f>
        <v>0</v>
      </c>
      <c r="U158" s="845">
        <f ca="1">SUMPRODUCT(ROUND((0&amp;U123:U136)*$I123:$I136,0))+ROUND(IFERROR(OFFSET(A1_集計2025,2,8),0),0)</f>
        <v>0</v>
      </c>
      <c r="V158" s="845">
        <f ca="1">SUMPRODUCT(ROUND((0&amp;V123:V136)*$J123:$J136,0))+ROUND(IFERROR(OFFSET(A1_集計2026,2,8),0),0)</f>
        <v>0</v>
      </c>
      <c r="W158" s="845">
        <f ca="1">SUMPRODUCT(ROUND((0&amp;W123:W136)*$K123:$K136,))+ROUND(IFERROR(OFFSET(A1_集計2027,2,8),0),0)</f>
        <v>0</v>
      </c>
      <c r="X158" s="884"/>
      <c r="Y158" s="884"/>
      <c r="Z158" s="884"/>
      <c r="AA158" s="884"/>
      <c r="AB158" s="884"/>
      <c r="AC158" s="884"/>
      <c r="AD158" s="884"/>
      <c r="AE158" s="884"/>
      <c r="AF158" s="884"/>
      <c r="AG158" s="884"/>
      <c r="AH158" s="884"/>
      <c r="AI158" s="884"/>
      <c r="AJ158" s="884"/>
      <c r="AK158" s="884"/>
      <c r="AL158" s="884"/>
      <c r="AM158" s="884"/>
      <c r="AN158" s="884"/>
      <c r="AO158" s="884"/>
      <c r="AP158" s="884"/>
      <c r="AQ158" s="884"/>
      <c r="AR158" s="884"/>
      <c r="AS158" s="884"/>
      <c r="AT158" s="884"/>
      <c r="AU158" s="884"/>
      <c r="AV158" s="884"/>
      <c r="AW158" s="884"/>
      <c r="AX158" s="884"/>
      <c r="AY158" s="884"/>
      <c r="AZ158" s="884"/>
      <c r="BA158" s="884"/>
      <c r="BB158" s="884"/>
      <c r="BC158" s="884"/>
      <c r="BD158" s="884"/>
      <c r="BE158" s="884"/>
      <c r="BF158" s="884"/>
      <c r="BG158" s="884"/>
      <c r="BH158" s="884"/>
      <c r="BI158" s="884"/>
      <c r="BJ158" s="884"/>
      <c r="BK158" s="884"/>
      <c r="BL158" s="884"/>
      <c r="BM158" s="884"/>
      <c r="BN158" s="884"/>
      <c r="BO158" s="884"/>
    </row>
    <row r="159" spans="1:67" ht="20.100000000000001" customHeight="1">
      <c r="A159" s="783"/>
      <c r="B159" s="1596"/>
      <c r="C159" s="1596"/>
      <c r="D159" s="785" t="s">
        <v>810</v>
      </c>
      <c r="E159" s="785" t="s">
        <v>862</v>
      </c>
      <c r="F159" s="810" t="s">
        <v>425</v>
      </c>
      <c r="G159" s="787" t="s">
        <v>807</v>
      </c>
      <c r="H159" s="843"/>
      <c r="I159" s="843"/>
      <c r="J159" s="843"/>
      <c r="K159" s="843"/>
      <c r="L159" s="845">
        <f t="shared" ref="L159:W159" ca="1" si="412">SUMPRODUCT(ROUND((0&amp;L137:L153)*$H137:$H153,0))</f>
        <v>0</v>
      </c>
      <c r="M159" s="845">
        <f t="shared" ca="1" si="412"/>
        <v>0</v>
      </c>
      <c r="N159" s="845">
        <f t="shared" ca="1" si="412"/>
        <v>0</v>
      </c>
      <c r="O159" s="845">
        <f t="shared" ca="1" si="412"/>
        <v>0</v>
      </c>
      <c r="P159" s="845">
        <f t="shared" ca="1" si="412"/>
        <v>0</v>
      </c>
      <c r="Q159" s="845">
        <f t="shared" ca="1" si="412"/>
        <v>0</v>
      </c>
      <c r="R159" s="845">
        <f t="shared" ca="1" si="412"/>
        <v>0</v>
      </c>
      <c r="S159" s="845">
        <f t="shared" ca="1" si="412"/>
        <v>0</v>
      </c>
      <c r="T159" s="845">
        <f t="shared" ca="1" si="412"/>
        <v>0</v>
      </c>
      <c r="U159" s="845">
        <f t="shared" ca="1" si="412"/>
        <v>0</v>
      </c>
      <c r="V159" s="845">
        <f t="shared" ca="1" si="412"/>
        <v>0</v>
      </c>
      <c r="W159" s="845">
        <f t="shared" ca="1" si="412"/>
        <v>0</v>
      </c>
      <c r="X159" s="884"/>
      <c r="Y159" s="884"/>
      <c r="Z159" s="884"/>
      <c r="AA159" s="884"/>
      <c r="AB159" s="884"/>
      <c r="AC159" s="884"/>
      <c r="AD159" s="884"/>
      <c r="AE159" s="884"/>
      <c r="AF159" s="884"/>
      <c r="AG159" s="884"/>
      <c r="AH159" s="884"/>
      <c r="AI159" s="884"/>
      <c r="AJ159" s="884"/>
      <c r="AK159" s="884"/>
      <c r="AL159" s="884"/>
      <c r="AM159" s="884"/>
      <c r="AN159" s="884"/>
      <c r="AO159" s="884"/>
      <c r="AP159" s="884"/>
      <c r="AQ159" s="884"/>
      <c r="AR159" s="884"/>
      <c r="AS159" s="884"/>
      <c r="AT159" s="884"/>
      <c r="AU159" s="884"/>
      <c r="AV159" s="884"/>
      <c r="AW159" s="884"/>
      <c r="AX159" s="884"/>
      <c r="AY159" s="884"/>
      <c r="AZ159" s="884"/>
      <c r="BA159" s="884"/>
      <c r="BB159" s="884"/>
      <c r="BC159" s="884"/>
      <c r="BD159" s="884"/>
      <c r="BE159" s="884"/>
      <c r="BF159" s="884"/>
      <c r="BG159" s="884"/>
      <c r="BH159" s="884"/>
      <c r="BI159" s="884"/>
      <c r="BJ159" s="884"/>
      <c r="BK159" s="884"/>
      <c r="BL159" s="884"/>
      <c r="BM159" s="884"/>
      <c r="BN159" s="884"/>
      <c r="BO159" s="884"/>
    </row>
    <row r="160" spans="1:67" ht="20.100000000000001" customHeight="1">
      <c r="A160" s="783"/>
      <c r="B160" s="1596"/>
      <c r="C160" s="1596"/>
      <c r="D160" s="785" t="s">
        <v>813</v>
      </c>
      <c r="E160" s="785" t="s">
        <v>863</v>
      </c>
      <c r="F160" s="810" t="s">
        <v>426</v>
      </c>
      <c r="G160" s="787" t="s">
        <v>807</v>
      </c>
      <c r="H160" s="843"/>
      <c r="I160" s="843"/>
      <c r="J160" s="843"/>
      <c r="K160" s="843"/>
      <c r="L160" s="844">
        <f t="shared" ref="L160:O160" ca="1" si="413">SUM(L158:L159)</f>
        <v>0</v>
      </c>
      <c r="M160" s="844">
        <f ca="1">SUM(M158:M159)</f>
        <v>0</v>
      </c>
      <c r="N160" s="844">
        <f t="shared" ca="1" si="413"/>
        <v>0</v>
      </c>
      <c r="O160" s="844">
        <f t="shared" ca="1" si="413"/>
        <v>0</v>
      </c>
      <c r="P160" s="846">
        <f ca="1">SUM(P158:P159)</f>
        <v>0</v>
      </c>
      <c r="Q160" s="846">
        <f ca="1">SUM(Q158:Q159)</f>
        <v>0</v>
      </c>
      <c r="R160" s="846">
        <f ca="1">SUM(R158:R159)</f>
        <v>0</v>
      </c>
      <c r="S160" s="846">
        <f t="shared" ref="S160:W160" ca="1" si="414">SUM(S158:S159)</f>
        <v>0</v>
      </c>
      <c r="T160" s="846">
        <f t="shared" ca="1" si="414"/>
        <v>0</v>
      </c>
      <c r="U160" s="846">
        <f t="shared" ca="1" si="414"/>
        <v>0</v>
      </c>
      <c r="V160" s="846">
        <f t="shared" ca="1" si="414"/>
        <v>0</v>
      </c>
      <c r="W160" s="846">
        <f t="shared" ca="1" si="414"/>
        <v>0</v>
      </c>
      <c r="X160" s="884"/>
      <c r="Y160" s="884"/>
      <c r="Z160" s="884"/>
      <c r="AA160" s="884"/>
      <c r="AB160" s="884"/>
      <c r="AC160" s="884"/>
      <c r="AD160" s="884"/>
      <c r="AE160" s="884"/>
      <c r="AF160" s="884"/>
      <c r="AG160" s="884"/>
      <c r="AH160" s="884"/>
      <c r="AI160" s="884"/>
      <c r="AJ160" s="884"/>
      <c r="AK160" s="884"/>
      <c r="AL160" s="884"/>
      <c r="AM160" s="884"/>
      <c r="AN160" s="884"/>
      <c r="AO160" s="884"/>
      <c r="AP160" s="884"/>
      <c r="AQ160" s="884"/>
      <c r="AR160" s="884"/>
      <c r="AS160" s="884"/>
      <c r="AT160" s="884"/>
      <c r="AU160" s="884"/>
      <c r="AV160" s="884"/>
      <c r="AW160" s="884"/>
      <c r="AX160" s="884"/>
      <c r="AY160" s="884"/>
      <c r="AZ160" s="884"/>
      <c r="BA160" s="884"/>
      <c r="BB160" s="884"/>
      <c r="BC160" s="884"/>
      <c r="BD160" s="884"/>
      <c r="BE160" s="884"/>
      <c r="BF160" s="884"/>
      <c r="BG160" s="884"/>
      <c r="BH160" s="884"/>
      <c r="BI160" s="884"/>
      <c r="BJ160" s="884"/>
      <c r="BK160" s="884"/>
      <c r="BL160" s="884"/>
      <c r="BM160" s="884"/>
      <c r="BN160" s="884"/>
      <c r="BO160" s="884"/>
    </row>
    <row r="161" spans="1:68" ht="20.100000000000001" customHeight="1">
      <c r="A161" s="783"/>
      <c r="B161" s="847" t="s">
        <v>816</v>
      </c>
      <c r="C161" s="848"/>
      <c r="D161" s="785"/>
      <c r="E161" s="785" t="s">
        <v>1266</v>
      </c>
      <c r="F161" s="810" t="s">
        <v>427</v>
      </c>
      <c r="G161" s="787" t="s">
        <v>347</v>
      </c>
      <c r="H161" s="843"/>
      <c r="I161" s="843"/>
      <c r="J161" s="843"/>
      <c r="K161" s="843"/>
      <c r="L161" s="844">
        <f t="shared" ref="L161:O161" ca="1" si="415">ROUND(L160*0.0258,0)</f>
        <v>0</v>
      </c>
      <c r="M161" s="844">
        <f t="shared" ca="1" si="415"/>
        <v>0</v>
      </c>
      <c r="N161" s="844">
        <f t="shared" ca="1" si="415"/>
        <v>0</v>
      </c>
      <c r="O161" s="844">
        <f t="shared" ca="1" si="415"/>
        <v>0</v>
      </c>
      <c r="P161" s="844">
        <f ca="1">ROUND(P160*0.0258,0)</f>
        <v>0</v>
      </c>
      <c r="Q161" s="844">
        <f ca="1">ROUND(Q160*0.0258,0)</f>
        <v>0</v>
      </c>
      <c r="R161" s="844">
        <f ca="1">ROUND(R160*0.0258,0)</f>
        <v>0</v>
      </c>
      <c r="S161" s="844">
        <f ca="1">ROUND(S160*0.0258,0)</f>
        <v>0</v>
      </c>
      <c r="T161" s="844">
        <f t="shared" ref="T161:W161" ca="1" si="416">ROUND(T160*0.0258,0)</f>
        <v>0</v>
      </c>
      <c r="U161" s="844">
        <f t="shared" ca="1" si="416"/>
        <v>0</v>
      </c>
      <c r="V161" s="844">
        <f t="shared" ca="1" si="416"/>
        <v>0</v>
      </c>
      <c r="W161" s="844">
        <f t="shared" ca="1" si="416"/>
        <v>0</v>
      </c>
      <c r="X161" s="884"/>
      <c r="Y161" s="884"/>
      <c r="Z161" s="884"/>
      <c r="AA161" s="884"/>
      <c r="AB161" s="884"/>
      <c r="AC161" s="884"/>
      <c r="AD161" s="884"/>
      <c r="AE161" s="884"/>
      <c r="AF161" s="884"/>
      <c r="AG161" s="884"/>
      <c r="AH161" s="884"/>
      <c r="AI161" s="884"/>
      <c r="AJ161" s="884"/>
      <c r="AK161" s="884"/>
      <c r="AL161" s="884"/>
      <c r="AM161" s="884"/>
      <c r="AN161" s="884"/>
      <c r="AO161" s="884"/>
      <c r="AP161" s="884"/>
      <c r="AQ161" s="884"/>
      <c r="AR161" s="884"/>
      <c r="AS161" s="884"/>
      <c r="AT161" s="884"/>
      <c r="AU161" s="884"/>
      <c r="AV161" s="884"/>
      <c r="AW161" s="884"/>
      <c r="AX161" s="884"/>
      <c r="AY161" s="884"/>
      <c r="AZ161" s="884"/>
      <c r="BA161" s="884"/>
      <c r="BB161" s="884"/>
      <c r="BC161" s="884"/>
      <c r="BD161" s="884"/>
      <c r="BE161" s="884"/>
      <c r="BF161" s="884"/>
      <c r="BG161" s="884"/>
      <c r="BH161" s="884"/>
      <c r="BI161" s="884"/>
      <c r="BJ161" s="884"/>
      <c r="BK161" s="884"/>
      <c r="BL161" s="884"/>
      <c r="BM161" s="884"/>
      <c r="BN161" s="884"/>
      <c r="BO161" s="884"/>
    </row>
    <row r="162" spans="1:68" ht="20.100000000000001" customHeight="1">
      <c r="A162" s="783"/>
      <c r="B162" s="1618" t="s">
        <v>343</v>
      </c>
      <c r="C162" s="1618"/>
      <c r="D162" s="902" t="s">
        <v>819</v>
      </c>
      <c r="E162" s="785"/>
      <c r="F162" s="810" t="s">
        <v>428</v>
      </c>
      <c r="G162" s="787" t="s">
        <v>347</v>
      </c>
      <c r="H162" s="843"/>
      <c r="I162" s="843"/>
      <c r="J162" s="843"/>
      <c r="K162" s="843"/>
      <c r="L162" s="845">
        <f t="shared" ref="L162:W162" ca="1" si="417">ROUND((L160-SUMPRODUCT(ROUND((0&amp;L132:L136)*$H132:$H136,0))+SUMPRODUCT(ROUND((0&amp;L132:L136)*0.8*$H132:$H136,0)))*0.0258,0)</f>
        <v>0</v>
      </c>
      <c r="M162" s="845">
        <f t="shared" ca="1" si="417"/>
        <v>0</v>
      </c>
      <c r="N162" s="845">
        <f t="shared" ca="1" si="417"/>
        <v>0</v>
      </c>
      <c r="O162" s="845">
        <f t="shared" ca="1" si="417"/>
        <v>0</v>
      </c>
      <c r="P162" s="845">
        <f t="shared" ca="1" si="417"/>
        <v>0</v>
      </c>
      <c r="Q162" s="845">
        <f t="shared" ca="1" si="417"/>
        <v>0</v>
      </c>
      <c r="R162" s="845">
        <f t="shared" ca="1" si="417"/>
        <v>0</v>
      </c>
      <c r="S162" s="845">
        <f t="shared" ca="1" si="417"/>
        <v>0</v>
      </c>
      <c r="T162" s="845">
        <f t="shared" ca="1" si="417"/>
        <v>0</v>
      </c>
      <c r="U162" s="845">
        <f t="shared" ca="1" si="417"/>
        <v>0</v>
      </c>
      <c r="V162" s="845">
        <f t="shared" ca="1" si="417"/>
        <v>0</v>
      </c>
      <c r="W162" s="845">
        <f t="shared" ca="1" si="417"/>
        <v>0</v>
      </c>
      <c r="X162" s="884"/>
      <c r="Y162" s="884"/>
      <c r="Z162" s="884"/>
      <c r="AA162" s="884"/>
      <c r="AB162" s="884"/>
      <c r="AC162" s="884"/>
      <c r="AD162" s="884"/>
      <c r="AE162" s="884"/>
      <c r="AF162" s="884"/>
      <c r="AG162" s="884"/>
      <c r="AH162" s="884"/>
      <c r="AI162" s="884"/>
      <c r="AJ162" s="884"/>
      <c r="AK162" s="884"/>
      <c r="AL162" s="884"/>
      <c r="AM162" s="884"/>
      <c r="AN162" s="884"/>
      <c r="AO162" s="884"/>
      <c r="AP162" s="884"/>
      <c r="AQ162" s="884"/>
      <c r="AR162" s="884"/>
      <c r="AS162" s="884"/>
      <c r="AT162" s="884"/>
      <c r="AU162" s="884"/>
      <c r="AV162" s="884"/>
      <c r="AW162" s="884"/>
      <c r="AX162" s="884"/>
      <c r="AY162" s="884"/>
      <c r="AZ162" s="884"/>
      <c r="BA162" s="884"/>
      <c r="BB162" s="884"/>
      <c r="BC162" s="884"/>
      <c r="BD162" s="884"/>
      <c r="BE162" s="884"/>
      <c r="BF162" s="884"/>
      <c r="BG162" s="884"/>
      <c r="BH162" s="884"/>
      <c r="BI162" s="884"/>
      <c r="BJ162" s="884"/>
      <c r="BK162" s="884"/>
      <c r="BL162" s="884"/>
      <c r="BM162" s="884"/>
      <c r="BN162" s="884"/>
      <c r="BO162" s="884"/>
      <c r="BP162" s="802"/>
    </row>
    <row r="163" spans="1:68">
      <c r="A163" s="783">
        <v>99</v>
      </c>
      <c r="B163" s="1618"/>
      <c r="C163" s="1618"/>
      <c r="D163" s="860" t="s">
        <v>831</v>
      </c>
      <c r="E163" s="861"/>
      <c r="F163" s="862"/>
      <c r="G163" s="856"/>
      <c r="H163" s="843"/>
      <c r="I163" s="843"/>
      <c r="J163" s="843"/>
      <c r="K163" s="843"/>
      <c r="L163" s="788" t="str">
        <f ca="1">T163</f>
        <v/>
      </c>
      <c r="M163" s="788" t="str">
        <f t="shared" ref="M163:O164" ca="1" si="418">U163</f>
        <v/>
      </c>
      <c r="N163" s="788" t="str">
        <f t="shared" ca="1" si="418"/>
        <v/>
      </c>
      <c r="O163" s="788" t="str">
        <f t="shared" ca="1" si="418"/>
        <v/>
      </c>
      <c r="P163" s="788" t="str">
        <f ca="1">IFERROR(OFFSET(貼付け_2024実績,$A163,7),"")&amp;""</f>
        <v/>
      </c>
      <c r="Q163" s="788" t="str">
        <f ca="1">IFERROR(OFFSET(貼付け_2025実績,$A163,7),"")&amp;""</f>
        <v/>
      </c>
      <c r="R163" s="788" t="str">
        <f ca="1">IFERROR(OFFSET(貼付け_2026実績,$A163,7),"")&amp;""</f>
        <v/>
      </c>
      <c r="S163" s="788" t="str">
        <f ca="1">IFERROR(OFFSET(貼付け_2027実績,$A163,7),"")&amp;""</f>
        <v/>
      </c>
      <c r="T163" s="788" t="str">
        <f ca="1">IFERROR(OFFSET(貼付け_2024実績,$A163,8),"")&amp;""</f>
        <v/>
      </c>
      <c r="U163" s="788" t="str">
        <f ca="1">IFERROR(OFFSET(貼付け_2025実績,$A163,8),"")&amp;""</f>
        <v/>
      </c>
      <c r="V163" s="788" t="str">
        <f ca="1">IFERROR(OFFSET(貼付け_2026実績,$A163,8),"")&amp;""</f>
        <v/>
      </c>
      <c r="W163" s="788" t="str">
        <f ca="1">IFERROR(OFFSET(貼付け_2027実績,$A163,8),"")&amp;""</f>
        <v/>
      </c>
      <c r="X163" s="903"/>
      <c r="Y163" s="903"/>
      <c r="Z163" s="903"/>
      <c r="AA163" s="903"/>
      <c r="AB163" s="903"/>
      <c r="AC163" s="903"/>
      <c r="AD163" s="903"/>
      <c r="AE163" s="903"/>
      <c r="AF163" s="903"/>
      <c r="AG163" s="903"/>
      <c r="AH163" s="903"/>
      <c r="AI163" s="903"/>
      <c r="AJ163" s="903"/>
      <c r="AK163" s="903"/>
      <c r="AL163" s="903"/>
      <c r="AM163" s="903"/>
      <c r="AN163" s="903"/>
      <c r="AO163" s="903"/>
      <c r="AP163" s="903"/>
      <c r="AQ163" s="903"/>
      <c r="AR163" s="903"/>
      <c r="AS163" s="903"/>
      <c r="AT163" s="903"/>
      <c r="AU163" s="903"/>
      <c r="AV163" s="903"/>
      <c r="AW163" s="903"/>
      <c r="AX163" s="903"/>
      <c r="AY163" s="903"/>
      <c r="AZ163" s="903"/>
      <c r="BA163" s="903"/>
      <c r="BB163" s="903"/>
      <c r="BC163" s="903"/>
      <c r="BD163" s="903"/>
      <c r="BE163" s="903"/>
      <c r="BF163" s="903"/>
      <c r="BG163" s="903"/>
      <c r="BH163" s="903"/>
      <c r="BI163" s="903"/>
      <c r="BJ163" s="903"/>
      <c r="BK163" s="903"/>
      <c r="BL163" s="903"/>
      <c r="BM163" s="903"/>
      <c r="BN163" s="903"/>
      <c r="BO163" s="903"/>
      <c r="BP163" s="802"/>
    </row>
    <row r="164" spans="1:68">
      <c r="A164" s="783">
        <v>100</v>
      </c>
      <c r="B164" s="1618"/>
      <c r="C164" s="1618"/>
      <c r="D164" s="860" t="s">
        <v>832</v>
      </c>
      <c r="E164" s="861"/>
      <c r="F164" s="862"/>
      <c r="G164" s="856"/>
      <c r="H164" s="843"/>
      <c r="I164" s="843"/>
      <c r="J164" s="843"/>
      <c r="K164" s="843"/>
      <c r="L164" s="788" t="str">
        <f ca="1">T164</f>
        <v/>
      </c>
      <c r="M164" s="788" t="str">
        <f t="shared" ca="1" si="418"/>
        <v/>
      </c>
      <c r="N164" s="788" t="str">
        <f t="shared" ca="1" si="418"/>
        <v/>
      </c>
      <c r="O164" s="788" t="str">
        <f t="shared" ca="1" si="418"/>
        <v/>
      </c>
      <c r="P164" s="788" t="str">
        <f ca="1">IFERROR(OFFSET(貼付け_2024実績,$A164,7),"")&amp;""</f>
        <v/>
      </c>
      <c r="Q164" s="788" t="str">
        <f ca="1">IFERROR(OFFSET(貼付け_2025実績,$A164,7),"")&amp;""</f>
        <v/>
      </c>
      <c r="R164" s="788" t="str">
        <f ca="1">IFERROR(OFFSET(貼付け_2026実績,$A164,7),"")&amp;""</f>
        <v/>
      </c>
      <c r="S164" s="788" t="str">
        <f ca="1">IFERROR(OFFSET(貼付け_2027実績,$A164,7),"")&amp;""</f>
        <v/>
      </c>
      <c r="T164" s="788" t="str">
        <f ca="1">IFERROR(OFFSET(貼付け_2024実績,$A164,8),"")&amp;""</f>
        <v/>
      </c>
      <c r="U164" s="788" t="str">
        <f ca="1">IFERROR(OFFSET(貼付け_2025実績,$A164,8),"")&amp;""</f>
        <v/>
      </c>
      <c r="V164" s="788" t="str">
        <f ca="1">IFERROR(OFFSET(貼付け_2026実績,$A164,8),"")&amp;""</f>
        <v/>
      </c>
      <c r="W164" s="788" t="str">
        <f ca="1">IFERROR(OFFSET(貼付け_2027実績,$A164,8),"")&amp;""</f>
        <v/>
      </c>
      <c r="X164" s="903"/>
      <c r="Y164" s="903"/>
      <c r="Z164" s="903"/>
      <c r="AA164" s="903"/>
      <c r="AB164" s="903"/>
      <c r="AC164" s="903"/>
      <c r="AD164" s="903"/>
      <c r="AE164" s="903"/>
      <c r="AF164" s="903"/>
      <c r="AG164" s="903"/>
      <c r="AH164" s="903"/>
      <c r="AI164" s="903"/>
      <c r="AJ164" s="903"/>
      <c r="AK164" s="903"/>
      <c r="AL164" s="903"/>
      <c r="AM164" s="903"/>
      <c r="AN164" s="903"/>
      <c r="AO164" s="903"/>
      <c r="AP164" s="903"/>
      <c r="AQ164" s="903"/>
      <c r="AR164" s="903"/>
      <c r="AS164" s="903"/>
      <c r="AT164" s="903"/>
      <c r="AU164" s="903"/>
      <c r="AV164" s="903"/>
      <c r="AW164" s="903"/>
      <c r="AX164" s="903"/>
      <c r="AY164" s="903"/>
      <c r="AZ164" s="903"/>
      <c r="BA164" s="903"/>
      <c r="BB164" s="903"/>
      <c r="BC164" s="903"/>
      <c r="BD164" s="903"/>
      <c r="BE164" s="903"/>
      <c r="BF164" s="903"/>
      <c r="BG164" s="903"/>
      <c r="BH164" s="903"/>
      <c r="BI164" s="903"/>
      <c r="BJ164" s="903"/>
      <c r="BK164" s="903"/>
      <c r="BL164" s="903"/>
      <c r="BM164" s="903"/>
      <c r="BN164" s="903"/>
      <c r="BO164" s="903"/>
      <c r="BP164" s="802"/>
    </row>
    <row r="165" spans="1:68">
      <c r="A165" s="783">
        <v>101</v>
      </c>
      <c r="B165" s="1618"/>
      <c r="C165" s="1618"/>
      <c r="D165" s="850" t="s">
        <v>833</v>
      </c>
      <c r="E165" s="864"/>
      <c r="F165" s="865" t="s">
        <v>429</v>
      </c>
      <c r="G165" s="868"/>
      <c r="H165" s="843"/>
      <c r="I165" s="843"/>
      <c r="J165" s="843"/>
      <c r="K165" s="843"/>
      <c r="L165" s="788" t="str">
        <f ca="1">IFERROR(P165+T165,"")</f>
        <v/>
      </c>
      <c r="M165" s="788" t="str">
        <f t="shared" ref="M165:O165" ca="1" si="419">IFERROR(Q165+U165,"")</f>
        <v/>
      </c>
      <c r="N165" s="788" t="str">
        <f t="shared" ca="1" si="419"/>
        <v/>
      </c>
      <c r="O165" s="788" t="str">
        <f t="shared" ca="1" si="419"/>
        <v/>
      </c>
      <c r="P165" s="788" t="str">
        <f ca="1">IFERROR(OFFSET(貼付け_2024実績,$A165,7),"")&amp;""</f>
        <v/>
      </c>
      <c r="Q165" s="788" t="str">
        <f ca="1">IFERROR(OFFSET(貼付け_2025実績,$A165,7),"")&amp;""</f>
        <v/>
      </c>
      <c r="R165" s="788" t="str">
        <f ca="1">IFERROR(OFFSET(貼付け_2026実績,$A165,7),"")&amp;""</f>
        <v/>
      </c>
      <c r="S165" s="788" t="str">
        <f ca="1">IFERROR(OFFSET(貼付け_2027実績,$A165,7),"")&amp;""</f>
        <v/>
      </c>
      <c r="T165" s="788" t="str">
        <f ca="1">IFERROR(OFFSET(貼付け_2024実績,$A165,8),"")&amp;""</f>
        <v/>
      </c>
      <c r="U165" s="788" t="str">
        <f ca="1">IFERROR(OFFSET(貼付け_2025実績,$A165,8),"")&amp;""</f>
        <v/>
      </c>
      <c r="V165" s="788" t="str">
        <f ca="1">IFERROR(OFFSET(貼付け_2026実績,$A165,8),"")&amp;""</f>
        <v/>
      </c>
      <c r="W165" s="788" t="str">
        <f ca="1">IFERROR(OFFSET(貼付け_2027実績,$A165,8),"")&amp;""</f>
        <v/>
      </c>
      <c r="X165" s="903"/>
      <c r="Y165" s="903"/>
      <c r="Z165" s="903"/>
      <c r="AA165" s="903"/>
      <c r="AB165" s="903"/>
      <c r="AC165" s="903"/>
      <c r="AD165" s="903"/>
      <c r="AE165" s="903"/>
      <c r="AF165" s="903"/>
      <c r="AG165" s="903"/>
      <c r="AH165" s="903"/>
      <c r="AI165" s="903"/>
      <c r="AJ165" s="903"/>
      <c r="AK165" s="903"/>
      <c r="AL165" s="903"/>
      <c r="AM165" s="903"/>
      <c r="AN165" s="903"/>
      <c r="AO165" s="903"/>
      <c r="AP165" s="903"/>
      <c r="AQ165" s="903"/>
      <c r="AR165" s="903"/>
      <c r="AS165" s="903"/>
      <c r="AT165" s="903"/>
      <c r="AU165" s="903"/>
      <c r="AV165" s="903"/>
      <c r="AW165" s="903"/>
      <c r="AX165" s="903"/>
      <c r="AY165" s="903"/>
      <c r="AZ165" s="903"/>
      <c r="BA165" s="903"/>
      <c r="BB165" s="903"/>
      <c r="BC165" s="903"/>
      <c r="BD165" s="903"/>
      <c r="BE165" s="903"/>
      <c r="BF165" s="903"/>
      <c r="BG165" s="903"/>
      <c r="BH165" s="903"/>
      <c r="BI165" s="903"/>
      <c r="BJ165" s="903"/>
      <c r="BK165" s="903"/>
      <c r="BL165" s="903"/>
      <c r="BM165" s="903"/>
      <c r="BN165" s="903"/>
      <c r="BO165" s="903"/>
      <c r="BP165" s="802"/>
    </row>
    <row r="166" spans="1:68">
      <c r="A166" s="783"/>
      <c r="B166" s="1618"/>
      <c r="C166" s="1618"/>
      <c r="D166" s="867" t="s">
        <v>1279</v>
      </c>
      <c r="E166" s="861"/>
      <c r="F166" s="851" t="s">
        <v>430</v>
      </c>
      <c r="G166" s="868"/>
      <c r="H166" s="843"/>
      <c r="I166" s="843"/>
      <c r="J166" s="843"/>
      <c r="K166" s="843"/>
      <c r="L166" s="788" t="str">
        <f ca="1">IFERROR(L162/L165,"")</f>
        <v/>
      </c>
      <c r="M166" s="788" t="str">
        <f t="shared" ref="M166:W166" ca="1" si="420">IFERROR(M162/M165,"")</f>
        <v/>
      </c>
      <c r="N166" s="788" t="str">
        <f t="shared" ca="1" si="420"/>
        <v/>
      </c>
      <c r="O166" s="788" t="str">
        <f t="shared" ca="1" si="420"/>
        <v/>
      </c>
      <c r="P166" s="788" t="str">
        <f t="shared" ca="1" si="420"/>
        <v/>
      </c>
      <c r="Q166" s="788" t="str">
        <f t="shared" ca="1" si="420"/>
        <v/>
      </c>
      <c r="R166" s="788" t="str">
        <f t="shared" ca="1" si="420"/>
        <v/>
      </c>
      <c r="S166" s="788" t="str">
        <f t="shared" ca="1" si="420"/>
        <v/>
      </c>
      <c r="T166" s="788" t="str">
        <f t="shared" ca="1" si="420"/>
        <v/>
      </c>
      <c r="U166" s="788" t="str">
        <f t="shared" ca="1" si="420"/>
        <v/>
      </c>
      <c r="V166" s="788" t="str">
        <f t="shared" ca="1" si="420"/>
        <v/>
      </c>
      <c r="W166" s="788" t="str">
        <f t="shared" ca="1" si="420"/>
        <v/>
      </c>
      <c r="X166" s="903"/>
      <c r="Y166" s="903"/>
      <c r="Z166" s="903"/>
      <c r="AA166" s="903"/>
      <c r="AB166" s="903"/>
      <c r="AC166" s="903"/>
      <c r="AD166" s="903"/>
      <c r="AE166" s="903"/>
      <c r="AF166" s="903"/>
      <c r="AG166" s="903"/>
      <c r="AH166" s="903"/>
      <c r="AI166" s="903"/>
      <c r="AJ166" s="903"/>
      <c r="AK166" s="903"/>
      <c r="AL166" s="903"/>
      <c r="AM166" s="903"/>
      <c r="AN166" s="903"/>
      <c r="AO166" s="903"/>
      <c r="AP166" s="903"/>
      <c r="AQ166" s="903"/>
      <c r="AR166" s="903"/>
      <c r="AS166" s="903"/>
      <c r="AT166" s="903"/>
      <c r="AU166" s="903"/>
      <c r="AV166" s="903"/>
      <c r="AW166" s="903"/>
      <c r="AX166" s="903"/>
      <c r="AY166" s="903"/>
      <c r="AZ166" s="903"/>
      <c r="BA166" s="903"/>
      <c r="BB166" s="903"/>
      <c r="BC166" s="903"/>
      <c r="BD166" s="903"/>
      <c r="BE166" s="903"/>
      <c r="BF166" s="903"/>
      <c r="BG166" s="903"/>
      <c r="BH166" s="903"/>
      <c r="BI166" s="903"/>
      <c r="BJ166" s="903"/>
      <c r="BK166" s="903"/>
      <c r="BL166" s="903"/>
      <c r="BM166" s="903"/>
      <c r="BN166" s="903"/>
      <c r="BO166" s="903"/>
      <c r="BP166" s="802"/>
    </row>
    <row r="167" spans="1:68">
      <c r="A167" s="783"/>
      <c r="B167" s="1618"/>
      <c r="C167" s="1618"/>
      <c r="D167" s="861" t="s">
        <v>836</v>
      </c>
      <c r="E167" s="861"/>
      <c r="F167" s="851" t="s">
        <v>431</v>
      </c>
      <c r="G167" s="868"/>
      <c r="H167" s="843"/>
      <c r="I167" s="843"/>
      <c r="J167" s="843"/>
      <c r="K167" s="843"/>
      <c r="L167" s="843"/>
      <c r="M167" s="788" t="str">
        <f ca="1">L166</f>
        <v/>
      </c>
      <c r="N167" s="788" t="str">
        <f t="shared" ref="N167:W167" ca="1" si="421">M166</f>
        <v/>
      </c>
      <c r="O167" s="788" t="str">
        <f t="shared" ca="1" si="421"/>
        <v/>
      </c>
      <c r="P167" s="843"/>
      <c r="Q167" s="788" t="str">
        <f t="shared" ca="1" si="421"/>
        <v/>
      </c>
      <c r="R167" s="788" t="str">
        <f t="shared" ca="1" si="421"/>
        <v/>
      </c>
      <c r="S167" s="788" t="str">
        <f t="shared" ca="1" si="421"/>
        <v/>
      </c>
      <c r="T167" s="843"/>
      <c r="U167" s="788" t="str">
        <f t="shared" ca="1" si="421"/>
        <v/>
      </c>
      <c r="V167" s="788" t="str">
        <f t="shared" ca="1" si="421"/>
        <v/>
      </c>
      <c r="W167" s="788" t="str">
        <f t="shared" ca="1" si="421"/>
        <v/>
      </c>
      <c r="X167" s="903"/>
      <c r="Y167" s="903"/>
      <c r="Z167" s="903"/>
      <c r="AA167" s="903"/>
      <c r="AB167" s="903"/>
      <c r="AC167" s="903"/>
      <c r="AD167" s="903"/>
      <c r="AE167" s="903"/>
      <c r="AF167" s="903"/>
      <c r="AG167" s="903"/>
      <c r="AH167" s="903"/>
      <c r="AI167" s="903"/>
      <c r="AJ167" s="903"/>
      <c r="AK167" s="903"/>
      <c r="AL167" s="903"/>
      <c r="AM167" s="903"/>
      <c r="AN167" s="903"/>
      <c r="AO167" s="903"/>
      <c r="AP167" s="903"/>
      <c r="AQ167" s="903"/>
      <c r="AR167" s="903"/>
      <c r="AS167" s="903"/>
      <c r="AT167" s="903"/>
      <c r="AU167" s="903"/>
      <c r="AV167" s="903"/>
      <c r="AW167" s="903"/>
      <c r="AX167" s="903"/>
      <c r="AY167" s="903"/>
      <c r="AZ167" s="903"/>
      <c r="BA167" s="903"/>
      <c r="BB167" s="903"/>
      <c r="BC167" s="903"/>
      <c r="BD167" s="903"/>
      <c r="BE167" s="903"/>
      <c r="BF167" s="903"/>
      <c r="BG167" s="903"/>
      <c r="BH167" s="903"/>
      <c r="BI167" s="903"/>
      <c r="BJ167" s="903"/>
      <c r="BK167" s="903"/>
      <c r="BL167" s="903"/>
      <c r="BM167" s="903"/>
      <c r="BN167" s="903"/>
      <c r="BO167" s="903"/>
      <c r="BP167" s="802"/>
    </row>
    <row r="168" spans="1:68">
      <c r="A168" s="783"/>
      <c r="B168" s="1618"/>
      <c r="C168" s="1618"/>
      <c r="D168" s="853" t="s">
        <v>1280</v>
      </c>
      <c r="E168" s="867"/>
      <c r="F168" s="851" t="s">
        <v>432</v>
      </c>
      <c r="G168" s="856" t="s">
        <v>761</v>
      </c>
      <c r="H168" s="843"/>
      <c r="I168" s="843"/>
      <c r="J168" s="843"/>
      <c r="K168" s="843"/>
      <c r="L168" s="843"/>
      <c r="M168" s="870" t="str">
        <f ca="1">IFERROR(ROUND((1-M166/M167)*100,1),"")</f>
        <v/>
      </c>
      <c r="N168" s="870" t="str">
        <f ca="1">IFERROR(ROUND((1-N166/N167)*100,1),"")</f>
        <v/>
      </c>
      <c r="O168" s="870" t="str">
        <f ca="1">IFERROR(ROUND((1-O166/O167)*100,1),"")</f>
        <v/>
      </c>
      <c r="P168" s="843"/>
      <c r="Q168" s="870" t="str">
        <f ca="1">IFERROR(ROUND((1-Q166/Q167)*100,1),"")</f>
        <v/>
      </c>
      <c r="R168" s="870" t="str">
        <f ca="1">IFERROR(ROUND((1-R166/R167)*100,1),"")</f>
        <v/>
      </c>
      <c r="S168" s="870" t="str">
        <f ca="1">IFERROR(ROUND((1-S166/S167)*100,1),"")</f>
        <v/>
      </c>
      <c r="T168" s="843"/>
      <c r="U168" s="870" t="str">
        <f ca="1">IFERROR(ROUND((1-U166/U167)*100,1),"")</f>
        <v/>
      </c>
      <c r="V168" s="870" t="str">
        <f ca="1">IFERROR(ROUND((1-V166/V167)*100,1),"")</f>
        <v/>
      </c>
      <c r="W168" s="870" t="str">
        <f ca="1">IFERROR(ROUND((1-W166/W167)*100,1),"")</f>
        <v/>
      </c>
      <c r="X168" s="903"/>
      <c r="Y168" s="903"/>
      <c r="Z168" s="903"/>
      <c r="AA168" s="903"/>
      <c r="AB168" s="903"/>
      <c r="AC168" s="903"/>
      <c r="AD168" s="903"/>
      <c r="AE168" s="903"/>
      <c r="AF168" s="903"/>
      <c r="AG168" s="903"/>
      <c r="AH168" s="903"/>
      <c r="AI168" s="903"/>
      <c r="AJ168" s="903"/>
      <c r="AK168" s="903"/>
      <c r="AL168" s="903"/>
      <c r="AM168" s="903"/>
      <c r="AN168" s="903"/>
      <c r="AO168" s="903"/>
      <c r="AP168" s="903"/>
      <c r="AQ168" s="903"/>
      <c r="AR168" s="903"/>
      <c r="AS168" s="903"/>
      <c r="AT168" s="903"/>
      <c r="AU168" s="903"/>
      <c r="AV168" s="903"/>
      <c r="AW168" s="903"/>
      <c r="AX168" s="903"/>
      <c r="AY168" s="903"/>
      <c r="AZ168" s="903"/>
      <c r="BA168" s="903"/>
      <c r="BB168" s="903"/>
      <c r="BC168" s="903"/>
      <c r="BD168" s="903"/>
      <c r="BE168" s="903"/>
      <c r="BF168" s="903"/>
      <c r="BG168" s="903"/>
      <c r="BH168" s="903"/>
      <c r="BI168" s="903"/>
      <c r="BJ168" s="903"/>
      <c r="BK168" s="903"/>
      <c r="BL168" s="903"/>
      <c r="BM168" s="903"/>
      <c r="BN168" s="903"/>
      <c r="BO168" s="903"/>
      <c r="BP168" s="802"/>
    </row>
    <row r="169" spans="1:68" ht="20.100000000000001" customHeight="1">
      <c r="A169" s="780">
        <v>2</v>
      </c>
      <c r="B169" s="780" t="s">
        <v>864</v>
      </c>
      <c r="C169" s="781"/>
      <c r="D169" s="781"/>
      <c r="E169" s="781"/>
      <c r="F169" s="781"/>
      <c r="G169" s="782"/>
      <c r="H169" s="879"/>
      <c r="I169" s="879"/>
      <c r="J169" s="879"/>
      <c r="K169" s="879"/>
      <c r="L169" s="879"/>
      <c r="M169" s="879"/>
      <c r="N169" s="879"/>
      <c r="O169" s="879"/>
      <c r="P169" s="879"/>
      <c r="Q169" s="879"/>
      <c r="R169" s="879"/>
      <c r="S169" s="879"/>
      <c r="T169" s="879"/>
      <c r="U169" s="879"/>
      <c r="V169" s="879"/>
      <c r="W169" s="879"/>
      <c r="X169" s="879"/>
      <c r="Y169" s="879"/>
      <c r="Z169" s="879"/>
      <c r="AA169" s="879"/>
      <c r="AB169" s="879"/>
      <c r="AC169" s="879"/>
      <c r="AD169" s="879"/>
      <c r="AE169" s="879"/>
      <c r="AF169" s="879"/>
      <c r="AG169" s="879"/>
      <c r="AH169" s="879"/>
      <c r="AI169" s="879"/>
      <c r="AJ169" s="879"/>
      <c r="AK169" s="879"/>
      <c r="AL169" s="879"/>
      <c r="AM169" s="879"/>
      <c r="AN169" s="879"/>
      <c r="AO169" s="879"/>
      <c r="AP169" s="879"/>
      <c r="AQ169" s="879"/>
      <c r="AR169" s="879"/>
      <c r="AS169" s="879"/>
      <c r="AT169" s="879"/>
      <c r="AU169" s="879"/>
      <c r="AV169" s="879"/>
      <c r="AW169" s="879"/>
      <c r="AX169" s="879"/>
      <c r="AY169" s="879"/>
      <c r="AZ169" s="879"/>
      <c r="BA169" s="879"/>
      <c r="BB169" s="879"/>
      <c r="BC169" s="879"/>
      <c r="BD169" s="879"/>
      <c r="BE169" s="879"/>
      <c r="BF169" s="879"/>
      <c r="BG169" s="879"/>
      <c r="BH169" s="879"/>
      <c r="BI169" s="879"/>
      <c r="BJ169" s="879"/>
      <c r="BK169" s="879"/>
      <c r="BL169" s="879"/>
      <c r="BM169" s="879"/>
      <c r="BN169" s="879"/>
      <c r="BO169" s="879"/>
    </row>
    <row r="170" spans="1:68" ht="20.100000000000001" customHeight="1">
      <c r="A170" s="783"/>
      <c r="B170" s="780" t="s">
        <v>781</v>
      </c>
      <c r="C170" s="781"/>
      <c r="D170" s="781"/>
      <c r="E170" s="781"/>
      <c r="F170" s="781"/>
      <c r="G170" s="782"/>
      <c r="H170" s="879"/>
      <c r="I170" s="879"/>
      <c r="J170" s="879"/>
      <c r="K170" s="879"/>
      <c r="L170" s="879"/>
      <c r="M170" s="879"/>
      <c r="N170" s="879"/>
      <c r="O170" s="879"/>
      <c r="P170" s="879"/>
      <c r="Q170" s="879"/>
      <c r="R170" s="879"/>
      <c r="S170" s="879"/>
      <c r="T170" s="879"/>
      <c r="U170" s="879"/>
      <c r="V170" s="879"/>
      <c r="W170" s="879"/>
      <c r="X170" s="879"/>
      <c r="Y170" s="879"/>
      <c r="Z170" s="879"/>
      <c r="AA170" s="879"/>
      <c r="AB170" s="879"/>
      <c r="AC170" s="879"/>
      <c r="AD170" s="879"/>
      <c r="AE170" s="879"/>
      <c r="AF170" s="879"/>
      <c r="AG170" s="879"/>
      <c r="AH170" s="879"/>
      <c r="AI170" s="879"/>
      <c r="AJ170" s="879"/>
      <c r="AK170" s="879"/>
      <c r="AL170" s="879"/>
      <c r="AM170" s="879"/>
      <c r="AN170" s="879"/>
      <c r="AO170" s="879"/>
      <c r="AP170" s="879"/>
      <c r="AQ170" s="879"/>
      <c r="AR170" s="879"/>
      <c r="AS170" s="879"/>
      <c r="AT170" s="879"/>
      <c r="AU170" s="879"/>
      <c r="AV170" s="879"/>
      <c r="AW170" s="879"/>
      <c r="AX170" s="879"/>
      <c r="AY170" s="879"/>
      <c r="AZ170" s="879"/>
      <c r="BA170" s="879"/>
      <c r="BB170" s="879"/>
      <c r="BC170" s="879"/>
      <c r="BD170" s="879"/>
      <c r="BE170" s="879"/>
      <c r="BF170" s="879"/>
      <c r="BG170" s="879"/>
      <c r="BH170" s="879"/>
      <c r="BI170" s="879"/>
      <c r="BJ170" s="879"/>
      <c r="BK170" s="879"/>
      <c r="BL170" s="879"/>
      <c r="BM170" s="879"/>
      <c r="BN170" s="879"/>
      <c r="BO170" s="879"/>
    </row>
    <row r="171" spans="1:68" ht="20.100000000000001" customHeight="1">
      <c r="A171" s="784">
        <v>8</v>
      </c>
      <c r="B171" s="1593" t="s">
        <v>420</v>
      </c>
      <c r="C171" s="1596" t="s">
        <v>345</v>
      </c>
      <c r="D171" s="785" t="s">
        <v>346</v>
      </c>
      <c r="E171" s="785"/>
      <c r="F171" s="786"/>
      <c r="G171" s="787" t="s">
        <v>453</v>
      </c>
      <c r="H171" s="788">
        <f t="shared" ref="H171:K186" ca="1" si="422">H9</f>
        <v>38.299999999999997</v>
      </c>
      <c r="I171" s="788">
        <f t="shared" ca="1" si="422"/>
        <v>38.299999999999997</v>
      </c>
      <c r="J171" s="788">
        <f t="shared" ca="1" si="422"/>
        <v>38.299999999999997</v>
      </c>
      <c r="K171" s="788">
        <f t="shared" ca="1" si="422"/>
        <v>38.299999999999997</v>
      </c>
      <c r="L171" s="789">
        <f t="shared" ref="L171:O186" ca="1" si="423">P171+T171</f>
        <v>0</v>
      </c>
      <c r="M171" s="789">
        <f t="shared" ca="1" si="423"/>
        <v>0</v>
      </c>
      <c r="N171" s="789">
        <f t="shared" ca="1" si="423"/>
        <v>0</v>
      </c>
      <c r="O171" s="789">
        <f t="shared" ca="1" si="423"/>
        <v>0</v>
      </c>
      <c r="P171" s="789">
        <f ca="1">SUM(SUMIFS(OFFSET(貼付け_2024実績,$A171,10,1,199),OFFSET(貼付け_2024実績,4,9,1,199),{"横浜*","川崎*"}))</f>
        <v>0</v>
      </c>
      <c r="Q171" s="789">
        <f ca="1">SUM(SUMIFS(OFFSET(貼付け_2025実績,$A171,10,1,199),OFFSET(貼付け_2025実績,4,9,1,199),{"横浜*","川崎*"}))</f>
        <v>0</v>
      </c>
      <c r="R171" s="789">
        <f ca="1">SUM(SUMIFS(OFFSET(貼付け_2026実績,$A171,10,1,199),OFFSET(貼付け_2026実績,4,9,1,199),{"横浜*","川崎*"}))</f>
        <v>0</v>
      </c>
      <c r="S171" s="789">
        <f ca="1">SUM(SUMIFS(OFFSET(貼付け_2027実績,$A171,10,1,199),OFFSET(貼付け_2027実績,4,9,1,199),{"横浜*","川崎*"}))</f>
        <v>0</v>
      </c>
      <c r="T171" s="789">
        <f t="shared" ref="T171:W186" ca="1" si="424">SUM(X171,AB171,AF171,AJ171,AN171,AR171,AV171,AZ171,BD171,BH171,BL171)</f>
        <v>0</v>
      </c>
      <c r="U171" s="789">
        <f t="shared" ca="1" si="424"/>
        <v>0</v>
      </c>
      <c r="V171" s="789">
        <f t="shared" ca="1" si="424"/>
        <v>0</v>
      </c>
      <c r="W171" s="789">
        <f t="shared" ca="1" si="424"/>
        <v>0</v>
      </c>
      <c r="X171" s="789">
        <f t="shared" ref="X171:X218" ca="1" si="425">SUMIFS(OFFSET(貼付け_2024実績,$A171,10,1,199),OFFSET(貼付け_2024実績,4,9,1,199),"県域*")</f>
        <v>0</v>
      </c>
      <c r="Y171" s="789">
        <f t="shared" ref="Y171:Y218" ca="1" si="426">SUMIFS(OFFSET(貼付け_2025実績,$A171,10,1,199),OFFSET(貼付け_2025実績,4,9,1,199),"県域*")</f>
        <v>0</v>
      </c>
      <c r="Z171" s="789">
        <f t="shared" ref="Z171:Z218" ca="1" si="427">SUMIFS(OFFSET(貼付け_2026実績,$A171,10,1,199),OFFSET(貼付け_2026実績,4,9,1,199),"県域*")</f>
        <v>0</v>
      </c>
      <c r="AA171" s="789">
        <f t="shared" ref="AA171:AA218" ca="1" si="428">SUMIFS(OFFSET(貼付け_2027実績,$A171,10,1,199),OFFSET(貼付け_2027実績,4,9,1,199),"県域*")</f>
        <v>0</v>
      </c>
      <c r="AB171" s="789" t="str">
        <f t="shared" ref="AB171:AB218" ca="1" si="429">IFERROR(OFFSET(貼付け_2024実績,$A171,AB$1+1),"")</f>
        <v/>
      </c>
      <c r="AC171" s="789" t="str">
        <f t="shared" ref="AC171:AC218" ca="1" si="430">IFERROR(OFFSET(貼付け_2025実績,$A171,AC$1+1),"")</f>
        <v/>
      </c>
      <c r="AD171" s="789" t="str">
        <f t="shared" ref="AD171:AD218" ca="1" si="431">IFERROR(OFFSET(貼付け_2026実績,$A171,AD$1+1),"")</f>
        <v/>
      </c>
      <c r="AE171" s="789" t="str">
        <f t="shared" ref="AE171:AE218" ca="1" si="432">IFERROR(OFFSET(貼付け_2027実績,$A171,AE$1+1),"")</f>
        <v/>
      </c>
      <c r="AF171" s="789" t="str">
        <f t="shared" ref="AF171:AF218" ca="1" si="433">IFERROR(OFFSET(貼付け_2024実績,$A171,AF$1+1),"")</f>
        <v/>
      </c>
      <c r="AG171" s="789" t="str">
        <f t="shared" ref="AG171:AG218" ca="1" si="434">IFERROR(OFFSET(貼付け_2025実績,$A171,AG$1+1),"")</f>
        <v/>
      </c>
      <c r="AH171" s="789" t="str">
        <f t="shared" ref="AH171:AH218" ca="1" si="435">IFERROR(OFFSET(貼付け_2026実績,$A171,AH$1+1),"")</f>
        <v/>
      </c>
      <c r="AI171" s="789" t="str">
        <f t="shared" ref="AI171:AI218" ca="1" si="436">IFERROR(OFFSET(貼付け_2027実績,$A171,AI$1+1),"")</f>
        <v/>
      </c>
      <c r="AJ171" s="789" t="str">
        <f t="shared" ref="AJ171:AJ218" ca="1" si="437">IFERROR(OFFSET(貼付け_2024実績,$A171,AJ$1+1),"")</f>
        <v/>
      </c>
      <c r="AK171" s="789" t="str">
        <f t="shared" ref="AK171:AK218" ca="1" si="438">IFERROR(OFFSET(貼付け_2025実績,$A171,AK$1+1),"")</f>
        <v/>
      </c>
      <c r="AL171" s="789" t="str">
        <f t="shared" ref="AL171:AL218" ca="1" si="439">IFERROR(OFFSET(貼付け_2026実績,$A171,AL$1+1),"")</f>
        <v/>
      </c>
      <c r="AM171" s="789" t="str">
        <f t="shared" ref="AM171:AM218" ca="1" si="440">IFERROR(OFFSET(貼付け_2027実績,$A171,AM$1+1),"")</f>
        <v/>
      </c>
      <c r="AN171" s="789" t="str">
        <f t="shared" ref="AN171:AN218" ca="1" si="441">IFERROR(OFFSET(貼付け_2024実績,$A171,AN$1+1),"")</f>
        <v/>
      </c>
      <c r="AO171" s="789" t="str">
        <f t="shared" ref="AO171:AO218" ca="1" si="442">IFERROR(OFFSET(貼付け_2025実績,$A171,AO$1+1),"")</f>
        <v/>
      </c>
      <c r="AP171" s="789" t="str">
        <f t="shared" ref="AP171:AP218" ca="1" si="443">IFERROR(OFFSET(貼付け_2026実績,$A171,AP$1+1),"")</f>
        <v/>
      </c>
      <c r="AQ171" s="789" t="str">
        <f t="shared" ref="AQ171:AQ218" ca="1" si="444">IFERROR(OFFSET(貼付け_2027実績,$A171,AQ$1+1),"")</f>
        <v/>
      </c>
      <c r="AR171" s="789" t="str">
        <f t="shared" ref="AR171:AR218" ca="1" si="445">IFERROR(OFFSET(貼付け_2024実績,$A171,AR$1+1),"")</f>
        <v/>
      </c>
      <c r="AS171" s="789" t="str">
        <f t="shared" ref="AS171:AS218" ca="1" si="446">IFERROR(OFFSET(貼付け_2025実績,$A171,AS$1+1),"")</f>
        <v/>
      </c>
      <c r="AT171" s="789" t="str">
        <f t="shared" ref="AT171:AT218" ca="1" si="447">IFERROR(OFFSET(貼付け_2026実績,$A171,AT$1+1),"")</f>
        <v/>
      </c>
      <c r="AU171" s="789" t="str">
        <f t="shared" ref="AU171:AU218" ca="1" si="448">IFERROR(OFFSET(貼付け_2027実績,$A171,AU$1+1),"")</f>
        <v/>
      </c>
      <c r="AV171" s="789" t="str">
        <f t="shared" ref="AV171:AV218" ca="1" si="449">IFERROR(OFFSET(貼付け_2024実績,$A171,AV$1+1),"")</f>
        <v/>
      </c>
      <c r="AW171" s="789" t="str">
        <f t="shared" ref="AW171:AW218" ca="1" si="450">IFERROR(OFFSET(貼付け_2025実績,$A171,AW$1+1),"")</f>
        <v/>
      </c>
      <c r="AX171" s="789" t="str">
        <f t="shared" ref="AX171:AX218" ca="1" si="451">IFERROR(OFFSET(貼付け_2026実績,$A171,AX$1+1),"")</f>
        <v/>
      </c>
      <c r="AY171" s="789" t="str">
        <f t="shared" ref="AY171:AY218" ca="1" si="452">IFERROR(OFFSET(貼付け_2027実績,$A171,AY$1+1),"")</f>
        <v/>
      </c>
      <c r="AZ171" s="789" t="str">
        <f t="shared" ref="AZ171:AZ218" ca="1" si="453">IFERROR(OFFSET(貼付け_2024実績,$A171,AZ$1+1),"")</f>
        <v/>
      </c>
      <c r="BA171" s="789" t="str">
        <f t="shared" ref="BA171:BA218" ca="1" si="454">IFERROR(OFFSET(貼付け_2025実績,$A171,BA$1+1),"")</f>
        <v/>
      </c>
      <c r="BB171" s="789" t="str">
        <f t="shared" ref="BB171:BB218" ca="1" si="455">IFERROR(OFFSET(貼付け_2026実績,$A171,BB$1+1),"")</f>
        <v/>
      </c>
      <c r="BC171" s="789" t="str">
        <f t="shared" ref="BC171:BC218" ca="1" si="456">IFERROR(OFFSET(貼付け_2027実績,$A171,BC$1+1),"")</f>
        <v/>
      </c>
      <c r="BD171" s="789" t="str">
        <f t="shared" ref="BD171:BD218" ca="1" si="457">IFERROR(OFFSET(貼付け_2024実績,$A171,BD$1+1),"")</f>
        <v/>
      </c>
      <c r="BE171" s="789" t="str">
        <f t="shared" ref="BE171:BE218" ca="1" si="458">IFERROR(OFFSET(貼付け_2025実績,$A171,BE$1+1),"")</f>
        <v/>
      </c>
      <c r="BF171" s="789" t="str">
        <f t="shared" ref="BF171:BF218" ca="1" si="459">IFERROR(OFFSET(貼付け_2026実績,$A171,BF$1+1),"")</f>
        <v/>
      </c>
      <c r="BG171" s="789" t="str">
        <f t="shared" ref="BG171:BG218" ca="1" si="460">IFERROR(OFFSET(貼付け_2027実績,$A171,BG$1+1),"")</f>
        <v/>
      </c>
      <c r="BH171" s="789" t="str">
        <f t="shared" ref="BH171:BH218" ca="1" si="461">IFERROR(OFFSET(貼付け_2024実績,$A171,BH$1+1),"")</f>
        <v/>
      </c>
      <c r="BI171" s="789" t="str">
        <f t="shared" ref="BI171:BI218" ca="1" si="462">IFERROR(OFFSET(貼付け_2025実績,$A171,BI$1+1),"")</f>
        <v/>
      </c>
      <c r="BJ171" s="789" t="str">
        <f t="shared" ref="BJ171:BJ218" ca="1" si="463">IFERROR(OFFSET(貼付け_2026実績,$A171,BJ$1+1),"")</f>
        <v/>
      </c>
      <c r="BK171" s="789" t="str">
        <f t="shared" ref="BK171:BK218" ca="1" si="464">IFERROR(OFFSET(貼付け_2027実績,$A171,BK$1+1),"")</f>
        <v/>
      </c>
      <c r="BL171" s="789" t="str">
        <f t="shared" ref="BL171:BL218" ca="1" si="465">IFERROR(OFFSET(貼付け_2024実績,$A171,BL$1+1),"")</f>
        <v/>
      </c>
      <c r="BM171" s="789" t="str">
        <f t="shared" ref="BM171:BM218" ca="1" si="466">IFERROR(OFFSET(貼付け_2025実績,$A171,BM$1+1),"")</f>
        <v/>
      </c>
      <c r="BN171" s="789" t="str">
        <f t="shared" ref="BN171:BN218" ca="1" si="467">IFERROR(OFFSET(貼付け_2026実績,$A171,BN$1+1),"")</f>
        <v/>
      </c>
      <c r="BO171" s="789" t="str">
        <f t="shared" ref="BO171:BO218" ca="1" si="468">IFERROR(OFFSET(貼付け_2027実績,$A171,BO$1+1),"")</f>
        <v/>
      </c>
    </row>
    <row r="172" spans="1:68" ht="20.100000000000001" customHeight="1">
      <c r="A172" s="784">
        <v>9</v>
      </c>
      <c r="B172" s="1594"/>
      <c r="C172" s="1596"/>
      <c r="D172" s="785" t="s">
        <v>349</v>
      </c>
      <c r="E172" s="785"/>
      <c r="F172" s="786"/>
      <c r="G172" s="787" t="s">
        <v>453</v>
      </c>
      <c r="H172" s="788">
        <f t="shared" ca="1" si="422"/>
        <v>34.799999999999997</v>
      </c>
      <c r="I172" s="788">
        <f t="shared" ca="1" si="422"/>
        <v>34.799999999999997</v>
      </c>
      <c r="J172" s="788">
        <f t="shared" ca="1" si="422"/>
        <v>34.799999999999997</v>
      </c>
      <c r="K172" s="788">
        <f t="shared" ca="1" si="422"/>
        <v>34.799999999999997</v>
      </c>
      <c r="L172" s="789">
        <f t="shared" ca="1" si="423"/>
        <v>0</v>
      </c>
      <c r="M172" s="789">
        <f t="shared" ca="1" si="423"/>
        <v>0</v>
      </c>
      <c r="N172" s="789">
        <f t="shared" ca="1" si="423"/>
        <v>0</v>
      </c>
      <c r="O172" s="789">
        <f t="shared" ca="1" si="423"/>
        <v>0</v>
      </c>
      <c r="P172" s="789">
        <f ca="1">SUM(SUMIFS(OFFSET(貼付け_2024実績,$A172,10,1,199),OFFSET(貼付け_2024実績,4,9,1,199),{"横浜*","川崎*"}))</f>
        <v>0</v>
      </c>
      <c r="Q172" s="789">
        <f ca="1">SUM(SUMIFS(OFFSET(貼付け_2025実績,$A172,10,1,199),OFFSET(貼付け_2025実績,4,9,1,199),{"横浜*","川崎*"}))</f>
        <v>0</v>
      </c>
      <c r="R172" s="789">
        <f ca="1">SUM(SUMIFS(OFFSET(貼付け_2026実績,$A172,10,1,199),OFFSET(貼付け_2026実績,4,9,1,199),{"横浜*","川崎*"}))</f>
        <v>0</v>
      </c>
      <c r="S172" s="789">
        <f ca="1">SUM(SUMIFS(OFFSET(貼付け_2027実績,$A172,10,1,199),OFFSET(貼付け_2027実績,4,9,1,199),{"横浜*","川崎*"}))</f>
        <v>0</v>
      </c>
      <c r="T172" s="789">
        <f t="shared" ca="1" si="424"/>
        <v>0</v>
      </c>
      <c r="U172" s="789">
        <f t="shared" ca="1" si="424"/>
        <v>0</v>
      </c>
      <c r="V172" s="789">
        <f t="shared" ca="1" si="424"/>
        <v>0</v>
      </c>
      <c r="W172" s="789">
        <f t="shared" ca="1" si="424"/>
        <v>0</v>
      </c>
      <c r="X172" s="789">
        <f t="shared" ca="1" si="425"/>
        <v>0</v>
      </c>
      <c r="Y172" s="789">
        <f t="shared" ca="1" si="426"/>
        <v>0</v>
      </c>
      <c r="Z172" s="789">
        <f t="shared" ca="1" si="427"/>
        <v>0</v>
      </c>
      <c r="AA172" s="789">
        <f t="shared" ca="1" si="428"/>
        <v>0</v>
      </c>
      <c r="AB172" s="789" t="str">
        <f t="shared" ca="1" si="429"/>
        <v/>
      </c>
      <c r="AC172" s="789" t="str">
        <f t="shared" ca="1" si="430"/>
        <v/>
      </c>
      <c r="AD172" s="789" t="str">
        <f t="shared" ca="1" si="431"/>
        <v/>
      </c>
      <c r="AE172" s="789" t="str">
        <f t="shared" ca="1" si="432"/>
        <v/>
      </c>
      <c r="AF172" s="789" t="str">
        <f t="shared" ca="1" si="433"/>
        <v/>
      </c>
      <c r="AG172" s="789" t="str">
        <f t="shared" ca="1" si="434"/>
        <v/>
      </c>
      <c r="AH172" s="789" t="str">
        <f t="shared" ca="1" si="435"/>
        <v/>
      </c>
      <c r="AI172" s="789" t="str">
        <f t="shared" ca="1" si="436"/>
        <v/>
      </c>
      <c r="AJ172" s="789" t="str">
        <f t="shared" ca="1" si="437"/>
        <v/>
      </c>
      <c r="AK172" s="789" t="str">
        <f t="shared" ca="1" si="438"/>
        <v/>
      </c>
      <c r="AL172" s="789" t="str">
        <f t="shared" ca="1" si="439"/>
        <v/>
      </c>
      <c r="AM172" s="789" t="str">
        <f t="shared" ca="1" si="440"/>
        <v/>
      </c>
      <c r="AN172" s="789" t="str">
        <f t="shared" ca="1" si="441"/>
        <v/>
      </c>
      <c r="AO172" s="789" t="str">
        <f t="shared" ca="1" si="442"/>
        <v/>
      </c>
      <c r="AP172" s="789" t="str">
        <f t="shared" ca="1" si="443"/>
        <v/>
      </c>
      <c r="AQ172" s="789" t="str">
        <f t="shared" ca="1" si="444"/>
        <v/>
      </c>
      <c r="AR172" s="789" t="str">
        <f t="shared" ca="1" si="445"/>
        <v/>
      </c>
      <c r="AS172" s="789" t="str">
        <f t="shared" ca="1" si="446"/>
        <v/>
      </c>
      <c r="AT172" s="789" t="str">
        <f t="shared" ca="1" si="447"/>
        <v/>
      </c>
      <c r="AU172" s="789" t="str">
        <f t="shared" ca="1" si="448"/>
        <v/>
      </c>
      <c r="AV172" s="789" t="str">
        <f t="shared" ca="1" si="449"/>
        <v/>
      </c>
      <c r="AW172" s="789" t="str">
        <f t="shared" ca="1" si="450"/>
        <v/>
      </c>
      <c r="AX172" s="789" t="str">
        <f t="shared" ca="1" si="451"/>
        <v/>
      </c>
      <c r="AY172" s="789" t="str">
        <f t="shared" ca="1" si="452"/>
        <v/>
      </c>
      <c r="AZ172" s="789" t="str">
        <f t="shared" ca="1" si="453"/>
        <v/>
      </c>
      <c r="BA172" s="789" t="str">
        <f t="shared" ca="1" si="454"/>
        <v/>
      </c>
      <c r="BB172" s="789" t="str">
        <f t="shared" ca="1" si="455"/>
        <v/>
      </c>
      <c r="BC172" s="789" t="str">
        <f t="shared" ca="1" si="456"/>
        <v/>
      </c>
      <c r="BD172" s="789" t="str">
        <f t="shared" ca="1" si="457"/>
        <v/>
      </c>
      <c r="BE172" s="789" t="str">
        <f t="shared" ca="1" si="458"/>
        <v/>
      </c>
      <c r="BF172" s="789" t="str">
        <f t="shared" ca="1" si="459"/>
        <v/>
      </c>
      <c r="BG172" s="789" t="str">
        <f t="shared" ca="1" si="460"/>
        <v/>
      </c>
      <c r="BH172" s="789" t="str">
        <f t="shared" ca="1" si="461"/>
        <v/>
      </c>
      <c r="BI172" s="789" t="str">
        <f t="shared" ca="1" si="462"/>
        <v/>
      </c>
      <c r="BJ172" s="789" t="str">
        <f t="shared" ca="1" si="463"/>
        <v/>
      </c>
      <c r="BK172" s="789" t="str">
        <f t="shared" ca="1" si="464"/>
        <v/>
      </c>
      <c r="BL172" s="789" t="str">
        <f t="shared" ca="1" si="465"/>
        <v/>
      </c>
      <c r="BM172" s="789" t="str">
        <f t="shared" ca="1" si="466"/>
        <v/>
      </c>
      <c r="BN172" s="789" t="str">
        <f t="shared" ca="1" si="467"/>
        <v/>
      </c>
      <c r="BO172" s="789" t="str">
        <f t="shared" ca="1" si="468"/>
        <v/>
      </c>
    </row>
    <row r="173" spans="1:68" ht="20.100000000000001" customHeight="1">
      <c r="A173" s="784">
        <v>10</v>
      </c>
      <c r="B173" s="1595"/>
      <c r="C173" s="1596"/>
      <c r="D173" s="785" t="s">
        <v>350</v>
      </c>
      <c r="E173" s="785"/>
      <c r="F173" s="786"/>
      <c r="G173" s="787" t="s">
        <v>453</v>
      </c>
      <c r="H173" s="788">
        <f t="shared" ca="1" si="422"/>
        <v>33.4</v>
      </c>
      <c r="I173" s="788">
        <f t="shared" ca="1" si="422"/>
        <v>33.4</v>
      </c>
      <c r="J173" s="788">
        <f t="shared" ca="1" si="422"/>
        <v>33.4</v>
      </c>
      <c r="K173" s="788">
        <f t="shared" ca="1" si="422"/>
        <v>33.4</v>
      </c>
      <c r="L173" s="789">
        <f t="shared" ca="1" si="423"/>
        <v>0</v>
      </c>
      <c r="M173" s="789">
        <f t="shared" ca="1" si="423"/>
        <v>0</v>
      </c>
      <c r="N173" s="789">
        <f t="shared" ca="1" si="423"/>
        <v>0</v>
      </c>
      <c r="O173" s="789">
        <f t="shared" ca="1" si="423"/>
        <v>0</v>
      </c>
      <c r="P173" s="789">
        <f ca="1">SUM(SUMIFS(OFFSET(貼付け_2024実績,$A173,10,1,199),OFFSET(貼付け_2024実績,4,9,1,199),{"横浜*","川崎*"}))</f>
        <v>0</v>
      </c>
      <c r="Q173" s="789">
        <f ca="1">SUM(SUMIFS(OFFSET(貼付け_2025実績,$A173,10,1,199),OFFSET(貼付け_2025実績,4,9,1,199),{"横浜*","川崎*"}))</f>
        <v>0</v>
      </c>
      <c r="R173" s="789">
        <f ca="1">SUM(SUMIFS(OFFSET(貼付け_2026実績,$A173,10,1,199),OFFSET(貼付け_2026実績,4,9,1,199),{"横浜*","川崎*"}))</f>
        <v>0</v>
      </c>
      <c r="S173" s="789">
        <f ca="1">SUM(SUMIFS(OFFSET(貼付け_2027実績,$A173,10,1,199),OFFSET(貼付け_2027実績,4,9,1,199),{"横浜*","川崎*"}))</f>
        <v>0</v>
      </c>
      <c r="T173" s="789">
        <f t="shared" ca="1" si="424"/>
        <v>0</v>
      </c>
      <c r="U173" s="789">
        <f t="shared" ca="1" si="424"/>
        <v>0</v>
      </c>
      <c r="V173" s="789">
        <f t="shared" ca="1" si="424"/>
        <v>0</v>
      </c>
      <c r="W173" s="789">
        <f t="shared" ca="1" si="424"/>
        <v>0</v>
      </c>
      <c r="X173" s="789">
        <f t="shared" ca="1" si="425"/>
        <v>0</v>
      </c>
      <c r="Y173" s="789">
        <f t="shared" ca="1" si="426"/>
        <v>0</v>
      </c>
      <c r="Z173" s="789">
        <f t="shared" ca="1" si="427"/>
        <v>0</v>
      </c>
      <c r="AA173" s="789">
        <f t="shared" ca="1" si="428"/>
        <v>0</v>
      </c>
      <c r="AB173" s="789" t="str">
        <f t="shared" ca="1" si="429"/>
        <v/>
      </c>
      <c r="AC173" s="789" t="str">
        <f t="shared" ca="1" si="430"/>
        <v/>
      </c>
      <c r="AD173" s="789" t="str">
        <f t="shared" ca="1" si="431"/>
        <v/>
      </c>
      <c r="AE173" s="789" t="str">
        <f t="shared" ca="1" si="432"/>
        <v/>
      </c>
      <c r="AF173" s="789" t="str">
        <f t="shared" ca="1" si="433"/>
        <v/>
      </c>
      <c r="AG173" s="789" t="str">
        <f t="shared" ca="1" si="434"/>
        <v/>
      </c>
      <c r="AH173" s="789" t="str">
        <f t="shared" ca="1" si="435"/>
        <v/>
      </c>
      <c r="AI173" s="789" t="str">
        <f t="shared" ca="1" si="436"/>
        <v/>
      </c>
      <c r="AJ173" s="789" t="str">
        <f t="shared" ca="1" si="437"/>
        <v/>
      </c>
      <c r="AK173" s="789" t="str">
        <f t="shared" ca="1" si="438"/>
        <v/>
      </c>
      <c r="AL173" s="789" t="str">
        <f t="shared" ca="1" si="439"/>
        <v/>
      </c>
      <c r="AM173" s="789" t="str">
        <f t="shared" ca="1" si="440"/>
        <v/>
      </c>
      <c r="AN173" s="789" t="str">
        <f t="shared" ca="1" si="441"/>
        <v/>
      </c>
      <c r="AO173" s="789" t="str">
        <f t="shared" ca="1" si="442"/>
        <v/>
      </c>
      <c r="AP173" s="789" t="str">
        <f t="shared" ca="1" si="443"/>
        <v/>
      </c>
      <c r="AQ173" s="789" t="str">
        <f t="shared" ca="1" si="444"/>
        <v/>
      </c>
      <c r="AR173" s="789" t="str">
        <f t="shared" ca="1" si="445"/>
        <v/>
      </c>
      <c r="AS173" s="789" t="str">
        <f t="shared" ca="1" si="446"/>
        <v/>
      </c>
      <c r="AT173" s="789" t="str">
        <f t="shared" ca="1" si="447"/>
        <v/>
      </c>
      <c r="AU173" s="789" t="str">
        <f t="shared" ca="1" si="448"/>
        <v/>
      </c>
      <c r="AV173" s="789" t="str">
        <f t="shared" ca="1" si="449"/>
        <v/>
      </c>
      <c r="AW173" s="789" t="str">
        <f t="shared" ca="1" si="450"/>
        <v/>
      </c>
      <c r="AX173" s="789" t="str">
        <f t="shared" ca="1" si="451"/>
        <v/>
      </c>
      <c r="AY173" s="789" t="str">
        <f t="shared" ca="1" si="452"/>
        <v/>
      </c>
      <c r="AZ173" s="789" t="str">
        <f t="shared" ca="1" si="453"/>
        <v/>
      </c>
      <c r="BA173" s="789" t="str">
        <f t="shared" ca="1" si="454"/>
        <v/>
      </c>
      <c r="BB173" s="789" t="str">
        <f t="shared" ca="1" si="455"/>
        <v/>
      </c>
      <c r="BC173" s="789" t="str">
        <f t="shared" ca="1" si="456"/>
        <v/>
      </c>
      <c r="BD173" s="789" t="str">
        <f t="shared" ca="1" si="457"/>
        <v/>
      </c>
      <c r="BE173" s="789" t="str">
        <f t="shared" ca="1" si="458"/>
        <v/>
      </c>
      <c r="BF173" s="789" t="str">
        <f t="shared" ca="1" si="459"/>
        <v/>
      </c>
      <c r="BG173" s="789" t="str">
        <f t="shared" ca="1" si="460"/>
        <v/>
      </c>
      <c r="BH173" s="789" t="str">
        <f t="shared" ca="1" si="461"/>
        <v/>
      </c>
      <c r="BI173" s="789" t="str">
        <f t="shared" ca="1" si="462"/>
        <v/>
      </c>
      <c r="BJ173" s="789" t="str">
        <f t="shared" ca="1" si="463"/>
        <v/>
      </c>
      <c r="BK173" s="789" t="str">
        <f t="shared" ca="1" si="464"/>
        <v/>
      </c>
      <c r="BL173" s="789" t="str">
        <f t="shared" ca="1" si="465"/>
        <v/>
      </c>
      <c r="BM173" s="789" t="str">
        <f t="shared" ca="1" si="466"/>
        <v/>
      </c>
      <c r="BN173" s="789" t="str">
        <f t="shared" ca="1" si="467"/>
        <v/>
      </c>
      <c r="BO173" s="789" t="str">
        <f t="shared" ca="1" si="468"/>
        <v/>
      </c>
    </row>
    <row r="174" spans="1:68" ht="20.100000000000001" customHeight="1">
      <c r="A174" s="784">
        <v>11</v>
      </c>
      <c r="B174" s="1594"/>
      <c r="C174" s="1596"/>
      <c r="D174" s="785" t="s">
        <v>351</v>
      </c>
      <c r="E174" s="785"/>
      <c r="F174" s="786"/>
      <c r="G174" s="787" t="s">
        <v>453</v>
      </c>
      <c r="H174" s="788">
        <f t="shared" ca="1" si="422"/>
        <v>33.299999999999997</v>
      </c>
      <c r="I174" s="788">
        <f t="shared" ca="1" si="422"/>
        <v>33.299999999999997</v>
      </c>
      <c r="J174" s="788">
        <f t="shared" ca="1" si="422"/>
        <v>33.299999999999997</v>
      </c>
      <c r="K174" s="788">
        <f t="shared" ca="1" si="422"/>
        <v>33.299999999999997</v>
      </c>
      <c r="L174" s="789">
        <f t="shared" ca="1" si="423"/>
        <v>0</v>
      </c>
      <c r="M174" s="789">
        <f t="shared" ca="1" si="423"/>
        <v>0</v>
      </c>
      <c r="N174" s="789">
        <f t="shared" ca="1" si="423"/>
        <v>0</v>
      </c>
      <c r="O174" s="789">
        <f t="shared" ca="1" si="423"/>
        <v>0</v>
      </c>
      <c r="P174" s="789">
        <f ca="1">SUM(SUMIFS(OFFSET(貼付け_2024実績,$A174,10,1,199),OFFSET(貼付け_2024実績,4,9,1,199),{"横浜*","川崎*"}))</f>
        <v>0</v>
      </c>
      <c r="Q174" s="789">
        <f ca="1">SUM(SUMIFS(OFFSET(貼付け_2025実績,$A174,10,1,199),OFFSET(貼付け_2025実績,4,9,1,199),{"横浜*","川崎*"}))</f>
        <v>0</v>
      </c>
      <c r="R174" s="789">
        <f ca="1">SUM(SUMIFS(OFFSET(貼付け_2026実績,$A174,10,1,199),OFFSET(貼付け_2026実績,4,9,1,199),{"横浜*","川崎*"}))</f>
        <v>0</v>
      </c>
      <c r="S174" s="789">
        <f ca="1">SUM(SUMIFS(OFFSET(貼付け_2027実績,$A174,10,1,199),OFFSET(貼付け_2027実績,4,9,1,199),{"横浜*","川崎*"}))</f>
        <v>0</v>
      </c>
      <c r="T174" s="789">
        <f t="shared" ca="1" si="424"/>
        <v>0</v>
      </c>
      <c r="U174" s="789">
        <f t="shared" ca="1" si="424"/>
        <v>0</v>
      </c>
      <c r="V174" s="789">
        <f t="shared" ca="1" si="424"/>
        <v>0</v>
      </c>
      <c r="W174" s="789">
        <f t="shared" ca="1" si="424"/>
        <v>0</v>
      </c>
      <c r="X174" s="789">
        <f t="shared" ca="1" si="425"/>
        <v>0</v>
      </c>
      <c r="Y174" s="789">
        <f t="shared" ca="1" si="426"/>
        <v>0</v>
      </c>
      <c r="Z174" s="789">
        <f t="shared" ca="1" si="427"/>
        <v>0</v>
      </c>
      <c r="AA174" s="789">
        <f t="shared" ca="1" si="428"/>
        <v>0</v>
      </c>
      <c r="AB174" s="789" t="str">
        <f t="shared" ca="1" si="429"/>
        <v/>
      </c>
      <c r="AC174" s="789" t="str">
        <f t="shared" ca="1" si="430"/>
        <v/>
      </c>
      <c r="AD174" s="789" t="str">
        <f t="shared" ca="1" si="431"/>
        <v/>
      </c>
      <c r="AE174" s="789" t="str">
        <f t="shared" ca="1" si="432"/>
        <v/>
      </c>
      <c r="AF174" s="789" t="str">
        <f t="shared" ca="1" si="433"/>
        <v/>
      </c>
      <c r="AG174" s="789" t="str">
        <f t="shared" ca="1" si="434"/>
        <v/>
      </c>
      <c r="AH174" s="789" t="str">
        <f t="shared" ca="1" si="435"/>
        <v/>
      </c>
      <c r="AI174" s="789" t="str">
        <f t="shared" ca="1" si="436"/>
        <v/>
      </c>
      <c r="AJ174" s="789" t="str">
        <f t="shared" ca="1" si="437"/>
        <v/>
      </c>
      <c r="AK174" s="789" t="str">
        <f t="shared" ca="1" si="438"/>
        <v/>
      </c>
      <c r="AL174" s="789" t="str">
        <f t="shared" ca="1" si="439"/>
        <v/>
      </c>
      <c r="AM174" s="789" t="str">
        <f t="shared" ca="1" si="440"/>
        <v/>
      </c>
      <c r="AN174" s="789" t="str">
        <f t="shared" ca="1" si="441"/>
        <v/>
      </c>
      <c r="AO174" s="789" t="str">
        <f t="shared" ca="1" si="442"/>
        <v/>
      </c>
      <c r="AP174" s="789" t="str">
        <f t="shared" ca="1" si="443"/>
        <v/>
      </c>
      <c r="AQ174" s="789" t="str">
        <f t="shared" ca="1" si="444"/>
        <v/>
      </c>
      <c r="AR174" s="789" t="str">
        <f t="shared" ca="1" si="445"/>
        <v/>
      </c>
      <c r="AS174" s="789" t="str">
        <f t="shared" ca="1" si="446"/>
        <v/>
      </c>
      <c r="AT174" s="789" t="str">
        <f t="shared" ca="1" si="447"/>
        <v/>
      </c>
      <c r="AU174" s="789" t="str">
        <f t="shared" ca="1" si="448"/>
        <v/>
      </c>
      <c r="AV174" s="789" t="str">
        <f t="shared" ca="1" si="449"/>
        <v/>
      </c>
      <c r="AW174" s="789" t="str">
        <f t="shared" ca="1" si="450"/>
        <v/>
      </c>
      <c r="AX174" s="789" t="str">
        <f t="shared" ca="1" si="451"/>
        <v/>
      </c>
      <c r="AY174" s="789" t="str">
        <f t="shared" ca="1" si="452"/>
        <v/>
      </c>
      <c r="AZ174" s="789" t="str">
        <f t="shared" ca="1" si="453"/>
        <v/>
      </c>
      <c r="BA174" s="789" t="str">
        <f t="shared" ca="1" si="454"/>
        <v/>
      </c>
      <c r="BB174" s="789" t="str">
        <f t="shared" ca="1" si="455"/>
        <v/>
      </c>
      <c r="BC174" s="789" t="str">
        <f t="shared" ca="1" si="456"/>
        <v/>
      </c>
      <c r="BD174" s="789" t="str">
        <f t="shared" ca="1" si="457"/>
        <v/>
      </c>
      <c r="BE174" s="789" t="str">
        <f t="shared" ca="1" si="458"/>
        <v/>
      </c>
      <c r="BF174" s="789" t="str">
        <f t="shared" ca="1" si="459"/>
        <v/>
      </c>
      <c r="BG174" s="789" t="str">
        <f t="shared" ca="1" si="460"/>
        <v/>
      </c>
      <c r="BH174" s="789" t="str">
        <f t="shared" ca="1" si="461"/>
        <v/>
      </c>
      <c r="BI174" s="789" t="str">
        <f t="shared" ca="1" si="462"/>
        <v/>
      </c>
      <c r="BJ174" s="789" t="str">
        <f t="shared" ca="1" si="463"/>
        <v/>
      </c>
      <c r="BK174" s="789" t="str">
        <f t="shared" ca="1" si="464"/>
        <v/>
      </c>
      <c r="BL174" s="789" t="str">
        <f t="shared" ca="1" si="465"/>
        <v/>
      </c>
      <c r="BM174" s="789" t="str">
        <f t="shared" ca="1" si="466"/>
        <v/>
      </c>
      <c r="BN174" s="789" t="str">
        <f t="shared" ca="1" si="467"/>
        <v/>
      </c>
      <c r="BO174" s="789" t="str">
        <f t="shared" ca="1" si="468"/>
        <v/>
      </c>
    </row>
    <row r="175" spans="1:68" ht="20.100000000000001" customHeight="1">
      <c r="A175" s="784">
        <v>12</v>
      </c>
      <c r="B175" s="1594"/>
      <c r="C175" s="1596"/>
      <c r="D175" s="785" t="s">
        <v>352</v>
      </c>
      <c r="E175" s="785"/>
      <c r="F175" s="786"/>
      <c r="G175" s="787" t="s">
        <v>453</v>
      </c>
      <c r="H175" s="788">
        <f t="shared" ca="1" si="422"/>
        <v>36.299999999999997</v>
      </c>
      <c r="I175" s="788">
        <f t="shared" ca="1" si="422"/>
        <v>36.299999999999997</v>
      </c>
      <c r="J175" s="788">
        <f t="shared" ca="1" si="422"/>
        <v>36.299999999999997</v>
      </c>
      <c r="K175" s="788">
        <f t="shared" ca="1" si="422"/>
        <v>36.299999999999997</v>
      </c>
      <c r="L175" s="789">
        <f t="shared" ca="1" si="423"/>
        <v>0</v>
      </c>
      <c r="M175" s="789">
        <f t="shared" ca="1" si="423"/>
        <v>0</v>
      </c>
      <c r="N175" s="789">
        <f t="shared" ca="1" si="423"/>
        <v>0</v>
      </c>
      <c r="O175" s="789">
        <f t="shared" ca="1" si="423"/>
        <v>0</v>
      </c>
      <c r="P175" s="789">
        <f ca="1">SUM(SUMIFS(OFFSET(貼付け_2024実績,$A175,10,1,199),OFFSET(貼付け_2024実績,4,9,1,199),{"横浜*","川崎*"}))</f>
        <v>0</v>
      </c>
      <c r="Q175" s="789">
        <f ca="1">SUM(SUMIFS(OFFSET(貼付け_2025実績,$A175,10,1,199),OFFSET(貼付け_2025実績,4,9,1,199),{"横浜*","川崎*"}))</f>
        <v>0</v>
      </c>
      <c r="R175" s="789">
        <f ca="1">SUM(SUMIFS(OFFSET(貼付け_2026実績,$A175,10,1,199),OFFSET(貼付け_2026実績,4,9,1,199),{"横浜*","川崎*"}))</f>
        <v>0</v>
      </c>
      <c r="S175" s="789">
        <f ca="1">SUM(SUMIFS(OFFSET(貼付け_2027実績,$A175,10,1,199),OFFSET(貼付け_2027実績,4,9,1,199),{"横浜*","川崎*"}))</f>
        <v>0</v>
      </c>
      <c r="T175" s="789">
        <f t="shared" ca="1" si="424"/>
        <v>0</v>
      </c>
      <c r="U175" s="789">
        <f t="shared" ca="1" si="424"/>
        <v>0</v>
      </c>
      <c r="V175" s="789">
        <f t="shared" ca="1" si="424"/>
        <v>0</v>
      </c>
      <c r="W175" s="789">
        <f t="shared" ca="1" si="424"/>
        <v>0</v>
      </c>
      <c r="X175" s="789">
        <f t="shared" ca="1" si="425"/>
        <v>0</v>
      </c>
      <c r="Y175" s="789">
        <f t="shared" ca="1" si="426"/>
        <v>0</v>
      </c>
      <c r="Z175" s="789">
        <f t="shared" ca="1" si="427"/>
        <v>0</v>
      </c>
      <c r="AA175" s="789">
        <f t="shared" ca="1" si="428"/>
        <v>0</v>
      </c>
      <c r="AB175" s="789" t="str">
        <f t="shared" ca="1" si="429"/>
        <v/>
      </c>
      <c r="AC175" s="789" t="str">
        <f t="shared" ca="1" si="430"/>
        <v/>
      </c>
      <c r="AD175" s="789" t="str">
        <f t="shared" ca="1" si="431"/>
        <v/>
      </c>
      <c r="AE175" s="789" t="str">
        <f t="shared" ca="1" si="432"/>
        <v/>
      </c>
      <c r="AF175" s="789" t="str">
        <f t="shared" ca="1" si="433"/>
        <v/>
      </c>
      <c r="AG175" s="789" t="str">
        <f t="shared" ca="1" si="434"/>
        <v/>
      </c>
      <c r="AH175" s="789" t="str">
        <f t="shared" ca="1" si="435"/>
        <v/>
      </c>
      <c r="AI175" s="789" t="str">
        <f t="shared" ca="1" si="436"/>
        <v/>
      </c>
      <c r="AJ175" s="789" t="str">
        <f t="shared" ca="1" si="437"/>
        <v/>
      </c>
      <c r="AK175" s="789" t="str">
        <f t="shared" ca="1" si="438"/>
        <v/>
      </c>
      <c r="AL175" s="789" t="str">
        <f t="shared" ca="1" si="439"/>
        <v/>
      </c>
      <c r="AM175" s="789" t="str">
        <f t="shared" ca="1" si="440"/>
        <v/>
      </c>
      <c r="AN175" s="789" t="str">
        <f t="shared" ca="1" si="441"/>
        <v/>
      </c>
      <c r="AO175" s="789" t="str">
        <f t="shared" ca="1" si="442"/>
        <v/>
      </c>
      <c r="AP175" s="789" t="str">
        <f t="shared" ca="1" si="443"/>
        <v/>
      </c>
      <c r="AQ175" s="789" t="str">
        <f t="shared" ca="1" si="444"/>
        <v/>
      </c>
      <c r="AR175" s="789" t="str">
        <f t="shared" ca="1" si="445"/>
        <v/>
      </c>
      <c r="AS175" s="789" t="str">
        <f t="shared" ca="1" si="446"/>
        <v/>
      </c>
      <c r="AT175" s="789" t="str">
        <f t="shared" ca="1" si="447"/>
        <v/>
      </c>
      <c r="AU175" s="789" t="str">
        <f t="shared" ca="1" si="448"/>
        <v/>
      </c>
      <c r="AV175" s="789" t="str">
        <f t="shared" ca="1" si="449"/>
        <v/>
      </c>
      <c r="AW175" s="789" t="str">
        <f t="shared" ca="1" si="450"/>
        <v/>
      </c>
      <c r="AX175" s="789" t="str">
        <f t="shared" ca="1" si="451"/>
        <v/>
      </c>
      <c r="AY175" s="789" t="str">
        <f t="shared" ca="1" si="452"/>
        <v/>
      </c>
      <c r="AZ175" s="789" t="str">
        <f t="shared" ca="1" si="453"/>
        <v/>
      </c>
      <c r="BA175" s="789" t="str">
        <f t="shared" ca="1" si="454"/>
        <v/>
      </c>
      <c r="BB175" s="789" t="str">
        <f t="shared" ca="1" si="455"/>
        <v/>
      </c>
      <c r="BC175" s="789" t="str">
        <f t="shared" ca="1" si="456"/>
        <v/>
      </c>
      <c r="BD175" s="789" t="str">
        <f t="shared" ca="1" si="457"/>
        <v/>
      </c>
      <c r="BE175" s="789" t="str">
        <f t="shared" ca="1" si="458"/>
        <v/>
      </c>
      <c r="BF175" s="789" t="str">
        <f t="shared" ca="1" si="459"/>
        <v/>
      </c>
      <c r="BG175" s="789" t="str">
        <f t="shared" ca="1" si="460"/>
        <v/>
      </c>
      <c r="BH175" s="789" t="str">
        <f t="shared" ca="1" si="461"/>
        <v/>
      </c>
      <c r="BI175" s="789" t="str">
        <f t="shared" ca="1" si="462"/>
        <v/>
      </c>
      <c r="BJ175" s="789" t="str">
        <f t="shared" ca="1" si="463"/>
        <v/>
      </c>
      <c r="BK175" s="789" t="str">
        <f t="shared" ca="1" si="464"/>
        <v/>
      </c>
      <c r="BL175" s="789" t="str">
        <f t="shared" ca="1" si="465"/>
        <v/>
      </c>
      <c r="BM175" s="789" t="str">
        <f t="shared" ca="1" si="466"/>
        <v/>
      </c>
      <c r="BN175" s="789" t="str">
        <f t="shared" ca="1" si="467"/>
        <v/>
      </c>
      <c r="BO175" s="789" t="str">
        <f t="shared" ca="1" si="468"/>
        <v/>
      </c>
    </row>
    <row r="176" spans="1:68" ht="20.100000000000001" customHeight="1">
      <c r="A176" s="784">
        <v>13</v>
      </c>
      <c r="B176" s="1595"/>
      <c r="C176" s="1596"/>
      <c r="D176" s="785" t="s">
        <v>353</v>
      </c>
      <c r="E176" s="785"/>
      <c r="F176" s="786"/>
      <c r="G176" s="787" t="s">
        <v>453</v>
      </c>
      <c r="H176" s="788">
        <f t="shared" ca="1" si="422"/>
        <v>36.5</v>
      </c>
      <c r="I176" s="788">
        <f t="shared" ca="1" si="422"/>
        <v>36.5</v>
      </c>
      <c r="J176" s="788">
        <f t="shared" ca="1" si="422"/>
        <v>36.5</v>
      </c>
      <c r="K176" s="788">
        <f t="shared" ca="1" si="422"/>
        <v>36.5</v>
      </c>
      <c r="L176" s="789">
        <f t="shared" ca="1" si="423"/>
        <v>0</v>
      </c>
      <c r="M176" s="789">
        <f t="shared" ca="1" si="423"/>
        <v>0</v>
      </c>
      <c r="N176" s="789">
        <f t="shared" ca="1" si="423"/>
        <v>0</v>
      </c>
      <c r="O176" s="789">
        <f t="shared" ca="1" si="423"/>
        <v>0</v>
      </c>
      <c r="P176" s="789">
        <f ca="1">SUM(SUMIFS(OFFSET(貼付け_2024実績,$A176,10,1,199),OFFSET(貼付け_2024実績,4,9,1,199),{"横浜*","川崎*"}))</f>
        <v>0</v>
      </c>
      <c r="Q176" s="789">
        <f ca="1">SUM(SUMIFS(OFFSET(貼付け_2025実績,$A176,10,1,199),OFFSET(貼付け_2025実績,4,9,1,199),{"横浜*","川崎*"}))</f>
        <v>0</v>
      </c>
      <c r="R176" s="789">
        <f ca="1">SUM(SUMIFS(OFFSET(貼付け_2026実績,$A176,10,1,199),OFFSET(貼付け_2026実績,4,9,1,199),{"横浜*","川崎*"}))</f>
        <v>0</v>
      </c>
      <c r="S176" s="789">
        <f ca="1">SUM(SUMIFS(OFFSET(貼付け_2027実績,$A176,10,1,199),OFFSET(貼付け_2027実績,4,9,1,199),{"横浜*","川崎*"}))</f>
        <v>0</v>
      </c>
      <c r="T176" s="789">
        <f t="shared" ca="1" si="424"/>
        <v>0</v>
      </c>
      <c r="U176" s="789">
        <f t="shared" ca="1" si="424"/>
        <v>0</v>
      </c>
      <c r="V176" s="789">
        <f t="shared" ca="1" si="424"/>
        <v>0</v>
      </c>
      <c r="W176" s="789">
        <f t="shared" ca="1" si="424"/>
        <v>0</v>
      </c>
      <c r="X176" s="789">
        <f t="shared" ca="1" si="425"/>
        <v>0</v>
      </c>
      <c r="Y176" s="789">
        <f t="shared" ca="1" si="426"/>
        <v>0</v>
      </c>
      <c r="Z176" s="789">
        <f t="shared" ca="1" si="427"/>
        <v>0</v>
      </c>
      <c r="AA176" s="789">
        <f t="shared" ca="1" si="428"/>
        <v>0</v>
      </c>
      <c r="AB176" s="789" t="str">
        <f t="shared" ca="1" si="429"/>
        <v/>
      </c>
      <c r="AC176" s="789" t="str">
        <f t="shared" ca="1" si="430"/>
        <v/>
      </c>
      <c r="AD176" s="789" t="str">
        <f t="shared" ca="1" si="431"/>
        <v/>
      </c>
      <c r="AE176" s="789" t="str">
        <f t="shared" ca="1" si="432"/>
        <v/>
      </c>
      <c r="AF176" s="789" t="str">
        <f t="shared" ca="1" si="433"/>
        <v/>
      </c>
      <c r="AG176" s="789" t="str">
        <f t="shared" ca="1" si="434"/>
        <v/>
      </c>
      <c r="AH176" s="789" t="str">
        <f t="shared" ca="1" si="435"/>
        <v/>
      </c>
      <c r="AI176" s="789" t="str">
        <f t="shared" ca="1" si="436"/>
        <v/>
      </c>
      <c r="AJ176" s="789" t="str">
        <f t="shared" ca="1" si="437"/>
        <v/>
      </c>
      <c r="AK176" s="789" t="str">
        <f t="shared" ca="1" si="438"/>
        <v/>
      </c>
      <c r="AL176" s="789" t="str">
        <f t="shared" ca="1" si="439"/>
        <v/>
      </c>
      <c r="AM176" s="789" t="str">
        <f t="shared" ca="1" si="440"/>
        <v/>
      </c>
      <c r="AN176" s="789" t="str">
        <f t="shared" ca="1" si="441"/>
        <v/>
      </c>
      <c r="AO176" s="789" t="str">
        <f t="shared" ca="1" si="442"/>
        <v/>
      </c>
      <c r="AP176" s="789" t="str">
        <f t="shared" ca="1" si="443"/>
        <v/>
      </c>
      <c r="AQ176" s="789" t="str">
        <f t="shared" ca="1" si="444"/>
        <v/>
      </c>
      <c r="AR176" s="789" t="str">
        <f t="shared" ca="1" si="445"/>
        <v/>
      </c>
      <c r="AS176" s="789" t="str">
        <f t="shared" ca="1" si="446"/>
        <v/>
      </c>
      <c r="AT176" s="789" t="str">
        <f t="shared" ca="1" si="447"/>
        <v/>
      </c>
      <c r="AU176" s="789" t="str">
        <f t="shared" ca="1" si="448"/>
        <v/>
      </c>
      <c r="AV176" s="789" t="str">
        <f t="shared" ca="1" si="449"/>
        <v/>
      </c>
      <c r="AW176" s="789" t="str">
        <f t="shared" ca="1" si="450"/>
        <v/>
      </c>
      <c r="AX176" s="789" t="str">
        <f t="shared" ca="1" si="451"/>
        <v/>
      </c>
      <c r="AY176" s="789" t="str">
        <f t="shared" ca="1" si="452"/>
        <v/>
      </c>
      <c r="AZ176" s="789" t="str">
        <f t="shared" ca="1" si="453"/>
        <v/>
      </c>
      <c r="BA176" s="789" t="str">
        <f t="shared" ca="1" si="454"/>
        <v/>
      </c>
      <c r="BB176" s="789" t="str">
        <f t="shared" ca="1" si="455"/>
        <v/>
      </c>
      <c r="BC176" s="789" t="str">
        <f t="shared" ca="1" si="456"/>
        <v/>
      </c>
      <c r="BD176" s="789" t="str">
        <f t="shared" ca="1" si="457"/>
        <v/>
      </c>
      <c r="BE176" s="789" t="str">
        <f t="shared" ca="1" si="458"/>
        <v/>
      </c>
      <c r="BF176" s="789" t="str">
        <f t="shared" ca="1" si="459"/>
        <v/>
      </c>
      <c r="BG176" s="789" t="str">
        <f t="shared" ca="1" si="460"/>
        <v/>
      </c>
      <c r="BH176" s="789" t="str">
        <f t="shared" ca="1" si="461"/>
        <v/>
      </c>
      <c r="BI176" s="789" t="str">
        <f t="shared" ca="1" si="462"/>
        <v/>
      </c>
      <c r="BJ176" s="789" t="str">
        <f t="shared" ca="1" si="463"/>
        <v/>
      </c>
      <c r="BK176" s="789" t="str">
        <f t="shared" ca="1" si="464"/>
        <v/>
      </c>
      <c r="BL176" s="789" t="str">
        <f t="shared" ca="1" si="465"/>
        <v/>
      </c>
      <c r="BM176" s="789" t="str">
        <f t="shared" ca="1" si="466"/>
        <v/>
      </c>
      <c r="BN176" s="789" t="str">
        <f t="shared" ca="1" si="467"/>
        <v/>
      </c>
      <c r="BO176" s="789" t="str">
        <f t="shared" ca="1" si="468"/>
        <v/>
      </c>
    </row>
    <row r="177" spans="1:67" ht="20.100000000000001" customHeight="1">
      <c r="A177" s="784">
        <v>14</v>
      </c>
      <c r="B177" s="1595"/>
      <c r="C177" s="1596"/>
      <c r="D177" s="785" t="s">
        <v>354</v>
      </c>
      <c r="E177" s="785"/>
      <c r="F177" s="786"/>
      <c r="G177" s="787" t="s">
        <v>453</v>
      </c>
      <c r="H177" s="788">
        <f t="shared" ca="1" si="422"/>
        <v>38</v>
      </c>
      <c r="I177" s="788">
        <f t="shared" ca="1" si="422"/>
        <v>38</v>
      </c>
      <c r="J177" s="788">
        <f t="shared" ca="1" si="422"/>
        <v>38</v>
      </c>
      <c r="K177" s="788">
        <f t="shared" ca="1" si="422"/>
        <v>38</v>
      </c>
      <c r="L177" s="789">
        <f t="shared" ca="1" si="423"/>
        <v>0</v>
      </c>
      <c r="M177" s="789">
        <f t="shared" ca="1" si="423"/>
        <v>0</v>
      </c>
      <c r="N177" s="789">
        <f t="shared" ca="1" si="423"/>
        <v>0</v>
      </c>
      <c r="O177" s="789">
        <f t="shared" ca="1" si="423"/>
        <v>0</v>
      </c>
      <c r="P177" s="789">
        <f ca="1">SUM(SUMIFS(OFFSET(貼付け_2024実績,$A177,10,1,199),OFFSET(貼付け_2024実績,4,9,1,199),{"横浜*","川崎*"}))</f>
        <v>0</v>
      </c>
      <c r="Q177" s="789">
        <f ca="1">SUM(SUMIFS(OFFSET(貼付け_2025実績,$A177,10,1,199),OFFSET(貼付け_2025実績,4,9,1,199),{"横浜*","川崎*"}))</f>
        <v>0</v>
      </c>
      <c r="R177" s="789">
        <f ca="1">SUM(SUMIFS(OFFSET(貼付け_2026実績,$A177,10,1,199),OFFSET(貼付け_2026実績,4,9,1,199),{"横浜*","川崎*"}))</f>
        <v>0</v>
      </c>
      <c r="S177" s="789">
        <f ca="1">SUM(SUMIFS(OFFSET(貼付け_2027実績,$A177,10,1,199),OFFSET(貼付け_2027実績,4,9,1,199),{"横浜*","川崎*"}))</f>
        <v>0</v>
      </c>
      <c r="T177" s="789">
        <f t="shared" ca="1" si="424"/>
        <v>0</v>
      </c>
      <c r="U177" s="789">
        <f t="shared" ca="1" si="424"/>
        <v>0</v>
      </c>
      <c r="V177" s="789">
        <f t="shared" ca="1" si="424"/>
        <v>0</v>
      </c>
      <c r="W177" s="789">
        <f t="shared" ca="1" si="424"/>
        <v>0</v>
      </c>
      <c r="X177" s="789">
        <f t="shared" ca="1" si="425"/>
        <v>0</v>
      </c>
      <c r="Y177" s="789">
        <f t="shared" ca="1" si="426"/>
        <v>0</v>
      </c>
      <c r="Z177" s="789">
        <f t="shared" ca="1" si="427"/>
        <v>0</v>
      </c>
      <c r="AA177" s="789">
        <f t="shared" ca="1" si="428"/>
        <v>0</v>
      </c>
      <c r="AB177" s="789" t="str">
        <f t="shared" ca="1" si="429"/>
        <v/>
      </c>
      <c r="AC177" s="789" t="str">
        <f t="shared" ca="1" si="430"/>
        <v/>
      </c>
      <c r="AD177" s="789" t="str">
        <f t="shared" ca="1" si="431"/>
        <v/>
      </c>
      <c r="AE177" s="789" t="str">
        <f t="shared" ca="1" si="432"/>
        <v/>
      </c>
      <c r="AF177" s="789" t="str">
        <f t="shared" ca="1" si="433"/>
        <v/>
      </c>
      <c r="AG177" s="789" t="str">
        <f t="shared" ca="1" si="434"/>
        <v/>
      </c>
      <c r="AH177" s="789" t="str">
        <f t="shared" ca="1" si="435"/>
        <v/>
      </c>
      <c r="AI177" s="789" t="str">
        <f t="shared" ca="1" si="436"/>
        <v/>
      </c>
      <c r="AJ177" s="789" t="str">
        <f t="shared" ca="1" si="437"/>
        <v/>
      </c>
      <c r="AK177" s="789" t="str">
        <f t="shared" ca="1" si="438"/>
        <v/>
      </c>
      <c r="AL177" s="789" t="str">
        <f t="shared" ca="1" si="439"/>
        <v/>
      </c>
      <c r="AM177" s="789" t="str">
        <f t="shared" ca="1" si="440"/>
        <v/>
      </c>
      <c r="AN177" s="789" t="str">
        <f t="shared" ca="1" si="441"/>
        <v/>
      </c>
      <c r="AO177" s="789" t="str">
        <f t="shared" ca="1" si="442"/>
        <v/>
      </c>
      <c r="AP177" s="789" t="str">
        <f t="shared" ca="1" si="443"/>
        <v/>
      </c>
      <c r="AQ177" s="789" t="str">
        <f t="shared" ca="1" si="444"/>
        <v/>
      </c>
      <c r="AR177" s="789" t="str">
        <f t="shared" ca="1" si="445"/>
        <v/>
      </c>
      <c r="AS177" s="789" t="str">
        <f t="shared" ca="1" si="446"/>
        <v/>
      </c>
      <c r="AT177" s="789" t="str">
        <f t="shared" ca="1" si="447"/>
        <v/>
      </c>
      <c r="AU177" s="789" t="str">
        <f t="shared" ca="1" si="448"/>
        <v/>
      </c>
      <c r="AV177" s="789" t="str">
        <f t="shared" ca="1" si="449"/>
        <v/>
      </c>
      <c r="AW177" s="789" t="str">
        <f t="shared" ca="1" si="450"/>
        <v/>
      </c>
      <c r="AX177" s="789" t="str">
        <f t="shared" ca="1" si="451"/>
        <v/>
      </c>
      <c r="AY177" s="789" t="str">
        <f t="shared" ca="1" si="452"/>
        <v/>
      </c>
      <c r="AZ177" s="789" t="str">
        <f t="shared" ca="1" si="453"/>
        <v/>
      </c>
      <c r="BA177" s="789" t="str">
        <f t="shared" ca="1" si="454"/>
        <v/>
      </c>
      <c r="BB177" s="789" t="str">
        <f t="shared" ca="1" si="455"/>
        <v/>
      </c>
      <c r="BC177" s="789" t="str">
        <f t="shared" ca="1" si="456"/>
        <v/>
      </c>
      <c r="BD177" s="789" t="str">
        <f t="shared" ca="1" si="457"/>
        <v/>
      </c>
      <c r="BE177" s="789" t="str">
        <f t="shared" ca="1" si="458"/>
        <v/>
      </c>
      <c r="BF177" s="789" t="str">
        <f t="shared" ca="1" si="459"/>
        <v/>
      </c>
      <c r="BG177" s="789" t="str">
        <f t="shared" ca="1" si="460"/>
        <v/>
      </c>
      <c r="BH177" s="789" t="str">
        <f t="shared" ca="1" si="461"/>
        <v/>
      </c>
      <c r="BI177" s="789" t="str">
        <f t="shared" ca="1" si="462"/>
        <v/>
      </c>
      <c r="BJ177" s="789" t="str">
        <f t="shared" ca="1" si="463"/>
        <v/>
      </c>
      <c r="BK177" s="789" t="str">
        <f t="shared" ca="1" si="464"/>
        <v/>
      </c>
      <c r="BL177" s="789" t="str">
        <f t="shared" ca="1" si="465"/>
        <v/>
      </c>
      <c r="BM177" s="789" t="str">
        <f t="shared" ca="1" si="466"/>
        <v/>
      </c>
      <c r="BN177" s="789" t="str">
        <f t="shared" ca="1" si="467"/>
        <v/>
      </c>
      <c r="BO177" s="789" t="str">
        <f t="shared" ca="1" si="468"/>
        <v/>
      </c>
    </row>
    <row r="178" spans="1:67" ht="20.100000000000001" customHeight="1">
      <c r="A178" s="784">
        <v>15</v>
      </c>
      <c r="B178" s="1594"/>
      <c r="C178" s="1596"/>
      <c r="D178" s="785" t="s">
        <v>355</v>
      </c>
      <c r="E178" s="785"/>
      <c r="F178" s="786"/>
      <c r="G178" s="787" t="s">
        <v>453</v>
      </c>
      <c r="H178" s="788">
        <f t="shared" ca="1" si="422"/>
        <v>38.9</v>
      </c>
      <c r="I178" s="788">
        <f t="shared" ca="1" si="422"/>
        <v>38.9</v>
      </c>
      <c r="J178" s="788">
        <f t="shared" ca="1" si="422"/>
        <v>38.9</v>
      </c>
      <c r="K178" s="788">
        <f t="shared" ca="1" si="422"/>
        <v>38.9</v>
      </c>
      <c r="L178" s="789">
        <f t="shared" ca="1" si="423"/>
        <v>0</v>
      </c>
      <c r="M178" s="789">
        <f t="shared" ca="1" si="423"/>
        <v>0</v>
      </c>
      <c r="N178" s="789">
        <f t="shared" ca="1" si="423"/>
        <v>0</v>
      </c>
      <c r="O178" s="789">
        <f t="shared" ca="1" si="423"/>
        <v>0</v>
      </c>
      <c r="P178" s="789">
        <f ca="1">SUM(SUMIFS(OFFSET(貼付け_2024実績,$A178,10,1,199),OFFSET(貼付け_2024実績,4,9,1,199),{"横浜*","川崎*"}))</f>
        <v>0</v>
      </c>
      <c r="Q178" s="789">
        <f ca="1">SUM(SUMIFS(OFFSET(貼付け_2025実績,$A178,10,1,199),OFFSET(貼付け_2025実績,4,9,1,199),{"横浜*","川崎*"}))</f>
        <v>0</v>
      </c>
      <c r="R178" s="789">
        <f ca="1">SUM(SUMIFS(OFFSET(貼付け_2026実績,$A178,10,1,199),OFFSET(貼付け_2026実績,4,9,1,199),{"横浜*","川崎*"}))</f>
        <v>0</v>
      </c>
      <c r="S178" s="789">
        <f ca="1">SUM(SUMIFS(OFFSET(貼付け_2027実績,$A178,10,1,199),OFFSET(貼付け_2027実績,4,9,1,199),{"横浜*","川崎*"}))</f>
        <v>0</v>
      </c>
      <c r="T178" s="789">
        <f t="shared" ca="1" si="424"/>
        <v>0</v>
      </c>
      <c r="U178" s="789">
        <f t="shared" ca="1" si="424"/>
        <v>0</v>
      </c>
      <c r="V178" s="789">
        <f t="shared" ca="1" si="424"/>
        <v>0</v>
      </c>
      <c r="W178" s="789">
        <f t="shared" ca="1" si="424"/>
        <v>0</v>
      </c>
      <c r="X178" s="789">
        <f t="shared" ca="1" si="425"/>
        <v>0</v>
      </c>
      <c r="Y178" s="789">
        <f t="shared" ca="1" si="426"/>
        <v>0</v>
      </c>
      <c r="Z178" s="789">
        <f t="shared" ca="1" si="427"/>
        <v>0</v>
      </c>
      <c r="AA178" s="789">
        <f t="shared" ca="1" si="428"/>
        <v>0</v>
      </c>
      <c r="AB178" s="789" t="str">
        <f t="shared" ca="1" si="429"/>
        <v/>
      </c>
      <c r="AC178" s="789" t="str">
        <f t="shared" ca="1" si="430"/>
        <v/>
      </c>
      <c r="AD178" s="789" t="str">
        <f t="shared" ca="1" si="431"/>
        <v/>
      </c>
      <c r="AE178" s="789" t="str">
        <f t="shared" ca="1" si="432"/>
        <v/>
      </c>
      <c r="AF178" s="789" t="str">
        <f t="shared" ca="1" si="433"/>
        <v/>
      </c>
      <c r="AG178" s="789" t="str">
        <f t="shared" ca="1" si="434"/>
        <v/>
      </c>
      <c r="AH178" s="789" t="str">
        <f t="shared" ca="1" si="435"/>
        <v/>
      </c>
      <c r="AI178" s="789" t="str">
        <f t="shared" ca="1" si="436"/>
        <v/>
      </c>
      <c r="AJ178" s="789" t="str">
        <f t="shared" ca="1" si="437"/>
        <v/>
      </c>
      <c r="AK178" s="789" t="str">
        <f t="shared" ca="1" si="438"/>
        <v/>
      </c>
      <c r="AL178" s="789" t="str">
        <f t="shared" ca="1" si="439"/>
        <v/>
      </c>
      <c r="AM178" s="789" t="str">
        <f t="shared" ca="1" si="440"/>
        <v/>
      </c>
      <c r="AN178" s="789" t="str">
        <f t="shared" ca="1" si="441"/>
        <v/>
      </c>
      <c r="AO178" s="789" t="str">
        <f t="shared" ca="1" si="442"/>
        <v/>
      </c>
      <c r="AP178" s="789" t="str">
        <f t="shared" ca="1" si="443"/>
        <v/>
      </c>
      <c r="AQ178" s="789" t="str">
        <f t="shared" ca="1" si="444"/>
        <v/>
      </c>
      <c r="AR178" s="789" t="str">
        <f t="shared" ca="1" si="445"/>
        <v/>
      </c>
      <c r="AS178" s="789" t="str">
        <f t="shared" ca="1" si="446"/>
        <v/>
      </c>
      <c r="AT178" s="789" t="str">
        <f t="shared" ca="1" si="447"/>
        <v/>
      </c>
      <c r="AU178" s="789" t="str">
        <f t="shared" ca="1" si="448"/>
        <v/>
      </c>
      <c r="AV178" s="789" t="str">
        <f t="shared" ca="1" si="449"/>
        <v/>
      </c>
      <c r="AW178" s="789" t="str">
        <f t="shared" ca="1" si="450"/>
        <v/>
      </c>
      <c r="AX178" s="789" t="str">
        <f t="shared" ca="1" si="451"/>
        <v/>
      </c>
      <c r="AY178" s="789" t="str">
        <f t="shared" ca="1" si="452"/>
        <v/>
      </c>
      <c r="AZ178" s="789" t="str">
        <f t="shared" ca="1" si="453"/>
        <v/>
      </c>
      <c r="BA178" s="789" t="str">
        <f t="shared" ca="1" si="454"/>
        <v/>
      </c>
      <c r="BB178" s="789" t="str">
        <f t="shared" ca="1" si="455"/>
        <v/>
      </c>
      <c r="BC178" s="789" t="str">
        <f t="shared" ca="1" si="456"/>
        <v/>
      </c>
      <c r="BD178" s="789" t="str">
        <f t="shared" ca="1" si="457"/>
        <v/>
      </c>
      <c r="BE178" s="789" t="str">
        <f t="shared" ca="1" si="458"/>
        <v/>
      </c>
      <c r="BF178" s="789" t="str">
        <f t="shared" ca="1" si="459"/>
        <v/>
      </c>
      <c r="BG178" s="789" t="str">
        <f t="shared" ca="1" si="460"/>
        <v/>
      </c>
      <c r="BH178" s="789" t="str">
        <f t="shared" ca="1" si="461"/>
        <v/>
      </c>
      <c r="BI178" s="789" t="str">
        <f t="shared" ca="1" si="462"/>
        <v/>
      </c>
      <c r="BJ178" s="789" t="str">
        <f t="shared" ca="1" si="463"/>
        <v/>
      </c>
      <c r="BK178" s="789" t="str">
        <f t="shared" ca="1" si="464"/>
        <v/>
      </c>
      <c r="BL178" s="789" t="str">
        <f t="shared" ca="1" si="465"/>
        <v/>
      </c>
      <c r="BM178" s="789" t="str">
        <f t="shared" ca="1" si="466"/>
        <v/>
      </c>
      <c r="BN178" s="789" t="str">
        <f t="shared" ca="1" si="467"/>
        <v/>
      </c>
      <c r="BO178" s="789" t="str">
        <f t="shared" ca="1" si="468"/>
        <v/>
      </c>
    </row>
    <row r="179" spans="1:67" ht="20.100000000000001" customHeight="1">
      <c r="A179" s="784">
        <v>16</v>
      </c>
      <c r="B179" s="1594"/>
      <c r="C179" s="1596"/>
      <c r="D179" s="785" t="s">
        <v>356</v>
      </c>
      <c r="E179" s="779"/>
      <c r="F179" s="786"/>
      <c r="G179" s="787" t="s">
        <v>453</v>
      </c>
      <c r="H179" s="788">
        <f t="shared" ca="1" si="422"/>
        <v>41.8</v>
      </c>
      <c r="I179" s="788">
        <f t="shared" ca="1" si="422"/>
        <v>41.8</v>
      </c>
      <c r="J179" s="788">
        <f t="shared" ca="1" si="422"/>
        <v>41.8</v>
      </c>
      <c r="K179" s="788">
        <f t="shared" ca="1" si="422"/>
        <v>41.8</v>
      </c>
      <c r="L179" s="789">
        <f t="shared" ca="1" si="423"/>
        <v>0</v>
      </c>
      <c r="M179" s="789">
        <f t="shared" ca="1" si="423"/>
        <v>0</v>
      </c>
      <c r="N179" s="789">
        <f t="shared" ca="1" si="423"/>
        <v>0</v>
      </c>
      <c r="O179" s="789">
        <f t="shared" ca="1" si="423"/>
        <v>0</v>
      </c>
      <c r="P179" s="789">
        <f ca="1">SUM(SUMIFS(OFFSET(貼付け_2024実績,$A179,10,1,199),OFFSET(貼付け_2024実績,4,9,1,199),{"横浜*","川崎*"}))</f>
        <v>0</v>
      </c>
      <c r="Q179" s="789">
        <f ca="1">SUM(SUMIFS(OFFSET(貼付け_2025実績,$A179,10,1,199),OFFSET(貼付け_2025実績,4,9,1,199),{"横浜*","川崎*"}))</f>
        <v>0</v>
      </c>
      <c r="R179" s="789">
        <f ca="1">SUM(SUMIFS(OFFSET(貼付け_2026実績,$A179,10,1,199),OFFSET(貼付け_2026実績,4,9,1,199),{"横浜*","川崎*"}))</f>
        <v>0</v>
      </c>
      <c r="S179" s="789">
        <f ca="1">SUM(SUMIFS(OFFSET(貼付け_2027実績,$A179,10,1,199),OFFSET(貼付け_2027実績,4,9,1,199),{"横浜*","川崎*"}))</f>
        <v>0</v>
      </c>
      <c r="T179" s="789">
        <f t="shared" ca="1" si="424"/>
        <v>0</v>
      </c>
      <c r="U179" s="789">
        <f t="shared" ca="1" si="424"/>
        <v>0</v>
      </c>
      <c r="V179" s="789">
        <f t="shared" ca="1" si="424"/>
        <v>0</v>
      </c>
      <c r="W179" s="789">
        <f t="shared" ca="1" si="424"/>
        <v>0</v>
      </c>
      <c r="X179" s="789">
        <f t="shared" ca="1" si="425"/>
        <v>0</v>
      </c>
      <c r="Y179" s="789">
        <f t="shared" ca="1" si="426"/>
        <v>0</v>
      </c>
      <c r="Z179" s="789">
        <f t="shared" ca="1" si="427"/>
        <v>0</v>
      </c>
      <c r="AA179" s="789">
        <f t="shared" ca="1" si="428"/>
        <v>0</v>
      </c>
      <c r="AB179" s="789" t="str">
        <f t="shared" ca="1" si="429"/>
        <v/>
      </c>
      <c r="AC179" s="789" t="str">
        <f t="shared" ca="1" si="430"/>
        <v/>
      </c>
      <c r="AD179" s="789" t="str">
        <f t="shared" ca="1" si="431"/>
        <v/>
      </c>
      <c r="AE179" s="789" t="str">
        <f t="shared" ca="1" si="432"/>
        <v/>
      </c>
      <c r="AF179" s="789" t="str">
        <f t="shared" ca="1" si="433"/>
        <v/>
      </c>
      <c r="AG179" s="789" t="str">
        <f t="shared" ca="1" si="434"/>
        <v/>
      </c>
      <c r="AH179" s="789" t="str">
        <f t="shared" ca="1" si="435"/>
        <v/>
      </c>
      <c r="AI179" s="789" t="str">
        <f t="shared" ca="1" si="436"/>
        <v/>
      </c>
      <c r="AJ179" s="789" t="str">
        <f t="shared" ca="1" si="437"/>
        <v/>
      </c>
      <c r="AK179" s="789" t="str">
        <f t="shared" ca="1" si="438"/>
        <v/>
      </c>
      <c r="AL179" s="789" t="str">
        <f t="shared" ca="1" si="439"/>
        <v/>
      </c>
      <c r="AM179" s="789" t="str">
        <f t="shared" ca="1" si="440"/>
        <v/>
      </c>
      <c r="AN179" s="789" t="str">
        <f t="shared" ca="1" si="441"/>
        <v/>
      </c>
      <c r="AO179" s="789" t="str">
        <f t="shared" ca="1" si="442"/>
        <v/>
      </c>
      <c r="AP179" s="789" t="str">
        <f t="shared" ca="1" si="443"/>
        <v/>
      </c>
      <c r="AQ179" s="789" t="str">
        <f t="shared" ca="1" si="444"/>
        <v/>
      </c>
      <c r="AR179" s="789" t="str">
        <f t="shared" ca="1" si="445"/>
        <v/>
      </c>
      <c r="AS179" s="789" t="str">
        <f t="shared" ca="1" si="446"/>
        <v/>
      </c>
      <c r="AT179" s="789" t="str">
        <f t="shared" ca="1" si="447"/>
        <v/>
      </c>
      <c r="AU179" s="789" t="str">
        <f t="shared" ca="1" si="448"/>
        <v/>
      </c>
      <c r="AV179" s="789" t="str">
        <f t="shared" ca="1" si="449"/>
        <v/>
      </c>
      <c r="AW179" s="789" t="str">
        <f t="shared" ca="1" si="450"/>
        <v/>
      </c>
      <c r="AX179" s="789" t="str">
        <f t="shared" ca="1" si="451"/>
        <v/>
      </c>
      <c r="AY179" s="789" t="str">
        <f t="shared" ca="1" si="452"/>
        <v/>
      </c>
      <c r="AZ179" s="789" t="str">
        <f t="shared" ca="1" si="453"/>
        <v/>
      </c>
      <c r="BA179" s="789" t="str">
        <f t="shared" ca="1" si="454"/>
        <v/>
      </c>
      <c r="BB179" s="789" t="str">
        <f t="shared" ca="1" si="455"/>
        <v/>
      </c>
      <c r="BC179" s="789" t="str">
        <f t="shared" ca="1" si="456"/>
        <v/>
      </c>
      <c r="BD179" s="789" t="str">
        <f t="shared" ca="1" si="457"/>
        <v/>
      </c>
      <c r="BE179" s="789" t="str">
        <f t="shared" ca="1" si="458"/>
        <v/>
      </c>
      <c r="BF179" s="789" t="str">
        <f t="shared" ca="1" si="459"/>
        <v/>
      </c>
      <c r="BG179" s="789" t="str">
        <f t="shared" ca="1" si="460"/>
        <v/>
      </c>
      <c r="BH179" s="789" t="str">
        <f t="shared" ca="1" si="461"/>
        <v/>
      </c>
      <c r="BI179" s="789" t="str">
        <f t="shared" ca="1" si="462"/>
        <v/>
      </c>
      <c r="BJ179" s="789" t="str">
        <f t="shared" ca="1" si="463"/>
        <v/>
      </c>
      <c r="BK179" s="789" t="str">
        <f t="shared" ca="1" si="464"/>
        <v/>
      </c>
      <c r="BL179" s="789" t="str">
        <f t="shared" ca="1" si="465"/>
        <v/>
      </c>
      <c r="BM179" s="789" t="str">
        <f t="shared" ca="1" si="466"/>
        <v/>
      </c>
      <c r="BN179" s="789" t="str">
        <f t="shared" ca="1" si="467"/>
        <v/>
      </c>
      <c r="BO179" s="789" t="str">
        <f t="shared" ca="1" si="468"/>
        <v/>
      </c>
    </row>
    <row r="180" spans="1:67" ht="20.100000000000001" customHeight="1">
      <c r="A180" s="784">
        <v>17</v>
      </c>
      <c r="B180" s="1594"/>
      <c r="C180" s="1596"/>
      <c r="D180" s="785" t="s">
        <v>358</v>
      </c>
      <c r="E180" s="785"/>
      <c r="F180" s="786"/>
      <c r="G180" s="787" t="s">
        <v>455</v>
      </c>
      <c r="H180" s="788">
        <f t="shared" ca="1" si="422"/>
        <v>40</v>
      </c>
      <c r="I180" s="788">
        <f t="shared" ca="1" si="422"/>
        <v>40</v>
      </c>
      <c r="J180" s="788">
        <f t="shared" ca="1" si="422"/>
        <v>40</v>
      </c>
      <c r="K180" s="788">
        <f t="shared" ca="1" si="422"/>
        <v>40</v>
      </c>
      <c r="L180" s="789">
        <f t="shared" ca="1" si="423"/>
        <v>0</v>
      </c>
      <c r="M180" s="789">
        <f t="shared" ca="1" si="423"/>
        <v>0</v>
      </c>
      <c r="N180" s="789">
        <f t="shared" ca="1" si="423"/>
        <v>0</v>
      </c>
      <c r="O180" s="789">
        <f t="shared" ca="1" si="423"/>
        <v>0</v>
      </c>
      <c r="P180" s="789">
        <f ca="1">SUM(SUMIFS(OFFSET(貼付け_2024実績,$A180,10,1,199),OFFSET(貼付け_2024実績,4,9,1,199),{"横浜*","川崎*"}))</f>
        <v>0</v>
      </c>
      <c r="Q180" s="789">
        <f ca="1">SUM(SUMIFS(OFFSET(貼付け_2025実績,$A180,10,1,199),OFFSET(貼付け_2025実績,4,9,1,199),{"横浜*","川崎*"}))</f>
        <v>0</v>
      </c>
      <c r="R180" s="789">
        <f ca="1">SUM(SUMIFS(OFFSET(貼付け_2026実績,$A180,10,1,199),OFFSET(貼付け_2026実績,4,9,1,199),{"横浜*","川崎*"}))</f>
        <v>0</v>
      </c>
      <c r="S180" s="789">
        <f ca="1">SUM(SUMIFS(OFFSET(貼付け_2027実績,$A180,10,1,199),OFFSET(貼付け_2027実績,4,9,1,199),{"横浜*","川崎*"}))</f>
        <v>0</v>
      </c>
      <c r="T180" s="789">
        <f t="shared" ca="1" si="424"/>
        <v>0</v>
      </c>
      <c r="U180" s="789">
        <f t="shared" ca="1" si="424"/>
        <v>0</v>
      </c>
      <c r="V180" s="789">
        <f t="shared" ca="1" si="424"/>
        <v>0</v>
      </c>
      <c r="W180" s="789">
        <f t="shared" ca="1" si="424"/>
        <v>0</v>
      </c>
      <c r="X180" s="789">
        <f t="shared" ca="1" si="425"/>
        <v>0</v>
      </c>
      <c r="Y180" s="789">
        <f t="shared" ca="1" si="426"/>
        <v>0</v>
      </c>
      <c r="Z180" s="789">
        <f t="shared" ca="1" si="427"/>
        <v>0</v>
      </c>
      <c r="AA180" s="789">
        <f t="shared" ca="1" si="428"/>
        <v>0</v>
      </c>
      <c r="AB180" s="789" t="str">
        <f t="shared" ca="1" si="429"/>
        <v/>
      </c>
      <c r="AC180" s="789" t="str">
        <f t="shared" ca="1" si="430"/>
        <v/>
      </c>
      <c r="AD180" s="789" t="str">
        <f t="shared" ca="1" si="431"/>
        <v/>
      </c>
      <c r="AE180" s="789" t="str">
        <f t="shared" ca="1" si="432"/>
        <v/>
      </c>
      <c r="AF180" s="789" t="str">
        <f t="shared" ca="1" si="433"/>
        <v/>
      </c>
      <c r="AG180" s="789" t="str">
        <f t="shared" ca="1" si="434"/>
        <v/>
      </c>
      <c r="AH180" s="789" t="str">
        <f t="shared" ca="1" si="435"/>
        <v/>
      </c>
      <c r="AI180" s="789" t="str">
        <f t="shared" ca="1" si="436"/>
        <v/>
      </c>
      <c r="AJ180" s="789" t="str">
        <f t="shared" ca="1" si="437"/>
        <v/>
      </c>
      <c r="AK180" s="789" t="str">
        <f t="shared" ca="1" si="438"/>
        <v/>
      </c>
      <c r="AL180" s="789" t="str">
        <f t="shared" ca="1" si="439"/>
        <v/>
      </c>
      <c r="AM180" s="789" t="str">
        <f t="shared" ca="1" si="440"/>
        <v/>
      </c>
      <c r="AN180" s="789" t="str">
        <f t="shared" ca="1" si="441"/>
        <v/>
      </c>
      <c r="AO180" s="789" t="str">
        <f t="shared" ca="1" si="442"/>
        <v/>
      </c>
      <c r="AP180" s="789" t="str">
        <f t="shared" ca="1" si="443"/>
        <v/>
      </c>
      <c r="AQ180" s="789" t="str">
        <f t="shared" ca="1" si="444"/>
        <v/>
      </c>
      <c r="AR180" s="789" t="str">
        <f t="shared" ca="1" si="445"/>
        <v/>
      </c>
      <c r="AS180" s="789" t="str">
        <f t="shared" ca="1" si="446"/>
        <v/>
      </c>
      <c r="AT180" s="789" t="str">
        <f t="shared" ca="1" si="447"/>
        <v/>
      </c>
      <c r="AU180" s="789" t="str">
        <f t="shared" ca="1" si="448"/>
        <v/>
      </c>
      <c r="AV180" s="789" t="str">
        <f t="shared" ca="1" si="449"/>
        <v/>
      </c>
      <c r="AW180" s="789" t="str">
        <f t="shared" ca="1" si="450"/>
        <v/>
      </c>
      <c r="AX180" s="789" t="str">
        <f t="shared" ca="1" si="451"/>
        <v/>
      </c>
      <c r="AY180" s="789" t="str">
        <f t="shared" ca="1" si="452"/>
        <v/>
      </c>
      <c r="AZ180" s="789" t="str">
        <f t="shared" ca="1" si="453"/>
        <v/>
      </c>
      <c r="BA180" s="789" t="str">
        <f t="shared" ca="1" si="454"/>
        <v/>
      </c>
      <c r="BB180" s="789" t="str">
        <f t="shared" ca="1" si="455"/>
        <v/>
      </c>
      <c r="BC180" s="789" t="str">
        <f t="shared" ca="1" si="456"/>
        <v/>
      </c>
      <c r="BD180" s="789" t="str">
        <f t="shared" ca="1" si="457"/>
        <v/>
      </c>
      <c r="BE180" s="789" t="str">
        <f t="shared" ca="1" si="458"/>
        <v/>
      </c>
      <c r="BF180" s="789" t="str">
        <f t="shared" ca="1" si="459"/>
        <v/>
      </c>
      <c r="BG180" s="789" t="str">
        <f t="shared" ca="1" si="460"/>
        <v/>
      </c>
      <c r="BH180" s="789" t="str">
        <f t="shared" ca="1" si="461"/>
        <v/>
      </c>
      <c r="BI180" s="789" t="str">
        <f t="shared" ca="1" si="462"/>
        <v/>
      </c>
      <c r="BJ180" s="789" t="str">
        <f t="shared" ca="1" si="463"/>
        <v/>
      </c>
      <c r="BK180" s="789" t="str">
        <f t="shared" ca="1" si="464"/>
        <v/>
      </c>
      <c r="BL180" s="789" t="str">
        <f t="shared" ca="1" si="465"/>
        <v/>
      </c>
      <c r="BM180" s="789" t="str">
        <f t="shared" ca="1" si="466"/>
        <v/>
      </c>
      <c r="BN180" s="789" t="str">
        <f t="shared" ca="1" si="467"/>
        <v/>
      </c>
      <c r="BO180" s="789" t="str">
        <f t="shared" ca="1" si="468"/>
        <v/>
      </c>
    </row>
    <row r="181" spans="1:67" ht="20.100000000000001" customHeight="1">
      <c r="A181" s="784">
        <v>18</v>
      </c>
      <c r="B181" s="1594"/>
      <c r="C181" s="1596"/>
      <c r="D181" s="785" t="s">
        <v>359</v>
      </c>
      <c r="E181" s="785"/>
      <c r="F181" s="786"/>
      <c r="G181" s="787" t="s">
        <v>455</v>
      </c>
      <c r="H181" s="788">
        <f t="shared" ca="1" si="422"/>
        <v>34.1</v>
      </c>
      <c r="I181" s="788">
        <f t="shared" ca="1" si="422"/>
        <v>34.1</v>
      </c>
      <c r="J181" s="788">
        <f t="shared" ca="1" si="422"/>
        <v>34.1</v>
      </c>
      <c r="K181" s="788">
        <f t="shared" ca="1" si="422"/>
        <v>34.1</v>
      </c>
      <c r="L181" s="789">
        <f t="shared" ca="1" si="423"/>
        <v>0</v>
      </c>
      <c r="M181" s="789">
        <f t="shared" ca="1" si="423"/>
        <v>0</v>
      </c>
      <c r="N181" s="789">
        <f t="shared" ca="1" si="423"/>
        <v>0</v>
      </c>
      <c r="O181" s="789">
        <f t="shared" ca="1" si="423"/>
        <v>0</v>
      </c>
      <c r="P181" s="789">
        <f ca="1">SUM(SUMIFS(OFFSET(貼付け_2024実績,$A181,10,1,199),OFFSET(貼付け_2024実績,4,9,1,199),{"横浜*","川崎*"}))</f>
        <v>0</v>
      </c>
      <c r="Q181" s="789">
        <f ca="1">SUM(SUMIFS(OFFSET(貼付け_2025実績,$A181,10,1,199),OFFSET(貼付け_2025実績,4,9,1,199),{"横浜*","川崎*"}))</f>
        <v>0</v>
      </c>
      <c r="R181" s="789">
        <f ca="1">SUM(SUMIFS(OFFSET(貼付け_2026実績,$A181,10,1,199),OFFSET(貼付け_2026実績,4,9,1,199),{"横浜*","川崎*"}))</f>
        <v>0</v>
      </c>
      <c r="S181" s="789">
        <f ca="1">SUM(SUMIFS(OFFSET(貼付け_2027実績,$A181,10,1,199),OFFSET(貼付け_2027実績,4,9,1,199),{"横浜*","川崎*"}))</f>
        <v>0</v>
      </c>
      <c r="T181" s="789">
        <f t="shared" ca="1" si="424"/>
        <v>0</v>
      </c>
      <c r="U181" s="789">
        <f t="shared" ca="1" si="424"/>
        <v>0</v>
      </c>
      <c r="V181" s="789">
        <f t="shared" ca="1" si="424"/>
        <v>0</v>
      </c>
      <c r="W181" s="789">
        <f t="shared" ca="1" si="424"/>
        <v>0</v>
      </c>
      <c r="X181" s="789">
        <f t="shared" ca="1" si="425"/>
        <v>0</v>
      </c>
      <c r="Y181" s="789">
        <f t="shared" ca="1" si="426"/>
        <v>0</v>
      </c>
      <c r="Z181" s="789">
        <f t="shared" ca="1" si="427"/>
        <v>0</v>
      </c>
      <c r="AA181" s="789">
        <f t="shared" ca="1" si="428"/>
        <v>0</v>
      </c>
      <c r="AB181" s="789" t="str">
        <f t="shared" ca="1" si="429"/>
        <v/>
      </c>
      <c r="AC181" s="789" t="str">
        <f t="shared" ca="1" si="430"/>
        <v/>
      </c>
      <c r="AD181" s="789" t="str">
        <f t="shared" ca="1" si="431"/>
        <v/>
      </c>
      <c r="AE181" s="789" t="str">
        <f t="shared" ca="1" si="432"/>
        <v/>
      </c>
      <c r="AF181" s="789" t="str">
        <f t="shared" ca="1" si="433"/>
        <v/>
      </c>
      <c r="AG181" s="789" t="str">
        <f t="shared" ca="1" si="434"/>
        <v/>
      </c>
      <c r="AH181" s="789" t="str">
        <f t="shared" ca="1" si="435"/>
        <v/>
      </c>
      <c r="AI181" s="789" t="str">
        <f t="shared" ca="1" si="436"/>
        <v/>
      </c>
      <c r="AJ181" s="789" t="str">
        <f t="shared" ca="1" si="437"/>
        <v/>
      </c>
      <c r="AK181" s="789" t="str">
        <f t="shared" ca="1" si="438"/>
        <v/>
      </c>
      <c r="AL181" s="789" t="str">
        <f t="shared" ca="1" si="439"/>
        <v/>
      </c>
      <c r="AM181" s="789" t="str">
        <f t="shared" ca="1" si="440"/>
        <v/>
      </c>
      <c r="AN181" s="789" t="str">
        <f t="shared" ca="1" si="441"/>
        <v/>
      </c>
      <c r="AO181" s="789" t="str">
        <f t="shared" ca="1" si="442"/>
        <v/>
      </c>
      <c r="AP181" s="789" t="str">
        <f t="shared" ca="1" si="443"/>
        <v/>
      </c>
      <c r="AQ181" s="789" t="str">
        <f t="shared" ca="1" si="444"/>
        <v/>
      </c>
      <c r="AR181" s="789" t="str">
        <f t="shared" ca="1" si="445"/>
        <v/>
      </c>
      <c r="AS181" s="789" t="str">
        <f t="shared" ca="1" si="446"/>
        <v/>
      </c>
      <c r="AT181" s="789" t="str">
        <f t="shared" ca="1" si="447"/>
        <v/>
      </c>
      <c r="AU181" s="789" t="str">
        <f t="shared" ca="1" si="448"/>
        <v/>
      </c>
      <c r="AV181" s="789" t="str">
        <f t="shared" ca="1" si="449"/>
        <v/>
      </c>
      <c r="AW181" s="789" t="str">
        <f t="shared" ca="1" si="450"/>
        <v/>
      </c>
      <c r="AX181" s="789" t="str">
        <f t="shared" ca="1" si="451"/>
        <v/>
      </c>
      <c r="AY181" s="789" t="str">
        <f t="shared" ca="1" si="452"/>
        <v/>
      </c>
      <c r="AZ181" s="789" t="str">
        <f t="shared" ca="1" si="453"/>
        <v/>
      </c>
      <c r="BA181" s="789" t="str">
        <f t="shared" ca="1" si="454"/>
        <v/>
      </c>
      <c r="BB181" s="789" t="str">
        <f t="shared" ca="1" si="455"/>
        <v/>
      </c>
      <c r="BC181" s="789" t="str">
        <f t="shared" ca="1" si="456"/>
        <v/>
      </c>
      <c r="BD181" s="789" t="str">
        <f t="shared" ca="1" si="457"/>
        <v/>
      </c>
      <c r="BE181" s="789" t="str">
        <f t="shared" ca="1" si="458"/>
        <v/>
      </c>
      <c r="BF181" s="789" t="str">
        <f t="shared" ca="1" si="459"/>
        <v/>
      </c>
      <c r="BG181" s="789" t="str">
        <f t="shared" ca="1" si="460"/>
        <v/>
      </c>
      <c r="BH181" s="789" t="str">
        <f t="shared" ca="1" si="461"/>
        <v/>
      </c>
      <c r="BI181" s="789" t="str">
        <f t="shared" ca="1" si="462"/>
        <v/>
      </c>
      <c r="BJ181" s="789" t="str">
        <f t="shared" ca="1" si="463"/>
        <v/>
      </c>
      <c r="BK181" s="789" t="str">
        <f t="shared" ca="1" si="464"/>
        <v/>
      </c>
      <c r="BL181" s="789" t="str">
        <f t="shared" ca="1" si="465"/>
        <v/>
      </c>
      <c r="BM181" s="789" t="str">
        <f t="shared" ca="1" si="466"/>
        <v/>
      </c>
      <c r="BN181" s="789" t="str">
        <f t="shared" ca="1" si="467"/>
        <v/>
      </c>
      <c r="BO181" s="789" t="str">
        <f t="shared" ca="1" si="468"/>
        <v/>
      </c>
    </row>
    <row r="182" spans="1:67" ht="20.100000000000001" customHeight="1">
      <c r="A182" s="784">
        <v>19</v>
      </c>
      <c r="B182" s="1595"/>
      <c r="C182" s="1596"/>
      <c r="D182" s="785" t="s">
        <v>360</v>
      </c>
      <c r="E182" s="785"/>
      <c r="F182" s="786"/>
      <c r="G182" s="787" t="s">
        <v>455</v>
      </c>
      <c r="H182" s="788">
        <f t="shared" ca="1" si="422"/>
        <v>50.1</v>
      </c>
      <c r="I182" s="788">
        <f t="shared" ca="1" si="422"/>
        <v>50.1</v>
      </c>
      <c r="J182" s="788">
        <f t="shared" ca="1" si="422"/>
        <v>50.1</v>
      </c>
      <c r="K182" s="788">
        <f t="shared" ca="1" si="422"/>
        <v>50.1</v>
      </c>
      <c r="L182" s="789">
        <f t="shared" ca="1" si="423"/>
        <v>0</v>
      </c>
      <c r="M182" s="789">
        <f t="shared" ca="1" si="423"/>
        <v>0</v>
      </c>
      <c r="N182" s="789">
        <f t="shared" ca="1" si="423"/>
        <v>0</v>
      </c>
      <c r="O182" s="789">
        <f t="shared" ca="1" si="423"/>
        <v>0</v>
      </c>
      <c r="P182" s="789">
        <f ca="1">SUM(SUMIFS(OFFSET(貼付け_2024実績,$A182,10,1,199),OFFSET(貼付け_2024実績,4,9,1,199),{"横浜*","川崎*"}))</f>
        <v>0</v>
      </c>
      <c r="Q182" s="789">
        <f ca="1">SUM(SUMIFS(OFFSET(貼付け_2025実績,$A182,10,1,199),OFFSET(貼付け_2025実績,4,9,1,199),{"横浜*","川崎*"}))</f>
        <v>0</v>
      </c>
      <c r="R182" s="789">
        <f ca="1">SUM(SUMIFS(OFFSET(貼付け_2026実績,$A182,10,1,199),OFFSET(貼付け_2026実績,4,9,1,199),{"横浜*","川崎*"}))</f>
        <v>0</v>
      </c>
      <c r="S182" s="789">
        <f ca="1">SUM(SUMIFS(OFFSET(貼付け_2027実績,$A182,10,1,199),OFFSET(貼付け_2027実績,4,9,1,199),{"横浜*","川崎*"}))</f>
        <v>0</v>
      </c>
      <c r="T182" s="789">
        <f t="shared" ca="1" si="424"/>
        <v>0</v>
      </c>
      <c r="U182" s="789">
        <f t="shared" ca="1" si="424"/>
        <v>0</v>
      </c>
      <c r="V182" s="789">
        <f t="shared" ca="1" si="424"/>
        <v>0</v>
      </c>
      <c r="W182" s="789">
        <f t="shared" ca="1" si="424"/>
        <v>0</v>
      </c>
      <c r="X182" s="789">
        <f t="shared" ca="1" si="425"/>
        <v>0</v>
      </c>
      <c r="Y182" s="789">
        <f t="shared" ca="1" si="426"/>
        <v>0</v>
      </c>
      <c r="Z182" s="789">
        <f t="shared" ca="1" si="427"/>
        <v>0</v>
      </c>
      <c r="AA182" s="789">
        <f t="shared" ca="1" si="428"/>
        <v>0</v>
      </c>
      <c r="AB182" s="789" t="str">
        <f t="shared" ca="1" si="429"/>
        <v/>
      </c>
      <c r="AC182" s="789" t="str">
        <f t="shared" ca="1" si="430"/>
        <v/>
      </c>
      <c r="AD182" s="789" t="str">
        <f t="shared" ca="1" si="431"/>
        <v/>
      </c>
      <c r="AE182" s="789" t="str">
        <f t="shared" ca="1" si="432"/>
        <v/>
      </c>
      <c r="AF182" s="789" t="str">
        <f t="shared" ca="1" si="433"/>
        <v/>
      </c>
      <c r="AG182" s="789" t="str">
        <f t="shared" ca="1" si="434"/>
        <v/>
      </c>
      <c r="AH182" s="789" t="str">
        <f t="shared" ca="1" si="435"/>
        <v/>
      </c>
      <c r="AI182" s="789" t="str">
        <f t="shared" ca="1" si="436"/>
        <v/>
      </c>
      <c r="AJ182" s="789" t="str">
        <f t="shared" ca="1" si="437"/>
        <v/>
      </c>
      <c r="AK182" s="789" t="str">
        <f t="shared" ca="1" si="438"/>
        <v/>
      </c>
      <c r="AL182" s="789" t="str">
        <f t="shared" ca="1" si="439"/>
        <v/>
      </c>
      <c r="AM182" s="789" t="str">
        <f t="shared" ca="1" si="440"/>
        <v/>
      </c>
      <c r="AN182" s="789" t="str">
        <f t="shared" ca="1" si="441"/>
        <v/>
      </c>
      <c r="AO182" s="789" t="str">
        <f t="shared" ca="1" si="442"/>
        <v/>
      </c>
      <c r="AP182" s="789" t="str">
        <f t="shared" ca="1" si="443"/>
        <v/>
      </c>
      <c r="AQ182" s="789" t="str">
        <f t="shared" ca="1" si="444"/>
        <v/>
      </c>
      <c r="AR182" s="789" t="str">
        <f t="shared" ca="1" si="445"/>
        <v/>
      </c>
      <c r="AS182" s="789" t="str">
        <f t="shared" ca="1" si="446"/>
        <v/>
      </c>
      <c r="AT182" s="789" t="str">
        <f t="shared" ca="1" si="447"/>
        <v/>
      </c>
      <c r="AU182" s="789" t="str">
        <f t="shared" ca="1" si="448"/>
        <v/>
      </c>
      <c r="AV182" s="789" t="str">
        <f t="shared" ca="1" si="449"/>
        <v/>
      </c>
      <c r="AW182" s="789" t="str">
        <f t="shared" ca="1" si="450"/>
        <v/>
      </c>
      <c r="AX182" s="789" t="str">
        <f t="shared" ca="1" si="451"/>
        <v/>
      </c>
      <c r="AY182" s="789" t="str">
        <f t="shared" ca="1" si="452"/>
        <v/>
      </c>
      <c r="AZ182" s="789" t="str">
        <f t="shared" ca="1" si="453"/>
        <v/>
      </c>
      <c r="BA182" s="789" t="str">
        <f t="shared" ca="1" si="454"/>
        <v/>
      </c>
      <c r="BB182" s="789" t="str">
        <f t="shared" ca="1" si="455"/>
        <v/>
      </c>
      <c r="BC182" s="789" t="str">
        <f t="shared" ca="1" si="456"/>
        <v/>
      </c>
      <c r="BD182" s="789" t="str">
        <f t="shared" ca="1" si="457"/>
        <v/>
      </c>
      <c r="BE182" s="789" t="str">
        <f t="shared" ca="1" si="458"/>
        <v/>
      </c>
      <c r="BF182" s="789" t="str">
        <f t="shared" ca="1" si="459"/>
        <v/>
      </c>
      <c r="BG182" s="789" t="str">
        <f t="shared" ca="1" si="460"/>
        <v/>
      </c>
      <c r="BH182" s="789" t="str">
        <f t="shared" ca="1" si="461"/>
        <v/>
      </c>
      <c r="BI182" s="789" t="str">
        <f t="shared" ca="1" si="462"/>
        <v/>
      </c>
      <c r="BJ182" s="789" t="str">
        <f t="shared" ca="1" si="463"/>
        <v/>
      </c>
      <c r="BK182" s="789" t="str">
        <f t="shared" ca="1" si="464"/>
        <v/>
      </c>
      <c r="BL182" s="789" t="str">
        <f t="shared" ca="1" si="465"/>
        <v/>
      </c>
      <c r="BM182" s="789" t="str">
        <f t="shared" ca="1" si="466"/>
        <v/>
      </c>
      <c r="BN182" s="789" t="str">
        <f t="shared" ca="1" si="467"/>
        <v/>
      </c>
      <c r="BO182" s="789" t="str">
        <f t="shared" ca="1" si="468"/>
        <v/>
      </c>
    </row>
    <row r="183" spans="1:67" ht="20.100000000000001" customHeight="1">
      <c r="A183" s="784">
        <v>20</v>
      </c>
      <c r="B183" s="1594"/>
      <c r="C183" s="1596"/>
      <c r="D183" s="785" t="s">
        <v>361</v>
      </c>
      <c r="E183" s="785"/>
      <c r="F183" s="786"/>
      <c r="G183" s="787" t="s">
        <v>457</v>
      </c>
      <c r="H183" s="788">
        <f t="shared" ca="1" si="422"/>
        <v>46.1</v>
      </c>
      <c r="I183" s="788">
        <f t="shared" ca="1" si="422"/>
        <v>46.1</v>
      </c>
      <c r="J183" s="788">
        <f t="shared" ca="1" si="422"/>
        <v>46.1</v>
      </c>
      <c r="K183" s="788">
        <f t="shared" ca="1" si="422"/>
        <v>46.1</v>
      </c>
      <c r="L183" s="789">
        <f t="shared" ca="1" si="423"/>
        <v>0</v>
      </c>
      <c r="M183" s="789">
        <f t="shared" ca="1" si="423"/>
        <v>0</v>
      </c>
      <c r="N183" s="789">
        <f t="shared" ca="1" si="423"/>
        <v>0</v>
      </c>
      <c r="O183" s="789">
        <f t="shared" ca="1" si="423"/>
        <v>0</v>
      </c>
      <c r="P183" s="789">
        <f ca="1">SUM(SUMIFS(OFFSET(貼付け_2024実績,$A183,10,1,199),OFFSET(貼付け_2024実績,4,9,1,199),{"横浜*","川崎*"}))</f>
        <v>0</v>
      </c>
      <c r="Q183" s="789">
        <f ca="1">SUM(SUMIFS(OFFSET(貼付け_2025実績,$A183,10,1,199),OFFSET(貼付け_2025実績,4,9,1,199),{"横浜*","川崎*"}))</f>
        <v>0</v>
      </c>
      <c r="R183" s="789">
        <f ca="1">SUM(SUMIFS(OFFSET(貼付け_2026実績,$A183,10,1,199),OFFSET(貼付け_2026実績,4,9,1,199),{"横浜*","川崎*"}))</f>
        <v>0</v>
      </c>
      <c r="S183" s="789">
        <f ca="1">SUM(SUMIFS(OFFSET(貼付け_2027実績,$A183,10,1,199),OFFSET(貼付け_2027実績,4,9,1,199),{"横浜*","川崎*"}))</f>
        <v>0</v>
      </c>
      <c r="T183" s="789">
        <f t="shared" ca="1" si="424"/>
        <v>0</v>
      </c>
      <c r="U183" s="789">
        <f t="shared" ca="1" si="424"/>
        <v>0</v>
      </c>
      <c r="V183" s="789">
        <f t="shared" ca="1" si="424"/>
        <v>0</v>
      </c>
      <c r="W183" s="789">
        <f t="shared" ca="1" si="424"/>
        <v>0</v>
      </c>
      <c r="X183" s="789">
        <f t="shared" ca="1" si="425"/>
        <v>0</v>
      </c>
      <c r="Y183" s="789">
        <f t="shared" ca="1" si="426"/>
        <v>0</v>
      </c>
      <c r="Z183" s="789">
        <f t="shared" ca="1" si="427"/>
        <v>0</v>
      </c>
      <c r="AA183" s="789">
        <f t="shared" ca="1" si="428"/>
        <v>0</v>
      </c>
      <c r="AB183" s="789" t="str">
        <f t="shared" ca="1" si="429"/>
        <v/>
      </c>
      <c r="AC183" s="789" t="str">
        <f t="shared" ca="1" si="430"/>
        <v/>
      </c>
      <c r="AD183" s="789" t="str">
        <f t="shared" ca="1" si="431"/>
        <v/>
      </c>
      <c r="AE183" s="789" t="str">
        <f t="shared" ca="1" si="432"/>
        <v/>
      </c>
      <c r="AF183" s="789" t="str">
        <f t="shared" ca="1" si="433"/>
        <v/>
      </c>
      <c r="AG183" s="789" t="str">
        <f t="shared" ca="1" si="434"/>
        <v/>
      </c>
      <c r="AH183" s="789" t="str">
        <f t="shared" ca="1" si="435"/>
        <v/>
      </c>
      <c r="AI183" s="789" t="str">
        <f t="shared" ca="1" si="436"/>
        <v/>
      </c>
      <c r="AJ183" s="789" t="str">
        <f t="shared" ca="1" si="437"/>
        <v/>
      </c>
      <c r="AK183" s="789" t="str">
        <f t="shared" ca="1" si="438"/>
        <v/>
      </c>
      <c r="AL183" s="789" t="str">
        <f t="shared" ca="1" si="439"/>
        <v/>
      </c>
      <c r="AM183" s="789" t="str">
        <f t="shared" ca="1" si="440"/>
        <v/>
      </c>
      <c r="AN183" s="789" t="str">
        <f t="shared" ca="1" si="441"/>
        <v/>
      </c>
      <c r="AO183" s="789" t="str">
        <f t="shared" ca="1" si="442"/>
        <v/>
      </c>
      <c r="AP183" s="789" t="str">
        <f t="shared" ca="1" si="443"/>
        <v/>
      </c>
      <c r="AQ183" s="789" t="str">
        <f t="shared" ca="1" si="444"/>
        <v/>
      </c>
      <c r="AR183" s="789" t="str">
        <f t="shared" ca="1" si="445"/>
        <v/>
      </c>
      <c r="AS183" s="789" t="str">
        <f t="shared" ca="1" si="446"/>
        <v/>
      </c>
      <c r="AT183" s="789" t="str">
        <f t="shared" ca="1" si="447"/>
        <v/>
      </c>
      <c r="AU183" s="789" t="str">
        <f t="shared" ca="1" si="448"/>
        <v/>
      </c>
      <c r="AV183" s="789" t="str">
        <f t="shared" ca="1" si="449"/>
        <v/>
      </c>
      <c r="AW183" s="789" t="str">
        <f t="shared" ca="1" si="450"/>
        <v/>
      </c>
      <c r="AX183" s="789" t="str">
        <f t="shared" ca="1" si="451"/>
        <v/>
      </c>
      <c r="AY183" s="789" t="str">
        <f t="shared" ca="1" si="452"/>
        <v/>
      </c>
      <c r="AZ183" s="789" t="str">
        <f t="shared" ca="1" si="453"/>
        <v/>
      </c>
      <c r="BA183" s="789" t="str">
        <f t="shared" ca="1" si="454"/>
        <v/>
      </c>
      <c r="BB183" s="789" t="str">
        <f t="shared" ca="1" si="455"/>
        <v/>
      </c>
      <c r="BC183" s="789" t="str">
        <f t="shared" ca="1" si="456"/>
        <v/>
      </c>
      <c r="BD183" s="789" t="str">
        <f t="shared" ca="1" si="457"/>
        <v/>
      </c>
      <c r="BE183" s="789" t="str">
        <f t="shared" ca="1" si="458"/>
        <v/>
      </c>
      <c r="BF183" s="789" t="str">
        <f t="shared" ca="1" si="459"/>
        <v/>
      </c>
      <c r="BG183" s="789" t="str">
        <f t="shared" ca="1" si="460"/>
        <v/>
      </c>
      <c r="BH183" s="789" t="str">
        <f t="shared" ca="1" si="461"/>
        <v/>
      </c>
      <c r="BI183" s="789" t="str">
        <f t="shared" ca="1" si="462"/>
        <v/>
      </c>
      <c r="BJ183" s="789" t="str">
        <f t="shared" ca="1" si="463"/>
        <v/>
      </c>
      <c r="BK183" s="789" t="str">
        <f t="shared" ca="1" si="464"/>
        <v/>
      </c>
      <c r="BL183" s="789" t="str">
        <f t="shared" ca="1" si="465"/>
        <v/>
      </c>
      <c r="BM183" s="789" t="str">
        <f t="shared" ca="1" si="466"/>
        <v/>
      </c>
      <c r="BN183" s="789" t="str">
        <f t="shared" ca="1" si="467"/>
        <v/>
      </c>
      <c r="BO183" s="789" t="str">
        <f t="shared" ca="1" si="468"/>
        <v/>
      </c>
    </row>
    <row r="184" spans="1:67" ht="20.100000000000001" customHeight="1">
      <c r="A184" s="784">
        <v>21</v>
      </c>
      <c r="B184" s="1595"/>
      <c r="C184" s="1596"/>
      <c r="D184" s="785" t="s">
        <v>362</v>
      </c>
      <c r="E184" s="779"/>
      <c r="F184" s="786"/>
      <c r="G184" s="787" t="s">
        <v>455</v>
      </c>
      <c r="H184" s="788">
        <f t="shared" ca="1" si="422"/>
        <v>54.7</v>
      </c>
      <c r="I184" s="788">
        <f t="shared" ca="1" si="422"/>
        <v>54.7</v>
      </c>
      <c r="J184" s="788">
        <f t="shared" ca="1" si="422"/>
        <v>54.7</v>
      </c>
      <c r="K184" s="788">
        <f t="shared" ca="1" si="422"/>
        <v>54.7</v>
      </c>
      <c r="L184" s="789">
        <f t="shared" ca="1" si="423"/>
        <v>0</v>
      </c>
      <c r="M184" s="789">
        <f t="shared" ca="1" si="423"/>
        <v>0</v>
      </c>
      <c r="N184" s="789">
        <f t="shared" ca="1" si="423"/>
        <v>0</v>
      </c>
      <c r="O184" s="789">
        <f t="shared" ca="1" si="423"/>
        <v>0</v>
      </c>
      <c r="P184" s="789">
        <f ca="1">SUM(SUMIFS(OFFSET(貼付け_2024実績,$A184,10,1,199),OFFSET(貼付け_2024実績,4,9,1,199),{"横浜*","川崎*"}))</f>
        <v>0</v>
      </c>
      <c r="Q184" s="789">
        <f ca="1">SUM(SUMIFS(OFFSET(貼付け_2025実績,$A184,10,1,199),OFFSET(貼付け_2025実績,4,9,1,199),{"横浜*","川崎*"}))</f>
        <v>0</v>
      </c>
      <c r="R184" s="789">
        <f ca="1">SUM(SUMIFS(OFFSET(貼付け_2026実績,$A184,10,1,199),OFFSET(貼付け_2026実績,4,9,1,199),{"横浜*","川崎*"}))</f>
        <v>0</v>
      </c>
      <c r="S184" s="789">
        <f ca="1">SUM(SUMIFS(OFFSET(貼付け_2027実績,$A184,10,1,199),OFFSET(貼付け_2027実績,4,9,1,199),{"横浜*","川崎*"}))</f>
        <v>0</v>
      </c>
      <c r="T184" s="789">
        <f t="shared" ca="1" si="424"/>
        <v>0</v>
      </c>
      <c r="U184" s="789">
        <f t="shared" ca="1" si="424"/>
        <v>0</v>
      </c>
      <c r="V184" s="789">
        <f t="shared" ca="1" si="424"/>
        <v>0</v>
      </c>
      <c r="W184" s="789">
        <f t="shared" ca="1" si="424"/>
        <v>0</v>
      </c>
      <c r="X184" s="789">
        <f t="shared" ca="1" si="425"/>
        <v>0</v>
      </c>
      <c r="Y184" s="789">
        <f t="shared" ca="1" si="426"/>
        <v>0</v>
      </c>
      <c r="Z184" s="789">
        <f t="shared" ca="1" si="427"/>
        <v>0</v>
      </c>
      <c r="AA184" s="789">
        <f t="shared" ca="1" si="428"/>
        <v>0</v>
      </c>
      <c r="AB184" s="789" t="str">
        <f t="shared" ca="1" si="429"/>
        <v/>
      </c>
      <c r="AC184" s="789" t="str">
        <f t="shared" ca="1" si="430"/>
        <v/>
      </c>
      <c r="AD184" s="789" t="str">
        <f t="shared" ca="1" si="431"/>
        <v/>
      </c>
      <c r="AE184" s="789" t="str">
        <f t="shared" ca="1" si="432"/>
        <v/>
      </c>
      <c r="AF184" s="789" t="str">
        <f t="shared" ca="1" si="433"/>
        <v/>
      </c>
      <c r="AG184" s="789" t="str">
        <f t="shared" ca="1" si="434"/>
        <v/>
      </c>
      <c r="AH184" s="789" t="str">
        <f t="shared" ca="1" si="435"/>
        <v/>
      </c>
      <c r="AI184" s="789" t="str">
        <f t="shared" ca="1" si="436"/>
        <v/>
      </c>
      <c r="AJ184" s="789" t="str">
        <f t="shared" ca="1" si="437"/>
        <v/>
      </c>
      <c r="AK184" s="789" t="str">
        <f t="shared" ca="1" si="438"/>
        <v/>
      </c>
      <c r="AL184" s="789" t="str">
        <f t="shared" ca="1" si="439"/>
        <v/>
      </c>
      <c r="AM184" s="789" t="str">
        <f t="shared" ca="1" si="440"/>
        <v/>
      </c>
      <c r="AN184" s="789" t="str">
        <f t="shared" ca="1" si="441"/>
        <v/>
      </c>
      <c r="AO184" s="789" t="str">
        <f t="shared" ca="1" si="442"/>
        <v/>
      </c>
      <c r="AP184" s="789" t="str">
        <f t="shared" ca="1" si="443"/>
        <v/>
      </c>
      <c r="AQ184" s="789" t="str">
        <f t="shared" ca="1" si="444"/>
        <v/>
      </c>
      <c r="AR184" s="789" t="str">
        <f t="shared" ca="1" si="445"/>
        <v/>
      </c>
      <c r="AS184" s="789" t="str">
        <f t="shared" ca="1" si="446"/>
        <v/>
      </c>
      <c r="AT184" s="789" t="str">
        <f t="shared" ca="1" si="447"/>
        <v/>
      </c>
      <c r="AU184" s="789" t="str">
        <f t="shared" ca="1" si="448"/>
        <v/>
      </c>
      <c r="AV184" s="789" t="str">
        <f t="shared" ca="1" si="449"/>
        <v/>
      </c>
      <c r="AW184" s="789" t="str">
        <f t="shared" ca="1" si="450"/>
        <v/>
      </c>
      <c r="AX184" s="789" t="str">
        <f t="shared" ca="1" si="451"/>
        <v/>
      </c>
      <c r="AY184" s="789" t="str">
        <f t="shared" ca="1" si="452"/>
        <v/>
      </c>
      <c r="AZ184" s="789" t="str">
        <f t="shared" ca="1" si="453"/>
        <v/>
      </c>
      <c r="BA184" s="789" t="str">
        <f t="shared" ca="1" si="454"/>
        <v/>
      </c>
      <c r="BB184" s="789" t="str">
        <f t="shared" ca="1" si="455"/>
        <v/>
      </c>
      <c r="BC184" s="789" t="str">
        <f t="shared" ca="1" si="456"/>
        <v/>
      </c>
      <c r="BD184" s="789" t="str">
        <f t="shared" ca="1" si="457"/>
        <v/>
      </c>
      <c r="BE184" s="789" t="str">
        <f t="shared" ca="1" si="458"/>
        <v/>
      </c>
      <c r="BF184" s="789" t="str">
        <f t="shared" ca="1" si="459"/>
        <v/>
      </c>
      <c r="BG184" s="789" t="str">
        <f t="shared" ca="1" si="460"/>
        <v/>
      </c>
      <c r="BH184" s="789" t="str">
        <f t="shared" ca="1" si="461"/>
        <v/>
      </c>
      <c r="BI184" s="789" t="str">
        <f t="shared" ca="1" si="462"/>
        <v/>
      </c>
      <c r="BJ184" s="789" t="str">
        <f t="shared" ca="1" si="463"/>
        <v/>
      </c>
      <c r="BK184" s="789" t="str">
        <f t="shared" ca="1" si="464"/>
        <v/>
      </c>
      <c r="BL184" s="789" t="str">
        <f t="shared" ca="1" si="465"/>
        <v/>
      </c>
      <c r="BM184" s="789" t="str">
        <f t="shared" ca="1" si="466"/>
        <v/>
      </c>
      <c r="BN184" s="789" t="str">
        <f t="shared" ca="1" si="467"/>
        <v/>
      </c>
      <c r="BO184" s="789" t="str">
        <f t="shared" ca="1" si="468"/>
        <v/>
      </c>
    </row>
    <row r="185" spans="1:67" ht="20.100000000000001" customHeight="1">
      <c r="A185" s="784">
        <v>22</v>
      </c>
      <c r="B185" s="1594"/>
      <c r="C185" s="1596"/>
      <c r="D185" s="785" t="s">
        <v>363</v>
      </c>
      <c r="E185" s="785"/>
      <c r="F185" s="786"/>
      <c r="G185" s="787" t="s">
        <v>457</v>
      </c>
      <c r="H185" s="788">
        <f t="shared" ca="1" si="422"/>
        <v>38.4</v>
      </c>
      <c r="I185" s="788">
        <f t="shared" ca="1" si="422"/>
        <v>38.4</v>
      </c>
      <c r="J185" s="788">
        <f t="shared" ca="1" si="422"/>
        <v>38.4</v>
      </c>
      <c r="K185" s="788">
        <f t="shared" ca="1" si="422"/>
        <v>38.4</v>
      </c>
      <c r="L185" s="789">
        <f t="shared" ca="1" si="423"/>
        <v>0</v>
      </c>
      <c r="M185" s="789">
        <f t="shared" ca="1" si="423"/>
        <v>0</v>
      </c>
      <c r="N185" s="789">
        <f t="shared" ca="1" si="423"/>
        <v>0</v>
      </c>
      <c r="O185" s="789">
        <f t="shared" ca="1" si="423"/>
        <v>0</v>
      </c>
      <c r="P185" s="789">
        <f ca="1">SUM(SUMIFS(OFFSET(貼付け_2024実績,$A185,10,1,199),OFFSET(貼付け_2024実績,4,9,1,199),{"横浜*","川崎*"}))</f>
        <v>0</v>
      </c>
      <c r="Q185" s="789">
        <f ca="1">SUM(SUMIFS(OFFSET(貼付け_2025実績,$A185,10,1,199),OFFSET(貼付け_2025実績,4,9,1,199),{"横浜*","川崎*"}))</f>
        <v>0</v>
      </c>
      <c r="R185" s="789">
        <f ca="1">SUM(SUMIFS(OFFSET(貼付け_2026実績,$A185,10,1,199),OFFSET(貼付け_2026実績,4,9,1,199),{"横浜*","川崎*"}))</f>
        <v>0</v>
      </c>
      <c r="S185" s="789">
        <f ca="1">SUM(SUMIFS(OFFSET(貼付け_2027実績,$A185,10,1,199),OFFSET(貼付け_2027実績,4,9,1,199),{"横浜*","川崎*"}))</f>
        <v>0</v>
      </c>
      <c r="T185" s="789">
        <f t="shared" ca="1" si="424"/>
        <v>0</v>
      </c>
      <c r="U185" s="789">
        <f t="shared" ca="1" si="424"/>
        <v>0</v>
      </c>
      <c r="V185" s="789">
        <f t="shared" ca="1" si="424"/>
        <v>0</v>
      </c>
      <c r="W185" s="789">
        <f t="shared" ca="1" si="424"/>
        <v>0</v>
      </c>
      <c r="X185" s="789">
        <f t="shared" ca="1" si="425"/>
        <v>0</v>
      </c>
      <c r="Y185" s="789">
        <f t="shared" ca="1" si="426"/>
        <v>0</v>
      </c>
      <c r="Z185" s="789">
        <f t="shared" ca="1" si="427"/>
        <v>0</v>
      </c>
      <c r="AA185" s="789">
        <f t="shared" ca="1" si="428"/>
        <v>0</v>
      </c>
      <c r="AB185" s="789" t="str">
        <f t="shared" ca="1" si="429"/>
        <v/>
      </c>
      <c r="AC185" s="789" t="str">
        <f t="shared" ca="1" si="430"/>
        <v/>
      </c>
      <c r="AD185" s="789" t="str">
        <f t="shared" ca="1" si="431"/>
        <v/>
      </c>
      <c r="AE185" s="789" t="str">
        <f t="shared" ca="1" si="432"/>
        <v/>
      </c>
      <c r="AF185" s="789" t="str">
        <f t="shared" ca="1" si="433"/>
        <v/>
      </c>
      <c r="AG185" s="789" t="str">
        <f t="shared" ca="1" si="434"/>
        <v/>
      </c>
      <c r="AH185" s="789" t="str">
        <f t="shared" ca="1" si="435"/>
        <v/>
      </c>
      <c r="AI185" s="789" t="str">
        <f t="shared" ca="1" si="436"/>
        <v/>
      </c>
      <c r="AJ185" s="789" t="str">
        <f t="shared" ca="1" si="437"/>
        <v/>
      </c>
      <c r="AK185" s="789" t="str">
        <f t="shared" ca="1" si="438"/>
        <v/>
      </c>
      <c r="AL185" s="789" t="str">
        <f t="shared" ca="1" si="439"/>
        <v/>
      </c>
      <c r="AM185" s="789" t="str">
        <f t="shared" ca="1" si="440"/>
        <v/>
      </c>
      <c r="AN185" s="789" t="str">
        <f t="shared" ca="1" si="441"/>
        <v/>
      </c>
      <c r="AO185" s="789" t="str">
        <f t="shared" ca="1" si="442"/>
        <v/>
      </c>
      <c r="AP185" s="789" t="str">
        <f t="shared" ca="1" si="443"/>
        <v/>
      </c>
      <c r="AQ185" s="789" t="str">
        <f t="shared" ca="1" si="444"/>
        <v/>
      </c>
      <c r="AR185" s="789" t="str">
        <f t="shared" ca="1" si="445"/>
        <v/>
      </c>
      <c r="AS185" s="789" t="str">
        <f t="shared" ca="1" si="446"/>
        <v/>
      </c>
      <c r="AT185" s="789" t="str">
        <f t="shared" ca="1" si="447"/>
        <v/>
      </c>
      <c r="AU185" s="789" t="str">
        <f t="shared" ca="1" si="448"/>
        <v/>
      </c>
      <c r="AV185" s="789" t="str">
        <f t="shared" ca="1" si="449"/>
        <v/>
      </c>
      <c r="AW185" s="789" t="str">
        <f t="shared" ca="1" si="450"/>
        <v/>
      </c>
      <c r="AX185" s="789" t="str">
        <f t="shared" ca="1" si="451"/>
        <v/>
      </c>
      <c r="AY185" s="789" t="str">
        <f t="shared" ca="1" si="452"/>
        <v/>
      </c>
      <c r="AZ185" s="789" t="str">
        <f t="shared" ca="1" si="453"/>
        <v/>
      </c>
      <c r="BA185" s="789" t="str">
        <f t="shared" ca="1" si="454"/>
        <v/>
      </c>
      <c r="BB185" s="789" t="str">
        <f t="shared" ca="1" si="455"/>
        <v/>
      </c>
      <c r="BC185" s="789" t="str">
        <f t="shared" ca="1" si="456"/>
        <v/>
      </c>
      <c r="BD185" s="789" t="str">
        <f t="shared" ca="1" si="457"/>
        <v/>
      </c>
      <c r="BE185" s="789" t="str">
        <f t="shared" ca="1" si="458"/>
        <v/>
      </c>
      <c r="BF185" s="789" t="str">
        <f t="shared" ca="1" si="459"/>
        <v/>
      </c>
      <c r="BG185" s="789" t="str">
        <f t="shared" ca="1" si="460"/>
        <v/>
      </c>
      <c r="BH185" s="789" t="str">
        <f t="shared" ca="1" si="461"/>
        <v/>
      </c>
      <c r="BI185" s="789" t="str">
        <f t="shared" ca="1" si="462"/>
        <v/>
      </c>
      <c r="BJ185" s="789" t="str">
        <f t="shared" ca="1" si="463"/>
        <v/>
      </c>
      <c r="BK185" s="789" t="str">
        <f t="shared" ca="1" si="464"/>
        <v/>
      </c>
      <c r="BL185" s="789" t="str">
        <f t="shared" ca="1" si="465"/>
        <v/>
      </c>
      <c r="BM185" s="789" t="str">
        <f t="shared" ca="1" si="466"/>
        <v/>
      </c>
      <c r="BN185" s="789" t="str">
        <f t="shared" ca="1" si="467"/>
        <v/>
      </c>
      <c r="BO185" s="789" t="str">
        <f t="shared" ca="1" si="468"/>
        <v/>
      </c>
    </row>
    <row r="186" spans="1:67" ht="20.100000000000001" customHeight="1">
      <c r="A186" s="784">
        <v>23</v>
      </c>
      <c r="B186" s="1594"/>
      <c r="C186" s="1596"/>
      <c r="D186" s="785" t="s">
        <v>364</v>
      </c>
      <c r="E186" s="785"/>
      <c r="F186" s="786"/>
      <c r="G186" s="787" t="s">
        <v>455</v>
      </c>
      <c r="H186" s="788">
        <f t="shared" ca="1" si="422"/>
        <v>28.7</v>
      </c>
      <c r="I186" s="788">
        <f t="shared" ca="1" si="422"/>
        <v>28.7</v>
      </c>
      <c r="J186" s="788">
        <f t="shared" ca="1" si="422"/>
        <v>28.7</v>
      </c>
      <c r="K186" s="788">
        <f t="shared" ca="1" si="422"/>
        <v>28.7</v>
      </c>
      <c r="L186" s="789">
        <f t="shared" ca="1" si="423"/>
        <v>0</v>
      </c>
      <c r="M186" s="789">
        <f t="shared" ca="1" si="423"/>
        <v>0</v>
      </c>
      <c r="N186" s="789">
        <f t="shared" ca="1" si="423"/>
        <v>0</v>
      </c>
      <c r="O186" s="789">
        <f t="shared" ca="1" si="423"/>
        <v>0</v>
      </c>
      <c r="P186" s="789">
        <f ca="1">SUM(SUMIFS(OFFSET(貼付け_2024実績,$A186,10,1,199),OFFSET(貼付け_2024実績,4,9,1,199),{"横浜*","川崎*"}))</f>
        <v>0</v>
      </c>
      <c r="Q186" s="789">
        <f ca="1">SUM(SUMIFS(OFFSET(貼付け_2025実績,$A186,10,1,199),OFFSET(貼付け_2025実績,4,9,1,199),{"横浜*","川崎*"}))</f>
        <v>0</v>
      </c>
      <c r="R186" s="789">
        <f ca="1">SUM(SUMIFS(OFFSET(貼付け_2026実績,$A186,10,1,199),OFFSET(貼付け_2026実績,4,9,1,199),{"横浜*","川崎*"}))</f>
        <v>0</v>
      </c>
      <c r="S186" s="789">
        <f ca="1">SUM(SUMIFS(OFFSET(貼付け_2027実績,$A186,10,1,199),OFFSET(貼付け_2027実績,4,9,1,199),{"横浜*","川崎*"}))</f>
        <v>0</v>
      </c>
      <c r="T186" s="789">
        <f t="shared" ca="1" si="424"/>
        <v>0</v>
      </c>
      <c r="U186" s="789">
        <f t="shared" ca="1" si="424"/>
        <v>0</v>
      </c>
      <c r="V186" s="789">
        <f t="shared" ca="1" si="424"/>
        <v>0</v>
      </c>
      <c r="W186" s="789">
        <f t="shared" ca="1" si="424"/>
        <v>0</v>
      </c>
      <c r="X186" s="789">
        <f t="shared" ca="1" si="425"/>
        <v>0</v>
      </c>
      <c r="Y186" s="789">
        <f t="shared" ca="1" si="426"/>
        <v>0</v>
      </c>
      <c r="Z186" s="789">
        <f t="shared" ca="1" si="427"/>
        <v>0</v>
      </c>
      <c r="AA186" s="789">
        <f t="shared" ca="1" si="428"/>
        <v>0</v>
      </c>
      <c r="AB186" s="789" t="str">
        <f t="shared" ca="1" si="429"/>
        <v/>
      </c>
      <c r="AC186" s="789" t="str">
        <f t="shared" ca="1" si="430"/>
        <v/>
      </c>
      <c r="AD186" s="789" t="str">
        <f t="shared" ca="1" si="431"/>
        <v/>
      </c>
      <c r="AE186" s="789" t="str">
        <f t="shared" ca="1" si="432"/>
        <v/>
      </c>
      <c r="AF186" s="789" t="str">
        <f t="shared" ca="1" si="433"/>
        <v/>
      </c>
      <c r="AG186" s="789" t="str">
        <f t="shared" ca="1" si="434"/>
        <v/>
      </c>
      <c r="AH186" s="789" t="str">
        <f t="shared" ca="1" si="435"/>
        <v/>
      </c>
      <c r="AI186" s="789" t="str">
        <f t="shared" ca="1" si="436"/>
        <v/>
      </c>
      <c r="AJ186" s="789" t="str">
        <f t="shared" ca="1" si="437"/>
        <v/>
      </c>
      <c r="AK186" s="789" t="str">
        <f t="shared" ca="1" si="438"/>
        <v/>
      </c>
      <c r="AL186" s="789" t="str">
        <f t="shared" ca="1" si="439"/>
        <v/>
      </c>
      <c r="AM186" s="789" t="str">
        <f t="shared" ca="1" si="440"/>
        <v/>
      </c>
      <c r="AN186" s="789" t="str">
        <f t="shared" ca="1" si="441"/>
        <v/>
      </c>
      <c r="AO186" s="789" t="str">
        <f t="shared" ca="1" si="442"/>
        <v/>
      </c>
      <c r="AP186" s="789" t="str">
        <f t="shared" ca="1" si="443"/>
        <v/>
      </c>
      <c r="AQ186" s="789" t="str">
        <f t="shared" ca="1" si="444"/>
        <v/>
      </c>
      <c r="AR186" s="789" t="str">
        <f t="shared" ca="1" si="445"/>
        <v/>
      </c>
      <c r="AS186" s="789" t="str">
        <f t="shared" ca="1" si="446"/>
        <v/>
      </c>
      <c r="AT186" s="789" t="str">
        <f t="shared" ca="1" si="447"/>
        <v/>
      </c>
      <c r="AU186" s="789" t="str">
        <f t="shared" ca="1" si="448"/>
        <v/>
      </c>
      <c r="AV186" s="789" t="str">
        <f t="shared" ca="1" si="449"/>
        <v/>
      </c>
      <c r="AW186" s="789" t="str">
        <f t="shared" ca="1" si="450"/>
        <v/>
      </c>
      <c r="AX186" s="789" t="str">
        <f t="shared" ca="1" si="451"/>
        <v/>
      </c>
      <c r="AY186" s="789" t="str">
        <f t="shared" ca="1" si="452"/>
        <v/>
      </c>
      <c r="AZ186" s="789" t="str">
        <f t="shared" ca="1" si="453"/>
        <v/>
      </c>
      <c r="BA186" s="789" t="str">
        <f t="shared" ca="1" si="454"/>
        <v/>
      </c>
      <c r="BB186" s="789" t="str">
        <f t="shared" ca="1" si="455"/>
        <v/>
      </c>
      <c r="BC186" s="789" t="str">
        <f t="shared" ca="1" si="456"/>
        <v/>
      </c>
      <c r="BD186" s="789" t="str">
        <f t="shared" ca="1" si="457"/>
        <v/>
      </c>
      <c r="BE186" s="789" t="str">
        <f t="shared" ca="1" si="458"/>
        <v/>
      </c>
      <c r="BF186" s="789" t="str">
        <f t="shared" ca="1" si="459"/>
        <v/>
      </c>
      <c r="BG186" s="789" t="str">
        <f t="shared" ca="1" si="460"/>
        <v/>
      </c>
      <c r="BH186" s="789" t="str">
        <f t="shared" ca="1" si="461"/>
        <v/>
      </c>
      <c r="BI186" s="789" t="str">
        <f t="shared" ca="1" si="462"/>
        <v/>
      </c>
      <c r="BJ186" s="789" t="str">
        <f t="shared" ca="1" si="463"/>
        <v/>
      </c>
      <c r="BK186" s="789" t="str">
        <f t="shared" ca="1" si="464"/>
        <v/>
      </c>
      <c r="BL186" s="789" t="str">
        <f t="shared" ca="1" si="465"/>
        <v/>
      </c>
      <c r="BM186" s="789" t="str">
        <f t="shared" ca="1" si="466"/>
        <v/>
      </c>
      <c r="BN186" s="789" t="str">
        <f t="shared" ca="1" si="467"/>
        <v/>
      </c>
      <c r="BO186" s="789" t="str">
        <f t="shared" ca="1" si="468"/>
        <v/>
      </c>
    </row>
    <row r="187" spans="1:67" ht="20.100000000000001" customHeight="1">
      <c r="A187" s="784">
        <v>24</v>
      </c>
      <c r="B187" s="1594"/>
      <c r="C187" s="1596"/>
      <c r="D187" s="785" t="s">
        <v>365</v>
      </c>
      <c r="E187" s="779"/>
      <c r="F187" s="786"/>
      <c r="G187" s="787" t="s">
        <v>455</v>
      </c>
      <c r="H187" s="788">
        <f t="shared" ref="H187:K202" ca="1" si="469">H25</f>
        <v>28.9</v>
      </c>
      <c r="I187" s="788">
        <f t="shared" ca="1" si="469"/>
        <v>28.9</v>
      </c>
      <c r="J187" s="788">
        <f t="shared" ca="1" si="469"/>
        <v>28.9</v>
      </c>
      <c r="K187" s="788">
        <f t="shared" ca="1" si="469"/>
        <v>28.9</v>
      </c>
      <c r="L187" s="789">
        <f t="shared" ref="L187:O218" ca="1" si="470">P187+T187</f>
        <v>0</v>
      </c>
      <c r="M187" s="789">
        <f t="shared" ca="1" si="470"/>
        <v>0</v>
      </c>
      <c r="N187" s="789">
        <f t="shared" ca="1" si="470"/>
        <v>0</v>
      </c>
      <c r="O187" s="789">
        <f t="shared" ca="1" si="470"/>
        <v>0</v>
      </c>
      <c r="P187" s="789">
        <f ca="1">SUM(SUMIFS(OFFSET(貼付け_2024実績,$A187,10,1,199),OFFSET(貼付け_2024実績,4,9,1,199),{"横浜*","川崎*"}))</f>
        <v>0</v>
      </c>
      <c r="Q187" s="789">
        <f ca="1">SUM(SUMIFS(OFFSET(貼付け_2025実績,$A187,10,1,199),OFFSET(貼付け_2025実績,4,9,1,199),{"横浜*","川崎*"}))</f>
        <v>0</v>
      </c>
      <c r="R187" s="789">
        <f ca="1">SUM(SUMIFS(OFFSET(貼付け_2026実績,$A187,10,1,199),OFFSET(貼付け_2026実績,4,9,1,199),{"横浜*","川崎*"}))</f>
        <v>0</v>
      </c>
      <c r="S187" s="789">
        <f ca="1">SUM(SUMIFS(OFFSET(貼付け_2027実績,$A187,10,1,199),OFFSET(貼付け_2027実績,4,9,1,199),{"横浜*","川崎*"}))</f>
        <v>0</v>
      </c>
      <c r="T187" s="789">
        <f t="shared" ref="T187:W218" ca="1" si="471">SUM(X187,AB187,AF187,AJ187,AN187,AR187,AV187,AZ187,BD187,BH187,BL187)</f>
        <v>0</v>
      </c>
      <c r="U187" s="789">
        <f t="shared" ca="1" si="471"/>
        <v>0</v>
      </c>
      <c r="V187" s="789">
        <f t="shared" ca="1" si="471"/>
        <v>0</v>
      </c>
      <c r="W187" s="789">
        <f t="shared" ca="1" si="471"/>
        <v>0</v>
      </c>
      <c r="X187" s="789">
        <f t="shared" ca="1" si="425"/>
        <v>0</v>
      </c>
      <c r="Y187" s="789">
        <f t="shared" ca="1" si="426"/>
        <v>0</v>
      </c>
      <c r="Z187" s="789">
        <f t="shared" ca="1" si="427"/>
        <v>0</v>
      </c>
      <c r="AA187" s="789">
        <f t="shared" ca="1" si="428"/>
        <v>0</v>
      </c>
      <c r="AB187" s="789" t="str">
        <f t="shared" ca="1" si="429"/>
        <v/>
      </c>
      <c r="AC187" s="789" t="str">
        <f t="shared" ca="1" si="430"/>
        <v/>
      </c>
      <c r="AD187" s="789" t="str">
        <f t="shared" ca="1" si="431"/>
        <v/>
      </c>
      <c r="AE187" s="789" t="str">
        <f t="shared" ca="1" si="432"/>
        <v/>
      </c>
      <c r="AF187" s="789" t="str">
        <f t="shared" ca="1" si="433"/>
        <v/>
      </c>
      <c r="AG187" s="789" t="str">
        <f t="shared" ca="1" si="434"/>
        <v/>
      </c>
      <c r="AH187" s="789" t="str">
        <f t="shared" ca="1" si="435"/>
        <v/>
      </c>
      <c r="AI187" s="789" t="str">
        <f t="shared" ca="1" si="436"/>
        <v/>
      </c>
      <c r="AJ187" s="789" t="str">
        <f t="shared" ca="1" si="437"/>
        <v/>
      </c>
      <c r="AK187" s="789" t="str">
        <f t="shared" ca="1" si="438"/>
        <v/>
      </c>
      <c r="AL187" s="789" t="str">
        <f t="shared" ca="1" si="439"/>
        <v/>
      </c>
      <c r="AM187" s="789" t="str">
        <f t="shared" ca="1" si="440"/>
        <v/>
      </c>
      <c r="AN187" s="789" t="str">
        <f t="shared" ca="1" si="441"/>
        <v/>
      </c>
      <c r="AO187" s="789" t="str">
        <f t="shared" ca="1" si="442"/>
        <v/>
      </c>
      <c r="AP187" s="789" t="str">
        <f t="shared" ca="1" si="443"/>
        <v/>
      </c>
      <c r="AQ187" s="789" t="str">
        <f t="shared" ca="1" si="444"/>
        <v/>
      </c>
      <c r="AR187" s="789" t="str">
        <f t="shared" ca="1" si="445"/>
        <v/>
      </c>
      <c r="AS187" s="789" t="str">
        <f t="shared" ca="1" si="446"/>
        <v/>
      </c>
      <c r="AT187" s="789" t="str">
        <f t="shared" ca="1" si="447"/>
        <v/>
      </c>
      <c r="AU187" s="789" t="str">
        <f t="shared" ca="1" si="448"/>
        <v/>
      </c>
      <c r="AV187" s="789" t="str">
        <f t="shared" ca="1" si="449"/>
        <v/>
      </c>
      <c r="AW187" s="789" t="str">
        <f t="shared" ca="1" si="450"/>
        <v/>
      </c>
      <c r="AX187" s="789" t="str">
        <f t="shared" ca="1" si="451"/>
        <v/>
      </c>
      <c r="AY187" s="789" t="str">
        <f t="shared" ca="1" si="452"/>
        <v/>
      </c>
      <c r="AZ187" s="789" t="str">
        <f t="shared" ca="1" si="453"/>
        <v/>
      </c>
      <c r="BA187" s="789" t="str">
        <f t="shared" ca="1" si="454"/>
        <v/>
      </c>
      <c r="BB187" s="789" t="str">
        <f t="shared" ca="1" si="455"/>
        <v/>
      </c>
      <c r="BC187" s="789" t="str">
        <f t="shared" ca="1" si="456"/>
        <v/>
      </c>
      <c r="BD187" s="789" t="str">
        <f t="shared" ca="1" si="457"/>
        <v/>
      </c>
      <c r="BE187" s="789" t="str">
        <f t="shared" ca="1" si="458"/>
        <v/>
      </c>
      <c r="BF187" s="789" t="str">
        <f t="shared" ca="1" si="459"/>
        <v/>
      </c>
      <c r="BG187" s="789" t="str">
        <f t="shared" ca="1" si="460"/>
        <v/>
      </c>
      <c r="BH187" s="789" t="str">
        <f t="shared" ca="1" si="461"/>
        <v/>
      </c>
      <c r="BI187" s="789" t="str">
        <f t="shared" ca="1" si="462"/>
        <v/>
      </c>
      <c r="BJ187" s="789" t="str">
        <f t="shared" ca="1" si="463"/>
        <v/>
      </c>
      <c r="BK187" s="789" t="str">
        <f t="shared" ca="1" si="464"/>
        <v/>
      </c>
      <c r="BL187" s="789" t="str">
        <f t="shared" ca="1" si="465"/>
        <v/>
      </c>
      <c r="BM187" s="789" t="str">
        <f t="shared" ca="1" si="466"/>
        <v/>
      </c>
      <c r="BN187" s="789" t="str">
        <f t="shared" ca="1" si="467"/>
        <v/>
      </c>
      <c r="BO187" s="789" t="str">
        <f t="shared" ca="1" si="468"/>
        <v/>
      </c>
    </row>
    <row r="188" spans="1:67" ht="20.100000000000001" customHeight="1">
      <c r="A188" s="784">
        <v>25</v>
      </c>
      <c r="B188" s="1594"/>
      <c r="C188" s="1596"/>
      <c r="D188" s="785" t="s">
        <v>366</v>
      </c>
      <c r="E188" s="785"/>
      <c r="F188" s="786"/>
      <c r="G188" s="787" t="s">
        <v>455</v>
      </c>
      <c r="H188" s="788">
        <f t="shared" ca="1" si="469"/>
        <v>28.3</v>
      </c>
      <c r="I188" s="788">
        <f t="shared" ca="1" si="469"/>
        <v>28.3</v>
      </c>
      <c r="J188" s="788">
        <f t="shared" ca="1" si="469"/>
        <v>28.3</v>
      </c>
      <c r="K188" s="788">
        <f t="shared" ca="1" si="469"/>
        <v>28.3</v>
      </c>
      <c r="L188" s="789">
        <f t="shared" ca="1" si="470"/>
        <v>0</v>
      </c>
      <c r="M188" s="789">
        <f t="shared" ca="1" si="470"/>
        <v>0</v>
      </c>
      <c r="N188" s="789">
        <f t="shared" ca="1" si="470"/>
        <v>0</v>
      </c>
      <c r="O188" s="789">
        <f t="shared" ca="1" si="470"/>
        <v>0</v>
      </c>
      <c r="P188" s="789">
        <f ca="1">SUM(SUMIFS(OFFSET(貼付け_2024実績,$A188,10,1,199),OFFSET(貼付け_2024実績,4,9,1,199),{"横浜*","川崎*"}))</f>
        <v>0</v>
      </c>
      <c r="Q188" s="789">
        <f ca="1">SUM(SUMIFS(OFFSET(貼付け_2025実績,$A188,10,1,199),OFFSET(貼付け_2025実績,4,9,1,199),{"横浜*","川崎*"}))</f>
        <v>0</v>
      </c>
      <c r="R188" s="789">
        <f ca="1">SUM(SUMIFS(OFFSET(貼付け_2026実績,$A188,10,1,199),OFFSET(貼付け_2026実績,4,9,1,199),{"横浜*","川崎*"}))</f>
        <v>0</v>
      </c>
      <c r="S188" s="789">
        <f ca="1">SUM(SUMIFS(OFFSET(貼付け_2027実績,$A188,10,1,199),OFFSET(貼付け_2027実績,4,9,1,199),{"横浜*","川崎*"}))</f>
        <v>0</v>
      </c>
      <c r="T188" s="789">
        <f t="shared" ca="1" si="471"/>
        <v>0</v>
      </c>
      <c r="U188" s="789">
        <f t="shared" ca="1" si="471"/>
        <v>0</v>
      </c>
      <c r="V188" s="789">
        <f t="shared" ca="1" si="471"/>
        <v>0</v>
      </c>
      <c r="W188" s="789">
        <f t="shared" ca="1" si="471"/>
        <v>0</v>
      </c>
      <c r="X188" s="789">
        <f t="shared" ca="1" si="425"/>
        <v>0</v>
      </c>
      <c r="Y188" s="789">
        <f t="shared" ca="1" si="426"/>
        <v>0</v>
      </c>
      <c r="Z188" s="789">
        <f t="shared" ca="1" si="427"/>
        <v>0</v>
      </c>
      <c r="AA188" s="789">
        <f t="shared" ca="1" si="428"/>
        <v>0</v>
      </c>
      <c r="AB188" s="789" t="str">
        <f t="shared" ca="1" si="429"/>
        <v/>
      </c>
      <c r="AC188" s="789" t="str">
        <f t="shared" ca="1" si="430"/>
        <v/>
      </c>
      <c r="AD188" s="789" t="str">
        <f t="shared" ca="1" si="431"/>
        <v/>
      </c>
      <c r="AE188" s="789" t="str">
        <f t="shared" ca="1" si="432"/>
        <v/>
      </c>
      <c r="AF188" s="789" t="str">
        <f t="shared" ca="1" si="433"/>
        <v/>
      </c>
      <c r="AG188" s="789" t="str">
        <f t="shared" ca="1" si="434"/>
        <v/>
      </c>
      <c r="AH188" s="789" t="str">
        <f t="shared" ca="1" si="435"/>
        <v/>
      </c>
      <c r="AI188" s="789" t="str">
        <f t="shared" ca="1" si="436"/>
        <v/>
      </c>
      <c r="AJ188" s="789" t="str">
        <f t="shared" ca="1" si="437"/>
        <v/>
      </c>
      <c r="AK188" s="789" t="str">
        <f t="shared" ca="1" si="438"/>
        <v/>
      </c>
      <c r="AL188" s="789" t="str">
        <f t="shared" ca="1" si="439"/>
        <v/>
      </c>
      <c r="AM188" s="789" t="str">
        <f t="shared" ca="1" si="440"/>
        <v/>
      </c>
      <c r="AN188" s="789" t="str">
        <f t="shared" ca="1" si="441"/>
        <v/>
      </c>
      <c r="AO188" s="789" t="str">
        <f t="shared" ca="1" si="442"/>
        <v/>
      </c>
      <c r="AP188" s="789" t="str">
        <f t="shared" ca="1" si="443"/>
        <v/>
      </c>
      <c r="AQ188" s="789" t="str">
        <f t="shared" ca="1" si="444"/>
        <v/>
      </c>
      <c r="AR188" s="789" t="str">
        <f t="shared" ca="1" si="445"/>
        <v/>
      </c>
      <c r="AS188" s="789" t="str">
        <f t="shared" ca="1" si="446"/>
        <v/>
      </c>
      <c r="AT188" s="789" t="str">
        <f t="shared" ca="1" si="447"/>
        <v/>
      </c>
      <c r="AU188" s="789" t="str">
        <f t="shared" ca="1" si="448"/>
        <v/>
      </c>
      <c r="AV188" s="789" t="str">
        <f t="shared" ca="1" si="449"/>
        <v/>
      </c>
      <c r="AW188" s="789" t="str">
        <f t="shared" ca="1" si="450"/>
        <v/>
      </c>
      <c r="AX188" s="789" t="str">
        <f t="shared" ca="1" si="451"/>
        <v/>
      </c>
      <c r="AY188" s="789" t="str">
        <f t="shared" ca="1" si="452"/>
        <v/>
      </c>
      <c r="AZ188" s="789" t="str">
        <f t="shared" ca="1" si="453"/>
        <v/>
      </c>
      <c r="BA188" s="789" t="str">
        <f t="shared" ca="1" si="454"/>
        <v/>
      </c>
      <c r="BB188" s="789" t="str">
        <f t="shared" ca="1" si="455"/>
        <v/>
      </c>
      <c r="BC188" s="789" t="str">
        <f t="shared" ca="1" si="456"/>
        <v/>
      </c>
      <c r="BD188" s="789" t="str">
        <f t="shared" ca="1" si="457"/>
        <v/>
      </c>
      <c r="BE188" s="789" t="str">
        <f t="shared" ca="1" si="458"/>
        <v/>
      </c>
      <c r="BF188" s="789" t="str">
        <f t="shared" ca="1" si="459"/>
        <v/>
      </c>
      <c r="BG188" s="789" t="str">
        <f t="shared" ca="1" si="460"/>
        <v/>
      </c>
      <c r="BH188" s="789" t="str">
        <f t="shared" ca="1" si="461"/>
        <v/>
      </c>
      <c r="BI188" s="789" t="str">
        <f t="shared" ca="1" si="462"/>
        <v/>
      </c>
      <c r="BJ188" s="789" t="str">
        <f t="shared" ca="1" si="463"/>
        <v/>
      </c>
      <c r="BK188" s="789" t="str">
        <f t="shared" ca="1" si="464"/>
        <v/>
      </c>
      <c r="BL188" s="789" t="str">
        <f t="shared" ca="1" si="465"/>
        <v/>
      </c>
      <c r="BM188" s="789" t="str">
        <f t="shared" ca="1" si="466"/>
        <v/>
      </c>
      <c r="BN188" s="789" t="str">
        <f t="shared" ca="1" si="467"/>
        <v/>
      </c>
      <c r="BO188" s="789" t="str">
        <f t="shared" ca="1" si="468"/>
        <v/>
      </c>
    </row>
    <row r="189" spans="1:67" ht="20.100000000000001" customHeight="1">
      <c r="A189" s="784">
        <v>26</v>
      </c>
      <c r="B189" s="1594"/>
      <c r="C189" s="1596"/>
      <c r="D189" s="785" t="s">
        <v>367</v>
      </c>
      <c r="E189" s="785"/>
      <c r="F189" s="786"/>
      <c r="G189" s="787" t="s">
        <v>455</v>
      </c>
      <c r="H189" s="788">
        <f t="shared" ca="1" si="469"/>
        <v>26.1</v>
      </c>
      <c r="I189" s="788">
        <f t="shared" ca="1" si="469"/>
        <v>26.1</v>
      </c>
      <c r="J189" s="788">
        <f t="shared" ca="1" si="469"/>
        <v>26.1</v>
      </c>
      <c r="K189" s="788">
        <f t="shared" ca="1" si="469"/>
        <v>26.1</v>
      </c>
      <c r="L189" s="789">
        <f t="shared" ca="1" si="470"/>
        <v>0</v>
      </c>
      <c r="M189" s="789">
        <f t="shared" ca="1" si="470"/>
        <v>0</v>
      </c>
      <c r="N189" s="789">
        <f t="shared" ca="1" si="470"/>
        <v>0</v>
      </c>
      <c r="O189" s="789">
        <f t="shared" ca="1" si="470"/>
        <v>0</v>
      </c>
      <c r="P189" s="789">
        <f ca="1">SUM(SUMIFS(OFFSET(貼付け_2024実績,$A189,10,1,199),OFFSET(貼付け_2024実績,4,9,1,199),{"横浜*","川崎*"}))</f>
        <v>0</v>
      </c>
      <c r="Q189" s="789">
        <f ca="1">SUM(SUMIFS(OFFSET(貼付け_2025実績,$A189,10,1,199),OFFSET(貼付け_2025実績,4,9,1,199),{"横浜*","川崎*"}))</f>
        <v>0</v>
      </c>
      <c r="R189" s="789">
        <f ca="1">SUM(SUMIFS(OFFSET(貼付け_2026実績,$A189,10,1,199),OFFSET(貼付け_2026実績,4,9,1,199),{"横浜*","川崎*"}))</f>
        <v>0</v>
      </c>
      <c r="S189" s="789">
        <f ca="1">SUM(SUMIFS(OFFSET(貼付け_2027実績,$A189,10,1,199),OFFSET(貼付け_2027実績,4,9,1,199),{"横浜*","川崎*"}))</f>
        <v>0</v>
      </c>
      <c r="T189" s="789">
        <f t="shared" ca="1" si="471"/>
        <v>0</v>
      </c>
      <c r="U189" s="789">
        <f t="shared" ca="1" si="471"/>
        <v>0</v>
      </c>
      <c r="V189" s="789">
        <f t="shared" ca="1" si="471"/>
        <v>0</v>
      </c>
      <c r="W189" s="789">
        <f t="shared" ca="1" si="471"/>
        <v>0</v>
      </c>
      <c r="X189" s="789">
        <f t="shared" ca="1" si="425"/>
        <v>0</v>
      </c>
      <c r="Y189" s="789">
        <f t="shared" ca="1" si="426"/>
        <v>0</v>
      </c>
      <c r="Z189" s="789">
        <f t="shared" ca="1" si="427"/>
        <v>0</v>
      </c>
      <c r="AA189" s="789">
        <f t="shared" ca="1" si="428"/>
        <v>0</v>
      </c>
      <c r="AB189" s="789" t="str">
        <f t="shared" ca="1" si="429"/>
        <v/>
      </c>
      <c r="AC189" s="789" t="str">
        <f t="shared" ca="1" si="430"/>
        <v/>
      </c>
      <c r="AD189" s="789" t="str">
        <f t="shared" ca="1" si="431"/>
        <v/>
      </c>
      <c r="AE189" s="789" t="str">
        <f t="shared" ca="1" si="432"/>
        <v/>
      </c>
      <c r="AF189" s="789" t="str">
        <f t="shared" ca="1" si="433"/>
        <v/>
      </c>
      <c r="AG189" s="789" t="str">
        <f t="shared" ca="1" si="434"/>
        <v/>
      </c>
      <c r="AH189" s="789" t="str">
        <f t="shared" ca="1" si="435"/>
        <v/>
      </c>
      <c r="AI189" s="789" t="str">
        <f t="shared" ca="1" si="436"/>
        <v/>
      </c>
      <c r="AJ189" s="789" t="str">
        <f t="shared" ca="1" si="437"/>
        <v/>
      </c>
      <c r="AK189" s="789" t="str">
        <f t="shared" ca="1" si="438"/>
        <v/>
      </c>
      <c r="AL189" s="789" t="str">
        <f t="shared" ca="1" si="439"/>
        <v/>
      </c>
      <c r="AM189" s="789" t="str">
        <f t="shared" ca="1" si="440"/>
        <v/>
      </c>
      <c r="AN189" s="789" t="str">
        <f t="shared" ca="1" si="441"/>
        <v/>
      </c>
      <c r="AO189" s="789" t="str">
        <f t="shared" ca="1" si="442"/>
        <v/>
      </c>
      <c r="AP189" s="789" t="str">
        <f t="shared" ca="1" si="443"/>
        <v/>
      </c>
      <c r="AQ189" s="789" t="str">
        <f t="shared" ca="1" si="444"/>
        <v/>
      </c>
      <c r="AR189" s="789" t="str">
        <f t="shared" ca="1" si="445"/>
        <v/>
      </c>
      <c r="AS189" s="789" t="str">
        <f t="shared" ca="1" si="446"/>
        <v/>
      </c>
      <c r="AT189" s="789" t="str">
        <f t="shared" ca="1" si="447"/>
        <v/>
      </c>
      <c r="AU189" s="789" t="str">
        <f t="shared" ca="1" si="448"/>
        <v/>
      </c>
      <c r="AV189" s="789" t="str">
        <f t="shared" ca="1" si="449"/>
        <v/>
      </c>
      <c r="AW189" s="789" t="str">
        <f t="shared" ca="1" si="450"/>
        <v/>
      </c>
      <c r="AX189" s="789" t="str">
        <f t="shared" ca="1" si="451"/>
        <v/>
      </c>
      <c r="AY189" s="789" t="str">
        <f t="shared" ca="1" si="452"/>
        <v/>
      </c>
      <c r="AZ189" s="789" t="str">
        <f t="shared" ca="1" si="453"/>
        <v/>
      </c>
      <c r="BA189" s="789" t="str">
        <f t="shared" ca="1" si="454"/>
        <v/>
      </c>
      <c r="BB189" s="789" t="str">
        <f t="shared" ca="1" si="455"/>
        <v/>
      </c>
      <c r="BC189" s="789" t="str">
        <f t="shared" ca="1" si="456"/>
        <v/>
      </c>
      <c r="BD189" s="789" t="str">
        <f t="shared" ca="1" si="457"/>
        <v/>
      </c>
      <c r="BE189" s="789" t="str">
        <f t="shared" ca="1" si="458"/>
        <v/>
      </c>
      <c r="BF189" s="789" t="str">
        <f t="shared" ca="1" si="459"/>
        <v/>
      </c>
      <c r="BG189" s="789" t="str">
        <f t="shared" ca="1" si="460"/>
        <v/>
      </c>
      <c r="BH189" s="789" t="str">
        <f t="shared" ca="1" si="461"/>
        <v/>
      </c>
      <c r="BI189" s="789" t="str">
        <f t="shared" ca="1" si="462"/>
        <v/>
      </c>
      <c r="BJ189" s="789" t="str">
        <f t="shared" ca="1" si="463"/>
        <v/>
      </c>
      <c r="BK189" s="789" t="str">
        <f t="shared" ca="1" si="464"/>
        <v/>
      </c>
      <c r="BL189" s="789" t="str">
        <f t="shared" ca="1" si="465"/>
        <v/>
      </c>
      <c r="BM189" s="789" t="str">
        <f t="shared" ca="1" si="466"/>
        <v/>
      </c>
      <c r="BN189" s="789" t="str">
        <f t="shared" ca="1" si="467"/>
        <v/>
      </c>
      <c r="BO189" s="789" t="str">
        <f t="shared" ca="1" si="468"/>
        <v/>
      </c>
    </row>
    <row r="190" spans="1:67" ht="20.100000000000001" customHeight="1">
      <c r="A190" s="784">
        <v>27</v>
      </c>
      <c r="B190" s="1594"/>
      <c r="C190" s="1596"/>
      <c r="D190" s="785" t="s">
        <v>368</v>
      </c>
      <c r="E190" s="785"/>
      <c r="F190" s="786"/>
      <c r="G190" s="787" t="s">
        <v>455</v>
      </c>
      <c r="H190" s="788">
        <f t="shared" ca="1" si="469"/>
        <v>24.2</v>
      </c>
      <c r="I190" s="788">
        <f t="shared" ca="1" si="469"/>
        <v>24.2</v>
      </c>
      <c r="J190" s="788">
        <f t="shared" ca="1" si="469"/>
        <v>24.2</v>
      </c>
      <c r="K190" s="788">
        <f t="shared" ca="1" si="469"/>
        <v>24.2</v>
      </c>
      <c r="L190" s="789">
        <f t="shared" ca="1" si="470"/>
        <v>0</v>
      </c>
      <c r="M190" s="789">
        <f t="shared" ca="1" si="470"/>
        <v>0</v>
      </c>
      <c r="N190" s="789">
        <f t="shared" ca="1" si="470"/>
        <v>0</v>
      </c>
      <c r="O190" s="789">
        <f t="shared" ca="1" si="470"/>
        <v>0</v>
      </c>
      <c r="P190" s="789">
        <f ca="1">SUM(SUMIFS(OFFSET(貼付け_2024実績,$A190,10,1,199),OFFSET(貼付け_2024実績,4,9,1,199),{"横浜*","川崎*"}))</f>
        <v>0</v>
      </c>
      <c r="Q190" s="789">
        <f ca="1">SUM(SUMIFS(OFFSET(貼付け_2025実績,$A190,10,1,199),OFFSET(貼付け_2025実績,4,9,1,199),{"横浜*","川崎*"}))</f>
        <v>0</v>
      </c>
      <c r="R190" s="789">
        <f ca="1">SUM(SUMIFS(OFFSET(貼付け_2026実績,$A190,10,1,199),OFFSET(貼付け_2026実績,4,9,1,199),{"横浜*","川崎*"}))</f>
        <v>0</v>
      </c>
      <c r="S190" s="789">
        <f ca="1">SUM(SUMIFS(OFFSET(貼付け_2027実績,$A190,10,1,199),OFFSET(貼付け_2027実績,4,9,1,199),{"横浜*","川崎*"}))</f>
        <v>0</v>
      </c>
      <c r="T190" s="789">
        <f t="shared" ca="1" si="471"/>
        <v>0</v>
      </c>
      <c r="U190" s="789">
        <f t="shared" ca="1" si="471"/>
        <v>0</v>
      </c>
      <c r="V190" s="789">
        <f t="shared" ca="1" si="471"/>
        <v>0</v>
      </c>
      <c r="W190" s="789">
        <f t="shared" ca="1" si="471"/>
        <v>0</v>
      </c>
      <c r="X190" s="789">
        <f t="shared" ca="1" si="425"/>
        <v>0</v>
      </c>
      <c r="Y190" s="789">
        <f t="shared" ca="1" si="426"/>
        <v>0</v>
      </c>
      <c r="Z190" s="789">
        <f t="shared" ca="1" si="427"/>
        <v>0</v>
      </c>
      <c r="AA190" s="789">
        <f t="shared" ca="1" si="428"/>
        <v>0</v>
      </c>
      <c r="AB190" s="789" t="str">
        <f t="shared" ca="1" si="429"/>
        <v/>
      </c>
      <c r="AC190" s="789" t="str">
        <f t="shared" ca="1" si="430"/>
        <v/>
      </c>
      <c r="AD190" s="789" t="str">
        <f t="shared" ca="1" si="431"/>
        <v/>
      </c>
      <c r="AE190" s="789" t="str">
        <f t="shared" ca="1" si="432"/>
        <v/>
      </c>
      <c r="AF190" s="789" t="str">
        <f t="shared" ca="1" si="433"/>
        <v/>
      </c>
      <c r="AG190" s="789" t="str">
        <f t="shared" ca="1" si="434"/>
        <v/>
      </c>
      <c r="AH190" s="789" t="str">
        <f t="shared" ca="1" si="435"/>
        <v/>
      </c>
      <c r="AI190" s="789" t="str">
        <f t="shared" ca="1" si="436"/>
        <v/>
      </c>
      <c r="AJ190" s="789" t="str">
        <f t="shared" ca="1" si="437"/>
        <v/>
      </c>
      <c r="AK190" s="789" t="str">
        <f t="shared" ca="1" si="438"/>
        <v/>
      </c>
      <c r="AL190" s="789" t="str">
        <f t="shared" ca="1" si="439"/>
        <v/>
      </c>
      <c r="AM190" s="789" t="str">
        <f t="shared" ca="1" si="440"/>
        <v/>
      </c>
      <c r="AN190" s="789" t="str">
        <f t="shared" ca="1" si="441"/>
        <v/>
      </c>
      <c r="AO190" s="789" t="str">
        <f t="shared" ca="1" si="442"/>
        <v/>
      </c>
      <c r="AP190" s="789" t="str">
        <f t="shared" ca="1" si="443"/>
        <v/>
      </c>
      <c r="AQ190" s="789" t="str">
        <f t="shared" ca="1" si="444"/>
        <v/>
      </c>
      <c r="AR190" s="789" t="str">
        <f t="shared" ca="1" si="445"/>
        <v/>
      </c>
      <c r="AS190" s="789" t="str">
        <f t="shared" ca="1" si="446"/>
        <v/>
      </c>
      <c r="AT190" s="789" t="str">
        <f t="shared" ca="1" si="447"/>
        <v/>
      </c>
      <c r="AU190" s="789" t="str">
        <f t="shared" ca="1" si="448"/>
        <v/>
      </c>
      <c r="AV190" s="789" t="str">
        <f t="shared" ca="1" si="449"/>
        <v/>
      </c>
      <c r="AW190" s="789" t="str">
        <f t="shared" ca="1" si="450"/>
        <v/>
      </c>
      <c r="AX190" s="789" t="str">
        <f t="shared" ca="1" si="451"/>
        <v/>
      </c>
      <c r="AY190" s="789" t="str">
        <f t="shared" ca="1" si="452"/>
        <v/>
      </c>
      <c r="AZ190" s="789" t="str">
        <f t="shared" ca="1" si="453"/>
        <v/>
      </c>
      <c r="BA190" s="789" t="str">
        <f t="shared" ca="1" si="454"/>
        <v/>
      </c>
      <c r="BB190" s="789" t="str">
        <f t="shared" ca="1" si="455"/>
        <v/>
      </c>
      <c r="BC190" s="789" t="str">
        <f t="shared" ca="1" si="456"/>
        <v/>
      </c>
      <c r="BD190" s="789" t="str">
        <f t="shared" ca="1" si="457"/>
        <v/>
      </c>
      <c r="BE190" s="789" t="str">
        <f t="shared" ca="1" si="458"/>
        <v/>
      </c>
      <c r="BF190" s="789" t="str">
        <f t="shared" ca="1" si="459"/>
        <v/>
      </c>
      <c r="BG190" s="789" t="str">
        <f t="shared" ca="1" si="460"/>
        <v/>
      </c>
      <c r="BH190" s="789" t="str">
        <f t="shared" ca="1" si="461"/>
        <v/>
      </c>
      <c r="BI190" s="789" t="str">
        <f t="shared" ca="1" si="462"/>
        <v/>
      </c>
      <c r="BJ190" s="789" t="str">
        <f t="shared" ca="1" si="463"/>
        <v/>
      </c>
      <c r="BK190" s="789" t="str">
        <f t="shared" ca="1" si="464"/>
        <v/>
      </c>
      <c r="BL190" s="789" t="str">
        <f t="shared" ca="1" si="465"/>
        <v/>
      </c>
      <c r="BM190" s="789" t="str">
        <f t="shared" ca="1" si="466"/>
        <v/>
      </c>
      <c r="BN190" s="789" t="str">
        <f t="shared" ca="1" si="467"/>
        <v/>
      </c>
      <c r="BO190" s="789" t="str">
        <f t="shared" ca="1" si="468"/>
        <v/>
      </c>
    </row>
    <row r="191" spans="1:67" ht="20.100000000000001" customHeight="1">
      <c r="A191" s="784">
        <v>28</v>
      </c>
      <c r="B191" s="1594"/>
      <c r="C191" s="1596"/>
      <c r="D191" s="785" t="s">
        <v>369</v>
      </c>
      <c r="E191" s="785"/>
      <c r="F191" s="786"/>
      <c r="G191" s="787" t="s">
        <v>455</v>
      </c>
      <c r="H191" s="788">
        <f t="shared" ca="1" si="469"/>
        <v>27.8</v>
      </c>
      <c r="I191" s="788">
        <f t="shared" ca="1" si="469"/>
        <v>27.8</v>
      </c>
      <c r="J191" s="788">
        <f t="shared" ca="1" si="469"/>
        <v>27.8</v>
      </c>
      <c r="K191" s="788">
        <f t="shared" ca="1" si="469"/>
        <v>27.8</v>
      </c>
      <c r="L191" s="789">
        <f t="shared" ca="1" si="470"/>
        <v>0</v>
      </c>
      <c r="M191" s="789">
        <f t="shared" ca="1" si="470"/>
        <v>0</v>
      </c>
      <c r="N191" s="789">
        <f t="shared" ca="1" si="470"/>
        <v>0</v>
      </c>
      <c r="O191" s="789">
        <f t="shared" ca="1" si="470"/>
        <v>0</v>
      </c>
      <c r="P191" s="789">
        <f ca="1">SUM(SUMIFS(OFFSET(貼付け_2024実績,$A191,10,1,199),OFFSET(貼付け_2024実績,4,9,1,199),{"横浜*","川崎*"}))</f>
        <v>0</v>
      </c>
      <c r="Q191" s="789">
        <f ca="1">SUM(SUMIFS(OFFSET(貼付け_2025実績,$A191,10,1,199),OFFSET(貼付け_2025実績,4,9,1,199),{"横浜*","川崎*"}))</f>
        <v>0</v>
      </c>
      <c r="R191" s="789">
        <f ca="1">SUM(SUMIFS(OFFSET(貼付け_2026実績,$A191,10,1,199),OFFSET(貼付け_2026実績,4,9,1,199),{"横浜*","川崎*"}))</f>
        <v>0</v>
      </c>
      <c r="S191" s="789">
        <f ca="1">SUM(SUMIFS(OFFSET(貼付け_2027実績,$A191,10,1,199),OFFSET(貼付け_2027実績,4,9,1,199),{"横浜*","川崎*"}))</f>
        <v>0</v>
      </c>
      <c r="T191" s="789">
        <f t="shared" ca="1" si="471"/>
        <v>0</v>
      </c>
      <c r="U191" s="789">
        <f t="shared" ca="1" si="471"/>
        <v>0</v>
      </c>
      <c r="V191" s="789">
        <f t="shared" ca="1" si="471"/>
        <v>0</v>
      </c>
      <c r="W191" s="789">
        <f t="shared" ca="1" si="471"/>
        <v>0</v>
      </c>
      <c r="X191" s="789">
        <f t="shared" ca="1" si="425"/>
        <v>0</v>
      </c>
      <c r="Y191" s="789">
        <f t="shared" ca="1" si="426"/>
        <v>0</v>
      </c>
      <c r="Z191" s="789">
        <f t="shared" ca="1" si="427"/>
        <v>0</v>
      </c>
      <c r="AA191" s="789">
        <f t="shared" ca="1" si="428"/>
        <v>0</v>
      </c>
      <c r="AB191" s="789" t="str">
        <f t="shared" ca="1" si="429"/>
        <v/>
      </c>
      <c r="AC191" s="789" t="str">
        <f t="shared" ca="1" si="430"/>
        <v/>
      </c>
      <c r="AD191" s="789" t="str">
        <f t="shared" ca="1" si="431"/>
        <v/>
      </c>
      <c r="AE191" s="789" t="str">
        <f t="shared" ca="1" si="432"/>
        <v/>
      </c>
      <c r="AF191" s="789" t="str">
        <f t="shared" ca="1" si="433"/>
        <v/>
      </c>
      <c r="AG191" s="789" t="str">
        <f t="shared" ca="1" si="434"/>
        <v/>
      </c>
      <c r="AH191" s="789" t="str">
        <f t="shared" ca="1" si="435"/>
        <v/>
      </c>
      <c r="AI191" s="789" t="str">
        <f t="shared" ca="1" si="436"/>
        <v/>
      </c>
      <c r="AJ191" s="789" t="str">
        <f t="shared" ca="1" si="437"/>
        <v/>
      </c>
      <c r="AK191" s="789" t="str">
        <f t="shared" ca="1" si="438"/>
        <v/>
      </c>
      <c r="AL191" s="789" t="str">
        <f t="shared" ca="1" si="439"/>
        <v/>
      </c>
      <c r="AM191" s="789" t="str">
        <f t="shared" ca="1" si="440"/>
        <v/>
      </c>
      <c r="AN191" s="789" t="str">
        <f t="shared" ca="1" si="441"/>
        <v/>
      </c>
      <c r="AO191" s="789" t="str">
        <f t="shared" ca="1" si="442"/>
        <v/>
      </c>
      <c r="AP191" s="789" t="str">
        <f t="shared" ca="1" si="443"/>
        <v/>
      </c>
      <c r="AQ191" s="789" t="str">
        <f t="shared" ca="1" si="444"/>
        <v/>
      </c>
      <c r="AR191" s="789" t="str">
        <f t="shared" ca="1" si="445"/>
        <v/>
      </c>
      <c r="AS191" s="789" t="str">
        <f t="shared" ca="1" si="446"/>
        <v/>
      </c>
      <c r="AT191" s="789" t="str">
        <f t="shared" ca="1" si="447"/>
        <v/>
      </c>
      <c r="AU191" s="789" t="str">
        <f t="shared" ca="1" si="448"/>
        <v/>
      </c>
      <c r="AV191" s="789" t="str">
        <f t="shared" ca="1" si="449"/>
        <v/>
      </c>
      <c r="AW191" s="789" t="str">
        <f t="shared" ca="1" si="450"/>
        <v/>
      </c>
      <c r="AX191" s="789" t="str">
        <f t="shared" ca="1" si="451"/>
        <v/>
      </c>
      <c r="AY191" s="789" t="str">
        <f t="shared" ca="1" si="452"/>
        <v/>
      </c>
      <c r="AZ191" s="789" t="str">
        <f t="shared" ca="1" si="453"/>
        <v/>
      </c>
      <c r="BA191" s="789" t="str">
        <f t="shared" ca="1" si="454"/>
        <v/>
      </c>
      <c r="BB191" s="789" t="str">
        <f t="shared" ca="1" si="455"/>
        <v/>
      </c>
      <c r="BC191" s="789" t="str">
        <f t="shared" ca="1" si="456"/>
        <v/>
      </c>
      <c r="BD191" s="789" t="str">
        <f t="shared" ca="1" si="457"/>
        <v/>
      </c>
      <c r="BE191" s="789" t="str">
        <f t="shared" ca="1" si="458"/>
        <v/>
      </c>
      <c r="BF191" s="789" t="str">
        <f t="shared" ca="1" si="459"/>
        <v/>
      </c>
      <c r="BG191" s="789" t="str">
        <f t="shared" ca="1" si="460"/>
        <v/>
      </c>
      <c r="BH191" s="789" t="str">
        <f t="shared" ca="1" si="461"/>
        <v/>
      </c>
      <c r="BI191" s="789" t="str">
        <f t="shared" ca="1" si="462"/>
        <v/>
      </c>
      <c r="BJ191" s="789" t="str">
        <f t="shared" ca="1" si="463"/>
        <v/>
      </c>
      <c r="BK191" s="789" t="str">
        <f t="shared" ca="1" si="464"/>
        <v/>
      </c>
      <c r="BL191" s="789" t="str">
        <f t="shared" ca="1" si="465"/>
        <v/>
      </c>
      <c r="BM191" s="789" t="str">
        <f t="shared" ca="1" si="466"/>
        <v/>
      </c>
      <c r="BN191" s="789" t="str">
        <f t="shared" ca="1" si="467"/>
        <v/>
      </c>
      <c r="BO191" s="789" t="str">
        <f t="shared" ca="1" si="468"/>
        <v/>
      </c>
    </row>
    <row r="192" spans="1:67" ht="20.100000000000001" customHeight="1">
      <c r="A192" s="784">
        <v>29</v>
      </c>
      <c r="B192" s="1594"/>
      <c r="C192" s="1596"/>
      <c r="D192" s="785" t="s">
        <v>370</v>
      </c>
      <c r="E192" s="785"/>
      <c r="F192" s="786"/>
      <c r="G192" s="787" t="s">
        <v>455</v>
      </c>
      <c r="H192" s="788">
        <f t="shared" ca="1" si="469"/>
        <v>29</v>
      </c>
      <c r="I192" s="788">
        <f t="shared" ca="1" si="469"/>
        <v>29</v>
      </c>
      <c r="J192" s="788">
        <f t="shared" ca="1" si="469"/>
        <v>29</v>
      </c>
      <c r="K192" s="788">
        <f t="shared" ca="1" si="469"/>
        <v>29</v>
      </c>
      <c r="L192" s="789">
        <f t="shared" ca="1" si="470"/>
        <v>0</v>
      </c>
      <c r="M192" s="789">
        <f t="shared" ca="1" si="470"/>
        <v>0</v>
      </c>
      <c r="N192" s="789">
        <f t="shared" ca="1" si="470"/>
        <v>0</v>
      </c>
      <c r="O192" s="789">
        <f t="shared" ca="1" si="470"/>
        <v>0</v>
      </c>
      <c r="P192" s="789">
        <f ca="1">SUM(SUMIFS(OFFSET(貼付け_2024実績,$A192,10,1,199),OFFSET(貼付け_2024実績,4,9,1,199),{"横浜*","川崎*"}))</f>
        <v>0</v>
      </c>
      <c r="Q192" s="789">
        <f ca="1">SUM(SUMIFS(OFFSET(貼付け_2025実績,$A192,10,1,199),OFFSET(貼付け_2025実績,4,9,1,199),{"横浜*","川崎*"}))</f>
        <v>0</v>
      </c>
      <c r="R192" s="789">
        <f ca="1">SUM(SUMIFS(OFFSET(貼付け_2026実績,$A192,10,1,199),OFFSET(貼付け_2026実績,4,9,1,199),{"横浜*","川崎*"}))</f>
        <v>0</v>
      </c>
      <c r="S192" s="789">
        <f ca="1">SUM(SUMIFS(OFFSET(貼付け_2027実績,$A192,10,1,199),OFFSET(貼付け_2027実績,4,9,1,199),{"横浜*","川崎*"}))</f>
        <v>0</v>
      </c>
      <c r="T192" s="789">
        <f t="shared" ca="1" si="471"/>
        <v>0</v>
      </c>
      <c r="U192" s="789">
        <f t="shared" ca="1" si="471"/>
        <v>0</v>
      </c>
      <c r="V192" s="789">
        <f t="shared" ca="1" si="471"/>
        <v>0</v>
      </c>
      <c r="W192" s="789">
        <f t="shared" ca="1" si="471"/>
        <v>0</v>
      </c>
      <c r="X192" s="789">
        <f t="shared" ca="1" si="425"/>
        <v>0</v>
      </c>
      <c r="Y192" s="789">
        <f t="shared" ca="1" si="426"/>
        <v>0</v>
      </c>
      <c r="Z192" s="789">
        <f t="shared" ca="1" si="427"/>
        <v>0</v>
      </c>
      <c r="AA192" s="789">
        <f t="shared" ca="1" si="428"/>
        <v>0</v>
      </c>
      <c r="AB192" s="789" t="str">
        <f t="shared" ca="1" si="429"/>
        <v/>
      </c>
      <c r="AC192" s="789" t="str">
        <f t="shared" ca="1" si="430"/>
        <v/>
      </c>
      <c r="AD192" s="789" t="str">
        <f t="shared" ca="1" si="431"/>
        <v/>
      </c>
      <c r="AE192" s="789" t="str">
        <f t="shared" ca="1" si="432"/>
        <v/>
      </c>
      <c r="AF192" s="789" t="str">
        <f t="shared" ca="1" si="433"/>
        <v/>
      </c>
      <c r="AG192" s="789" t="str">
        <f t="shared" ca="1" si="434"/>
        <v/>
      </c>
      <c r="AH192" s="789" t="str">
        <f t="shared" ca="1" si="435"/>
        <v/>
      </c>
      <c r="AI192" s="789" t="str">
        <f t="shared" ca="1" si="436"/>
        <v/>
      </c>
      <c r="AJ192" s="789" t="str">
        <f t="shared" ca="1" si="437"/>
        <v/>
      </c>
      <c r="AK192" s="789" t="str">
        <f t="shared" ca="1" si="438"/>
        <v/>
      </c>
      <c r="AL192" s="789" t="str">
        <f t="shared" ca="1" si="439"/>
        <v/>
      </c>
      <c r="AM192" s="789" t="str">
        <f t="shared" ca="1" si="440"/>
        <v/>
      </c>
      <c r="AN192" s="789" t="str">
        <f t="shared" ca="1" si="441"/>
        <v/>
      </c>
      <c r="AO192" s="789" t="str">
        <f t="shared" ca="1" si="442"/>
        <v/>
      </c>
      <c r="AP192" s="789" t="str">
        <f t="shared" ca="1" si="443"/>
        <v/>
      </c>
      <c r="AQ192" s="789" t="str">
        <f t="shared" ca="1" si="444"/>
        <v/>
      </c>
      <c r="AR192" s="789" t="str">
        <f t="shared" ca="1" si="445"/>
        <v/>
      </c>
      <c r="AS192" s="789" t="str">
        <f t="shared" ca="1" si="446"/>
        <v/>
      </c>
      <c r="AT192" s="789" t="str">
        <f t="shared" ca="1" si="447"/>
        <v/>
      </c>
      <c r="AU192" s="789" t="str">
        <f t="shared" ca="1" si="448"/>
        <v/>
      </c>
      <c r="AV192" s="789" t="str">
        <f t="shared" ca="1" si="449"/>
        <v/>
      </c>
      <c r="AW192" s="789" t="str">
        <f t="shared" ca="1" si="450"/>
        <v/>
      </c>
      <c r="AX192" s="789" t="str">
        <f t="shared" ca="1" si="451"/>
        <v/>
      </c>
      <c r="AY192" s="789" t="str">
        <f t="shared" ca="1" si="452"/>
        <v/>
      </c>
      <c r="AZ192" s="789" t="str">
        <f t="shared" ca="1" si="453"/>
        <v/>
      </c>
      <c r="BA192" s="789" t="str">
        <f t="shared" ca="1" si="454"/>
        <v/>
      </c>
      <c r="BB192" s="789" t="str">
        <f t="shared" ca="1" si="455"/>
        <v/>
      </c>
      <c r="BC192" s="789" t="str">
        <f t="shared" ca="1" si="456"/>
        <v/>
      </c>
      <c r="BD192" s="789" t="str">
        <f t="shared" ca="1" si="457"/>
        <v/>
      </c>
      <c r="BE192" s="789" t="str">
        <f t="shared" ca="1" si="458"/>
        <v/>
      </c>
      <c r="BF192" s="789" t="str">
        <f t="shared" ca="1" si="459"/>
        <v/>
      </c>
      <c r="BG192" s="789" t="str">
        <f t="shared" ca="1" si="460"/>
        <v/>
      </c>
      <c r="BH192" s="789" t="str">
        <f t="shared" ca="1" si="461"/>
        <v/>
      </c>
      <c r="BI192" s="789" t="str">
        <f t="shared" ca="1" si="462"/>
        <v/>
      </c>
      <c r="BJ192" s="789" t="str">
        <f t="shared" ca="1" si="463"/>
        <v/>
      </c>
      <c r="BK192" s="789" t="str">
        <f t="shared" ca="1" si="464"/>
        <v/>
      </c>
      <c r="BL192" s="789" t="str">
        <f t="shared" ca="1" si="465"/>
        <v/>
      </c>
      <c r="BM192" s="789" t="str">
        <f t="shared" ca="1" si="466"/>
        <v/>
      </c>
      <c r="BN192" s="789" t="str">
        <f t="shared" ca="1" si="467"/>
        <v/>
      </c>
      <c r="BO192" s="789" t="str">
        <f t="shared" ca="1" si="468"/>
        <v/>
      </c>
    </row>
    <row r="193" spans="1:67" ht="20.100000000000001" customHeight="1">
      <c r="A193" s="784">
        <v>30</v>
      </c>
      <c r="B193" s="1594"/>
      <c r="C193" s="1596"/>
      <c r="D193" s="785" t="s">
        <v>371</v>
      </c>
      <c r="E193" s="779"/>
      <c r="F193" s="786"/>
      <c r="G193" s="787" t="s">
        <v>455</v>
      </c>
      <c r="H193" s="788">
        <f t="shared" ca="1" si="469"/>
        <v>37.299999999999997</v>
      </c>
      <c r="I193" s="788">
        <f t="shared" ca="1" si="469"/>
        <v>37.299999999999997</v>
      </c>
      <c r="J193" s="788">
        <f t="shared" ca="1" si="469"/>
        <v>37.299999999999997</v>
      </c>
      <c r="K193" s="788">
        <f t="shared" ca="1" si="469"/>
        <v>37.299999999999997</v>
      </c>
      <c r="L193" s="789">
        <f t="shared" ca="1" si="470"/>
        <v>0</v>
      </c>
      <c r="M193" s="789">
        <f t="shared" ca="1" si="470"/>
        <v>0</v>
      </c>
      <c r="N193" s="789">
        <f t="shared" ca="1" si="470"/>
        <v>0</v>
      </c>
      <c r="O193" s="789">
        <f t="shared" ca="1" si="470"/>
        <v>0</v>
      </c>
      <c r="P193" s="789">
        <f ca="1">SUM(SUMIFS(OFFSET(貼付け_2024実績,$A193,10,1,199),OFFSET(貼付け_2024実績,4,9,1,199),{"横浜*","川崎*"}))</f>
        <v>0</v>
      </c>
      <c r="Q193" s="789">
        <f ca="1">SUM(SUMIFS(OFFSET(貼付け_2025実績,$A193,10,1,199),OFFSET(貼付け_2025実績,4,9,1,199),{"横浜*","川崎*"}))</f>
        <v>0</v>
      </c>
      <c r="R193" s="789">
        <f ca="1">SUM(SUMIFS(OFFSET(貼付け_2026実績,$A193,10,1,199),OFFSET(貼付け_2026実績,4,9,1,199),{"横浜*","川崎*"}))</f>
        <v>0</v>
      </c>
      <c r="S193" s="789">
        <f ca="1">SUM(SUMIFS(OFFSET(貼付け_2027実績,$A193,10,1,199),OFFSET(貼付け_2027実績,4,9,1,199),{"横浜*","川崎*"}))</f>
        <v>0</v>
      </c>
      <c r="T193" s="789">
        <f t="shared" ca="1" si="471"/>
        <v>0</v>
      </c>
      <c r="U193" s="789">
        <f t="shared" ca="1" si="471"/>
        <v>0</v>
      </c>
      <c r="V193" s="789">
        <f t="shared" ca="1" si="471"/>
        <v>0</v>
      </c>
      <c r="W193" s="789">
        <f t="shared" ca="1" si="471"/>
        <v>0</v>
      </c>
      <c r="X193" s="789">
        <f t="shared" ca="1" si="425"/>
        <v>0</v>
      </c>
      <c r="Y193" s="789">
        <f t="shared" ca="1" si="426"/>
        <v>0</v>
      </c>
      <c r="Z193" s="789">
        <f t="shared" ca="1" si="427"/>
        <v>0</v>
      </c>
      <c r="AA193" s="789">
        <f t="shared" ca="1" si="428"/>
        <v>0</v>
      </c>
      <c r="AB193" s="789" t="str">
        <f t="shared" ca="1" si="429"/>
        <v/>
      </c>
      <c r="AC193" s="789" t="str">
        <f t="shared" ca="1" si="430"/>
        <v/>
      </c>
      <c r="AD193" s="789" t="str">
        <f t="shared" ca="1" si="431"/>
        <v/>
      </c>
      <c r="AE193" s="789" t="str">
        <f t="shared" ca="1" si="432"/>
        <v/>
      </c>
      <c r="AF193" s="789" t="str">
        <f t="shared" ca="1" si="433"/>
        <v/>
      </c>
      <c r="AG193" s="789" t="str">
        <f t="shared" ca="1" si="434"/>
        <v/>
      </c>
      <c r="AH193" s="789" t="str">
        <f t="shared" ca="1" si="435"/>
        <v/>
      </c>
      <c r="AI193" s="789" t="str">
        <f t="shared" ca="1" si="436"/>
        <v/>
      </c>
      <c r="AJ193" s="789" t="str">
        <f t="shared" ca="1" si="437"/>
        <v/>
      </c>
      <c r="AK193" s="789" t="str">
        <f t="shared" ca="1" si="438"/>
        <v/>
      </c>
      <c r="AL193" s="789" t="str">
        <f t="shared" ca="1" si="439"/>
        <v/>
      </c>
      <c r="AM193" s="789" t="str">
        <f t="shared" ca="1" si="440"/>
        <v/>
      </c>
      <c r="AN193" s="789" t="str">
        <f t="shared" ca="1" si="441"/>
        <v/>
      </c>
      <c r="AO193" s="789" t="str">
        <f t="shared" ca="1" si="442"/>
        <v/>
      </c>
      <c r="AP193" s="789" t="str">
        <f t="shared" ca="1" si="443"/>
        <v/>
      </c>
      <c r="AQ193" s="789" t="str">
        <f t="shared" ca="1" si="444"/>
        <v/>
      </c>
      <c r="AR193" s="789" t="str">
        <f t="shared" ca="1" si="445"/>
        <v/>
      </c>
      <c r="AS193" s="789" t="str">
        <f t="shared" ca="1" si="446"/>
        <v/>
      </c>
      <c r="AT193" s="789" t="str">
        <f t="shared" ca="1" si="447"/>
        <v/>
      </c>
      <c r="AU193" s="789" t="str">
        <f t="shared" ca="1" si="448"/>
        <v/>
      </c>
      <c r="AV193" s="789" t="str">
        <f t="shared" ca="1" si="449"/>
        <v/>
      </c>
      <c r="AW193" s="789" t="str">
        <f t="shared" ca="1" si="450"/>
        <v/>
      </c>
      <c r="AX193" s="789" t="str">
        <f t="shared" ca="1" si="451"/>
        <v/>
      </c>
      <c r="AY193" s="789" t="str">
        <f t="shared" ca="1" si="452"/>
        <v/>
      </c>
      <c r="AZ193" s="789" t="str">
        <f t="shared" ca="1" si="453"/>
        <v/>
      </c>
      <c r="BA193" s="789" t="str">
        <f t="shared" ca="1" si="454"/>
        <v/>
      </c>
      <c r="BB193" s="789" t="str">
        <f t="shared" ca="1" si="455"/>
        <v/>
      </c>
      <c r="BC193" s="789" t="str">
        <f t="shared" ca="1" si="456"/>
        <v/>
      </c>
      <c r="BD193" s="789" t="str">
        <f t="shared" ca="1" si="457"/>
        <v/>
      </c>
      <c r="BE193" s="789" t="str">
        <f t="shared" ca="1" si="458"/>
        <v/>
      </c>
      <c r="BF193" s="789" t="str">
        <f t="shared" ca="1" si="459"/>
        <v/>
      </c>
      <c r="BG193" s="789" t="str">
        <f t="shared" ca="1" si="460"/>
        <v/>
      </c>
      <c r="BH193" s="789" t="str">
        <f t="shared" ca="1" si="461"/>
        <v/>
      </c>
      <c r="BI193" s="789" t="str">
        <f t="shared" ca="1" si="462"/>
        <v/>
      </c>
      <c r="BJ193" s="789" t="str">
        <f t="shared" ca="1" si="463"/>
        <v/>
      </c>
      <c r="BK193" s="789" t="str">
        <f t="shared" ca="1" si="464"/>
        <v/>
      </c>
      <c r="BL193" s="789" t="str">
        <f t="shared" ca="1" si="465"/>
        <v/>
      </c>
      <c r="BM193" s="789" t="str">
        <f t="shared" ca="1" si="466"/>
        <v/>
      </c>
      <c r="BN193" s="789" t="str">
        <f t="shared" ca="1" si="467"/>
        <v/>
      </c>
      <c r="BO193" s="789" t="str">
        <f t="shared" ca="1" si="468"/>
        <v/>
      </c>
    </row>
    <row r="194" spans="1:67" ht="20.100000000000001" customHeight="1">
      <c r="A194" s="784">
        <v>31</v>
      </c>
      <c r="B194" s="1594"/>
      <c r="C194" s="1596"/>
      <c r="D194" s="785" t="s">
        <v>372</v>
      </c>
      <c r="E194" s="785"/>
      <c r="F194" s="786"/>
      <c r="G194" s="787" t="s">
        <v>457</v>
      </c>
      <c r="H194" s="788">
        <f t="shared" ca="1" si="469"/>
        <v>18.399999999999999</v>
      </c>
      <c r="I194" s="788">
        <f t="shared" ca="1" si="469"/>
        <v>18.399999999999999</v>
      </c>
      <c r="J194" s="788">
        <f t="shared" ca="1" si="469"/>
        <v>18.399999999999999</v>
      </c>
      <c r="K194" s="788">
        <f t="shared" ca="1" si="469"/>
        <v>18.399999999999999</v>
      </c>
      <c r="L194" s="789">
        <f t="shared" ca="1" si="470"/>
        <v>0</v>
      </c>
      <c r="M194" s="789">
        <f t="shared" ca="1" si="470"/>
        <v>0</v>
      </c>
      <c r="N194" s="789">
        <f t="shared" ca="1" si="470"/>
        <v>0</v>
      </c>
      <c r="O194" s="789">
        <f t="shared" ca="1" si="470"/>
        <v>0</v>
      </c>
      <c r="P194" s="789">
        <f ca="1">SUM(SUMIFS(OFFSET(貼付け_2024実績,$A194,10,1,199),OFFSET(貼付け_2024実績,4,9,1,199),{"横浜*","川崎*"}))</f>
        <v>0</v>
      </c>
      <c r="Q194" s="789">
        <f ca="1">SUM(SUMIFS(OFFSET(貼付け_2025実績,$A194,10,1,199),OFFSET(貼付け_2025実績,4,9,1,199),{"横浜*","川崎*"}))</f>
        <v>0</v>
      </c>
      <c r="R194" s="789">
        <f ca="1">SUM(SUMIFS(OFFSET(貼付け_2026実績,$A194,10,1,199),OFFSET(貼付け_2026実績,4,9,1,199),{"横浜*","川崎*"}))</f>
        <v>0</v>
      </c>
      <c r="S194" s="789">
        <f ca="1">SUM(SUMIFS(OFFSET(貼付け_2027実績,$A194,10,1,199),OFFSET(貼付け_2027実績,4,9,1,199),{"横浜*","川崎*"}))</f>
        <v>0</v>
      </c>
      <c r="T194" s="789">
        <f t="shared" ca="1" si="471"/>
        <v>0</v>
      </c>
      <c r="U194" s="789">
        <f t="shared" ca="1" si="471"/>
        <v>0</v>
      </c>
      <c r="V194" s="789">
        <f t="shared" ca="1" si="471"/>
        <v>0</v>
      </c>
      <c r="W194" s="789">
        <f t="shared" ca="1" si="471"/>
        <v>0</v>
      </c>
      <c r="X194" s="789">
        <f t="shared" ca="1" si="425"/>
        <v>0</v>
      </c>
      <c r="Y194" s="789">
        <f t="shared" ca="1" si="426"/>
        <v>0</v>
      </c>
      <c r="Z194" s="789">
        <f t="shared" ca="1" si="427"/>
        <v>0</v>
      </c>
      <c r="AA194" s="789">
        <f t="shared" ca="1" si="428"/>
        <v>0</v>
      </c>
      <c r="AB194" s="789" t="str">
        <f t="shared" ca="1" si="429"/>
        <v/>
      </c>
      <c r="AC194" s="789" t="str">
        <f t="shared" ca="1" si="430"/>
        <v/>
      </c>
      <c r="AD194" s="789" t="str">
        <f t="shared" ca="1" si="431"/>
        <v/>
      </c>
      <c r="AE194" s="789" t="str">
        <f t="shared" ca="1" si="432"/>
        <v/>
      </c>
      <c r="AF194" s="789" t="str">
        <f t="shared" ca="1" si="433"/>
        <v/>
      </c>
      <c r="AG194" s="789" t="str">
        <f t="shared" ca="1" si="434"/>
        <v/>
      </c>
      <c r="AH194" s="789" t="str">
        <f t="shared" ca="1" si="435"/>
        <v/>
      </c>
      <c r="AI194" s="789" t="str">
        <f t="shared" ca="1" si="436"/>
        <v/>
      </c>
      <c r="AJ194" s="789" t="str">
        <f t="shared" ca="1" si="437"/>
        <v/>
      </c>
      <c r="AK194" s="789" t="str">
        <f t="shared" ca="1" si="438"/>
        <v/>
      </c>
      <c r="AL194" s="789" t="str">
        <f t="shared" ca="1" si="439"/>
        <v/>
      </c>
      <c r="AM194" s="789" t="str">
        <f t="shared" ca="1" si="440"/>
        <v/>
      </c>
      <c r="AN194" s="789" t="str">
        <f t="shared" ca="1" si="441"/>
        <v/>
      </c>
      <c r="AO194" s="789" t="str">
        <f t="shared" ca="1" si="442"/>
        <v/>
      </c>
      <c r="AP194" s="789" t="str">
        <f t="shared" ca="1" si="443"/>
        <v/>
      </c>
      <c r="AQ194" s="789" t="str">
        <f t="shared" ca="1" si="444"/>
        <v/>
      </c>
      <c r="AR194" s="789" t="str">
        <f t="shared" ca="1" si="445"/>
        <v/>
      </c>
      <c r="AS194" s="789" t="str">
        <f t="shared" ca="1" si="446"/>
        <v/>
      </c>
      <c r="AT194" s="789" t="str">
        <f t="shared" ca="1" si="447"/>
        <v/>
      </c>
      <c r="AU194" s="789" t="str">
        <f t="shared" ca="1" si="448"/>
        <v/>
      </c>
      <c r="AV194" s="789" t="str">
        <f t="shared" ca="1" si="449"/>
        <v/>
      </c>
      <c r="AW194" s="789" t="str">
        <f t="shared" ca="1" si="450"/>
        <v/>
      </c>
      <c r="AX194" s="789" t="str">
        <f t="shared" ca="1" si="451"/>
        <v/>
      </c>
      <c r="AY194" s="789" t="str">
        <f t="shared" ca="1" si="452"/>
        <v/>
      </c>
      <c r="AZ194" s="789" t="str">
        <f t="shared" ca="1" si="453"/>
        <v/>
      </c>
      <c r="BA194" s="789" t="str">
        <f t="shared" ca="1" si="454"/>
        <v/>
      </c>
      <c r="BB194" s="789" t="str">
        <f t="shared" ca="1" si="455"/>
        <v/>
      </c>
      <c r="BC194" s="789" t="str">
        <f t="shared" ca="1" si="456"/>
        <v/>
      </c>
      <c r="BD194" s="789" t="str">
        <f t="shared" ca="1" si="457"/>
        <v/>
      </c>
      <c r="BE194" s="789" t="str">
        <f t="shared" ca="1" si="458"/>
        <v/>
      </c>
      <c r="BF194" s="789" t="str">
        <f t="shared" ca="1" si="459"/>
        <v/>
      </c>
      <c r="BG194" s="789" t="str">
        <f t="shared" ca="1" si="460"/>
        <v/>
      </c>
      <c r="BH194" s="789" t="str">
        <f t="shared" ca="1" si="461"/>
        <v/>
      </c>
      <c r="BI194" s="789" t="str">
        <f t="shared" ca="1" si="462"/>
        <v/>
      </c>
      <c r="BJ194" s="789" t="str">
        <f t="shared" ca="1" si="463"/>
        <v/>
      </c>
      <c r="BK194" s="789" t="str">
        <f t="shared" ca="1" si="464"/>
        <v/>
      </c>
      <c r="BL194" s="789" t="str">
        <f t="shared" ca="1" si="465"/>
        <v/>
      </c>
      <c r="BM194" s="789" t="str">
        <f t="shared" ca="1" si="466"/>
        <v/>
      </c>
      <c r="BN194" s="789" t="str">
        <f t="shared" ca="1" si="467"/>
        <v/>
      </c>
      <c r="BO194" s="789" t="str">
        <f t="shared" ca="1" si="468"/>
        <v/>
      </c>
    </row>
    <row r="195" spans="1:67" ht="20.100000000000001" customHeight="1">
      <c r="A195" s="784">
        <v>32</v>
      </c>
      <c r="B195" s="1594"/>
      <c r="C195" s="1596"/>
      <c r="D195" s="785" t="s">
        <v>373</v>
      </c>
      <c r="E195" s="785"/>
      <c r="F195" s="786"/>
      <c r="G195" s="787" t="s">
        <v>457</v>
      </c>
      <c r="H195" s="788">
        <f t="shared" ca="1" si="469"/>
        <v>3.23</v>
      </c>
      <c r="I195" s="788">
        <f t="shared" ca="1" si="469"/>
        <v>3.23</v>
      </c>
      <c r="J195" s="788">
        <f t="shared" ca="1" si="469"/>
        <v>3.23</v>
      </c>
      <c r="K195" s="788">
        <f t="shared" ca="1" si="469"/>
        <v>3.23</v>
      </c>
      <c r="L195" s="789">
        <f t="shared" ca="1" si="470"/>
        <v>0</v>
      </c>
      <c r="M195" s="789">
        <f t="shared" ca="1" si="470"/>
        <v>0</v>
      </c>
      <c r="N195" s="789">
        <f t="shared" ca="1" si="470"/>
        <v>0</v>
      </c>
      <c r="O195" s="789">
        <f t="shared" ca="1" si="470"/>
        <v>0</v>
      </c>
      <c r="P195" s="789">
        <f ca="1">SUM(SUMIFS(OFFSET(貼付け_2024実績,$A195,10,1,199),OFFSET(貼付け_2024実績,4,9,1,199),{"横浜*","川崎*"}))</f>
        <v>0</v>
      </c>
      <c r="Q195" s="789">
        <f ca="1">SUM(SUMIFS(OFFSET(貼付け_2025実績,$A195,10,1,199),OFFSET(貼付け_2025実績,4,9,1,199),{"横浜*","川崎*"}))</f>
        <v>0</v>
      </c>
      <c r="R195" s="789">
        <f ca="1">SUM(SUMIFS(OFFSET(貼付け_2026実績,$A195,10,1,199),OFFSET(貼付け_2026実績,4,9,1,199),{"横浜*","川崎*"}))</f>
        <v>0</v>
      </c>
      <c r="S195" s="789">
        <f ca="1">SUM(SUMIFS(OFFSET(貼付け_2027実績,$A195,10,1,199),OFFSET(貼付け_2027実績,4,9,1,199),{"横浜*","川崎*"}))</f>
        <v>0</v>
      </c>
      <c r="T195" s="789">
        <f t="shared" ca="1" si="471"/>
        <v>0</v>
      </c>
      <c r="U195" s="789">
        <f t="shared" ca="1" si="471"/>
        <v>0</v>
      </c>
      <c r="V195" s="789">
        <f t="shared" ca="1" si="471"/>
        <v>0</v>
      </c>
      <c r="W195" s="789">
        <f t="shared" ca="1" si="471"/>
        <v>0</v>
      </c>
      <c r="X195" s="789">
        <f t="shared" ca="1" si="425"/>
        <v>0</v>
      </c>
      <c r="Y195" s="789">
        <f t="shared" ca="1" si="426"/>
        <v>0</v>
      </c>
      <c r="Z195" s="789">
        <f t="shared" ca="1" si="427"/>
        <v>0</v>
      </c>
      <c r="AA195" s="789">
        <f t="shared" ca="1" si="428"/>
        <v>0</v>
      </c>
      <c r="AB195" s="789" t="str">
        <f t="shared" ca="1" si="429"/>
        <v/>
      </c>
      <c r="AC195" s="789" t="str">
        <f t="shared" ca="1" si="430"/>
        <v/>
      </c>
      <c r="AD195" s="789" t="str">
        <f t="shared" ca="1" si="431"/>
        <v/>
      </c>
      <c r="AE195" s="789" t="str">
        <f t="shared" ca="1" si="432"/>
        <v/>
      </c>
      <c r="AF195" s="789" t="str">
        <f t="shared" ca="1" si="433"/>
        <v/>
      </c>
      <c r="AG195" s="789" t="str">
        <f t="shared" ca="1" si="434"/>
        <v/>
      </c>
      <c r="AH195" s="789" t="str">
        <f t="shared" ca="1" si="435"/>
        <v/>
      </c>
      <c r="AI195" s="789" t="str">
        <f t="shared" ca="1" si="436"/>
        <v/>
      </c>
      <c r="AJ195" s="789" t="str">
        <f t="shared" ca="1" si="437"/>
        <v/>
      </c>
      <c r="AK195" s="789" t="str">
        <f t="shared" ca="1" si="438"/>
        <v/>
      </c>
      <c r="AL195" s="789" t="str">
        <f t="shared" ca="1" si="439"/>
        <v/>
      </c>
      <c r="AM195" s="789" t="str">
        <f t="shared" ca="1" si="440"/>
        <v/>
      </c>
      <c r="AN195" s="789" t="str">
        <f t="shared" ca="1" si="441"/>
        <v/>
      </c>
      <c r="AO195" s="789" t="str">
        <f t="shared" ca="1" si="442"/>
        <v/>
      </c>
      <c r="AP195" s="789" t="str">
        <f t="shared" ca="1" si="443"/>
        <v/>
      </c>
      <c r="AQ195" s="789" t="str">
        <f t="shared" ca="1" si="444"/>
        <v/>
      </c>
      <c r="AR195" s="789" t="str">
        <f t="shared" ca="1" si="445"/>
        <v/>
      </c>
      <c r="AS195" s="789" t="str">
        <f t="shared" ca="1" si="446"/>
        <v/>
      </c>
      <c r="AT195" s="789" t="str">
        <f t="shared" ca="1" si="447"/>
        <v/>
      </c>
      <c r="AU195" s="789" t="str">
        <f t="shared" ca="1" si="448"/>
        <v/>
      </c>
      <c r="AV195" s="789" t="str">
        <f t="shared" ca="1" si="449"/>
        <v/>
      </c>
      <c r="AW195" s="789" t="str">
        <f t="shared" ca="1" si="450"/>
        <v/>
      </c>
      <c r="AX195" s="789" t="str">
        <f t="shared" ca="1" si="451"/>
        <v/>
      </c>
      <c r="AY195" s="789" t="str">
        <f t="shared" ca="1" si="452"/>
        <v/>
      </c>
      <c r="AZ195" s="789" t="str">
        <f t="shared" ca="1" si="453"/>
        <v/>
      </c>
      <c r="BA195" s="789" t="str">
        <f t="shared" ca="1" si="454"/>
        <v/>
      </c>
      <c r="BB195" s="789" t="str">
        <f t="shared" ca="1" si="455"/>
        <v/>
      </c>
      <c r="BC195" s="789" t="str">
        <f t="shared" ca="1" si="456"/>
        <v/>
      </c>
      <c r="BD195" s="789" t="str">
        <f t="shared" ca="1" si="457"/>
        <v/>
      </c>
      <c r="BE195" s="789" t="str">
        <f t="shared" ca="1" si="458"/>
        <v/>
      </c>
      <c r="BF195" s="789" t="str">
        <f t="shared" ca="1" si="459"/>
        <v/>
      </c>
      <c r="BG195" s="789" t="str">
        <f t="shared" ca="1" si="460"/>
        <v/>
      </c>
      <c r="BH195" s="789" t="str">
        <f t="shared" ca="1" si="461"/>
        <v/>
      </c>
      <c r="BI195" s="789" t="str">
        <f t="shared" ca="1" si="462"/>
        <v/>
      </c>
      <c r="BJ195" s="789" t="str">
        <f t="shared" ca="1" si="463"/>
        <v/>
      </c>
      <c r="BK195" s="789" t="str">
        <f t="shared" ca="1" si="464"/>
        <v/>
      </c>
      <c r="BL195" s="789" t="str">
        <f t="shared" ca="1" si="465"/>
        <v/>
      </c>
      <c r="BM195" s="789" t="str">
        <f t="shared" ca="1" si="466"/>
        <v/>
      </c>
      <c r="BN195" s="789" t="str">
        <f t="shared" ca="1" si="467"/>
        <v/>
      </c>
      <c r="BO195" s="789" t="str">
        <f t="shared" ca="1" si="468"/>
        <v/>
      </c>
    </row>
    <row r="196" spans="1:67" ht="20.100000000000001" customHeight="1">
      <c r="A196" s="784">
        <v>33</v>
      </c>
      <c r="B196" s="1594"/>
      <c r="C196" s="1596"/>
      <c r="D196" s="785" t="s">
        <v>374</v>
      </c>
      <c r="E196" s="785"/>
      <c r="F196" s="786"/>
      <c r="G196" s="787" t="s">
        <v>457</v>
      </c>
      <c r="H196" s="788">
        <f t="shared" ca="1" si="469"/>
        <v>3.45</v>
      </c>
      <c r="I196" s="788">
        <f t="shared" ca="1" si="469"/>
        <v>3.45</v>
      </c>
      <c r="J196" s="788">
        <f t="shared" ca="1" si="469"/>
        <v>3.45</v>
      </c>
      <c r="K196" s="788">
        <f t="shared" ca="1" si="469"/>
        <v>3.45</v>
      </c>
      <c r="L196" s="789">
        <f t="shared" ca="1" si="470"/>
        <v>0</v>
      </c>
      <c r="M196" s="789">
        <f t="shared" ca="1" si="470"/>
        <v>0</v>
      </c>
      <c r="N196" s="789">
        <f t="shared" ca="1" si="470"/>
        <v>0</v>
      </c>
      <c r="O196" s="789">
        <f t="shared" ca="1" si="470"/>
        <v>0</v>
      </c>
      <c r="P196" s="789">
        <f ca="1">SUM(SUMIFS(OFFSET(貼付け_2024実績,$A196,10,1,199),OFFSET(貼付け_2024実績,4,9,1,199),{"横浜*","川崎*"}))</f>
        <v>0</v>
      </c>
      <c r="Q196" s="789">
        <f ca="1">SUM(SUMIFS(OFFSET(貼付け_2025実績,$A196,10,1,199),OFFSET(貼付け_2025実績,4,9,1,199),{"横浜*","川崎*"}))</f>
        <v>0</v>
      </c>
      <c r="R196" s="789">
        <f ca="1">SUM(SUMIFS(OFFSET(貼付け_2026実績,$A196,10,1,199),OFFSET(貼付け_2026実績,4,9,1,199),{"横浜*","川崎*"}))</f>
        <v>0</v>
      </c>
      <c r="S196" s="789">
        <f ca="1">SUM(SUMIFS(OFFSET(貼付け_2027実績,$A196,10,1,199),OFFSET(貼付け_2027実績,4,9,1,199),{"横浜*","川崎*"}))</f>
        <v>0</v>
      </c>
      <c r="T196" s="789">
        <f t="shared" ca="1" si="471"/>
        <v>0</v>
      </c>
      <c r="U196" s="789">
        <f t="shared" ca="1" si="471"/>
        <v>0</v>
      </c>
      <c r="V196" s="789">
        <f t="shared" ca="1" si="471"/>
        <v>0</v>
      </c>
      <c r="W196" s="789">
        <f t="shared" ca="1" si="471"/>
        <v>0</v>
      </c>
      <c r="X196" s="789">
        <f t="shared" ca="1" si="425"/>
        <v>0</v>
      </c>
      <c r="Y196" s="789">
        <f t="shared" ca="1" si="426"/>
        <v>0</v>
      </c>
      <c r="Z196" s="789">
        <f t="shared" ca="1" si="427"/>
        <v>0</v>
      </c>
      <c r="AA196" s="789">
        <f t="shared" ca="1" si="428"/>
        <v>0</v>
      </c>
      <c r="AB196" s="789" t="str">
        <f t="shared" ca="1" si="429"/>
        <v/>
      </c>
      <c r="AC196" s="789" t="str">
        <f t="shared" ca="1" si="430"/>
        <v/>
      </c>
      <c r="AD196" s="789" t="str">
        <f t="shared" ca="1" si="431"/>
        <v/>
      </c>
      <c r="AE196" s="789" t="str">
        <f t="shared" ca="1" si="432"/>
        <v/>
      </c>
      <c r="AF196" s="789" t="str">
        <f t="shared" ca="1" si="433"/>
        <v/>
      </c>
      <c r="AG196" s="789" t="str">
        <f t="shared" ca="1" si="434"/>
        <v/>
      </c>
      <c r="AH196" s="789" t="str">
        <f t="shared" ca="1" si="435"/>
        <v/>
      </c>
      <c r="AI196" s="789" t="str">
        <f t="shared" ca="1" si="436"/>
        <v/>
      </c>
      <c r="AJ196" s="789" t="str">
        <f t="shared" ca="1" si="437"/>
        <v/>
      </c>
      <c r="AK196" s="789" t="str">
        <f t="shared" ca="1" si="438"/>
        <v/>
      </c>
      <c r="AL196" s="789" t="str">
        <f t="shared" ca="1" si="439"/>
        <v/>
      </c>
      <c r="AM196" s="789" t="str">
        <f t="shared" ca="1" si="440"/>
        <v/>
      </c>
      <c r="AN196" s="789" t="str">
        <f t="shared" ca="1" si="441"/>
        <v/>
      </c>
      <c r="AO196" s="789" t="str">
        <f t="shared" ca="1" si="442"/>
        <v/>
      </c>
      <c r="AP196" s="789" t="str">
        <f t="shared" ca="1" si="443"/>
        <v/>
      </c>
      <c r="AQ196" s="789" t="str">
        <f t="shared" ca="1" si="444"/>
        <v/>
      </c>
      <c r="AR196" s="789" t="str">
        <f t="shared" ca="1" si="445"/>
        <v/>
      </c>
      <c r="AS196" s="789" t="str">
        <f t="shared" ca="1" si="446"/>
        <v/>
      </c>
      <c r="AT196" s="789" t="str">
        <f t="shared" ca="1" si="447"/>
        <v/>
      </c>
      <c r="AU196" s="789" t="str">
        <f t="shared" ca="1" si="448"/>
        <v/>
      </c>
      <c r="AV196" s="789" t="str">
        <f t="shared" ca="1" si="449"/>
        <v/>
      </c>
      <c r="AW196" s="789" t="str">
        <f t="shared" ca="1" si="450"/>
        <v/>
      </c>
      <c r="AX196" s="789" t="str">
        <f t="shared" ca="1" si="451"/>
        <v/>
      </c>
      <c r="AY196" s="789" t="str">
        <f t="shared" ca="1" si="452"/>
        <v/>
      </c>
      <c r="AZ196" s="789" t="str">
        <f t="shared" ca="1" si="453"/>
        <v/>
      </c>
      <c r="BA196" s="789" t="str">
        <f t="shared" ca="1" si="454"/>
        <v/>
      </c>
      <c r="BB196" s="789" t="str">
        <f t="shared" ca="1" si="455"/>
        <v/>
      </c>
      <c r="BC196" s="789" t="str">
        <f t="shared" ca="1" si="456"/>
        <v/>
      </c>
      <c r="BD196" s="789" t="str">
        <f t="shared" ca="1" si="457"/>
        <v/>
      </c>
      <c r="BE196" s="789" t="str">
        <f t="shared" ca="1" si="458"/>
        <v/>
      </c>
      <c r="BF196" s="789" t="str">
        <f t="shared" ca="1" si="459"/>
        <v/>
      </c>
      <c r="BG196" s="789" t="str">
        <f t="shared" ca="1" si="460"/>
        <v/>
      </c>
      <c r="BH196" s="789" t="str">
        <f t="shared" ca="1" si="461"/>
        <v/>
      </c>
      <c r="BI196" s="789" t="str">
        <f t="shared" ca="1" si="462"/>
        <v/>
      </c>
      <c r="BJ196" s="789" t="str">
        <f t="shared" ca="1" si="463"/>
        <v/>
      </c>
      <c r="BK196" s="789" t="str">
        <f t="shared" ca="1" si="464"/>
        <v/>
      </c>
      <c r="BL196" s="789" t="str">
        <f t="shared" ca="1" si="465"/>
        <v/>
      </c>
      <c r="BM196" s="789" t="str">
        <f t="shared" ca="1" si="466"/>
        <v/>
      </c>
      <c r="BN196" s="789" t="str">
        <f t="shared" ca="1" si="467"/>
        <v/>
      </c>
      <c r="BO196" s="789" t="str">
        <f t="shared" ca="1" si="468"/>
        <v/>
      </c>
    </row>
    <row r="197" spans="1:67" ht="20.100000000000001" customHeight="1">
      <c r="A197" s="784">
        <v>34</v>
      </c>
      <c r="B197" s="1594"/>
      <c r="C197" s="1596"/>
      <c r="D197" s="785" t="s">
        <v>375</v>
      </c>
      <c r="E197" s="785"/>
      <c r="F197" s="786"/>
      <c r="G197" s="787" t="s">
        <v>457</v>
      </c>
      <c r="H197" s="788">
        <f t="shared" ca="1" si="469"/>
        <v>7.53</v>
      </c>
      <c r="I197" s="788">
        <f t="shared" ca="1" si="469"/>
        <v>7.53</v>
      </c>
      <c r="J197" s="788">
        <f t="shared" ca="1" si="469"/>
        <v>7.53</v>
      </c>
      <c r="K197" s="788">
        <f t="shared" ca="1" si="469"/>
        <v>7.53</v>
      </c>
      <c r="L197" s="789">
        <f t="shared" ca="1" si="470"/>
        <v>0</v>
      </c>
      <c r="M197" s="789">
        <f t="shared" ca="1" si="470"/>
        <v>0</v>
      </c>
      <c r="N197" s="789">
        <f t="shared" ca="1" si="470"/>
        <v>0</v>
      </c>
      <c r="O197" s="789">
        <f t="shared" ca="1" si="470"/>
        <v>0</v>
      </c>
      <c r="P197" s="789">
        <f ca="1">SUM(SUMIFS(OFFSET(貼付け_2024実績,$A197,10,1,199),OFFSET(貼付け_2024実績,4,9,1,199),{"横浜*","川崎*"}))</f>
        <v>0</v>
      </c>
      <c r="Q197" s="789">
        <f ca="1">SUM(SUMIFS(OFFSET(貼付け_2025実績,$A197,10,1,199),OFFSET(貼付け_2025実績,4,9,1,199),{"横浜*","川崎*"}))</f>
        <v>0</v>
      </c>
      <c r="R197" s="789">
        <f ca="1">SUM(SUMIFS(OFFSET(貼付け_2026実績,$A197,10,1,199),OFFSET(貼付け_2026実績,4,9,1,199),{"横浜*","川崎*"}))</f>
        <v>0</v>
      </c>
      <c r="S197" s="789">
        <f ca="1">SUM(SUMIFS(OFFSET(貼付け_2027実績,$A197,10,1,199),OFFSET(貼付け_2027実績,4,9,1,199),{"横浜*","川崎*"}))</f>
        <v>0</v>
      </c>
      <c r="T197" s="789">
        <f t="shared" ca="1" si="471"/>
        <v>0</v>
      </c>
      <c r="U197" s="789">
        <f t="shared" ca="1" si="471"/>
        <v>0</v>
      </c>
      <c r="V197" s="789">
        <f t="shared" ca="1" si="471"/>
        <v>0</v>
      </c>
      <c r="W197" s="789">
        <f t="shared" ca="1" si="471"/>
        <v>0</v>
      </c>
      <c r="X197" s="789">
        <f t="shared" ca="1" si="425"/>
        <v>0</v>
      </c>
      <c r="Y197" s="789">
        <f t="shared" ca="1" si="426"/>
        <v>0</v>
      </c>
      <c r="Z197" s="789">
        <f t="shared" ca="1" si="427"/>
        <v>0</v>
      </c>
      <c r="AA197" s="789">
        <f t="shared" ca="1" si="428"/>
        <v>0</v>
      </c>
      <c r="AB197" s="789" t="str">
        <f t="shared" ca="1" si="429"/>
        <v/>
      </c>
      <c r="AC197" s="789" t="str">
        <f t="shared" ca="1" si="430"/>
        <v/>
      </c>
      <c r="AD197" s="789" t="str">
        <f t="shared" ca="1" si="431"/>
        <v/>
      </c>
      <c r="AE197" s="789" t="str">
        <f t="shared" ca="1" si="432"/>
        <v/>
      </c>
      <c r="AF197" s="789" t="str">
        <f t="shared" ca="1" si="433"/>
        <v/>
      </c>
      <c r="AG197" s="789" t="str">
        <f t="shared" ca="1" si="434"/>
        <v/>
      </c>
      <c r="AH197" s="789" t="str">
        <f t="shared" ca="1" si="435"/>
        <v/>
      </c>
      <c r="AI197" s="789" t="str">
        <f t="shared" ca="1" si="436"/>
        <v/>
      </c>
      <c r="AJ197" s="789" t="str">
        <f t="shared" ca="1" si="437"/>
        <v/>
      </c>
      <c r="AK197" s="789" t="str">
        <f t="shared" ca="1" si="438"/>
        <v/>
      </c>
      <c r="AL197" s="789" t="str">
        <f t="shared" ca="1" si="439"/>
        <v/>
      </c>
      <c r="AM197" s="789" t="str">
        <f t="shared" ca="1" si="440"/>
        <v/>
      </c>
      <c r="AN197" s="789" t="str">
        <f t="shared" ca="1" si="441"/>
        <v/>
      </c>
      <c r="AO197" s="789" t="str">
        <f t="shared" ca="1" si="442"/>
        <v/>
      </c>
      <c r="AP197" s="789" t="str">
        <f t="shared" ca="1" si="443"/>
        <v/>
      </c>
      <c r="AQ197" s="789" t="str">
        <f t="shared" ca="1" si="444"/>
        <v/>
      </c>
      <c r="AR197" s="789" t="str">
        <f t="shared" ca="1" si="445"/>
        <v/>
      </c>
      <c r="AS197" s="789" t="str">
        <f t="shared" ca="1" si="446"/>
        <v/>
      </c>
      <c r="AT197" s="789" t="str">
        <f t="shared" ca="1" si="447"/>
        <v/>
      </c>
      <c r="AU197" s="789" t="str">
        <f t="shared" ca="1" si="448"/>
        <v/>
      </c>
      <c r="AV197" s="789" t="str">
        <f t="shared" ca="1" si="449"/>
        <v/>
      </c>
      <c r="AW197" s="789" t="str">
        <f t="shared" ca="1" si="450"/>
        <v/>
      </c>
      <c r="AX197" s="789" t="str">
        <f t="shared" ca="1" si="451"/>
        <v/>
      </c>
      <c r="AY197" s="789" t="str">
        <f t="shared" ca="1" si="452"/>
        <v/>
      </c>
      <c r="AZ197" s="789" t="str">
        <f t="shared" ca="1" si="453"/>
        <v/>
      </c>
      <c r="BA197" s="789" t="str">
        <f t="shared" ca="1" si="454"/>
        <v/>
      </c>
      <c r="BB197" s="789" t="str">
        <f t="shared" ca="1" si="455"/>
        <v/>
      </c>
      <c r="BC197" s="789" t="str">
        <f t="shared" ca="1" si="456"/>
        <v/>
      </c>
      <c r="BD197" s="789" t="str">
        <f t="shared" ca="1" si="457"/>
        <v/>
      </c>
      <c r="BE197" s="789" t="str">
        <f t="shared" ca="1" si="458"/>
        <v/>
      </c>
      <c r="BF197" s="789" t="str">
        <f t="shared" ca="1" si="459"/>
        <v/>
      </c>
      <c r="BG197" s="789" t="str">
        <f t="shared" ca="1" si="460"/>
        <v/>
      </c>
      <c r="BH197" s="789" t="str">
        <f t="shared" ca="1" si="461"/>
        <v/>
      </c>
      <c r="BI197" s="789" t="str">
        <f t="shared" ca="1" si="462"/>
        <v/>
      </c>
      <c r="BJ197" s="789" t="str">
        <f t="shared" ca="1" si="463"/>
        <v/>
      </c>
      <c r="BK197" s="789" t="str">
        <f t="shared" ca="1" si="464"/>
        <v/>
      </c>
      <c r="BL197" s="789" t="str">
        <f t="shared" ca="1" si="465"/>
        <v/>
      </c>
      <c r="BM197" s="789" t="str">
        <f t="shared" ca="1" si="466"/>
        <v/>
      </c>
      <c r="BN197" s="789" t="str">
        <f t="shared" ca="1" si="467"/>
        <v/>
      </c>
      <c r="BO197" s="789" t="str">
        <f t="shared" ca="1" si="468"/>
        <v/>
      </c>
    </row>
    <row r="198" spans="1:67" ht="20.100000000000001" customHeight="1">
      <c r="A198" s="784">
        <v>35</v>
      </c>
      <c r="B198" s="1595"/>
      <c r="C198" s="1596"/>
      <c r="D198" s="785" t="s">
        <v>782</v>
      </c>
      <c r="E198" s="790"/>
      <c r="F198" s="786"/>
      <c r="G198" s="787" t="s">
        <v>457</v>
      </c>
      <c r="H198" s="788">
        <f t="shared" si="469"/>
        <v>0</v>
      </c>
      <c r="I198" s="788">
        <f t="shared" si="469"/>
        <v>0</v>
      </c>
      <c r="J198" s="788">
        <f t="shared" si="469"/>
        <v>0</v>
      </c>
      <c r="K198" s="788">
        <f t="shared" si="469"/>
        <v>0</v>
      </c>
      <c r="L198" s="789">
        <f t="shared" ca="1" si="470"/>
        <v>0</v>
      </c>
      <c r="M198" s="789">
        <f t="shared" ca="1" si="470"/>
        <v>0</v>
      </c>
      <c r="N198" s="789">
        <f t="shared" ca="1" si="470"/>
        <v>0</v>
      </c>
      <c r="O198" s="789">
        <f t="shared" ca="1" si="470"/>
        <v>0</v>
      </c>
      <c r="P198" s="789">
        <f ca="1">SUM(SUMIFS(OFFSET(貼付け_2024実績,$A198,10,1,199),OFFSET(貼付け_2024実績,4,9,1,199),{"横浜*","川崎*"}))</f>
        <v>0</v>
      </c>
      <c r="Q198" s="789">
        <f ca="1">SUM(SUMIFS(OFFSET(貼付け_2025実績,$A198,10,1,199),OFFSET(貼付け_2025実績,4,9,1,199),{"横浜*","川崎*"}))</f>
        <v>0</v>
      </c>
      <c r="R198" s="789">
        <f ca="1">SUM(SUMIFS(OFFSET(貼付け_2026実績,$A198,10,1,199),OFFSET(貼付け_2026実績,4,9,1,199),{"横浜*","川崎*"}))</f>
        <v>0</v>
      </c>
      <c r="S198" s="789">
        <f ca="1">SUM(SUMIFS(OFFSET(貼付け_2027実績,$A198,10,1,199),OFFSET(貼付け_2027実績,4,9,1,199),{"横浜*","川崎*"}))</f>
        <v>0</v>
      </c>
      <c r="T198" s="789">
        <f t="shared" ca="1" si="471"/>
        <v>0</v>
      </c>
      <c r="U198" s="789">
        <f t="shared" ca="1" si="471"/>
        <v>0</v>
      </c>
      <c r="V198" s="789">
        <f t="shared" ca="1" si="471"/>
        <v>0</v>
      </c>
      <c r="W198" s="789">
        <f t="shared" ca="1" si="471"/>
        <v>0</v>
      </c>
      <c r="X198" s="789">
        <f t="shared" ca="1" si="425"/>
        <v>0</v>
      </c>
      <c r="Y198" s="789">
        <f t="shared" ca="1" si="426"/>
        <v>0</v>
      </c>
      <c r="Z198" s="789">
        <f t="shared" ca="1" si="427"/>
        <v>0</v>
      </c>
      <c r="AA198" s="789">
        <f t="shared" ca="1" si="428"/>
        <v>0</v>
      </c>
      <c r="AB198" s="789" t="str">
        <f t="shared" ca="1" si="429"/>
        <v/>
      </c>
      <c r="AC198" s="789" t="str">
        <f t="shared" ca="1" si="430"/>
        <v/>
      </c>
      <c r="AD198" s="789" t="str">
        <f t="shared" ca="1" si="431"/>
        <v/>
      </c>
      <c r="AE198" s="789" t="str">
        <f t="shared" ca="1" si="432"/>
        <v/>
      </c>
      <c r="AF198" s="789" t="str">
        <f t="shared" ca="1" si="433"/>
        <v/>
      </c>
      <c r="AG198" s="789" t="str">
        <f t="shared" ca="1" si="434"/>
        <v/>
      </c>
      <c r="AH198" s="789" t="str">
        <f t="shared" ca="1" si="435"/>
        <v/>
      </c>
      <c r="AI198" s="789" t="str">
        <f t="shared" ca="1" si="436"/>
        <v/>
      </c>
      <c r="AJ198" s="789" t="str">
        <f t="shared" ca="1" si="437"/>
        <v/>
      </c>
      <c r="AK198" s="789" t="str">
        <f t="shared" ca="1" si="438"/>
        <v/>
      </c>
      <c r="AL198" s="789" t="str">
        <f t="shared" ca="1" si="439"/>
        <v/>
      </c>
      <c r="AM198" s="789" t="str">
        <f t="shared" ca="1" si="440"/>
        <v/>
      </c>
      <c r="AN198" s="789" t="str">
        <f t="shared" ca="1" si="441"/>
        <v/>
      </c>
      <c r="AO198" s="789" t="str">
        <f t="shared" ca="1" si="442"/>
        <v/>
      </c>
      <c r="AP198" s="789" t="str">
        <f t="shared" ca="1" si="443"/>
        <v/>
      </c>
      <c r="AQ198" s="789" t="str">
        <f t="shared" ca="1" si="444"/>
        <v/>
      </c>
      <c r="AR198" s="789" t="str">
        <f t="shared" ca="1" si="445"/>
        <v/>
      </c>
      <c r="AS198" s="789" t="str">
        <f t="shared" ca="1" si="446"/>
        <v/>
      </c>
      <c r="AT198" s="789" t="str">
        <f t="shared" ca="1" si="447"/>
        <v/>
      </c>
      <c r="AU198" s="789" t="str">
        <f t="shared" ca="1" si="448"/>
        <v/>
      </c>
      <c r="AV198" s="789" t="str">
        <f t="shared" ca="1" si="449"/>
        <v/>
      </c>
      <c r="AW198" s="789" t="str">
        <f t="shared" ca="1" si="450"/>
        <v/>
      </c>
      <c r="AX198" s="789" t="str">
        <f t="shared" ca="1" si="451"/>
        <v/>
      </c>
      <c r="AY198" s="789" t="str">
        <f t="shared" ca="1" si="452"/>
        <v/>
      </c>
      <c r="AZ198" s="789" t="str">
        <f t="shared" ca="1" si="453"/>
        <v/>
      </c>
      <c r="BA198" s="789" t="str">
        <f t="shared" ca="1" si="454"/>
        <v/>
      </c>
      <c r="BB198" s="789" t="str">
        <f t="shared" ca="1" si="455"/>
        <v/>
      </c>
      <c r="BC198" s="789" t="str">
        <f t="shared" ca="1" si="456"/>
        <v/>
      </c>
      <c r="BD198" s="789" t="str">
        <f t="shared" ca="1" si="457"/>
        <v/>
      </c>
      <c r="BE198" s="789" t="str">
        <f t="shared" ca="1" si="458"/>
        <v/>
      </c>
      <c r="BF198" s="789" t="str">
        <f t="shared" ca="1" si="459"/>
        <v/>
      </c>
      <c r="BG198" s="789" t="str">
        <f t="shared" ca="1" si="460"/>
        <v/>
      </c>
      <c r="BH198" s="789" t="str">
        <f t="shared" ca="1" si="461"/>
        <v/>
      </c>
      <c r="BI198" s="789" t="str">
        <f t="shared" ca="1" si="462"/>
        <v/>
      </c>
      <c r="BJ198" s="789" t="str">
        <f t="shared" ca="1" si="463"/>
        <v/>
      </c>
      <c r="BK198" s="789" t="str">
        <f t="shared" ca="1" si="464"/>
        <v/>
      </c>
      <c r="BL198" s="789" t="str">
        <f t="shared" ca="1" si="465"/>
        <v/>
      </c>
      <c r="BM198" s="789" t="str">
        <f t="shared" ca="1" si="466"/>
        <v/>
      </c>
      <c r="BN198" s="789" t="str">
        <f t="shared" ca="1" si="467"/>
        <v/>
      </c>
      <c r="BO198" s="789" t="str">
        <f t="shared" ca="1" si="468"/>
        <v/>
      </c>
    </row>
    <row r="199" spans="1:67" ht="20.100000000000001" customHeight="1">
      <c r="A199" s="784">
        <v>36</v>
      </c>
      <c r="B199" s="1594"/>
      <c r="C199" s="1596"/>
      <c r="D199" s="785" t="s">
        <v>376</v>
      </c>
      <c r="E199" s="792" t="str">
        <f ca="1">E37</f>
        <v/>
      </c>
      <c r="F199" s="786"/>
      <c r="G199" s="792" t="str">
        <f ca="1">G37</f>
        <v/>
      </c>
      <c r="H199" s="788">
        <f t="shared" ca="1" si="469"/>
        <v>0</v>
      </c>
      <c r="I199" s="788">
        <f t="shared" ca="1" si="469"/>
        <v>0</v>
      </c>
      <c r="J199" s="788">
        <f t="shared" ca="1" si="469"/>
        <v>0</v>
      </c>
      <c r="K199" s="788">
        <f t="shared" ca="1" si="469"/>
        <v>0</v>
      </c>
      <c r="L199" s="789">
        <f t="shared" ca="1" si="470"/>
        <v>0</v>
      </c>
      <c r="M199" s="789">
        <f t="shared" ca="1" si="470"/>
        <v>0</v>
      </c>
      <c r="N199" s="789">
        <f t="shared" ca="1" si="470"/>
        <v>0</v>
      </c>
      <c r="O199" s="789">
        <f t="shared" ca="1" si="470"/>
        <v>0</v>
      </c>
      <c r="P199" s="789">
        <f ca="1">SUM(SUMIFS(OFFSET(貼付け_2024実績,$A199,10,1,199),OFFSET(貼付け_2024実績,4,9,1,199),{"横浜*","川崎*"}))</f>
        <v>0</v>
      </c>
      <c r="Q199" s="789">
        <f ca="1">SUM(SUMIFS(OFFSET(貼付け_2025実績,$A199,10,1,199),OFFSET(貼付け_2025実績,4,9,1,199),{"横浜*","川崎*"}))</f>
        <v>0</v>
      </c>
      <c r="R199" s="789">
        <f ca="1">SUM(SUMIFS(OFFSET(貼付け_2026実績,$A199,10,1,199),OFFSET(貼付け_2026実績,4,9,1,199),{"横浜*","川崎*"}))</f>
        <v>0</v>
      </c>
      <c r="S199" s="789">
        <f ca="1">SUM(SUMIFS(OFFSET(貼付け_2027実績,$A199,10,1,199),OFFSET(貼付け_2027実績,4,9,1,199),{"横浜*","川崎*"}))</f>
        <v>0</v>
      </c>
      <c r="T199" s="789">
        <f t="shared" ca="1" si="471"/>
        <v>0</v>
      </c>
      <c r="U199" s="789">
        <f t="shared" ca="1" si="471"/>
        <v>0</v>
      </c>
      <c r="V199" s="789">
        <f t="shared" ca="1" si="471"/>
        <v>0</v>
      </c>
      <c r="W199" s="789">
        <f t="shared" ca="1" si="471"/>
        <v>0</v>
      </c>
      <c r="X199" s="789">
        <f t="shared" ca="1" si="425"/>
        <v>0</v>
      </c>
      <c r="Y199" s="789">
        <f t="shared" ca="1" si="426"/>
        <v>0</v>
      </c>
      <c r="Z199" s="789">
        <f t="shared" ca="1" si="427"/>
        <v>0</v>
      </c>
      <c r="AA199" s="789">
        <f t="shared" ca="1" si="428"/>
        <v>0</v>
      </c>
      <c r="AB199" s="789" t="str">
        <f t="shared" ca="1" si="429"/>
        <v/>
      </c>
      <c r="AC199" s="789" t="str">
        <f t="shared" ca="1" si="430"/>
        <v/>
      </c>
      <c r="AD199" s="789" t="str">
        <f t="shared" ca="1" si="431"/>
        <v/>
      </c>
      <c r="AE199" s="789" t="str">
        <f t="shared" ca="1" si="432"/>
        <v/>
      </c>
      <c r="AF199" s="789" t="str">
        <f t="shared" ca="1" si="433"/>
        <v/>
      </c>
      <c r="AG199" s="789" t="str">
        <f t="shared" ca="1" si="434"/>
        <v/>
      </c>
      <c r="AH199" s="789" t="str">
        <f t="shared" ca="1" si="435"/>
        <v/>
      </c>
      <c r="AI199" s="789" t="str">
        <f t="shared" ca="1" si="436"/>
        <v/>
      </c>
      <c r="AJ199" s="789" t="str">
        <f t="shared" ca="1" si="437"/>
        <v/>
      </c>
      <c r="AK199" s="789" t="str">
        <f t="shared" ca="1" si="438"/>
        <v/>
      </c>
      <c r="AL199" s="789" t="str">
        <f t="shared" ca="1" si="439"/>
        <v/>
      </c>
      <c r="AM199" s="789" t="str">
        <f t="shared" ca="1" si="440"/>
        <v/>
      </c>
      <c r="AN199" s="789" t="str">
        <f t="shared" ca="1" si="441"/>
        <v/>
      </c>
      <c r="AO199" s="789" t="str">
        <f t="shared" ca="1" si="442"/>
        <v/>
      </c>
      <c r="AP199" s="789" t="str">
        <f t="shared" ca="1" si="443"/>
        <v/>
      </c>
      <c r="AQ199" s="789" t="str">
        <f t="shared" ca="1" si="444"/>
        <v/>
      </c>
      <c r="AR199" s="789" t="str">
        <f t="shared" ca="1" si="445"/>
        <v/>
      </c>
      <c r="AS199" s="789" t="str">
        <f t="shared" ca="1" si="446"/>
        <v/>
      </c>
      <c r="AT199" s="789" t="str">
        <f t="shared" ca="1" si="447"/>
        <v/>
      </c>
      <c r="AU199" s="789" t="str">
        <f t="shared" ca="1" si="448"/>
        <v/>
      </c>
      <c r="AV199" s="789" t="str">
        <f t="shared" ca="1" si="449"/>
        <v/>
      </c>
      <c r="AW199" s="789" t="str">
        <f t="shared" ca="1" si="450"/>
        <v/>
      </c>
      <c r="AX199" s="789" t="str">
        <f t="shared" ca="1" si="451"/>
        <v/>
      </c>
      <c r="AY199" s="789" t="str">
        <f t="shared" ca="1" si="452"/>
        <v/>
      </c>
      <c r="AZ199" s="789" t="str">
        <f t="shared" ca="1" si="453"/>
        <v/>
      </c>
      <c r="BA199" s="789" t="str">
        <f t="shared" ca="1" si="454"/>
        <v/>
      </c>
      <c r="BB199" s="789" t="str">
        <f t="shared" ca="1" si="455"/>
        <v/>
      </c>
      <c r="BC199" s="789" t="str">
        <f t="shared" ca="1" si="456"/>
        <v/>
      </c>
      <c r="BD199" s="789" t="str">
        <f t="shared" ca="1" si="457"/>
        <v/>
      </c>
      <c r="BE199" s="789" t="str">
        <f t="shared" ca="1" si="458"/>
        <v/>
      </c>
      <c r="BF199" s="789" t="str">
        <f t="shared" ca="1" si="459"/>
        <v/>
      </c>
      <c r="BG199" s="789" t="str">
        <f t="shared" ca="1" si="460"/>
        <v/>
      </c>
      <c r="BH199" s="789" t="str">
        <f t="shared" ca="1" si="461"/>
        <v/>
      </c>
      <c r="BI199" s="789" t="str">
        <f t="shared" ca="1" si="462"/>
        <v/>
      </c>
      <c r="BJ199" s="789" t="str">
        <f t="shared" ca="1" si="463"/>
        <v/>
      </c>
      <c r="BK199" s="789" t="str">
        <f t="shared" ca="1" si="464"/>
        <v/>
      </c>
      <c r="BL199" s="789" t="str">
        <f t="shared" ca="1" si="465"/>
        <v/>
      </c>
      <c r="BM199" s="789" t="str">
        <f t="shared" ca="1" si="466"/>
        <v/>
      </c>
      <c r="BN199" s="789" t="str">
        <f t="shared" ca="1" si="467"/>
        <v/>
      </c>
      <c r="BO199" s="789" t="str">
        <f t="shared" ca="1" si="468"/>
        <v/>
      </c>
    </row>
    <row r="200" spans="1:67" ht="20.100000000000001" customHeight="1">
      <c r="A200" s="784">
        <v>37</v>
      </c>
      <c r="B200" s="1594"/>
      <c r="C200" s="1596" t="s">
        <v>377</v>
      </c>
      <c r="D200" s="793" t="s">
        <v>378</v>
      </c>
      <c r="E200" s="785"/>
      <c r="F200" s="786"/>
      <c r="G200" s="787" t="s">
        <v>455</v>
      </c>
      <c r="H200" s="788">
        <f t="shared" ca="1" si="469"/>
        <v>13.6</v>
      </c>
      <c r="I200" s="788">
        <f t="shared" ca="1" si="469"/>
        <v>13.6</v>
      </c>
      <c r="J200" s="788">
        <f t="shared" ca="1" si="469"/>
        <v>13.6</v>
      </c>
      <c r="K200" s="788">
        <f t="shared" ca="1" si="469"/>
        <v>13.6</v>
      </c>
      <c r="L200" s="789">
        <f t="shared" ca="1" si="470"/>
        <v>0</v>
      </c>
      <c r="M200" s="789">
        <f t="shared" ca="1" si="470"/>
        <v>0</v>
      </c>
      <c r="N200" s="789">
        <f t="shared" ca="1" si="470"/>
        <v>0</v>
      </c>
      <c r="O200" s="789">
        <f t="shared" ca="1" si="470"/>
        <v>0</v>
      </c>
      <c r="P200" s="789">
        <f ca="1">SUM(SUMIFS(OFFSET(貼付け_2024実績,$A200,10,1,199),OFFSET(貼付け_2024実績,4,9,1,199),{"横浜*","川崎*"}))</f>
        <v>0</v>
      </c>
      <c r="Q200" s="789">
        <f ca="1">SUM(SUMIFS(OFFSET(貼付け_2025実績,$A200,10,1,199),OFFSET(貼付け_2025実績,4,9,1,199),{"横浜*","川崎*"}))</f>
        <v>0</v>
      </c>
      <c r="R200" s="789">
        <f ca="1">SUM(SUMIFS(OFFSET(貼付け_2026実績,$A200,10,1,199),OFFSET(貼付け_2026実績,4,9,1,199),{"横浜*","川崎*"}))</f>
        <v>0</v>
      </c>
      <c r="S200" s="789">
        <f ca="1">SUM(SUMIFS(OFFSET(貼付け_2027実績,$A200,10,1,199),OFFSET(貼付け_2027実績,4,9,1,199),{"横浜*","川崎*"}))</f>
        <v>0</v>
      </c>
      <c r="T200" s="789">
        <f t="shared" ca="1" si="471"/>
        <v>0</v>
      </c>
      <c r="U200" s="789">
        <f t="shared" ca="1" si="471"/>
        <v>0</v>
      </c>
      <c r="V200" s="789">
        <f t="shared" ca="1" si="471"/>
        <v>0</v>
      </c>
      <c r="W200" s="789">
        <f t="shared" ca="1" si="471"/>
        <v>0</v>
      </c>
      <c r="X200" s="789">
        <f t="shared" ca="1" si="425"/>
        <v>0</v>
      </c>
      <c r="Y200" s="789">
        <f t="shared" ca="1" si="426"/>
        <v>0</v>
      </c>
      <c r="Z200" s="789">
        <f t="shared" ca="1" si="427"/>
        <v>0</v>
      </c>
      <c r="AA200" s="789">
        <f t="shared" ca="1" si="428"/>
        <v>0</v>
      </c>
      <c r="AB200" s="789" t="str">
        <f t="shared" ca="1" si="429"/>
        <v/>
      </c>
      <c r="AC200" s="789" t="str">
        <f t="shared" ca="1" si="430"/>
        <v/>
      </c>
      <c r="AD200" s="789" t="str">
        <f t="shared" ca="1" si="431"/>
        <v/>
      </c>
      <c r="AE200" s="789" t="str">
        <f t="shared" ca="1" si="432"/>
        <v/>
      </c>
      <c r="AF200" s="789" t="str">
        <f t="shared" ca="1" si="433"/>
        <v/>
      </c>
      <c r="AG200" s="789" t="str">
        <f t="shared" ca="1" si="434"/>
        <v/>
      </c>
      <c r="AH200" s="789" t="str">
        <f t="shared" ca="1" si="435"/>
        <v/>
      </c>
      <c r="AI200" s="789" t="str">
        <f t="shared" ca="1" si="436"/>
        <v/>
      </c>
      <c r="AJ200" s="789" t="str">
        <f t="shared" ca="1" si="437"/>
        <v/>
      </c>
      <c r="AK200" s="789" t="str">
        <f t="shared" ca="1" si="438"/>
        <v/>
      </c>
      <c r="AL200" s="789" t="str">
        <f t="shared" ca="1" si="439"/>
        <v/>
      </c>
      <c r="AM200" s="789" t="str">
        <f t="shared" ca="1" si="440"/>
        <v/>
      </c>
      <c r="AN200" s="789" t="str">
        <f t="shared" ca="1" si="441"/>
        <v/>
      </c>
      <c r="AO200" s="789" t="str">
        <f t="shared" ca="1" si="442"/>
        <v/>
      </c>
      <c r="AP200" s="789" t="str">
        <f t="shared" ca="1" si="443"/>
        <v/>
      </c>
      <c r="AQ200" s="789" t="str">
        <f t="shared" ca="1" si="444"/>
        <v/>
      </c>
      <c r="AR200" s="789" t="str">
        <f t="shared" ca="1" si="445"/>
        <v/>
      </c>
      <c r="AS200" s="789" t="str">
        <f t="shared" ca="1" si="446"/>
        <v/>
      </c>
      <c r="AT200" s="789" t="str">
        <f t="shared" ca="1" si="447"/>
        <v/>
      </c>
      <c r="AU200" s="789" t="str">
        <f t="shared" ca="1" si="448"/>
        <v/>
      </c>
      <c r="AV200" s="789" t="str">
        <f t="shared" ca="1" si="449"/>
        <v/>
      </c>
      <c r="AW200" s="789" t="str">
        <f t="shared" ca="1" si="450"/>
        <v/>
      </c>
      <c r="AX200" s="789" t="str">
        <f t="shared" ca="1" si="451"/>
        <v/>
      </c>
      <c r="AY200" s="789" t="str">
        <f t="shared" ca="1" si="452"/>
        <v/>
      </c>
      <c r="AZ200" s="789" t="str">
        <f t="shared" ca="1" si="453"/>
        <v/>
      </c>
      <c r="BA200" s="789" t="str">
        <f t="shared" ca="1" si="454"/>
        <v/>
      </c>
      <c r="BB200" s="789" t="str">
        <f t="shared" ca="1" si="455"/>
        <v/>
      </c>
      <c r="BC200" s="789" t="str">
        <f t="shared" ca="1" si="456"/>
        <v/>
      </c>
      <c r="BD200" s="789" t="str">
        <f t="shared" ca="1" si="457"/>
        <v/>
      </c>
      <c r="BE200" s="789" t="str">
        <f t="shared" ca="1" si="458"/>
        <v/>
      </c>
      <c r="BF200" s="789" t="str">
        <f t="shared" ca="1" si="459"/>
        <v/>
      </c>
      <c r="BG200" s="789" t="str">
        <f t="shared" ca="1" si="460"/>
        <v/>
      </c>
      <c r="BH200" s="789" t="str">
        <f t="shared" ca="1" si="461"/>
        <v/>
      </c>
      <c r="BI200" s="789" t="str">
        <f t="shared" ca="1" si="462"/>
        <v/>
      </c>
      <c r="BJ200" s="789" t="str">
        <f t="shared" ca="1" si="463"/>
        <v/>
      </c>
      <c r="BK200" s="789" t="str">
        <f t="shared" ca="1" si="464"/>
        <v/>
      </c>
      <c r="BL200" s="789" t="str">
        <f t="shared" ca="1" si="465"/>
        <v/>
      </c>
      <c r="BM200" s="789" t="str">
        <f t="shared" ca="1" si="466"/>
        <v/>
      </c>
      <c r="BN200" s="789" t="str">
        <f t="shared" ca="1" si="467"/>
        <v/>
      </c>
      <c r="BO200" s="789" t="str">
        <f t="shared" ca="1" si="468"/>
        <v/>
      </c>
    </row>
    <row r="201" spans="1:67" ht="20.100000000000001" customHeight="1">
      <c r="A201" s="784">
        <v>38</v>
      </c>
      <c r="B201" s="1594"/>
      <c r="C201" s="1596"/>
      <c r="D201" s="793" t="s">
        <v>379</v>
      </c>
      <c r="E201" s="785"/>
      <c r="F201" s="786"/>
      <c r="G201" s="787" t="s">
        <v>455</v>
      </c>
      <c r="H201" s="788">
        <f t="shared" ca="1" si="469"/>
        <v>13.2</v>
      </c>
      <c r="I201" s="788">
        <f t="shared" ca="1" si="469"/>
        <v>13.2</v>
      </c>
      <c r="J201" s="788">
        <f t="shared" ca="1" si="469"/>
        <v>13.2</v>
      </c>
      <c r="K201" s="788">
        <f t="shared" ca="1" si="469"/>
        <v>13.2</v>
      </c>
      <c r="L201" s="789">
        <f t="shared" ca="1" si="470"/>
        <v>0</v>
      </c>
      <c r="M201" s="789">
        <f t="shared" ca="1" si="470"/>
        <v>0</v>
      </c>
      <c r="N201" s="789">
        <f t="shared" ca="1" si="470"/>
        <v>0</v>
      </c>
      <c r="O201" s="789">
        <f t="shared" ca="1" si="470"/>
        <v>0</v>
      </c>
      <c r="P201" s="789">
        <f ca="1">SUM(SUMIFS(OFFSET(貼付け_2024実績,$A201,10,1,199),OFFSET(貼付け_2024実績,4,9,1,199),{"横浜*","川崎*"}))</f>
        <v>0</v>
      </c>
      <c r="Q201" s="789">
        <f ca="1">SUM(SUMIFS(OFFSET(貼付け_2025実績,$A201,10,1,199),OFFSET(貼付け_2025実績,4,9,1,199),{"横浜*","川崎*"}))</f>
        <v>0</v>
      </c>
      <c r="R201" s="789">
        <f ca="1">SUM(SUMIFS(OFFSET(貼付け_2026実績,$A201,10,1,199),OFFSET(貼付け_2026実績,4,9,1,199),{"横浜*","川崎*"}))</f>
        <v>0</v>
      </c>
      <c r="S201" s="789">
        <f ca="1">SUM(SUMIFS(OFFSET(貼付け_2027実績,$A201,10,1,199),OFFSET(貼付け_2027実績,4,9,1,199),{"横浜*","川崎*"}))</f>
        <v>0</v>
      </c>
      <c r="T201" s="789">
        <f t="shared" ca="1" si="471"/>
        <v>0</v>
      </c>
      <c r="U201" s="789">
        <f t="shared" ca="1" si="471"/>
        <v>0</v>
      </c>
      <c r="V201" s="789">
        <f t="shared" ca="1" si="471"/>
        <v>0</v>
      </c>
      <c r="W201" s="789">
        <f t="shared" ca="1" si="471"/>
        <v>0</v>
      </c>
      <c r="X201" s="789">
        <f t="shared" ca="1" si="425"/>
        <v>0</v>
      </c>
      <c r="Y201" s="789">
        <f t="shared" ca="1" si="426"/>
        <v>0</v>
      </c>
      <c r="Z201" s="789">
        <f t="shared" ca="1" si="427"/>
        <v>0</v>
      </c>
      <c r="AA201" s="789">
        <f t="shared" ca="1" si="428"/>
        <v>0</v>
      </c>
      <c r="AB201" s="789" t="str">
        <f t="shared" ca="1" si="429"/>
        <v/>
      </c>
      <c r="AC201" s="789" t="str">
        <f t="shared" ca="1" si="430"/>
        <v/>
      </c>
      <c r="AD201" s="789" t="str">
        <f t="shared" ca="1" si="431"/>
        <v/>
      </c>
      <c r="AE201" s="789" t="str">
        <f t="shared" ca="1" si="432"/>
        <v/>
      </c>
      <c r="AF201" s="789" t="str">
        <f t="shared" ca="1" si="433"/>
        <v/>
      </c>
      <c r="AG201" s="789" t="str">
        <f t="shared" ca="1" si="434"/>
        <v/>
      </c>
      <c r="AH201" s="789" t="str">
        <f t="shared" ca="1" si="435"/>
        <v/>
      </c>
      <c r="AI201" s="789" t="str">
        <f t="shared" ca="1" si="436"/>
        <v/>
      </c>
      <c r="AJ201" s="789" t="str">
        <f t="shared" ca="1" si="437"/>
        <v/>
      </c>
      <c r="AK201" s="789" t="str">
        <f t="shared" ca="1" si="438"/>
        <v/>
      </c>
      <c r="AL201" s="789" t="str">
        <f t="shared" ca="1" si="439"/>
        <v/>
      </c>
      <c r="AM201" s="789" t="str">
        <f t="shared" ca="1" si="440"/>
        <v/>
      </c>
      <c r="AN201" s="789" t="str">
        <f t="shared" ca="1" si="441"/>
        <v/>
      </c>
      <c r="AO201" s="789" t="str">
        <f t="shared" ca="1" si="442"/>
        <v/>
      </c>
      <c r="AP201" s="789" t="str">
        <f t="shared" ca="1" si="443"/>
        <v/>
      </c>
      <c r="AQ201" s="789" t="str">
        <f t="shared" ca="1" si="444"/>
        <v/>
      </c>
      <c r="AR201" s="789" t="str">
        <f t="shared" ca="1" si="445"/>
        <v/>
      </c>
      <c r="AS201" s="789" t="str">
        <f t="shared" ca="1" si="446"/>
        <v/>
      </c>
      <c r="AT201" s="789" t="str">
        <f t="shared" ca="1" si="447"/>
        <v/>
      </c>
      <c r="AU201" s="789" t="str">
        <f t="shared" ca="1" si="448"/>
        <v/>
      </c>
      <c r="AV201" s="789" t="str">
        <f t="shared" ca="1" si="449"/>
        <v/>
      </c>
      <c r="AW201" s="789" t="str">
        <f t="shared" ca="1" si="450"/>
        <v/>
      </c>
      <c r="AX201" s="789" t="str">
        <f t="shared" ca="1" si="451"/>
        <v/>
      </c>
      <c r="AY201" s="789" t="str">
        <f t="shared" ca="1" si="452"/>
        <v/>
      </c>
      <c r="AZ201" s="789" t="str">
        <f t="shared" ca="1" si="453"/>
        <v/>
      </c>
      <c r="BA201" s="789" t="str">
        <f t="shared" ca="1" si="454"/>
        <v/>
      </c>
      <c r="BB201" s="789" t="str">
        <f t="shared" ca="1" si="455"/>
        <v/>
      </c>
      <c r="BC201" s="789" t="str">
        <f t="shared" ca="1" si="456"/>
        <v/>
      </c>
      <c r="BD201" s="789" t="str">
        <f t="shared" ca="1" si="457"/>
        <v/>
      </c>
      <c r="BE201" s="789" t="str">
        <f t="shared" ca="1" si="458"/>
        <v/>
      </c>
      <c r="BF201" s="789" t="str">
        <f t="shared" ca="1" si="459"/>
        <v/>
      </c>
      <c r="BG201" s="789" t="str">
        <f t="shared" ca="1" si="460"/>
        <v/>
      </c>
      <c r="BH201" s="789" t="str">
        <f t="shared" ca="1" si="461"/>
        <v/>
      </c>
      <c r="BI201" s="789" t="str">
        <f t="shared" ca="1" si="462"/>
        <v/>
      </c>
      <c r="BJ201" s="789" t="str">
        <f t="shared" ca="1" si="463"/>
        <v/>
      </c>
      <c r="BK201" s="789" t="str">
        <f t="shared" ca="1" si="464"/>
        <v/>
      </c>
      <c r="BL201" s="789" t="str">
        <f t="shared" ca="1" si="465"/>
        <v/>
      </c>
      <c r="BM201" s="789" t="str">
        <f t="shared" ca="1" si="466"/>
        <v/>
      </c>
      <c r="BN201" s="789" t="str">
        <f t="shared" ca="1" si="467"/>
        <v/>
      </c>
      <c r="BO201" s="789" t="str">
        <f t="shared" ca="1" si="468"/>
        <v/>
      </c>
    </row>
    <row r="202" spans="1:67" ht="20.100000000000001" customHeight="1">
      <c r="A202" s="784">
        <v>39</v>
      </c>
      <c r="B202" s="1594"/>
      <c r="C202" s="1596"/>
      <c r="D202" s="793" t="s">
        <v>380</v>
      </c>
      <c r="E202" s="779"/>
      <c r="F202" s="786"/>
      <c r="G202" s="787" t="s">
        <v>455</v>
      </c>
      <c r="H202" s="788">
        <f t="shared" ca="1" si="469"/>
        <v>17.100000000000001</v>
      </c>
      <c r="I202" s="788">
        <f t="shared" ca="1" si="469"/>
        <v>17.100000000000001</v>
      </c>
      <c r="J202" s="788">
        <f t="shared" ca="1" si="469"/>
        <v>17.100000000000001</v>
      </c>
      <c r="K202" s="788">
        <f t="shared" ca="1" si="469"/>
        <v>17.100000000000001</v>
      </c>
      <c r="L202" s="789">
        <f t="shared" ca="1" si="470"/>
        <v>0</v>
      </c>
      <c r="M202" s="789">
        <f t="shared" ca="1" si="470"/>
        <v>0</v>
      </c>
      <c r="N202" s="789">
        <f t="shared" ca="1" si="470"/>
        <v>0</v>
      </c>
      <c r="O202" s="789">
        <f t="shared" ca="1" si="470"/>
        <v>0</v>
      </c>
      <c r="P202" s="789">
        <f ca="1">SUM(SUMIFS(OFFSET(貼付け_2024実績,$A202,10,1,199),OFFSET(貼付け_2024実績,4,9,1,199),{"横浜*","川崎*"}))</f>
        <v>0</v>
      </c>
      <c r="Q202" s="789">
        <f ca="1">SUM(SUMIFS(OFFSET(貼付け_2025実績,$A202,10,1,199),OFFSET(貼付け_2025実績,4,9,1,199),{"横浜*","川崎*"}))</f>
        <v>0</v>
      </c>
      <c r="R202" s="789">
        <f ca="1">SUM(SUMIFS(OFFSET(貼付け_2026実績,$A202,10,1,199),OFFSET(貼付け_2026実績,4,9,1,199),{"横浜*","川崎*"}))</f>
        <v>0</v>
      </c>
      <c r="S202" s="789">
        <f ca="1">SUM(SUMIFS(OFFSET(貼付け_2027実績,$A202,10,1,199),OFFSET(貼付け_2027実績,4,9,1,199),{"横浜*","川崎*"}))</f>
        <v>0</v>
      </c>
      <c r="T202" s="789">
        <f t="shared" ca="1" si="471"/>
        <v>0</v>
      </c>
      <c r="U202" s="789">
        <f t="shared" ca="1" si="471"/>
        <v>0</v>
      </c>
      <c r="V202" s="789">
        <f t="shared" ca="1" si="471"/>
        <v>0</v>
      </c>
      <c r="W202" s="789">
        <f t="shared" ca="1" si="471"/>
        <v>0</v>
      </c>
      <c r="X202" s="789">
        <f t="shared" ca="1" si="425"/>
        <v>0</v>
      </c>
      <c r="Y202" s="789">
        <f t="shared" ca="1" si="426"/>
        <v>0</v>
      </c>
      <c r="Z202" s="789">
        <f t="shared" ca="1" si="427"/>
        <v>0</v>
      </c>
      <c r="AA202" s="789">
        <f t="shared" ca="1" si="428"/>
        <v>0</v>
      </c>
      <c r="AB202" s="789" t="str">
        <f t="shared" ca="1" si="429"/>
        <v/>
      </c>
      <c r="AC202" s="789" t="str">
        <f t="shared" ca="1" si="430"/>
        <v/>
      </c>
      <c r="AD202" s="789" t="str">
        <f t="shared" ca="1" si="431"/>
        <v/>
      </c>
      <c r="AE202" s="789" t="str">
        <f t="shared" ca="1" si="432"/>
        <v/>
      </c>
      <c r="AF202" s="789" t="str">
        <f t="shared" ca="1" si="433"/>
        <v/>
      </c>
      <c r="AG202" s="789" t="str">
        <f t="shared" ca="1" si="434"/>
        <v/>
      </c>
      <c r="AH202" s="789" t="str">
        <f t="shared" ca="1" si="435"/>
        <v/>
      </c>
      <c r="AI202" s="789" t="str">
        <f t="shared" ca="1" si="436"/>
        <v/>
      </c>
      <c r="AJ202" s="789" t="str">
        <f t="shared" ca="1" si="437"/>
        <v/>
      </c>
      <c r="AK202" s="789" t="str">
        <f t="shared" ca="1" si="438"/>
        <v/>
      </c>
      <c r="AL202" s="789" t="str">
        <f t="shared" ca="1" si="439"/>
        <v/>
      </c>
      <c r="AM202" s="789" t="str">
        <f t="shared" ca="1" si="440"/>
        <v/>
      </c>
      <c r="AN202" s="789" t="str">
        <f t="shared" ca="1" si="441"/>
        <v/>
      </c>
      <c r="AO202" s="789" t="str">
        <f t="shared" ca="1" si="442"/>
        <v/>
      </c>
      <c r="AP202" s="789" t="str">
        <f t="shared" ca="1" si="443"/>
        <v/>
      </c>
      <c r="AQ202" s="789" t="str">
        <f t="shared" ca="1" si="444"/>
        <v/>
      </c>
      <c r="AR202" s="789" t="str">
        <f t="shared" ca="1" si="445"/>
        <v/>
      </c>
      <c r="AS202" s="789" t="str">
        <f t="shared" ca="1" si="446"/>
        <v/>
      </c>
      <c r="AT202" s="789" t="str">
        <f t="shared" ca="1" si="447"/>
        <v/>
      </c>
      <c r="AU202" s="789" t="str">
        <f t="shared" ca="1" si="448"/>
        <v/>
      </c>
      <c r="AV202" s="789" t="str">
        <f t="shared" ca="1" si="449"/>
        <v/>
      </c>
      <c r="AW202" s="789" t="str">
        <f t="shared" ca="1" si="450"/>
        <v/>
      </c>
      <c r="AX202" s="789" t="str">
        <f t="shared" ca="1" si="451"/>
        <v/>
      </c>
      <c r="AY202" s="789" t="str">
        <f t="shared" ca="1" si="452"/>
        <v/>
      </c>
      <c r="AZ202" s="789" t="str">
        <f t="shared" ca="1" si="453"/>
        <v/>
      </c>
      <c r="BA202" s="789" t="str">
        <f t="shared" ca="1" si="454"/>
        <v/>
      </c>
      <c r="BB202" s="789" t="str">
        <f t="shared" ca="1" si="455"/>
        <v/>
      </c>
      <c r="BC202" s="789" t="str">
        <f t="shared" ca="1" si="456"/>
        <v/>
      </c>
      <c r="BD202" s="789" t="str">
        <f t="shared" ca="1" si="457"/>
        <v/>
      </c>
      <c r="BE202" s="789" t="str">
        <f t="shared" ca="1" si="458"/>
        <v/>
      </c>
      <c r="BF202" s="789" t="str">
        <f t="shared" ca="1" si="459"/>
        <v/>
      </c>
      <c r="BG202" s="789" t="str">
        <f t="shared" ca="1" si="460"/>
        <v/>
      </c>
      <c r="BH202" s="789" t="str">
        <f t="shared" ca="1" si="461"/>
        <v/>
      </c>
      <c r="BI202" s="789" t="str">
        <f t="shared" ca="1" si="462"/>
        <v/>
      </c>
      <c r="BJ202" s="789" t="str">
        <f t="shared" ca="1" si="463"/>
        <v/>
      </c>
      <c r="BK202" s="789" t="str">
        <f t="shared" ca="1" si="464"/>
        <v/>
      </c>
      <c r="BL202" s="789" t="str">
        <f t="shared" ca="1" si="465"/>
        <v/>
      </c>
      <c r="BM202" s="789" t="str">
        <f t="shared" ca="1" si="466"/>
        <v/>
      </c>
      <c r="BN202" s="789" t="str">
        <f t="shared" ca="1" si="467"/>
        <v/>
      </c>
      <c r="BO202" s="789" t="str">
        <f t="shared" ca="1" si="468"/>
        <v/>
      </c>
    </row>
    <row r="203" spans="1:67" ht="20.100000000000001" customHeight="1">
      <c r="A203" s="784">
        <v>40</v>
      </c>
      <c r="B203" s="1594"/>
      <c r="C203" s="1596"/>
      <c r="D203" s="785" t="s">
        <v>381</v>
      </c>
      <c r="E203" s="785"/>
      <c r="F203" s="786"/>
      <c r="G203" s="787" t="s">
        <v>453</v>
      </c>
      <c r="H203" s="788">
        <f t="shared" ref="H203:K218" ca="1" si="472">H41</f>
        <v>23.4</v>
      </c>
      <c r="I203" s="788">
        <f t="shared" ca="1" si="472"/>
        <v>23.4</v>
      </c>
      <c r="J203" s="788">
        <f t="shared" ca="1" si="472"/>
        <v>23.4</v>
      </c>
      <c r="K203" s="788">
        <f t="shared" ca="1" si="472"/>
        <v>23.4</v>
      </c>
      <c r="L203" s="789">
        <f t="shared" ca="1" si="470"/>
        <v>0</v>
      </c>
      <c r="M203" s="789">
        <f t="shared" ca="1" si="470"/>
        <v>0</v>
      </c>
      <c r="N203" s="789">
        <f t="shared" ca="1" si="470"/>
        <v>0</v>
      </c>
      <c r="O203" s="789">
        <f t="shared" ca="1" si="470"/>
        <v>0</v>
      </c>
      <c r="P203" s="789">
        <f ca="1">SUM(SUMIFS(OFFSET(貼付け_2024実績,$A203,10,1,199),OFFSET(貼付け_2024実績,4,9,1,199),{"横浜*","川崎*"}))</f>
        <v>0</v>
      </c>
      <c r="Q203" s="789">
        <f ca="1">SUM(SUMIFS(OFFSET(貼付け_2025実績,$A203,10,1,199),OFFSET(貼付け_2025実績,4,9,1,199),{"横浜*","川崎*"}))</f>
        <v>0</v>
      </c>
      <c r="R203" s="789">
        <f ca="1">SUM(SUMIFS(OFFSET(貼付け_2026実績,$A203,10,1,199),OFFSET(貼付け_2026実績,4,9,1,199),{"横浜*","川崎*"}))</f>
        <v>0</v>
      </c>
      <c r="S203" s="789">
        <f ca="1">SUM(SUMIFS(OFFSET(貼付け_2027実績,$A203,10,1,199),OFFSET(貼付け_2027実績,4,9,1,199),{"横浜*","川崎*"}))</f>
        <v>0</v>
      </c>
      <c r="T203" s="789">
        <f t="shared" ca="1" si="471"/>
        <v>0</v>
      </c>
      <c r="U203" s="789">
        <f t="shared" ca="1" si="471"/>
        <v>0</v>
      </c>
      <c r="V203" s="789">
        <f t="shared" ca="1" si="471"/>
        <v>0</v>
      </c>
      <c r="W203" s="789">
        <f t="shared" ca="1" si="471"/>
        <v>0</v>
      </c>
      <c r="X203" s="789">
        <f t="shared" ca="1" si="425"/>
        <v>0</v>
      </c>
      <c r="Y203" s="789">
        <f t="shared" ca="1" si="426"/>
        <v>0</v>
      </c>
      <c r="Z203" s="789">
        <f t="shared" ca="1" si="427"/>
        <v>0</v>
      </c>
      <c r="AA203" s="789">
        <f t="shared" ca="1" si="428"/>
        <v>0</v>
      </c>
      <c r="AB203" s="789" t="str">
        <f t="shared" ca="1" si="429"/>
        <v/>
      </c>
      <c r="AC203" s="789" t="str">
        <f t="shared" ca="1" si="430"/>
        <v/>
      </c>
      <c r="AD203" s="789" t="str">
        <f t="shared" ca="1" si="431"/>
        <v/>
      </c>
      <c r="AE203" s="789" t="str">
        <f t="shared" ca="1" si="432"/>
        <v/>
      </c>
      <c r="AF203" s="789" t="str">
        <f t="shared" ca="1" si="433"/>
        <v/>
      </c>
      <c r="AG203" s="789" t="str">
        <f t="shared" ca="1" si="434"/>
        <v/>
      </c>
      <c r="AH203" s="789" t="str">
        <f t="shared" ca="1" si="435"/>
        <v/>
      </c>
      <c r="AI203" s="789" t="str">
        <f t="shared" ca="1" si="436"/>
        <v/>
      </c>
      <c r="AJ203" s="789" t="str">
        <f t="shared" ca="1" si="437"/>
        <v/>
      </c>
      <c r="AK203" s="789" t="str">
        <f t="shared" ca="1" si="438"/>
        <v/>
      </c>
      <c r="AL203" s="789" t="str">
        <f t="shared" ca="1" si="439"/>
        <v/>
      </c>
      <c r="AM203" s="789" t="str">
        <f t="shared" ca="1" si="440"/>
        <v/>
      </c>
      <c r="AN203" s="789" t="str">
        <f t="shared" ca="1" si="441"/>
        <v/>
      </c>
      <c r="AO203" s="789" t="str">
        <f t="shared" ca="1" si="442"/>
        <v/>
      </c>
      <c r="AP203" s="789" t="str">
        <f t="shared" ca="1" si="443"/>
        <v/>
      </c>
      <c r="AQ203" s="789" t="str">
        <f t="shared" ca="1" si="444"/>
        <v/>
      </c>
      <c r="AR203" s="789" t="str">
        <f t="shared" ca="1" si="445"/>
        <v/>
      </c>
      <c r="AS203" s="789" t="str">
        <f t="shared" ca="1" si="446"/>
        <v/>
      </c>
      <c r="AT203" s="789" t="str">
        <f t="shared" ca="1" si="447"/>
        <v/>
      </c>
      <c r="AU203" s="789" t="str">
        <f t="shared" ca="1" si="448"/>
        <v/>
      </c>
      <c r="AV203" s="789" t="str">
        <f t="shared" ca="1" si="449"/>
        <v/>
      </c>
      <c r="AW203" s="789" t="str">
        <f t="shared" ca="1" si="450"/>
        <v/>
      </c>
      <c r="AX203" s="789" t="str">
        <f t="shared" ca="1" si="451"/>
        <v/>
      </c>
      <c r="AY203" s="789" t="str">
        <f t="shared" ca="1" si="452"/>
        <v/>
      </c>
      <c r="AZ203" s="789" t="str">
        <f t="shared" ca="1" si="453"/>
        <v/>
      </c>
      <c r="BA203" s="789" t="str">
        <f t="shared" ca="1" si="454"/>
        <v/>
      </c>
      <c r="BB203" s="789" t="str">
        <f t="shared" ca="1" si="455"/>
        <v/>
      </c>
      <c r="BC203" s="789" t="str">
        <f t="shared" ca="1" si="456"/>
        <v/>
      </c>
      <c r="BD203" s="789" t="str">
        <f t="shared" ca="1" si="457"/>
        <v/>
      </c>
      <c r="BE203" s="789" t="str">
        <f t="shared" ca="1" si="458"/>
        <v/>
      </c>
      <c r="BF203" s="789" t="str">
        <f t="shared" ca="1" si="459"/>
        <v/>
      </c>
      <c r="BG203" s="789" t="str">
        <f t="shared" ca="1" si="460"/>
        <v/>
      </c>
      <c r="BH203" s="789" t="str">
        <f t="shared" ca="1" si="461"/>
        <v/>
      </c>
      <c r="BI203" s="789" t="str">
        <f t="shared" ca="1" si="462"/>
        <v/>
      </c>
      <c r="BJ203" s="789" t="str">
        <f t="shared" ca="1" si="463"/>
        <v/>
      </c>
      <c r="BK203" s="789" t="str">
        <f t="shared" ca="1" si="464"/>
        <v/>
      </c>
      <c r="BL203" s="789" t="str">
        <f t="shared" ca="1" si="465"/>
        <v/>
      </c>
      <c r="BM203" s="789" t="str">
        <f t="shared" ca="1" si="466"/>
        <v/>
      </c>
      <c r="BN203" s="789" t="str">
        <f t="shared" ca="1" si="467"/>
        <v/>
      </c>
      <c r="BO203" s="789" t="str">
        <f t="shared" ca="1" si="468"/>
        <v/>
      </c>
    </row>
    <row r="204" spans="1:67" ht="20.100000000000001" customHeight="1">
      <c r="A204" s="784">
        <v>41</v>
      </c>
      <c r="B204" s="1594"/>
      <c r="C204" s="1596"/>
      <c r="D204" s="785" t="s">
        <v>382</v>
      </c>
      <c r="E204" s="785"/>
      <c r="F204" s="786"/>
      <c r="G204" s="787" t="s">
        <v>453</v>
      </c>
      <c r="H204" s="788">
        <f t="shared" ca="1" si="472"/>
        <v>35.6</v>
      </c>
      <c r="I204" s="788">
        <f t="shared" ca="1" si="472"/>
        <v>35.6</v>
      </c>
      <c r="J204" s="788">
        <f t="shared" ca="1" si="472"/>
        <v>35.6</v>
      </c>
      <c r="K204" s="788">
        <f t="shared" ca="1" si="472"/>
        <v>35.6</v>
      </c>
      <c r="L204" s="789">
        <f t="shared" ca="1" si="470"/>
        <v>0</v>
      </c>
      <c r="M204" s="789">
        <f t="shared" ca="1" si="470"/>
        <v>0</v>
      </c>
      <c r="N204" s="789">
        <f t="shared" ca="1" si="470"/>
        <v>0</v>
      </c>
      <c r="O204" s="789">
        <f t="shared" ca="1" si="470"/>
        <v>0</v>
      </c>
      <c r="P204" s="789">
        <f ca="1">SUM(SUMIFS(OFFSET(貼付け_2024実績,$A204,10,1,199),OFFSET(貼付け_2024実績,4,9,1,199),{"横浜*","川崎*"}))</f>
        <v>0</v>
      </c>
      <c r="Q204" s="789">
        <f ca="1">SUM(SUMIFS(OFFSET(貼付け_2025実績,$A204,10,1,199),OFFSET(貼付け_2025実績,4,9,1,199),{"横浜*","川崎*"}))</f>
        <v>0</v>
      </c>
      <c r="R204" s="789">
        <f ca="1">SUM(SUMIFS(OFFSET(貼付け_2026実績,$A204,10,1,199),OFFSET(貼付け_2026実績,4,9,1,199),{"横浜*","川崎*"}))</f>
        <v>0</v>
      </c>
      <c r="S204" s="789">
        <f ca="1">SUM(SUMIFS(OFFSET(貼付け_2027実績,$A204,10,1,199),OFFSET(貼付け_2027実績,4,9,1,199),{"横浜*","川崎*"}))</f>
        <v>0</v>
      </c>
      <c r="T204" s="789">
        <f t="shared" ca="1" si="471"/>
        <v>0</v>
      </c>
      <c r="U204" s="789">
        <f t="shared" ca="1" si="471"/>
        <v>0</v>
      </c>
      <c r="V204" s="789">
        <f t="shared" ca="1" si="471"/>
        <v>0</v>
      </c>
      <c r="W204" s="789">
        <f t="shared" ca="1" si="471"/>
        <v>0</v>
      </c>
      <c r="X204" s="789">
        <f t="shared" ca="1" si="425"/>
        <v>0</v>
      </c>
      <c r="Y204" s="789">
        <f t="shared" ca="1" si="426"/>
        <v>0</v>
      </c>
      <c r="Z204" s="789">
        <f t="shared" ca="1" si="427"/>
        <v>0</v>
      </c>
      <c r="AA204" s="789">
        <f t="shared" ca="1" si="428"/>
        <v>0</v>
      </c>
      <c r="AB204" s="789" t="str">
        <f t="shared" ca="1" si="429"/>
        <v/>
      </c>
      <c r="AC204" s="789" t="str">
        <f t="shared" ca="1" si="430"/>
        <v/>
      </c>
      <c r="AD204" s="789" t="str">
        <f t="shared" ca="1" si="431"/>
        <v/>
      </c>
      <c r="AE204" s="789" t="str">
        <f t="shared" ca="1" si="432"/>
        <v/>
      </c>
      <c r="AF204" s="789" t="str">
        <f t="shared" ca="1" si="433"/>
        <v/>
      </c>
      <c r="AG204" s="789" t="str">
        <f t="shared" ca="1" si="434"/>
        <v/>
      </c>
      <c r="AH204" s="789" t="str">
        <f t="shared" ca="1" si="435"/>
        <v/>
      </c>
      <c r="AI204" s="789" t="str">
        <f t="shared" ca="1" si="436"/>
        <v/>
      </c>
      <c r="AJ204" s="789" t="str">
        <f t="shared" ca="1" si="437"/>
        <v/>
      </c>
      <c r="AK204" s="789" t="str">
        <f t="shared" ca="1" si="438"/>
        <v/>
      </c>
      <c r="AL204" s="789" t="str">
        <f t="shared" ca="1" si="439"/>
        <v/>
      </c>
      <c r="AM204" s="789" t="str">
        <f t="shared" ca="1" si="440"/>
        <v/>
      </c>
      <c r="AN204" s="789" t="str">
        <f t="shared" ca="1" si="441"/>
        <v/>
      </c>
      <c r="AO204" s="789" t="str">
        <f t="shared" ca="1" si="442"/>
        <v/>
      </c>
      <c r="AP204" s="789" t="str">
        <f t="shared" ca="1" si="443"/>
        <v/>
      </c>
      <c r="AQ204" s="789" t="str">
        <f t="shared" ca="1" si="444"/>
        <v/>
      </c>
      <c r="AR204" s="789" t="str">
        <f t="shared" ca="1" si="445"/>
        <v/>
      </c>
      <c r="AS204" s="789" t="str">
        <f t="shared" ca="1" si="446"/>
        <v/>
      </c>
      <c r="AT204" s="789" t="str">
        <f t="shared" ca="1" si="447"/>
        <v/>
      </c>
      <c r="AU204" s="789" t="str">
        <f t="shared" ca="1" si="448"/>
        <v/>
      </c>
      <c r="AV204" s="789" t="str">
        <f t="shared" ca="1" si="449"/>
        <v/>
      </c>
      <c r="AW204" s="789" t="str">
        <f t="shared" ca="1" si="450"/>
        <v/>
      </c>
      <c r="AX204" s="789" t="str">
        <f t="shared" ca="1" si="451"/>
        <v/>
      </c>
      <c r="AY204" s="789" t="str">
        <f t="shared" ca="1" si="452"/>
        <v/>
      </c>
      <c r="AZ204" s="789" t="str">
        <f t="shared" ca="1" si="453"/>
        <v/>
      </c>
      <c r="BA204" s="789" t="str">
        <f t="shared" ca="1" si="454"/>
        <v/>
      </c>
      <c r="BB204" s="789" t="str">
        <f t="shared" ca="1" si="455"/>
        <v/>
      </c>
      <c r="BC204" s="789" t="str">
        <f t="shared" ca="1" si="456"/>
        <v/>
      </c>
      <c r="BD204" s="789" t="str">
        <f t="shared" ca="1" si="457"/>
        <v/>
      </c>
      <c r="BE204" s="789" t="str">
        <f t="shared" ca="1" si="458"/>
        <v/>
      </c>
      <c r="BF204" s="789" t="str">
        <f t="shared" ca="1" si="459"/>
        <v/>
      </c>
      <c r="BG204" s="789" t="str">
        <f t="shared" ca="1" si="460"/>
        <v/>
      </c>
      <c r="BH204" s="789" t="str">
        <f t="shared" ca="1" si="461"/>
        <v/>
      </c>
      <c r="BI204" s="789" t="str">
        <f t="shared" ca="1" si="462"/>
        <v/>
      </c>
      <c r="BJ204" s="789" t="str">
        <f t="shared" ca="1" si="463"/>
        <v/>
      </c>
      <c r="BK204" s="789" t="str">
        <f t="shared" ca="1" si="464"/>
        <v/>
      </c>
      <c r="BL204" s="789" t="str">
        <f t="shared" ca="1" si="465"/>
        <v/>
      </c>
      <c r="BM204" s="789" t="str">
        <f t="shared" ca="1" si="466"/>
        <v/>
      </c>
      <c r="BN204" s="789" t="str">
        <f t="shared" ca="1" si="467"/>
        <v/>
      </c>
      <c r="BO204" s="789" t="str">
        <f t="shared" ca="1" si="468"/>
        <v/>
      </c>
    </row>
    <row r="205" spans="1:67" ht="20.100000000000001" customHeight="1">
      <c r="A205" s="784">
        <v>42</v>
      </c>
      <c r="B205" s="1594"/>
      <c r="C205" s="1596"/>
      <c r="D205" s="785" t="s">
        <v>383</v>
      </c>
      <c r="E205" s="785"/>
      <c r="F205" s="786"/>
      <c r="G205" s="787" t="s">
        <v>457</v>
      </c>
      <c r="H205" s="788">
        <f t="shared" ca="1" si="472"/>
        <v>21.2</v>
      </c>
      <c r="I205" s="788">
        <f t="shared" ca="1" si="472"/>
        <v>21.2</v>
      </c>
      <c r="J205" s="788">
        <f t="shared" ca="1" si="472"/>
        <v>21.2</v>
      </c>
      <c r="K205" s="788">
        <f t="shared" ca="1" si="472"/>
        <v>21.2</v>
      </c>
      <c r="L205" s="789">
        <f t="shared" ca="1" si="470"/>
        <v>0</v>
      </c>
      <c r="M205" s="789">
        <f t="shared" ca="1" si="470"/>
        <v>0</v>
      </c>
      <c r="N205" s="789">
        <f t="shared" ca="1" si="470"/>
        <v>0</v>
      </c>
      <c r="O205" s="789">
        <f t="shared" ca="1" si="470"/>
        <v>0</v>
      </c>
      <c r="P205" s="789">
        <f ca="1">SUM(SUMIFS(OFFSET(貼付け_2024実績,$A205,10,1,199),OFFSET(貼付け_2024実績,4,9,1,199),{"横浜*","川崎*"}))</f>
        <v>0</v>
      </c>
      <c r="Q205" s="789">
        <f ca="1">SUM(SUMIFS(OFFSET(貼付け_2025実績,$A205,10,1,199),OFFSET(貼付け_2025実績,4,9,1,199),{"横浜*","川崎*"}))</f>
        <v>0</v>
      </c>
      <c r="R205" s="789">
        <f ca="1">SUM(SUMIFS(OFFSET(貼付け_2026実績,$A205,10,1,199),OFFSET(貼付け_2026実績,4,9,1,199),{"横浜*","川崎*"}))</f>
        <v>0</v>
      </c>
      <c r="S205" s="789">
        <f ca="1">SUM(SUMIFS(OFFSET(貼付け_2027実績,$A205,10,1,199),OFFSET(貼付け_2027実績,4,9,1,199),{"横浜*","川崎*"}))</f>
        <v>0</v>
      </c>
      <c r="T205" s="789">
        <f t="shared" ca="1" si="471"/>
        <v>0</v>
      </c>
      <c r="U205" s="789">
        <f t="shared" ca="1" si="471"/>
        <v>0</v>
      </c>
      <c r="V205" s="789">
        <f t="shared" ca="1" si="471"/>
        <v>0</v>
      </c>
      <c r="W205" s="789">
        <f t="shared" ca="1" si="471"/>
        <v>0</v>
      </c>
      <c r="X205" s="789">
        <f t="shared" ca="1" si="425"/>
        <v>0</v>
      </c>
      <c r="Y205" s="789">
        <f t="shared" ca="1" si="426"/>
        <v>0</v>
      </c>
      <c r="Z205" s="789">
        <f t="shared" ca="1" si="427"/>
        <v>0</v>
      </c>
      <c r="AA205" s="789">
        <f t="shared" ca="1" si="428"/>
        <v>0</v>
      </c>
      <c r="AB205" s="789" t="str">
        <f t="shared" ca="1" si="429"/>
        <v/>
      </c>
      <c r="AC205" s="789" t="str">
        <f t="shared" ca="1" si="430"/>
        <v/>
      </c>
      <c r="AD205" s="789" t="str">
        <f t="shared" ca="1" si="431"/>
        <v/>
      </c>
      <c r="AE205" s="789" t="str">
        <f t="shared" ca="1" si="432"/>
        <v/>
      </c>
      <c r="AF205" s="789" t="str">
        <f t="shared" ca="1" si="433"/>
        <v/>
      </c>
      <c r="AG205" s="789" t="str">
        <f t="shared" ca="1" si="434"/>
        <v/>
      </c>
      <c r="AH205" s="789" t="str">
        <f t="shared" ca="1" si="435"/>
        <v/>
      </c>
      <c r="AI205" s="789" t="str">
        <f t="shared" ca="1" si="436"/>
        <v/>
      </c>
      <c r="AJ205" s="789" t="str">
        <f t="shared" ca="1" si="437"/>
        <v/>
      </c>
      <c r="AK205" s="789" t="str">
        <f t="shared" ca="1" si="438"/>
        <v/>
      </c>
      <c r="AL205" s="789" t="str">
        <f t="shared" ca="1" si="439"/>
        <v/>
      </c>
      <c r="AM205" s="789" t="str">
        <f t="shared" ca="1" si="440"/>
        <v/>
      </c>
      <c r="AN205" s="789" t="str">
        <f t="shared" ca="1" si="441"/>
        <v/>
      </c>
      <c r="AO205" s="789" t="str">
        <f t="shared" ca="1" si="442"/>
        <v/>
      </c>
      <c r="AP205" s="789" t="str">
        <f t="shared" ca="1" si="443"/>
        <v/>
      </c>
      <c r="AQ205" s="789" t="str">
        <f t="shared" ca="1" si="444"/>
        <v/>
      </c>
      <c r="AR205" s="789" t="str">
        <f t="shared" ca="1" si="445"/>
        <v/>
      </c>
      <c r="AS205" s="789" t="str">
        <f t="shared" ca="1" si="446"/>
        <v/>
      </c>
      <c r="AT205" s="789" t="str">
        <f t="shared" ca="1" si="447"/>
        <v/>
      </c>
      <c r="AU205" s="789" t="str">
        <f t="shared" ca="1" si="448"/>
        <v/>
      </c>
      <c r="AV205" s="789" t="str">
        <f t="shared" ca="1" si="449"/>
        <v/>
      </c>
      <c r="AW205" s="789" t="str">
        <f t="shared" ca="1" si="450"/>
        <v/>
      </c>
      <c r="AX205" s="789" t="str">
        <f t="shared" ca="1" si="451"/>
        <v/>
      </c>
      <c r="AY205" s="789" t="str">
        <f t="shared" ca="1" si="452"/>
        <v/>
      </c>
      <c r="AZ205" s="789" t="str">
        <f t="shared" ca="1" si="453"/>
        <v/>
      </c>
      <c r="BA205" s="789" t="str">
        <f t="shared" ca="1" si="454"/>
        <v/>
      </c>
      <c r="BB205" s="789" t="str">
        <f t="shared" ca="1" si="455"/>
        <v/>
      </c>
      <c r="BC205" s="789" t="str">
        <f t="shared" ca="1" si="456"/>
        <v/>
      </c>
      <c r="BD205" s="789" t="str">
        <f t="shared" ca="1" si="457"/>
        <v/>
      </c>
      <c r="BE205" s="789" t="str">
        <f t="shared" ca="1" si="458"/>
        <v/>
      </c>
      <c r="BF205" s="789" t="str">
        <f t="shared" ca="1" si="459"/>
        <v/>
      </c>
      <c r="BG205" s="789" t="str">
        <f t="shared" ca="1" si="460"/>
        <v/>
      </c>
      <c r="BH205" s="789" t="str">
        <f t="shared" ca="1" si="461"/>
        <v/>
      </c>
      <c r="BI205" s="789" t="str">
        <f t="shared" ca="1" si="462"/>
        <v/>
      </c>
      <c r="BJ205" s="789" t="str">
        <f t="shared" ca="1" si="463"/>
        <v/>
      </c>
      <c r="BK205" s="789" t="str">
        <f t="shared" ca="1" si="464"/>
        <v/>
      </c>
      <c r="BL205" s="789" t="str">
        <f t="shared" ca="1" si="465"/>
        <v/>
      </c>
      <c r="BM205" s="789" t="str">
        <f t="shared" ca="1" si="466"/>
        <v/>
      </c>
      <c r="BN205" s="789" t="str">
        <f t="shared" ca="1" si="467"/>
        <v/>
      </c>
      <c r="BO205" s="789" t="str">
        <f t="shared" ca="1" si="468"/>
        <v/>
      </c>
    </row>
    <row r="206" spans="1:67" ht="20.100000000000001" customHeight="1">
      <c r="A206" s="784">
        <v>43</v>
      </c>
      <c r="B206" s="1594"/>
      <c r="C206" s="1596"/>
      <c r="D206" s="785" t="s">
        <v>384</v>
      </c>
      <c r="E206" s="792" t="str">
        <f ca="1">E44</f>
        <v/>
      </c>
      <c r="F206" s="794"/>
      <c r="G206" s="787" t="s">
        <v>455</v>
      </c>
      <c r="H206" s="788">
        <f t="shared" ca="1" si="472"/>
        <v>13.2</v>
      </c>
      <c r="I206" s="788">
        <f t="shared" ca="1" si="472"/>
        <v>13.2</v>
      </c>
      <c r="J206" s="788">
        <f t="shared" ca="1" si="472"/>
        <v>13.2</v>
      </c>
      <c r="K206" s="788">
        <f t="shared" ca="1" si="472"/>
        <v>13.2</v>
      </c>
      <c r="L206" s="789">
        <f t="shared" ca="1" si="470"/>
        <v>0</v>
      </c>
      <c r="M206" s="789">
        <f t="shared" ca="1" si="470"/>
        <v>0</v>
      </c>
      <c r="N206" s="789">
        <f t="shared" ca="1" si="470"/>
        <v>0</v>
      </c>
      <c r="O206" s="789">
        <f t="shared" ca="1" si="470"/>
        <v>0</v>
      </c>
      <c r="P206" s="789">
        <f ca="1">SUM(SUMIFS(OFFSET(貼付け_2024実績,$A206,10,1,199),OFFSET(貼付け_2024実績,4,9,1,199),{"横浜*","川崎*"}))</f>
        <v>0</v>
      </c>
      <c r="Q206" s="789">
        <f ca="1">SUM(SUMIFS(OFFSET(貼付け_2025実績,$A206,10,1,199),OFFSET(貼付け_2025実績,4,9,1,199),{"横浜*","川崎*"}))</f>
        <v>0</v>
      </c>
      <c r="R206" s="789">
        <f ca="1">SUM(SUMIFS(OFFSET(貼付け_2026実績,$A206,10,1,199),OFFSET(貼付け_2026実績,4,9,1,199),{"横浜*","川崎*"}))</f>
        <v>0</v>
      </c>
      <c r="S206" s="789">
        <f ca="1">SUM(SUMIFS(OFFSET(貼付け_2027実績,$A206,10,1,199),OFFSET(貼付け_2027実績,4,9,1,199),{"横浜*","川崎*"}))</f>
        <v>0</v>
      </c>
      <c r="T206" s="789">
        <f t="shared" ca="1" si="471"/>
        <v>0</v>
      </c>
      <c r="U206" s="789">
        <f t="shared" ca="1" si="471"/>
        <v>0</v>
      </c>
      <c r="V206" s="789">
        <f t="shared" ca="1" si="471"/>
        <v>0</v>
      </c>
      <c r="W206" s="789">
        <f t="shared" ca="1" si="471"/>
        <v>0</v>
      </c>
      <c r="X206" s="789">
        <f t="shared" ca="1" si="425"/>
        <v>0</v>
      </c>
      <c r="Y206" s="789">
        <f t="shared" ca="1" si="426"/>
        <v>0</v>
      </c>
      <c r="Z206" s="789">
        <f t="shared" ca="1" si="427"/>
        <v>0</v>
      </c>
      <c r="AA206" s="789">
        <f t="shared" ca="1" si="428"/>
        <v>0</v>
      </c>
      <c r="AB206" s="789" t="str">
        <f t="shared" ca="1" si="429"/>
        <v/>
      </c>
      <c r="AC206" s="789" t="str">
        <f t="shared" ca="1" si="430"/>
        <v/>
      </c>
      <c r="AD206" s="789" t="str">
        <f t="shared" ca="1" si="431"/>
        <v/>
      </c>
      <c r="AE206" s="789" t="str">
        <f t="shared" ca="1" si="432"/>
        <v/>
      </c>
      <c r="AF206" s="789" t="str">
        <f t="shared" ca="1" si="433"/>
        <v/>
      </c>
      <c r="AG206" s="789" t="str">
        <f t="shared" ca="1" si="434"/>
        <v/>
      </c>
      <c r="AH206" s="789" t="str">
        <f t="shared" ca="1" si="435"/>
        <v/>
      </c>
      <c r="AI206" s="789" t="str">
        <f t="shared" ca="1" si="436"/>
        <v/>
      </c>
      <c r="AJ206" s="789" t="str">
        <f t="shared" ca="1" si="437"/>
        <v/>
      </c>
      <c r="AK206" s="789" t="str">
        <f t="shared" ca="1" si="438"/>
        <v/>
      </c>
      <c r="AL206" s="789" t="str">
        <f t="shared" ca="1" si="439"/>
        <v/>
      </c>
      <c r="AM206" s="789" t="str">
        <f t="shared" ca="1" si="440"/>
        <v/>
      </c>
      <c r="AN206" s="789" t="str">
        <f t="shared" ca="1" si="441"/>
        <v/>
      </c>
      <c r="AO206" s="789" t="str">
        <f t="shared" ca="1" si="442"/>
        <v/>
      </c>
      <c r="AP206" s="789" t="str">
        <f t="shared" ca="1" si="443"/>
        <v/>
      </c>
      <c r="AQ206" s="789" t="str">
        <f t="shared" ca="1" si="444"/>
        <v/>
      </c>
      <c r="AR206" s="789" t="str">
        <f t="shared" ca="1" si="445"/>
        <v/>
      </c>
      <c r="AS206" s="789" t="str">
        <f t="shared" ca="1" si="446"/>
        <v/>
      </c>
      <c r="AT206" s="789" t="str">
        <f t="shared" ca="1" si="447"/>
        <v/>
      </c>
      <c r="AU206" s="789" t="str">
        <f t="shared" ca="1" si="448"/>
        <v/>
      </c>
      <c r="AV206" s="789" t="str">
        <f t="shared" ca="1" si="449"/>
        <v/>
      </c>
      <c r="AW206" s="789" t="str">
        <f t="shared" ca="1" si="450"/>
        <v/>
      </c>
      <c r="AX206" s="789" t="str">
        <f t="shared" ca="1" si="451"/>
        <v/>
      </c>
      <c r="AY206" s="789" t="str">
        <f t="shared" ca="1" si="452"/>
        <v/>
      </c>
      <c r="AZ206" s="789" t="str">
        <f t="shared" ca="1" si="453"/>
        <v/>
      </c>
      <c r="BA206" s="789" t="str">
        <f t="shared" ca="1" si="454"/>
        <v/>
      </c>
      <c r="BB206" s="789" t="str">
        <f t="shared" ca="1" si="455"/>
        <v/>
      </c>
      <c r="BC206" s="789" t="str">
        <f t="shared" ca="1" si="456"/>
        <v/>
      </c>
      <c r="BD206" s="789" t="str">
        <f t="shared" ca="1" si="457"/>
        <v/>
      </c>
      <c r="BE206" s="789" t="str">
        <f t="shared" ca="1" si="458"/>
        <v/>
      </c>
      <c r="BF206" s="789" t="str">
        <f t="shared" ca="1" si="459"/>
        <v/>
      </c>
      <c r="BG206" s="789" t="str">
        <f t="shared" ca="1" si="460"/>
        <v/>
      </c>
      <c r="BH206" s="789" t="str">
        <f t="shared" ca="1" si="461"/>
        <v/>
      </c>
      <c r="BI206" s="789" t="str">
        <f t="shared" ca="1" si="462"/>
        <v/>
      </c>
      <c r="BJ206" s="789" t="str">
        <f t="shared" ca="1" si="463"/>
        <v/>
      </c>
      <c r="BK206" s="789" t="str">
        <f t="shared" ca="1" si="464"/>
        <v/>
      </c>
      <c r="BL206" s="789" t="str">
        <f t="shared" ca="1" si="465"/>
        <v/>
      </c>
      <c r="BM206" s="789" t="str">
        <f t="shared" ca="1" si="466"/>
        <v/>
      </c>
      <c r="BN206" s="789" t="str">
        <f t="shared" ca="1" si="467"/>
        <v/>
      </c>
      <c r="BO206" s="789" t="str">
        <f t="shared" ca="1" si="468"/>
        <v/>
      </c>
    </row>
    <row r="207" spans="1:67" ht="20.100000000000001" customHeight="1">
      <c r="A207" s="784">
        <v>44</v>
      </c>
      <c r="B207" s="1594"/>
      <c r="C207" s="1596"/>
      <c r="D207" s="793" t="s">
        <v>385</v>
      </c>
      <c r="E207" s="785"/>
      <c r="F207" s="786"/>
      <c r="G207" s="787" t="s">
        <v>455</v>
      </c>
      <c r="H207" s="788">
        <f t="shared" ca="1" si="472"/>
        <v>18</v>
      </c>
      <c r="I207" s="788">
        <f t="shared" ca="1" si="472"/>
        <v>18</v>
      </c>
      <c r="J207" s="788">
        <f t="shared" ca="1" si="472"/>
        <v>18</v>
      </c>
      <c r="K207" s="788">
        <f t="shared" ca="1" si="472"/>
        <v>18</v>
      </c>
      <c r="L207" s="789">
        <f t="shared" ca="1" si="470"/>
        <v>0</v>
      </c>
      <c r="M207" s="789">
        <f t="shared" ca="1" si="470"/>
        <v>0</v>
      </c>
      <c r="N207" s="789">
        <f t="shared" ca="1" si="470"/>
        <v>0</v>
      </c>
      <c r="O207" s="789">
        <f t="shared" ca="1" si="470"/>
        <v>0</v>
      </c>
      <c r="P207" s="789">
        <f ca="1">SUM(SUMIFS(OFFSET(貼付け_2024実績,$A207,10,1,199),OFFSET(貼付け_2024実績,4,9,1,199),{"横浜*","川崎*"}))</f>
        <v>0</v>
      </c>
      <c r="Q207" s="789">
        <f ca="1">SUM(SUMIFS(OFFSET(貼付け_2025実績,$A207,10,1,199),OFFSET(貼付け_2025実績,4,9,1,199),{"横浜*","川崎*"}))</f>
        <v>0</v>
      </c>
      <c r="R207" s="789">
        <f ca="1">SUM(SUMIFS(OFFSET(貼付け_2026実績,$A207,10,1,199),OFFSET(貼付け_2026実績,4,9,1,199),{"横浜*","川崎*"}))</f>
        <v>0</v>
      </c>
      <c r="S207" s="789">
        <f ca="1">SUM(SUMIFS(OFFSET(貼付け_2027実績,$A207,10,1,199),OFFSET(貼付け_2027実績,4,9,1,199),{"横浜*","川崎*"}))</f>
        <v>0</v>
      </c>
      <c r="T207" s="789">
        <f t="shared" ca="1" si="471"/>
        <v>0</v>
      </c>
      <c r="U207" s="789">
        <f t="shared" ca="1" si="471"/>
        <v>0</v>
      </c>
      <c r="V207" s="789">
        <f t="shared" ca="1" si="471"/>
        <v>0</v>
      </c>
      <c r="W207" s="789">
        <f t="shared" ca="1" si="471"/>
        <v>0</v>
      </c>
      <c r="X207" s="789">
        <f t="shared" ca="1" si="425"/>
        <v>0</v>
      </c>
      <c r="Y207" s="789">
        <f t="shared" ca="1" si="426"/>
        <v>0</v>
      </c>
      <c r="Z207" s="789">
        <f t="shared" ca="1" si="427"/>
        <v>0</v>
      </c>
      <c r="AA207" s="789">
        <f t="shared" ca="1" si="428"/>
        <v>0</v>
      </c>
      <c r="AB207" s="789" t="str">
        <f t="shared" ca="1" si="429"/>
        <v/>
      </c>
      <c r="AC207" s="789" t="str">
        <f t="shared" ca="1" si="430"/>
        <v/>
      </c>
      <c r="AD207" s="789" t="str">
        <f t="shared" ca="1" si="431"/>
        <v/>
      </c>
      <c r="AE207" s="789" t="str">
        <f t="shared" ca="1" si="432"/>
        <v/>
      </c>
      <c r="AF207" s="789" t="str">
        <f t="shared" ca="1" si="433"/>
        <v/>
      </c>
      <c r="AG207" s="789" t="str">
        <f t="shared" ca="1" si="434"/>
        <v/>
      </c>
      <c r="AH207" s="789" t="str">
        <f t="shared" ca="1" si="435"/>
        <v/>
      </c>
      <c r="AI207" s="789" t="str">
        <f t="shared" ca="1" si="436"/>
        <v/>
      </c>
      <c r="AJ207" s="789" t="str">
        <f t="shared" ca="1" si="437"/>
        <v/>
      </c>
      <c r="AK207" s="789" t="str">
        <f t="shared" ca="1" si="438"/>
        <v/>
      </c>
      <c r="AL207" s="789" t="str">
        <f t="shared" ca="1" si="439"/>
        <v/>
      </c>
      <c r="AM207" s="789" t="str">
        <f t="shared" ca="1" si="440"/>
        <v/>
      </c>
      <c r="AN207" s="789" t="str">
        <f t="shared" ca="1" si="441"/>
        <v/>
      </c>
      <c r="AO207" s="789" t="str">
        <f t="shared" ca="1" si="442"/>
        <v/>
      </c>
      <c r="AP207" s="789" t="str">
        <f t="shared" ca="1" si="443"/>
        <v/>
      </c>
      <c r="AQ207" s="789" t="str">
        <f t="shared" ca="1" si="444"/>
        <v/>
      </c>
      <c r="AR207" s="789" t="str">
        <f t="shared" ca="1" si="445"/>
        <v/>
      </c>
      <c r="AS207" s="789" t="str">
        <f t="shared" ca="1" si="446"/>
        <v/>
      </c>
      <c r="AT207" s="789" t="str">
        <f t="shared" ca="1" si="447"/>
        <v/>
      </c>
      <c r="AU207" s="789" t="str">
        <f t="shared" ca="1" si="448"/>
        <v/>
      </c>
      <c r="AV207" s="789" t="str">
        <f t="shared" ca="1" si="449"/>
        <v/>
      </c>
      <c r="AW207" s="789" t="str">
        <f t="shared" ca="1" si="450"/>
        <v/>
      </c>
      <c r="AX207" s="789" t="str">
        <f t="shared" ca="1" si="451"/>
        <v/>
      </c>
      <c r="AY207" s="789" t="str">
        <f t="shared" ca="1" si="452"/>
        <v/>
      </c>
      <c r="AZ207" s="789" t="str">
        <f t="shared" ca="1" si="453"/>
        <v/>
      </c>
      <c r="BA207" s="789" t="str">
        <f t="shared" ca="1" si="454"/>
        <v/>
      </c>
      <c r="BB207" s="789" t="str">
        <f t="shared" ca="1" si="455"/>
        <v/>
      </c>
      <c r="BC207" s="789" t="str">
        <f t="shared" ca="1" si="456"/>
        <v/>
      </c>
      <c r="BD207" s="789" t="str">
        <f t="shared" ca="1" si="457"/>
        <v/>
      </c>
      <c r="BE207" s="789" t="str">
        <f t="shared" ca="1" si="458"/>
        <v/>
      </c>
      <c r="BF207" s="789" t="str">
        <f t="shared" ca="1" si="459"/>
        <v/>
      </c>
      <c r="BG207" s="789" t="str">
        <f t="shared" ca="1" si="460"/>
        <v/>
      </c>
      <c r="BH207" s="789" t="str">
        <f t="shared" ca="1" si="461"/>
        <v/>
      </c>
      <c r="BI207" s="789" t="str">
        <f t="shared" ca="1" si="462"/>
        <v/>
      </c>
      <c r="BJ207" s="789" t="str">
        <f t="shared" ca="1" si="463"/>
        <v/>
      </c>
      <c r="BK207" s="789" t="str">
        <f t="shared" ca="1" si="464"/>
        <v/>
      </c>
      <c r="BL207" s="789" t="str">
        <f t="shared" ca="1" si="465"/>
        <v/>
      </c>
      <c r="BM207" s="789" t="str">
        <f t="shared" ca="1" si="466"/>
        <v/>
      </c>
      <c r="BN207" s="789" t="str">
        <f t="shared" ca="1" si="467"/>
        <v/>
      </c>
      <c r="BO207" s="789" t="str">
        <f t="shared" ca="1" si="468"/>
        <v/>
      </c>
    </row>
    <row r="208" spans="1:67" ht="20.100000000000001" customHeight="1">
      <c r="A208" s="784">
        <v>45</v>
      </c>
      <c r="B208" s="1594"/>
      <c r="C208" s="1596"/>
      <c r="D208" s="793" t="s">
        <v>386</v>
      </c>
      <c r="E208" s="795"/>
      <c r="F208" s="786"/>
      <c r="G208" s="787" t="s">
        <v>455</v>
      </c>
      <c r="H208" s="788">
        <f t="shared" ca="1" si="472"/>
        <v>26.9</v>
      </c>
      <c r="I208" s="788">
        <f t="shared" ca="1" si="472"/>
        <v>26.9</v>
      </c>
      <c r="J208" s="788">
        <f t="shared" ca="1" si="472"/>
        <v>26.9</v>
      </c>
      <c r="K208" s="788">
        <f t="shared" ca="1" si="472"/>
        <v>26.9</v>
      </c>
      <c r="L208" s="789">
        <f t="shared" ca="1" si="470"/>
        <v>0</v>
      </c>
      <c r="M208" s="789">
        <f t="shared" ca="1" si="470"/>
        <v>0</v>
      </c>
      <c r="N208" s="789">
        <f t="shared" ca="1" si="470"/>
        <v>0</v>
      </c>
      <c r="O208" s="789">
        <f t="shared" ca="1" si="470"/>
        <v>0</v>
      </c>
      <c r="P208" s="789">
        <f ca="1">SUM(SUMIFS(OFFSET(貼付け_2024実績,$A208,10,1,199),OFFSET(貼付け_2024実績,4,9,1,199),{"横浜*","川崎*"}))</f>
        <v>0</v>
      </c>
      <c r="Q208" s="789">
        <f ca="1">SUM(SUMIFS(OFFSET(貼付け_2025実績,$A208,10,1,199),OFFSET(貼付け_2025実績,4,9,1,199),{"横浜*","川崎*"}))</f>
        <v>0</v>
      </c>
      <c r="R208" s="789">
        <f ca="1">SUM(SUMIFS(OFFSET(貼付け_2026実績,$A208,10,1,199),OFFSET(貼付け_2026実績,4,9,1,199),{"横浜*","川崎*"}))</f>
        <v>0</v>
      </c>
      <c r="S208" s="789">
        <f ca="1">SUM(SUMIFS(OFFSET(貼付け_2027実績,$A208,10,1,199),OFFSET(貼付け_2027実績,4,9,1,199),{"横浜*","川崎*"}))</f>
        <v>0</v>
      </c>
      <c r="T208" s="789">
        <f t="shared" ca="1" si="471"/>
        <v>0</v>
      </c>
      <c r="U208" s="789">
        <f t="shared" ca="1" si="471"/>
        <v>0</v>
      </c>
      <c r="V208" s="789">
        <f t="shared" ca="1" si="471"/>
        <v>0</v>
      </c>
      <c r="W208" s="789">
        <f t="shared" ca="1" si="471"/>
        <v>0</v>
      </c>
      <c r="X208" s="789">
        <f t="shared" ca="1" si="425"/>
        <v>0</v>
      </c>
      <c r="Y208" s="789">
        <f t="shared" ca="1" si="426"/>
        <v>0</v>
      </c>
      <c r="Z208" s="789">
        <f t="shared" ca="1" si="427"/>
        <v>0</v>
      </c>
      <c r="AA208" s="789">
        <f t="shared" ca="1" si="428"/>
        <v>0</v>
      </c>
      <c r="AB208" s="789" t="str">
        <f t="shared" ca="1" si="429"/>
        <v/>
      </c>
      <c r="AC208" s="789" t="str">
        <f t="shared" ca="1" si="430"/>
        <v/>
      </c>
      <c r="AD208" s="789" t="str">
        <f t="shared" ca="1" si="431"/>
        <v/>
      </c>
      <c r="AE208" s="789" t="str">
        <f t="shared" ca="1" si="432"/>
        <v/>
      </c>
      <c r="AF208" s="789" t="str">
        <f t="shared" ca="1" si="433"/>
        <v/>
      </c>
      <c r="AG208" s="789" t="str">
        <f t="shared" ca="1" si="434"/>
        <v/>
      </c>
      <c r="AH208" s="789" t="str">
        <f t="shared" ca="1" si="435"/>
        <v/>
      </c>
      <c r="AI208" s="789" t="str">
        <f t="shared" ca="1" si="436"/>
        <v/>
      </c>
      <c r="AJ208" s="789" t="str">
        <f t="shared" ca="1" si="437"/>
        <v/>
      </c>
      <c r="AK208" s="789" t="str">
        <f t="shared" ca="1" si="438"/>
        <v/>
      </c>
      <c r="AL208" s="789" t="str">
        <f t="shared" ca="1" si="439"/>
        <v/>
      </c>
      <c r="AM208" s="789" t="str">
        <f t="shared" ca="1" si="440"/>
        <v/>
      </c>
      <c r="AN208" s="789" t="str">
        <f t="shared" ca="1" si="441"/>
        <v/>
      </c>
      <c r="AO208" s="789" t="str">
        <f t="shared" ca="1" si="442"/>
        <v/>
      </c>
      <c r="AP208" s="789" t="str">
        <f t="shared" ca="1" si="443"/>
        <v/>
      </c>
      <c r="AQ208" s="789" t="str">
        <f t="shared" ca="1" si="444"/>
        <v/>
      </c>
      <c r="AR208" s="789" t="str">
        <f t="shared" ca="1" si="445"/>
        <v/>
      </c>
      <c r="AS208" s="789" t="str">
        <f t="shared" ca="1" si="446"/>
        <v/>
      </c>
      <c r="AT208" s="789" t="str">
        <f t="shared" ca="1" si="447"/>
        <v/>
      </c>
      <c r="AU208" s="789" t="str">
        <f t="shared" ca="1" si="448"/>
        <v/>
      </c>
      <c r="AV208" s="789" t="str">
        <f t="shared" ca="1" si="449"/>
        <v/>
      </c>
      <c r="AW208" s="789" t="str">
        <f t="shared" ca="1" si="450"/>
        <v/>
      </c>
      <c r="AX208" s="789" t="str">
        <f t="shared" ca="1" si="451"/>
        <v/>
      </c>
      <c r="AY208" s="789" t="str">
        <f t="shared" ca="1" si="452"/>
        <v/>
      </c>
      <c r="AZ208" s="789" t="str">
        <f t="shared" ca="1" si="453"/>
        <v/>
      </c>
      <c r="BA208" s="789" t="str">
        <f t="shared" ca="1" si="454"/>
        <v/>
      </c>
      <c r="BB208" s="789" t="str">
        <f t="shared" ca="1" si="455"/>
        <v/>
      </c>
      <c r="BC208" s="789" t="str">
        <f t="shared" ca="1" si="456"/>
        <v/>
      </c>
      <c r="BD208" s="789" t="str">
        <f t="shared" ca="1" si="457"/>
        <v/>
      </c>
      <c r="BE208" s="789" t="str">
        <f t="shared" ca="1" si="458"/>
        <v/>
      </c>
      <c r="BF208" s="789" t="str">
        <f t="shared" ca="1" si="459"/>
        <v/>
      </c>
      <c r="BG208" s="789" t="str">
        <f t="shared" ca="1" si="460"/>
        <v/>
      </c>
      <c r="BH208" s="789" t="str">
        <f t="shared" ca="1" si="461"/>
        <v/>
      </c>
      <c r="BI208" s="789" t="str">
        <f t="shared" ca="1" si="462"/>
        <v/>
      </c>
      <c r="BJ208" s="789" t="str">
        <f t="shared" ca="1" si="463"/>
        <v/>
      </c>
      <c r="BK208" s="789" t="str">
        <f t="shared" ca="1" si="464"/>
        <v/>
      </c>
      <c r="BL208" s="789" t="str">
        <f t="shared" ca="1" si="465"/>
        <v/>
      </c>
      <c r="BM208" s="789" t="str">
        <f t="shared" ca="1" si="466"/>
        <v/>
      </c>
      <c r="BN208" s="789" t="str">
        <f t="shared" ca="1" si="467"/>
        <v/>
      </c>
      <c r="BO208" s="789" t="str">
        <f t="shared" ca="1" si="468"/>
        <v/>
      </c>
    </row>
    <row r="209" spans="1:68" ht="20.100000000000001" customHeight="1">
      <c r="A209" s="784">
        <v>46</v>
      </c>
      <c r="B209" s="1594"/>
      <c r="C209" s="1596"/>
      <c r="D209" s="793" t="s">
        <v>387</v>
      </c>
      <c r="E209" s="779"/>
      <c r="F209" s="786"/>
      <c r="G209" s="787" t="s">
        <v>455</v>
      </c>
      <c r="H209" s="788">
        <f t="shared" ca="1" si="472"/>
        <v>33.200000000000003</v>
      </c>
      <c r="I209" s="788">
        <f t="shared" ca="1" si="472"/>
        <v>33.200000000000003</v>
      </c>
      <c r="J209" s="788">
        <f t="shared" ca="1" si="472"/>
        <v>33.200000000000003</v>
      </c>
      <c r="K209" s="788">
        <f t="shared" ca="1" si="472"/>
        <v>33.200000000000003</v>
      </c>
      <c r="L209" s="789">
        <f t="shared" ca="1" si="470"/>
        <v>0</v>
      </c>
      <c r="M209" s="789">
        <f t="shared" ca="1" si="470"/>
        <v>0</v>
      </c>
      <c r="N209" s="789">
        <f t="shared" ca="1" si="470"/>
        <v>0</v>
      </c>
      <c r="O209" s="789">
        <f t="shared" ca="1" si="470"/>
        <v>0</v>
      </c>
      <c r="P209" s="789">
        <f ca="1">SUM(SUMIFS(OFFSET(貼付け_2024実績,$A209,10,1,199),OFFSET(貼付け_2024実績,4,9,1,199),{"横浜*","川崎*"}))</f>
        <v>0</v>
      </c>
      <c r="Q209" s="789">
        <f ca="1">SUM(SUMIFS(OFFSET(貼付け_2025実績,$A209,10,1,199),OFFSET(貼付け_2025実績,4,9,1,199),{"横浜*","川崎*"}))</f>
        <v>0</v>
      </c>
      <c r="R209" s="789">
        <f ca="1">SUM(SUMIFS(OFFSET(貼付け_2026実績,$A209,10,1,199),OFFSET(貼付け_2026実績,4,9,1,199),{"横浜*","川崎*"}))</f>
        <v>0</v>
      </c>
      <c r="S209" s="789">
        <f ca="1">SUM(SUMIFS(OFFSET(貼付け_2027実績,$A209,10,1,199),OFFSET(貼付け_2027実績,4,9,1,199),{"横浜*","川崎*"}))</f>
        <v>0</v>
      </c>
      <c r="T209" s="789">
        <f t="shared" ca="1" si="471"/>
        <v>0</v>
      </c>
      <c r="U209" s="789">
        <f t="shared" ca="1" si="471"/>
        <v>0</v>
      </c>
      <c r="V209" s="789">
        <f t="shared" ca="1" si="471"/>
        <v>0</v>
      </c>
      <c r="W209" s="789">
        <f t="shared" ca="1" si="471"/>
        <v>0</v>
      </c>
      <c r="X209" s="789">
        <f t="shared" ca="1" si="425"/>
        <v>0</v>
      </c>
      <c r="Y209" s="789">
        <f t="shared" ca="1" si="426"/>
        <v>0</v>
      </c>
      <c r="Z209" s="789">
        <f t="shared" ca="1" si="427"/>
        <v>0</v>
      </c>
      <c r="AA209" s="789">
        <f t="shared" ca="1" si="428"/>
        <v>0</v>
      </c>
      <c r="AB209" s="789" t="str">
        <f t="shared" ca="1" si="429"/>
        <v/>
      </c>
      <c r="AC209" s="789" t="str">
        <f t="shared" ca="1" si="430"/>
        <v/>
      </c>
      <c r="AD209" s="789" t="str">
        <f t="shared" ca="1" si="431"/>
        <v/>
      </c>
      <c r="AE209" s="789" t="str">
        <f t="shared" ca="1" si="432"/>
        <v/>
      </c>
      <c r="AF209" s="789" t="str">
        <f t="shared" ca="1" si="433"/>
        <v/>
      </c>
      <c r="AG209" s="789" t="str">
        <f t="shared" ca="1" si="434"/>
        <v/>
      </c>
      <c r="AH209" s="789" t="str">
        <f t="shared" ca="1" si="435"/>
        <v/>
      </c>
      <c r="AI209" s="789" t="str">
        <f t="shared" ca="1" si="436"/>
        <v/>
      </c>
      <c r="AJ209" s="789" t="str">
        <f t="shared" ca="1" si="437"/>
        <v/>
      </c>
      <c r="AK209" s="789" t="str">
        <f t="shared" ca="1" si="438"/>
        <v/>
      </c>
      <c r="AL209" s="789" t="str">
        <f t="shared" ca="1" si="439"/>
        <v/>
      </c>
      <c r="AM209" s="789" t="str">
        <f t="shared" ca="1" si="440"/>
        <v/>
      </c>
      <c r="AN209" s="789" t="str">
        <f t="shared" ca="1" si="441"/>
        <v/>
      </c>
      <c r="AO209" s="789" t="str">
        <f t="shared" ca="1" si="442"/>
        <v/>
      </c>
      <c r="AP209" s="789" t="str">
        <f t="shared" ca="1" si="443"/>
        <v/>
      </c>
      <c r="AQ209" s="789" t="str">
        <f t="shared" ca="1" si="444"/>
        <v/>
      </c>
      <c r="AR209" s="789" t="str">
        <f t="shared" ca="1" si="445"/>
        <v/>
      </c>
      <c r="AS209" s="789" t="str">
        <f t="shared" ca="1" si="446"/>
        <v/>
      </c>
      <c r="AT209" s="789" t="str">
        <f t="shared" ca="1" si="447"/>
        <v/>
      </c>
      <c r="AU209" s="789" t="str">
        <f t="shared" ca="1" si="448"/>
        <v/>
      </c>
      <c r="AV209" s="789" t="str">
        <f t="shared" ca="1" si="449"/>
        <v/>
      </c>
      <c r="AW209" s="789" t="str">
        <f t="shared" ca="1" si="450"/>
        <v/>
      </c>
      <c r="AX209" s="789" t="str">
        <f t="shared" ca="1" si="451"/>
        <v/>
      </c>
      <c r="AY209" s="789" t="str">
        <f t="shared" ca="1" si="452"/>
        <v/>
      </c>
      <c r="AZ209" s="789" t="str">
        <f t="shared" ca="1" si="453"/>
        <v/>
      </c>
      <c r="BA209" s="789" t="str">
        <f t="shared" ca="1" si="454"/>
        <v/>
      </c>
      <c r="BB209" s="789" t="str">
        <f t="shared" ca="1" si="455"/>
        <v/>
      </c>
      <c r="BC209" s="789" t="str">
        <f t="shared" ca="1" si="456"/>
        <v/>
      </c>
      <c r="BD209" s="789" t="str">
        <f t="shared" ca="1" si="457"/>
        <v/>
      </c>
      <c r="BE209" s="789" t="str">
        <f t="shared" ca="1" si="458"/>
        <v/>
      </c>
      <c r="BF209" s="789" t="str">
        <f t="shared" ca="1" si="459"/>
        <v/>
      </c>
      <c r="BG209" s="789" t="str">
        <f t="shared" ca="1" si="460"/>
        <v/>
      </c>
      <c r="BH209" s="789" t="str">
        <f t="shared" ca="1" si="461"/>
        <v/>
      </c>
      <c r="BI209" s="789" t="str">
        <f t="shared" ca="1" si="462"/>
        <v/>
      </c>
      <c r="BJ209" s="789" t="str">
        <f t="shared" ca="1" si="463"/>
        <v/>
      </c>
      <c r="BK209" s="789" t="str">
        <f t="shared" ca="1" si="464"/>
        <v/>
      </c>
      <c r="BL209" s="789" t="str">
        <f t="shared" ca="1" si="465"/>
        <v/>
      </c>
      <c r="BM209" s="789" t="str">
        <f t="shared" ca="1" si="466"/>
        <v/>
      </c>
      <c r="BN209" s="789" t="str">
        <f t="shared" ca="1" si="467"/>
        <v/>
      </c>
      <c r="BO209" s="789" t="str">
        <f t="shared" ca="1" si="468"/>
        <v/>
      </c>
    </row>
    <row r="210" spans="1:68" ht="20.100000000000001" customHeight="1">
      <c r="A210" s="784">
        <v>47</v>
      </c>
      <c r="B210" s="1595"/>
      <c r="C210" s="1596"/>
      <c r="D210" s="793" t="s">
        <v>388</v>
      </c>
      <c r="E210" s="785"/>
      <c r="F210" s="786"/>
      <c r="G210" s="787" t="s">
        <v>455</v>
      </c>
      <c r="H210" s="788">
        <f t="shared" ca="1" si="472"/>
        <v>29.3</v>
      </c>
      <c r="I210" s="788">
        <f t="shared" ca="1" si="472"/>
        <v>29.3</v>
      </c>
      <c r="J210" s="788">
        <f t="shared" ca="1" si="472"/>
        <v>29.3</v>
      </c>
      <c r="K210" s="788">
        <f t="shared" ca="1" si="472"/>
        <v>29.3</v>
      </c>
      <c r="L210" s="789">
        <f t="shared" ca="1" si="470"/>
        <v>0</v>
      </c>
      <c r="M210" s="789">
        <f t="shared" ca="1" si="470"/>
        <v>0</v>
      </c>
      <c r="N210" s="789">
        <f t="shared" ca="1" si="470"/>
        <v>0</v>
      </c>
      <c r="O210" s="789">
        <f t="shared" ca="1" si="470"/>
        <v>0</v>
      </c>
      <c r="P210" s="789">
        <f ca="1">SUM(SUMIFS(OFFSET(貼付け_2024実績,$A210,10,1,199),OFFSET(貼付け_2024実績,4,9,1,199),{"横浜*","川崎*"}))</f>
        <v>0</v>
      </c>
      <c r="Q210" s="789">
        <f ca="1">SUM(SUMIFS(OFFSET(貼付け_2025実績,$A210,10,1,199),OFFSET(貼付け_2025実績,4,9,1,199),{"横浜*","川崎*"}))</f>
        <v>0</v>
      </c>
      <c r="R210" s="789">
        <f ca="1">SUM(SUMIFS(OFFSET(貼付け_2026実績,$A210,10,1,199),OFFSET(貼付け_2026実績,4,9,1,199),{"横浜*","川崎*"}))</f>
        <v>0</v>
      </c>
      <c r="S210" s="789">
        <f ca="1">SUM(SUMIFS(OFFSET(貼付け_2027実績,$A210,10,1,199),OFFSET(貼付け_2027実績,4,9,1,199),{"横浜*","川崎*"}))</f>
        <v>0</v>
      </c>
      <c r="T210" s="789">
        <f t="shared" ca="1" si="471"/>
        <v>0</v>
      </c>
      <c r="U210" s="789">
        <f t="shared" ca="1" si="471"/>
        <v>0</v>
      </c>
      <c r="V210" s="789">
        <f t="shared" ca="1" si="471"/>
        <v>0</v>
      </c>
      <c r="W210" s="789">
        <f t="shared" ca="1" si="471"/>
        <v>0</v>
      </c>
      <c r="X210" s="789">
        <f t="shared" ca="1" si="425"/>
        <v>0</v>
      </c>
      <c r="Y210" s="789">
        <f t="shared" ca="1" si="426"/>
        <v>0</v>
      </c>
      <c r="Z210" s="789">
        <f t="shared" ca="1" si="427"/>
        <v>0</v>
      </c>
      <c r="AA210" s="789">
        <f t="shared" ca="1" si="428"/>
        <v>0</v>
      </c>
      <c r="AB210" s="789" t="str">
        <f t="shared" ca="1" si="429"/>
        <v/>
      </c>
      <c r="AC210" s="789" t="str">
        <f t="shared" ca="1" si="430"/>
        <v/>
      </c>
      <c r="AD210" s="789" t="str">
        <f t="shared" ca="1" si="431"/>
        <v/>
      </c>
      <c r="AE210" s="789" t="str">
        <f t="shared" ca="1" si="432"/>
        <v/>
      </c>
      <c r="AF210" s="789" t="str">
        <f t="shared" ca="1" si="433"/>
        <v/>
      </c>
      <c r="AG210" s="789" t="str">
        <f t="shared" ca="1" si="434"/>
        <v/>
      </c>
      <c r="AH210" s="789" t="str">
        <f t="shared" ca="1" si="435"/>
        <v/>
      </c>
      <c r="AI210" s="789" t="str">
        <f t="shared" ca="1" si="436"/>
        <v/>
      </c>
      <c r="AJ210" s="789" t="str">
        <f t="shared" ca="1" si="437"/>
        <v/>
      </c>
      <c r="AK210" s="789" t="str">
        <f t="shared" ca="1" si="438"/>
        <v/>
      </c>
      <c r="AL210" s="789" t="str">
        <f t="shared" ca="1" si="439"/>
        <v/>
      </c>
      <c r="AM210" s="789" t="str">
        <f t="shared" ca="1" si="440"/>
        <v/>
      </c>
      <c r="AN210" s="789" t="str">
        <f t="shared" ca="1" si="441"/>
        <v/>
      </c>
      <c r="AO210" s="789" t="str">
        <f t="shared" ca="1" si="442"/>
        <v/>
      </c>
      <c r="AP210" s="789" t="str">
        <f t="shared" ca="1" si="443"/>
        <v/>
      </c>
      <c r="AQ210" s="789" t="str">
        <f t="shared" ca="1" si="444"/>
        <v/>
      </c>
      <c r="AR210" s="789" t="str">
        <f t="shared" ca="1" si="445"/>
        <v/>
      </c>
      <c r="AS210" s="789" t="str">
        <f t="shared" ca="1" si="446"/>
        <v/>
      </c>
      <c r="AT210" s="789" t="str">
        <f t="shared" ca="1" si="447"/>
        <v/>
      </c>
      <c r="AU210" s="789" t="str">
        <f t="shared" ca="1" si="448"/>
        <v/>
      </c>
      <c r="AV210" s="789" t="str">
        <f t="shared" ca="1" si="449"/>
        <v/>
      </c>
      <c r="AW210" s="789" t="str">
        <f t="shared" ca="1" si="450"/>
        <v/>
      </c>
      <c r="AX210" s="789" t="str">
        <f t="shared" ca="1" si="451"/>
        <v/>
      </c>
      <c r="AY210" s="789" t="str">
        <f t="shared" ca="1" si="452"/>
        <v/>
      </c>
      <c r="AZ210" s="789" t="str">
        <f t="shared" ca="1" si="453"/>
        <v/>
      </c>
      <c r="BA210" s="789" t="str">
        <f t="shared" ca="1" si="454"/>
        <v/>
      </c>
      <c r="BB210" s="789" t="str">
        <f t="shared" ca="1" si="455"/>
        <v/>
      </c>
      <c r="BC210" s="789" t="str">
        <f t="shared" ca="1" si="456"/>
        <v/>
      </c>
      <c r="BD210" s="789" t="str">
        <f t="shared" ca="1" si="457"/>
        <v/>
      </c>
      <c r="BE210" s="789" t="str">
        <f t="shared" ca="1" si="458"/>
        <v/>
      </c>
      <c r="BF210" s="789" t="str">
        <f t="shared" ca="1" si="459"/>
        <v/>
      </c>
      <c r="BG210" s="789" t="str">
        <f t="shared" ca="1" si="460"/>
        <v/>
      </c>
      <c r="BH210" s="789" t="str">
        <f t="shared" ca="1" si="461"/>
        <v/>
      </c>
      <c r="BI210" s="789" t="str">
        <f t="shared" ca="1" si="462"/>
        <v/>
      </c>
      <c r="BJ210" s="789" t="str">
        <f t="shared" ca="1" si="463"/>
        <v/>
      </c>
      <c r="BK210" s="789" t="str">
        <f t="shared" ca="1" si="464"/>
        <v/>
      </c>
      <c r="BL210" s="789" t="str">
        <f t="shared" ca="1" si="465"/>
        <v/>
      </c>
      <c r="BM210" s="789" t="str">
        <f t="shared" ca="1" si="466"/>
        <v/>
      </c>
      <c r="BN210" s="789" t="str">
        <f t="shared" ca="1" si="467"/>
        <v/>
      </c>
      <c r="BO210" s="789" t="str">
        <f t="shared" ca="1" si="468"/>
        <v/>
      </c>
    </row>
    <row r="211" spans="1:68" ht="20.100000000000001" customHeight="1">
      <c r="A211" s="784">
        <v>48</v>
      </c>
      <c r="B211" s="1595"/>
      <c r="C211" s="1596"/>
      <c r="D211" s="793" t="s">
        <v>389</v>
      </c>
      <c r="E211" s="785"/>
      <c r="F211" s="786"/>
      <c r="G211" s="787" t="s">
        <v>455</v>
      </c>
      <c r="H211" s="788">
        <f t="shared" ca="1" si="472"/>
        <v>29.3</v>
      </c>
      <c r="I211" s="788">
        <f t="shared" ca="1" si="472"/>
        <v>29.3</v>
      </c>
      <c r="J211" s="788">
        <f t="shared" ca="1" si="472"/>
        <v>29.3</v>
      </c>
      <c r="K211" s="788">
        <f t="shared" ca="1" si="472"/>
        <v>29.3</v>
      </c>
      <c r="L211" s="789">
        <f t="shared" ca="1" si="470"/>
        <v>0</v>
      </c>
      <c r="M211" s="789">
        <f t="shared" ca="1" si="470"/>
        <v>0</v>
      </c>
      <c r="N211" s="789">
        <f t="shared" ca="1" si="470"/>
        <v>0</v>
      </c>
      <c r="O211" s="789">
        <f t="shared" ca="1" si="470"/>
        <v>0</v>
      </c>
      <c r="P211" s="789">
        <f ca="1">SUM(SUMIFS(OFFSET(貼付け_2024実績,$A211,10,1,199),OFFSET(貼付け_2024実績,4,9,1,199),{"横浜*","川崎*"}))</f>
        <v>0</v>
      </c>
      <c r="Q211" s="789">
        <f ca="1">SUM(SUMIFS(OFFSET(貼付け_2025実績,$A211,10,1,199),OFFSET(貼付け_2025実績,4,9,1,199),{"横浜*","川崎*"}))</f>
        <v>0</v>
      </c>
      <c r="R211" s="789">
        <f ca="1">SUM(SUMIFS(OFFSET(貼付け_2026実績,$A211,10,1,199),OFFSET(貼付け_2026実績,4,9,1,199),{"横浜*","川崎*"}))</f>
        <v>0</v>
      </c>
      <c r="S211" s="789">
        <f ca="1">SUM(SUMIFS(OFFSET(貼付け_2027実績,$A211,10,1,199),OFFSET(貼付け_2027実績,4,9,1,199),{"横浜*","川崎*"}))</f>
        <v>0</v>
      </c>
      <c r="T211" s="789">
        <f t="shared" ca="1" si="471"/>
        <v>0</v>
      </c>
      <c r="U211" s="789">
        <f t="shared" ca="1" si="471"/>
        <v>0</v>
      </c>
      <c r="V211" s="789">
        <f t="shared" ca="1" si="471"/>
        <v>0</v>
      </c>
      <c r="W211" s="789">
        <f t="shared" ca="1" si="471"/>
        <v>0</v>
      </c>
      <c r="X211" s="789">
        <f t="shared" ca="1" si="425"/>
        <v>0</v>
      </c>
      <c r="Y211" s="789">
        <f t="shared" ca="1" si="426"/>
        <v>0</v>
      </c>
      <c r="Z211" s="789">
        <f t="shared" ca="1" si="427"/>
        <v>0</v>
      </c>
      <c r="AA211" s="789">
        <f t="shared" ca="1" si="428"/>
        <v>0</v>
      </c>
      <c r="AB211" s="789" t="str">
        <f t="shared" ca="1" si="429"/>
        <v/>
      </c>
      <c r="AC211" s="789" t="str">
        <f t="shared" ca="1" si="430"/>
        <v/>
      </c>
      <c r="AD211" s="789" t="str">
        <f t="shared" ca="1" si="431"/>
        <v/>
      </c>
      <c r="AE211" s="789" t="str">
        <f t="shared" ca="1" si="432"/>
        <v/>
      </c>
      <c r="AF211" s="789" t="str">
        <f t="shared" ca="1" si="433"/>
        <v/>
      </c>
      <c r="AG211" s="789" t="str">
        <f t="shared" ca="1" si="434"/>
        <v/>
      </c>
      <c r="AH211" s="789" t="str">
        <f t="shared" ca="1" si="435"/>
        <v/>
      </c>
      <c r="AI211" s="789" t="str">
        <f t="shared" ca="1" si="436"/>
        <v/>
      </c>
      <c r="AJ211" s="789" t="str">
        <f t="shared" ca="1" si="437"/>
        <v/>
      </c>
      <c r="AK211" s="789" t="str">
        <f t="shared" ca="1" si="438"/>
        <v/>
      </c>
      <c r="AL211" s="789" t="str">
        <f t="shared" ca="1" si="439"/>
        <v/>
      </c>
      <c r="AM211" s="789" t="str">
        <f t="shared" ca="1" si="440"/>
        <v/>
      </c>
      <c r="AN211" s="789" t="str">
        <f t="shared" ca="1" si="441"/>
        <v/>
      </c>
      <c r="AO211" s="789" t="str">
        <f t="shared" ca="1" si="442"/>
        <v/>
      </c>
      <c r="AP211" s="789" t="str">
        <f t="shared" ca="1" si="443"/>
        <v/>
      </c>
      <c r="AQ211" s="789" t="str">
        <f t="shared" ca="1" si="444"/>
        <v/>
      </c>
      <c r="AR211" s="789" t="str">
        <f t="shared" ca="1" si="445"/>
        <v/>
      </c>
      <c r="AS211" s="789" t="str">
        <f t="shared" ca="1" si="446"/>
        <v/>
      </c>
      <c r="AT211" s="789" t="str">
        <f t="shared" ca="1" si="447"/>
        <v/>
      </c>
      <c r="AU211" s="789" t="str">
        <f t="shared" ca="1" si="448"/>
        <v/>
      </c>
      <c r="AV211" s="789" t="str">
        <f t="shared" ca="1" si="449"/>
        <v/>
      </c>
      <c r="AW211" s="789" t="str">
        <f t="shared" ca="1" si="450"/>
        <v/>
      </c>
      <c r="AX211" s="789" t="str">
        <f t="shared" ca="1" si="451"/>
        <v/>
      </c>
      <c r="AY211" s="789" t="str">
        <f t="shared" ca="1" si="452"/>
        <v/>
      </c>
      <c r="AZ211" s="789" t="str">
        <f t="shared" ca="1" si="453"/>
        <v/>
      </c>
      <c r="BA211" s="789" t="str">
        <f t="shared" ca="1" si="454"/>
        <v/>
      </c>
      <c r="BB211" s="789" t="str">
        <f t="shared" ca="1" si="455"/>
        <v/>
      </c>
      <c r="BC211" s="789" t="str">
        <f t="shared" ca="1" si="456"/>
        <v/>
      </c>
      <c r="BD211" s="789" t="str">
        <f t="shared" ca="1" si="457"/>
        <v/>
      </c>
      <c r="BE211" s="789" t="str">
        <f t="shared" ca="1" si="458"/>
        <v/>
      </c>
      <c r="BF211" s="789" t="str">
        <f t="shared" ca="1" si="459"/>
        <v/>
      </c>
      <c r="BG211" s="789" t="str">
        <f t="shared" ca="1" si="460"/>
        <v/>
      </c>
      <c r="BH211" s="789" t="str">
        <f t="shared" ca="1" si="461"/>
        <v/>
      </c>
      <c r="BI211" s="789" t="str">
        <f t="shared" ca="1" si="462"/>
        <v/>
      </c>
      <c r="BJ211" s="789" t="str">
        <f t="shared" ca="1" si="463"/>
        <v/>
      </c>
      <c r="BK211" s="789" t="str">
        <f t="shared" ca="1" si="464"/>
        <v/>
      </c>
      <c r="BL211" s="789" t="str">
        <f t="shared" ca="1" si="465"/>
        <v/>
      </c>
      <c r="BM211" s="789" t="str">
        <f t="shared" ca="1" si="466"/>
        <v/>
      </c>
      <c r="BN211" s="789" t="str">
        <f t="shared" ca="1" si="467"/>
        <v/>
      </c>
      <c r="BO211" s="789" t="str">
        <f t="shared" ca="1" si="468"/>
        <v/>
      </c>
    </row>
    <row r="212" spans="1:68" ht="20.100000000000001" customHeight="1">
      <c r="A212" s="784">
        <v>49</v>
      </c>
      <c r="B212" s="1595"/>
      <c r="C212" s="1596"/>
      <c r="D212" s="793" t="s">
        <v>390</v>
      </c>
      <c r="E212" s="785"/>
      <c r="F212" s="786"/>
      <c r="G212" s="787" t="s">
        <v>453</v>
      </c>
      <c r="H212" s="788">
        <f t="shared" ca="1" si="472"/>
        <v>40.200000000000003</v>
      </c>
      <c r="I212" s="788">
        <f t="shared" ca="1" si="472"/>
        <v>40.200000000000003</v>
      </c>
      <c r="J212" s="788">
        <f t="shared" ca="1" si="472"/>
        <v>40.200000000000003</v>
      </c>
      <c r="K212" s="788">
        <f t="shared" ca="1" si="472"/>
        <v>40.200000000000003</v>
      </c>
      <c r="L212" s="789">
        <f t="shared" ca="1" si="470"/>
        <v>0</v>
      </c>
      <c r="M212" s="789">
        <f t="shared" ca="1" si="470"/>
        <v>0</v>
      </c>
      <c r="N212" s="789">
        <f t="shared" ca="1" si="470"/>
        <v>0</v>
      </c>
      <c r="O212" s="789">
        <f t="shared" ca="1" si="470"/>
        <v>0</v>
      </c>
      <c r="P212" s="789">
        <f ca="1">SUM(SUMIFS(OFFSET(貼付け_2024実績,$A212,10,1,199),OFFSET(貼付け_2024実績,4,9,1,199),{"横浜*","川崎*"}))</f>
        <v>0</v>
      </c>
      <c r="Q212" s="789">
        <f ca="1">SUM(SUMIFS(OFFSET(貼付け_2025実績,$A212,10,1,199),OFFSET(貼付け_2025実績,4,9,1,199),{"横浜*","川崎*"}))</f>
        <v>0</v>
      </c>
      <c r="R212" s="789">
        <f ca="1">SUM(SUMIFS(OFFSET(貼付け_2026実績,$A212,10,1,199),OFFSET(貼付け_2026実績,4,9,1,199),{"横浜*","川崎*"}))</f>
        <v>0</v>
      </c>
      <c r="S212" s="789">
        <f ca="1">SUM(SUMIFS(OFFSET(貼付け_2027実績,$A212,10,1,199),OFFSET(貼付け_2027実績,4,9,1,199),{"横浜*","川崎*"}))</f>
        <v>0</v>
      </c>
      <c r="T212" s="789">
        <f t="shared" ca="1" si="471"/>
        <v>0</v>
      </c>
      <c r="U212" s="789">
        <f t="shared" ca="1" si="471"/>
        <v>0</v>
      </c>
      <c r="V212" s="789">
        <f t="shared" ca="1" si="471"/>
        <v>0</v>
      </c>
      <c r="W212" s="789">
        <f t="shared" ca="1" si="471"/>
        <v>0</v>
      </c>
      <c r="X212" s="789">
        <f t="shared" ca="1" si="425"/>
        <v>0</v>
      </c>
      <c r="Y212" s="789">
        <f t="shared" ca="1" si="426"/>
        <v>0</v>
      </c>
      <c r="Z212" s="789">
        <f t="shared" ca="1" si="427"/>
        <v>0</v>
      </c>
      <c r="AA212" s="789">
        <f t="shared" ca="1" si="428"/>
        <v>0</v>
      </c>
      <c r="AB212" s="789" t="str">
        <f t="shared" ca="1" si="429"/>
        <v/>
      </c>
      <c r="AC212" s="789" t="str">
        <f t="shared" ca="1" si="430"/>
        <v/>
      </c>
      <c r="AD212" s="789" t="str">
        <f t="shared" ca="1" si="431"/>
        <v/>
      </c>
      <c r="AE212" s="789" t="str">
        <f t="shared" ca="1" si="432"/>
        <v/>
      </c>
      <c r="AF212" s="789" t="str">
        <f t="shared" ca="1" si="433"/>
        <v/>
      </c>
      <c r="AG212" s="789" t="str">
        <f t="shared" ca="1" si="434"/>
        <v/>
      </c>
      <c r="AH212" s="789" t="str">
        <f t="shared" ca="1" si="435"/>
        <v/>
      </c>
      <c r="AI212" s="789" t="str">
        <f t="shared" ca="1" si="436"/>
        <v/>
      </c>
      <c r="AJ212" s="789" t="str">
        <f t="shared" ca="1" si="437"/>
        <v/>
      </c>
      <c r="AK212" s="789" t="str">
        <f t="shared" ca="1" si="438"/>
        <v/>
      </c>
      <c r="AL212" s="789" t="str">
        <f t="shared" ca="1" si="439"/>
        <v/>
      </c>
      <c r="AM212" s="789" t="str">
        <f t="shared" ca="1" si="440"/>
        <v/>
      </c>
      <c r="AN212" s="789" t="str">
        <f t="shared" ca="1" si="441"/>
        <v/>
      </c>
      <c r="AO212" s="789" t="str">
        <f t="shared" ca="1" si="442"/>
        <v/>
      </c>
      <c r="AP212" s="789" t="str">
        <f t="shared" ca="1" si="443"/>
        <v/>
      </c>
      <c r="AQ212" s="789" t="str">
        <f t="shared" ca="1" si="444"/>
        <v/>
      </c>
      <c r="AR212" s="789" t="str">
        <f t="shared" ca="1" si="445"/>
        <v/>
      </c>
      <c r="AS212" s="789" t="str">
        <f t="shared" ca="1" si="446"/>
        <v/>
      </c>
      <c r="AT212" s="789" t="str">
        <f t="shared" ca="1" si="447"/>
        <v/>
      </c>
      <c r="AU212" s="789" t="str">
        <f t="shared" ca="1" si="448"/>
        <v/>
      </c>
      <c r="AV212" s="789" t="str">
        <f t="shared" ca="1" si="449"/>
        <v/>
      </c>
      <c r="AW212" s="789" t="str">
        <f t="shared" ca="1" si="450"/>
        <v/>
      </c>
      <c r="AX212" s="789" t="str">
        <f t="shared" ca="1" si="451"/>
        <v/>
      </c>
      <c r="AY212" s="789" t="str">
        <f t="shared" ca="1" si="452"/>
        <v/>
      </c>
      <c r="AZ212" s="789" t="str">
        <f t="shared" ca="1" si="453"/>
        <v/>
      </c>
      <c r="BA212" s="789" t="str">
        <f t="shared" ca="1" si="454"/>
        <v/>
      </c>
      <c r="BB212" s="789" t="str">
        <f t="shared" ca="1" si="455"/>
        <v/>
      </c>
      <c r="BC212" s="789" t="str">
        <f t="shared" ca="1" si="456"/>
        <v/>
      </c>
      <c r="BD212" s="789" t="str">
        <f t="shared" ca="1" si="457"/>
        <v/>
      </c>
      <c r="BE212" s="789" t="str">
        <f t="shared" ca="1" si="458"/>
        <v/>
      </c>
      <c r="BF212" s="789" t="str">
        <f t="shared" ca="1" si="459"/>
        <v/>
      </c>
      <c r="BG212" s="789" t="str">
        <f t="shared" ca="1" si="460"/>
        <v/>
      </c>
      <c r="BH212" s="789" t="str">
        <f t="shared" ca="1" si="461"/>
        <v/>
      </c>
      <c r="BI212" s="789" t="str">
        <f t="shared" ca="1" si="462"/>
        <v/>
      </c>
      <c r="BJ212" s="789" t="str">
        <f t="shared" ca="1" si="463"/>
        <v/>
      </c>
      <c r="BK212" s="789" t="str">
        <f t="shared" ca="1" si="464"/>
        <v/>
      </c>
      <c r="BL212" s="789" t="str">
        <f t="shared" ca="1" si="465"/>
        <v/>
      </c>
      <c r="BM212" s="789" t="str">
        <f t="shared" ca="1" si="466"/>
        <v/>
      </c>
      <c r="BN212" s="789" t="str">
        <f t="shared" ca="1" si="467"/>
        <v/>
      </c>
      <c r="BO212" s="789" t="str">
        <f t="shared" ca="1" si="468"/>
        <v/>
      </c>
    </row>
    <row r="213" spans="1:68" ht="20.100000000000001" customHeight="1">
      <c r="A213" s="784">
        <v>50</v>
      </c>
      <c r="B213" s="1594"/>
      <c r="C213" s="1596"/>
      <c r="D213" s="785" t="s">
        <v>391</v>
      </c>
      <c r="E213" s="785"/>
      <c r="F213" s="786"/>
      <c r="G213" s="787" t="s">
        <v>457</v>
      </c>
      <c r="H213" s="788">
        <f t="shared" ca="1" si="472"/>
        <v>21.2</v>
      </c>
      <c r="I213" s="788">
        <f t="shared" ca="1" si="472"/>
        <v>21.2</v>
      </c>
      <c r="J213" s="788">
        <f t="shared" ca="1" si="472"/>
        <v>21.2</v>
      </c>
      <c r="K213" s="788">
        <f t="shared" ca="1" si="472"/>
        <v>21.2</v>
      </c>
      <c r="L213" s="789">
        <f t="shared" ca="1" si="470"/>
        <v>0</v>
      </c>
      <c r="M213" s="789">
        <f t="shared" ca="1" si="470"/>
        <v>0</v>
      </c>
      <c r="N213" s="789">
        <f t="shared" ca="1" si="470"/>
        <v>0</v>
      </c>
      <c r="O213" s="789">
        <f t="shared" ca="1" si="470"/>
        <v>0</v>
      </c>
      <c r="P213" s="789">
        <f ca="1">SUM(SUMIFS(OFFSET(貼付け_2024実績,$A213,10,1,199),OFFSET(貼付け_2024実績,4,9,1,199),{"横浜*","川崎*"}))</f>
        <v>0</v>
      </c>
      <c r="Q213" s="789">
        <f ca="1">SUM(SUMIFS(OFFSET(貼付け_2025実績,$A213,10,1,199),OFFSET(貼付け_2025実績,4,9,1,199),{"横浜*","川崎*"}))</f>
        <v>0</v>
      </c>
      <c r="R213" s="789">
        <f ca="1">SUM(SUMIFS(OFFSET(貼付け_2026実績,$A213,10,1,199),OFFSET(貼付け_2026実績,4,9,1,199),{"横浜*","川崎*"}))</f>
        <v>0</v>
      </c>
      <c r="S213" s="789">
        <f ca="1">SUM(SUMIFS(OFFSET(貼付け_2027実績,$A213,10,1,199),OFFSET(貼付け_2027実績,4,9,1,199),{"横浜*","川崎*"}))</f>
        <v>0</v>
      </c>
      <c r="T213" s="789">
        <f t="shared" ca="1" si="471"/>
        <v>0</v>
      </c>
      <c r="U213" s="789">
        <f t="shared" ca="1" si="471"/>
        <v>0</v>
      </c>
      <c r="V213" s="789">
        <f t="shared" ca="1" si="471"/>
        <v>0</v>
      </c>
      <c r="W213" s="789">
        <f t="shared" ca="1" si="471"/>
        <v>0</v>
      </c>
      <c r="X213" s="789">
        <f t="shared" ca="1" si="425"/>
        <v>0</v>
      </c>
      <c r="Y213" s="789">
        <f t="shared" ca="1" si="426"/>
        <v>0</v>
      </c>
      <c r="Z213" s="789">
        <f t="shared" ca="1" si="427"/>
        <v>0</v>
      </c>
      <c r="AA213" s="789">
        <f t="shared" ca="1" si="428"/>
        <v>0</v>
      </c>
      <c r="AB213" s="789" t="str">
        <f t="shared" ca="1" si="429"/>
        <v/>
      </c>
      <c r="AC213" s="789" t="str">
        <f t="shared" ca="1" si="430"/>
        <v/>
      </c>
      <c r="AD213" s="789" t="str">
        <f t="shared" ca="1" si="431"/>
        <v/>
      </c>
      <c r="AE213" s="789" t="str">
        <f t="shared" ca="1" si="432"/>
        <v/>
      </c>
      <c r="AF213" s="789" t="str">
        <f t="shared" ca="1" si="433"/>
        <v/>
      </c>
      <c r="AG213" s="789" t="str">
        <f t="shared" ca="1" si="434"/>
        <v/>
      </c>
      <c r="AH213" s="789" t="str">
        <f t="shared" ca="1" si="435"/>
        <v/>
      </c>
      <c r="AI213" s="789" t="str">
        <f t="shared" ca="1" si="436"/>
        <v/>
      </c>
      <c r="AJ213" s="789" t="str">
        <f t="shared" ca="1" si="437"/>
        <v/>
      </c>
      <c r="AK213" s="789" t="str">
        <f t="shared" ca="1" si="438"/>
        <v/>
      </c>
      <c r="AL213" s="789" t="str">
        <f t="shared" ca="1" si="439"/>
        <v/>
      </c>
      <c r="AM213" s="789" t="str">
        <f t="shared" ca="1" si="440"/>
        <v/>
      </c>
      <c r="AN213" s="789" t="str">
        <f t="shared" ca="1" si="441"/>
        <v/>
      </c>
      <c r="AO213" s="789" t="str">
        <f t="shared" ca="1" si="442"/>
        <v/>
      </c>
      <c r="AP213" s="789" t="str">
        <f t="shared" ca="1" si="443"/>
        <v/>
      </c>
      <c r="AQ213" s="789" t="str">
        <f t="shared" ca="1" si="444"/>
        <v/>
      </c>
      <c r="AR213" s="789" t="str">
        <f t="shared" ca="1" si="445"/>
        <v/>
      </c>
      <c r="AS213" s="789" t="str">
        <f t="shared" ca="1" si="446"/>
        <v/>
      </c>
      <c r="AT213" s="789" t="str">
        <f t="shared" ca="1" si="447"/>
        <v/>
      </c>
      <c r="AU213" s="789" t="str">
        <f t="shared" ca="1" si="448"/>
        <v/>
      </c>
      <c r="AV213" s="789" t="str">
        <f t="shared" ca="1" si="449"/>
        <v/>
      </c>
      <c r="AW213" s="789" t="str">
        <f t="shared" ca="1" si="450"/>
        <v/>
      </c>
      <c r="AX213" s="789" t="str">
        <f t="shared" ca="1" si="451"/>
        <v/>
      </c>
      <c r="AY213" s="789" t="str">
        <f t="shared" ca="1" si="452"/>
        <v/>
      </c>
      <c r="AZ213" s="789" t="str">
        <f t="shared" ca="1" si="453"/>
        <v/>
      </c>
      <c r="BA213" s="789" t="str">
        <f t="shared" ca="1" si="454"/>
        <v/>
      </c>
      <c r="BB213" s="789" t="str">
        <f t="shared" ca="1" si="455"/>
        <v/>
      </c>
      <c r="BC213" s="789" t="str">
        <f t="shared" ca="1" si="456"/>
        <v/>
      </c>
      <c r="BD213" s="789" t="str">
        <f t="shared" ca="1" si="457"/>
        <v/>
      </c>
      <c r="BE213" s="789" t="str">
        <f t="shared" ca="1" si="458"/>
        <v/>
      </c>
      <c r="BF213" s="789" t="str">
        <f t="shared" ca="1" si="459"/>
        <v/>
      </c>
      <c r="BG213" s="789" t="str">
        <f t="shared" ca="1" si="460"/>
        <v/>
      </c>
      <c r="BH213" s="789" t="str">
        <f t="shared" ca="1" si="461"/>
        <v/>
      </c>
      <c r="BI213" s="789" t="str">
        <f t="shared" ca="1" si="462"/>
        <v/>
      </c>
      <c r="BJ213" s="789" t="str">
        <f t="shared" ca="1" si="463"/>
        <v/>
      </c>
      <c r="BK213" s="789" t="str">
        <f t="shared" ca="1" si="464"/>
        <v/>
      </c>
      <c r="BL213" s="789" t="str">
        <f t="shared" ca="1" si="465"/>
        <v/>
      </c>
      <c r="BM213" s="789" t="str">
        <f t="shared" ca="1" si="466"/>
        <v/>
      </c>
      <c r="BN213" s="789" t="str">
        <f t="shared" ca="1" si="467"/>
        <v/>
      </c>
      <c r="BO213" s="789" t="str">
        <f t="shared" ca="1" si="468"/>
        <v/>
      </c>
    </row>
    <row r="214" spans="1:68" ht="20.100000000000001" customHeight="1">
      <c r="A214" s="784">
        <v>51</v>
      </c>
      <c r="B214" s="1594"/>
      <c r="C214" s="1596"/>
      <c r="D214" s="785" t="s">
        <v>392</v>
      </c>
      <c r="E214" s="785"/>
      <c r="F214" s="786"/>
      <c r="G214" s="787" t="s">
        <v>455</v>
      </c>
      <c r="H214" s="788">
        <f t="shared" ca="1" si="472"/>
        <v>17.100000000000001</v>
      </c>
      <c r="I214" s="788">
        <f t="shared" ca="1" si="472"/>
        <v>17.100000000000001</v>
      </c>
      <c r="J214" s="788">
        <f t="shared" ca="1" si="472"/>
        <v>17.100000000000001</v>
      </c>
      <c r="K214" s="788">
        <f t="shared" ca="1" si="472"/>
        <v>17.100000000000001</v>
      </c>
      <c r="L214" s="789">
        <f t="shared" ca="1" si="470"/>
        <v>0</v>
      </c>
      <c r="M214" s="789">
        <f t="shared" ca="1" si="470"/>
        <v>0</v>
      </c>
      <c r="N214" s="789">
        <f t="shared" ca="1" si="470"/>
        <v>0</v>
      </c>
      <c r="O214" s="789">
        <f t="shared" ca="1" si="470"/>
        <v>0</v>
      </c>
      <c r="P214" s="789">
        <f ca="1">SUM(SUMIFS(OFFSET(貼付け_2024実績,$A214,10,1,199),OFFSET(貼付け_2024実績,4,9,1,199),{"横浜*","川崎*"}))</f>
        <v>0</v>
      </c>
      <c r="Q214" s="789">
        <f ca="1">SUM(SUMIFS(OFFSET(貼付け_2025実績,$A214,10,1,199),OFFSET(貼付け_2025実績,4,9,1,199),{"横浜*","川崎*"}))</f>
        <v>0</v>
      </c>
      <c r="R214" s="789">
        <f ca="1">SUM(SUMIFS(OFFSET(貼付け_2026実績,$A214,10,1,199),OFFSET(貼付け_2026実績,4,9,1,199),{"横浜*","川崎*"}))</f>
        <v>0</v>
      </c>
      <c r="S214" s="789">
        <f ca="1">SUM(SUMIFS(OFFSET(貼付け_2027実績,$A214,10,1,199),OFFSET(貼付け_2027実績,4,9,1,199),{"横浜*","川崎*"}))</f>
        <v>0</v>
      </c>
      <c r="T214" s="789">
        <f t="shared" ca="1" si="471"/>
        <v>0</v>
      </c>
      <c r="U214" s="789">
        <f t="shared" ca="1" si="471"/>
        <v>0</v>
      </c>
      <c r="V214" s="789">
        <f t="shared" ca="1" si="471"/>
        <v>0</v>
      </c>
      <c r="W214" s="789">
        <f t="shared" ca="1" si="471"/>
        <v>0</v>
      </c>
      <c r="X214" s="789">
        <f t="shared" ca="1" si="425"/>
        <v>0</v>
      </c>
      <c r="Y214" s="789">
        <f t="shared" ca="1" si="426"/>
        <v>0</v>
      </c>
      <c r="Z214" s="789">
        <f t="shared" ca="1" si="427"/>
        <v>0</v>
      </c>
      <c r="AA214" s="789">
        <f t="shared" ca="1" si="428"/>
        <v>0</v>
      </c>
      <c r="AB214" s="789" t="str">
        <f t="shared" ca="1" si="429"/>
        <v/>
      </c>
      <c r="AC214" s="789" t="str">
        <f t="shared" ca="1" si="430"/>
        <v/>
      </c>
      <c r="AD214" s="789" t="str">
        <f t="shared" ca="1" si="431"/>
        <v/>
      </c>
      <c r="AE214" s="789" t="str">
        <f t="shared" ca="1" si="432"/>
        <v/>
      </c>
      <c r="AF214" s="789" t="str">
        <f t="shared" ca="1" si="433"/>
        <v/>
      </c>
      <c r="AG214" s="789" t="str">
        <f t="shared" ca="1" si="434"/>
        <v/>
      </c>
      <c r="AH214" s="789" t="str">
        <f t="shared" ca="1" si="435"/>
        <v/>
      </c>
      <c r="AI214" s="789" t="str">
        <f t="shared" ca="1" si="436"/>
        <v/>
      </c>
      <c r="AJ214" s="789" t="str">
        <f t="shared" ca="1" si="437"/>
        <v/>
      </c>
      <c r="AK214" s="789" t="str">
        <f t="shared" ca="1" si="438"/>
        <v/>
      </c>
      <c r="AL214" s="789" t="str">
        <f t="shared" ca="1" si="439"/>
        <v/>
      </c>
      <c r="AM214" s="789" t="str">
        <f t="shared" ca="1" si="440"/>
        <v/>
      </c>
      <c r="AN214" s="789" t="str">
        <f t="shared" ca="1" si="441"/>
        <v/>
      </c>
      <c r="AO214" s="789" t="str">
        <f t="shared" ca="1" si="442"/>
        <v/>
      </c>
      <c r="AP214" s="789" t="str">
        <f t="shared" ca="1" si="443"/>
        <v/>
      </c>
      <c r="AQ214" s="789" t="str">
        <f t="shared" ca="1" si="444"/>
        <v/>
      </c>
      <c r="AR214" s="789" t="str">
        <f t="shared" ca="1" si="445"/>
        <v/>
      </c>
      <c r="AS214" s="789" t="str">
        <f t="shared" ca="1" si="446"/>
        <v/>
      </c>
      <c r="AT214" s="789" t="str">
        <f t="shared" ca="1" si="447"/>
        <v/>
      </c>
      <c r="AU214" s="789" t="str">
        <f t="shared" ca="1" si="448"/>
        <v/>
      </c>
      <c r="AV214" s="789" t="str">
        <f t="shared" ca="1" si="449"/>
        <v/>
      </c>
      <c r="AW214" s="789" t="str">
        <f t="shared" ca="1" si="450"/>
        <v/>
      </c>
      <c r="AX214" s="789" t="str">
        <f t="shared" ca="1" si="451"/>
        <v/>
      </c>
      <c r="AY214" s="789" t="str">
        <f t="shared" ca="1" si="452"/>
        <v/>
      </c>
      <c r="AZ214" s="789" t="str">
        <f t="shared" ca="1" si="453"/>
        <v/>
      </c>
      <c r="BA214" s="789" t="str">
        <f t="shared" ca="1" si="454"/>
        <v/>
      </c>
      <c r="BB214" s="789" t="str">
        <f t="shared" ca="1" si="455"/>
        <v/>
      </c>
      <c r="BC214" s="789" t="str">
        <f t="shared" ca="1" si="456"/>
        <v/>
      </c>
      <c r="BD214" s="789" t="str">
        <f t="shared" ca="1" si="457"/>
        <v/>
      </c>
      <c r="BE214" s="789" t="str">
        <f t="shared" ca="1" si="458"/>
        <v/>
      </c>
      <c r="BF214" s="789" t="str">
        <f t="shared" ca="1" si="459"/>
        <v/>
      </c>
      <c r="BG214" s="789" t="str">
        <f t="shared" ca="1" si="460"/>
        <v/>
      </c>
      <c r="BH214" s="789" t="str">
        <f t="shared" ca="1" si="461"/>
        <v/>
      </c>
      <c r="BI214" s="789" t="str">
        <f t="shared" ca="1" si="462"/>
        <v/>
      </c>
      <c r="BJ214" s="789" t="str">
        <f t="shared" ca="1" si="463"/>
        <v/>
      </c>
      <c r="BK214" s="789" t="str">
        <f t="shared" ca="1" si="464"/>
        <v/>
      </c>
      <c r="BL214" s="789" t="str">
        <f t="shared" ca="1" si="465"/>
        <v/>
      </c>
      <c r="BM214" s="789" t="str">
        <f t="shared" ca="1" si="466"/>
        <v/>
      </c>
      <c r="BN214" s="789" t="str">
        <f t="shared" ca="1" si="467"/>
        <v/>
      </c>
      <c r="BO214" s="789" t="str">
        <f t="shared" ca="1" si="468"/>
        <v/>
      </c>
    </row>
    <row r="215" spans="1:68" ht="20.100000000000001" customHeight="1">
      <c r="A215" s="784">
        <v>52</v>
      </c>
      <c r="B215" s="1594"/>
      <c r="C215" s="1596"/>
      <c r="D215" s="785" t="s">
        <v>393</v>
      </c>
      <c r="E215" s="785"/>
      <c r="F215" s="786"/>
      <c r="G215" s="787" t="s">
        <v>455</v>
      </c>
      <c r="H215" s="788">
        <f t="shared" ca="1" si="472"/>
        <v>142</v>
      </c>
      <c r="I215" s="788">
        <f t="shared" ca="1" si="472"/>
        <v>142</v>
      </c>
      <c r="J215" s="788">
        <f t="shared" ca="1" si="472"/>
        <v>142</v>
      </c>
      <c r="K215" s="788">
        <f t="shared" ca="1" si="472"/>
        <v>142</v>
      </c>
      <c r="L215" s="789">
        <f t="shared" ca="1" si="470"/>
        <v>0</v>
      </c>
      <c r="M215" s="789">
        <f t="shared" ca="1" si="470"/>
        <v>0</v>
      </c>
      <c r="N215" s="789">
        <f t="shared" ca="1" si="470"/>
        <v>0</v>
      </c>
      <c r="O215" s="789">
        <f t="shared" ca="1" si="470"/>
        <v>0</v>
      </c>
      <c r="P215" s="789">
        <f ca="1">SUM(SUMIFS(OFFSET(貼付け_2024実績,$A215,10,1,199),OFFSET(貼付け_2024実績,4,9,1,199),{"横浜*","川崎*"}))</f>
        <v>0</v>
      </c>
      <c r="Q215" s="789">
        <f ca="1">SUM(SUMIFS(OFFSET(貼付け_2025実績,$A215,10,1,199),OFFSET(貼付け_2025実績,4,9,1,199),{"横浜*","川崎*"}))</f>
        <v>0</v>
      </c>
      <c r="R215" s="789">
        <f ca="1">SUM(SUMIFS(OFFSET(貼付け_2026実績,$A215,10,1,199),OFFSET(貼付け_2026実績,4,9,1,199),{"横浜*","川崎*"}))</f>
        <v>0</v>
      </c>
      <c r="S215" s="789">
        <f ca="1">SUM(SUMIFS(OFFSET(貼付け_2027実績,$A215,10,1,199),OFFSET(貼付け_2027実績,4,9,1,199),{"横浜*","川崎*"}))</f>
        <v>0</v>
      </c>
      <c r="T215" s="789">
        <f t="shared" ca="1" si="471"/>
        <v>0</v>
      </c>
      <c r="U215" s="789">
        <f t="shared" ca="1" si="471"/>
        <v>0</v>
      </c>
      <c r="V215" s="789">
        <f t="shared" ca="1" si="471"/>
        <v>0</v>
      </c>
      <c r="W215" s="789">
        <f t="shared" ca="1" si="471"/>
        <v>0</v>
      </c>
      <c r="X215" s="789">
        <f t="shared" ca="1" si="425"/>
        <v>0</v>
      </c>
      <c r="Y215" s="789">
        <f t="shared" ca="1" si="426"/>
        <v>0</v>
      </c>
      <c r="Z215" s="789">
        <f t="shared" ca="1" si="427"/>
        <v>0</v>
      </c>
      <c r="AA215" s="789">
        <f t="shared" ca="1" si="428"/>
        <v>0</v>
      </c>
      <c r="AB215" s="789" t="str">
        <f t="shared" ca="1" si="429"/>
        <v/>
      </c>
      <c r="AC215" s="789" t="str">
        <f t="shared" ca="1" si="430"/>
        <v/>
      </c>
      <c r="AD215" s="789" t="str">
        <f t="shared" ca="1" si="431"/>
        <v/>
      </c>
      <c r="AE215" s="789" t="str">
        <f t="shared" ca="1" si="432"/>
        <v/>
      </c>
      <c r="AF215" s="789" t="str">
        <f t="shared" ca="1" si="433"/>
        <v/>
      </c>
      <c r="AG215" s="789" t="str">
        <f t="shared" ca="1" si="434"/>
        <v/>
      </c>
      <c r="AH215" s="789" t="str">
        <f t="shared" ca="1" si="435"/>
        <v/>
      </c>
      <c r="AI215" s="789" t="str">
        <f t="shared" ca="1" si="436"/>
        <v/>
      </c>
      <c r="AJ215" s="789" t="str">
        <f t="shared" ca="1" si="437"/>
        <v/>
      </c>
      <c r="AK215" s="789" t="str">
        <f t="shared" ca="1" si="438"/>
        <v/>
      </c>
      <c r="AL215" s="789" t="str">
        <f t="shared" ca="1" si="439"/>
        <v/>
      </c>
      <c r="AM215" s="789" t="str">
        <f t="shared" ca="1" si="440"/>
        <v/>
      </c>
      <c r="AN215" s="789" t="str">
        <f t="shared" ca="1" si="441"/>
        <v/>
      </c>
      <c r="AO215" s="789" t="str">
        <f t="shared" ca="1" si="442"/>
        <v/>
      </c>
      <c r="AP215" s="789" t="str">
        <f t="shared" ca="1" si="443"/>
        <v/>
      </c>
      <c r="AQ215" s="789" t="str">
        <f t="shared" ca="1" si="444"/>
        <v/>
      </c>
      <c r="AR215" s="789" t="str">
        <f t="shared" ca="1" si="445"/>
        <v/>
      </c>
      <c r="AS215" s="789" t="str">
        <f t="shared" ca="1" si="446"/>
        <v/>
      </c>
      <c r="AT215" s="789" t="str">
        <f t="shared" ca="1" si="447"/>
        <v/>
      </c>
      <c r="AU215" s="789" t="str">
        <f t="shared" ca="1" si="448"/>
        <v/>
      </c>
      <c r="AV215" s="789" t="str">
        <f t="shared" ca="1" si="449"/>
        <v/>
      </c>
      <c r="AW215" s="789" t="str">
        <f t="shared" ca="1" si="450"/>
        <v/>
      </c>
      <c r="AX215" s="789" t="str">
        <f t="shared" ca="1" si="451"/>
        <v/>
      </c>
      <c r="AY215" s="789" t="str">
        <f t="shared" ca="1" si="452"/>
        <v/>
      </c>
      <c r="AZ215" s="789" t="str">
        <f t="shared" ca="1" si="453"/>
        <v/>
      </c>
      <c r="BA215" s="789" t="str">
        <f t="shared" ca="1" si="454"/>
        <v/>
      </c>
      <c r="BB215" s="789" t="str">
        <f t="shared" ca="1" si="455"/>
        <v/>
      </c>
      <c r="BC215" s="789" t="str">
        <f t="shared" ca="1" si="456"/>
        <v/>
      </c>
      <c r="BD215" s="789" t="str">
        <f t="shared" ca="1" si="457"/>
        <v/>
      </c>
      <c r="BE215" s="789" t="str">
        <f t="shared" ca="1" si="458"/>
        <v/>
      </c>
      <c r="BF215" s="789" t="str">
        <f t="shared" ca="1" si="459"/>
        <v/>
      </c>
      <c r="BG215" s="789" t="str">
        <f t="shared" ca="1" si="460"/>
        <v/>
      </c>
      <c r="BH215" s="789" t="str">
        <f t="shared" ca="1" si="461"/>
        <v/>
      </c>
      <c r="BI215" s="789" t="str">
        <f t="shared" ca="1" si="462"/>
        <v/>
      </c>
      <c r="BJ215" s="789" t="str">
        <f t="shared" ca="1" si="463"/>
        <v/>
      </c>
      <c r="BK215" s="789" t="str">
        <f t="shared" ca="1" si="464"/>
        <v/>
      </c>
      <c r="BL215" s="789" t="str">
        <f t="shared" ca="1" si="465"/>
        <v/>
      </c>
      <c r="BM215" s="789" t="str">
        <f t="shared" ca="1" si="466"/>
        <v/>
      </c>
      <c r="BN215" s="789" t="str">
        <f t="shared" ca="1" si="467"/>
        <v/>
      </c>
      <c r="BO215" s="789" t="str">
        <f t="shared" ca="1" si="468"/>
        <v/>
      </c>
    </row>
    <row r="216" spans="1:68" ht="20.100000000000001" customHeight="1">
      <c r="A216" s="784">
        <v>53</v>
      </c>
      <c r="B216" s="1594"/>
      <c r="C216" s="1596"/>
      <c r="D216" s="785" t="s">
        <v>394</v>
      </c>
      <c r="E216" s="785"/>
      <c r="F216" s="786"/>
      <c r="G216" s="787" t="s">
        <v>455</v>
      </c>
      <c r="H216" s="788">
        <f t="shared" ca="1" si="472"/>
        <v>22.5</v>
      </c>
      <c r="I216" s="788">
        <f t="shared" ca="1" si="472"/>
        <v>22.5</v>
      </c>
      <c r="J216" s="788">
        <f t="shared" ca="1" si="472"/>
        <v>22.5</v>
      </c>
      <c r="K216" s="788">
        <f t="shared" ca="1" si="472"/>
        <v>22.5</v>
      </c>
      <c r="L216" s="789">
        <f t="shared" ca="1" si="470"/>
        <v>0</v>
      </c>
      <c r="M216" s="789">
        <f t="shared" ca="1" si="470"/>
        <v>0</v>
      </c>
      <c r="N216" s="789">
        <f t="shared" ca="1" si="470"/>
        <v>0</v>
      </c>
      <c r="O216" s="789">
        <f t="shared" ca="1" si="470"/>
        <v>0</v>
      </c>
      <c r="P216" s="789">
        <f ca="1">SUM(SUMIFS(OFFSET(貼付け_2024実績,$A216,10,1,199),OFFSET(貼付け_2024実績,4,9,1,199),{"横浜*","川崎*"}))</f>
        <v>0</v>
      </c>
      <c r="Q216" s="789">
        <f ca="1">SUM(SUMIFS(OFFSET(貼付け_2025実績,$A216,10,1,199),OFFSET(貼付け_2025実績,4,9,1,199),{"横浜*","川崎*"}))</f>
        <v>0</v>
      </c>
      <c r="R216" s="789">
        <f ca="1">SUM(SUMIFS(OFFSET(貼付け_2026実績,$A216,10,1,199),OFFSET(貼付け_2026実績,4,9,1,199),{"横浜*","川崎*"}))</f>
        <v>0</v>
      </c>
      <c r="S216" s="789">
        <f ca="1">SUM(SUMIFS(OFFSET(貼付け_2027実績,$A216,10,1,199),OFFSET(貼付け_2027実績,4,9,1,199),{"横浜*","川崎*"}))</f>
        <v>0</v>
      </c>
      <c r="T216" s="789">
        <f t="shared" ca="1" si="471"/>
        <v>0</v>
      </c>
      <c r="U216" s="789">
        <f t="shared" ca="1" si="471"/>
        <v>0</v>
      </c>
      <c r="V216" s="789">
        <f t="shared" ca="1" si="471"/>
        <v>0</v>
      </c>
      <c r="W216" s="789">
        <f t="shared" ca="1" si="471"/>
        <v>0</v>
      </c>
      <c r="X216" s="789">
        <f t="shared" ca="1" si="425"/>
        <v>0</v>
      </c>
      <c r="Y216" s="789">
        <f t="shared" ca="1" si="426"/>
        <v>0</v>
      </c>
      <c r="Z216" s="789">
        <f t="shared" ca="1" si="427"/>
        <v>0</v>
      </c>
      <c r="AA216" s="789">
        <f t="shared" ca="1" si="428"/>
        <v>0</v>
      </c>
      <c r="AB216" s="789" t="str">
        <f t="shared" ca="1" si="429"/>
        <v/>
      </c>
      <c r="AC216" s="789" t="str">
        <f t="shared" ca="1" si="430"/>
        <v/>
      </c>
      <c r="AD216" s="789" t="str">
        <f t="shared" ca="1" si="431"/>
        <v/>
      </c>
      <c r="AE216" s="789" t="str">
        <f t="shared" ca="1" si="432"/>
        <v/>
      </c>
      <c r="AF216" s="789" t="str">
        <f t="shared" ca="1" si="433"/>
        <v/>
      </c>
      <c r="AG216" s="789" t="str">
        <f t="shared" ca="1" si="434"/>
        <v/>
      </c>
      <c r="AH216" s="789" t="str">
        <f t="shared" ca="1" si="435"/>
        <v/>
      </c>
      <c r="AI216" s="789" t="str">
        <f t="shared" ca="1" si="436"/>
        <v/>
      </c>
      <c r="AJ216" s="789" t="str">
        <f t="shared" ca="1" si="437"/>
        <v/>
      </c>
      <c r="AK216" s="789" t="str">
        <f t="shared" ca="1" si="438"/>
        <v/>
      </c>
      <c r="AL216" s="789" t="str">
        <f t="shared" ca="1" si="439"/>
        <v/>
      </c>
      <c r="AM216" s="789" t="str">
        <f t="shared" ca="1" si="440"/>
        <v/>
      </c>
      <c r="AN216" s="789" t="str">
        <f t="shared" ca="1" si="441"/>
        <v/>
      </c>
      <c r="AO216" s="789" t="str">
        <f t="shared" ca="1" si="442"/>
        <v/>
      </c>
      <c r="AP216" s="789" t="str">
        <f t="shared" ca="1" si="443"/>
        <v/>
      </c>
      <c r="AQ216" s="789" t="str">
        <f t="shared" ca="1" si="444"/>
        <v/>
      </c>
      <c r="AR216" s="789" t="str">
        <f t="shared" ca="1" si="445"/>
        <v/>
      </c>
      <c r="AS216" s="789" t="str">
        <f t="shared" ca="1" si="446"/>
        <v/>
      </c>
      <c r="AT216" s="789" t="str">
        <f t="shared" ca="1" si="447"/>
        <v/>
      </c>
      <c r="AU216" s="789" t="str">
        <f t="shared" ca="1" si="448"/>
        <v/>
      </c>
      <c r="AV216" s="789" t="str">
        <f t="shared" ca="1" si="449"/>
        <v/>
      </c>
      <c r="AW216" s="789" t="str">
        <f t="shared" ca="1" si="450"/>
        <v/>
      </c>
      <c r="AX216" s="789" t="str">
        <f t="shared" ca="1" si="451"/>
        <v/>
      </c>
      <c r="AY216" s="789" t="str">
        <f t="shared" ca="1" si="452"/>
        <v/>
      </c>
      <c r="AZ216" s="789" t="str">
        <f t="shared" ca="1" si="453"/>
        <v/>
      </c>
      <c r="BA216" s="789" t="str">
        <f t="shared" ca="1" si="454"/>
        <v/>
      </c>
      <c r="BB216" s="789" t="str">
        <f t="shared" ca="1" si="455"/>
        <v/>
      </c>
      <c r="BC216" s="789" t="str">
        <f t="shared" ca="1" si="456"/>
        <v/>
      </c>
      <c r="BD216" s="789" t="str">
        <f t="shared" ca="1" si="457"/>
        <v/>
      </c>
      <c r="BE216" s="789" t="str">
        <f t="shared" ca="1" si="458"/>
        <v/>
      </c>
      <c r="BF216" s="789" t="str">
        <f t="shared" ca="1" si="459"/>
        <v/>
      </c>
      <c r="BG216" s="789" t="str">
        <f t="shared" ca="1" si="460"/>
        <v/>
      </c>
      <c r="BH216" s="789" t="str">
        <f t="shared" ca="1" si="461"/>
        <v/>
      </c>
      <c r="BI216" s="789" t="str">
        <f t="shared" ca="1" si="462"/>
        <v/>
      </c>
      <c r="BJ216" s="789" t="str">
        <f t="shared" ca="1" si="463"/>
        <v/>
      </c>
      <c r="BK216" s="789" t="str">
        <f t="shared" ca="1" si="464"/>
        <v/>
      </c>
      <c r="BL216" s="789" t="str">
        <f t="shared" ca="1" si="465"/>
        <v/>
      </c>
      <c r="BM216" s="789" t="str">
        <f t="shared" ca="1" si="466"/>
        <v/>
      </c>
      <c r="BN216" s="789" t="str">
        <f t="shared" ca="1" si="467"/>
        <v/>
      </c>
      <c r="BO216" s="789" t="str">
        <f t="shared" ca="1" si="468"/>
        <v/>
      </c>
    </row>
    <row r="217" spans="1:68" ht="20.100000000000001" customHeight="1">
      <c r="A217" s="784">
        <v>54</v>
      </c>
      <c r="B217" s="1594"/>
      <c r="C217" s="1596"/>
      <c r="D217" s="785" t="s">
        <v>783</v>
      </c>
      <c r="E217" s="792" t="str">
        <f ca="1">E55</f>
        <v/>
      </c>
      <c r="F217" s="794"/>
      <c r="G217" s="792" t="str">
        <f ca="1">G55</f>
        <v/>
      </c>
      <c r="H217" s="788">
        <f t="shared" ca="1" si="472"/>
        <v>0</v>
      </c>
      <c r="I217" s="788">
        <f t="shared" ca="1" si="472"/>
        <v>0</v>
      </c>
      <c r="J217" s="788">
        <f t="shared" ca="1" si="472"/>
        <v>0</v>
      </c>
      <c r="K217" s="788">
        <f t="shared" ca="1" si="472"/>
        <v>0</v>
      </c>
      <c r="L217" s="789">
        <f t="shared" ca="1" si="470"/>
        <v>0</v>
      </c>
      <c r="M217" s="789">
        <f t="shared" ca="1" si="470"/>
        <v>0</v>
      </c>
      <c r="N217" s="789">
        <f t="shared" ca="1" si="470"/>
        <v>0</v>
      </c>
      <c r="O217" s="789">
        <f t="shared" ca="1" si="470"/>
        <v>0</v>
      </c>
      <c r="P217" s="789">
        <f ca="1">SUM(SUMIFS(OFFSET(貼付け_2024実績,$A217,10,1,199),OFFSET(貼付け_2024実績,4,9,1,199),{"横浜*","川崎*"}))</f>
        <v>0</v>
      </c>
      <c r="Q217" s="789">
        <f ca="1">SUM(SUMIFS(OFFSET(貼付け_2025実績,$A217,10,1,199),OFFSET(貼付け_2025実績,4,9,1,199),{"横浜*","川崎*"}))</f>
        <v>0</v>
      </c>
      <c r="R217" s="789">
        <f ca="1">SUM(SUMIFS(OFFSET(貼付け_2026実績,$A217,10,1,199),OFFSET(貼付け_2026実績,4,9,1,199),{"横浜*","川崎*"}))</f>
        <v>0</v>
      </c>
      <c r="S217" s="789">
        <f ca="1">SUM(SUMIFS(OFFSET(貼付け_2027実績,$A217,10,1,199),OFFSET(貼付け_2027実績,4,9,1,199),{"横浜*","川崎*"}))</f>
        <v>0</v>
      </c>
      <c r="T217" s="789">
        <f t="shared" ca="1" si="471"/>
        <v>0</v>
      </c>
      <c r="U217" s="789">
        <f t="shared" ca="1" si="471"/>
        <v>0</v>
      </c>
      <c r="V217" s="789">
        <f t="shared" ca="1" si="471"/>
        <v>0</v>
      </c>
      <c r="W217" s="789">
        <f t="shared" ca="1" si="471"/>
        <v>0</v>
      </c>
      <c r="X217" s="789">
        <f t="shared" ca="1" si="425"/>
        <v>0</v>
      </c>
      <c r="Y217" s="789">
        <f t="shared" ca="1" si="426"/>
        <v>0</v>
      </c>
      <c r="Z217" s="789">
        <f t="shared" ca="1" si="427"/>
        <v>0</v>
      </c>
      <c r="AA217" s="789">
        <f t="shared" ca="1" si="428"/>
        <v>0</v>
      </c>
      <c r="AB217" s="789" t="str">
        <f t="shared" ca="1" si="429"/>
        <v/>
      </c>
      <c r="AC217" s="789" t="str">
        <f t="shared" ca="1" si="430"/>
        <v/>
      </c>
      <c r="AD217" s="789" t="str">
        <f t="shared" ca="1" si="431"/>
        <v/>
      </c>
      <c r="AE217" s="789" t="str">
        <f t="shared" ca="1" si="432"/>
        <v/>
      </c>
      <c r="AF217" s="789" t="str">
        <f t="shared" ca="1" si="433"/>
        <v/>
      </c>
      <c r="AG217" s="789" t="str">
        <f t="shared" ca="1" si="434"/>
        <v/>
      </c>
      <c r="AH217" s="789" t="str">
        <f t="shared" ca="1" si="435"/>
        <v/>
      </c>
      <c r="AI217" s="789" t="str">
        <f t="shared" ca="1" si="436"/>
        <v/>
      </c>
      <c r="AJ217" s="789" t="str">
        <f t="shared" ca="1" si="437"/>
        <v/>
      </c>
      <c r="AK217" s="789" t="str">
        <f t="shared" ca="1" si="438"/>
        <v/>
      </c>
      <c r="AL217" s="789" t="str">
        <f t="shared" ca="1" si="439"/>
        <v/>
      </c>
      <c r="AM217" s="789" t="str">
        <f t="shared" ca="1" si="440"/>
        <v/>
      </c>
      <c r="AN217" s="789" t="str">
        <f t="shared" ca="1" si="441"/>
        <v/>
      </c>
      <c r="AO217" s="789" t="str">
        <f t="shared" ca="1" si="442"/>
        <v/>
      </c>
      <c r="AP217" s="789" t="str">
        <f t="shared" ca="1" si="443"/>
        <v/>
      </c>
      <c r="AQ217" s="789" t="str">
        <f t="shared" ca="1" si="444"/>
        <v/>
      </c>
      <c r="AR217" s="789" t="str">
        <f t="shared" ca="1" si="445"/>
        <v/>
      </c>
      <c r="AS217" s="789" t="str">
        <f t="shared" ca="1" si="446"/>
        <v/>
      </c>
      <c r="AT217" s="789" t="str">
        <f t="shared" ca="1" si="447"/>
        <v/>
      </c>
      <c r="AU217" s="789" t="str">
        <f t="shared" ca="1" si="448"/>
        <v/>
      </c>
      <c r="AV217" s="789" t="str">
        <f t="shared" ca="1" si="449"/>
        <v/>
      </c>
      <c r="AW217" s="789" t="str">
        <f t="shared" ca="1" si="450"/>
        <v/>
      </c>
      <c r="AX217" s="789" t="str">
        <f t="shared" ca="1" si="451"/>
        <v/>
      </c>
      <c r="AY217" s="789" t="str">
        <f t="shared" ca="1" si="452"/>
        <v/>
      </c>
      <c r="AZ217" s="789" t="str">
        <f t="shared" ca="1" si="453"/>
        <v/>
      </c>
      <c r="BA217" s="789" t="str">
        <f t="shared" ca="1" si="454"/>
        <v/>
      </c>
      <c r="BB217" s="789" t="str">
        <f t="shared" ca="1" si="455"/>
        <v/>
      </c>
      <c r="BC217" s="789" t="str">
        <f t="shared" ca="1" si="456"/>
        <v/>
      </c>
      <c r="BD217" s="789" t="str">
        <f t="shared" ca="1" si="457"/>
        <v/>
      </c>
      <c r="BE217" s="789" t="str">
        <f t="shared" ca="1" si="458"/>
        <v/>
      </c>
      <c r="BF217" s="789" t="str">
        <f t="shared" ca="1" si="459"/>
        <v/>
      </c>
      <c r="BG217" s="789" t="str">
        <f t="shared" ca="1" si="460"/>
        <v/>
      </c>
      <c r="BH217" s="789" t="str">
        <f t="shared" ca="1" si="461"/>
        <v/>
      </c>
      <c r="BI217" s="789" t="str">
        <f t="shared" ca="1" si="462"/>
        <v/>
      </c>
      <c r="BJ217" s="789" t="str">
        <f t="shared" ca="1" si="463"/>
        <v/>
      </c>
      <c r="BK217" s="789" t="str">
        <f t="shared" ca="1" si="464"/>
        <v/>
      </c>
      <c r="BL217" s="789" t="str">
        <f t="shared" ca="1" si="465"/>
        <v/>
      </c>
      <c r="BM217" s="789" t="str">
        <f t="shared" ca="1" si="466"/>
        <v/>
      </c>
      <c r="BN217" s="789" t="str">
        <f t="shared" ca="1" si="467"/>
        <v/>
      </c>
      <c r="BO217" s="789" t="str">
        <f t="shared" ca="1" si="468"/>
        <v/>
      </c>
    </row>
    <row r="218" spans="1:68" ht="20.100000000000001" customHeight="1">
      <c r="A218" s="784">
        <v>55</v>
      </c>
      <c r="B218" s="1594"/>
      <c r="C218" s="1596"/>
      <c r="D218" s="785" t="s">
        <v>784</v>
      </c>
      <c r="E218" s="792" t="str">
        <f ca="1">E56</f>
        <v/>
      </c>
      <c r="F218" s="794"/>
      <c r="G218" s="792" t="str">
        <f ca="1">G56</f>
        <v/>
      </c>
      <c r="H218" s="788">
        <f t="shared" ca="1" si="472"/>
        <v>0</v>
      </c>
      <c r="I218" s="788">
        <f t="shared" ca="1" si="472"/>
        <v>0</v>
      </c>
      <c r="J218" s="788">
        <f t="shared" ca="1" si="472"/>
        <v>0</v>
      </c>
      <c r="K218" s="788">
        <f t="shared" ca="1" si="472"/>
        <v>0</v>
      </c>
      <c r="L218" s="789">
        <f t="shared" ca="1" si="470"/>
        <v>0</v>
      </c>
      <c r="M218" s="789">
        <f t="shared" ca="1" si="470"/>
        <v>0</v>
      </c>
      <c r="N218" s="789">
        <f t="shared" ca="1" si="470"/>
        <v>0</v>
      </c>
      <c r="O218" s="789">
        <f t="shared" ca="1" si="470"/>
        <v>0</v>
      </c>
      <c r="P218" s="789">
        <f ca="1">SUM(SUMIFS(OFFSET(貼付け_2024実績,$A218,10,1,199),OFFSET(貼付け_2024実績,4,9,1,199),{"横浜*","川崎*"}))</f>
        <v>0</v>
      </c>
      <c r="Q218" s="789">
        <f ca="1">SUM(SUMIFS(OFFSET(貼付け_2025実績,$A218,10,1,199),OFFSET(貼付け_2025実績,4,9,1,199),{"横浜*","川崎*"}))</f>
        <v>0</v>
      </c>
      <c r="R218" s="789">
        <f ca="1">SUM(SUMIFS(OFFSET(貼付け_2026実績,$A218,10,1,199),OFFSET(貼付け_2026実績,4,9,1,199),{"横浜*","川崎*"}))</f>
        <v>0</v>
      </c>
      <c r="S218" s="789">
        <f ca="1">SUM(SUMIFS(OFFSET(貼付け_2027実績,$A218,10,1,199),OFFSET(貼付け_2027実績,4,9,1,199),{"横浜*","川崎*"}))</f>
        <v>0</v>
      </c>
      <c r="T218" s="789">
        <f t="shared" ca="1" si="471"/>
        <v>0</v>
      </c>
      <c r="U218" s="789">
        <f t="shared" ca="1" si="471"/>
        <v>0</v>
      </c>
      <c r="V218" s="789">
        <f t="shared" ca="1" si="471"/>
        <v>0</v>
      </c>
      <c r="W218" s="789">
        <f t="shared" ca="1" si="471"/>
        <v>0</v>
      </c>
      <c r="X218" s="789">
        <f t="shared" ca="1" si="425"/>
        <v>0</v>
      </c>
      <c r="Y218" s="789">
        <f t="shared" ca="1" si="426"/>
        <v>0</v>
      </c>
      <c r="Z218" s="789">
        <f t="shared" ca="1" si="427"/>
        <v>0</v>
      </c>
      <c r="AA218" s="789">
        <f t="shared" ca="1" si="428"/>
        <v>0</v>
      </c>
      <c r="AB218" s="789" t="str">
        <f t="shared" ca="1" si="429"/>
        <v/>
      </c>
      <c r="AC218" s="789" t="str">
        <f t="shared" ca="1" si="430"/>
        <v/>
      </c>
      <c r="AD218" s="789" t="str">
        <f t="shared" ca="1" si="431"/>
        <v/>
      </c>
      <c r="AE218" s="789" t="str">
        <f t="shared" ca="1" si="432"/>
        <v/>
      </c>
      <c r="AF218" s="789" t="str">
        <f t="shared" ca="1" si="433"/>
        <v/>
      </c>
      <c r="AG218" s="789" t="str">
        <f t="shared" ca="1" si="434"/>
        <v/>
      </c>
      <c r="AH218" s="789" t="str">
        <f t="shared" ca="1" si="435"/>
        <v/>
      </c>
      <c r="AI218" s="789" t="str">
        <f t="shared" ca="1" si="436"/>
        <v/>
      </c>
      <c r="AJ218" s="789" t="str">
        <f t="shared" ca="1" si="437"/>
        <v/>
      </c>
      <c r="AK218" s="789" t="str">
        <f t="shared" ca="1" si="438"/>
        <v/>
      </c>
      <c r="AL218" s="789" t="str">
        <f t="shared" ca="1" si="439"/>
        <v/>
      </c>
      <c r="AM218" s="789" t="str">
        <f t="shared" ca="1" si="440"/>
        <v/>
      </c>
      <c r="AN218" s="789" t="str">
        <f t="shared" ca="1" si="441"/>
        <v/>
      </c>
      <c r="AO218" s="789" t="str">
        <f t="shared" ca="1" si="442"/>
        <v/>
      </c>
      <c r="AP218" s="789" t="str">
        <f t="shared" ca="1" si="443"/>
        <v/>
      </c>
      <c r="AQ218" s="789" t="str">
        <f t="shared" ca="1" si="444"/>
        <v/>
      </c>
      <c r="AR218" s="789" t="str">
        <f t="shared" ca="1" si="445"/>
        <v/>
      </c>
      <c r="AS218" s="789" t="str">
        <f t="shared" ca="1" si="446"/>
        <v/>
      </c>
      <c r="AT218" s="789" t="str">
        <f t="shared" ca="1" si="447"/>
        <v/>
      </c>
      <c r="AU218" s="789" t="str">
        <f t="shared" ca="1" si="448"/>
        <v/>
      </c>
      <c r="AV218" s="789" t="str">
        <f t="shared" ca="1" si="449"/>
        <v/>
      </c>
      <c r="AW218" s="789" t="str">
        <f t="shared" ca="1" si="450"/>
        <v/>
      </c>
      <c r="AX218" s="789" t="str">
        <f t="shared" ca="1" si="451"/>
        <v/>
      </c>
      <c r="AY218" s="789" t="str">
        <f t="shared" ca="1" si="452"/>
        <v/>
      </c>
      <c r="AZ218" s="789" t="str">
        <f t="shared" ca="1" si="453"/>
        <v/>
      </c>
      <c r="BA218" s="789" t="str">
        <f t="shared" ca="1" si="454"/>
        <v/>
      </c>
      <c r="BB218" s="789" t="str">
        <f t="shared" ca="1" si="455"/>
        <v/>
      </c>
      <c r="BC218" s="789" t="str">
        <f t="shared" ca="1" si="456"/>
        <v/>
      </c>
      <c r="BD218" s="789" t="str">
        <f t="shared" ca="1" si="457"/>
        <v/>
      </c>
      <c r="BE218" s="789" t="str">
        <f t="shared" ca="1" si="458"/>
        <v/>
      </c>
      <c r="BF218" s="789" t="str">
        <f t="shared" ca="1" si="459"/>
        <v/>
      </c>
      <c r="BG218" s="789" t="str">
        <f t="shared" ca="1" si="460"/>
        <v/>
      </c>
      <c r="BH218" s="789" t="str">
        <f t="shared" ca="1" si="461"/>
        <v/>
      </c>
      <c r="BI218" s="789" t="str">
        <f t="shared" ca="1" si="462"/>
        <v/>
      </c>
      <c r="BJ218" s="789" t="str">
        <f t="shared" ca="1" si="463"/>
        <v/>
      </c>
      <c r="BK218" s="789" t="str">
        <f t="shared" ca="1" si="464"/>
        <v/>
      </c>
      <c r="BL218" s="789" t="str">
        <f t="shared" ca="1" si="465"/>
        <v/>
      </c>
      <c r="BM218" s="789" t="str">
        <f t="shared" ca="1" si="466"/>
        <v/>
      </c>
      <c r="BN218" s="789" t="str">
        <f t="shared" ca="1" si="467"/>
        <v/>
      </c>
      <c r="BO218" s="789" t="str">
        <f t="shared" ca="1" si="468"/>
        <v/>
      </c>
      <c r="BP218" s="802"/>
    </row>
    <row r="219" spans="1:68" ht="20.100000000000001" hidden="1" customHeight="1" outlineLevel="1">
      <c r="A219" s="784"/>
      <c r="B219" s="1593" t="s">
        <v>421</v>
      </c>
      <c r="C219" s="1596" t="s">
        <v>396</v>
      </c>
      <c r="D219" s="785" t="s">
        <v>397</v>
      </c>
      <c r="E219" s="790"/>
      <c r="F219" s="810"/>
      <c r="G219" s="787" t="s">
        <v>461</v>
      </c>
      <c r="H219" s="843"/>
      <c r="I219" s="843"/>
      <c r="J219" s="843"/>
      <c r="K219" s="843"/>
      <c r="L219" s="904"/>
      <c r="M219" s="904"/>
      <c r="N219" s="904"/>
      <c r="O219" s="904"/>
      <c r="P219" s="904"/>
      <c r="Q219" s="904"/>
      <c r="R219" s="904"/>
      <c r="S219" s="904"/>
      <c r="T219" s="904"/>
      <c r="U219" s="904"/>
      <c r="V219" s="904"/>
      <c r="W219" s="904"/>
      <c r="X219" s="904"/>
      <c r="Y219" s="904"/>
      <c r="Z219" s="904"/>
      <c r="AA219" s="904"/>
      <c r="AB219" s="904"/>
      <c r="AC219" s="904"/>
      <c r="AD219" s="904"/>
      <c r="AE219" s="904"/>
      <c r="AF219" s="904"/>
      <c r="AG219" s="904"/>
      <c r="AH219" s="904"/>
      <c r="AI219" s="904"/>
      <c r="AJ219" s="904"/>
      <c r="AK219" s="904"/>
      <c r="AL219" s="904"/>
      <c r="AM219" s="904"/>
      <c r="AN219" s="904"/>
      <c r="AO219" s="904"/>
      <c r="AP219" s="904"/>
      <c r="AQ219" s="904"/>
      <c r="AR219" s="904"/>
      <c r="AS219" s="904"/>
      <c r="AT219" s="904"/>
      <c r="AU219" s="904"/>
      <c r="AV219" s="904"/>
      <c r="AW219" s="904"/>
      <c r="AX219" s="904"/>
      <c r="AY219" s="904"/>
      <c r="AZ219" s="904"/>
      <c r="BA219" s="904"/>
      <c r="BB219" s="904"/>
      <c r="BC219" s="904"/>
      <c r="BD219" s="904"/>
      <c r="BE219" s="904"/>
      <c r="BF219" s="904"/>
      <c r="BG219" s="904"/>
      <c r="BH219" s="904"/>
      <c r="BI219" s="904"/>
      <c r="BJ219" s="904"/>
      <c r="BK219" s="904"/>
      <c r="BL219" s="904"/>
      <c r="BM219" s="904"/>
      <c r="BN219" s="904"/>
      <c r="BO219" s="904"/>
      <c r="BP219" s="802"/>
    </row>
    <row r="220" spans="1:68" ht="20.100000000000001" hidden="1" customHeight="1" outlineLevel="1">
      <c r="A220" s="784"/>
      <c r="B220" s="1594"/>
      <c r="C220" s="1596"/>
      <c r="D220" s="785" t="s">
        <v>785</v>
      </c>
      <c r="E220" s="790"/>
      <c r="F220" s="810"/>
      <c r="G220" s="787" t="s">
        <v>461</v>
      </c>
      <c r="H220" s="843"/>
      <c r="I220" s="843"/>
      <c r="J220" s="843"/>
      <c r="K220" s="843"/>
      <c r="L220" s="904"/>
      <c r="M220" s="904"/>
      <c r="N220" s="904"/>
      <c r="O220" s="904"/>
      <c r="P220" s="904"/>
      <c r="Q220" s="904"/>
      <c r="R220" s="904"/>
      <c r="S220" s="904"/>
      <c r="T220" s="904"/>
      <c r="U220" s="904"/>
      <c r="V220" s="904"/>
      <c r="W220" s="904"/>
      <c r="X220" s="904"/>
      <c r="Y220" s="904"/>
      <c r="Z220" s="904"/>
      <c r="AA220" s="904"/>
      <c r="AB220" s="904"/>
      <c r="AC220" s="904"/>
      <c r="AD220" s="904"/>
      <c r="AE220" s="904"/>
      <c r="AF220" s="904"/>
      <c r="AG220" s="904"/>
      <c r="AH220" s="904"/>
      <c r="AI220" s="904"/>
      <c r="AJ220" s="904"/>
      <c r="AK220" s="904"/>
      <c r="AL220" s="904"/>
      <c r="AM220" s="904"/>
      <c r="AN220" s="904"/>
      <c r="AO220" s="904"/>
      <c r="AP220" s="904"/>
      <c r="AQ220" s="904"/>
      <c r="AR220" s="904"/>
      <c r="AS220" s="904"/>
      <c r="AT220" s="904"/>
      <c r="AU220" s="904"/>
      <c r="AV220" s="904"/>
      <c r="AW220" s="904"/>
      <c r="AX220" s="904"/>
      <c r="AY220" s="904"/>
      <c r="AZ220" s="904"/>
      <c r="BA220" s="904"/>
      <c r="BB220" s="904"/>
      <c r="BC220" s="904"/>
      <c r="BD220" s="904"/>
      <c r="BE220" s="904"/>
      <c r="BF220" s="904"/>
      <c r="BG220" s="904"/>
      <c r="BH220" s="904"/>
      <c r="BI220" s="904"/>
      <c r="BJ220" s="904"/>
      <c r="BK220" s="904"/>
      <c r="BL220" s="904"/>
      <c r="BM220" s="904"/>
      <c r="BN220" s="904"/>
      <c r="BO220" s="904"/>
      <c r="BP220" s="802"/>
    </row>
    <row r="221" spans="1:68" ht="20.100000000000001" hidden="1" customHeight="1" outlineLevel="1">
      <c r="A221" s="784"/>
      <c r="B221" s="1594"/>
      <c r="C221" s="1596"/>
      <c r="D221" s="785" t="s">
        <v>786</v>
      </c>
      <c r="E221" s="790"/>
      <c r="F221" s="810"/>
      <c r="G221" s="787" t="s">
        <v>461</v>
      </c>
      <c r="H221" s="843"/>
      <c r="I221" s="843"/>
      <c r="J221" s="843"/>
      <c r="K221" s="843"/>
      <c r="L221" s="904"/>
      <c r="M221" s="904"/>
      <c r="N221" s="904"/>
      <c r="O221" s="904"/>
      <c r="P221" s="904"/>
      <c r="Q221" s="904"/>
      <c r="R221" s="904"/>
      <c r="S221" s="904"/>
      <c r="T221" s="904"/>
      <c r="U221" s="904"/>
      <c r="V221" s="904"/>
      <c r="W221" s="904"/>
      <c r="X221" s="904"/>
      <c r="Y221" s="904"/>
      <c r="Z221" s="904"/>
      <c r="AA221" s="904"/>
      <c r="AB221" s="904"/>
      <c r="AC221" s="904"/>
      <c r="AD221" s="904"/>
      <c r="AE221" s="904"/>
      <c r="AF221" s="904"/>
      <c r="AG221" s="904"/>
      <c r="AH221" s="904"/>
      <c r="AI221" s="904"/>
      <c r="AJ221" s="904"/>
      <c r="AK221" s="904"/>
      <c r="AL221" s="904"/>
      <c r="AM221" s="904"/>
      <c r="AN221" s="904"/>
      <c r="AO221" s="904"/>
      <c r="AP221" s="904"/>
      <c r="AQ221" s="904"/>
      <c r="AR221" s="904"/>
      <c r="AS221" s="904"/>
      <c r="AT221" s="904"/>
      <c r="AU221" s="904"/>
      <c r="AV221" s="904"/>
      <c r="AW221" s="904"/>
      <c r="AX221" s="904"/>
      <c r="AY221" s="904"/>
      <c r="AZ221" s="904"/>
      <c r="BA221" s="904"/>
      <c r="BB221" s="904"/>
      <c r="BC221" s="904"/>
      <c r="BD221" s="904"/>
      <c r="BE221" s="904"/>
      <c r="BF221" s="904"/>
      <c r="BG221" s="904"/>
      <c r="BH221" s="904"/>
      <c r="BI221" s="904"/>
      <c r="BJ221" s="904"/>
      <c r="BK221" s="904"/>
      <c r="BL221" s="904"/>
      <c r="BM221" s="904"/>
      <c r="BN221" s="904"/>
      <c r="BO221" s="904"/>
      <c r="BP221" s="802"/>
    </row>
    <row r="222" spans="1:68" ht="20.100000000000001" hidden="1" customHeight="1" outlineLevel="1">
      <c r="A222" s="784"/>
      <c r="B222" s="1594"/>
      <c r="C222" s="1596"/>
      <c r="D222" s="785" t="s">
        <v>787</v>
      </c>
      <c r="E222" s="790"/>
      <c r="F222" s="810"/>
      <c r="G222" s="787" t="s">
        <v>461</v>
      </c>
      <c r="H222" s="843"/>
      <c r="I222" s="843"/>
      <c r="J222" s="843"/>
      <c r="K222" s="843"/>
      <c r="L222" s="904"/>
      <c r="M222" s="904"/>
      <c r="N222" s="904"/>
      <c r="O222" s="904"/>
      <c r="P222" s="904"/>
      <c r="Q222" s="904"/>
      <c r="R222" s="904"/>
      <c r="S222" s="904"/>
      <c r="T222" s="904"/>
      <c r="U222" s="904"/>
      <c r="V222" s="904"/>
      <c r="W222" s="904"/>
      <c r="X222" s="904"/>
      <c r="Y222" s="904"/>
      <c r="Z222" s="904"/>
      <c r="AA222" s="904"/>
      <c r="AB222" s="904"/>
      <c r="AC222" s="904"/>
      <c r="AD222" s="904"/>
      <c r="AE222" s="904"/>
      <c r="AF222" s="904"/>
      <c r="AG222" s="904"/>
      <c r="AH222" s="904"/>
      <c r="AI222" s="904"/>
      <c r="AJ222" s="904"/>
      <c r="AK222" s="904"/>
      <c r="AL222" s="904"/>
      <c r="AM222" s="904"/>
      <c r="AN222" s="904"/>
      <c r="AO222" s="904"/>
      <c r="AP222" s="904"/>
      <c r="AQ222" s="904"/>
      <c r="AR222" s="904"/>
      <c r="AS222" s="904"/>
      <c r="AT222" s="904"/>
      <c r="AU222" s="904"/>
      <c r="AV222" s="904"/>
      <c r="AW222" s="904"/>
      <c r="AX222" s="904"/>
      <c r="AY222" s="904"/>
      <c r="AZ222" s="904"/>
      <c r="BA222" s="904"/>
      <c r="BB222" s="904"/>
      <c r="BC222" s="904"/>
      <c r="BD222" s="904"/>
      <c r="BE222" s="904"/>
      <c r="BF222" s="904"/>
      <c r="BG222" s="904"/>
      <c r="BH222" s="904"/>
      <c r="BI222" s="904"/>
      <c r="BJ222" s="904"/>
      <c r="BK222" s="904"/>
      <c r="BL222" s="904"/>
      <c r="BM222" s="904"/>
      <c r="BN222" s="904"/>
      <c r="BO222" s="904"/>
      <c r="BP222" s="802"/>
    </row>
    <row r="223" spans="1:68" ht="20.100000000000001" hidden="1" customHeight="1" outlineLevel="1">
      <c r="A223" s="784"/>
      <c r="B223" s="1594"/>
      <c r="C223" s="1596"/>
      <c r="D223" s="812" t="s">
        <v>398</v>
      </c>
      <c r="E223" s="792" t="str">
        <f ca="1">E61</f>
        <v/>
      </c>
      <c r="F223" s="794"/>
      <c r="G223" s="787" t="s">
        <v>461</v>
      </c>
      <c r="H223" s="843"/>
      <c r="I223" s="843"/>
      <c r="J223" s="843"/>
      <c r="K223" s="843"/>
      <c r="L223" s="904"/>
      <c r="M223" s="904"/>
      <c r="N223" s="904"/>
      <c r="O223" s="904"/>
      <c r="P223" s="904"/>
      <c r="Q223" s="904"/>
      <c r="R223" s="904"/>
      <c r="S223" s="904"/>
      <c r="T223" s="904"/>
      <c r="U223" s="904"/>
      <c r="V223" s="904"/>
      <c r="W223" s="904"/>
      <c r="X223" s="904"/>
      <c r="Y223" s="904"/>
      <c r="Z223" s="904"/>
      <c r="AA223" s="904"/>
      <c r="AB223" s="904"/>
      <c r="AC223" s="904"/>
      <c r="AD223" s="904"/>
      <c r="AE223" s="904"/>
      <c r="AF223" s="904"/>
      <c r="AG223" s="904"/>
      <c r="AH223" s="904"/>
      <c r="AI223" s="904"/>
      <c r="AJ223" s="904"/>
      <c r="AK223" s="904"/>
      <c r="AL223" s="904"/>
      <c r="AM223" s="904"/>
      <c r="AN223" s="904"/>
      <c r="AO223" s="904"/>
      <c r="AP223" s="904"/>
      <c r="AQ223" s="904"/>
      <c r="AR223" s="904"/>
      <c r="AS223" s="904"/>
      <c r="AT223" s="904"/>
      <c r="AU223" s="904"/>
      <c r="AV223" s="904"/>
      <c r="AW223" s="904"/>
      <c r="AX223" s="904"/>
      <c r="AY223" s="904"/>
      <c r="AZ223" s="904"/>
      <c r="BA223" s="904"/>
      <c r="BB223" s="904"/>
      <c r="BC223" s="904"/>
      <c r="BD223" s="904"/>
      <c r="BE223" s="904"/>
      <c r="BF223" s="904"/>
      <c r="BG223" s="904"/>
      <c r="BH223" s="904"/>
      <c r="BI223" s="904"/>
      <c r="BJ223" s="904"/>
      <c r="BK223" s="904"/>
      <c r="BL223" s="904"/>
      <c r="BM223" s="904"/>
      <c r="BN223" s="904"/>
      <c r="BO223" s="904"/>
      <c r="BP223" s="802"/>
    </row>
    <row r="224" spans="1:68" ht="20.100000000000001" hidden="1" customHeight="1" outlineLevel="1">
      <c r="A224" s="784"/>
      <c r="B224" s="1594"/>
      <c r="C224" s="1596" t="s">
        <v>399</v>
      </c>
      <c r="D224" s="813" t="s">
        <v>400</v>
      </c>
      <c r="E224" s="785"/>
      <c r="F224" s="810"/>
      <c r="G224" s="787" t="s">
        <v>461</v>
      </c>
      <c r="H224" s="843"/>
      <c r="I224" s="843"/>
      <c r="J224" s="843"/>
      <c r="K224" s="843"/>
      <c r="L224" s="904"/>
      <c r="M224" s="904"/>
      <c r="N224" s="904"/>
      <c r="O224" s="904"/>
      <c r="P224" s="904"/>
      <c r="Q224" s="904"/>
      <c r="R224" s="904"/>
      <c r="S224" s="904"/>
      <c r="T224" s="904"/>
      <c r="U224" s="904"/>
      <c r="V224" s="904"/>
      <c r="W224" s="904"/>
      <c r="X224" s="904"/>
      <c r="Y224" s="904"/>
      <c r="Z224" s="904"/>
      <c r="AA224" s="904"/>
      <c r="AB224" s="904"/>
      <c r="AC224" s="904"/>
      <c r="AD224" s="904"/>
      <c r="AE224" s="904"/>
      <c r="AF224" s="904"/>
      <c r="AG224" s="904"/>
      <c r="AH224" s="904"/>
      <c r="AI224" s="904"/>
      <c r="AJ224" s="904"/>
      <c r="AK224" s="904"/>
      <c r="AL224" s="904"/>
      <c r="AM224" s="904"/>
      <c r="AN224" s="904"/>
      <c r="AO224" s="904"/>
      <c r="AP224" s="904"/>
      <c r="AQ224" s="904"/>
      <c r="AR224" s="904"/>
      <c r="AS224" s="904"/>
      <c r="AT224" s="904"/>
      <c r="AU224" s="904"/>
      <c r="AV224" s="904"/>
      <c r="AW224" s="904"/>
      <c r="AX224" s="904"/>
      <c r="AY224" s="904"/>
      <c r="AZ224" s="904"/>
      <c r="BA224" s="904"/>
      <c r="BB224" s="904"/>
      <c r="BC224" s="904"/>
      <c r="BD224" s="904"/>
      <c r="BE224" s="904"/>
      <c r="BF224" s="904"/>
      <c r="BG224" s="904"/>
      <c r="BH224" s="904"/>
      <c r="BI224" s="904"/>
      <c r="BJ224" s="904"/>
      <c r="BK224" s="904"/>
      <c r="BL224" s="904"/>
      <c r="BM224" s="904"/>
      <c r="BN224" s="904"/>
      <c r="BO224" s="904"/>
      <c r="BP224" s="802"/>
    </row>
    <row r="225" spans="1:68" ht="20.100000000000001" hidden="1" customHeight="1" outlineLevel="1">
      <c r="A225" s="784"/>
      <c r="B225" s="1594"/>
      <c r="C225" s="1596"/>
      <c r="D225" s="813" t="s">
        <v>401</v>
      </c>
      <c r="E225" s="785"/>
      <c r="F225" s="810"/>
      <c r="G225" s="787" t="s">
        <v>461</v>
      </c>
      <c r="H225" s="843"/>
      <c r="I225" s="843"/>
      <c r="J225" s="843"/>
      <c r="K225" s="843"/>
      <c r="L225" s="904"/>
      <c r="M225" s="904"/>
      <c r="N225" s="904"/>
      <c r="O225" s="904"/>
      <c r="P225" s="904"/>
      <c r="Q225" s="904"/>
      <c r="R225" s="904"/>
      <c r="S225" s="904"/>
      <c r="T225" s="904"/>
      <c r="U225" s="904"/>
      <c r="V225" s="904"/>
      <c r="W225" s="904"/>
      <c r="X225" s="904"/>
      <c r="Y225" s="904"/>
      <c r="Z225" s="904"/>
      <c r="AA225" s="904"/>
      <c r="AB225" s="904"/>
      <c r="AC225" s="904"/>
      <c r="AD225" s="904"/>
      <c r="AE225" s="904"/>
      <c r="AF225" s="904"/>
      <c r="AG225" s="904"/>
      <c r="AH225" s="904"/>
      <c r="AI225" s="904"/>
      <c r="AJ225" s="904"/>
      <c r="AK225" s="904"/>
      <c r="AL225" s="904"/>
      <c r="AM225" s="904"/>
      <c r="AN225" s="904"/>
      <c r="AO225" s="904"/>
      <c r="AP225" s="904"/>
      <c r="AQ225" s="904"/>
      <c r="AR225" s="904"/>
      <c r="AS225" s="904"/>
      <c r="AT225" s="904"/>
      <c r="AU225" s="904"/>
      <c r="AV225" s="904"/>
      <c r="AW225" s="904"/>
      <c r="AX225" s="904"/>
      <c r="AY225" s="904"/>
      <c r="AZ225" s="904"/>
      <c r="BA225" s="904"/>
      <c r="BB225" s="904"/>
      <c r="BC225" s="904"/>
      <c r="BD225" s="904"/>
      <c r="BE225" s="904"/>
      <c r="BF225" s="904"/>
      <c r="BG225" s="904"/>
      <c r="BH225" s="904"/>
      <c r="BI225" s="904"/>
      <c r="BJ225" s="904"/>
      <c r="BK225" s="904"/>
      <c r="BL225" s="904"/>
      <c r="BM225" s="904"/>
      <c r="BN225" s="904"/>
      <c r="BO225" s="904"/>
      <c r="BP225" s="802"/>
    </row>
    <row r="226" spans="1:68" ht="20.100000000000001" hidden="1" customHeight="1" outlineLevel="1">
      <c r="A226" s="784"/>
      <c r="B226" s="1594"/>
      <c r="C226" s="1596"/>
      <c r="D226" s="813" t="s">
        <v>402</v>
      </c>
      <c r="E226" s="785"/>
      <c r="F226" s="810"/>
      <c r="G226" s="787" t="s">
        <v>461</v>
      </c>
      <c r="H226" s="843"/>
      <c r="I226" s="843"/>
      <c r="J226" s="843"/>
      <c r="K226" s="843"/>
      <c r="L226" s="904"/>
      <c r="M226" s="904"/>
      <c r="N226" s="904"/>
      <c r="O226" s="904"/>
      <c r="P226" s="904"/>
      <c r="Q226" s="904"/>
      <c r="R226" s="904"/>
      <c r="S226" s="904"/>
      <c r="T226" s="904"/>
      <c r="U226" s="904"/>
      <c r="V226" s="904"/>
      <c r="W226" s="904"/>
      <c r="X226" s="904"/>
      <c r="Y226" s="904"/>
      <c r="Z226" s="904"/>
      <c r="AA226" s="904"/>
      <c r="AB226" s="904"/>
      <c r="AC226" s="904"/>
      <c r="AD226" s="904"/>
      <c r="AE226" s="904"/>
      <c r="AF226" s="904"/>
      <c r="AG226" s="904"/>
      <c r="AH226" s="904"/>
      <c r="AI226" s="904"/>
      <c r="AJ226" s="904"/>
      <c r="AK226" s="904"/>
      <c r="AL226" s="904"/>
      <c r="AM226" s="904"/>
      <c r="AN226" s="904"/>
      <c r="AO226" s="904"/>
      <c r="AP226" s="904"/>
      <c r="AQ226" s="904"/>
      <c r="AR226" s="904"/>
      <c r="AS226" s="904"/>
      <c r="AT226" s="904"/>
      <c r="AU226" s="904"/>
      <c r="AV226" s="904"/>
      <c r="AW226" s="904"/>
      <c r="AX226" s="904"/>
      <c r="AY226" s="904"/>
      <c r="AZ226" s="904"/>
      <c r="BA226" s="904"/>
      <c r="BB226" s="904"/>
      <c r="BC226" s="904"/>
      <c r="BD226" s="904"/>
      <c r="BE226" s="904"/>
      <c r="BF226" s="904"/>
      <c r="BG226" s="904"/>
      <c r="BH226" s="904"/>
      <c r="BI226" s="904"/>
      <c r="BJ226" s="904"/>
      <c r="BK226" s="904"/>
      <c r="BL226" s="904"/>
      <c r="BM226" s="904"/>
      <c r="BN226" s="904"/>
      <c r="BO226" s="904"/>
      <c r="BP226" s="802"/>
    </row>
    <row r="227" spans="1:68" ht="20.100000000000001" hidden="1" customHeight="1" outlineLevel="1">
      <c r="A227" s="784"/>
      <c r="B227" s="1594"/>
      <c r="C227" s="1596"/>
      <c r="D227" s="813" t="s">
        <v>403</v>
      </c>
      <c r="E227" s="785"/>
      <c r="F227" s="810"/>
      <c r="G227" s="787" t="s">
        <v>461</v>
      </c>
      <c r="H227" s="843"/>
      <c r="I227" s="843"/>
      <c r="J227" s="843"/>
      <c r="K227" s="843"/>
      <c r="L227" s="904"/>
      <c r="M227" s="904"/>
      <c r="N227" s="904"/>
      <c r="O227" s="904"/>
      <c r="P227" s="904"/>
      <c r="Q227" s="904"/>
      <c r="R227" s="904"/>
      <c r="S227" s="904"/>
      <c r="T227" s="904"/>
      <c r="U227" s="904"/>
      <c r="V227" s="904"/>
      <c r="W227" s="904"/>
      <c r="X227" s="904"/>
      <c r="Y227" s="904"/>
      <c r="Z227" s="904"/>
      <c r="AA227" s="904"/>
      <c r="AB227" s="904"/>
      <c r="AC227" s="904"/>
      <c r="AD227" s="904"/>
      <c r="AE227" s="904"/>
      <c r="AF227" s="904"/>
      <c r="AG227" s="904"/>
      <c r="AH227" s="904"/>
      <c r="AI227" s="904"/>
      <c r="AJ227" s="904"/>
      <c r="AK227" s="904"/>
      <c r="AL227" s="904"/>
      <c r="AM227" s="904"/>
      <c r="AN227" s="904"/>
      <c r="AO227" s="904"/>
      <c r="AP227" s="904"/>
      <c r="AQ227" s="904"/>
      <c r="AR227" s="904"/>
      <c r="AS227" s="904"/>
      <c r="AT227" s="904"/>
      <c r="AU227" s="904"/>
      <c r="AV227" s="904"/>
      <c r="AW227" s="904"/>
      <c r="AX227" s="904"/>
      <c r="AY227" s="904"/>
      <c r="AZ227" s="904"/>
      <c r="BA227" s="904"/>
      <c r="BB227" s="904"/>
      <c r="BC227" s="904"/>
      <c r="BD227" s="904"/>
      <c r="BE227" s="904"/>
      <c r="BF227" s="904"/>
      <c r="BG227" s="904"/>
      <c r="BH227" s="904"/>
      <c r="BI227" s="904"/>
      <c r="BJ227" s="904"/>
      <c r="BK227" s="904"/>
      <c r="BL227" s="904"/>
      <c r="BM227" s="904"/>
      <c r="BN227" s="904"/>
      <c r="BO227" s="904"/>
      <c r="BP227" s="802"/>
    </row>
    <row r="228" spans="1:68" ht="20.100000000000001" hidden="1" customHeight="1" outlineLevel="1">
      <c r="A228" s="784"/>
      <c r="B228" s="1594"/>
      <c r="C228" s="1596"/>
      <c r="D228" s="814" t="s">
        <v>788</v>
      </c>
      <c r="E228" s="792" t="str">
        <f ca="1">E66</f>
        <v/>
      </c>
      <c r="F228" s="794"/>
      <c r="G228" s="787" t="s">
        <v>461</v>
      </c>
      <c r="H228" s="843"/>
      <c r="I228" s="843"/>
      <c r="J228" s="843"/>
      <c r="K228" s="843"/>
      <c r="L228" s="904"/>
      <c r="M228" s="904"/>
      <c r="N228" s="904"/>
      <c r="O228" s="904"/>
      <c r="P228" s="904"/>
      <c r="Q228" s="904"/>
      <c r="R228" s="904"/>
      <c r="S228" s="904"/>
      <c r="T228" s="904"/>
      <c r="U228" s="904"/>
      <c r="V228" s="904"/>
      <c r="W228" s="904"/>
      <c r="X228" s="904"/>
      <c r="Y228" s="904"/>
      <c r="Z228" s="904"/>
      <c r="AA228" s="904"/>
      <c r="AB228" s="904"/>
      <c r="AC228" s="904"/>
      <c r="AD228" s="904"/>
      <c r="AE228" s="904"/>
      <c r="AF228" s="904"/>
      <c r="AG228" s="904"/>
      <c r="AH228" s="904"/>
      <c r="AI228" s="904"/>
      <c r="AJ228" s="904"/>
      <c r="AK228" s="904"/>
      <c r="AL228" s="904"/>
      <c r="AM228" s="904"/>
      <c r="AN228" s="904"/>
      <c r="AO228" s="904"/>
      <c r="AP228" s="904"/>
      <c r="AQ228" s="904"/>
      <c r="AR228" s="904"/>
      <c r="AS228" s="904"/>
      <c r="AT228" s="904"/>
      <c r="AU228" s="904"/>
      <c r="AV228" s="904"/>
      <c r="AW228" s="904"/>
      <c r="AX228" s="904"/>
      <c r="AY228" s="904"/>
      <c r="AZ228" s="904"/>
      <c r="BA228" s="904"/>
      <c r="BB228" s="904"/>
      <c r="BC228" s="904"/>
      <c r="BD228" s="904"/>
      <c r="BE228" s="904"/>
      <c r="BF228" s="904"/>
      <c r="BG228" s="904"/>
      <c r="BH228" s="904"/>
      <c r="BI228" s="904"/>
      <c r="BJ228" s="904"/>
      <c r="BK228" s="904"/>
      <c r="BL228" s="904"/>
      <c r="BM228" s="904"/>
      <c r="BN228" s="904"/>
      <c r="BO228" s="904"/>
      <c r="BP228" s="802"/>
    </row>
    <row r="229" spans="1:68" ht="20.100000000000001" hidden="1" customHeight="1" outlineLevel="1">
      <c r="A229" s="784"/>
      <c r="B229" s="1594"/>
      <c r="C229" s="1596"/>
      <c r="D229" s="814" t="s">
        <v>789</v>
      </c>
      <c r="E229" s="792" t="str">
        <f ca="1">E67</f>
        <v/>
      </c>
      <c r="F229" s="794"/>
      <c r="G229" s="787" t="s">
        <v>461</v>
      </c>
      <c r="H229" s="843"/>
      <c r="I229" s="843"/>
      <c r="J229" s="843"/>
      <c r="K229" s="843"/>
      <c r="L229" s="904"/>
      <c r="M229" s="904"/>
      <c r="N229" s="904"/>
      <c r="O229" s="904"/>
      <c r="P229" s="904"/>
      <c r="Q229" s="904"/>
      <c r="R229" s="904"/>
      <c r="S229" s="904"/>
      <c r="T229" s="904"/>
      <c r="U229" s="904"/>
      <c r="V229" s="904"/>
      <c r="W229" s="904"/>
      <c r="X229" s="904"/>
      <c r="Y229" s="904"/>
      <c r="Z229" s="904"/>
      <c r="AA229" s="904"/>
      <c r="AB229" s="904"/>
      <c r="AC229" s="904"/>
      <c r="AD229" s="904"/>
      <c r="AE229" s="904"/>
      <c r="AF229" s="904"/>
      <c r="AG229" s="904"/>
      <c r="AH229" s="904"/>
      <c r="AI229" s="904"/>
      <c r="AJ229" s="904"/>
      <c r="AK229" s="904"/>
      <c r="AL229" s="904"/>
      <c r="AM229" s="904"/>
      <c r="AN229" s="904"/>
      <c r="AO229" s="904"/>
      <c r="AP229" s="904"/>
      <c r="AQ229" s="904"/>
      <c r="AR229" s="904"/>
      <c r="AS229" s="904"/>
      <c r="AT229" s="904"/>
      <c r="AU229" s="904"/>
      <c r="AV229" s="904"/>
      <c r="AW229" s="904"/>
      <c r="AX229" s="904"/>
      <c r="AY229" s="904"/>
      <c r="AZ229" s="904"/>
      <c r="BA229" s="904"/>
      <c r="BB229" s="904"/>
      <c r="BC229" s="904"/>
      <c r="BD229" s="904"/>
      <c r="BE229" s="904"/>
      <c r="BF229" s="904"/>
      <c r="BG229" s="904"/>
      <c r="BH229" s="904"/>
      <c r="BI229" s="904"/>
      <c r="BJ229" s="904"/>
      <c r="BK229" s="904"/>
      <c r="BL229" s="904"/>
      <c r="BM229" s="904"/>
      <c r="BN229" s="904"/>
      <c r="BO229" s="904"/>
      <c r="BP229" s="802"/>
    </row>
    <row r="230" spans="1:68" ht="20.100000000000001" hidden="1" customHeight="1" outlineLevel="1">
      <c r="A230" s="784"/>
      <c r="B230" s="1593" t="s">
        <v>422</v>
      </c>
      <c r="C230" s="894" t="s">
        <v>405</v>
      </c>
      <c r="D230" s="895"/>
      <c r="E230" s="790"/>
      <c r="F230" s="810"/>
      <c r="G230" s="787" t="s">
        <v>462</v>
      </c>
      <c r="H230" s="843"/>
      <c r="I230" s="843"/>
      <c r="J230" s="843"/>
      <c r="K230" s="843"/>
      <c r="L230" s="904"/>
      <c r="M230" s="904"/>
      <c r="N230" s="904"/>
      <c r="O230" s="904"/>
      <c r="P230" s="904"/>
      <c r="Q230" s="904"/>
      <c r="R230" s="904"/>
      <c r="S230" s="904"/>
      <c r="T230" s="904"/>
      <c r="U230" s="904"/>
      <c r="V230" s="904"/>
      <c r="W230" s="904"/>
      <c r="X230" s="904"/>
      <c r="Y230" s="904"/>
      <c r="Z230" s="904"/>
      <c r="AA230" s="904"/>
      <c r="AB230" s="904"/>
      <c r="AC230" s="904"/>
      <c r="AD230" s="904"/>
      <c r="AE230" s="904"/>
      <c r="AF230" s="904"/>
      <c r="AG230" s="904"/>
      <c r="AH230" s="904"/>
      <c r="AI230" s="904"/>
      <c r="AJ230" s="904"/>
      <c r="AK230" s="904"/>
      <c r="AL230" s="904"/>
      <c r="AM230" s="904"/>
      <c r="AN230" s="904"/>
      <c r="AO230" s="904"/>
      <c r="AP230" s="904"/>
      <c r="AQ230" s="904"/>
      <c r="AR230" s="904"/>
      <c r="AS230" s="904"/>
      <c r="AT230" s="904"/>
      <c r="AU230" s="904"/>
      <c r="AV230" s="904"/>
      <c r="AW230" s="904"/>
      <c r="AX230" s="904"/>
      <c r="AY230" s="904"/>
      <c r="AZ230" s="904"/>
      <c r="BA230" s="904"/>
      <c r="BB230" s="904"/>
      <c r="BC230" s="904"/>
      <c r="BD230" s="904"/>
      <c r="BE230" s="904"/>
      <c r="BF230" s="904"/>
      <c r="BG230" s="904"/>
      <c r="BH230" s="904"/>
      <c r="BI230" s="904"/>
      <c r="BJ230" s="904"/>
      <c r="BK230" s="904"/>
      <c r="BL230" s="904"/>
      <c r="BM230" s="904"/>
      <c r="BN230" s="904"/>
      <c r="BO230" s="904"/>
      <c r="BP230" s="802"/>
    </row>
    <row r="231" spans="1:68" ht="20.100000000000001" hidden="1" customHeight="1" outlineLevel="1">
      <c r="A231" s="784"/>
      <c r="B231" s="1594"/>
      <c r="C231" s="1596" t="s">
        <v>406</v>
      </c>
      <c r="D231" s="812" t="s">
        <v>407</v>
      </c>
      <c r="E231" s="785"/>
      <c r="F231" s="810"/>
      <c r="G231" s="787" t="s">
        <v>462</v>
      </c>
      <c r="H231" s="843"/>
      <c r="I231" s="843"/>
      <c r="J231" s="843"/>
      <c r="K231" s="843"/>
      <c r="L231" s="904"/>
      <c r="M231" s="904"/>
      <c r="N231" s="904"/>
      <c r="O231" s="904"/>
      <c r="P231" s="904"/>
      <c r="Q231" s="904"/>
      <c r="R231" s="904"/>
      <c r="S231" s="904"/>
      <c r="T231" s="904"/>
      <c r="U231" s="904"/>
      <c r="V231" s="904"/>
      <c r="W231" s="904"/>
      <c r="X231" s="904"/>
      <c r="Y231" s="904"/>
      <c r="Z231" s="904"/>
      <c r="AA231" s="904"/>
      <c r="AB231" s="904"/>
      <c r="AC231" s="904"/>
      <c r="AD231" s="904"/>
      <c r="AE231" s="904"/>
      <c r="AF231" s="904"/>
      <c r="AG231" s="904"/>
      <c r="AH231" s="904"/>
      <c r="AI231" s="904"/>
      <c r="AJ231" s="904"/>
      <c r="AK231" s="904"/>
      <c r="AL231" s="904"/>
      <c r="AM231" s="904"/>
      <c r="AN231" s="904"/>
      <c r="AO231" s="904"/>
      <c r="AP231" s="904"/>
      <c r="AQ231" s="904"/>
      <c r="AR231" s="904"/>
      <c r="AS231" s="904"/>
      <c r="AT231" s="904"/>
      <c r="AU231" s="904"/>
      <c r="AV231" s="904"/>
      <c r="AW231" s="904"/>
      <c r="AX231" s="904"/>
      <c r="AY231" s="904"/>
      <c r="AZ231" s="904"/>
      <c r="BA231" s="904"/>
      <c r="BB231" s="904"/>
      <c r="BC231" s="904"/>
      <c r="BD231" s="904"/>
      <c r="BE231" s="904"/>
      <c r="BF231" s="904"/>
      <c r="BG231" s="904"/>
      <c r="BH231" s="904"/>
      <c r="BI231" s="904"/>
      <c r="BJ231" s="904"/>
      <c r="BK231" s="904"/>
      <c r="BL231" s="904"/>
      <c r="BM231" s="904"/>
      <c r="BN231" s="904"/>
      <c r="BO231" s="904"/>
      <c r="BP231" s="802"/>
    </row>
    <row r="232" spans="1:68" ht="20.100000000000001" hidden="1" customHeight="1" outlineLevel="1">
      <c r="A232" s="784"/>
      <c r="B232" s="1594"/>
      <c r="C232" s="1596"/>
      <c r="D232" s="814" t="s">
        <v>408</v>
      </c>
      <c r="E232" s="785"/>
      <c r="F232" s="810"/>
      <c r="G232" s="787" t="s">
        <v>462</v>
      </c>
      <c r="H232" s="843"/>
      <c r="I232" s="843"/>
      <c r="J232" s="843"/>
      <c r="K232" s="843"/>
      <c r="L232" s="904"/>
      <c r="M232" s="904"/>
      <c r="N232" s="904"/>
      <c r="O232" s="904"/>
      <c r="P232" s="904"/>
      <c r="Q232" s="904"/>
      <c r="R232" s="904"/>
      <c r="S232" s="904"/>
      <c r="T232" s="904"/>
      <c r="U232" s="904"/>
      <c r="V232" s="904"/>
      <c r="W232" s="904"/>
      <c r="X232" s="904"/>
      <c r="Y232" s="904"/>
      <c r="Z232" s="904"/>
      <c r="AA232" s="904"/>
      <c r="AB232" s="904"/>
      <c r="AC232" s="904"/>
      <c r="AD232" s="904"/>
      <c r="AE232" s="904"/>
      <c r="AF232" s="904"/>
      <c r="AG232" s="904"/>
      <c r="AH232" s="904"/>
      <c r="AI232" s="904"/>
      <c r="AJ232" s="904"/>
      <c r="AK232" s="904"/>
      <c r="AL232" s="904"/>
      <c r="AM232" s="904"/>
      <c r="AN232" s="904"/>
      <c r="AO232" s="904"/>
      <c r="AP232" s="904"/>
      <c r="AQ232" s="904"/>
      <c r="AR232" s="904"/>
      <c r="AS232" s="904"/>
      <c r="AT232" s="904"/>
      <c r="AU232" s="904"/>
      <c r="AV232" s="904"/>
      <c r="AW232" s="904"/>
      <c r="AX232" s="904"/>
      <c r="AY232" s="904"/>
      <c r="AZ232" s="904"/>
      <c r="BA232" s="904"/>
      <c r="BB232" s="904"/>
      <c r="BC232" s="904"/>
      <c r="BD232" s="904"/>
      <c r="BE232" s="904"/>
      <c r="BF232" s="904"/>
      <c r="BG232" s="904"/>
      <c r="BH232" s="904"/>
      <c r="BI232" s="904"/>
      <c r="BJ232" s="904"/>
      <c r="BK232" s="904"/>
      <c r="BL232" s="904"/>
      <c r="BM232" s="904"/>
      <c r="BN232" s="904"/>
      <c r="BO232" s="904"/>
      <c r="BP232" s="802"/>
    </row>
    <row r="233" spans="1:68" ht="20.100000000000001" hidden="1" customHeight="1" outlineLevel="1">
      <c r="A233" s="784"/>
      <c r="B233" s="1594"/>
      <c r="C233" s="1596"/>
      <c r="D233" s="814" t="s">
        <v>409</v>
      </c>
      <c r="E233" s="792" t="str">
        <f ca="1">E71</f>
        <v/>
      </c>
      <c r="F233" s="794"/>
      <c r="G233" s="787" t="s">
        <v>462</v>
      </c>
      <c r="H233" s="843"/>
      <c r="I233" s="843"/>
      <c r="J233" s="843"/>
      <c r="K233" s="843"/>
      <c r="L233" s="904"/>
      <c r="M233" s="904"/>
      <c r="N233" s="904"/>
      <c r="O233" s="904"/>
      <c r="P233" s="904"/>
      <c r="Q233" s="904"/>
      <c r="R233" s="904"/>
      <c r="S233" s="904"/>
      <c r="T233" s="904"/>
      <c r="U233" s="904"/>
      <c r="V233" s="904"/>
      <c r="W233" s="904"/>
      <c r="X233" s="904"/>
      <c r="Y233" s="904"/>
      <c r="Z233" s="904"/>
      <c r="AA233" s="904"/>
      <c r="AB233" s="904"/>
      <c r="AC233" s="904"/>
      <c r="AD233" s="904"/>
      <c r="AE233" s="904"/>
      <c r="AF233" s="904"/>
      <c r="AG233" s="904"/>
      <c r="AH233" s="904"/>
      <c r="AI233" s="904"/>
      <c r="AJ233" s="904"/>
      <c r="AK233" s="904"/>
      <c r="AL233" s="904"/>
      <c r="AM233" s="904"/>
      <c r="AN233" s="904"/>
      <c r="AO233" s="904"/>
      <c r="AP233" s="904"/>
      <c r="AQ233" s="904"/>
      <c r="AR233" s="904"/>
      <c r="AS233" s="904"/>
      <c r="AT233" s="904"/>
      <c r="AU233" s="904"/>
      <c r="AV233" s="904"/>
      <c r="AW233" s="904"/>
      <c r="AX233" s="904"/>
      <c r="AY233" s="904"/>
      <c r="AZ233" s="904"/>
      <c r="BA233" s="904"/>
      <c r="BB233" s="904"/>
      <c r="BC233" s="904"/>
      <c r="BD233" s="904"/>
      <c r="BE233" s="904"/>
      <c r="BF233" s="904"/>
      <c r="BG233" s="904"/>
      <c r="BH233" s="904"/>
      <c r="BI233" s="904"/>
      <c r="BJ233" s="904"/>
      <c r="BK233" s="904"/>
      <c r="BL233" s="904"/>
      <c r="BM233" s="904"/>
      <c r="BN233" s="904"/>
      <c r="BO233" s="904"/>
      <c r="BP233" s="802"/>
    </row>
    <row r="234" spans="1:68" ht="20.100000000000001" hidden="1" customHeight="1" outlineLevel="1">
      <c r="A234" s="784"/>
      <c r="B234" s="1594"/>
      <c r="C234" s="1596"/>
      <c r="D234" s="905" t="s">
        <v>410</v>
      </c>
      <c r="E234" s="792" t="str">
        <f ca="1">E73</f>
        <v/>
      </c>
      <c r="F234" s="794"/>
      <c r="G234" s="787" t="s">
        <v>462</v>
      </c>
      <c r="H234" s="843"/>
      <c r="I234" s="843"/>
      <c r="J234" s="843"/>
      <c r="K234" s="843"/>
      <c r="L234" s="904"/>
      <c r="M234" s="904"/>
      <c r="N234" s="904"/>
      <c r="O234" s="904"/>
      <c r="P234" s="904"/>
      <c r="Q234" s="904"/>
      <c r="R234" s="904"/>
      <c r="S234" s="904"/>
      <c r="T234" s="904"/>
      <c r="U234" s="904"/>
      <c r="V234" s="904"/>
      <c r="W234" s="904"/>
      <c r="X234" s="904"/>
      <c r="Y234" s="904"/>
      <c r="Z234" s="904"/>
      <c r="AA234" s="904"/>
      <c r="AB234" s="904"/>
      <c r="AC234" s="904"/>
      <c r="AD234" s="904"/>
      <c r="AE234" s="904"/>
      <c r="AF234" s="904"/>
      <c r="AG234" s="904"/>
      <c r="AH234" s="904"/>
      <c r="AI234" s="904"/>
      <c r="AJ234" s="904"/>
      <c r="AK234" s="904"/>
      <c r="AL234" s="904"/>
      <c r="AM234" s="904"/>
      <c r="AN234" s="904"/>
      <c r="AO234" s="904"/>
      <c r="AP234" s="904"/>
      <c r="AQ234" s="904"/>
      <c r="AR234" s="904"/>
      <c r="AS234" s="904"/>
      <c r="AT234" s="904"/>
      <c r="AU234" s="904"/>
      <c r="AV234" s="904"/>
      <c r="AW234" s="904"/>
      <c r="AX234" s="904"/>
      <c r="AY234" s="904"/>
      <c r="AZ234" s="904"/>
      <c r="BA234" s="904"/>
      <c r="BB234" s="904"/>
      <c r="BC234" s="904"/>
      <c r="BD234" s="904"/>
      <c r="BE234" s="904"/>
      <c r="BF234" s="904"/>
      <c r="BG234" s="904"/>
      <c r="BH234" s="904"/>
      <c r="BI234" s="904"/>
      <c r="BJ234" s="904"/>
      <c r="BK234" s="904"/>
      <c r="BL234" s="904"/>
      <c r="BM234" s="904"/>
      <c r="BN234" s="904"/>
      <c r="BO234" s="904"/>
      <c r="BP234" s="802"/>
    </row>
    <row r="235" spans="1:68" ht="20.100000000000001" hidden="1" customHeight="1" outlineLevel="1">
      <c r="A235" s="784"/>
      <c r="B235" s="1594"/>
      <c r="C235" s="1596" t="s">
        <v>411</v>
      </c>
      <c r="D235" s="814" t="s">
        <v>791</v>
      </c>
      <c r="E235" s="785"/>
      <c r="F235" s="836"/>
      <c r="G235" s="787" t="s">
        <v>462</v>
      </c>
      <c r="H235" s="843"/>
      <c r="I235" s="843"/>
      <c r="J235" s="843"/>
      <c r="K235" s="843"/>
      <c r="L235" s="904"/>
      <c r="M235" s="904"/>
      <c r="N235" s="904"/>
      <c r="O235" s="904"/>
      <c r="P235" s="904"/>
      <c r="Q235" s="904"/>
      <c r="R235" s="904"/>
      <c r="S235" s="904"/>
      <c r="T235" s="904"/>
      <c r="U235" s="904"/>
      <c r="V235" s="904"/>
      <c r="W235" s="904"/>
      <c r="X235" s="904"/>
      <c r="Y235" s="904"/>
      <c r="Z235" s="904"/>
      <c r="AA235" s="904"/>
      <c r="AB235" s="904"/>
      <c r="AC235" s="904"/>
      <c r="AD235" s="904"/>
      <c r="AE235" s="904"/>
      <c r="AF235" s="904"/>
      <c r="AG235" s="904"/>
      <c r="AH235" s="904"/>
      <c r="AI235" s="904"/>
      <c r="AJ235" s="904"/>
      <c r="AK235" s="904"/>
      <c r="AL235" s="904"/>
      <c r="AM235" s="904"/>
      <c r="AN235" s="904"/>
      <c r="AO235" s="904"/>
      <c r="AP235" s="904"/>
      <c r="AQ235" s="904"/>
      <c r="AR235" s="904"/>
      <c r="AS235" s="904"/>
      <c r="AT235" s="904"/>
      <c r="AU235" s="904"/>
      <c r="AV235" s="904"/>
      <c r="AW235" s="904"/>
      <c r="AX235" s="904"/>
      <c r="AY235" s="904"/>
      <c r="AZ235" s="904"/>
      <c r="BA235" s="904"/>
      <c r="BB235" s="904"/>
      <c r="BC235" s="904"/>
      <c r="BD235" s="904"/>
      <c r="BE235" s="904"/>
      <c r="BF235" s="904"/>
      <c r="BG235" s="904"/>
      <c r="BH235" s="904"/>
      <c r="BI235" s="904"/>
      <c r="BJ235" s="904"/>
      <c r="BK235" s="904"/>
      <c r="BL235" s="904"/>
      <c r="BM235" s="904"/>
      <c r="BN235" s="904"/>
      <c r="BO235" s="904"/>
      <c r="BP235" s="802"/>
    </row>
    <row r="236" spans="1:68" ht="20.100000000000001" hidden="1" customHeight="1" outlineLevel="1">
      <c r="A236" s="784"/>
      <c r="B236" s="1594"/>
      <c r="C236" s="1596"/>
      <c r="D236" s="814" t="s">
        <v>792</v>
      </c>
      <c r="E236" s="785"/>
      <c r="F236" s="836"/>
      <c r="G236" s="787" t="s">
        <v>463</v>
      </c>
      <c r="H236" s="843"/>
      <c r="I236" s="843"/>
      <c r="J236" s="843"/>
      <c r="K236" s="843"/>
      <c r="L236" s="904"/>
      <c r="M236" s="904"/>
      <c r="N236" s="904"/>
      <c r="O236" s="904"/>
      <c r="P236" s="904"/>
      <c r="Q236" s="904"/>
      <c r="R236" s="904"/>
      <c r="S236" s="904"/>
      <c r="T236" s="904"/>
      <c r="U236" s="904"/>
      <c r="V236" s="904"/>
      <c r="W236" s="904"/>
      <c r="X236" s="904"/>
      <c r="Y236" s="904"/>
      <c r="Z236" s="904"/>
      <c r="AA236" s="904"/>
      <c r="AB236" s="904"/>
      <c r="AC236" s="904"/>
      <c r="AD236" s="904"/>
      <c r="AE236" s="904"/>
      <c r="AF236" s="904"/>
      <c r="AG236" s="904"/>
      <c r="AH236" s="904"/>
      <c r="AI236" s="904"/>
      <c r="AJ236" s="904"/>
      <c r="AK236" s="904"/>
      <c r="AL236" s="904"/>
      <c r="AM236" s="904"/>
      <c r="AN236" s="904"/>
      <c r="AO236" s="904"/>
      <c r="AP236" s="904"/>
      <c r="AQ236" s="904"/>
      <c r="AR236" s="904"/>
      <c r="AS236" s="904"/>
      <c r="AT236" s="904"/>
      <c r="AU236" s="904"/>
      <c r="AV236" s="904"/>
      <c r="AW236" s="904"/>
      <c r="AX236" s="904"/>
      <c r="AY236" s="904"/>
      <c r="AZ236" s="904"/>
      <c r="BA236" s="904"/>
      <c r="BB236" s="904"/>
      <c r="BC236" s="904"/>
      <c r="BD236" s="904"/>
      <c r="BE236" s="904"/>
      <c r="BF236" s="904"/>
      <c r="BG236" s="904"/>
      <c r="BH236" s="904"/>
      <c r="BI236" s="904"/>
      <c r="BJ236" s="904"/>
      <c r="BK236" s="904"/>
      <c r="BL236" s="904"/>
      <c r="BM236" s="904"/>
      <c r="BN236" s="904"/>
      <c r="BO236" s="904"/>
      <c r="BP236" s="802"/>
    </row>
    <row r="237" spans="1:68" ht="20.100000000000001" hidden="1" customHeight="1" outlineLevel="1">
      <c r="A237" s="784"/>
      <c r="B237" s="1594"/>
      <c r="C237" s="1596"/>
      <c r="D237" s="814" t="s">
        <v>793</v>
      </c>
      <c r="E237" s="785"/>
      <c r="F237" s="836"/>
      <c r="G237" s="787" t="s">
        <v>462</v>
      </c>
      <c r="H237" s="843"/>
      <c r="I237" s="843"/>
      <c r="J237" s="843"/>
      <c r="K237" s="843"/>
      <c r="L237" s="904"/>
      <c r="M237" s="904"/>
      <c r="N237" s="904"/>
      <c r="O237" s="904"/>
      <c r="P237" s="904"/>
      <c r="Q237" s="904"/>
      <c r="R237" s="904"/>
      <c r="S237" s="904"/>
      <c r="T237" s="904"/>
      <c r="U237" s="904"/>
      <c r="V237" s="904"/>
      <c r="W237" s="904"/>
      <c r="X237" s="904"/>
      <c r="Y237" s="904"/>
      <c r="Z237" s="904"/>
      <c r="AA237" s="904"/>
      <c r="AB237" s="904"/>
      <c r="AC237" s="904"/>
      <c r="AD237" s="904"/>
      <c r="AE237" s="904"/>
      <c r="AF237" s="904"/>
      <c r="AG237" s="904"/>
      <c r="AH237" s="904"/>
      <c r="AI237" s="904"/>
      <c r="AJ237" s="904"/>
      <c r="AK237" s="904"/>
      <c r="AL237" s="904"/>
      <c r="AM237" s="904"/>
      <c r="AN237" s="904"/>
      <c r="AO237" s="904"/>
      <c r="AP237" s="904"/>
      <c r="AQ237" s="904"/>
      <c r="AR237" s="904"/>
      <c r="AS237" s="904"/>
      <c r="AT237" s="904"/>
      <c r="AU237" s="904"/>
      <c r="AV237" s="904"/>
      <c r="AW237" s="904"/>
      <c r="AX237" s="904"/>
      <c r="AY237" s="904"/>
      <c r="AZ237" s="904"/>
      <c r="BA237" s="904"/>
      <c r="BB237" s="904"/>
      <c r="BC237" s="904"/>
      <c r="BD237" s="904"/>
      <c r="BE237" s="904"/>
      <c r="BF237" s="904"/>
      <c r="BG237" s="904"/>
      <c r="BH237" s="904"/>
      <c r="BI237" s="904"/>
      <c r="BJ237" s="904"/>
      <c r="BK237" s="904"/>
      <c r="BL237" s="904"/>
      <c r="BM237" s="904"/>
      <c r="BN237" s="904"/>
      <c r="BO237" s="904"/>
      <c r="BP237" s="802"/>
    </row>
    <row r="238" spans="1:68" ht="20.100000000000001" hidden="1" customHeight="1" outlineLevel="1">
      <c r="A238" s="784"/>
      <c r="B238" s="1594"/>
      <c r="C238" s="1596"/>
      <c r="D238" s="814" t="s">
        <v>794</v>
      </c>
      <c r="E238" s="785"/>
      <c r="F238" s="836"/>
      <c r="G238" s="787" t="s">
        <v>463</v>
      </c>
      <c r="H238" s="843"/>
      <c r="I238" s="843"/>
      <c r="J238" s="843"/>
      <c r="K238" s="843"/>
      <c r="L238" s="904"/>
      <c r="M238" s="904"/>
      <c r="N238" s="904"/>
      <c r="O238" s="904"/>
      <c r="P238" s="904"/>
      <c r="Q238" s="904"/>
      <c r="R238" s="904"/>
      <c r="S238" s="904"/>
      <c r="T238" s="904"/>
      <c r="U238" s="904"/>
      <c r="V238" s="904"/>
      <c r="W238" s="904"/>
      <c r="X238" s="904"/>
      <c r="Y238" s="904"/>
      <c r="Z238" s="904"/>
      <c r="AA238" s="904"/>
      <c r="AB238" s="904"/>
      <c r="AC238" s="904"/>
      <c r="AD238" s="904"/>
      <c r="AE238" s="904"/>
      <c r="AF238" s="904"/>
      <c r="AG238" s="904"/>
      <c r="AH238" s="904"/>
      <c r="AI238" s="904"/>
      <c r="AJ238" s="904"/>
      <c r="AK238" s="904"/>
      <c r="AL238" s="904"/>
      <c r="AM238" s="904"/>
      <c r="AN238" s="904"/>
      <c r="AO238" s="904"/>
      <c r="AP238" s="904"/>
      <c r="AQ238" s="904"/>
      <c r="AR238" s="904"/>
      <c r="AS238" s="904"/>
      <c r="AT238" s="904"/>
      <c r="AU238" s="904"/>
      <c r="AV238" s="904"/>
      <c r="AW238" s="904"/>
      <c r="AX238" s="904"/>
      <c r="AY238" s="904"/>
      <c r="AZ238" s="904"/>
      <c r="BA238" s="904"/>
      <c r="BB238" s="904"/>
      <c r="BC238" s="904"/>
      <c r="BD238" s="904"/>
      <c r="BE238" s="904"/>
      <c r="BF238" s="904"/>
      <c r="BG238" s="904"/>
      <c r="BH238" s="904"/>
      <c r="BI238" s="904"/>
      <c r="BJ238" s="904"/>
      <c r="BK238" s="904"/>
      <c r="BL238" s="904"/>
      <c r="BM238" s="904"/>
      <c r="BN238" s="904"/>
      <c r="BO238" s="904"/>
      <c r="BP238" s="802"/>
    </row>
    <row r="239" spans="1:68" ht="20.100000000000001" hidden="1" customHeight="1" outlineLevel="1">
      <c r="A239" s="784"/>
      <c r="B239" s="1594"/>
      <c r="C239" s="1596"/>
      <c r="D239" s="814" t="s">
        <v>795</v>
      </c>
      <c r="E239" s="785"/>
      <c r="F239" s="836"/>
      <c r="G239" s="787" t="s">
        <v>462</v>
      </c>
      <c r="H239" s="843"/>
      <c r="I239" s="843"/>
      <c r="J239" s="843"/>
      <c r="K239" s="843"/>
      <c r="L239" s="904"/>
      <c r="M239" s="904"/>
      <c r="N239" s="904"/>
      <c r="O239" s="904"/>
      <c r="P239" s="904"/>
      <c r="Q239" s="904"/>
      <c r="R239" s="904"/>
      <c r="S239" s="904"/>
      <c r="T239" s="904"/>
      <c r="U239" s="904"/>
      <c r="V239" s="904"/>
      <c r="W239" s="904"/>
      <c r="X239" s="904"/>
      <c r="Y239" s="904"/>
      <c r="Z239" s="904"/>
      <c r="AA239" s="904"/>
      <c r="AB239" s="904"/>
      <c r="AC239" s="904"/>
      <c r="AD239" s="904"/>
      <c r="AE239" s="904"/>
      <c r="AF239" s="904"/>
      <c r="AG239" s="904"/>
      <c r="AH239" s="904"/>
      <c r="AI239" s="904"/>
      <c r="AJ239" s="904"/>
      <c r="AK239" s="904"/>
      <c r="AL239" s="904"/>
      <c r="AM239" s="904"/>
      <c r="AN239" s="904"/>
      <c r="AO239" s="904"/>
      <c r="AP239" s="904"/>
      <c r="AQ239" s="904"/>
      <c r="AR239" s="904"/>
      <c r="AS239" s="904"/>
      <c r="AT239" s="904"/>
      <c r="AU239" s="904"/>
      <c r="AV239" s="904"/>
      <c r="AW239" s="904"/>
      <c r="AX239" s="904"/>
      <c r="AY239" s="904"/>
      <c r="AZ239" s="904"/>
      <c r="BA239" s="904"/>
      <c r="BB239" s="904"/>
      <c r="BC239" s="904"/>
      <c r="BD239" s="904"/>
      <c r="BE239" s="904"/>
      <c r="BF239" s="904"/>
      <c r="BG239" s="904"/>
      <c r="BH239" s="904"/>
      <c r="BI239" s="904"/>
      <c r="BJ239" s="904"/>
      <c r="BK239" s="904"/>
      <c r="BL239" s="904"/>
      <c r="BM239" s="904"/>
      <c r="BN239" s="904"/>
      <c r="BO239" s="904"/>
      <c r="BP239" s="802"/>
    </row>
    <row r="240" spans="1:68" ht="20.100000000000001" hidden="1" customHeight="1" outlineLevel="1">
      <c r="A240" s="784"/>
      <c r="B240" s="1594"/>
      <c r="C240" s="1596"/>
      <c r="D240" s="814" t="s">
        <v>796</v>
      </c>
      <c r="E240" s="785"/>
      <c r="F240" s="836"/>
      <c r="G240" s="787" t="s">
        <v>463</v>
      </c>
      <c r="H240" s="843"/>
      <c r="I240" s="843"/>
      <c r="J240" s="843"/>
      <c r="K240" s="843"/>
      <c r="L240" s="904"/>
      <c r="M240" s="904"/>
      <c r="N240" s="904"/>
      <c r="O240" s="904"/>
      <c r="P240" s="904"/>
      <c r="Q240" s="904"/>
      <c r="R240" s="904"/>
      <c r="S240" s="904"/>
      <c r="T240" s="904"/>
      <c r="U240" s="904"/>
      <c r="V240" s="904"/>
      <c r="W240" s="904"/>
      <c r="X240" s="904"/>
      <c r="Y240" s="904"/>
      <c r="Z240" s="904"/>
      <c r="AA240" s="904"/>
      <c r="AB240" s="904"/>
      <c r="AC240" s="904"/>
      <c r="AD240" s="904"/>
      <c r="AE240" s="904"/>
      <c r="AF240" s="904"/>
      <c r="AG240" s="904"/>
      <c r="AH240" s="904"/>
      <c r="AI240" s="904"/>
      <c r="AJ240" s="904"/>
      <c r="AK240" s="904"/>
      <c r="AL240" s="904"/>
      <c r="AM240" s="904"/>
      <c r="AN240" s="904"/>
      <c r="AO240" s="904"/>
      <c r="AP240" s="904"/>
      <c r="AQ240" s="904"/>
      <c r="AR240" s="904"/>
      <c r="AS240" s="904"/>
      <c r="AT240" s="904"/>
      <c r="AU240" s="904"/>
      <c r="AV240" s="904"/>
      <c r="AW240" s="904"/>
      <c r="AX240" s="904"/>
      <c r="AY240" s="904"/>
      <c r="AZ240" s="904"/>
      <c r="BA240" s="904"/>
      <c r="BB240" s="904"/>
      <c r="BC240" s="904"/>
      <c r="BD240" s="904"/>
      <c r="BE240" s="904"/>
      <c r="BF240" s="904"/>
      <c r="BG240" s="904"/>
      <c r="BH240" s="904"/>
      <c r="BI240" s="904"/>
      <c r="BJ240" s="904"/>
      <c r="BK240" s="904"/>
      <c r="BL240" s="904"/>
      <c r="BM240" s="904"/>
      <c r="BN240" s="904"/>
      <c r="BO240" s="904"/>
      <c r="BP240" s="802"/>
    </row>
    <row r="241" spans="1:68" ht="20.100000000000001" hidden="1" customHeight="1" outlineLevel="1">
      <c r="A241" s="784"/>
      <c r="B241" s="1594"/>
      <c r="C241" s="1596"/>
      <c r="D241" s="814" t="s">
        <v>797</v>
      </c>
      <c r="E241" s="785"/>
      <c r="F241" s="836"/>
      <c r="G241" s="787" t="s">
        <v>462</v>
      </c>
      <c r="H241" s="843"/>
      <c r="I241" s="843"/>
      <c r="J241" s="843"/>
      <c r="K241" s="843"/>
      <c r="L241" s="904"/>
      <c r="M241" s="904"/>
      <c r="N241" s="904"/>
      <c r="O241" s="904"/>
      <c r="P241" s="904"/>
      <c r="Q241" s="904"/>
      <c r="R241" s="904"/>
      <c r="S241" s="904"/>
      <c r="T241" s="904"/>
      <c r="U241" s="904"/>
      <c r="V241" s="904"/>
      <c r="W241" s="904"/>
      <c r="X241" s="904"/>
      <c r="Y241" s="904"/>
      <c r="Z241" s="904"/>
      <c r="AA241" s="904"/>
      <c r="AB241" s="904"/>
      <c r="AC241" s="904"/>
      <c r="AD241" s="904"/>
      <c r="AE241" s="904"/>
      <c r="AF241" s="904"/>
      <c r="AG241" s="904"/>
      <c r="AH241" s="904"/>
      <c r="AI241" s="904"/>
      <c r="AJ241" s="904"/>
      <c r="AK241" s="904"/>
      <c r="AL241" s="904"/>
      <c r="AM241" s="904"/>
      <c r="AN241" s="904"/>
      <c r="AO241" s="904"/>
      <c r="AP241" s="904"/>
      <c r="AQ241" s="904"/>
      <c r="AR241" s="904"/>
      <c r="AS241" s="904"/>
      <c r="AT241" s="904"/>
      <c r="AU241" s="904"/>
      <c r="AV241" s="904"/>
      <c r="AW241" s="904"/>
      <c r="AX241" s="904"/>
      <c r="AY241" s="904"/>
      <c r="AZ241" s="904"/>
      <c r="BA241" s="904"/>
      <c r="BB241" s="904"/>
      <c r="BC241" s="904"/>
      <c r="BD241" s="904"/>
      <c r="BE241" s="904"/>
      <c r="BF241" s="904"/>
      <c r="BG241" s="904"/>
      <c r="BH241" s="904"/>
      <c r="BI241" s="904"/>
      <c r="BJ241" s="904"/>
      <c r="BK241" s="904"/>
      <c r="BL241" s="904"/>
      <c r="BM241" s="904"/>
      <c r="BN241" s="904"/>
      <c r="BO241" s="904"/>
      <c r="BP241" s="802"/>
    </row>
    <row r="242" spans="1:68" ht="20.100000000000001" hidden="1" customHeight="1" outlineLevel="1">
      <c r="A242" s="784"/>
      <c r="B242" s="1594"/>
      <c r="C242" s="1596"/>
      <c r="D242" s="814" t="s">
        <v>798</v>
      </c>
      <c r="E242" s="785"/>
      <c r="F242" s="836"/>
      <c r="G242" s="787" t="s">
        <v>463</v>
      </c>
      <c r="H242" s="843"/>
      <c r="I242" s="843"/>
      <c r="J242" s="843"/>
      <c r="K242" s="843"/>
      <c r="L242" s="904"/>
      <c r="M242" s="904"/>
      <c r="N242" s="904"/>
      <c r="O242" s="904"/>
      <c r="P242" s="904"/>
      <c r="Q242" s="904"/>
      <c r="R242" s="904"/>
      <c r="S242" s="904"/>
      <c r="T242" s="904"/>
      <c r="U242" s="904"/>
      <c r="V242" s="904"/>
      <c r="W242" s="904"/>
      <c r="X242" s="904"/>
      <c r="Y242" s="904"/>
      <c r="Z242" s="904"/>
      <c r="AA242" s="904"/>
      <c r="AB242" s="904"/>
      <c r="AC242" s="904"/>
      <c r="AD242" s="904"/>
      <c r="AE242" s="904"/>
      <c r="AF242" s="904"/>
      <c r="AG242" s="904"/>
      <c r="AH242" s="904"/>
      <c r="AI242" s="904"/>
      <c r="AJ242" s="904"/>
      <c r="AK242" s="904"/>
      <c r="AL242" s="904"/>
      <c r="AM242" s="904"/>
      <c r="AN242" s="904"/>
      <c r="AO242" s="904"/>
      <c r="AP242" s="904"/>
      <c r="AQ242" s="904"/>
      <c r="AR242" s="904"/>
      <c r="AS242" s="904"/>
      <c r="AT242" s="904"/>
      <c r="AU242" s="904"/>
      <c r="AV242" s="904"/>
      <c r="AW242" s="904"/>
      <c r="AX242" s="904"/>
      <c r="AY242" s="904"/>
      <c r="AZ242" s="904"/>
      <c r="BA242" s="904"/>
      <c r="BB242" s="904"/>
      <c r="BC242" s="904"/>
      <c r="BD242" s="904"/>
      <c r="BE242" s="904"/>
      <c r="BF242" s="904"/>
      <c r="BG242" s="904"/>
      <c r="BH242" s="904"/>
      <c r="BI242" s="904"/>
      <c r="BJ242" s="904"/>
      <c r="BK242" s="904"/>
      <c r="BL242" s="904"/>
      <c r="BM242" s="904"/>
      <c r="BN242" s="904"/>
      <c r="BO242" s="904"/>
      <c r="BP242" s="802"/>
    </row>
    <row r="243" spans="1:68" ht="20.100000000000001" hidden="1" customHeight="1" outlineLevel="1">
      <c r="A243" s="784"/>
      <c r="B243" s="1594"/>
      <c r="C243" s="1596"/>
      <c r="D243" s="1617" t="s">
        <v>799</v>
      </c>
      <c r="E243" s="838" t="str">
        <f ca="1">E83</f>
        <v/>
      </c>
      <c r="F243" s="839"/>
      <c r="G243" s="787" t="s">
        <v>462</v>
      </c>
      <c r="H243" s="843"/>
      <c r="I243" s="843"/>
      <c r="J243" s="843"/>
      <c r="K243" s="843"/>
      <c r="L243" s="904"/>
      <c r="M243" s="904"/>
      <c r="N243" s="904"/>
      <c r="O243" s="904"/>
      <c r="P243" s="904"/>
      <c r="Q243" s="904"/>
      <c r="R243" s="904"/>
      <c r="S243" s="904"/>
      <c r="T243" s="904"/>
      <c r="U243" s="904"/>
      <c r="V243" s="904"/>
      <c r="W243" s="904"/>
      <c r="X243" s="904"/>
      <c r="Y243" s="904"/>
      <c r="Z243" s="904"/>
      <c r="AA243" s="904"/>
      <c r="AB243" s="904"/>
      <c r="AC243" s="904"/>
      <c r="AD243" s="904"/>
      <c r="AE243" s="904"/>
      <c r="AF243" s="904"/>
      <c r="AG243" s="904"/>
      <c r="AH243" s="904"/>
      <c r="AI243" s="904"/>
      <c r="AJ243" s="904"/>
      <c r="AK243" s="904"/>
      <c r="AL243" s="904"/>
      <c r="AM243" s="904"/>
      <c r="AN243" s="904"/>
      <c r="AO243" s="904"/>
      <c r="AP243" s="904"/>
      <c r="AQ243" s="904"/>
      <c r="AR243" s="904"/>
      <c r="AS243" s="904"/>
      <c r="AT243" s="904"/>
      <c r="AU243" s="904"/>
      <c r="AV243" s="904"/>
      <c r="AW243" s="904"/>
      <c r="AX243" s="904"/>
      <c r="AY243" s="904"/>
      <c r="AZ243" s="904"/>
      <c r="BA243" s="904"/>
      <c r="BB243" s="904"/>
      <c r="BC243" s="904"/>
      <c r="BD243" s="904"/>
      <c r="BE243" s="904"/>
      <c r="BF243" s="904"/>
      <c r="BG243" s="904"/>
      <c r="BH243" s="904"/>
      <c r="BI243" s="904"/>
      <c r="BJ243" s="904"/>
      <c r="BK243" s="904"/>
      <c r="BL243" s="904"/>
      <c r="BM243" s="904"/>
      <c r="BN243" s="904"/>
      <c r="BO243" s="904"/>
      <c r="BP243" s="802"/>
    </row>
    <row r="244" spans="1:68" ht="20.100000000000001" hidden="1" customHeight="1" outlineLevel="1">
      <c r="A244" s="784"/>
      <c r="B244" s="1594"/>
      <c r="C244" s="1596"/>
      <c r="D244" s="1617"/>
      <c r="E244" s="840"/>
      <c r="F244" s="841"/>
      <c r="G244" s="787" t="s">
        <v>463</v>
      </c>
      <c r="H244" s="843"/>
      <c r="I244" s="843"/>
      <c r="J244" s="843"/>
      <c r="K244" s="843"/>
      <c r="L244" s="904"/>
      <c r="M244" s="904"/>
      <c r="N244" s="904"/>
      <c r="O244" s="904"/>
      <c r="P244" s="904"/>
      <c r="Q244" s="904"/>
      <c r="R244" s="904"/>
      <c r="S244" s="904"/>
      <c r="T244" s="904"/>
      <c r="U244" s="904"/>
      <c r="V244" s="904"/>
      <c r="W244" s="904"/>
      <c r="X244" s="904"/>
      <c r="Y244" s="904"/>
      <c r="Z244" s="904"/>
      <c r="AA244" s="904"/>
      <c r="AB244" s="904"/>
      <c r="AC244" s="904"/>
      <c r="AD244" s="904"/>
      <c r="AE244" s="904"/>
      <c r="AF244" s="904"/>
      <c r="AG244" s="904"/>
      <c r="AH244" s="904"/>
      <c r="AI244" s="904"/>
      <c r="AJ244" s="904"/>
      <c r="AK244" s="904"/>
      <c r="AL244" s="904"/>
      <c r="AM244" s="904"/>
      <c r="AN244" s="904"/>
      <c r="AO244" s="904"/>
      <c r="AP244" s="904"/>
      <c r="AQ244" s="904"/>
      <c r="AR244" s="904"/>
      <c r="AS244" s="904"/>
      <c r="AT244" s="904"/>
      <c r="AU244" s="904"/>
      <c r="AV244" s="904"/>
      <c r="AW244" s="904"/>
      <c r="AX244" s="904"/>
      <c r="AY244" s="904"/>
      <c r="AZ244" s="904"/>
      <c r="BA244" s="904"/>
      <c r="BB244" s="904"/>
      <c r="BC244" s="904"/>
      <c r="BD244" s="904"/>
      <c r="BE244" s="904"/>
      <c r="BF244" s="904"/>
      <c r="BG244" s="904"/>
      <c r="BH244" s="904"/>
      <c r="BI244" s="904"/>
      <c r="BJ244" s="904"/>
      <c r="BK244" s="904"/>
      <c r="BL244" s="904"/>
      <c r="BM244" s="904"/>
      <c r="BN244" s="904"/>
      <c r="BO244" s="904"/>
      <c r="BP244" s="802"/>
    </row>
    <row r="245" spans="1:68" ht="20.100000000000001" hidden="1" customHeight="1" outlineLevel="1">
      <c r="A245" s="784"/>
      <c r="B245" s="1594"/>
      <c r="C245" s="1596"/>
      <c r="D245" s="1617" t="s">
        <v>800</v>
      </c>
      <c r="E245" s="838" t="str">
        <f ca="1">E85</f>
        <v/>
      </c>
      <c r="F245" s="839"/>
      <c r="G245" s="787" t="s">
        <v>462</v>
      </c>
      <c r="H245" s="843"/>
      <c r="I245" s="843"/>
      <c r="J245" s="843"/>
      <c r="K245" s="843"/>
      <c r="L245" s="904"/>
      <c r="M245" s="904"/>
      <c r="N245" s="904"/>
      <c r="O245" s="904"/>
      <c r="P245" s="904"/>
      <c r="Q245" s="904"/>
      <c r="R245" s="904"/>
      <c r="S245" s="904"/>
      <c r="T245" s="904"/>
      <c r="U245" s="904"/>
      <c r="V245" s="904"/>
      <c r="W245" s="904"/>
      <c r="X245" s="904"/>
      <c r="Y245" s="904"/>
      <c r="Z245" s="904"/>
      <c r="AA245" s="904"/>
      <c r="AB245" s="904"/>
      <c r="AC245" s="904"/>
      <c r="AD245" s="904"/>
      <c r="AE245" s="904"/>
      <c r="AF245" s="904"/>
      <c r="AG245" s="904"/>
      <c r="AH245" s="904"/>
      <c r="AI245" s="904"/>
      <c r="AJ245" s="904"/>
      <c r="AK245" s="904"/>
      <c r="AL245" s="904"/>
      <c r="AM245" s="904"/>
      <c r="AN245" s="904"/>
      <c r="AO245" s="904"/>
      <c r="AP245" s="904"/>
      <c r="AQ245" s="904"/>
      <c r="AR245" s="904"/>
      <c r="AS245" s="904"/>
      <c r="AT245" s="904"/>
      <c r="AU245" s="904"/>
      <c r="AV245" s="904"/>
      <c r="AW245" s="904"/>
      <c r="AX245" s="904"/>
      <c r="AY245" s="904"/>
      <c r="AZ245" s="904"/>
      <c r="BA245" s="904"/>
      <c r="BB245" s="904"/>
      <c r="BC245" s="904"/>
      <c r="BD245" s="904"/>
      <c r="BE245" s="904"/>
      <c r="BF245" s="904"/>
      <c r="BG245" s="904"/>
      <c r="BH245" s="904"/>
      <c r="BI245" s="904"/>
      <c r="BJ245" s="904"/>
      <c r="BK245" s="904"/>
      <c r="BL245" s="904"/>
      <c r="BM245" s="904"/>
      <c r="BN245" s="904"/>
      <c r="BO245" s="904"/>
      <c r="BP245" s="802"/>
    </row>
    <row r="246" spans="1:68" ht="20.100000000000001" hidden="1" customHeight="1" outlineLevel="1">
      <c r="A246" s="784"/>
      <c r="B246" s="1594"/>
      <c r="C246" s="1596"/>
      <c r="D246" s="1617"/>
      <c r="E246" s="840"/>
      <c r="F246" s="841"/>
      <c r="G246" s="787" t="s">
        <v>463</v>
      </c>
      <c r="H246" s="843"/>
      <c r="I246" s="843"/>
      <c r="J246" s="843"/>
      <c r="K246" s="843"/>
      <c r="L246" s="904"/>
      <c r="M246" s="904"/>
      <c r="N246" s="904"/>
      <c r="O246" s="904"/>
      <c r="P246" s="904"/>
      <c r="Q246" s="904"/>
      <c r="R246" s="904"/>
      <c r="S246" s="904"/>
      <c r="T246" s="904"/>
      <c r="U246" s="904"/>
      <c r="V246" s="904"/>
      <c r="W246" s="904"/>
      <c r="X246" s="904"/>
      <c r="Y246" s="904"/>
      <c r="Z246" s="904"/>
      <c r="AA246" s="904"/>
      <c r="AB246" s="904"/>
      <c r="AC246" s="904"/>
      <c r="AD246" s="904"/>
      <c r="AE246" s="904"/>
      <c r="AF246" s="904"/>
      <c r="AG246" s="904"/>
      <c r="AH246" s="904"/>
      <c r="AI246" s="904"/>
      <c r="AJ246" s="904"/>
      <c r="AK246" s="904"/>
      <c r="AL246" s="904"/>
      <c r="AM246" s="904"/>
      <c r="AN246" s="904"/>
      <c r="AO246" s="904"/>
      <c r="AP246" s="904"/>
      <c r="AQ246" s="904"/>
      <c r="AR246" s="904"/>
      <c r="AS246" s="904"/>
      <c r="AT246" s="904"/>
      <c r="AU246" s="904"/>
      <c r="AV246" s="904"/>
      <c r="AW246" s="904"/>
      <c r="AX246" s="904"/>
      <c r="AY246" s="904"/>
      <c r="AZ246" s="904"/>
      <c r="BA246" s="904"/>
      <c r="BB246" s="904"/>
      <c r="BC246" s="904"/>
      <c r="BD246" s="904"/>
      <c r="BE246" s="904"/>
      <c r="BF246" s="904"/>
      <c r="BG246" s="904"/>
      <c r="BH246" s="904"/>
      <c r="BI246" s="904"/>
      <c r="BJ246" s="904"/>
      <c r="BK246" s="904"/>
      <c r="BL246" s="904"/>
      <c r="BM246" s="904"/>
      <c r="BN246" s="904"/>
      <c r="BO246" s="904"/>
      <c r="BP246" s="802"/>
    </row>
    <row r="247" spans="1:68" ht="20.100000000000001" hidden="1" customHeight="1" outlineLevel="1">
      <c r="A247" s="784"/>
      <c r="B247" s="1594"/>
      <c r="C247" s="1596"/>
      <c r="D247" s="814" t="s">
        <v>412</v>
      </c>
      <c r="E247" s="792" t="str">
        <f ca="1">E87</f>
        <v/>
      </c>
      <c r="F247" s="786" t="s">
        <v>865</v>
      </c>
      <c r="G247" s="787" t="s">
        <v>462</v>
      </c>
      <c r="H247" s="843"/>
      <c r="I247" s="843"/>
      <c r="J247" s="843"/>
      <c r="K247" s="843"/>
      <c r="L247" s="904"/>
      <c r="M247" s="904"/>
      <c r="N247" s="904"/>
      <c r="O247" s="904"/>
      <c r="P247" s="904"/>
      <c r="Q247" s="904"/>
      <c r="R247" s="904"/>
      <c r="S247" s="904"/>
      <c r="T247" s="904"/>
      <c r="U247" s="904"/>
      <c r="V247" s="904"/>
      <c r="W247" s="904"/>
      <c r="X247" s="904"/>
      <c r="Y247" s="904"/>
      <c r="Z247" s="904"/>
      <c r="AA247" s="904"/>
      <c r="AB247" s="904"/>
      <c r="AC247" s="904"/>
      <c r="AD247" s="904"/>
      <c r="AE247" s="904"/>
      <c r="AF247" s="904"/>
      <c r="AG247" s="904"/>
      <c r="AH247" s="904"/>
      <c r="AI247" s="904"/>
      <c r="AJ247" s="904"/>
      <c r="AK247" s="904"/>
      <c r="AL247" s="904"/>
      <c r="AM247" s="904"/>
      <c r="AN247" s="904"/>
      <c r="AO247" s="904"/>
      <c r="AP247" s="904"/>
      <c r="AQ247" s="904"/>
      <c r="AR247" s="904"/>
      <c r="AS247" s="904"/>
      <c r="AT247" s="904"/>
      <c r="AU247" s="904"/>
      <c r="AV247" s="904"/>
      <c r="AW247" s="904"/>
      <c r="AX247" s="904"/>
      <c r="AY247" s="904"/>
      <c r="AZ247" s="904"/>
      <c r="BA247" s="904"/>
      <c r="BB247" s="904"/>
      <c r="BC247" s="904"/>
      <c r="BD247" s="904"/>
      <c r="BE247" s="904"/>
      <c r="BF247" s="904"/>
      <c r="BG247" s="904"/>
      <c r="BH247" s="904"/>
      <c r="BI247" s="904"/>
      <c r="BJ247" s="904"/>
      <c r="BK247" s="904"/>
      <c r="BL247" s="904"/>
      <c r="BM247" s="904"/>
      <c r="BN247" s="904"/>
      <c r="BO247" s="904"/>
      <c r="BP247" s="802"/>
    </row>
    <row r="248" spans="1:68" ht="20.100000000000001" hidden="1" customHeight="1" outlineLevel="1">
      <c r="A248" s="784"/>
      <c r="B248" s="1594"/>
      <c r="C248" s="1596"/>
      <c r="D248" s="814" t="s">
        <v>414</v>
      </c>
      <c r="E248" s="792" t="str">
        <f ca="1">E88</f>
        <v/>
      </c>
      <c r="F248" s="842" t="s">
        <v>866</v>
      </c>
      <c r="G248" s="787" t="s">
        <v>462</v>
      </c>
      <c r="H248" s="843"/>
      <c r="I248" s="843"/>
      <c r="J248" s="843"/>
      <c r="K248" s="843"/>
      <c r="L248" s="904"/>
      <c r="M248" s="904"/>
      <c r="N248" s="904"/>
      <c r="O248" s="904"/>
      <c r="P248" s="904"/>
      <c r="Q248" s="904"/>
      <c r="R248" s="904"/>
      <c r="S248" s="904"/>
      <c r="T248" s="904"/>
      <c r="U248" s="904"/>
      <c r="V248" s="904"/>
      <c r="W248" s="904"/>
      <c r="X248" s="904"/>
      <c r="Y248" s="904"/>
      <c r="Z248" s="904"/>
      <c r="AA248" s="904"/>
      <c r="AB248" s="904"/>
      <c r="AC248" s="904"/>
      <c r="AD248" s="904"/>
      <c r="AE248" s="904"/>
      <c r="AF248" s="904"/>
      <c r="AG248" s="904"/>
      <c r="AH248" s="904"/>
      <c r="AI248" s="904"/>
      <c r="AJ248" s="904"/>
      <c r="AK248" s="904"/>
      <c r="AL248" s="904"/>
      <c r="AM248" s="904"/>
      <c r="AN248" s="904"/>
      <c r="AO248" s="904"/>
      <c r="AP248" s="904"/>
      <c r="AQ248" s="904"/>
      <c r="AR248" s="904"/>
      <c r="AS248" s="904"/>
      <c r="AT248" s="904"/>
      <c r="AU248" s="904"/>
      <c r="AV248" s="904"/>
      <c r="AW248" s="904"/>
      <c r="AX248" s="904"/>
      <c r="AY248" s="904"/>
      <c r="AZ248" s="904"/>
      <c r="BA248" s="904"/>
      <c r="BB248" s="904"/>
      <c r="BC248" s="904"/>
      <c r="BD248" s="904"/>
      <c r="BE248" s="904"/>
      <c r="BF248" s="904"/>
      <c r="BG248" s="904"/>
      <c r="BH248" s="904"/>
      <c r="BI248" s="904"/>
      <c r="BJ248" s="904"/>
      <c r="BK248" s="904"/>
      <c r="BL248" s="904"/>
      <c r="BM248" s="904"/>
      <c r="BN248" s="904"/>
      <c r="BO248" s="904"/>
      <c r="BP248" s="802"/>
    </row>
    <row r="249" spans="1:68" ht="20.100000000000001" hidden="1" customHeight="1" outlineLevel="1">
      <c r="A249" s="784"/>
      <c r="B249" s="1594"/>
      <c r="C249" s="1596"/>
      <c r="D249" s="814" t="s">
        <v>416</v>
      </c>
      <c r="E249" s="792" t="str">
        <f ca="1">E89</f>
        <v/>
      </c>
      <c r="F249" s="842" t="s">
        <v>867</v>
      </c>
      <c r="G249" s="787" t="s">
        <v>462</v>
      </c>
      <c r="H249" s="843"/>
      <c r="I249" s="843"/>
      <c r="J249" s="843"/>
      <c r="K249" s="843"/>
      <c r="L249" s="904"/>
      <c r="M249" s="904"/>
      <c r="N249" s="904"/>
      <c r="O249" s="904"/>
      <c r="P249" s="904"/>
      <c r="Q249" s="904"/>
      <c r="R249" s="904"/>
      <c r="S249" s="904"/>
      <c r="T249" s="904"/>
      <c r="U249" s="904"/>
      <c r="V249" s="904"/>
      <c r="W249" s="904"/>
      <c r="X249" s="904"/>
      <c r="Y249" s="904"/>
      <c r="Z249" s="904"/>
      <c r="AA249" s="904"/>
      <c r="AB249" s="904"/>
      <c r="AC249" s="904"/>
      <c r="AD249" s="904"/>
      <c r="AE249" s="904"/>
      <c r="AF249" s="904"/>
      <c r="AG249" s="904"/>
      <c r="AH249" s="904"/>
      <c r="AI249" s="904"/>
      <c r="AJ249" s="904"/>
      <c r="AK249" s="904"/>
      <c r="AL249" s="904"/>
      <c r="AM249" s="904"/>
      <c r="AN249" s="904"/>
      <c r="AO249" s="904"/>
      <c r="AP249" s="904"/>
      <c r="AQ249" s="904"/>
      <c r="AR249" s="904"/>
      <c r="AS249" s="904"/>
      <c r="AT249" s="904"/>
      <c r="AU249" s="904"/>
      <c r="AV249" s="904"/>
      <c r="AW249" s="904"/>
      <c r="AX249" s="904"/>
      <c r="AY249" s="904"/>
      <c r="AZ249" s="904"/>
      <c r="BA249" s="904"/>
      <c r="BB249" s="904"/>
      <c r="BC249" s="904"/>
      <c r="BD249" s="904"/>
      <c r="BE249" s="904"/>
      <c r="BF249" s="904"/>
      <c r="BG249" s="904"/>
      <c r="BH249" s="904"/>
      <c r="BI249" s="904"/>
      <c r="BJ249" s="904"/>
      <c r="BK249" s="904"/>
      <c r="BL249" s="904"/>
      <c r="BM249" s="904"/>
      <c r="BN249" s="904"/>
      <c r="BO249" s="904"/>
      <c r="BP249" s="802"/>
    </row>
    <row r="250" spans="1:68" ht="20.100000000000001" hidden="1" customHeight="1" outlineLevel="1">
      <c r="A250" s="784"/>
      <c r="B250" s="1594"/>
      <c r="C250" s="1596"/>
      <c r="D250" s="814" t="s">
        <v>418</v>
      </c>
      <c r="E250" s="792" t="str">
        <f ca="1">E90</f>
        <v/>
      </c>
      <c r="F250" s="842" t="s">
        <v>868</v>
      </c>
      <c r="G250" s="787" t="s">
        <v>462</v>
      </c>
      <c r="H250" s="843"/>
      <c r="I250" s="843"/>
      <c r="J250" s="843"/>
      <c r="K250" s="843"/>
      <c r="L250" s="904"/>
      <c r="M250" s="904"/>
      <c r="N250" s="904"/>
      <c r="O250" s="904"/>
      <c r="P250" s="904"/>
      <c r="Q250" s="904"/>
      <c r="R250" s="904"/>
      <c r="S250" s="904"/>
      <c r="T250" s="904"/>
      <c r="U250" s="904"/>
      <c r="V250" s="904"/>
      <c r="W250" s="904"/>
      <c r="X250" s="904"/>
      <c r="Y250" s="904"/>
      <c r="Z250" s="904"/>
      <c r="AA250" s="904"/>
      <c r="AB250" s="904"/>
      <c r="AC250" s="904"/>
      <c r="AD250" s="904"/>
      <c r="AE250" s="904"/>
      <c r="AF250" s="904"/>
      <c r="AG250" s="904"/>
      <c r="AH250" s="904"/>
      <c r="AI250" s="904"/>
      <c r="AJ250" s="904"/>
      <c r="AK250" s="904"/>
      <c r="AL250" s="904"/>
      <c r="AM250" s="904"/>
      <c r="AN250" s="904"/>
      <c r="AO250" s="904"/>
      <c r="AP250" s="904"/>
      <c r="AQ250" s="904"/>
      <c r="AR250" s="904"/>
      <c r="AS250" s="904"/>
      <c r="AT250" s="904"/>
      <c r="AU250" s="904"/>
      <c r="AV250" s="904"/>
      <c r="AW250" s="904"/>
      <c r="AX250" s="904"/>
      <c r="AY250" s="904"/>
      <c r="AZ250" s="904"/>
      <c r="BA250" s="904"/>
      <c r="BB250" s="904"/>
      <c r="BC250" s="904"/>
      <c r="BD250" s="904"/>
      <c r="BE250" s="904"/>
      <c r="BF250" s="904"/>
      <c r="BG250" s="904"/>
      <c r="BH250" s="904"/>
      <c r="BI250" s="904"/>
      <c r="BJ250" s="904"/>
      <c r="BK250" s="904"/>
      <c r="BL250" s="904"/>
      <c r="BM250" s="904"/>
      <c r="BN250" s="904"/>
      <c r="BO250" s="904"/>
      <c r="BP250" s="802"/>
    </row>
    <row r="251" spans="1:68" ht="20.100000000000001" customHeight="1" collapsed="1">
      <c r="A251" s="783">
        <v>2</v>
      </c>
      <c r="B251" s="1596" t="s">
        <v>869</v>
      </c>
      <c r="C251" s="1596"/>
      <c r="D251" s="785" t="s">
        <v>805</v>
      </c>
      <c r="E251" s="785"/>
      <c r="F251" s="810" t="s">
        <v>870</v>
      </c>
      <c r="G251" s="787" t="s">
        <v>807</v>
      </c>
      <c r="H251" s="843"/>
      <c r="I251" s="843"/>
      <c r="J251" s="843"/>
      <c r="K251" s="843"/>
      <c r="L251" s="844">
        <f ca="1">SUMPRODUCT(ROUND((0&amp;L171:L218)*$H171:$H218,0))+ROUND(SUM(SUMIFS(OFFSET(A1_集計2024,$A251,10,1,199),OFFSET(貼付け_2024実績,4,9,1,199),{"横浜*","川崎*","県域*","エネルギー管理指定工場等*"})),0)</f>
        <v>0</v>
      </c>
      <c r="M251" s="844">
        <f ca="1">SUMPRODUCT(ROUND((0&amp;M171:M218)*$H171:$H218,0))+ROUND(SUM(SUMIFS(OFFSET(A1_集計2025,$A251,10,1,199),OFFSET(貼付け_2025実績,4,9,1,199),{"横浜*","川崎*","県域*","エネルギー管理指定工場等*"})),0)</f>
        <v>0</v>
      </c>
      <c r="N251" s="844">
        <f ca="1">SUMPRODUCT(ROUND((0&amp;N171:N218)*$H171:$H218,0))+ROUND(SUM(SUMIFS(OFFSET(A1_集計2026,$A251,10,1,199),OFFSET(貼付け_2026実績,4,9,1,199),{"横浜*","川崎*","県域*","エネルギー管理指定工場等*"})),0)</f>
        <v>0</v>
      </c>
      <c r="O251" s="844">
        <f ca="1">SUMPRODUCT(ROUND((0&amp;O171:O218)*$H171:$H218,0))+ROUND(SUM(SUMIFS(OFFSET(A1_集計2027,$A251,10,1,199),OFFSET(貼付け_2027実績,4,9,1,199),{"横浜*","川崎*","県域*","エネルギー管理指定工場等*"})),0)</f>
        <v>0</v>
      </c>
      <c r="P251" s="844">
        <f ca="1">SUMPRODUCT(ROUND((0&amp;P171:P218)*$H171:$H218,0))+ROUND(SUM(SUMIFS(OFFSET(A1_集計2024,$A251,10,1,199),OFFSET(貼付け_2024実績,4,9,1,199),{"横浜*","川崎*"})),0)</f>
        <v>0</v>
      </c>
      <c r="Q251" s="844">
        <f ca="1">SUMPRODUCT(ROUND((0&amp;Q171:Q218)*$H171:$H218,0))+ROUND(SUM(SUMIFS(OFFSET(A1_集計2025,$A251,10,1,199),OFFSET(貼付け_2025実績,4,9,1,199),{"横浜*","川崎*"})),0)</f>
        <v>0</v>
      </c>
      <c r="R251" s="844">
        <f ca="1">SUMPRODUCT(ROUND((0&amp;R171:R218)*$H171:$H218,0))+ROUND(SUM(SUMIFS(OFFSET(A1_集計2026,$A251,10,1,199),OFFSET(貼付け_2026実績,4,9,1,199),{"横浜*","川崎*"})),0)</f>
        <v>0</v>
      </c>
      <c r="S251" s="844">
        <f ca="1">SUMPRODUCT(ROUND((0&amp;S171:S218)*$H171:$H218,0))+ROUND(SUM(SUMIFS(OFFSET(A1_集計2027,$A251,10,1,199),OFFSET(貼付け_2027実績,4,9,1,199),{"横浜*","川崎*"})),0)</f>
        <v>0</v>
      </c>
      <c r="T251" s="844">
        <f ca="1">SUMPRODUCT(ROUND((0&amp;T171:T218)*$H171:$H218,0))+ROUND(SUM(SUMIFS(OFFSET(A1_集計2024,$A251,10,1,199),OFFSET(貼付け_2024実績,4,9,1,199),{"県域*","エネルギー管理指定工場等*"})),0)</f>
        <v>0</v>
      </c>
      <c r="U251" s="844">
        <f ca="1">SUMPRODUCT(ROUND((0&amp;U171:U218)*$H171:$H218,0))+ROUND(SUM(SUMIFS(OFFSET(A1_集計2025,$A251,10,1,199),OFFSET(貼付け_2025実績,4,9,1,199),{"県域*","エネルギー管理指定工場等*"})),0)</f>
        <v>0</v>
      </c>
      <c r="V251" s="844">
        <f ca="1">SUMPRODUCT(ROUND((0&amp;V171:V218)*$H171:$H218,0))+ROUND(SUM(SUMIFS(OFFSET(A1_集計2026,$A251,10,1,199),OFFSET(貼付け_2026実績,4,9,1,199),{"県域*","エネルギー管理指定工場等*"})),0)</f>
        <v>0</v>
      </c>
      <c r="W251" s="844">
        <f ca="1">SUMPRODUCT(ROUND((0&amp;W171:W218)*$H171:$H218,0))+ROUND(SUM(SUMIFS(OFFSET(A1_集計2027,$A251,10,1,199),OFFSET(貼付け_2027実績,4,9,1,199),{"県域*","エネルギー管理指定工場等*"})),0)</f>
        <v>0</v>
      </c>
      <c r="X251" s="844">
        <f ca="1">SUMPRODUCT(ROUND((0&amp;X171:X218)*$H171:$H218,0))+ROUND(SUMIFS(OFFSET(A1_集計2024,$A251,10,1,199),OFFSET(貼付け_2024実績,4,9,1,199),"県域*"),0)</f>
        <v>0</v>
      </c>
      <c r="Y251" s="844">
        <f ca="1">SUMPRODUCT(ROUND((0&amp;Y171:Y218)*$H171:$H218,0))+ROUND(SUMIFS(OFFSET(A1_集計2025,$A251,10,1,199),OFFSET(貼付け_2025実績,4,9,1,199),"県域*"),0)</f>
        <v>0</v>
      </c>
      <c r="Z251" s="844">
        <f ca="1">SUMPRODUCT(ROUND((0&amp;Z171:Z218)*$H171:$H218,0))+ROUND(SUMIFS(OFFSET(A1_集計2026,$A251,10,1,199),OFFSET(貼付け_2026実績,4,9,1,199),"県域*"),0)</f>
        <v>0</v>
      </c>
      <c r="AA251" s="844">
        <f ca="1">SUMPRODUCT(ROUND((0&amp;AA171:AA218)*$H171:$H218,0))+ROUND(SUMIFS(OFFSET(A1_集計2027,$A251,10,1,199),OFFSET(貼付け_2027実績,4,9,1,199),"県域*"),0)</f>
        <v>0</v>
      </c>
      <c r="AB251" s="844">
        <f ca="1">SUMPRODUCT(ROUND((0&amp;AB171:AB218)*$H171:$H218,0))+ROUND(IFERROR(OFFSET(A1_集計2024,$A251,AB$1+1),0),0)</f>
        <v>0</v>
      </c>
      <c r="AC251" s="844">
        <f ca="1">SUMPRODUCT(ROUND((0&amp;AC171:AC218)*$H171:$H218,0))+ROUND(IFERROR(OFFSET(A1_集計2025,$A251,AC$1+1),0),0)</f>
        <v>0</v>
      </c>
      <c r="AD251" s="844">
        <f ca="1">SUMPRODUCT(ROUND((0&amp;AD171:AD218)*$H171:$H218,0))+ROUND(IFERROR(OFFSET(A1_集計2026,$A251,AD$1+1),0),0)</f>
        <v>0</v>
      </c>
      <c r="AE251" s="844">
        <f ca="1">SUMPRODUCT(ROUND((0&amp;AE171:AE218)*$H171:$H218,0))+ROUND(IFERROR(OFFSET(A1_集計2027,$A251,AE$1+1),0),0)</f>
        <v>0</v>
      </c>
      <c r="AF251" s="844">
        <f ca="1">SUMPRODUCT(ROUND((0&amp;AF171:AF218)*$H171:$H218,0))+ROUND(IFERROR(OFFSET(A1_集計2024,$A251,AF$1+1),0),0)</f>
        <v>0</v>
      </c>
      <c r="AG251" s="844">
        <f ca="1">SUMPRODUCT(ROUND((0&amp;AG171:AG218)*$H171:$H218,0))+ROUND(IFERROR(OFFSET(A1_集計2025,$A251,AG$1+1),0),0)</f>
        <v>0</v>
      </c>
      <c r="AH251" s="844">
        <f ca="1">SUMPRODUCT(ROUND((0&amp;AH171:AH218)*$H171:$H218,0))+ROUND(IFERROR(OFFSET(A1_集計2026,$A251,AH$1+1),0),0)</f>
        <v>0</v>
      </c>
      <c r="AI251" s="844">
        <f ca="1">SUMPRODUCT(ROUND((0&amp;AI171:AI218)*$H171:$H218,0))+ROUND(IFERROR(OFFSET(A1_集計2027,$A251,AI$1+1),0),0)</f>
        <v>0</v>
      </c>
      <c r="AJ251" s="844">
        <f ca="1">SUMPRODUCT(ROUND((0&amp;AJ171:AJ218)*$H171:$H218,0))+ROUND(IFERROR(OFFSET(A1_集計2024,$A251,AJ$1+1),0),0)</f>
        <v>0</v>
      </c>
      <c r="AK251" s="844">
        <f ca="1">SUMPRODUCT(ROUND((0&amp;AK171:AK218)*$H171:$H218,0))+ROUND(IFERROR(OFFSET(A1_集計2025,$A251,AK$1+1),0),0)</f>
        <v>0</v>
      </c>
      <c r="AL251" s="844">
        <f ca="1">SUMPRODUCT(ROUND((0&amp;AL171:AL218)*$H171:$H218,0))+ROUND(IFERROR(OFFSET(A1_集計2026,$A251,AL$1+1),0),0)</f>
        <v>0</v>
      </c>
      <c r="AM251" s="844">
        <f ca="1">SUMPRODUCT(ROUND((0&amp;AM171:AM218)*$H171:$H218,0))+ROUND(IFERROR(OFFSET(A1_集計2027,$A251,AM$1+1),0),0)</f>
        <v>0</v>
      </c>
      <c r="AN251" s="844">
        <f ca="1">SUMPRODUCT(ROUND((0&amp;AN171:AN218)*$H171:$H218,0))+ROUND(IFERROR(OFFSET(A1_集計2024,$A251,AN$1+1),0),0)</f>
        <v>0</v>
      </c>
      <c r="AO251" s="844">
        <f ca="1">SUMPRODUCT(ROUND((0&amp;AO171:AO218)*$H171:$H218,0))+ROUND(IFERROR(OFFSET(A1_集計2025,$A251,AO$1+1),0),0)</f>
        <v>0</v>
      </c>
      <c r="AP251" s="844">
        <f ca="1">SUMPRODUCT(ROUND((0&amp;AP171:AP218)*$H171:$H218,0))+ROUND(IFERROR(OFFSET(A1_集計2026,$A251,AP$1+1),0),0)</f>
        <v>0</v>
      </c>
      <c r="AQ251" s="844">
        <f ca="1">SUMPRODUCT(ROUND((0&amp;AQ171:AQ218)*$H171:$H218,0))+ROUND(IFERROR(OFFSET(A1_集計2027,$A251,AQ$1+1),0),0)</f>
        <v>0</v>
      </c>
      <c r="AR251" s="844">
        <f ca="1">SUMPRODUCT(ROUND((0&amp;AR171:AR218)*$H171:$H218,0))+ROUND(IFERROR(OFFSET(A1_集計2024,$A251,AR$1+1),0),0)</f>
        <v>0</v>
      </c>
      <c r="AS251" s="844">
        <f ca="1">SUMPRODUCT(ROUND((0&amp;AS171:AS218)*$H171:$H218,0))+ROUND(IFERROR(OFFSET(A1_集計2025,$A251,AS$1+1),0),0)</f>
        <v>0</v>
      </c>
      <c r="AT251" s="844">
        <f ca="1">SUMPRODUCT(ROUND((0&amp;AT171:AT218)*$H171:$H218,0))+ROUND(IFERROR(OFFSET(A1_集計2026,$A251,AT$1+1),0),0)</f>
        <v>0</v>
      </c>
      <c r="AU251" s="844">
        <f ca="1">SUMPRODUCT(ROUND((0&amp;AU171:AU218)*$H171:$H218,0))+ROUND(IFERROR(OFFSET(A1_集計2027,$A251,AU$1+1),0),0)</f>
        <v>0</v>
      </c>
      <c r="AV251" s="844">
        <f ca="1">SUMPRODUCT(ROUND((0&amp;AV171:AV218)*$H171:$H218,0))+ROUND(IFERROR(OFFSET(A1_集計2024,$A251,AV$1+1),0),0)</f>
        <v>0</v>
      </c>
      <c r="AW251" s="844">
        <f ca="1">SUMPRODUCT(ROUND((0&amp;AW171:AW218)*$H171:$H218,0))+ROUND(IFERROR(OFFSET(A1_集計2025,$A251,AW$1+1),0),0)</f>
        <v>0</v>
      </c>
      <c r="AX251" s="844">
        <f ca="1">SUMPRODUCT(ROUND((0&amp;AX171:AX218)*$H171:$H218,0))+ROUND(IFERROR(OFFSET(A1_集計2026,$A251,AX$1+1),0),0)</f>
        <v>0</v>
      </c>
      <c r="AY251" s="844">
        <f ca="1">SUMPRODUCT(ROUND((0&amp;AY171:AY218)*$H171:$H218,0))+ROUND(IFERROR(OFFSET(A1_集計2027,$A251,AY$1+1),0),0)</f>
        <v>0</v>
      </c>
      <c r="AZ251" s="844">
        <f ca="1">SUMPRODUCT(ROUND((0&amp;AZ171:AZ218)*$H171:$H218,0))+ROUND(IFERROR(OFFSET(A1_集計2024,$A251,AZ$1+1),0),0)</f>
        <v>0</v>
      </c>
      <c r="BA251" s="844">
        <f ca="1">SUMPRODUCT(ROUND((0&amp;BA171:BA218)*$H171:$H218,0))+ROUND(IFERROR(OFFSET(A1_集計2025,$A251,BA$1+1),0),0)</f>
        <v>0</v>
      </c>
      <c r="BB251" s="844">
        <f ca="1">SUMPRODUCT(ROUND((0&amp;BB171:BB218)*$H171:$H218,0))+ROUND(IFERROR(OFFSET(A1_集計2026,$A251,BB$1+1),0),0)</f>
        <v>0</v>
      </c>
      <c r="BC251" s="844">
        <f ca="1">SUMPRODUCT(ROUND((0&amp;BC171:BC218)*$H171:$H218,0))+ROUND(IFERROR(OFFSET(A1_集計2027,$A251,BC$1+1),0),0)</f>
        <v>0</v>
      </c>
      <c r="BD251" s="844">
        <f ca="1">SUMPRODUCT(ROUND((0&amp;BD171:BD218)*$H171:$H218,0))+ROUND(IFERROR(OFFSET(A1_集計2024,$A251,BD$1+1),0),0)</f>
        <v>0</v>
      </c>
      <c r="BE251" s="844">
        <f ca="1">SUMPRODUCT(ROUND((0&amp;BE171:BE218)*$H171:$H218,0))+ROUND(IFERROR(OFFSET(A1_集計2025,$A251,BE$1+1),0),0)</f>
        <v>0</v>
      </c>
      <c r="BF251" s="844">
        <f ca="1">SUMPRODUCT(ROUND((0&amp;BF171:BF218)*$H171:$H218,0))+ROUND(IFERROR(OFFSET(A1_集計2026,$A251,BF$1+1),0),0)</f>
        <v>0</v>
      </c>
      <c r="BG251" s="844">
        <f ca="1">SUMPRODUCT(ROUND((0&amp;BG171:BG218)*$H171:$H218,0))+ROUND(IFERROR(OFFSET(A1_集計2027,$A251,BG$1+1),0),0)</f>
        <v>0</v>
      </c>
      <c r="BH251" s="844">
        <f ca="1">SUMPRODUCT(ROUND((0&amp;BH171:BH218)*$H171:$H218,0))+ROUND(IFERROR(OFFSET(A1_集計2024,$A251,BH$1+1),0),0)</f>
        <v>0</v>
      </c>
      <c r="BI251" s="844">
        <f ca="1">SUMPRODUCT(ROUND((0&amp;BI171:BI218)*$H171:$H218,0))+ROUND(IFERROR(OFFSET(A1_集計2025,$A251,BI$1+1),0),0)</f>
        <v>0</v>
      </c>
      <c r="BJ251" s="844">
        <f ca="1">SUMPRODUCT(ROUND((0&amp;BJ171:BJ218)*$H171:$H218,0))+ROUND(IFERROR(OFFSET(A1_集計2026,$A251,BJ$1+1),0),0)</f>
        <v>0</v>
      </c>
      <c r="BK251" s="844">
        <f ca="1">SUMPRODUCT(ROUND((0&amp;BK171:BK218)*$H171:$H218,0))+ROUND(IFERROR(OFFSET(A1_集計2027,$A251,BK$1+1),0),0)</f>
        <v>0</v>
      </c>
      <c r="BL251" s="844">
        <f ca="1">SUMPRODUCT(ROUND((0&amp;BL171:BL218)*$H171:$H218,0))+ROUND(IFERROR(OFFSET(A1_集計2024,$A251,BL$1+1),0),0)</f>
        <v>0</v>
      </c>
      <c r="BM251" s="844">
        <f ca="1">SUMPRODUCT(ROUND((0&amp;BM171:BM218)*$H171:$H218,0))+ROUND(IFERROR(OFFSET(A1_集計2025,$A251,BM$1+1),0),0)</f>
        <v>0</v>
      </c>
      <c r="BN251" s="844">
        <f ca="1">SUMPRODUCT(ROUND((0&amp;BN171:BN218)*$H171:$H218,0))+ROUND(IFERROR(OFFSET(A1_集計2026,$A251,BN$1+1),0),0)</f>
        <v>0</v>
      </c>
      <c r="BO251" s="844">
        <f ca="1">SUMPRODUCT(ROUND((0&amp;BO171:BO218)*$H171:$H218,0))+ROUND(IFERROR(OFFSET(A1_集計2027,$A251,BO$1+1),0),0)</f>
        <v>0</v>
      </c>
      <c r="BP251" s="802"/>
    </row>
    <row r="252" spans="1:68" ht="20.100000000000001" customHeight="1">
      <c r="A252" s="783"/>
      <c r="B252" s="1596"/>
      <c r="C252" s="1596"/>
      <c r="D252" s="785" t="s">
        <v>808</v>
      </c>
      <c r="E252" s="785"/>
      <c r="F252" s="810" t="s">
        <v>871</v>
      </c>
      <c r="G252" s="787" t="s">
        <v>807</v>
      </c>
      <c r="H252" s="843"/>
      <c r="I252" s="843"/>
      <c r="J252" s="843"/>
      <c r="K252" s="843"/>
      <c r="L252" s="904"/>
      <c r="M252" s="904"/>
      <c r="N252" s="904"/>
      <c r="O252" s="904"/>
      <c r="P252" s="904"/>
      <c r="Q252" s="904"/>
      <c r="R252" s="904"/>
      <c r="S252" s="904"/>
      <c r="T252" s="904"/>
      <c r="U252" s="904"/>
      <c r="V252" s="904"/>
      <c r="W252" s="904"/>
      <c r="X252" s="904"/>
      <c r="Y252" s="904"/>
      <c r="Z252" s="904"/>
      <c r="AA252" s="904"/>
      <c r="AB252" s="904"/>
      <c r="AC252" s="904"/>
      <c r="AD252" s="904"/>
      <c r="AE252" s="904"/>
      <c r="AF252" s="904"/>
      <c r="AG252" s="904"/>
      <c r="AH252" s="904"/>
      <c r="AI252" s="904"/>
      <c r="AJ252" s="904"/>
      <c r="AK252" s="904"/>
      <c r="AL252" s="904"/>
      <c r="AM252" s="904"/>
      <c r="AN252" s="904"/>
      <c r="AO252" s="904"/>
      <c r="AP252" s="904"/>
      <c r="AQ252" s="904"/>
      <c r="AR252" s="904"/>
      <c r="AS252" s="904"/>
      <c r="AT252" s="904"/>
      <c r="AU252" s="904"/>
      <c r="AV252" s="904"/>
      <c r="AW252" s="904"/>
      <c r="AX252" s="904"/>
      <c r="AY252" s="904"/>
      <c r="AZ252" s="904"/>
      <c r="BA252" s="904"/>
      <c r="BB252" s="904"/>
      <c r="BC252" s="904"/>
      <c r="BD252" s="904"/>
      <c r="BE252" s="904"/>
      <c r="BF252" s="904"/>
      <c r="BG252" s="904"/>
      <c r="BH252" s="904"/>
      <c r="BI252" s="904"/>
      <c r="BJ252" s="904"/>
      <c r="BK252" s="904"/>
      <c r="BL252" s="904"/>
      <c r="BM252" s="904"/>
      <c r="BN252" s="904"/>
      <c r="BO252" s="904"/>
      <c r="BP252" s="802"/>
    </row>
    <row r="253" spans="1:68" ht="20.100000000000001" customHeight="1">
      <c r="A253" s="783"/>
      <c r="B253" s="1596"/>
      <c r="C253" s="1596"/>
      <c r="D253" s="785" t="s">
        <v>810</v>
      </c>
      <c r="E253" s="785" t="s">
        <v>872</v>
      </c>
      <c r="F253" s="810" t="s">
        <v>873</v>
      </c>
      <c r="G253" s="787" t="s">
        <v>807</v>
      </c>
      <c r="H253" s="843"/>
      <c r="I253" s="843"/>
      <c r="J253" s="843"/>
      <c r="K253" s="843"/>
      <c r="L253" s="904"/>
      <c r="M253" s="904"/>
      <c r="N253" s="904"/>
      <c r="O253" s="904"/>
      <c r="P253" s="904"/>
      <c r="Q253" s="904"/>
      <c r="R253" s="904"/>
      <c r="S253" s="904"/>
      <c r="T253" s="904"/>
      <c r="U253" s="904"/>
      <c r="V253" s="904"/>
      <c r="W253" s="904"/>
      <c r="X253" s="904"/>
      <c r="Y253" s="904"/>
      <c r="Z253" s="904"/>
      <c r="AA253" s="904"/>
      <c r="AB253" s="904"/>
      <c r="AC253" s="904"/>
      <c r="AD253" s="904"/>
      <c r="AE253" s="904"/>
      <c r="AF253" s="904"/>
      <c r="AG253" s="904"/>
      <c r="AH253" s="904"/>
      <c r="AI253" s="904"/>
      <c r="AJ253" s="904"/>
      <c r="AK253" s="904"/>
      <c r="AL253" s="904"/>
      <c r="AM253" s="904"/>
      <c r="AN253" s="904"/>
      <c r="AO253" s="904"/>
      <c r="AP253" s="904"/>
      <c r="AQ253" s="904"/>
      <c r="AR253" s="904"/>
      <c r="AS253" s="904"/>
      <c r="AT253" s="904"/>
      <c r="AU253" s="904"/>
      <c r="AV253" s="904"/>
      <c r="AW253" s="904"/>
      <c r="AX253" s="904"/>
      <c r="AY253" s="904"/>
      <c r="AZ253" s="904"/>
      <c r="BA253" s="904"/>
      <c r="BB253" s="904"/>
      <c r="BC253" s="904"/>
      <c r="BD253" s="904"/>
      <c r="BE253" s="904"/>
      <c r="BF253" s="904"/>
      <c r="BG253" s="904"/>
      <c r="BH253" s="904"/>
      <c r="BI253" s="904"/>
      <c r="BJ253" s="904"/>
      <c r="BK253" s="904"/>
      <c r="BL253" s="904"/>
      <c r="BM253" s="904"/>
      <c r="BN253" s="904"/>
      <c r="BO253" s="904"/>
      <c r="BP253" s="802"/>
    </row>
    <row r="254" spans="1:68" ht="20.100000000000001" customHeight="1">
      <c r="A254" s="783"/>
      <c r="B254" s="1596"/>
      <c r="C254" s="1596"/>
      <c r="D254" s="785" t="s">
        <v>813</v>
      </c>
      <c r="E254" s="785" t="s">
        <v>874</v>
      </c>
      <c r="F254" s="810" t="s">
        <v>875</v>
      </c>
      <c r="G254" s="787" t="s">
        <v>807</v>
      </c>
      <c r="H254" s="843"/>
      <c r="I254" s="843"/>
      <c r="J254" s="843"/>
      <c r="K254" s="843"/>
      <c r="L254" s="789">
        <f ca="1">L251</f>
        <v>0</v>
      </c>
      <c r="M254" s="789">
        <f t="shared" ref="M254:BO254" ca="1" si="473">M251</f>
        <v>0</v>
      </c>
      <c r="N254" s="789">
        <f t="shared" ca="1" si="473"/>
        <v>0</v>
      </c>
      <c r="O254" s="789">
        <f t="shared" ca="1" si="473"/>
        <v>0</v>
      </c>
      <c r="P254" s="789">
        <f t="shared" ca="1" si="473"/>
        <v>0</v>
      </c>
      <c r="Q254" s="789">
        <f t="shared" ca="1" si="473"/>
        <v>0</v>
      </c>
      <c r="R254" s="789">
        <f t="shared" ca="1" si="473"/>
        <v>0</v>
      </c>
      <c r="S254" s="789">
        <f t="shared" ca="1" si="473"/>
        <v>0</v>
      </c>
      <c r="T254" s="789">
        <f t="shared" ca="1" si="473"/>
        <v>0</v>
      </c>
      <c r="U254" s="789">
        <f t="shared" ca="1" si="473"/>
        <v>0</v>
      </c>
      <c r="V254" s="789">
        <f t="shared" ca="1" si="473"/>
        <v>0</v>
      </c>
      <c r="W254" s="789">
        <f t="shared" ca="1" si="473"/>
        <v>0</v>
      </c>
      <c r="X254" s="789">
        <f t="shared" ca="1" si="473"/>
        <v>0</v>
      </c>
      <c r="Y254" s="789">
        <f t="shared" ca="1" si="473"/>
        <v>0</v>
      </c>
      <c r="Z254" s="789">
        <f t="shared" ca="1" si="473"/>
        <v>0</v>
      </c>
      <c r="AA254" s="789">
        <f t="shared" ca="1" si="473"/>
        <v>0</v>
      </c>
      <c r="AB254" s="789">
        <f t="shared" ca="1" si="473"/>
        <v>0</v>
      </c>
      <c r="AC254" s="789">
        <f t="shared" ca="1" si="473"/>
        <v>0</v>
      </c>
      <c r="AD254" s="789">
        <f t="shared" ca="1" si="473"/>
        <v>0</v>
      </c>
      <c r="AE254" s="789">
        <f t="shared" ca="1" si="473"/>
        <v>0</v>
      </c>
      <c r="AF254" s="789">
        <f t="shared" ca="1" si="473"/>
        <v>0</v>
      </c>
      <c r="AG254" s="789">
        <f t="shared" ca="1" si="473"/>
        <v>0</v>
      </c>
      <c r="AH254" s="789">
        <f t="shared" ca="1" si="473"/>
        <v>0</v>
      </c>
      <c r="AI254" s="789">
        <f t="shared" ca="1" si="473"/>
        <v>0</v>
      </c>
      <c r="AJ254" s="789">
        <f t="shared" ca="1" si="473"/>
        <v>0</v>
      </c>
      <c r="AK254" s="789">
        <f t="shared" ca="1" si="473"/>
        <v>0</v>
      </c>
      <c r="AL254" s="789">
        <f t="shared" ca="1" si="473"/>
        <v>0</v>
      </c>
      <c r="AM254" s="789">
        <f t="shared" ca="1" si="473"/>
        <v>0</v>
      </c>
      <c r="AN254" s="789">
        <f t="shared" ca="1" si="473"/>
        <v>0</v>
      </c>
      <c r="AO254" s="789">
        <f t="shared" ca="1" si="473"/>
        <v>0</v>
      </c>
      <c r="AP254" s="789">
        <f t="shared" ca="1" si="473"/>
        <v>0</v>
      </c>
      <c r="AQ254" s="789">
        <f t="shared" ca="1" si="473"/>
        <v>0</v>
      </c>
      <c r="AR254" s="789">
        <f t="shared" ca="1" si="473"/>
        <v>0</v>
      </c>
      <c r="AS254" s="789">
        <f t="shared" ca="1" si="473"/>
        <v>0</v>
      </c>
      <c r="AT254" s="789">
        <f t="shared" ca="1" si="473"/>
        <v>0</v>
      </c>
      <c r="AU254" s="789">
        <f t="shared" ca="1" si="473"/>
        <v>0</v>
      </c>
      <c r="AV254" s="789">
        <f t="shared" ca="1" si="473"/>
        <v>0</v>
      </c>
      <c r="AW254" s="789">
        <f t="shared" ca="1" si="473"/>
        <v>0</v>
      </c>
      <c r="AX254" s="789">
        <f t="shared" ca="1" si="473"/>
        <v>0</v>
      </c>
      <c r="AY254" s="789">
        <f t="shared" ca="1" si="473"/>
        <v>0</v>
      </c>
      <c r="AZ254" s="789">
        <f t="shared" ca="1" si="473"/>
        <v>0</v>
      </c>
      <c r="BA254" s="789">
        <f t="shared" ca="1" si="473"/>
        <v>0</v>
      </c>
      <c r="BB254" s="789">
        <f t="shared" ca="1" si="473"/>
        <v>0</v>
      </c>
      <c r="BC254" s="789">
        <f t="shared" ca="1" si="473"/>
        <v>0</v>
      </c>
      <c r="BD254" s="789">
        <f t="shared" ca="1" si="473"/>
        <v>0</v>
      </c>
      <c r="BE254" s="789">
        <f t="shared" ca="1" si="473"/>
        <v>0</v>
      </c>
      <c r="BF254" s="789">
        <f t="shared" ca="1" si="473"/>
        <v>0</v>
      </c>
      <c r="BG254" s="789">
        <f t="shared" ca="1" si="473"/>
        <v>0</v>
      </c>
      <c r="BH254" s="789">
        <f t="shared" ca="1" si="473"/>
        <v>0</v>
      </c>
      <c r="BI254" s="789">
        <f t="shared" ca="1" si="473"/>
        <v>0</v>
      </c>
      <c r="BJ254" s="789">
        <f t="shared" ca="1" si="473"/>
        <v>0</v>
      </c>
      <c r="BK254" s="789">
        <f t="shared" ca="1" si="473"/>
        <v>0</v>
      </c>
      <c r="BL254" s="789">
        <f t="shared" ca="1" si="473"/>
        <v>0</v>
      </c>
      <c r="BM254" s="789">
        <f t="shared" ca="1" si="473"/>
        <v>0</v>
      </c>
      <c r="BN254" s="789">
        <f t="shared" ca="1" si="473"/>
        <v>0</v>
      </c>
      <c r="BO254" s="789">
        <f t="shared" ca="1" si="473"/>
        <v>0</v>
      </c>
      <c r="BP254" s="802"/>
    </row>
    <row r="255" spans="1:68" ht="20.100000000000001" customHeight="1">
      <c r="A255" s="783"/>
      <c r="B255" s="847" t="s">
        <v>876</v>
      </c>
      <c r="C255" s="848"/>
      <c r="D255" s="785"/>
      <c r="E255" s="785" t="s">
        <v>877</v>
      </c>
      <c r="F255" s="810"/>
      <c r="G255" s="787" t="s">
        <v>347</v>
      </c>
      <c r="H255" s="843"/>
      <c r="I255" s="843"/>
      <c r="J255" s="843"/>
      <c r="K255" s="843"/>
      <c r="L255" s="845">
        <f ca="1">ROUND(L254*0.0258,0)</f>
        <v>0</v>
      </c>
      <c r="M255" s="845">
        <f t="shared" ref="M255:BO255" ca="1" si="474">ROUND(M254*0.0258,0)</f>
        <v>0</v>
      </c>
      <c r="N255" s="845">
        <f t="shared" ca="1" si="474"/>
        <v>0</v>
      </c>
      <c r="O255" s="845">
        <f t="shared" ca="1" si="474"/>
        <v>0</v>
      </c>
      <c r="P255" s="845">
        <f t="shared" ca="1" si="474"/>
        <v>0</v>
      </c>
      <c r="Q255" s="845">
        <f t="shared" ca="1" si="474"/>
        <v>0</v>
      </c>
      <c r="R255" s="845">
        <f t="shared" ca="1" si="474"/>
        <v>0</v>
      </c>
      <c r="S255" s="845">
        <f t="shared" ca="1" si="474"/>
        <v>0</v>
      </c>
      <c r="T255" s="845">
        <f t="shared" ca="1" si="474"/>
        <v>0</v>
      </c>
      <c r="U255" s="845">
        <f t="shared" ca="1" si="474"/>
        <v>0</v>
      </c>
      <c r="V255" s="845">
        <f t="shared" ca="1" si="474"/>
        <v>0</v>
      </c>
      <c r="W255" s="845">
        <f t="shared" ca="1" si="474"/>
        <v>0</v>
      </c>
      <c r="X255" s="845">
        <f t="shared" ca="1" si="474"/>
        <v>0</v>
      </c>
      <c r="Y255" s="845">
        <f t="shared" ca="1" si="474"/>
        <v>0</v>
      </c>
      <c r="Z255" s="845">
        <f t="shared" ca="1" si="474"/>
        <v>0</v>
      </c>
      <c r="AA255" s="845">
        <f t="shared" ca="1" si="474"/>
        <v>0</v>
      </c>
      <c r="AB255" s="845">
        <f t="shared" ca="1" si="474"/>
        <v>0</v>
      </c>
      <c r="AC255" s="845">
        <f t="shared" ca="1" si="474"/>
        <v>0</v>
      </c>
      <c r="AD255" s="845">
        <f t="shared" ca="1" si="474"/>
        <v>0</v>
      </c>
      <c r="AE255" s="845">
        <f t="shared" ca="1" si="474"/>
        <v>0</v>
      </c>
      <c r="AF255" s="845">
        <f t="shared" ca="1" si="474"/>
        <v>0</v>
      </c>
      <c r="AG255" s="845">
        <f t="shared" ca="1" si="474"/>
        <v>0</v>
      </c>
      <c r="AH255" s="845">
        <f t="shared" ca="1" si="474"/>
        <v>0</v>
      </c>
      <c r="AI255" s="845">
        <f t="shared" ca="1" si="474"/>
        <v>0</v>
      </c>
      <c r="AJ255" s="845">
        <f t="shared" ca="1" si="474"/>
        <v>0</v>
      </c>
      <c r="AK255" s="845">
        <f t="shared" ca="1" si="474"/>
        <v>0</v>
      </c>
      <c r="AL255" s="845">
        <f t="shared" ca="1" si="474"/>
        <v>0</v>
      </c>
      <c r="AM255" s="845">
        <f t="shared" ca="1" si="474"/>
        <v>0</v>
      </c>
      <c r="AN255" s="845">
        <f t="shared" ca="1" si="474"/>
        <v>0</v>
      </c>
      <c r="AO255" s="845">
        <f t="shared" ca="1" si="474"/>
        <v>0</v>
      </c>
      <c r="AP255" s="845">
        <f t="shared" ca="1" si="474"/>
        <v>0</v>
      </c>
      <c r="AQ255" s="845">
        <f t="shared" ca="1" si="474"/>
        <v>0</v>
      </c>
      <c r="AR255" s="845">
        <f t="shared" ca="1" si="474"/>
        <v>0</v>
      </c>
      <c r="AS255" s="845">
        <f t="shared" ca="1" si="474"/>
        <v>0</v>
      </c>
      <c r="AT255" s="845">
        <f t="shared" ca="1" si="474"/>
        <v>0</v>
      </c>
      <c r="AU255" s="845">
        <f t="shared" ca="1" si="474"/>
        <v>0</v>
      </c>
      <c r="AV255" s="845">
        <f t="shared" ca="1" si="474"/>
        <v>0</v>
      </c>
      <c r="AW255" s="845">
        <f t="shared" ca="1" si="474"/>
        <v>0</v>
      </c>
      <c r="AX255" s="845">
        <f t="shared" ca="1" si="474"/>
        <v>0</v>
      </c>
      <c r="AY255" s="845">
        <f t="shared" ca="1" si="474"/>
        <v>0</v>
      </c>
      <c r="AZ255" s="845">
        <f t="shared" ca="1" si="474"/>
        <v>0</v>
      </c>
      <c r="BA255" s="845">
        <f t="shared" ca="1" si="474"/>
        <v>0</v>
      </c>
      <c r="BB255" s="845">
        <f t="shared" ca="1" si="474"/>
        <v>0</v>
      </c>
      <c r="BC255" s="845">
        <f t="shared" ca="1" si="474"/>
        <v>0</v>
      </c>
      <c r="BD255" s="845">
        <f t="shared" ca="1" si="474"/>
        <v>0</v>
      </c>
      <c r="BE255" s="845">
        <f t="shared" ca="1" si="474"/>
        <v>0</v>
      </c>
      <c r="BF255" s="845">
        <f t="shared" ca="1" si="474"/>
        <v>0</v>
      </c>
      <c r="BG255" s="845">
        <f t="shared" ca="1" si="474"/>
        <v>0</v>
      </c>
      <c r="BH255" s="845">
        <f t="shared" ca="1" si="474"/>
        <v>0</v>
      </c>
      <c r="BI255" s="845">
        <f t="shared" ca="1" si="474"/>
        <v>0</v>
      </c>
      <c r="BJ255" s="845">
        <f t="shared" ca="1" si="474"/>
        <v>0</v>
      </c>
      <c r="BK255" s="845">
        <f t="shared" ca="1" si="474"/>
        <v>0</v>
      </c>
      <c r="BL255" s="845">
        <f t="shared" ca="1" si="474"/>
        <v>0</v>
      </c>
      <c r="BM255" s="845">
        <f t="shared" ca="1" si="474"/>
        <v>0</v>
      </c>
      <c r="BN255" s="845">
        <f t="shared" ca="1" si="474"/>
        <v>0</v>
      </c>
      <c r="BO255" s="845">
        <f t="shared" ca="1" si="474"/>
        <v>0</v>
      </c>
      <c r="BP255" s="802"/>
    </row>
    <row r="256" spans="1:68" ht="20.100000000000001" customHeight="1">
      <c r="A256" s="780">
        <v>3</v>
      </c>
      <c r="B256" s="780" t="s">
        <v>878</v>
      </c>
      <c r="C256" s="781"/>
      <c r="D256" s="781"/>
      <c r="E256" s="781"/>
      <c r="F256" s="781"/>
      <c r="G256" s="782"/>
      <c r="H256" s="879"/>
      <c r="I256" s="879"/>
      <c r="J256" s="879"/>
      <c r="K256" s="879"/>
      <c r="L256" s="879"/>
      <c r="M256" s="879"/>
      <c r="N256" s="879"/>
      <c r="O256" s="879"/>
      <c r="P256" s="879"/>
      <c r="Q256" s="879"/>
      <c r="R256" s="879"/>
      <c r="S256" s="879"/>
      <c r="T256" s="879"/>
      <c r="U256" s="879"/>
      <c r="V256" s="879"/>
      <c r="W256" s="879"/>
      <c r="X256" s="879"/>
      <c r="Y256" s="879"/>
      <c r="Z256" s="879"/>
      <c r="AA256" s="879"/>
      <c r="AB256" s="879"/>
      <c r="AC256" s="879"/>
      <c r="AD256" s="879"/>
      <c r="AE256" s="879"/>
      <c r="AF256" s="879"/>
      <c r="AG256" s="879"/>
      <c r="AH256" s="879"/>
      <c r="AI256" s="879"/>
      <c r="AJ256" s="879"/>
      <c r="AK256" s="879"/>
      <c r="AL256" s="879"/>
      <c r="AM256" s="879"/>
      <c r="AN256" s="879"/>
      <c r="AO256" s="879"/>
      <c r="AP256" s="879"/>
      <c r="AQ256" s="879"/>
      <c r="AR256" s="879"/>
      <c r="AS256" s="879"/>
      <c r="AT256" s="879"/>
      <c r="AU256" s="879"/>
      <c r="AV256" s="879"/>
      <c r="AW256" s="879"/>
      <c r="AX256" s="879"/>
      <c r="AY256" s="879"/>
      <c r="AZ256" s="879"/>
      <c r="BA256" s="879"/>
      <c r="BB256" s="879"/>
      <c r="BC256" s="879"/>
      <c r="BD256" s="879"/>
      <c r="BE256" s="879"/>
      <c r="BF256" s="879"/>
      <c r="BG256" s="879"/>
      <c r="BH256" s="879"/>
      <c r="BI256" s="879"/>
      <c r="BJ256" s="879"/>
      <c r="BK256" s="879"/>
      <c r="BL256" s="879"/>
      <c r="BM256" s="879"/>
      <c r="BN256" s="879"/>
      <c r="BO256" s="879"/>
    </row>
    <row r="257" spans="1:67" ht="20.100000000000001" customHeight="1">
      <c r="A257" s="783"/>
      <c r="B257" s="780" t="s">
        <v>781</v>
      </c>
      <c r="C257" s="781"/>
      <c r="D257" s="781"/>
      <c r="E257" s="781"/>
      <c r="F257" s="781"/>
      <c r="G257" s="782"/>
      <c r="H257" s="879"/>
      <c r="I257" s="879"/>
      <c r="J257" s="879"/>
      <c r="K257" s="879"/>
      <c r="L257" s="879"/>
      <c r="M257" s="879"/>
      <c r="N257" s="879"/>
      <c r="O257" s="879"/>
      <c r="P257" s="879"/>
      <c r="Q257" s="879"/>
      <c r="R257" s="879"/>
      <c r="S257" s="879"/>
      <c r="T257" s="879"/>
      <c r="U257" s="879"/>
      <c r="V257" s="879"/>
      <c r="W257" s="879"/>
      <c r="X257" s="879"/>
      <c r="Y257" s="879"/>
      <c r="Z257" s="879"/>
      <c r="AA257" s="879"/>
      <c r="AB257" s="879"/>
      <c r="AC257" s="879"/>
      <c r="AD257" s="879"/>
      <c r="AE257" s="879"/>
      <c r="AF257" s="879"/>
      <c r="AG257" s="879"/>
      <c r="AH257" s="879"/>
      <c r="AI257" s="879"/>
      <c r="AJ257" s="879"/>
      <c r="AK257" s="879"/>
      <c r="AL257" s="879"/>
      <c r="AM257" s="879"/>
      <c r="AN257" s="879"/>
      <c r="AO257" s="879"/>
      <c r="AP257" s="879"/>
      <c r="AQ257" s="879"/>
      <c r="AR257" s="879"/>
      <c r="AS257" s="879"/>
      <c r="AT257" s="879"/>
      <c r="AU257" s="879"/>
      <c r="AV257" s="879"/>
      <c r="AW257" s="879"/>
      <c r="AX257" s="879"/>
      <c r="AY257" s="879"/>
      <c r="AZ257" s="879"/>
      <c r="BA257" s="879"/>
      <c r="BB257" s="879"/>
      <c r="BC257" s="879"/>
      <c r="BD257" s="879"/>
      <c r="BE257" s="879"/>
      <c r="BF257" s="879"/>
      <c r="BG257" s="879"/>
      <c r="BH257" s="879"/>
      <c r="BI257" s="879"/>
      <c r="BJ257" s="879"/>
      <c r="BK257" s="879"/>
      <c r="BL257" s="879"/>
      <c r="BM257" s="879"/>
      <c r="BN257" s="879"/>
      <c r="BO257" s="879"/>
    </row>
    <row r="258" spans="1:67" ht="20.100000000000001" customHeight="1">
      <c r="A258" s="784">
        <v>8</v>
      </c>
      <c r="B258" s="1593" t="s">
        <v>420</v>
      </c>
      <c r="C258" s="1596" t="s">
        <v>345</v>
      </c>
      <c r="D258" s="785" t="s">
        <v>346</v>
      </c>
      <c r="E258" s="785"/>
      <c r="F258" s="786"/>
      <c r="G258" s="787" t="s">
        <v>453</v>
      </c>
      <c r="H258" s="788">
        <f t="shared" ref="H258:K273" ca="1" si="475">H9</f>
        <v>38.299999999999997</v>
      </c>
      <c r="I258" s="788">
        <f t="shared" ca="1" si="475"/>
        <v>38.299999999999997</v>
      </c>
      <c r="J258" s="788">
        <f t="shared" ca="1" si="475"/>
        <v>38.299999999999997</v>
      </c>
      <c r="K258" s="788">
        <f t="shared" ca="1" si="475"/>
        <v>38.299999999999997</v>
      </c>
      <c r="L258" s="789">
        <f t="shared" ref="L258:O273" ca="1" si="476">P258+T258</f>
        <v>0</v>
      </c>
      <c r="M258" s="789">
        <f t="shared" ca="1" si="476"/>
        <v>0</v>
      </c>
      <c r="N258" s="789">
        <f t="shared" ca="1" si="476"/>
        <v>0</v>
      </c>
      <c r="O258" s="789">
        <f t="shared" ca="1" si="476"/>
        <v>0</v>
      </c>
      <c r="P258" s="789">
        <f ca="1">SUM(SUMIFS(OFFSET(貼付け_2024実績,$A258,11,1,199),OFFSET(貼付け_2024実績,4,9,1,199),{"横浜*","川崎*"}))</f>
        <v>0</v>
      </c>
      <c r="Q258" s="789">
        <f ca="1">SUM(SUMIFS(OFFSET(貼付け_2025実績,$A258,11,1,199),OFFSET(貼付け_2025実績,4,9,1,199),{"横浜*","川崎*"}))</f>
        <v>0</v>
      </c>
      <c r="R258" s="789">
        <f ca="1">SUM(SUMIFS(OFFSET(貼付け_2026実績,$A258,11,1,199),OFFSET(貼付け_2026実績,4,9,1,199),{"横浜*","川崎*"}))</f>
        <v>0</v>
      </c>
      <c r="S258" s="789">
        <f ca="1">SUM(SUMIFS(OFFSET(貼付け_2027実績,$A258,11,1,199),OFFSET(貼付け_2027実績,4,9,1,199),{"横浜*","川崎*"}))</f>
        <v>0</v>
      </c>
      <c r="T258" s="789">
        <f t="shared" ref="T258:W273" ca="1" si="477">SUM(X258,AB258,AF258,AJ258,AN258,AR258,AV258,AZ258,BD258,BH258,BL258)</f>
        <v>0</v>
      </c>
      <c r="U258" s="789">
        <f t="shared" ca="1" si="477"/>
        <v>0</v>
      </c>
      <c r="V258" s="789">
        <f t="shared" ca="1" si="477"/>
        <v>0</v>
      </c>
      <c r="W258" s="789">
        <f t="shared" ca="1" si="477"/>
        <v>0</v>
      </c>
      <c r="X258" s="789">
        <f t="shared" ref="X258:X289" ca="1" si="478">SUMIFS(OFFSET(貼付け_2024実績,$A258,11,1,199),OFFSET(貼付け_2024実績,4,9,1,199),"県域*")</f>
        <v>0</v>
      </c>
      <c r="Y258" s="789">
        <f t="shared" ref="Y258:Y289" ca="1" si="479">SUMIFS(OFFSET(貼付け_2025実績,$A258,11,1,199),OFFSET(貼付け_2025実績,4,9,1,199),"県域*")</f>
        <v>0</v>
      </c>
      <c r="Z258" s="789">
        <f t="shared" ref="Z258:Z289" ca="1" si="480">SUMIFS(OFFSET(貼付け_2026実績,$A258,11,1,199),OFFSET(貼付け_2026実績,4,9,1,199),"県域*")</f>
        <v>0</v>
      </c>
      <c r="AA258" s="789">
        <f t="shared" ref="AA258:AA289" ca="1" si="481">SUMIFS(OFFSET(貼付け_2027実績,$A258,11,1,199),OFFSET(貼付け_2027実績,4,9,1,199),"県域*")</f>
        <v>0</v>
      </c>
      <c r="AB258" s="789" t="str">
        <f t="shared" ref="AB258:AB289" ca="1" si="482">IFERROR(OFFSET(貼付け_2024実績,$A258,AB$1+2),"")</f>
        <v/>
      </c>
      <c r="AC258" s="789" t="str">
        <f t="shared" ref="AC258:AC289" ca="1" si="483">IFERROR(OFFSET(貼付け_2025実績,$A258,AC$1+2),"")</f>
        <v/>
      </c>
      <c r="AD258" s="789" t="str">
        <f t="shared" ref="AD258:AD289" ca="1" si="484">IFERROR(OFFSET(貼付け_2026実績,$A258,AD$1+2),"")</f>
        <v/>
      </c>
      <c r="AE258" s="789" t="str">
        <f t="shared" ref="AE258:AE289" ca="1" si="485">IFERROR(OFFSET(貼付け_2027実績,$A258,AE$1+2),"")</f>
        <v/>
      </c>
      <c r="AF258" s="789" t="str">
        <f t="shared" ref="AF258:AF289" ca="1" si="486">IFERROR(OFFSET(貼付け_2024実績,$A258,AF$1+2),"")</f>
        <v/>
      </c>
      <c r="AG258" s="789" t="str">
        <f t="shared" ref="AG258:AG289" ca="1" si="487">IFERROR(OFFSET(貼付け_2025実績,$A258,AG$1+2),"")</f>
        <v/>
      </c>
      <c r="AH258" s="789" t="str">
        <f t="shared" ref="AH258:AH289" ca="1" si="488">IFERROR(OFFSET(貼付け_2026実績,$A258,AH$1+2),"")</f>
        <v/>
      </c>
      <c r="AI258" s="789" t="str">
        <f t="shared" ref="AI258:AI289" ca="1" si="489">IFERROR(OFFSET(貼付け_2027実績,$A258,AI$1+2),"")</f>
        <v/>
      </c>
      <c r="AJ258" s="789" t="str">
        <f t="shared" ref="AJ258:AJ289" ca="1" si="490">IFERROR(OFFSET(貼付け_2024実績,$A258,AJ$1+2),"")</f>
        <v/>
      </c>
      <c r="AK258" s="789" t="str">
        <f t="shared" ref="AK258:AK289" ca="1" si="491">IFERROR(OFFSET(貼付け_2025実績,$A258,AK$1+2),"")</f>
        <v/>
      </c>
      <c r="AL258" s="789" t="str">
        <f t="shared" ref="AL258:AL289" ca="1" si="492">IFERROR(OFFSET(貼付け_2026実績,$A258,AL$1+2),"")</f>
        <v/>
      </c>
      <c r="AM258" s="789" t="str">
        <f t="shared" ref="AM258:AM289" ca="1" si="493">IFERROR(OFFSET(貼付け_2027実績,$A258,AM$1+2),"")</f>
        <v/>
      </c>
      <c r="AN258" s="789" t="str">
        <f t="shared" ref="AN258:AN289" ca="1" si="494">IFERROR(OFFSET(貼付け_2024実績,$A258,AN$1+2),"")</f>
        <v/>
      </c>
      <c r="AO258" s="789" t="str">
        <f t="shared" ref="AO258:AO289" ca="1" si="495">IFERROR(OFFSET(貼付け_2025実績,$A258,AO$1+2),"")</f>
        <v/>
      </c>
      <c r="AP258" s="789" t="str">
        <f t="shared" ref="AP258:AP289" ca="1" si="496">IFERROR(OFFSET(貼付け_2026実績,$A258,AP$1+2),"")</f>
        <v/>
      </c>
      <c r="AQ258" s="789" t="str">
        <f t="shared" ref="AQ258:AQ289" ca="1" si="497">IFERROR(OFFSET(貼付け_2027実績,$A258,AQ$1+2),"")</f>
        <v/>
      </c>
      <c r="AR258" s="789" t="str">
        <f t="shared" ref="AR258:AR289" ca="1" si="498">IFERROR(OFFSET(貼付け_2024実績,$A258,AR$1+2),"")</f>
        <v/>
      </c>
      <c r="AS258" s="789" t="str">
        <f t="shared" ref="AS258:AS289" ca="1" si="499">IFERROR(OFFSET(貼付け_2025実績,$A258,AS$1+2),"")</f>
        <v/>
      </c>
      <c r="AT258" s="789" t="str">
        <f t="shared" ref="AT258:AT289" ca="1" si="500">IFERROR(OFFSET(貼付け_2026実績,$A258,AT$1+2),"")</f>
        <v/>
      </c>
      <c r="AU258" s="789" t="str">
        <f t="shared" ref="AU258:AU289" ca="1" si="501">IFERROR(OFFSET(貼付け_2027実績,$A258,AU$1+2),"")</f>
        <v/>
      </c>
      <c r="AV258" s="789" t="str">
        <f t="shared" ref="AV258:AV289" ca="1" si="502">IFERROR(OFFSET(貼付け_2024実績,$A258,AV$1+2),"")</f>
        <v/>
      </c>
      <c r="AW258" s="789" t="str">
        <f t="shared" ref="AW258:AW289" ca="1" si="503">IFERROR(OFFSET(貼付け_2025実績,$A258,AW$1+2),"")</f>
        <v/>
      </c>
      <c r="AX258" s="789" t="str">
        <f t="shared" ref="AX258:AX289" ca="1" si="504">IFERROR(OFFSET(貼付け_2026実績,$A258,AX$1+2),"")</f>
        <v/>
      </c>
      <c r="AY258" s="789" t="str">
        <f t="shared" ref="AY258:AY289" ca="1" si="505">IFERROR(OFFSET(貼付け_2027実績,$A258,AY$1+2),"")</f>
        <v/>
      </c>
      <c r="AZ258" s="789" t="str">
        <f t="shared" ref="AZ258:AZ289" ca="1" si="506">IFERROR(OFFSET(貼付け_2024実績,$A258,AZ$1+2),"")</f>
        <v/>
      </c>
      <c r="BA258" s="789" t="str">
        <f t="shared" ref="BA258:BA289" ca="1" si="507">IFERROR(OFFSET(貼付け_2025実績,$A258,BA$1+2),"")</f>
        <v/>
      </c>
      <c r="BB258" s="789" t="str">
        <f t="shared" ref="BB258:BB289" ca="1" si="508">IFERROR(OFFSET(貼付け_2026実績,$A258,BB$1+2),"")</f>
        <v/>
      </c>
      <c r="BC258" s="789" t="str">
        <f t="shared" ref="BC258:BC289" ca="1" si="509">IFERROR(OFFSET(貼付け_2027実績,$A258,BC$1+2),"")</f>
        <v/>
      </c>
      <c r="BD258" s="789" t="str">
        <f t="shared" ref="BD258:BD289" ca="1" si="510">IFERROR(OFFSET(貼付け_2024実績,$A258,BD$1+2),"")</f>
        <v/>
      </c>
      <c r="BE258" s="789" t="str">
        <f t="shared" ref="BE258:BE289" ca="1" si="511">IFERROR(OFFSET(貼付け_2025実績,$A258,BE$1+2),"")</f>
        <v/>
      </c>
      <c r="BF258" s="789" t="str">
        <f t="shared" ref="BF258:BF289" ca="1" si="512">IFERROR(OFFSET(貼付け_2026実績,$A258,BF$1+2),"")</f>
        <v/>
      </c>
      <c r="BG258" s="789" t="str">
        <f t="shared" ref="BG258:BG289" ca="1" si="513">IFERROR(OFFSET(貼付け_2027実績,$A258,BG$1+2),"")</f>
        <v/>
      </c>
      <c r="BH258" s="789" t="str">
        <f t="shared" ref="BH258:BH289" ca="1" si="514">IFERROR(OFFSET(貼付け_2024実績,$A258,BH$1+2),"")</f>
        <v/>
      </c>
      <c r="BI258" s="789" t="str">
        <f t="shared" ref="BI258:BI289" ca="1" si="515">IFERROR(OFFSET(貼付け_2025実績,$A258,BI$1+2),"")</f>
        <v/>
      </c>
      <c r="BJ258" s="789" t="str">
        <f t="shared" ref="BJ258:BJ289" ca="1" si="516">IFERROR(OFFSET(貼付け_2026実績,$A258,BJ$1+2),"")</f>
        <v/>
      </c>
      <c r="BK258" s="789" t="str">
        <f t="shared" ref="BK258:BK289" ca="1" si="517">IFERROR(OFFSET(貼付け_2027実績,$A258,BK$1+2),"")</f>
        <v/>
      </c>
      <c r="BL258" s="789" t="str">
        <f t="shared" ref="BL258:BL289" ca="1" si="518">IFERROR(OFFSET(貼付け_2024実績,$A258,BL$1+2),"")</f>
        <v/>
      </c>
      <c r="BM258" s="789" t="str">
        <f t="shared" ref="BM258:BM289" ca="1" si="519">IFERROR(OFFSET(貼付け_2025実績,$A258,BM$1+2),"")</f>
        <v/>
      </c>
      <c r="BN258" s="789" t="str">
        <f t="shared" ref="BN258:BN289" ca="1" si="520">IFERROR(OFFSET(貼付け_2026実績,$A258,BN$1+2),"")</f>
        <v/>
      </c>
      <c r="BO258" s="789" t="str">
        <f t="shared" ref="BO258:BO289" ca="1" si="521">IFERROR(OFFSET(貼付け_2027実績,$A258,BO$1+2),"")</f>
        <v/>
      </c>
    </row>
    <row r="259" spans="1:67" ht="20.100000000000001" customHeight="1">
      <c r="A259" s="784">
        <v>9</v>
      </c>
      <c r="B259" s="1594"/>
      <c r="C259" s="1596"/>
      <c r="D259" s="785" t="s">
        <v>349</v>
      </c>
      <c r="E259" s="785"/>
      <c r="F259" s="786"/>
      <c r="G259" s="787" t="s">
        <v>453</v>
      </c>
      <c r="H259" s="788">
        <f t="shared" ca="1" si="475"/>
        <v>34.799999999999997</v>
      </c>
      <c r="I259" s="788">
        <f t="shared" ca="1" si="475"/>
        <v>34.799999999999997</v>
      </c>
      <c r="J259" s="788">
        <f t="shared" ca="1" si="475"/>
        <v>34.799999999999997</v>
      </c>
      <c r="K259" s="788">
        <f t="shared" ca="1" si="475"/>
        <v>34.799999999999997</v>
      </c>
      <c r="L259" s="789">
        <f t="shared" ca="1" si="476"/>
        <v>0</v>
      </c>
      <c r="M259" s="789">
        <f t="shared" ca="1" si="476"/>
        <v>0</v>
      </c>
      <c r="N259" s="789">
        <f t="shared" ca="1" si="476"/>
        <v>0</v>
      </c>
      <c r="O259" s="789">
        <f t="shared" ca="1" si="476"/>
        <v>0</v>
      </c>
      <c r="P259" s="789">
        <f ca="1">SUM(SUMIFS(OFFSET(貼付け_2024実績,$A259,11,1,199),OFFSET(貼付け_2024実績,4,9,1,199),{"横浜*","川崎*"}))</f>
        <v>0</v>
      </c>
      <c r="Q259" s="789">
        <f ca="1">SUM(SUMIFS(OFFSET(貼付け_2025実績,$A259,11,1,199),OFFSET(貼付け_2025実績,4,9,1,199),{"横浜*","川崎*"}))</f>
        <v>0</v>
      </c>
      <c r="R259" s="789">
        <f ca="1">SUM(SUMIFS(OFFSET(貼付け_2026実績,$A259,11,1,199),OFFSET(貼付け_2026実績,4,9,1,199),{"横浜*","川崎*"}))</f>
        <v>0</v>
      </c>
      <c r="S259" s="789">
        <f ca="1">SUM(SUMIFS(OFFSET(貼付け_2027実績,$A259,11,1,199),OFFSET(貼付け_2027実績,4,9,1,199),{"横浜*","川崎*"}))</f>
        <v>0</v>
      </c>
      <c r="T259" s="789">
        <f t="shared" ca="1" si="477"/>
        <v>0</v>
      </c>
      <c r="U259" s="789">
        <f t="shared" ca="1" si="477"/>
        <v>0</v>
      </c>
      <c r="V259" s="789">
        <f t="shared" ca="1" si="477"/>
        <v>0</v>
      </c>
      <c r="W259" s="789">
        <f t="shared" ca="1" si="477"/>
        <v>0</v>
      </c>
      <c r="X259" s="789">
        <f t="shared" ca="1" si="478"/>
        <v>0</v>
      </c>
      <c r="Y259" s="789">
        <f t="shared" ca="1" si="479"/>
        <v>0</v>
      </c>
      <c r="Z259" s="789">
        <f t="shared" ca="1" si="480"/>
        <v>0</v>
      </c>
      <c r="AA259" s="789">
        <f t="shared" ca="1" si="481"/>
        <v>0</v>
      </c>
      <c r="AB259" s="789" t="str">
        <f t="shared" ca="1" si="482"/>
        <v/>
      </c>
      <c r="AC259" s="789" t="str">
        <f t="shared" ca="1" si="483"/>
        <v/>
      </c>
      <c r="AD259" s="789" t="str">
        <f t="shared" ca="1" si="484"/>
        <v/>
      </c>
      <c r="AE259" s="789" t="str">
        <f t="shared" ca="1" si="485"/>
        <v/>
      </c>
      <c r="AF259" s="789" t="str">
        <f t="shared" ca="1" si="486"/>
        <v/>
      </c>
      <c r="AG259" s="789" t="str">
        <f t="shared" ca="1" si="487"/>
        <v/>
      </c>
      <c r="AH259" s="789" t="str">
        <f t="shared" ca="1" si="488"/>
        <v/>
      </c>
      <c r="AI259" s="789" t="str">
        <f t="shared" ca="1" si="489"/>
        <v/>
      </c>
      <c r="AJ259" s="789" t="str">
        <f t="shared" ca="1" si="490"/>
        <v/>
      </c>
      <c r="AK259" s="789" t="str">
        <f t="shared" ca="1" si="491"/>
        <v/>
      </c>
      <c r="AL259" s="789" t="str">
        <f t="shared" ca="1" si="492"/>
        <v/>
      </c>
      <c r="AM259" s="789" t="str">
        <f t="shared" ca="1" si="493"/>
        <v/>
      </c>
      <c r="AN259" s="789" t="str">
        <f t="shared" ca="1" si="494"/>
        <v/>
      </c>
      <c r="AO259" s="789" t="str">
        <f t="shared" ca="1" si="495"/>
        <v/>
      </c>
      <c r="AP259" s="789" t="str">
        <f t="shared" ca="1" si="496"/>
        <v/>
      </c>
      <c r="AQ259" s="789" t="str">
        <f t="shared" ca="1" si="497"/>
        <v/>
      </c>
      <c r="AR259" s="789" t="str">
        <f t="shared" ca="1" si="498"/>
        <v/>
      </c>
      <c r="AS259" s="789" t="str">
        <f t="shared" ca="1" si="499"/>
        <v/>
      </c>
      <c r="AT259" s="789" t="str">
        <f t="shared" ca="1" si="500"/>
        <v/>
      </c>
      <c r="AU259" s="789" t="str">
        <f t="shared" ca="1" si="501"/>
        <v/>
      </c>
      <c r="AV259" s="789" t="str">
        <f t="shared" ca="1" si="502"/>
        <v/>
      </c>
      <c r="AW259" s="789" t="str">
        <f t="shared" ca="1" si="503"/>
        <v/>
      </c>
      <c r="AX259" s="789" t="str">
        <f t="shared" ca="1" si="504"/>
        <v/>
      </c>
      <c r="AY259" s="789" t="str">
        <f t="shared" ca="1" si="505"/>
        <v/>
      </c>
      <c r="AZ259" s="789" t="str">
        <f t="shared" ca="1" si="506"/>
        <v/>
      </c>
      <c r="BA259" s="789" t="str">
        <f t="shared" ca="1" si="507"/>
        <v/>
      </c>
      <c r="BB259" s="789" t="str">
        <f t="shared" ca="1" si="508"/>
        <v/>
      </c>
      <c r="BC259" s="789" t="str">
        <f t="shared" ca="1" si="509"/>
        <v/>
      </c>
      <c r="BD259" s="789" t="str">
        <f t="shared" ca="1" si="510"/>
        <v/>
      </c>
      <c r="BE259" s="789" t="str">
        <f t="shared" ca="1" si="511"/>
        <v/>
      </c>
      <c r="BF259" s="789" t="str">
        <f t="shared" ca="1" si="512"/>
        <v/>
      </c>
      <c r="BG259" s="789" t="str">
        <f t="shared" ca="1" si="513"/>
        <v/>
      </c>
      <c r="BH259" s="789" t="str">
        <f t="shared" ca="1" si="514"/>
        <v/>
      </c>
      <c r="BI259" s="789" t="str">
        <f t="shared" ca="1" si="515"/>
        <v/>
      </c>
      <c r="BJ259" s="789" t="str">
        <f t="shared" ca="1" si="516"/>
        <v/>
      </c>
      <c r="BK259" s="789" t="str">
        <f t="shared" ca="1" si="517"/>
        <v/>
      </c>
      <c r="BL259" s="789" t="str">
        <f t="shared" ca="1" si="518"/>
        <v/>
      </c>
      <c r="BM259" s="789" t="str">
        <f t="shared" ca="1" si="519"/>
        <v/>
      </c>
      <c r="BN259" s="789" t="str">
        <f t="shared" ca="1" si="520"/>
        <v/>
      </c>
      <c r="BO259" s="789" t="str">
        <f t="shared" ca="1" si="521"/>
        <v/>
      </c>
    </row>
    <row r="260" spans="1:67" ht="20.100000000000001" customHeight="1">
      <c r="A260" s="784">
        <v>10</v>
      </c>
      <c r="B260" s="1595"/>
      <c r="C260" s="1596"/>
      <c r="D260" s="785" t="s">
        <v>350</v>
      </c>
      <c r="E260" s="785"/>
      <c r="F260" s="786"/>
      <c r="G260" s="787" t="s">
        <v>453</v>
      </c>
      <c r="H260" s="788">
        <f t="shared" ca="1" si="475"/>
        <v>33.4</v>
      </c>
      <c r="I260" s="788">
        <f t="shared" ca="1" si="475"/>
        <v>33.4</v>
      </c>
      <c r="J260" s="788">
        <f t="shared" ca="1" si="475"/>
        <v>33.4</v>
      </c>
      <c r="K260" s="788">
        <f t="shared" ca="1" si="475"/>
        <v>33.4</v>
      </c>
      <c r="L260" s="789">
        <f t="shared" ca="1" si="476"/>
        <v>0</v>
      </c>
      <c r="M260" s="789">
        <f t="shared" ca="1" si="476"/>
        <v>0</v>
      </c>
      <c r="N260" s="789">
        <f t="shared" ca="1" si="476"/>
        <v>0</v>
      </c>
      <c r="O260" s="789">
        <f t="shared" ca="1" si="476"/>
        <v>0</v>
      </c>
      <c r="P260" s="789">
        <f ca="1">SUM(SUMIFS(OFFSET(貼付け_2024実績,$A260,11,1,199),OFFSET(貼付け_2024実績,4,9,1,199),{"横浜*","川崎*"}))</f>
        <v>0</v>
      </c>
      <c r="Q260" s="789">
        <f ca="1">SUM(SUMIFS(OFFSET(貼付け_2025実績,$A260,11,1,199),OFFSET(貼付け_2025実績,4,9,1,199),{"横浜*","川崎*"}))</f>
        <v>0</v>
      </c>
      <c r="R260" s="789">
        <f ca="1">SUM(SUMIFS(OFFSET(貼付け_2026実績,$A260,11,1,199),OFFSET(貼付け_2026実績,4,9,1,199),{"横浜*","川崎*"}))</f>
        <v>0</v>
      </c>
      <c r="S260" s="789">
        <f ca="1">SUM(SUMIFS(OFFSET(貼付け_2027実績,$A260,11,1,199),OFFSET(貼付け_2027実績,4,9,1,199),{"横浜*","川崎*"}))</f>
        <v>0</v>
      </c>
      <c r="T260" s="789">
        <f t="shared" ca="1" si="477"/>
        <v>0</v>
      </c>
      <c r="U260" s="789">
        <f t="shared" ca="1" si="477"/>
        <v>0</v>
      </c>
      <c r="V260" s="789">
        <f t="shared" ca="1" si="477"/>
        <v>0</v>
      </c>
      <c r="W260" s="789">
        <f t="shared" ca="1" si="477"/>
        <v>0</v>
      </c>
      <c r="X260" s="789">
        <f t="shared" ca="1" si="478"/>
        <v>0</v>
      </c>
      <c r="Y260" s="789">
        <f t="shared" ca="1" si="479"/>
        <v>0</v>
      </c>
      <c r="Z260" s="789">
        <f t="shared" ca="1" si="480"/>
        <v>0</v>
      </c>
      <c r="AA260" s="789">
        <f t="shared" ca="1" si="481"/>
        <v>0</v>
      </c>
      <c r="AB260" s="789" t="str">
        <f t="shared" ca="1" si="482"/>
        <v/>
      </c>
      <c r="AC260" s="789" t="str">
        <f t="shared" ca="1" si="483"/>
        <v/>
      </c>
      <c r="AD260" s="789" t="str">
        <f t="shared" ca="1" si="484"/>
        <v/>
      </c>
      <c r="AE260" s="789" t="str">
        <f t="shared" ca="1" si="485"/>
        <v/>
      </c>
      <c r="AF260" s="789" t="str">
        <f t="shared" ca="1" si="486"/>
        <v/>
      </c>
      <c r="AG260" s="789" t="str">
        <f t="shared" ca="1" si="487"/>
        <v/>
      </c>
      <c r="AH260" s="789" t="str">
        <f t="shared" ca="1" si="488"/>
        <v/>
      </c>
      <c r="AI260" s="789" t="str">
        <f t="shared" ca="1" si="489"/>
        <v/>
      </c>
      <c r="AJ260" s="789" t="str">
        <f t="shared" ca="1" si="490"/>
        <v/>
      </c>
      <c r="AK260" s="789" t="str">
        <f t="shared" ca="1" si="491"/>
        <v/>
      </c>
      <c r="AL260" s="789" t="str">
        <f t="shared" ca="1" si="492"/>
        <v/>
      </c>
      <c r="AM260" s="789" t="str">
        <f t="shared" ca="1" si="493"/>
        <v/>
      </c>
      <c r="AN260" s="789" t="str">
        <f t="shared" ca="1" si="494"/>
        <v/>
      </c>
      <c r="AO260" s="789" t="str">
        <f t="shared" ca="1" si="495"/>
        <v/>
      </c>
      <c r="AP260" s="789" t="str">
        <f t="shared" ca="1" si="496"/>
        <v/>
      </c>
      <c r="AQ260" s="789" t="str">
        <f t="shared" ca="1" si="497"/>
        <v/>
      </c>
      <c r="AR260" s="789" t="str">
        <f t="shared" ca="1" si="498"/>
        <v/>
      </c>
      <c r="AS260" s="789" t="str">
        <f t="shared" ca="1" si="499"/>
        <v/>
      </c>
      <c r="AT260" s="789" t="str">
        <f t="shared" ca="1" si="500"/>
        <v/>
      </c>
      <c r="AU260" s="789" t="str">
        <f t="shared" ca="1" si="501"/>
        <v/>
      </c>
      <c r="AV260" s="789" t="str">
        <f t="shared" ca="1" si="502"/>
        <v/>
      </c>
      <c r="AW260" s="789" t="str">
        <f t="shared" ca="1" si="503"/>
        <v/>
      </c>
      <c r="AX260" s="789" t="str">
        <f t="shared" ca="1" si="504"/>
        <v/>
      </c>
      <c r="AY260" s="789" t="str">
        <f t="shared" ca="1" si="505"/>
        <v/>
      </c>
      <c r="AZ260" s="789" t="str">
        <f t="shared" ca="1" si="506"/>
        <v/>
      </c>
      <c r="BA260" s="789" t="str">
        <f t="shared" ca="1" si="507"/>
        <v/>
      </c>
      <c r="BB260" s="789" t="str">
        <f t="shared" ca="1" si="508"/>
        <v/>
      </c>
      <c r="BC260" s="789" t="str">
        <f t="shared" ca="1" si="509"/>
        <v/>
      </c>
      <c r="BD260" s="789" t="str">
        <f t="shared" ca="1" si="510"/>
        <v/>
      </c>
      <c r="BE260" s="789" t="str">
        <f t="shared" ca="1" si="511"/>
        <v/>
      </c>
      <c r="BF260" s="789" t="str">
        <f t="shared" ca="1" si="512"/>
        <v/>
      </c>
      <c r="BG260" s="789" t="str">
        <f t="shared" ca="1" si="513"/>
        <v/>
      </c>
      <c r="BH260" s="789" t="str">
        <f t="shared" ca="1" si="514"/>
        <v/>
      </c>
      <c r="BI260" s="789" t="str">
        <f t="shared" ca="1" si="515"/>
        <v/>
      </c>
      <c r="BJ260" s="789" t="str">
        <f t="shared" ca="1" si="516"/>
        <v/>
      </c>
      <c r="BK260" s="789" t="str">
        <f t="shared" ca="1" si="517"/>
        <v/>
      </c>
      <c r="BL260" s="789" t="str">
        <f t="shared" ca="1" si="518"/>
        <v/>
      </c>
      <c r="BM260" s="789" t="str">
        <f t="shared" ca="1" si="519"/>
        <v/>
      </c>
      <c r="BN260" s="789" t="str">
        <f t="shared" ca="1" si="520"/>
        <v/>
      </c>
      <c r="BO260" s="789" t="str">
        <f t="shared" ca="1" si="521"/>
        <v/>
      </c>
    </row>
    <row r="261" spans="1:67" ht="20.100000000000001" customHeight="1">
      <c r="A261" s="784">
        <v>11</v>
      </c>
      <c r="B261" s="1594"/>
      <c r="C261" s="1596"/>
      <c r="D261" s="785" t="s">
        <v>351</v>
      </c>
      <c r="E261" s="785"/>
      <c r="F261" s="786"/>
      <c r="G261" s="787" t="s">
        <v>453</v>
      </c>
      <c r="H261" s="788">
        <f t="shared" ca="1" si="475"/>
        <v>33.299999999999997</v>
      </c>
      <c r="I261" s="788">
        <f t="shared" ca="1" si="475"/>
        <v>33.299999999999997</v>
      </c>
      <c r="J261" s="788">
        <f t="shared" ca="1" si="475"/>
        <v>33.299999999999997</v>
      </c>
      <c r="K261" s="788">
        <f t="shared" ca="1" si="475"/>
        <v>33.299999999999997</v>
      </c>
      <c r="L261" s="789">
        <f t="shared" ca="1" si="476"/>
        <v>0</v>
      </c>
      <c r="M261" s="789">
        <f t="shared" ca="1" si="476"/>
        <v>0</v>
      </c>
      <c r="N261" s="789">
        <f t="shared" ca="1" si="476"/>
        <v>0</v>
      </c>
      <c r="O261" s="789">
        <f t="shared" ca="1" si="476"/>
        <v>0</v>
      </c>
      <c r="P261" s="789">
        <f ca="1">SUM(SUMIFS(OFFSET(貼付け_2024実績,$A261,11,1,199),OFFSET(貼付け_2024実績,4,9,1,199),{"横浜*","川崎*"}))</f>
        <v>0</v>
      </c>
      <c r="Q261" s="789">
        <f ca="1">SUM(SUMIFS(OFFSET(貼付け_2025実績,$A261,11,1,199),OFFSET(貼付け_2025実績,4,9,1,199),{"横浜*","川崎*"}))</f>
        <v>0</v>
      </c>
      <c r="R261" s="789">
        <f ca="1">SUM(SUMIFS(OFFSET(貼付け_2026実績,$A261,11,1,199),OFFSET(貼付け_2026実績,4,9,1,199),{"横浜*","川崎*"}))</f>
        <v>0</v>
      </c>
      <c r="S261" s="789">
        <f ca="1">SUM(SUMIFS(OFFSET(貼付け_2027実績,$A261,11,1,199),OFFSET(貼付け_2027実績,4,9,1,199),{"横浜*","川崎*"}))</f>
        <v>0</v>
      </c>
      <c r="T261" s="789">
        <f t="shared" ca="1" si="477"/>
        <v>0</v>
      </c>
      <c r="U261" s="789">
        <f t="shared" ca="1" si="477"/>
        <v>0</v>
      </c>
      <c r="V261" s="789">
        <f t="shared" ca="1" si="477"/>
        <v>0</v>
      </c>
      <c r="W261" s="789">
        <f t="shared" ca="1" si="477"/>
        <v>0</v>
      </c>
      <c r="X261" s="789">
        <f t="shared" ca="1" si="478"/>
        <v>0</v>
      </c>
      <c r="Y261" s="789">
        <f t="shared" ca="1" si="479"/>
        <v>0</v>
      </c>
      <c r="Z261" s="789">
        <f t="shared" ca="1" si="480"/>
        <v>0</v>
      </c>
      <c r="AA261" s="789">
        <f t="shared" ca="1" si="481"/>
        <v>0</v>
      </c>
      <c r="AB261" s="789" t="str">
        <f t="shared" ca="1" si="482"/>
        <v/>
      </c>
      <c r="AC261" s="789" t="str">
        <f t="shared" ca="1" si="483"/>
        <v/>
      </c>
      <c r="AD261" s="789" t="str">
        <f t="shared" ca="1" si="484"/>
        <v/>
      </c>
      <c r="AE261" s="789" t="str">
        <f t="shared" ca="1" si="485"/>
        <v/>
      </c>
      <c r="AF261" s="789" t="str">
        <f t="shared" ca="1" si="486"/>
        <v/>
      </c>
      <c r="AG261" s="789" t="str">
        <f t="shared" ca="1" si="487"/>
        <v/>
      </c>
      <c r="AH261" s="789" t="str">
        <f t="shared" ca="1" si="488"/>
        <v/>
      </c>
      <c r="AI261" s="789" t="str">
        <f t="shared" ca="1" si="489"/>
        <v/>
      </c>
      <c r="AJ261" s="789" t="str">
        <f t="shared" ca="1" si="490"/>
        <v/>
      </c>
      <c r="AK261" s="789" t="str">
        <f t="shared" ca="1" si="491"/>
        <v/>
      </c>
      <c r="AL261" s="789" t="str">
        <f t="shared" ca="1" si="492"/>
        <v/>
      </c>
      <c r="AM261" s="789" t="str">
        <f t="shared" ca="1" si="493"/>
        <v/>
      </c>
      <c r="AN261" s="789" t="str">
        <f t="shared" ca="1" si="494"/>
        <v/>
      </c>
      <c r="AO261" s="789" t="str">
        <f t="shared" ca="1" si="495"/>
        <v/>
      </c>
      <c r="AP261" s="789" t="str">
        <f t="shared" ca="1" si="496"/>
        <v/>
      </c>
      <c r="AQ261" s="789" t="str">
        <f t="shared" ca="1" si="497"/>
        <v/>
      </c>
      <c r="AR261" s="789" t="str">
        <f t="shared" ca="1" si="498"/>
        <v/>
      </c>
      <c r="AS261" s="789" t="str">
        <f t="shared" ca="1" si="499"/>
        <v/>
      </c>
      <c r="AT261" s="789" t="str">
        <f t="shared" ca="1" si="500"/>
        <v/>
      </c>
      <c r="AU261" s="789" t="str">
        <f t="shared" ca="1" si="501"/>
        <v/>
      </c>
      <c r="AV261" s="789" t="str">
        <f t="shared" ca="1" si="502"/>
        <v/>
      </c>
      <c r="AW261" s="789" t="str">
        <f t="shared" ca="1" si="503"/>
        <v/>
      </c>
      <c r="AX261" s="789" t="str">
        <f t="shared" ca="1" si="504"/>
        <v/>
      </c>
      <c r="AY261" s="789" t="str">
        <f t="shared" ca="1" si="505"/>
        <v/>
      </c>
      <c r="AZ261" s="789" t="str">
        <f t="shared" ca="1" si="506"/>
        <v/>
      </c>
      <c r="BA261" s="789" t="str">
        <f t="shared" ca="1" si="507"/>
        <v/>
      </c>
      <c r="BB261" s="789" t="str">
        <f t="shared" ca="1" si="508"/>
        <v/>
      </c>
      <c r="BC261" s="789" t="str">
        <f t="shared" ca="1" si="509"/>
        <v/>
      </c>
      <c r="BD261" s="789" t="str">
        <f t="shared" ca="1" si="510"/>
        <v/>
      </c>
      <c r="BE261" s="789" t="str">
        <f t="shared" ca="1" si="511"/>
        <v/>
      </c>
      <c r="BF261" s="789" t="str">
        <f t="shared" ca="1" si="512"/>
        <v/>
      </c>
      <c r="BG261" s="789" t="str">
        <f t="shared" ca="1" si="513"/>
        <v/>
      </c>
      <c r="BH261" s="789" t="str">
        <f t="shared" ca="1" si="514"/>
        <v/>
      </c>
      <c r="BI261" s="789" t="str">
        <f t="shared" ca="1" si="515"/>
        <v/>
      </c>
      <c r="BJ261" s="789" t="str">
        <f t="shared" ca="1" si="516"/>
        <v/>
      </c>
      <c r="BK261" s="789" t="str">
        <f t="shared" ca="1" si="517"/>
        <v/>
      </c>
      <c r="BL261" s="789" t="str">
        <f t="shared" ca="1" si="518"/>
        <v/>
      </c>
      <c r="BM261" s="789" t="str">
        <f t="shared" ca="1" si="519"/>
        <v/>
      </c>
      <c r="BN261" s="789" t="str">
        <f t="shared" ca="1" si="520"/>
        <v/>
      </c>
      <c r="BO261" s="789" t="str">
        <f t="shared" ca="1" si="521"/>
        <v/>
      </c>
    </row>
    <row r="262" spans="1:67" ht="20.100000000000001" customHeight="1">
      <c r="A262" s="784">
        <v>12</v>
      </c>
      <c r="B262" s="1594"/>
      <c r="C262" s="1596"/>
      <c r="D262" s="785" t="s">
        <v>352</v>
      </c>
      <c r="E262" s="785"/>
      <c r="F262" s="786"/>
      <c r="G262" s="787" t="s">
        <v>453</v>
      </c>
      <c r="H262" s="788">
        <f t="shared" ca="1" si="475"/>
        <v>36.299999999999997</v>
      </c>
      <c r="I262" s="788">
        <f t="shared" ca="1" si="475"/>
        <v>36.299999999999997</v>
      </c>
      <c r="J262" s="788">
        <f t="shared" ca="1" si="475"/>
        <v>36.299999999999997</v>
      </c>
      <c r="K262" s="788">
        <f t="shared" ca="1" si="475"/>
        <v>36.299999999999997</v>
      </c>
      <c r="L262" s="789">
        <f t="shared" ca="1" si="476"/>
        <v>0</v>
      </c>
      <c r="M262" s="789">
        <f t="shared" ca="1" si="476"/>
        <v>0</v>
      </c>
      <c r="N262" s="789">
        <f t="shared" ca="1" si="476"/>
        <v>0</v>
      </c>
      <c r="O262" s="789">
        <f t="shared" ca="1" si="476"/>
        <v>0</v>
      </c>
      <c r="P262" s="789">
        <f ca="1">SUM(SUMIFS(OFFSET(貼付け_2024実績,$A262,11,1,199),OFFSET(貼付け_2024実績,4,9,1,199),{"横浜*","川崎*"}))</f>
        <v>0</v>
      </c>
      <c r="Q262" s="789">
        <f ca="1">SUM(SUMIFS(OFFSET(貼付け_2025実績,$A262,11,1,199),OFFSET(貼付け_2025実績,4,9,1,199),{"横浜*","川崎*"}))</f>
        <v>0</v>
      </c>
      <c r="R262" s="789">
        <f ca="1">SUM(SUMIFS(OFFSET(貼付け_2026実績,$A262,11,1,199),OFFSET(貼付け_2026実績,4,9,1,199),{"横浜*","川崎*"}))</f>
        <v>0</v>
      </c>
      <c r="S262" s="789">
        <f ca="1">SUM(SUMIFS(OFFSET(貼付け_2027実績,$A262,11,1,199),OFFSET(貼付け_2027実績,4,9,1,199),{"横浜*","川崎*"}))</f>
        <v>0</v>
      </c>
      <c r="T262" s="789">
        <f t="shared" ca="1" si="477"/>
        <v>0</v>
      </c>
      <c r="U262" s="789">
        <f t="shared" ca="1" si="477"/>
        <v>0</v>
      </c>
      <c r="V262" s="789">
        <f t="shared" ca="1" si="477"/>
        <v>0</v>
      </c>
      <c r="W262" s="789">
        <f t="shared" ca="1" si="477"/>
        <v>0</v>
      </c>
      <c r="X262" s="789">
        <f t="shared" ca="1" si="478"/>
        <v>0</v>
      </c>
      <c r="Y262" s="789">
        <f t="shared" ca="1" si="479"/>
        <v>0</v>
      </c>
      <c r="Z262" s="789">
        <f t="shared" ca="1" si="480"/>
        <v>0</v>
      </c>
      <c r="AA262" s="789">
        <f t="shared" ca="1" si="481"/>
        <v>0</v>
      </c>
      <c r="AB262" s="789" t="str">
        <f t="shared" ca="1" si="482"/>
        <v/>
      </c>
      <c r="AC262" s="789" t="str">
        <f t="shared" ca="1" si="483"/>
        <v/>
      </c>
      <c r="AD262" s="789" t="str">
        <f t="shared" ca="1" si="484"/>
        <v/>
      </c>
      <c r="AE262" s="789" t="str">
        <f t="shared" ca="1" si="485"/>
        <v/>
      </c>
      <c r="AF262" s="789" t="str">
        <f t="shared" ca="1" si="486"/>
        <v/>
      </c>
      <c r="AG262" s="789" t="str">
        <f t="shared" ca="1" si="487"/>
        <v/>
      </c>
      <c r="AH262" s="789" t="str">
        <f t="shared" ca="1" si="488"/>
        <v/>
      </c>
      <c r="AI262" s="789" t="str">
        <f t="shared" ca="1" si="489"/>
        <v/>
      </c>
      <c r="AJ262" s="789" t="str">
        <f t="shared" ca="1" si="490"/>
        <v/>
      </c>
      <c r="AK262" s="789" t="str">
        <f t="shared" ca="1" si="491"/>
        <v/>
      </c>
      <c r="AL262" s="789" t="str">
        <f t="shared" ca="1" si="492"/>
        <v/>
      </c>
      <c r="AM262" s="789" t="str">
        <f t="shared" ca="1" si="493"/>
        <v/>
      </c>
      <c r="AN262" s="789" t="str">
        <f t="shared" ca="1" si="494"/>
        <v/>
      </c>
      <c r="AO262" s="789" t="str">
        <f t="shared" ca="1" si="495"/>
        <v/>
      </c>
      <c r="AP262" s="789" t="str">
        <f t="shared" ca="1" si="496"/>
        <v/>
      </c>
      <c r="AQ262" s="789" t="str">
        <f t="shared" ca="1" si="497"/>
        <v/>
      </c>
      <c r="AR262" s="789" t="str">
        <f t="shared" ca="1" si="498"/>
        <v/>
      </c>
      <c r="AS262" s="789" t="str">
        <f t="shared" ca="1" si="499"/>
        <v/>
      </c>
      <c r="AT262" s="789" t="str">
        <f t="shared" ca="1" si="500"/>
        <v/>
      </c>
      <c r="AU262" s="789" t="str">
        <f t="shared" ca="1" si="501"/>
        <v/>
      </c>
      <c r="AV262" s="789" t="str">
        <f t="shared" ca="1" si="502"/>
        <v/>
      </c>
      <c r="AW262" s="789" t="str">
        <f t="shared" ca="1" si="503"/>
        <v/>
      </c>
      <c r="AX262" s="789" t="str">
        <f t="shared" ca="1" si="504"/>
        <v/>
      </c>
      <c r="AY262" s="789" t="str">
        <f t="shared" ca="1" si="505"/>
        <v/>
      </c>
      <c r="AZ262" s="789" t="str">
        <f t="shared" ca="1" si="506"/>
        <v/>
      </c>
      <c r="BA262" s="789" t="str">
        <f t="shared" ca="1" si="507"/>
        <v/>
      </c>
      <c r="BB262" s="789" t="str">
        <f t="shared" ca="1" si="508"/>
        <v/>
      </c>
      <c r="BC262" s="789" t="str">
        <f t="shared" ca="1" si="509"/>
        <v/>
      </c>
      <c r="BD262" s="789" t="str">
        <f t="shared" ca="1" si="510"/>
        <v/>
      </c>
      <c r="BE262" s="789" t="str">
        <f t="shared" ca="1" si="511"/>
        <v/>
      </c>
      <c r="BF262" s="789" t="str">
        <f t="shared" ca="1" si="512"/>
        <v/>
      </c>
      <c r="BG262" s="789" t="str">
        <f t="shared" ca="1" si="513"/>
        <v/>
      </c>
      <c r="BH262" s="789" t="str">
        <f t="shared" ca="1" si="514"/>
        <v/>
      </c>
      <c r="BI262" s="789" t="str">
        <f t="shared" ca="1" si="515"/>
        <v/>
      </c>
      <c r="BJ262" s="789" t="str">
        <f t="shared" ca="1" si="516"/>
        <v/>
      </c>
      <c r="BK262" s="789" t="str">
        <f t="shared" ca="1" si="517"/>
        <v/>
      </c>
      <c r="BL262" s="789" t="str">
        <f t="shared" ca="1" si="518"/>
        <v/>
      </c>
      <c r="BM262" s="789" t="str">
        <f t="shared" ca="1" si="519"/>
        <v/>
      </c>
      <c r="BN262" s="789" t="str">
        <f t="shared" ca="1" si="520"/>
        <v/>
      </c>
      <c r="BO262" s="789" t="str">
        <f t="shared" ca="1" si="521"/>
        <v/>
      </c>
    </row>
    <row r="263" spans="1:67" ht="20.100000000000001" customHeight="1">
      <c r="A263" s="784">
        <v>13</v>
      </c>
      <c r="B263" s="1595"/>
      <c r="C263" s="1596"/>
      <c r="D263" s="785" t="s">
        <v>353</v>
      </c>
      <c r="E263" s="785"/>
      <c r="F263" s="786"/>
      <c r="G263" s="787" t="s">
        <v>453</v>
      </c>
      <c r="H263" s="788">
        <f t="shared" ca="1" si="475"/>
        <v>36.5</v>
      </c>
      <c r="I263" s="788">
        <f t="shared" ca="1" si="475"/>
        <v>36.5</v>
      </c>
      <c r="J263" s="788">
        <f t="shared" ca="1" si="475"/>
        <v>36.5</v>
      </c>
      <c r="K263" s="788">
        <f t="shared" ca="1" si="475"/>
        <v>36.5</v>
      </c>
      <c r="L263" s="789">
        <f t="shared" ca="1" si="476"/>
        <v>0</v>
      </c>
      <c r="M263" s="789">
        <f t="shared" ca="1" si="476"/>
        <v>0</v>
      </c>
      <c r="N263" s="789">
        <f t="shared" ca="1" si="476"/>
        <v>0</v>
      </c>
      <c r="O263" s="789">
        <f t="shared" ca="1" si="476"/>
        <v>0</v>
      </c>
      <c r="P263" s="789">
        <f ca="1">SUM(SUMIFS(OFFSET(貼付け_2024実績,$A263,11,1,199),OFFSET(貼付け_2024実績,4,9,1,199),{"横浜*","川崎*"}))</f>
        <v>0</v>
      </c>
      <c r="Q263" s="789">
        <f ca="1">SUM(SUMIFS(OFFSET(貼付け_2025実績,$A263,11,1,199),OFFSET(貼付け_2025実績,4,9,1,199),{"横浜*","川崎*"}))</f>
        <v>0</v>
      </c>
      <c r="R263" s="789">
        <f ca="1">SUM(SUMIFS(OFFSET(貼付け_2026実績,$A263,11,1,199),OFFSET(貼付け_2026実績,4,9,1,199),{"横浜*","川崎*"}))</f>
        <v>0</v>
      </c>
      <c r="S263" s="789">
        <f ca="1">SUM(SUMIFS(OFFSET(貼付け_2027実績,$A263,11,1,199),OFFSET(貼付け_2027実績,4,9,1,199),{"横浜*","川崎*"}))</f>
        <v>0</v>
      </c>
      <c r="T263" s="789">
        <f t="shared" ca="1" si="477"/>
        <v>0</v>
      </c>
      <c r="U263" s="789">
        <f t="shared" ca="1" si="477"/>
        <v>0</v>
      </c>
      <c r="V263" s="789">
        <f t="shared" ca="1" si="477"/>
        <v>0</v>
      </c>
      <c r="W263" s="789">
        <f t="shared" ca="1" si="477"/>
        <v>0</v>
      </c>
      <c r="X263" s="789">
        <f t="shared" ca="1" si="478"/>
        <v>0</v>
      </c>
      <c r="Y263" s="789">
        <f t="shared" ca="1" si="479"/>
        <v>0</v>
      </c>
      <c r="Z263" s="789">
        <f t="shared" ca="1" si="480"/>
        <v>0</v>
      </c>
      <c r="AA263" s="789">
        <f t="shared" ca="1" si="481"/>
        <v>0</v>
      </c>
      <c r="AB263" s="789" t="str">
        <f t="shared" ca="1" si="482"/>
        <v/>
      </c>
      <c r="AC263" s="789" t="str">
        <f t="shared" ca="1" si="483"/>
        <v/>
      </c>
      <c r="AD263" s="789" t="str">
        <f t="shared" ca="1" si="484"/>
        <v/>
      </c>
      <c r="AE263" s="789" t="str">
        <f t="shared" ca="1" si="485"/>
        <v/>
      </c>
      <c r="AF263" s="789" t="str">
        <f t="shared" ca="1" si="486"/>
        <v/>
      </c>
      <c r="AG263" s="789" t="str">
        <f t="shared" ca="1" si="487"/>
        <v/>
      </c>
      <c r="AH263" s="789" t="str">
        <f t="shared" ca="1" si="488"/>
        <v/>
      </c>
      <c r="AI263" s="789" t="str">
        <f t="shared" ca="1" si="489"/>
        <v/>
      </c>
      <c r="AJ263" s="789" t="str">
        <f t="shared" ca="1" si="490"/>
        <v/>
      </c>
      <c r="AK263" s="789" t="str">
        <f t="shared" ca="1" si="491"/>
        <v/>
      </c>
      <c r="AL263" s="789" t="str">
        <f t="shared" ca="1" si="492"/>
        <v/>
      </c>
      <c r="AM263" s="789" t="str">
        <f t="shared" ca="1" si="493"/>
        <v/>
      </c>
      <c r="AN263" s="789" t="str">
        <f t="shared" ca="1" si="494"/>
        <v/>
      </c>
      <c r="AO263" s="789" t="str">
        <f t="shared" ca="1" si="495"/>
        <v/>
      </c>
      <c r="AP263" s="789" t="str">
        <f t="shared" ca="1" si="496"/>
        <v/>
      </c>
      <c r="AQ263" s="789" t="str">
        <f t="shared" ca="1" si="497"/>
        <v/>
      </c>
      <c r="AR263" s="789" t="str">
        <f t="shared" ca="1" si="498"/>
        <v/>
      </c>
      <c r="AS263" s="789" t="str">
        <f t="shared" ca="1" si="499"/>
        <v/>
      </c>
      <c r="AT263" s="789" t="str">
        <f t="shared" ca="1" si="500"/>
        <v/>
      </c>
      <c r="AU263" s="789" t="str">
        <f t="shared" ca="1" si="501"/>
        <v/>
      </c>
      <c r="AV263" s="789" t="str">
        <f t="shared" ca="1" si="502"/>
        <v/>
      </c>
      <c r="AW263" s="789" t="str">
        <f t="shared" ca="1" si="503"/>
        <v/>
      </c>
      <c r="AX263" s="789" t="str">
        <f t="shared" ca="1" si="504"/>
        <v/>
      </c>
      <c r="AY263" s="789" t="str">
        <f t="shared" ca="1" si="505"/>
        <v/>
      </c>
      <c r="AZ263" s="789" t="str">
        <f t="shared" ca="1" si="506"/>
        <v/>
      </c>
      <c r="BA263" s="789" t="str">
        <f t="shared" ca="1" si="507"/>
        <v/>
      </c>
      <c r="BB263" s="789" t="str">
        <f t="shared" ca="1" si="508"/>
        <v/>
      </c>
      <c r="BC263" s="789" t="str">
        <f t="shared" ca="1" si="509"/>
        <v/>
      </c>
      <c r="BD263" s="789" t="str">
        <f t="shared" ca="1" si="510"/>
        <v/>
      </c>
      <c r="BE263" s="789" t="str">
        <f t="shared" ca="1" si="511"/>
        <v/>
      </c>
      <c r="BF263" s="789" t="str">
        <f t="shared" ca="1" si="512"/>
        <v/>
      </c>
      <c r="BG263" s="789" t="str">
        <f t="shared" ca="1" si="513"/>
        <v/>
      </c>
      <c r="BH263" s="789" t="str">
        <f t="shared" ca="1" si="514"/>
        <v/>
      </c>
      <c r="BI263" s="789" t="str">
        <f t="shared" ca="1" si="515"/>
        <v/>
      </c>
      <c r="BJ263" s="789" t="str">
        <f t="shared" ca="1" si="516"/>
        <v/>
      </c>
      <c r="BK263" s="789" t="str">
        <f t="shared" ca="1" si="517"/>
        <v/>
      </c>
      <c r="BL263" s="789" t="str">
        <f t="shared" ca="1" si="518"/>
        <v/>
      </c>
      <c r="BM263" s="789" t="str">
        <f t="shared" ca="1" si="519"/>
        <v/>
      </c>
      <c r="BN263" s="789" t="str">
        <f t="shared" ca="1" si="520"/>
        <v/>
      </c>
      <c r="BO263" s="789" t="str">
        <f t="shared" ca="1" si="521"/>
        <v/>
      </c>
    </row>
    <row r="264" spans="1:67" ht="20.100000000000001" customHeight="1">
      <c r="A264" s="784">
        <v>14</v>
      </c>
      <c r="B264" s="1595"/>
      <c r="C264" s="1596"/>
      <c r="D264" s="785" t="s">
        <v>354</v>
      </c>
      <c r="E264" s="785"/>
      <c r="F264" s="786"/>
      <c r="G264" s="787" t="s">
        <v>453</v>
      </c>
      <c r="H264" s="788">
        <f t="shared" ca="1" si="475"/>
        <v>38</v>
      </c>
      <c r="I264" s="788">
        <f t="shared" ca="1" si="475"/>
        <v>38</v>
      </c>
      <c r="J264" s="788">
        <f t="shared" ca="1" si="475"/>
        <v>38</v>
      </c>
      <c r="K264" s="788">
        <f t="shared" ca="1" si="475"/>
        <v>38</v>
      </c>
      <c r="L264" s="789">
        <f t="shared" ca="1" si="476"/>
        <v>0</v>
      </c>
      <c r="M264" s="789">
        <f t="shared" ca="1" si="476"/>
        <v>0</v>
      </c>
      <c r="N264" s="789">
        <f t="shared" ca="1" si="476"/>
        <v>0</v>
      </c>
      <c r="O264" s="789">
        <f t="shared" ca="1" si="476"/>
        <v>0</v>
      </c>
      <c r="P264" s="789">
        <f ca="1">SUM(SUMIFS(OFFSET(貼付け_2024実績,$A264,11,1,199),OFFSET(貼付け_2024実績,4,9,1,199),{"横浜*","川崎*"}))</f>
        <v>0</v>
      </c>
      <c r="Q264" s="789">
        <f ca="1">SUM(SUMIFS(OFFSET(貼付け_2025実績,$A264,11,1,199),OFFSET(貼付け_2025実績,4,9,1,199),{"横浜*","川崎*"}))</f>
        <v>0</v>
      </c>
      <c r="R264" s="789">
        <f ca="1">SUM(SUMIFS(OFFSET(貼付け_2026実績,$A264,11,1,199),OFFSET(貼付け_2026実績,4,9,1,199),{"横浜*","川崎*"}))</f>
        <v>0</v>
      </c>
      <c r="S264" s="789">
        <f ca="1">SUM(SUMIFS(OFFSET(貼付け_2027実績,$A264,11,1,199),OFFSET(貼付け_2027実績,4,9,1,199),{"横浜*","川崎*"}))</f>
        <v>0</v>
      </c>
      <c r="T264" s="789">
        <f t="shared" ca="1" si="477"/>
        <v>0</v>
      </c>
      <c r="U264" s="789">
        <f t="shared" ca="1" si="477"/>
        <v>0</v>
      </c>
      <c r="V264" s="789">
        <f t="shared" ca="1" si="477"/>
        <v>0</v>
      </c>
      <c r="W264" s="789">
        <f t="shared" ca="1" si="477"/>
        <v>0</v>
      </c>
      <c r="X264" s="789">
        <f t="shared" ca="1" si="478"/>
        <v>0</v>
      </c>
      <c r="Y264" s="789">
        <f t="shared" ca="1" si="479"/>
        <v>0</v>
      </c>
      <c r="Z264" s="789">
        <f t="shared" ca="1" si="480"/>
        <v>0</v>
      </c>
      <c r="AA264" s="789">
        <f t="shared" ca="1" si="481"/>
        <v>0</v>
      </c>
      <c r="AB264" s="789" t="str">
        <f t="shared" ca="1" si="482"/>
        <v/>
      </c>
      <c r="AC264" s="789" t="str">
        <f t="shared" ca="1" si="483"/>
        <v/>
      </c>
      <c r="AD264" s="789" t="str">
        <f t="shared" ca="1" si="484"/>
        <v/>
      </c>
      <c r="AE264" s="789" t="str">
        <f t="shared" ca="1" si="485"/>
        <v/>
      </c>
      <c r="AF264" s="789" t="str">
        <f t="shared" ca="1" si="486"/>
        <v/>
      </c>
      <c r="AG264" s="789" t="str">
        <f t="shared" ca="1" si="487"/>
        <v/>
      </c>
      <c r="AH264" s="789" t="str">
        <f t="shared" ca="1" si="488"/>
        <v/>
      </c>
      <c r="AI264" s="789" t="str">
        <f t="shared" ca="1" si="489"/>
        <v/>
      </c>
      <c r="AJ264" s="789" t="str">
        <f t="shared" ca="1" si="490"/>
        <v/>
      </c>
      <c r="AK264" s="789" t="str">
        <f t="shared" ca="1" si="491"/>
        <v/>
      </c>
      <c r="AL264" s="789" t="str">
        <f t="shared" ca="1" si="492"/>
        <v/>
      </c>
      <c r="AM264" s="789" t="str">
        <f t="shared" ca="1" si="493"/>
        <v/>
      </c>
      <c r="AN264" s="789" t="str">
        <f t="shared" ca="1" si="494"/>
        <v/>
      </c>
      <c r="AO264" s="789" t="str">
        <f t="shared" ca="1" si="495"/>
        <v/>
      </c>
      <c r="AP264" s="789" t="str">
        <f t="shared" ca="1" si="496"/>
        <v/>
      </c>
      <c r="AQ264" s="789" t="str">
        <f t="shared" ca="1" si="497"/>
        <v/>
      </c>
      <c r="AR264" s="789" t="str">
        <f t="shared" ca="1" si="498"/>
        <v/>
      </c>
      <c r="AS264" s="789" t="str">
        <f t="shared" ca="1" si="499"/>
        <v/>
      </c>
      <c r="AT264" s="789" t="str">
        <f t="shared" ca="1" si="500"/>
        <v/>
      </c>
      <c r="AU264" s="789" t="str">
        <f t="shared" ca="1" si="501"/>
        <v/>
      </c>
      <c r="AV264" s="789" t="str">
        <f t="shared" ca="1" si="502"/>
        <v/>
      </c>
      <c r="AW264" s="789" t="str">
        <f t="shared" ca="1" si="503"/>
        <v/>
      </c>
      <c r="AX264" s="789" t="str">
        <f t="shared" ca="1" si="504"/>
        <v/>
      </c>
      <c r="AY264" s="789" t="str">
        <f t="shared" ca="1" si="505"/>
        <v/>
      </c>
      <c r="AZ264" s="789" t="str">
        <f t="shared" ca="1" si="506"/>
        <v/>
      </c>
      <c r="BA264" s="789" t="str">
        <f t="shared" ca="1" si="507"/>
        <v/>
      </c>
      <c r="BB264" s="789" t="str">
        <f t="shared" ca="1" si="508"/>
        <v/>
      </c>
      <c r="BC264" s="789" t="str">
        <f t="shared" ca="1" si="509"/>
        <v/>
      </c>
      <c r="BD264" s="789" t="str">
        <f t="shared" ca="1" si="510"/>
        <v/>
      </c>
      <c r="BE264" s="789" t="str">
        <f t="shared" ca="1" si="511"/>
        <v/>
      </c>
      <c r="BF264" s="789" t="str">
        <f t="shared" ca="1" si="512"/>
        <v/>
      </c>
      <c r="BG264" s="789" t="str">
        <f t="shared" ca="1" si="513"/>
        <v/>
      </c>
      <c r="BH264" s="789" t="str">
        <f t="shared" ca="1" si="514"/>
        <v/>
      </c>
      <c r="BI264" s="789" t="str">
        <f t="shared" ca="1" si="515"/>
        <v/>
      </c>
      <c r="BJ264" s="789" t="str">
        <f t="shared" ca="1" si="516"/>
        <v/>
      </c>
      <c r="BK264" s="789" t="str">
        <f t="shared" ca="1" si="517"/>
        <v/>
      </c>
      <c r="BL264" s="789" t="str">
        <f t="shared" ca="1" si="518"/>
        <v/>
      </c>
      <c r="BM264" s="789" t="str">
        <f t="shared" ca="1" si="519"/>
        <v/>
      </c>
      <c r="BN264" s="789" t="str">
        <f t="shared" ca="1" si="520"/>
        <v/>
      </c>
      <c r="BO264" s="789" t="str">
        <f t="shared" ca="1" si="521"/>
        <v/>
      </c>
    </row>
    <row r="265" spans="1:67" ht="20.100000000000001" customHeight="1">
      <c r="A265" s="784">
        <v>15</v>
      </c>
      <c r="B265" s="1594"/>
      <c r="C265" s="1596"/>
      <c r="D265" s="785" t="s">
        <v>355</v>
      </c>
      <c r="E265" s="785"/>
      <c r="F265" s="786"/>
      <c r="G265" s="787" t="s">
        <v>453</v>
      </c>
      <c r="H265" s="788">
        <f t="shared" ca="1" si="475"/>
        <v>38.9</v>
      </c>
      <c r="I265" s="788">
        <f t="shared" ca="1" si="475"/>
        <v>38.9</v>
      </c>
      <c r="J265" s="788">
        <f t="shared" ca="1" si="475"/>
        <v>38.9</v>
      </c>
      <c r="K265" s="788">
        <f t="shared" ca="1" si="475"/>
        <v>38.9</v>
      </c>
      <c r="L265" s="789">
        <f t="shared" ca="1" si="476"/>
        <v>0</v>
      </c>
      <c r="M265" s="789">
        <f t="shared" ca="1" si="476"/>
        <v>0</v>
      </c>
      <c r="N265" s="789">
        <f t="shared" ca="1" si="476"/>
        <v>0</v>
      </c>
      <c r="O265" s="789">
        <f t="shared" ca="1" si="476"/>
        <v>0</v>
      </c>
      <c r="P265" s="789">
        <f ca="1">SUM(SUMIFS(OFFSET(貼付け_2024実績,$A265,11,1,199),OFFSET(貼付け_2024実績,4,9,1,199),{"横浜*","川崎*"}))</f>
        <v>0</v>
      </c>
      <c r="Q265" s="789">
        <f ca="1">SUM(SUMIFS(OFFSET(貼付け_2025実績,$A265,11,1,199),OFFSET(貼付け_2025実績,4,9,1,199),{"横浜*","川崎*"}))</f>
        <v>0</v>
      </c>
      <c r="R265" s="789">
        <f ca="1">SUM(SUMIFS(OFFSET(貼付け_2026実績,$A265,11,1,199),OFFSET(貼付け_2026実績,4,9,1,199),{"横浜*","川崎*"}))</f>
        <v>0</v>
      </c>
      <c r="S265" s="789">
        <f ca="1">SUM(SUMIFS(OFFSET(貼付け_2027実績,$A265,11,1,199),OFFSET(貼付け_2027実績,4,9,1,199),{"横浜*","川崎*"}))</f>
        <v>0</v>
      </c>
      <c r="T265" s="789">
        <f t="shared" ca="1" si="477"/>
        <v>0</v>
      </c>
      <c r="U265" s="789">
        <f t="shared" ca="1" si="477"/>
        <v>0</v>
      </c>
      <c r="V265" s="789">
        <f t="shared" ca="1" si="477"/>
        <v>0</v>
      </c>
      <c r="W265" s="789">
        <f t="shared" ca="1" si="477"/>
        <v>0</v>
      </c>
      <c r="X265" s="789">
        <f t="shared" ca="1" si="478"/>
        <v>0</v>
      </c>
      <c r="Y265" s="789">
        <f t="shared" ca="1" si="479"/>
        <v>0</v>
      </c>
      <c r="Z265" s="789">
        <f t="shared" ca="1" si="480"/>
        <v>0</v>
      </c>
      <c r="AA265" s="789">
        <f t="shared" ca="1" si="481"/>
        <v>0</v>
      </c>
      <c r="AB265" s="789" t="str">
        <f t="shared" ca="1" si="482"/>
        <v/>
      </c>
      <c r="AC265" s="789" t="str">
        <f t="shared" ca="1" si="483"/>
        <v/>
      </c>
      <c r="AD265" s="789" t="str">
        <f t="shared" ca="1" si="484"/>
        <v/>
      </c>
      <c r="AE265" s="789" t="str">
        <f t="shared" ca="1" si="485"/>
        <v/>
      </c>
      <c r="AF265" s="789" t="str">
        <f t="shared" ca="1" si="486"/>
        <v/>
      </c>
      <c r="AG265" s="789" t="str">
        <f t="shared" ca="1" si="487"/>
        <v/>
      </c>
      <c r="AH265" s="789" t="str">
        <f t="shared" ca="1" si="488"/>
        <v/>
      </c>
      <c r="AI265" s="789" t="str">
        <f t="shared" ca="1" si="489"/>
        <v/>
      </c>
      <c r="AJ265" s="789" t="str">
        <f t="shared" ca="1" si="490"/>
        <v/>
      </c>
      <c r="AK265" s="789" t="str">
        <f t="shared" ca="1" si="491"/>
        <v/>
      </c>
      <c r="AL265" s="789" t="str">
        <f t="shared" ca="1" si="492"/>
        <v/>
      </c>
      <c r="AM265" s="789" t="str">
        <f t="shared" ca="1" si="493"/>
        <v/>
      </c>
      <c r="AN265" s="789" t="str">
        <f t="shared" ca="1" si="494"/>
        <v/>
      </c>
      <c r="AO265" s="789" t="str">
        <f t="shared" ca="1" si="495"/>
        <v/>
      </c>
      <c r="AP265" s="789" t="str">
        <f t="shared" ca="1" si="496"/>
        <v/>
      </c>
      <c r="AQ265" s="789" t="str">
        <f t="shared" ca="1" si="497"/>
        <v/>
      </c>
      <c r="AR265" s="789" t="str">
        <f t="shared" ca="1" si="498"/>
        <v/>
      </c>
      <c r="AS265" s="789" t="str">
        <f t="shared" ca="1" si="499"/>
        <v/>
      </c>
      <c r="AT265" s="789" t="str">
        <f t="shared" ca="1" si="500"/>
        <v/>
      </c>
      <c r="AU265" s="789" t="str">
        <f t="shared" ca="1" si="501"/>
        <v/>
      </c>
      <c r="AV265" s="789" t="str">
        <f t="shared" ca="1" si="502"/>
        <v/>
      </c>
      <c r="AW265" s="789" t="str">
        <f t="shared" ca="1" si="503"/>
        <v/>
      </c>
      <c r="AX265" s="789" t="str">
        <f t="shared" ca="1" si="504"/>
        <v/>
      </c>
      <c r="AY265" s="789" t="str">
        <f t="shared" ca="1" si="505"/>
        <v/>
      </c>
      <c r="AZ265" s="789" t="str">
        <f t="shared" ca="1" si="506"/>
        <v/>
      </c>
      <c r="BA265" s="789" t="str">
        <f t="shared" ca="1" si="507"/>
        <v/>
      </c>
      <c r="BB265" s="789" t="str">
        <f t="shared" ca="1" si="508"/>
        <v/>
      </c>
      <c r="BC265" s="789" t="str">
        <f t="shared" ca="1" si="509"/>
        <v/>
      </c>
      <c r="BD265" s="789" t="str">
        <f t="shared" ca="1" si="510"/>
        <v/>
      </c>
      <c r="BE265" s="789" t="str">
        <f t="shared" ca="1" si="511"/>
        <v/>
      </c>
      <c r="BF265" s="789" t="str">
        <f t="shared" ca="1" si="512"/>
        <v/>
      </c>
      <c r="BG265" s="789" t="str">
        <f t="shared" ca="1" si="513"/>
        <v/>
      </c>
      <c r="BH265" s="789" t="str">
        <f t="shared" ca="1" si="514"/>
        <v/>
      </c>
      <c r="BI265" s="789" t="str">
        <f t="shared" ca="1" si="515"/>
        <v/>
      </c>
      <c r="BJ265" s="789" t="str">
        <f t="shared" ca="1" si="516"/>
        <v/>
      </c>
      <c r="BK265" s="789" t="str">
        <f t="shared" ca="1" si="517"/>
        <v/>
      </c>
      <c r="BL265" s="789" t="str">
        <f t="shared" ca="1" si="518"/>
        <v/>
      </c>
      <c r="BM265" s="789" t="str">
        <f t="shared" ca="1" si="519"/>
        <v/>
      </c>
      <c r="BN265" s="789" t="str">
        <f t="shared" ca="1" si="520"/>
        <v/>
      </c>
      <c r="BO265" s="789" t="str">
        <f t="shared" ca="1" si="521"/>
        <v/>
      </c>
    </row>
    <row r="266" spans="1:67" ht="20.100000000000001" customHeight="1">
      <c r="A266" s="784">
        <v>16</v>
      </c>
      <c r="B266" s="1594"/>
      <c r="C266" s="1596"/>
      <c r="D266" s="785" t="s">
        <v>356</v>
      </c>
      <c r="E266" s="779"/>
      <c r="F266" s="786"/>
      <c r="G266" s="787" t="s">
        <v>453</v>
      </c>
      <c r="H266" s="788">
        <f t="shared" ca="1" si="475"/>
        <v>41.8</v>
      </c>
      <c r="I266" s="788">
        <f t="shared" ca="1" si="475"/>
        <v>41.8</v>
      </c>
      <c r="J266" s="788">
        <f t="shared" ca="1" si="475"/>
        <v>41.8</v>
      </c>
      <c r="K266" s="788">
        <f t="shared" ca="1" si="475"/>
        <v>41.8</v>
      </c>
      <c r="L266" s="789">
        <f t="shared" ca="1" si="476"/>
        <v>0</v>
      </c>
      <c r="M266" s="789">
        <f t="shared" ca="1" si="476"/>
        <v>0</v>
      </c>
      <c r="N266" s="789">
        <f t="shared" ca="1" si="476"/>
        <v>0</v>
      </c>
      <c r="O266" s="789">
        <f t="shared" ca="1" si="476"/>
        <v>0</v>
      </c>
      <c r="P266" s="789">
        <f ca="1">SUM(SUMIFS(OFFSET(貼付け_2024実績,$A266,11,1,199),OFFSET(貼付け_2024実績,4,9,1,199),{"横浜*","川崎*"}))</f>
        <v>0</v>
      </c>
      <c r="Q266" s="789">
        <f ca="1">SUM(SUMIFS(OFFSET(貼付け_2025実績,$A266,11,1,199),OFFSET(貼付け_2025実績,4,9,1,199),{"横浜*","川崎*"}))</f>
        <v>0</v>
      </c>
      <c r="R266" s="789">
        <f ca="1">SUM(SUMIFS(OFFSET(貼付け_2026実績,$A266,11,1,199),OFFSET(貼付け_2026実績,4,9,1,199),{"横浜*","川崎*"}))</f>
        <v>0</v>
      </c>
      <c r="S266" s="789">
        <f ca="1">SUM(SUMIFS(OFFSET(貼付け_2027実績,$A266,11,1,199),OFFSET(貼付け_2027実績,4,9,1,199),{"横浜*","川崎*"}))</f>
        <v>0</v>
      </c>
      <c r="T266" s="789">
        <f t="shared" ca="1" si="477"/>
        <v>0</v>
      </c>
      <c r="U266" s="789">
        <f t="shared" ca="1" si="477"/>
        <v>0</v>
      </c>
      <c r="V266" s="789">
        <f t="shared" ca="1" si="477"/>
        <v>0</v>
      </c>
      <c r="W266" s="789">
        <f t="shared" ca="1" si="477"/>
        <v>0</v>
      </c>
      <c r="X266" s="789">
        <f t="shared" ca="1" si="478"/>
        <v>0</v>
      </c>
      <c r="Y266" s="789">
        <f t="shared" ca="1" si="479"/>
        <v>0</v>
      </c>
      <c r="Z266" s="789">
        <f t="shared" ca="1" si="480"/>
        <v>0</v>
      </c>
      <c r="AA266" s="789">
        <f t="shared" ca="1" si="481"/>
        <v>0</v>
      </c>
      <c r="AB266" s="789" t="str">
        <f t="shared" ca="1" si="482"/>
        <v/>
      </c>
      <c r="AC266" s="789" t="str">
        <f t="shared" ca="1" si="483"/>
        <v/>
      </c>
      <c r="AD266" s="789" t="str">
        <f t="shared" ca="1" si="484"/>
        <v/>
      </c>
      <c r="AE266" s="789" t="str">
        <f t="shared" ca="1" si="485"/>
        <v/>
      </c>
      <c r="AF266" s="789" t="str">
        <f t="shared" ca="1" si="486"/>
        <v/>
      </c>
      <c r="AG266" s="789" t="str">
        <f t="shared" ca="1" si="487"/>
        <v/>
      </c>
      <c r="AH266" s="789" t="str">
        <f t="shared" ca="1" si="488"/>
        <v/>
      </c>
      <c r="AI266" s="789" t="str">
        <f t="shared" ca="1" si="489"/>
        <v/>
      </c>
      <c r="AJ266" s="789" t="str">
        <f t="shared" ca="1" si="490"/>
        <v/>
      </c>
      <c r="AK266" s="789" t="str">
        <f t="shared" ca="1" si="491"/>
        <v/>
      </c>
      <c r="AL266" s="789" t="str">
        <f t="shared" ca="1" si="492"/>
        <v/>
      </c>
      <c r="AM266" s="789" t="str">
        <f t="shared" ca="1" si="493"/>
        <v/>
      </c>
      <c r="AN266" s="789" t="str">
        <f t="shared" ca="1" si="494"/>
        <v/>
      </c>
      <c r="AO266" s="789" t="str">
        <f t="shared" ca="1" si="495"/>
        <v/>
      </c>
      <c r="AP266" s="789" t="str">
        <f t="shared" ca="1" si="496"/>
        <v/>
      </c>
      <c r="AQ266" s="789" t="str">
        <f t="shared" ca="1" si="497"/>
        <v/>
      </c>
      <c r="AR266" s="789" t="str">
        <f t="shared" ca="1" si="498"/>
        <v/>
      </c>
      <c r="AS266" s="789" t="str">
        <f t="shared" ca="1" si="499"/>
        <v/>
      </c>
      <c r="AT266" s="789" t="str">
        <f t="shared" ca="1" si="500"/>
        <v/>
      </c>
      <c r="AU266" s="789" t="str">
        <f t="shared" ca="1" si="501"/>
        <v/>
      </c>
      <c r="AV266" s="789" t="str">
        <f t="shared" ca="1" si="502"/>
        <v/>
      </c>
      <c r="AW266" s="789" t="str">
        <f t="shared" ca="1" si="503"/>
        <v/>
      </c>
      <c r="AX266" s="789" t="str">
        <f t="shared" ca="1" si="504"/>
        <v/>
      </c>
      <c r="AY266" s="789" t="str">
        <f t="shared" ca="1" si="505"/>
        <v/>
      </c>
      <c r="AZ266" s="789" t="str">
        <f t="shared" ca="1" si="506"/>
        <v/>
      </c>
      <c r="BA266" s="789" t="str">
        <f t="shared" ca="1" si="507"/>
        <v/>
      </c>
      <c r="BB266" s="789" t="str">
        <f t="shared" ca="1" si="508"/>
        <v/>
      </c>
      <c r="BC266" s="789" t="str">
        <f t="shared" ca="1" si="509"/>
        <v/>
      </c>
      <c r="BD266" s="789" t="str">
        <f t="shared" ca="1" si="510"/>
        <v/>
      </c>
      <c r="BE266" s="789" t="str">
        <f t="shared" ca="1" si="511"/>
        <v/>
      </c>
      <c r="BF266" s="789" t="str">
        <f t="shared" ca="1" si="512"/>
        <v/>
      </c>
      <c r="BG266" s="789" t="str">
        <f t="shared" ca="1" si="513"/>
        <v/>
      </c>
      <c r="BH266" s="789" t="str">
        <f t="shared" ca="1" si="514"/>
        <v/>
      </c>
      <c r="BI266" s="789" t="str">
        <f t="shared" ca="1" si="515"/>
        <v/>
      </c>
      <c r="BJ266" s="789" t="str">
        <f t="shared" ca="1" si="516"/>
        <v/>
      </c>
      <c r="BK266" s="789" t="str">
        <f t="shared" ca="1" si="517"/>
        <v/>
      </c>
      <c r="BL266" s="789" t="str">
        <f t="shared" ca="1" si="518"/>
        <v/>
      </c>
      <c r="BM266" s="789" t="str">
        <f t="shared" ca="1" si="519"/>
        <v/>
      </c>
      <c r="BN266" s="789" t="str">
        <f t="shared" ca="1" si="520"/>
        <v/>
      </c>
      <c r="BO266" s="789" t="str">
        <f t="shared" ca="1" si="521"/>
        <v/>
      </c>
    </row>
    <row r="267" spans="1:67" ht="20.100000000000001" customHeight="1">
      <c r="A267" s="784">
        <v>17</v>
      </c>
      <c r="B267" s="1594"/>
      <c r="C267" s="1596"/>
      <c r="D267" s="785" t="s">
        <v>358</v>
      </c>
      <c r="E267" s="785"/>
      <c r="F267" s="786"/>
      <c r="G267" s="787" t="s">
        <v>455</v>
      </c>
      <c r="H267" s="788">
        <f t="shared" ca="1" si="475"/>
        <v>40</v>
      </c>
      <c r="I267" s="788">
        <f t="shared" ca="1" si="475"/>
        <v>40</v>
      </c>
      <c r="J267" s="788">
        <f t="shared" ca="1" si="475"/>
        <v>40</v>
      </c>
      <c r="K267" s="788">
        <f t="shared" ca="1" si="475"/>
        <v>40</v>
      </c>
      <c r="L267" s="789">
        <f t="shared" ca="1" si="476"/>
        <v>0</v>
      </c>
      <c r="M267" s="789">
        <f t="shared" ca="1" si="476"/>
        <v>0</v>
      </c>
      <c r="N267" s="789">
        <f t="shared" ca="1" si="476"/>
        <v>0</v>
      </c>
      <c r="O267" s="789">
        <f t="shared" ca="1" si="476"/>
        <v>0</v>
      </c>
      <c r="P267" s="789">
        <f ca="1">SUM(SUMIFS(OFFSET(貼付け_2024実績,$A267,11,1,199),OFFSET(貼付け_2024実績,4,9,1,199),{"横浜*","川崎*"}))</f>
        <v>0</v>
      </c>
      <c r="Q267" s="789">
        <f ca="1">SUM(SUMIFS(OFFSET(貼付け_2025実績,$A267,11,1,199),OFFSET(貼付け_2025実績,4,9,1,199),{"横浜*","川崎*"}))</f>
        <v>0</v>
      </c>
      <c r="R267" s="789">
        <f ca="1">SUM(SUMIFS(OFFSET(貼付け_2026実績,$A267,11,1,199),OFFSET(貼付け_2026実績,4,9,1,199),{"横浜*","川崎*"}))</f>
        <v>0</v>
      </c>
      <c r="S267" s="789">
        <f ca="1">SUM(SUMIFS(OFFSET(貼付け_2027実績,$A267,11,1,199),OFFSET(貼付け_2027実績,4,9,1,199),{"横浜*","川崎*"}))</f>
        <v>0</v>
      </c>
      <c r="T267" s="789">
        <f t="shared" ca="1" si="477"/>
        <v>0</v>
      </c>
      <c r="U267" s="789">
        <f t="shared" ca="1" si="477"/>
        <v>0</v>
      </c>
      <c r="V267" s="789">
        <f t="shared" ca="1" si="477"/>
        <v>0</v>
      </c>
      <c r="W267" s="789">
        <f t="shared" ca="1" si="477"/>
        <v>0</v>
      </c>
      <c r="X267" s="789">
        <f t="shared" ca="1" si="478"/>
        <v>0</v>
      </c>
      <c r="Y267" s="789">
        <f t="shared" ca="1" si="479"/>
        <v>0</v>
      </c>
      <c r="Z267" s="789">
        <f t="shared" ca="1" si="480"/>
        <v>0</v>
      </c>
      <c r="AA267" s="789">
        <f t="shared" ca="1" si="481"/>
        <v>0</v>
      </c>
      <c r="AB267" s="789" t="str">
        <f t="shared" ca="1" si="482"/>
        <v/>
      </c>
      <c r="AC267" s="789" t="str">
        <f t="shared" ca="1" si="483"/>
        <v/>
      </c>
      <c r="AD267" s="789" t="str">
        <f t="shared" ca="1" si="484"/>
        <v/>
      </c>
      <c r="AE267" s="789" t="str">
        <f t="shared" ca="1" si="485"/>
        <v/>
      </c>
      <c r="AF267" s="789" t="str">
        <f t="shared" ca="1" si="486"/>
        <v/>
      </c>
      <c r="AG267" s="789" t="str">
        <f t="shared" ca="1" si="487"/>
        <v/>
      </c>
      <c r="AH267" s="789" t="str">
        <f t="shared" ca="1" si="488"/>
        <v/>
      </c>
      <c r="AI267" s="789" t="str">
        <f t="shared" ca="1" si="489"/>
        <v/>
      </c>
      <c r="AJ267" s="789" t="str">
        <f t="shared" ca="1" si="490"/>
        <v/>
      </c>
      <c r="AK267" s="789" t="str">
        <f t="shared" ca="1" si="491"/>
        <v/>
      </c>
      <c r="AL267" s="789" t="str">
        <f t="shared" ca="1" si="492"/>
        <v/>
      </c>
      <c r="AM267" s="789" t="str">
        <f t="shared" ca="1" si="493"/>
        <v/>
      </c>
      <c r="AN267" s="789" t="str">
        <f t="shared" ca="1" si="494"/>
        <v/>
      </c>
      <c r="AO267" s="789" t="str">
        <f t="shared" ca="1" si="495"/>
        <v/>
      </c>
      <c r="AP267" s="789" t="str">
        <f t="shared" ca="1" si="496"/>
        <v/>
      </c>
      <c r="AQ267" s="789" t="str">
        <f t="shared" ca="1" si="497"/>
        <v/>
      </c>
      <c r="AR267" s="789" t="str">
        <f t="shared" ca="1" si="498"/>
        <v/>
      </c>
      <c r="AS267" s="789" t="str">
        <f t="shared" ca="1" si="499"/>
        <v/>
      </c>
      <c r="AT267" s="789" t="str">
        <f t="shared" ca="1" si="500"/>
        <v/>
      </c>
      <c r="AU267" s="789" t="str">
        <f t="shared" ca="1" si="501"/>
        <v/>
      </c>
      <c r="AV267" s="789" t="str">
        <f t="shared" ca="1" si="502"/>
        <v/>
      </c>
      <c r="AW267" s="789" t="str">
        <f t="shared" ca="1" si="503"/>
        <v/>
      </c>
      <c r="AX267" s="789" t="str">
        <f t="shared" ca="1" si="504"/>
        <v/>
      </c>
      <c r="AY267" s="789" t="str">
        <f t="shared" ca="1" si="505"/>
        <v/>
      </c>
      <c r="AZ267" s="789" t="str">
        <f t="shared" ca="1" si="506"/>
        <v/>
      </c>
      <c r="BA267" s="789" t="str">
        <f t="shared" ca="1" si="507"/>
        <v/>
      </c>
      <c r="BB267" s="789" t="str">
        <f t="shared" ca="1" si="508"/>
        <v/>
      </c>
      <c r="BC267" s="789" t="str">
        <f t="shared" ca="1" si="509"/>
        <v/>
      </c>
      <c r="BD267" s="789" t="str">
        <f t="shared" ca="1" si="510"/>
        <v/>
      </c>
      <c r="BE267" s="789" t="str">
        <f t="shared" ca="1" si="511"/>
        <v/>
      </c>
      <c r="BF267" s="789" t="str">
        <f t="shared" ca="1" si="512"/>
        <v/>
      </c>
      <c r="BG267" s="789" t="str">
        <f t="shared" ca="1" si="513"/>
        <v/>
      </c>
      <c r="BH267" s="789" t="str">
        <f t="shared" ca="1" si="514"/>
        <v/>
      </c>
      <c r="BI267" s="789" t="str">
        <f t="shared" ca="1" si="515"/>
        <v/>
      </c>
      <c r="BJ267" s="789" t="str">
        <f t="shared" ca="1" si="516"/>
        <v/>
      </c>
      <c r="BK267" s="789" t="str">
        <f t="shared" ca="1" si="517"/>
        <v/>
      </c>
      <c r="BL267" s="789" t="str">
        <f t="shared" ca="1" si="518"/>
        <v/>
      </c>
      <c r="BM267" s="789" t="str">
        <f t="shared" ca="1" si="519"/>
        <v/>
      </c>
      <c r="BN267" s="789" t="str">
        <f t="shared" ca="1" si="520"/>
        <v/>
      </c>
      <c r="BO267" s="789" t="str">
        <f t="shared" ca="1" si="521"/>
        <v/>
      </c>
    </row>
    <row r="268" spans="1:67" ht="20.100000000000001" customHeight="1">
      <c r="A268" s="784">
        <v>18</v>
      </c>
      <c r="B268" s="1594"/>
      <c r="C268" s="1596"/>
      <c r="D268" s="785" t="s">
        <v>359</v>
      </c>
      <c r="E268" s="785"/>
      <c r="F268" s="786"/>
      <c r="G268" s="787" t="s">
        <v>455</v>
      </c>
      <c r="H268" s="788">
        <f t="shared" ca="1" si="475"/>
        <v>34.1</v>
      </c>
      <c r="I268" s="788">
        <f t="shared" ca="1" si="475"/>
        <v>34.1</v>
      </c>
      <c r="J268" s="788">
        <f t="shared" ca="1" si="475"/>
        <v>34.1</v>
      </c>
      <c r="K268" s="788">
        <f t="shared" ca="1" si="475"/>
        <v>34.1</v>
      </c>
      <c r="L268" s="789">
        <f t="shared" ca="1" si="476"/>
        <v>0</v>
      </c>
      <c r="M268" s="789">
        <f t="shared" ca="1" si="476"/>
        <v>0</v>
      </c>
      <c r="N268" s="789">
        <f t="shared" ca="1" si="476"/>
        <v>0</v>
      </c>
      <c r="O268" s="789">
        <f t="shared" ca="1" si="476"/>
        <v>0</v>
      </c>
      <c r="P268" s="789">
        <f ca="1">SUM(SUMIFS(OFFSET(貼付け_2024実績,$A268,11,1,199),OFFSET(貼付け_2024実績,4,9,1,199),{"横浜*","川崎*"}))</f>
        <v>0</v>
      </c>
      <c r="Q268" s="789">
        <f ca="1">SUM(SUMIFS(OFFSET(貼付け_2025実績,$A268,11,1,199),OFFSET(貼付け_2025実績,4,9,1,199),{"横浜*","川崎*"}))</f>
        <v>0</v>
      </c>
      <c r="R268" s="789">
        <f ca="1">SUM(SUMIFS(OFFSET(貼付け_2026実績,$A268,11,1,199),OFFSET(貼付け_2026実績,4,9,1,199),{"横浜*","川崎*"}))</f>
        <v>0</v>
      </c>
      <c r="S268" s="789">
        <f ca="1">SUM(SUMIFS(OFFSET(貼付け_2027実績,$A268,11,1,199),OFFSET(貼付け_2027実績,4,9,1,199),{"横浜*","川崎*"}))</f>
        <v>0</v>
      </c>
      <c r="T268" s="789">
        <f t="shared" ca="1" si="477"/>
        <v>0</v>
      </c>
      <c r="U268" s="789">
        <f t="shared" ca="1" si="477"/>
        <v>0</v>
      </c>
      <c r="V268" s="789">
        <f t="shared" ca="1" si="477"/>
        <v>0</v>
      </c>
      <c r="W268" s="789">
        <f t="shared" ca="1" si="477"/>
        <v>0</v>
      </c>
      <c r="X268" s="789">
        <f t="shared" ca="1" si="478"/>
        <v>0</v>
      </c>
      <c r="Y268" s="789">
        <f t="shared" ca="1" si="479"/>
        <v>0</v>
      </c>
      <c r="Z268" s="789">
        <f t="shared" ca="1" si="480"/>
        <v>0</v>
      </c>
      <c r="AA268" s="789">
        <f t="shared" ca="1" si="481"/>
        <v>0</v>
      </c>
      <c r="AB268" s="789" t="str">
        <f t="shared" ca="1" si="482"/>
        <v/>
      </c>
      <c r="AC268" s="789" t="str">
        <f t="shared" ca="1" si="483"/>
        <v/>
      </c>
      <c r="AD268" s="789" t="str">
        <f t="shared" ca="1" si="484"/>
        <v/>
      </c>
      <c r="AE268" s="789" t="str">
        <f t="shared" ca="1" si="485"/>
        <v/>
      </c>
      <c r="AF268" s="789" t="str">
        <f t="shared" ca="1" si="486"/>
        <v/>
      </c>
      <c r="AG268" s="789" t="str">
        <f t="shared" ca="1" si="487"/>
        <v/>
      </c>
      <c r="AH268" s="789" t="str">
        <f t="shared" ca="1" si="488"/>
        <v/>
      </c>
      <c r="AI268" s="789" t="str">
        <f t="shared" ca="1" si="489"/>
        <v/>
      </c>
      <c r="AJ268" s="789" t="str">
        <f t="shared" ca="1" si="490"/>
        <v/>
      </c>
      <c r="AK268" s="789" t="str">
        <f t="shared" ca="1" si="491"/>
        <v/>
      </c>
      <c r="AL268" s="789" t="str">
        <f t="shared" ca="1" si="492"/>
        <v/>
      </c>
      <c r="AM268" s="789" t="str">
        <f t="shared" ca="1" si="493"/>
        <v/>
      </c>
      <c r="AN268" s="789" t="str">
        <f t="shared" ca="1" si="494"/>
        <v/>
      </c>
      <c r="AO268" s="789" t="str">
        <f t="shared" ca="1" si="495"/>
        <v/>
      </c>
      <c r="AP268" s="789" t="str">
        <f t="shared" ca="1" si="496"/>
        <v/>
      </c>
      <c r="AQ268" s="789" t="str">
        <f t="shared" ca="1" si="497"/>
        <v/>
      </c>
      <c r="AR268" s="789" t="str">
        <f t="shared" ca="1" si="498"/>
        <v/>
      </c>
      <c r="AS268" s="789" t="str">
        <f t="shared" ca="1" si="499"/>
        <v/>
      </c>
      <c r="AT268" s="789" t="str">
        <f t="shared" ca="1" si="500"/>
        <v/>
      </c>
      <c r="AU268" s="789" t="str">
        <f t="shared" ca="1" si="501"/>
        <v/>
      </c>
      <c r="AV268" s="789" t="str">
        <f t="shared" ca="1" si="502"/>
        <v/>
      </c>
      <c r="AW268" s="789" t="str">
        <f t="shared" ca="1" si="503"/>
        <v/>
      </c>
      <c r="AX268" s="789" t="str">
        <f t="shared" ca="1" si="504"/>
        <v/>
      </c>
      <c r="AY268" s="789" t="str">
        <f t="shared" ca="1" si="505"/>
        <v/>
      </c>
      <c r="AZ268" s="789" t="str">
        <f t="shared" ca="1" si="506"/>
        <v/>
      </c>
      <c r="BA268" s="789" t="str">
        <f t="shared" ca="1" si="507"/>
        <v/>
      </c>
      <c r="BB268" s="789" t="str">
        <f t="shared" ca="1" si="508"/>
        <v/>
      </c>
      <c r="BC268" s="789" t="str">
        <f t="shared" ca="1" si="509"/>
        <v/>
      </c>
      <c r="BD268" s="789" t="str">
        <f t="shared" ca="1" si="510"/>
        <v/>
      </c>
      <c r="BE268" s="789" t="str">
        <f t="shared" ca="1" si="511"/>
        <v/>
      </c>
      <c r="BF268" s="789" t="str">
        <f t="shared" ca="1" si="512"/>
        <v/>
      </c>
      <c r="BG268" s="789" t="str">
        <f t="shared" ca="1" si="513"/>
        <v/>
      </c>
      <c r="BH268" s="789" t="str">
        <f t="shared" ca="1" si="514"/>
        <v/>
      </c>
      <c r="BI268" s="789" t="str">
        <f t="shared" ca="1" si="515"/>
        <v/>
      </c>
      <c r="BJ268" s="789" t="str">
        <f t="shared" ca="1" si="516"/>
        <v/>
      </c>
      <c r="BK268" s="789" t="str">
        <f t="shared" ca="1" si="517"/>
        <v/>
      </c>
      <c r="BL268" s="789" t="str">
        <f t="shared" ca="1" si="518"/>
        <v/>
      </c>
      <c r="BM268" s="789" t="str">
        <f t="shared" ca="1" si="519"/>
        <v/>
      </c>
      <c r="BN268" s="789" t="str">
        <f t="shared" ca="1" si="520"/>
        <v/>
      </c>
      <c r="BO268" s="789" t="str">
        <f t="shared" ca="1" si="521"/>
        <v/>
      </c>
    </row>
    <row r="269" spans="1:67" ht="20.100000000000001" customHeight="1">
      <c r="A269" s="784">
        <v>19</v>
      </c>
      <c r="B269" s="1595"/>
      <c r="C269" s="1596"/>
      <c r="D269" s="785" t="s">
        <v>360</v>
      </c>
      <c r="E269" s="785"/>
      <c r="F269" s="786"/>
      <c r="G269" s="787" t="s">
        <v>455</v>
      </c>
      <c r="H269" s="788">
        <f t="shared" ca="1" si="475"/>
        <v>50.1</v>
      </c>
      <c r="I269" s="788">
        <f t="shared" ca="1" si="475"/>
        <v>50.1</v>
      </c>
      <c r="J269" s="788">
        <f t="shared" ca="1" si="475"/>
        <v>50.1</v>
      </c>
      <c r="K269" s="788">
        <f t="shared" ca="1" si="475"/>
        <v>50.1</v>
      </c>
      <c r="L269" s="789">
        <f t="shared" ca="1" si="476"/>
        <v>0</v>
      </c>
      <c r="M269" s="789">
        <f t="shared" ca="1" si="476"/>
        <v>0</v>
      </c>
      <c r="N269" s="789">
        <f t="shared" ca="1" si="476"/>
        <v>0</v>
      </c>
      <c r="O269" s="789">
        <f t="shared" ca="1" si="476"/>
        <v>0</v>
      </c>
      <c r="P269" s="789">
        <f ca="1">SUM(SUMIFS(OFFSET(貼付け_2024実績,$A269,11,1,199),OFFSET(貼付け_2024実績,4,9,1,199),{"横浜*","川崎*"}))</f>
        <v>0</v>
      </c>
      <c r="Q269" s="789">
        <f ca="1">SUM(SUMIFS(OFFSET(貼付け_2025実績,$A269,11,1,199),OFFSET(貼付け_2025実績,4,9,1,199),{"横浜*","川崎*"}))</f>
        <v>0</v>
      </c>
      <c r="R269" s="789">
        <f ca="1">SUM(SUMIFS(OFFSET(貼付け_2026実績,$A269,11,1,199),OFFSET(貼付け_2026実績,4,9,1,199),{"横浜*","川崎*"}))</f>
        <v>0</v>
      </c>
      <c r="S269" s="789">
        <f ca="1">SUM(SUMIFS(OFFSET(貼付け_2027実績,$A269,11,1,199),OFFSET(貼付け_2027実績,4,9,1,199),{"横浜*","川崎*"}))</f>
        <v>0</v>
      </c>
      <c r="T269" s="789">
        <f t="shared" ca="1" si="477"/>
        <v>0</v>
      </c>
      <c r="U269" s="789">
        <f t="shared" ca="1" si="477"/>
        <v>0</v>
      </c>
      <c r="V269" s="789">
        <f t="shared" ca="1" si="477"/>
        <v>0</v>
      </c>
      <c r="W269" s="789">
        <f t="shared" ca="1" si="477"/>
        <v>0</v>
      </c>
      <c r="X269" s="789">
        <f t="shared" ca="1" si="478"/>
        <v>0</v>
      </c>
      <c r="Y269" s="789">
        <f t="shared" ca="1" si="479"/>
        <v>0</v>
      </c>
      <c r="Z269" s="789">
        <f t="shared" ca="1" si="480"/>
        <v>0</v>
      </c>
      <c r="AA269" s="789">
        <f t="shared" ca="1" si="481"/>
        <v>0</v>
      </c>
      <c r="AB269" s="789" t="str">
        <f t="shared" ca="1" si="482"/>
        <v/>
      </c>
      <c r="AC269" s="789" t="str">
        <f t="shared" ca="1" si="483"/>
        <v/>
      </c>
      <c r="AD269" s="789" t="str">
        <f t="shared" ca="1" si="484"/>
        <v/>
      </c>
      <c r="AE269" s="789" t="str">
        <f t="shared" ca="1" si="485"/>
        <v/>
      </c>
      <c r="AF269" s="789" t="str">
        <f t="shared" ca="1" si="486"/>
        <v/>
      </c>
      <c r="AG269" s="789" t="str">
        <f t="shared" ca="1" si="487"/>
        <v/>
      </c>
      <c r="AH269" s="789" t="str">
        <f t="shared" ca="1" si="488"/>
        <v/>
      </c>
      <c r="AI269" s="789" t="str">
        <f t="shared" ca="1" si="489"/>
        <v/>
      </c>
      <c r="AJ269" s="789" t="str">
        <f t="shared" ca="1" si="490"/>
        <v/>
      </c>
      <c r="AK269" s="789" t="str">
        <f t="shared" ca="1" si="491"/>
        <v/>
      </c>
      <c r="AL269" s="789" t="str">
        <f t="shared" ca="1" si="492"/>
        <v/>
      </c>
      <c r="AM269" s="789" t="str">
        <f t="shared" ca="1" si="493"/>
        <v/>
      </c>
      <c r="AN269" s="789" t="str">
        <f t="shared" ca="1" si="494"/>
        <v/>
      </c>
      <c r="AO269" s="789" t="str">
        <f t="shared" ca="1" si="495"/>
        <v/>
      </c>
      <c r="AP269" s="789" t="str">
        <f t="shared" ca="1" si="496"/>
        <v/>
      </c>
      <c r="AQ269" s="789" t="str">
        <f t="shared" ca="1" si="497"/>
        <v/>
      </c>
      <c r="AR269" s="789" t="str">
        <f t="shared" ca="1" si="498"/>
        <v/>
      </c>
      <c r="AS269" s="789" t="str">
        <f t="shared" ca="1" si="499"/>
        <v/>
      </c>
      <c r="AT269" s="789" t="str">
        <f t="shared" ca="1" si="500"/>
        <v/>
      </c>
      <c r="AU269" s="789" t="str">
        <f t="shared" ca="1" si="501"/>
        <v/>
      </c>
      <c r="AV269" s="789" t="str">
        <f t="shared" ca="1" si="502"/>
        <v/>
      </c>
      <c r="AW269" s="789" t="str">
        <f t="shared" ca="1" si="503"/>
        <v/>
      </c>
      <c r="AX269" s="789" t="str">
        <f t="shared" ca="1" si="504"/>
        <v/>
      </c>
      <c r="AY269" s="789" t="str">
        <f t="shared" ca="1" si="505"/>
        <v/>
      </c>
      <c r="AZ269" s="789" t="str">
        <f t="shared" ca="1" si="506"/>
        <v/>
      </c>
      <c r="BA269" s="789" t="str">
        <f t="shared" ca="1" si="507"/>
        <v/>
      </c>
      <c r="BB269" s="789" t="str">
        <f t="shared" ca="1" si="508"/>
        <v/>
      </c>
      <c r="BC269" s="789" t="str">
        <f t="shared" ca="1" si="509"/>
        <v/>
      </c>
      <c r="BD269" s="789" t="str">
        <f t="shared" ca="1" si="510"/>
        <v/>
      </c>
      <c r="BE269" s="789" t="str">
        <f t="shared" ca="1" si="511"/>
        <v/>
      </c>
      <c r="BF269" s="789" t="str">
        <f t="shared" ca="1" si="512"/>
        <v/>
      </c>
      <c r="BG269" s="789" t="str">
        <f t="shared" ca="1" si="513"/>
        <v/>
      </c>
      <c r="BH269" s="789" t="str">
        <f t="shared" ca="1" si="514"/>
        <v/>
      </c>
      <c r="BI269" s="789" t="str">
        <f t="shared" ca="1" si="515"/>
        <v/>
      </c>
      <c r="BJ269" s="789" t="str">
        <f t="shared" ca="1" si="516"/>
        <v/>
      </c>
      <c r="BK269" s="789" t="str">
        <f t="shared" ca="1" si="517"/>
        <v/>
      </c>
      <c r="BL269" s="789" t="str">
        <f t="shared" ca="1" si="518"/>
        <v/>
      </c>
      <c r="BM269" s="789" t="str">
        <f t="shared" ca="1" si="519"/>
        <v/>
      </c>
      <c r="BN269" s="789" t="str">
        <f t="shared" ca="1" si="520"/>
        <v/>
      </c>
      <c r="BO269" s="789" t="str">
        <f t="shared" ca="1" si="521"/>
        <v/>
      </c>
    </row>
    <row r="270" spans="1:67" ht="20.100000000000001" customHeight="1">
      <c r="A270" s="784">
        <v>20</v>
      </c>
      <c r="B270" s="1594"/>
      <c r="C270" s="1596"/>
      <c r="D270" s="785" t="s">
        <v>361</v>
      </c>
      <c r="E270" s="785"/>
      <c r="F270" s="786"/>
      <c r="G270" s="787" t="s">
        <v>457</v>
      </c>
      <c r="H270" s="788">
        <f t="shared" ca="1" si="475"/>
        <v>46.1</v>
      </c>
      <c r="I270" s="788">
        <f t="shared" ca="1" si="475"/>
        <v>46.1</v>
      </c>
      <c r="J270" s="788">
        <f t="shared" ca="1" si="475"/>
        <v>46.1</v>
      </c>
      <c r="K270" s="788">
        <f t="shared" ca="1" si="475"/>
        <v>46.1</v>
      </c>
      <c r="L270" s="789">
        <f t="shared" ca="1" si="476"/>
        <v>0</v>
      </c>
      <c r="M270" s="789">
        <f t="shared" ca="1" si="476"/>
        <v>0</v>
      </c>
      <c r="N270" s="789">
        <f t="shared" ca="1" si="476"/>
        <v>0</v>
      </c>
      <c r="O270" s="789">
        <f t="shared" ca="1" si="476"/>
        <v>0</v>
      </c>
      <c r="P270" s="789">
        <f ca="1">SUM(SUMIFS(OFFSET(貼付け_2024実績,$A270,11,1,199),OFFSET(貼付け_2024実績,4,9,1,199),{"横浜*","川崎*"}))</f>
        <v>0</v>
      </c>
      <c r="Q270" s="789">
        <f ca="1">SUM(SUMIFS(OFFSET(貼付け_2025実績,$A270,11,1,199),OFFSET(貼付け_2025実績,4,9,1,199),{"横浜*","川崎*"}))</f>
        <v>0</v>
      </c>
      <c r="R270" s="789">
        <f ca="1">SUM(SUMIFS(OFFSET(貼付け_2026実績,$A270,11,1,199),OFFSET(貼付け_2026実績,4,9,1,199),{"横浜*","川崎*"}))</f>
        <v>0</v>
      </c>
      <c r="S270" s="789">
        <f ca="1">SUM(SUMIFS(OFFSET(貼付け_2027実績,$A270,11,1,199),OFFSET(貼付け_2027実績,4,9,1,199),{"横浜*","川崎*"}))</f>
        <v>0</v>
      </c>
      <c r="T270" s="789">
        <f t="shared" ca="1" si="477"/>
        <v>0</v>
      </c>
      <c r="U270" s="789">
        <f t="shared" ca="1" si="477"/>
        <v>0</v>
      </c>
      <c r="V270" s="789">
        <f t="shared" ca="1" si="477"/>
        <v>0</v>
      </c>
      <c r="W270" s="789">
        <f t="shared" ca="1" si="477"/>
        <v>0</v>
      </c>
      <c r="X270" s="789">
        <f t="shared" ca="1" si="478"/>
        <v>0</v>
      </c>
      <c r="Y270" s="789">
        <f t="shared" ca="1" si="479"/>
        <v>0</v>
      </c>
      <c r="Z270" s="789">
        <f t="shared" ca="1" si="480"/>
        <v>0</v>
      </c>
      <c r="AA270" s="789">
        <f t="shared" ca="1" si="481"/>
        <v>0</v>
      </c>
      <c r="AB270" s="789" t="str">
        <f t="shared" ca="1" si="482"/>
        <v/>
      </c>
      <c r="AC270" s="789" t="str">
        <f t="shared" ca="1" si="483"/>
        <v/>
      </c>
      <c r="AD270" s="789" t="str">
        <f t="shared" ca="1" si="484"/>
        <v/>
      </c>
      <c r="AE270" s="789" t="str">
        <f t="shared" ca="1" si="485"/>
        <v/>
      </c>
      <c r="AF270" s="789" t="str">
        <f t="shared" ca="1" si="486"/>
        <v/>
      </c>
      <c r="AG270" s="789" t="str">
        <f t="shared" ca="1" si="487"/>
        <v/>
      </c>
      <c r="AH270" s="789" t="str">
        <f t="shared" ca="1" si="488"/>
        <v/>
      </c>
      <c r="AI270" s="789" t="str">
        <f t="shared" ca="1" si="489"/>
        <v/>
      </c>
      <c r="AJ270" s="789" t="str">
        <f t="shared" ca="1" si="490"/>
        <v/>
      </c>
      <c r="AK270" s="789" t="str">
        <f t="shared" ca="1" si="491"/>
        <v/>
      </c>
      <c r="AL270" s="789" t="str">
        <f t="shared" ca="1" si="492"/>
        <v/>
      </c>
      <c r="AM270" s="789" t="str">
        <f t="shared" ca="1" si="493"/>
        <v/>
      </c>
      <c r="AN270" s="789" t="str">
        <f t="shared" ca="1" si="494"/>
        <v/>
      </c>
      <c r="AO270" s="789" t="str">
        <f t="shared" ca="1" si="495"/>
        <v/>
      </c>
      <c r="AP270" s="789" t="str">
        <f t="shared" ca="1" si="496"/>
        <v/>
      </c>
      <c r="AQ270" s="789" t="str">
        <f t="shared" ca="1" si="497"/>
        <v/>
      </c>
      <c r="AR270" s="789" t="str">
        <f t="shared" ca="1" si="498"/>
        <v/>
      </c>
      <c r="AS270" s="789" t="str">
        <f t="shared" ca="1" si="499"/>
        <v/>
      </c>
      <c r="AT270" s="789" t="str">
        <f t="shared" ca="1" si="500"/>
        <v/>
      </c>
      <c r="AU270" s="789" t="str">
        <f t="shared" ca="1" si="501"/>
        <v/>
      </c>
      <c r="AV270" s="789" t="str">
        <f t="shared" ca="1" si="502"/>
        <v/>
      </c>
      <c r="AW270" s="789" t="str">
        <f t="shared" ca="1" si="503"/>
        <v/>
      </c>
      <c r="AX270" s="789" t="str">
        <f t="shared" ca="1" si="504"/>
        <v/>
      </c>
      <c r="AY270" s="789" t="str">
        <f t="shared" ca="1" si="505"/>
        <v/>
      </c>
      <c r="AZ270" s="789" t="str">
        <f t="shared" ca="1" si="506"/>
        <v/>
      </c>
      <c r="BA270" s="789" t="str">
        <f t="shared" ca="1" si="507"/>
        <v/>
      </c>
      <c r="BB270" s="789" t="str">
        <f t="shared" ca="1" si="508"/>
        <v/>
      </c>
      <c r="BC270" s="789" t="str">
        <f t="shared" ca="1" si="509"/>
        <v/>
      </c>
      <c r="BD270" s="789" t="str">
        <f t="shared" ca="1" si="510"/>
        <v/>
      </c>
      <c r="BE270" s="789" t="str">
        <f t="shared" ca="1" si="511"/>
        <v/>
      </c>
      <c r="BF270" s="789" t="str">
        <f t="shared" ca="1" si="512"/>
        <v/>
      </c>
      <c r="BG270" s="789" t="str">
        <f t="shared" ca="1" si="513"/>
        <v/>
      </c>
      <c r="BH270" s="789" t="str">
        <f t="shared" ca="1" si="514"/>
        <v/>
      </c>
      <c r="BI270" s="789" t="str">
        <f t="shared" ca="1" si="515"/>
        <v/>
      </c>
      <c r="BJ270" s="789" t="str">
        <f t="shared" ca="1" si="516"/>
        <v/>
      </c>
      <c r="BK270" s="789" t="str">
        <f t="shared" ca="1" si="517"/>
        <v/>
      </c>
      <c r="BL270" s="789" t="str">
        <f t="shared" ca="1" si="518"/>
        <v/>
      </c>
      <c r="BM270" s="789" t="str">
        <f t="shared" ca="1" si="519"/>
        <v/>
      </c>
      <c r="BN270" s="789" t="str">
        <f t="shared" ca="1" si="520"/>
        <v/>
      </c>
      <c r="BO270" s="789" t="str">
        <f t="shared" ca="1" si="521"/>
        <v/>
      </c>
    </row>
    <row r="271" spans="1:67" ht="20.100000000000001" customHeight="1">
      <c r="A271" s="784">
        <v>21</v>
      </c>
      <c r="B271" s="1595"/>
      <c r="C271" s="1596"/>
      <c r="D271" s="785" t="s">
        <v>362</v>
      </c>
      <c r="E271" s="779"/>
      <c r="F271" s="786"/>
      <c r="G271" s="787" t="s">
        <v>455</v>
      </c>
      <c r="H271" s="788">
        <f t="shared" ca="1" si="475"/>
        <v>54.7</v>
      </c>
      <c r="I271" s="788">
        <f t="shared" ca="1" si="475"/>
        <v>54.7</v>
      </c>
      <c r="J271" s="788">
        <f t="shared" ca="1" si="475"/>
        <v>54.7</v>
      </c>
      <c r="K271" s="788">
        <f t="shared" ca="1" si="475"/>
        <v>54.7</v>
      </c>
      <c r="L271" s="789">
        <f t="shared" ca="1" si="476"/>
        <v>0</v>
      </c>
      <c r="M271" s="789">
        <f t="shared" ca="1" si="476"/>
        <v>0</v>
      </c>
      <c r="N271" s="789">
        <f t="shared" ca="1" si="476"/>
        <v>0</v>
      </c>
      <c r="O271" s="789">
        <f t="shared" ca="1" si="476"/>
        <v>0</v>
      </c>
      <c r="P271" s="789">
        <f ca="1">SUM(SUMIFS(OFFSET(貼付け_2024実績,$A271,11,1,199),OFFSET(貼付け_2024実績,4,9,1,199),{"横浜*","川崎*"}))</f>
        <v>0</v>
      </c>
      <c r="Q271" s="789">
        <f ca="1">SUM(SUMIFS(OFFSET(貼付け_2025実績,$A271,11,1,199),OFFSET(貼付け_2025実績,4,9,1,199),{"横浜*","川崎*"}))</f>
        <v>0</v>
      </c>
      <c r="R271" s="789">
        <f ca="1">SUM(SUMIFS(OFFSET(貼付け_2026実績,$A271,11,1,199),OFFSET(貼付け_2026実績,4,9,1,199),{"横浜*","川崎*"}))</f>
        <v>0</v>
      </c>
      <c r="S271" s="789">
        <f ca="1">SUM(SUMIFS(OFFSET(貼付け_2027実績,$A271,11,1,199),OFFSET(貼付け_2027実績,4,9,1,199),{"横浜*","川崎*"}))</f>
        <v>0</v>
      </c>
      <c r="T271" s="789">
        <f t="shared" ca="1" si="477"/>
        <v>0</v>
      </c>
      <c r="U271" s="789">
        <f t="shared" ca="1" si="477"/>
        <v>0</v>
      </c>
      <c r="V271" s="789">
        <f t="shared" ca="1" si="477"/>
        <v>0</v>
      </c>
      <c r="W271" s="789">
        <f t="shared" ca="1" si="477"/>
        <v>0</v>
      </c>
      <c r="X271" s="789">
        <f t="shared" ca="1" si="478"/>
        <v>0</v>
      </c>
      <c r="Y271" s="789">
        <f t="shared" ca="1" si="479"/>
        <v>0</v>
      </c>
      <c r="Z271" s="789">
        <f t="shared" ca="1" si="480"/>
        <v>0</v>
      </c>
      <c r="AA271" s="789">
        <f t="shared" ca="1" si="481"/>
        <v>0</v>
      </c>
      <c r="AB271" s="789" t="str">
        <f t="shared" ca="1" si="482"/>
        <v/>
      </c>
      <c r="AC271" s="789" t="str">
        <f t="shared" ca="1" si="483"/>
        <v/>
      </c>
      <c r="AD271" s="789" t="str">
        <f t="shared" ca="1" si="484"/>
        <v/>
      </c>
      <c r="AE271" s="789" t="str">
        <f t="shared" ca="1" si="485"/>
        <v/>
      </c>
      <c r="AF271" s="789" t="str">
        <f t="shared" ca="1" si="486"/>
        <v/>
      </c>
      <c r="AG271" s="789" t="str">
        <f t="shared" ca="1" si="487"/>
        <v/>
      </c>
      <c r="AH271" s="789" t="str">
        <f t="shared" ca="1" si="488"/>
        <v/>
      </c>
      <c r="AI271" s="789" t="str">
        <f t="shared" ca="1" si="489"/>
        <v/>
      </c>
      <c r="AJ271" s="789" t="str">
        <f t="shared" ca="1" si="490"/>
        <v/>
      </c>
      <c r="AK271" s="789" t="str">
        <f t="shared" ca="1" si="491"/>
        <v/>
      </c>
      <c r="AL271" s="789" t="str">
        <f t="shared" ca="1" si="492"/>
        <v/>
      </c>
      <c r="AM271" s="789" t="str">
        <f t="shared" ca="1" si="493"/>
        <v/>
      </c>
      <c r="AN271" s="789" t="str">
        <f t="shared" ca="1" si="494"/>
        <v/>
      </c>
      <c r="AO271" s="789" t="str">
        <f t="shared" ca="1" si="495"/>
        <v/>
      </c>
      <c r="AP271" s="789" t="str">
        <f t="shared" ca="1" si="496"/>
        <v/>
      </c>
      <c r="AQ271" s="789" t="str">
        <f t="shared" ca="1" si="497"/>
        <v/>
      </c>
      <c r="AR271" s="789" t="str">
        <f t="shared" ca="1" si="498"/>
        <v/>
      </c>
      <c r="AS271" s="789" t="str">
        <f t="shared" ca="1" si="499"/>
        <v/>
      </c>
      <c r="AT271" s="789" t="str">
        <f t="shared" ca="1" si="500"/>
        <v/>
      </c>
      <c r="AU271" s="789" t="str">
        <f t="shared" ca="1" si="501"/>
        <v/>
      </c>
      <c r="AV271" s="789" t="str">
        <f t="shared" ca="1" si="502"/>
        <v/>
      </c>
      <c r="AW271" s="789" t="str">
        <f t="shared" ca="1" si="503"/>
        <v/>
      </c>
      <c r="AX271" s="789" t="str">
        <f t="shared" ca="1" si="504"/>
        <v/>
      </c>
      <c r="AY271" s="789" t="str">
        <f t="shared" ca="1" si="505"/>
        <v/>
      </c>
      <c r="AZ271" s="789" t="str">
        <f t="shared" ca="1" si="506"/>
        <v/>
      </c>
      <c r="BA271" s="789" t="str">
        <f t="shared" ca="1" si="507"/>
        <v/>
      </c>
      <c r="BB271" s="789" t="str">
        <f t="shared" ca="1" si="508"/>
        <v/>
      </c>
      <c r="BC271" s="789" t="str">
        <f t="shared" ca="1" si="509"/>
        <v/>
      </c>
      <c r="BD271" s="789" t="str">
        <f t="shared" ca="1" si="510"/>
        <v/>
      </c>
      <c r="BE271" s="789" t="str">
        <f t="shared" ca="1" si="511"/>
        <v/>
      </c>
      <c r="BF271" s="789" t="str">
        <f t="shared" ca="1" si="512"/>
        <v/>
      </c>
      <c r="BG271" s="789" t="str">
        <f t="shared" ca="1" si="513"/>
        <v/>
      </c>
      <c r="BH271" s="789" t="str">
        <f t="shared" ca="1" si="514"/>
        <v/>
      </c>
      <c r="BI271" s="789" t="str">
        <f t="shared" ca="1" si="515"/>
        <v/>
      </c>
      <c r="BJ271" s="789" t="str">
        <f t="shared" ca="1" si="516"/>
        <v/>
      </c>
      <c r="BK271" s="789" t="str">
        <f t="shared" ca="1" si="517"/>
        <v/>
      </c>
      <c r="BL271" s="789" t="str">
        <f t="shared" ca="1" si="518"/>
        <v/>
      </c>
      <c r="BM271" s="789" t="str">
        <f t="shared" ca="1" si="519"/>
        <v/>
      </c>
      <c r="BN271" s="789" t="str">
        <f t="shared" ca="1" si="520"/>
        <v/>
      </c>
      <c r="BO271" s="789" t="str">
        <f t="shared" ca="1" si="521"/>
        <v/>
      </c>
    </row>
    <row r="272" spans="1:67" ht="20.100000000000001" customHeight="1">
      <c r="A272" s="784">
        <v>22</v>
      </c>
      <c r="B272" s="1594"/>
      <c r="C272" s="1596"/>
      <c r="D272" s="785" t="s">
        <v>363</v>
      </c>
      <c r="E272" s="785"/>
      <c r="F272" s="786"/>
      <c r="G272" s="787" t="s">
        <v>457</v>
      </c>
      <c r="H272" s="788">
        <f t="shared" ca="1" si="475"/>
        <v>38.4</v>
      </c>
      <c r="I272" s="788">
        <f t="shared" ca="1" si="475"/>
        <v>38.4</v>
      </c>
      <c r="J272" s="788">
        <f t="shared" ca="1" si="475"/>
        <v>38.4</v>
      </c>
      <c r="K272" s="788">
        <f t="shared" ca="1" si="475"/>
        <v>38.4</v>
      </c>
      <c r="L272" s="789">
        <f t="shared" ca="1" si="476"/>
        <v>0</v>
      </c>
      <c r="M272" s="789">
        <f t="shared" ca="1" si="476"/>
        <v>0</v>
      </c>
      <c r="N272" s="789">
        <f t="shared" ca="1" si="476"/>
        <v>0</v>
      </c>
      <c r="O272" s="789">
        <f t="shared" ca="1" si="476"/>
        <v>0</v>
      </c>
      <c r="P272" s="789">
        <f ca="1">SUM(SUMIFS(OFFSET(貼付け_2024実績,$A272,11,1,199),OFFSET(貼付け_2024実績,4,9,1,199),{"横浜*","川崎*"}))</f>
        <v>0</v>
      </c>
      <c r="Q272" s="789">
        <f ca="1">SUM(SUMIFS(OFFSET(貼付け_2025実績,$A272,11,1,199),OFFSET(貼付け_2025実績,4,9,1,199),{"横浜*","川崎*"}))</f>
        <v>0</v>
      </c>
      <c r="R272" s="789">
        <f ca="1">SUM(SUMIFS(OFFSET(貼付け_2026実績,$A272,11,1,199),OFFSET(貼付け_2026実績,4,9,1,199),{"横浜*","川崎*"}))</f>
        <v>0</v>
      </c>
      <c r="S272" s="789">
        <f ca="1">SUM(SUMIFS(OFFSET(貼付け_2027実績,$A272,11,1,199),OFFSET(貼付け_2027実績,4,9,1,199),{"横浜*","川崎*"}))</f>
        <v>0</v>
      </c>
      <c r="T272" s="789">
        <f t="shared" ca="1" si="477"/>
        <v>0</v>
      </c>
      <c r="U272" s="789">
        <f t="shared" ca="1" si="477"/>
        <v>0</v>
      </c>
      <c r="V272" s="789">
        <f t="shared" ca="1" si="477"/>
        <v>0</v>
      </c>
      <c r="W272" s="789">
        <f t="shared" ca="1" si="477"/>
        <v>0</v>
      </c>
      <c r="X272" s="789">
        <f t="shared" ca="1" si="478"/>
        <v>0</v>
      </c>
      <c r="Y272" s="789">
        <f t="shared" ca="1" si="479"/>
        <v>0</v>
      </c>
      <c r="Z272" s="789">
        <f t="shared" ca="1" si="480"/>
        <v>0</v>
      </c>
      <c r="AA272" s="789">
        <f t="shared" ca="1" si="481"/>
        <v>0</v>
      </c>
      <c r="AB272" s="789" t="str">
        <f t="shared" ca="1" si="482"/>
        <v/>
      </c>
      <c r="AC272" s="789" t="str">
        <f t="shared" ca="1" si="483"/>
        <v/>
      </c>
      <c r="AD272" s="789" t="str">
        <f t="shared" ca="1" si="484"/>
        <v/>
      </c>
      <c r="AE272" s="789" t="str">
        <f t="shared" ca="1" si="485"/>
        <v/>
      </c>
      <c r="AF272" s="789" t="str">
        <f t="shared" ca="1" si="486"/>
        <v/>
      </c>
      <c r="AG272" s="789" t="str">
        <f t="shared" ca="1" si="487"/>
        <v/>
      </c>
      <c r="AH272" s="789" t="str">
        <f t="shared" ca="1" si="488"/>
        <v/>
      </c>
      <c r="AI272" s="789" t="str">
        <f t="shared" ca="1" si="489"/>
        <v/>
      </c>
      <c r="AJ272" s="789" t="str">
        <f t="shared" ca="1" si="490"/>
        <v/>
      </c>
      <c r="AK272" s="789" t="str">
        <f t="shared" ca="1" si="491"/>
        <v/>
      </c>
      <c r="AL272" s="789" t="str">
        <f t="shared" ca="1" si="492"/>
        <v/>
      </c>
      <c r="AM272" s="789" t="str">
        <f t="shared" ca="1" si="493"/>
        <v/>
      </c>
      <c r="AN272" s="789" t="str">
        <f t="shared" ca="1" si="494"/>
        <v/>
      </c>
      <c r="AO272" s="789" t="str">
        <f t="shared" ca="1" si="495"/>
        <v/>
      </c>
      <c r="AP272" s="789" t="str">
        <f t="shared" ca="1" si="496"/>
        <v/>
      </c>
      <c r="AQ272" s="789" t="str">
        <f t="shared" ca="1" si="497"/>
        <v/>
      </c>
      <c r="AR272" s="789" t="str">
        <f t="shared" ca="1" si="498"/>
        <v/>
      </c>
      <c r="AS272" s="789" t="str">
        <f t="shared" ca="1" si="499"/>
        <v/>
      </c>
      <c r="AT272" s="789" t="str">
        <f t="shared" ca="1" si="500"/>
        <v/>
      </c>
      <c r="AU272" s="789" t="str">
        <f t="shared" ca="1" si="501"/>
        <v/>
      </c>
      <c r="AV272" s="789" t="str">
        <f t="shared" ca="1" si="502"/>
        <v/>
      </c>
      <c r="AW272" s="789" t="str">
        <f t="shared" ca="1" si="503"/>
        <v/>
      </c>
      <c r="AX272" s="789" t="str">
        <f t="shared" ca="1" si="504"/>
        <v/>
      </c>
      <c r="AY272" s="789" t="str">
        <f t="shared" ca="1" si="505"/>
        <v/>
      </c>
      <c r="AZ272" s="789" t="str">
        <f t="shared" ca="1" si="506"/>
        <v/>
      </c>
      <c r="BA272" s="789" t="str">
        <f t="shared" ca="1" si="507"/>
        <v/>
      </c>
      <c r="BB272" s="789" t="str">
        <f t="shared" ca="1" si="508"/>
        <v/>
      </c>
      <c r="BC272" s="789" t="str">
        <f t="shared" ca="1" si="509"/>
        <v/>
      </c>
      <c r="BD272" s="789" t="str">
        <f t="shared" ca="1" si="510"/>
        <v/>
      </c>
      <c r="BE272" s="789" t="str">
        <f t="shared" ca="1" si="511"/>
        <v/>
      </c>
      <c r="BF272" s="789" t="str">
        <f t="shared" ca="1" si="512"/>
        <v/>
      </c>
      <c r="BG272" s="789" t="str">
        <f t="shared" ca="1" si="513"/>
        <v/>
      </c>
      <c r="BH272" s="789" t="str">
        <f t="shared" ca="1" si="514"/>
        <v/>
      </c>
      <c r="BI272" s="789" t="str">
        <f t="shared" ca="1" si="515"/>
        <v/>
      </c>
      <c r="BJ272" s="789" t="str">
        <f t="shared" ca="1" si="516"/>
        <v/>
      </c>
      <c r="BK272" s="789" t="str">
        <f t="shared" ca="1" si="517"/>
        <v/>
      </c>
      <c r="BL272" s="789" t="str">
        <f t="shared" ca="1" si="518"/>
        <v/>
      </c>
      <c r="BM272" s="789" t="str">
        <f t="shared" ca="1" si="519"/>
        <v/>
      </c>
      <c r="BN272" s="789" t="str">
        <f t="shared" ca="1" si="520"/>
        <v/>
      </c>
      <c r="BO272" s="789" t="str">
        <f t="shared" ca="1" si="521"/>
        <v/>
      </c>
    </row>
    <row r="273" spans="1:67" ht="20.100000000000001" customHeight="1">
      <c r="A273" s="784">
        <v>23</v>
      </c>
      <c r="B273" s="1594"/>
      <c r="C273" s="1596"/>
      <c r="D273" s="785" t="s">
        <v>364</v>
      </c>
      <c r="E273" s="785"/>
      <c r="F273" s="786"/>
      <c r="G273" s="787" t="s">
        <v>455</v>
      </c>
      <c r="H273" s="788">
        <f t="shared" ca="1" si="475"/>
        <v>28.7</v>
      </c>
      <c r="I273" s="788">
        <f t="shared" ca="1" si="475"/>
        <v>28.7</v>
      </c>
      <c r="J273" s="788">
        <f t="shared" ca="1" si="475"/>
        <v>28.7</v>
      </c>
      <c r="K273" s="788">
        <f t="shared" ca="1" si="475"/>
        <v>28.7</v>
      </c>
      <c r="L273" s="789">
        <f t="shared" ca="1" si="476"/>
        <v>0</v>
      </c>
      <c r="M273" s="789">
        <f t="shared" ca="1" si="476"/>
        <v>0</v>
      </c>
      <c r="N273" s="789">
        <f t="shared" ca="1" si="476"/>
        <v>0</v>
      </c>
      <c r="O273" s="789">
        <f t="shared" ca="1" si="476"/>
        <v>0</v>
      </c>
      <c r="P273" s="789">
        <f ca="1">SUM(SUMIFS(OFFSET(貼付け_2024実績,$A273,11,1,199),OFFSET(貼付け_2024実績,4,9,1,199),{"横浜*","川崎*"}))</f>
        <v>0</v>
      </c>
      <c r="Q273" s="789">
        <f ca="1">SUM(SUMIFS(OFFSET(貼付け_2025実績,$A273,11,1,199),OFFSET(貼付け_2025実績,4,9,1,199),{"横浜*","川崎*"}))</f>
        <v>0</v>
      </c>
      <c r="R273" s="789">
        <f ca="1">SUM(SUMIFS(OFFSET(貼付け_2026実績,$A273,11,1,199),OFFSET(貼付け_2026実績,4,9,1,199),{"横浜*","川崎*"}))</f>
        <v>0</v>
      </c>
      <c r="S273" s="789">
        <f ca="1">SUM(SUMIFS(OFFSET(貼付け_2027実績,$A273,11,1,199),OFFSET(貼付け_2027実績,4,9,1,199),{"横浜*","川崎*"}))</f>
        <v>0</v>
      </c>
      <c r="T273" s="789">
        <f t="shared" ca="1" si="477"/>
        <v>0</v>
      </c>
      <c r="U273" s="789">
        <f t="shared" ca="1" si="477"/>
        <v>0</v>
      </c>
      <c r="V273" s="789">
        <f t="shared" ca="1" si="477"/>
        <v>0</v>
      </c>
      <c r="W273" s="789">
        <f t="shared" ca="1" si="477"/>
        <v>0</v>
      </c>
      <c r="X273" s="789">
        <f t="shared" ca="1" si="478"/>
        <v>0</v>
      </c>
      <c r="Y273" s="789">
        <f t="shared" ca="1" si="479"/>
        <v>0</v>
      </c>
      <c r="Z273" s="789">
        <f t="shared" ca="1" si="480"/>
        <v>0</v>
      </c>
      <c r="AA273" s="789">
        <f t="shared" ca="1" si="481"/>
        <v>0</v>
      </c>
      <c r="AB273" s="789" t="str">
        <f t="shared" ca="1" si="482"/>
        <v/>
      </c>
      <c r="AC273" s="789" t="str">
        <f t="shared" ca="1" si="483"/>
        <v/>
      </c>
      <c r="AD273" s="789" t="str">
        <f t="shared" ca="1" si="484"/>
        <v/>
      </c>
      <c r="AE273" s="789" t="str">
        <f t="shared" ca="1" si="485"/>
        <v/>
      </c>
      <c r="AF273" s="789" t="str">
        <f t="shared" ca="1" si="486"/>
        <v/>
      </c>
      <c r="AG273" s="789" t="str">
        <f t="shared" ca="1" si="487"/>
        <v/>
      </c>
      <c r="AH273" s="789" t="str">
        <f t="shared" ca="1" si="488"/>
        <v/>
      </c>
      <c r="AI273" s="789" t="str">
        <f t="shared" ca="1" si="489"/>
        <v/>
      </c>
      <c r="AJ273" s="789" t="str">
        <f t="shared" ca="1" si="490"/>
        <v/>
      </c>
      <c r="AK273" s="789" t="str">
        <f t="shared" ca="1" si="491"/>
        <v/>
      </c>
      <c r="AL273" s="789" t="str">
        <f t="shared" ca="1" si="492"/>
        <v/>
      </c>
      <c r="AM273" s="789" t="str">
        <f t="shared" ca="1" si="493"/>
        <v/>
      </c>
      <c r="AN273" s="789" t="str">
        <f t="shared" ca="1" si="494"/>
        <v/>
      </c>
      <c r="AO273" s="789" t="str">
        <f t="shared" ca="1" si="495"/>
        <v/>
      </c>
      <c r="AP273" s="789" t="str">
        <f t="shared" ca="1" si="496"/>
        <v/>
      </c>
      <c r="AQ273" s="789" t="str">
        <f t="shared" ca="1" si="497"/>
        <v/>
      </c>
      <c r="AR273" s="789" t="str">
        <f t="shared" ca="1" si="498"/>
        <v/>
      </c>
      <c r="AS273" s="789" t="str">
        <f t="shared" ca="1" si="499"/>
        <v/>
      </c>
      <c r="AT273" s="789" t="str">
        <f t="shared" ca="1" si="500"/>
        <v/>
      </c>
      <c r="AU273" s="789" t="str">
        <f t="shared" ca="1" si="501"/>
        <v/>
      </c>
      <c r="AV273" s="789" t="str">
        <f t="shared" ca="1" si="502"/>
        <v/>
      </c>
      <c r="AW273" s="789" t="str">
        <f t="shared" ca="1" si="503"/>
        <v/>
      </c>
      <c r="AX273" s="789" t="str">
        <f t="shared" ca="1" si="504"/>
        <v/>
      </c>
      <c r="AY273" s="789" t="str">
        <f t="shared" ca="1" si="505"/>
        <v/>
      </c>
      <c r="AZ273" s="789" t="str">
        <f t="shared" ca="1" si="506"/>
        <v/>
      </c>
      <c r="BA273" s="789" t="str">
        <f t="shared" ca="1" si="507"/>
        <v/>
      </c>
      <c r="BB273" s="789" t="str">
        <f t="shared" ca="1" si="508"/>
        <v/>
      </c>
      <c r="BC273" s="789" t="str">
        <f t="shared" ca="1" si="509"/>
        <v/>
      </c>
      <c r="BD273" s="789" t="str">
        <f t="shared" ca="1" si="510"/>
        <v/>
      </c>
      <c r="BE273" s="789" t="str">
        <f t="shared" ca="1" si="511"/>
        <v/>
      </c>
      <c r="BF273" s="789" t="str">
        <f t="shared" ca="1" si="512"/>
        <v/>
      </c>
      <c r="BG273" s="789" t="str">
        <f t="shared" ca="1" si="513"/>
        <v/>
      </c>
      <c r="BH273" s="789" t="str">
        <f t="shared" ca="1" si="514"/>
        <v/>
      </c>
      <c r="BI273" s="789" t="str">
        <f t="shared" ca="1" si="515"/>
        <v/>
      </c>
      <c r="BJ273" s="789" t="str">
        <f t="shared" ca="1" si="516"/>
        <v/>
      </c>
      <c r="BK273" s="789" t="str">
        <f t="shared" ca="1" si="517"/>
        <v/>
      </c>
      <c r="BL273" s="789" t="str">
        <f t="shared" ca="1" si="518"/>
        <v/>
      </c>
      <c r="BM273" s="789" t="str">
        <f t="shared" ca="1" si="519"/>
        <v/>
      </c>
      <c r="BN273" s="789" t="str">
        <f t="shared" ca="1" si="520"/>
        <v/>
      </c>
      <c r="BO273" s="789" t="str">
        <f t="shared" ca="1" si="521"/>
        <v/>
      </c>
    </row>
    <row r="274" spans="1:67" ht="20.100000000000001" customHeight="1">
      <c r="A274" s="784">
        <v>24</v>
      </c>
      <c r="B274" s="1594"/>
      <c r="C274" s="1596"/>
      <c r="D274" s="785" t="s">
        <v>365</v>
      </c>
      <c r="E274" s="779"/>
      <c r="F274" s="786"/>
      <c r="G274" s="787" t="s">
        <v>455</v>
      </c>
      <c r="H274" s="788">
        <f t="shared" ref="H274:K289" ca="1" si="522">H25</f>
        <v>28.9</v>
      </c>
      <c r="I274" s="788">
        <f t="shared" ca="1" si="522"/>
        <v>28.9</v>
      </c>
      <c r="J274" s="788">
        <f t="shared" ca="1" si="522"/>
        <v>28.9</v>
      </c>
      <c r="K274" s="788">
        <f t="shared" ca="1" si="522"/>
        <v>28.9</v>
      </c>
      <c r="L274" s="789">
        <f t="shared" ref="L274:O316" ca="1" si="523">P274+T274</f>
        <v>0</v>
      </c>
      <c r="M274" s="789">
        <f t="shared" ca="1" si="523"/>
        <v>0</v>
      </c>
      <c r="N274" s="789">
        <f t="shared" ca="1" si="523"/>
        <v>0</v>
      </c>
      <c r="O274" s="789">
        <f t="shared" ca="1" si="523"/>
        <v>0</v>
      </c>
      <c r="P274" s="789">
        <f ca="1">SUM(SUMIFS(OFFSET(貼付け_2024実績,$A274,11,1,199),OFFSET(貼付け_2024実績,4,9,1,199),{"横浜*","川崎*"}))</f>
        <v>0</v>
      </c>
      <c r="Q274" s="789">
        <f ca="1">SUM(SUMIFS(OFFSET(貼付け_2025実績,$A274,11,1,199),OFFSET(貼付け_2025実績,4,9,1,199),{"横浜*","川崎*"}))</f>
        <v>0</v>
      </c>
      <c r="R274" s="789">
        <f ca="1">SUM(SUMIFS(OFFSET(貼付け_2026実績,$A274,11,1,199),OFFSET(貼付け_2026実績,4,9,1,199),{"横浜*","川崎*"}))</f>
        <v>0</v>
      </c>
      <c r="S274" s="789">
        <f ca="1">SUM(SUMIFS(OFFSET(貼付け_2027実績,$A274,11,1,199),OFFSET(貼付け_2027実績,4,9,1,199),{"横浜*","川崎*"}))</f>
        <v>0</v>
      </c>
      <c r="T274" s="789">
        <f t="shared" ref="T274:W316" ca="1" si="524">SUM(X274,AB274,AF274,AJ274,AN274,AR274,AV274,AZ274,BD274,BH274,BL274)</f>
        <v>0</v>
      </c>
      <c r="U274" s="789">
        <f t="shared" ca="1" si="524"/>
        <v>0</v>
      </c>
      <c r="V274" s="789">
        <f t="shared" ca="1" si="524"/>
        <v>0</v>
      </c>
      <c r="W274" s="789">
        <f t="shared" ca="1" si="524"/>
        <v>0</v>
      </c>
      <c r="X274" s="789">
        <f t="shared" ca="1" si="478"/>
        <v>0</v>
      </c>
      <c r="Y274" s="789">
        <f t="shared" ca="1" si="479"/>
        <v>0</v>
      </c>
      <c r="Z274" s="789">
        <f t="shared" ca="1" si="480"/>
        <v>0</v>
      </c>
      <c r="AA274" s="789">
        <f t="shared" ca="1" si="481"/>
        <v>0</v>
      </c>
      <c r="AB274" s="789" t="str">
        <f t="shared" ca="1" si="482"/>
        <v/>
      </c>
      <c r="AC274" s="789" t="str">
        <f t="shared" ca="1" si="483"/>
        <v/>
      </c>
      <c r="AD274" s="789" t="str">
        <f t="shared" ca="1" si="484"/>
        <v/>
      </c>
      <c r="AE274" s="789" t="str">
        <f t="shared" ca="1" si="485"/>
        <v/>
      </c>
      <c r="AF274" s="789" t="str">
        <f t="shared" ca="1" si="486"/>
        <v/>
      </c>
      <c r="AG274" s="789" t="str">
        <f t="shared" ca="1" si="487"/>
        <v/>
      </c>
      <c r="AH274" s="789" t="str">
        <f t="shared" ca="1" si="488"/>
        <v/>
      </c>
      <c r="AI274" s="789" t="str">
        <f t="shared" ca="1" si="489"/>
        <v/>
      </c>
      <c r="AJ274" s="789" t="str">
        <f t="shared" ca="1" si="490"/>
        <v/>
      </c>
      <c r="AK274" s="789" t="str">
        <f t="shared" ca="1" si="491"/>
        <v/>
      </c>
      <c r="AL274" s="789" t="str">
        <f t="shared" ca="1" si="492"/>
        <v/>
      </c>
      <c r="AM274" s="789" t="str">
        <f t="shared" ca="1" si="493"/>
        <v/>
      </c>
      <c r="AN274" s="789" t="str">
        <f t="shared" ca="1" si="494"/>
        <v/>
      </c>
      <c r="AO274" s="789" t="str">
        <f t="shared" ca="1" si="495"/>
        <v/>
      </c>
      <c r="AP274" s="789" t="str">
        <f t="shared" ca="1" si="496"/>
        <v/>
      </c>
      <c r="AQ274" s="789" t="str">
        <f t="shared" ca="1" si="497"/>
        <v/>
      </c>
      <c r="AR274" s="789" t="str">
        <f t="shared" ca="1" si="498"/>
        <v/>
      </c>
      <c r="AS274" s="789" t="str">
        <f t="shared" ca="1" si="499"/>
        <v/>
      </c>
      <c r="AT274" s="789" t="str">
        <f t="shared" ca="1" si="500"/>
        <v/>
      </c>
      <c r="AU274" s="789" t="str">
        <f t="shared" ca="1" si="501"/>
        <v/>
      </c>
      <c r="AV274" s="789" t="str">
        <f t="shared" ca="1" si="502"/>
        <v/>
      </c>
      <c r="AW274" s="789" t="str">
        <f t="shared" ca="1" si="503"/>
        <v/>
      </c>
      <c r="AX274" s="789" t="str">
        <f t="shared" ca="1" si="504"/>
        <v/>
      </c>
      <c r="AY274" s="789" t="str">
        <f t="shared" ca="1" si="505"/>
        <v/>
      </c>
      <c r="AZ274" s="789" t="str">
        <f t="shared" ca="1" si="506"/>
        <v/>
      </c>
      <c r="BA274" s="789" t="str">
        <f t="shared" ca="1" si="507"/>
        <v/>
      </c>
      <c r="BB274" s="789" t="str">
        <f t="shared" ca="1" si="508"/>
        <v/>
      </c>
      <c r="BC274" s="789" t="str">
        <f t="shared" ca="1" si="509"/>
        <v/>
      </c>
      <c r="BD274" s="789" t="str">
        <f t="shared" ca="1" si="510"/>
        <v/>
      </c>
      <c r="BE274" s="789" t="str">
        <f t="shared" ca="1" si="511"/>
        <v/>
      </c>
      <c r="BF274" s="789" t="str">
        <f t="shared" ca="1" si="512"/>
        <v/>
      </c>
      <c r="BG274" s="789" t="str">
        <f t="shared" ca="1" si="513"/>
        <v/>
      </c>
      <c r="BH274" s="789" t="str">
        <f t="shared" ca="1" si="514"/>
        <v/>
      </c>
      <c r="BI274" s="789" t="str">
        <f t="shared" ca="1" si="515"/>
        <v/>
      </c>
      <c r="BJ274" s="789" t="str">
        <f t="shared" ca="1" si="516"/>
        <v/>
      </c>
      <c r="BK274" s="789" t="str">
        <f t="shared" ca="1" si="517"/>
        <v/>
      </c>
      <c r="BL274" s="789" t="str">
        <f t="shared" ca="1" si="518"/>
        <v/>
      </c>
      <c r="BM274" s="789" t="str">
        <f t="shared" ca="1" si="519"/>
        <v/>
      </c>
      <c r="BN274" s="789" t="str">
        <f t="shared" ca="1" si="520"/>
        <v/>
      </c>
      <c r="BO274" s="789" t="str">
        <f t="shared" ca="1" si="521"/>
        <v/>
      </c>
    </row>
    <row r="275" spans="1:67" ht="20.100000000000001" customHeight="1">
      <c r="A275" s="784">
        <v>25</v>
      </c>
      <c r="B275" s="1594"/>
      <c r="C275" s="1596"/>
      <c r="D275" s="785" t="s">
        <v>366</v>
      </c>
      <c r="E275" s="785"/>
      <c r="F275" s="786"/>
      <c r="G275" s="787" t="s">
        <v>455</v>
      </c>
      <c r="H275" s="788">
        <f t="shared" ca="1" si="522"/>
        <v>28.3</v>
      </c>
      <c r="I275" s="788">
        <f t="shared" ca="1" si="522"/>
        <v>28.3</v>
      </c>
      <c r="J275" s="788">
        <f t="shared" ca="1" si="522"/>
        <v>28.3</v>
      </c>
      <c r="K275" s="788">
        <f t="shared" ca="1" si="522"/>
        <v>28.3</v>
      </c>
      <c r="L275" s="789">
        <f t="shared" ca="1" si="523"/>
        <v>0</v>
      </c>
      <c r="M275" s="789">
        <f t="shared" ca="1" si="523"/>
        <v>0</v>
      </c>
      <c r="N275" s="789">
        <f t="shared" ca="1" si="523"/>
        <v>0</v>
      </c>
      <c r="O275" s="789">
        <f t="shared" ca="1" si="523"/>
        <v>0</v>
      </c>
      <c r="P275" s="789">
        <f ca="1">SUM(SUMIFS(OFFSET(貼付け_2024実績,$A275,11,1,199),OFFSET(貼付け_2024実績,4,9,1,199),{"横浜*","川崎*"}))</f>
        <v>0</v>
      </c>
      <c r="Q275" s="789">
        <f ca="1">SUM(SUMIFS(OFFSET(貼付け_2025実績,$A275,11,1,199),OFFSET(貼付け_2025実績,4,9,1,199),{"横浜*","川崎*"}))</f>
        <v>0</v>
      </c>
      <c r="R275" s="789">
        <f ca="1">SUM(SUMIFS(OFFSET(貼付け_2026実績,$A275,11,1,199),OFFSET(貼付け_2026実績,4,9,1,199),{"横浜*","川崎*"}))</f>
        <v>0</v>
      </c>
      <c r="S275" s="789">
        <f ca="1">SUM(SUMIFS(OFFSET(貼付け_2027実績,$A275,11,1,199),OFFSET(貼付け_2027実績,4,9,1,199),{"横浜*","川崎*"}))</f>
        <v>0</v>
      </c>
      <c r="T275" s="789">
        <f t="shared" ca="1" si="524"/>
        <v>0</v>
      </c>
      <c r="U275" s="789">
        <f t="shared" ca="1" si="524"/>
        <v>0</v>
      </c>
      <c r="V275" s="789">
        <f t="shared" ca="1" si="524"/>
        <v>0</v>
      </c>
      <c r="W275" s="789">
        <f t="shared" ca="1" si="524"/>
        <v>0</v>
      </c>
      <c r="X275" s="789">
        <f t="shared" ca="1" si="478"/>
        <v>0</v>
      </c>
      <c r="Y275" s="789">
        <f t="shared" ca="1" si="479"/>
        <v>0</v>
      </c>
      <c r="Z275" s="789">
        <f t="shared" ca="1" si="480"/>
        <v>0</v>
      </c>
      <c r="AA275" s="789">
        <f t="shared" ca="1" si="481"/>
        <v>0</v>
      </c>
      <c r="AB275" s="789" t="str">
        <f t="shared" ca="1" si="482"/>
        <v/>
      </c>
      <c r="AC275" s="789" t="str">
        <f t="shared" ca="1" si="483"/>
        <v/>
      </c>
      <c r="AD275" s="789" t="str">
        <f t="shared" ca="1" si="484"/>
        <v/>
      </c>
      <c r="AE275" s="789" t="str">
        <f t="shared" ca="1" si="485"/>
        <v/>
      </c>
      <c r="AF275" s="789" t="str">
        <f t="shared" ca="1" si="486"/>
        <v/>
      </c>
      <c r="AG275" s="789" t="str">
        <f t="shared" ca="1" si="487"/>
        <v/>
      </c>
      <c r="AH275" s="789" t="str">
        <f t="shared" ca="1" si="488"/>
        <v/>
      </c>
      <c r="AI275" s="789" t="str">
        <f t="shared" ca="1" si="489"/>
        <v/>
      </c>
      <c r="AJ275" s="789" t="str">
        <f t="shared" ca="1" si="490"/>
        <v/>
      </c>
      <c r="AK275" s="789" t="str">
        <f t="shared" ca="1" si="491"/>
        <v/>
      </c>
      <c r="AL275" s="789" t="str">
        <f t="shared" ca="1" si="492"/>
        <v/>
      </c>
      <c r="AM275" s="789" t="str">
        <f t="shared" ca="1" si="493"/>
        <v/>
      </c>
      <c r="AN275" s="789" t="str">
        <f t="shared" ca="1" si="494"/>
        <v/>
      </c>
      <c r="AO275" s="789" t="str">
        <f t="shared" ca="1" si="495"/>
        <v/>
      </c>
      <c r="AP275" s="789" t="str">
        <f t="shared" ca="1" si="496"/>
        <v/>
      </c>
      <c r="AQ275" s="789" t="str">
        <f t="shared" ca="1" si="497"/>
        <v/>
      </c>
      <c r="AR275" s="789" t="str">
        <f t="shared" ca="1" si="498"/>
        <v/>
      </c>
      <c r="AS275" s="789" t="str">
        <f t="shared" ca="1" si="499"/>
        <v/>
      </c>
      <c r="AT275" s="789" t="str">
        <f t="shared" ca="1" si="500"/>
        <v/>
      </c>
      <c r="AU275" s="789" t="str">
        <f t="shared" ca="1" si="501"/>
        <v/>
      </c>
      <c r="AV275" s="789" t="str">
        <f t="shared" ca="1" si="502"/>
        <v/>
      </c>
      <c r="AW275" s="789" t="str">
        <f t="shared" ca="1" si="503"/>
        <v/>
      </c>
      <c r="AX275" s="789" t="str">
        <f t="shared" ca="1" si="504"/>
        <v/>
      </c>
      <c r="AY275" s="789" t="str">
        <f t="shared" ca="1" si="505"/>
        <v/>
      </c>
      <c r="AZ275" s="789" t="str">
        <f t="shared" ca="1" si="506"/>
        <v/>
      </c>
      <c r="BA275" s="789" t="str">
        <f t="shared" ca="1" si="507"/>
        <v/>
      </c>
      <c r="BB275" s="789" t="str">
        <f t="shared" ca="1" si="508"/>
        <v/>
      </c>
      <c r="BC275" s="789" t="str">
        <f t="shared" ca="1" si="509"/>
        <v/>
      </c>
      <c r="BD275" s="789" t="str">
        <f t="shared" ca="1" si="510"/>
        <v/>
      </c>
      <c r="BE275" s="789" t="str">
        <f t="shared" ca="1" si="511"/>
        <v/>
      </c>
      <c r="BF275" s="789" t="str">
        <f t="shared" ca="1" si="512"/>
        <v/>
      </c>
      <c r="BG275" s="789" t="str">
        <f t="shared" ca="1" si="513"/>
        <v/>
      </c>
      <c r="BH275" s="789" t="str">
        <f t="shared" ca="1" si="514"/>
        <v/>
      </c>
      <c r="BI275" s="789" t="str">
        <f t="shared" ca="1" si="515"/>
        <v/>
      </c>
      <c r="BJ275" s="789" t="str">
        <f t="shared" ca="1" si="516"/>
        <v/>
      </c>
      <c r="BK275" s="789" t="str">
        <f t="shared" ca="1" si="517"/>
        <v/>
      </c>
      <c r="BL275" s="789" t="str">
        <f t="shared" ca="1" si="518"/>
        <v/>
      </c>
      <c r="BM275" s="789" t="str">
        <f t="shared" ca="1" si="519"/>
        <v/>
      </c>
      <c r="BN275" s="789" t="str">
        <f t="shared" ca="1" si="520"/>
        <v/>
      </c>
      <c r="BO275" s="789" t="str">
        <f t="shared" ca="1" si="521"/>
        <v/>
      </c>
    </row>
    <row r="276" spans="1:67" ht="20.100000000000001" customHeight="1">
      <c r="A276" s="784">
        <v>26</v>
      </c>
      <c r="B276" s="1594"/>
      <c r="C276" s="1596"/>
      <c r="D276" s="785" t="s">
        <v>367</v>
      </c>
      <c r="E276" s="785"/>
      <c r="F276" s="786"/>
      <c r="G276" s="787" t="s">
        <v>455</v>
      </c>
      <c r="H276" s="788">
        <f t="shared" ca="1" si="522"/>
        <v>26.1</v>
      </c>
      <c r="I276" s="788">
        <f t="shared" ca="1" si="522"/>
        <v>26.1</v>
      </c>
      <c r="J276" s="788">
        <f t="shared" ca="1" si="522"/>
        <v>26.1</v>
      </c>
      <c r="K276" s="788">
        <f t="shared" ca="1" si="522"/>
        <v>26.1</v>
      </c>
      <c r="L276" s="789">
        <f t="shared" ca="1" si="523"/>
        <v>0</v>
      </c>
      <c r="M276" s="789">
        <f t="shared" ca="1" si="523"/>
        <v>0</v>
      </c>
      <c r="N276" s="789">
        <f t="shared" ca="1" si="523"/>
        <v>0</v>
      </c>
      <c r="O276" s="789">
        <f t="shared" ca="1" si="523"/>
        <v>0</v>
      </c>
      <c r="P276" s="789">
        <f ca="1">SUM(SUMIFS(OFFSET(貼付け_2024実績,$A276,11,1,199),OFFSET(貼付け_2024実績,4,9,1,199),{"横浜*","川崎*"}))</f>
        <v>0</v>
      </c>
      <c r="Q276" s="789">
        <f ca="1">SUM(SUMIFS(OFFSET(貼付け_2025実績,$A276,11,1,199),OFFSET(貼付け_2025実績,4,9,1,199),{"横浜*","川崎*"}))</f>
        <v>0</v>
      </c>
      <c r="R276" s="789">
        <f ca="1">SUM(SUMIFS(OFFSET(貼付け_2026実績,$A276,11,1,199),OFFSET(貼付け_2026実績,4,9,1,199),{"横浜*","川崎*"}))</f>
        <v>0</v>
      </c>
      <c r="S276" s="789">
        <f ca="1">SUM(SUMIFS(OFFSET(貼付け_2027実績,$A276,11,1,199),OFFSET(貼付け_2027実績,4,9,1,199),{"横浜*","川崎*"}))</f>
        <v>0</v>
      </c>
      <c r="T276" s="789">
        <f t="shared" ca="1" si="524"/>
        <v>0</v>
      </c>
      <c r="U276" s="789">
        <f t="shared" ca="1" si="524"/>
        <v>0</v>
      </c>
      <c r="V276" s="789">
        <f t="shared" ca="1" si="524"/>
        <v>0</v>
      </c>
      <c r="W276" s="789">
        <f t="shared" ca="1" si="524"/>
        <v>0</v>
      </c>
      <c r="X276" s="789">
        <f t="shared" ca="1" si="478"/>
        <v>0</v>
      </c>
      <c r="Y276" s="789">
        <f t="shared" ca="1" si="479"/>
        <v>0</v>
      </c>
      <c r="Z276" s="789">
        <f t="shared" ca="1" si="480"/>
        <v>0</v>
      </c>
      <c r="AA276" s="789">
        <f t="shared" ca="1" si="481"/>
        <v>0</v>
      </c>
      <c r="AB276" s="789" t="str">
        <f t="shared" ca="1" si="482"/>
        <v/>
      </c>
      <c r="AC276" s="789" t="str">
        <f t="shared" ca="1" si="483"/>
        <v/>
      </c>
      <c r="AD276" s="789" t="str">
        <f t="shared" ca="1" si="484"/>
        <v/>
      </c>
      <c r="AE276" s="789" t="str">
        <f t="shared" ca="1" si="485"/>
        <v/>
      </c>
      <c r="AF276" s="789" t="str">
        <f t="shared" ca="1" si="486"/>
        <v/>
      </c>
      <c r="AG276" s="789" t="str">
        <f t="shared" ca="1" si="487"/>
        <v/>
      </c>
      <c r="AH276" s="789" t="str">
        <f t="shared" ca="1" si="488"/>
        <v/>
      </c>
      <c r="AI276" s="789" t="str">
        <f t="shared" ca="1" si="489"/>
        <v/>
      </c>
      <c r="AJ276" s="789" t="str">
        <f t="shared" ca="1" si="490"/>
        <v/>
      </c>
      <c r="AK276" s="789" t="str">
        <f t="shared" ca="1" si="491"/>
        <v/>
      </c>
      <c r="AL276" s="789" t="str">
        <f t="shared" ca="1" si="492"/>
        <v/>
      </c>
      <c r="AM276" s="789" t="str">
        <f t="shared" ca="1" si="493"/>
        <v/>
      </c>
      <c r="AN276" s="789" t="str">
        <f t="shared" ca="1" si="494"/>
        <v/>
      </c>
      <c r="AO276" s="789" t="str">
        <f t="shared" ca="1" si="495"/>
        <v/>
      </c>
      <c r="AP276" s="789" t="str">
        <f t="shared" ca="1" si="496"/>
        <v/>
      </c>
      <c r="AQ276" s="789" t="str">
        <f t="shared" ca="1" si="497"/>
        <v/>
      </c>
      <c r="AR276" s="789" t="str">
        <f t="shared" ca="1" si="498"/>
        <v/>
      </c>
      <c r="AS276" s="789" t="str">
        <f t="shared" ca="1" si="499"/>
        <v/>
      </c>
      <c r="AT276" s="789" t="str">
        <f t="shared" ca="1" si="500"/>
        <v/>
      </c>
      <c r="AU276" s="789" t="str">
        <f t="shared" ca="1" si="501"/>
        <v/>
      </c>
      <c r="AV276" s="789" t="str">
        <f t="shared" ca="1" si="502"/>
        <v/>
      </c>
      <c r="AW276" s="789" t="str">
        <f t="shared" ca="1" si="503"/>
        <v/>
      </c>
      <c r="AX276" s="789" t="str">
        <f t="shared" ca="1" si="504"/>
        <v/>
      </c>
      <c r="AY276" s="789" t="str">
        <f t="shared" ca="1" si="505"/>
        <v/>
      </c>
      <c r="AZ276" s="789" t="str">
        <f t="shared" ca="1" si="506"/>
        <v/>
      </c>
      <c r="BA276" s="789" t="str">
        <f t="shared" ca="1" si="507"/>
        <v/>
      </c>
      <c r="BB276" s="789" t="str">
        <f t="shared" ca="1" si="508"/>
        <v/>
      </c>
      <c r="BC276" s="789" t="str">
        <f t="shared" ca="1" si="509"/>
        <v/>
      </c>
      <c r="BD276" s="789" t="str">
        <f t="shared" ca="1" si="510"/>
        <v/>
      </c>
      <c r="BE276" s="789" t="str">
        <f t="shared" ca="1" si="511"/>
        <v/>
      </c>
      <c r="BF276" s="789" t="str">
        <f t="shared" ca="1" si="512"/>
        <v/>
      </c>
      <c r="BG276" s="789" t="str">
        <f t="shared" ca="1" si="513"/>
        <v/>
      </c>
      <c r="BH276" s="789" t="str">
        <f t="shared" ca="1" si="514"/>
        <v/>
      </c>
      <c r="BI276" s="789" t="str">
        <f t="shared" ca="1" si="515"/>
        <v/>
      </c>
      <c r="BJ276" s="789" t="str">
        <f t="shared" ca="1" si="516"/>
        <v/>
      </c>
      <c r="BK276" s="789" t="str">
        <f t="shared" ca="1" si="517"/>
        <v/>
      </c>
      <c r="BL276" s="789" t="str">
        <f t="shared" ca="1" si="518"/>
        <v/>
      </c>
      <c r="BM276" s="789" t="str">
        <f t="shared" ca="1" si="519"/>
        <v/>
      </c>
      <c r="BN276" s="789" t="str">
        <f t="shared" ca="1" si="520"/>
        <v/>
      </c>
      <c r="BO276" s="789" t="str">
        <f t="shared" ca="1" si="521"/>
        <v/>
      </c>
    </row>
    <row r="277" spans="1:67" ht="20.100000000000001" customHeight="1">
      <c r="A277" s="784">
        <v>27</v>
      </c>
      <c r="B277" s="1594"/>
      <c r="C277" s="1596"/>
      <c r="D277" s="785" t="s">
        <v>368</v>
      </c>
      <c r="E277" s="785"/>
      <c r="F277" s="786"/>
      <c r="G277" s="787" t="s">
        <v>455</v>
      </c>
      <c r="H277" s="788">
        <f t="shared" ca="1" si="522"/>
        <v>24.2</v>
      </c>
      <c r="I277" s="788">
        <f t="shared" ca="1" si="522"/>
        <v>24.2</v>
      </c>
      <c r="J277" s="788">
        <f t="shared" ca="1" si="522"/>
        <v>24.2</v>
      </c>
      <c r="K277" s="788">
        <f t="shared" ca="1" si="522"/>
        <v>24.2</v>
      </c>
      <c r="L277" s="789">
        <f t="shared" ca="1" si="523"/>
        <v>0</v>
      </c>
      <c r="M277" s="789">
        <f t="shared" ca="1" si="523"/>
        <v>0</v>
      </c>
      <c r="N277" s="789">
        <f t="shared" ca="1" si="523"/>
        <v>0</v>
      </c>
      <c r="O277" s="789">
        <f t="shared" ca="1" si="523"/>
        <v>0</v>
      </c>
      <c r="P277" s="789">
        <f ca="1">SUM(SUMIFS(OFFSET(貼付け_2024実績,$A277,11,1,199),OFFSET(貼付け_2024実績,4,9,1,199),{"横浜*","川崎*"}))</f>
        <v>0</v>
      </c>
      <c r="Q277" s="789">
        <f ca="1">SUM(SUMIFS(OFFSET(貼付け_2025実績,$A277,11,1,199),OFFSET(貼付け_2025実績,4,9,1,199),{"横浜*","川崎*"}))</f>
        <v>0</v>
      </c>
      <c r="R277" s="789">
        <f ca="1">SUM(SUMIFS(OFFSET(貼付け_2026実績,$A277,11,1,199),OFFSET(貼付け_2026実績,4,9,1,199),{"横浜*","川崎*"}))</f>
        <v>0</v>
      </c>
      <c r="S277" s="789">
        <f ca="1">SUM(SUMIFS(OFFSET(貼付け_2027実績,$A277,11,1,199),OFFSET(貼付け_2027実績,4,9,1,199),{"横浜*","川崎*"}))</f>
        <v>0</v>
      </c>
      <c r="T277" s="789">
        <f t="shared" ca="1" si="524"/>
        <v>0</v>
      </c>
      <c r="U277" s="789">
        <f t="shared" ca="1" si="524"/>
        <v>0</v>
      </c>
      <c r="V277" s="789">
        <f t="shared" ca="1" si="524"/>
        <v>0</v>
      </c>
      <c r="W277" s="789">
        <f t="shared" ca="1" si="524"/>
        <v>0</v>
      </c>
      <c r="X277" s="789">
        <f t="shared" ca="1" si="478"/>
        <v>0</v>
      </c>
      <c r="Y277" s="789">
        <f t="shared" ca="1" si="479"/>
        <v>0</v>
      </c>
      <c r="Z277" s="789">
        <f t="shared" ca="1" si="480"/>
        <v>0</v>
      </c>
      <c r="AA277" s="789">
        <f t="shared" ca="1" si="481"/>
        <v>0</v>
      </c>
      <c r="AB277" s="789" t="str">
        <f t="shared" ca="1" si="482"/>
        <v/>
      </c>
      <c r="AC277" s="789" t="str">
        <f t="shared" ca="1" si="483"/>
        <v/>
      </c>
      <c r="AD277" s="789" t="str">
        <f t="shared" ca="1" si="484"/>
        <v/>
      </c>
      <c r="AE277" s="789" t="str">
        <f t="shared" ca="1" si="485"/>
        <v/>
      </c>
      <c r="AF277" s="789" t="str">
        <f t="shared" ca="1" si="486"/>
        <v/>
      </c>
      <c r="AG277" s="789" t="str">
        <f t="shared" ca="1" si="487"/>
        <v/>
      </c>
      <c r="AH277" s="789" t="str">
        <f t="shared" ca="1" si="488"/>
        <v/>
      </c>
      <c r="AI277" s="789" t="str">
        <f t="shared" ca="1" si="489"/>
        <v/>
      </c>
      <c r="AJ277" s="789" t="str">
        <f t="shared" ca="1" si="490"/>
        <v/>
      </c>
      <c r="AK277" s="789" t="str">
        <f t="shared" ca="1" si="491"/>
        <v/>
      </c>
      <c r="AL277" s="789" t="str">
        <f t="shared" ca="1" si="492"/>
        <v/>
      </c>
      <c r="AM277" s="789" t="str">
        <f t="shared" ca="1" si="493"/>
        <v/>
      </c>
      <c r="AN277" s="789" t="str">
        <f t="shared" ca="1" si="494"/>
        <v/>
      </c>
      <c r="AO277" s="789" t="str">
        <f t="shared" ca="1" si="495"/>
        <v/>
      </c>
      <c r="AP277" s="789" t="str">
        <f t="shared" ca="1" si="496"/>
        <v/>
      </c>
      <c r="AQ277" s="789" t="str">
        <f t="shared" ca="1" si="497"/>
        <v/>
      </c>
      <c r="AR277" s="789" t="str">
        <f t="shared" ca="1" si="498"/>
        <v/>
      </c>
      <c r="AS277" s="789" t="str">
        <f t="shared" ca="1" si="499"/>
        <v/>
      </c>
      <c r="AT277" s="789" t="str">
        <f t="shared" ca="1" si="500"/>
        <v/>
      </c>
      <c r="AU277" s="789" t="str">
        <f t="shared" ca="1" si="501"/>
        <v/>
      </c>
      <c r="AV277" s="789" t="str">
        <f t="shared" ca="1" si="502"/>
        <v/>
      </c>
      <c r="AW277" s="789" t="str">
        <f t="shared" ca="1" si="503"/>
        <v/>
      </c>
      <c r="AX277" s="789" t="str">
        <f t="shared" ca="1" si="504"/>
        <v/>
      </c>
      <c r="AY277" s="789" t="str">
        <f t="shared" ca="1" si="505"/>
        <v/>
      </c>
      <c r="AZ277" s="789" t="str">
        <f t="shared" ca="1" si="506"/>
        <v/>
      </c>
      <c r="BA277" s="789" t="str">
        <f t="shared" ca="1" si="507"/>
        <v/>
      </c>
      <c r="BB277" s="789" t="str">
        <f t="shared" ca="1" si="508"/>
        <v/>
      </c>
      <c r="BC277" s="789" t="str">
        <f t="shared" ca="1" si="509"/>
        <v/>
      </c>
      <c r="BD277" s="789" t="str">
        <f t="shared" ca="1" si="510"/>
        <v/>
      </c>
      <c r="BE277" s="789" t="str">
        <f t="shared" ca="1" si="511"/>
        <v/>
      </c>
      <c r="BF277" s="789" t="str">
        <f t="shared" ca="1" si="512"/>
        <v/>
      </c>
      <c r="BG277" s="789" t="str">
        <f t="shared" ca="1" si="513"/>
        <v/>
      </c>
      <c r="BH277" s="789" t="str">
        <f t="shared" ca="1" si="514"/>
        <v/>
      </c>
      <c r="BI277" s="789" t="str">
        <f t="shared" ca="1" si="515"/>
        <v/>
      </c>
      <c r="BJ277" s="789" t="str">
        <f t="shared" ca="1" si="516"/>
        <v/>
      </c>
      <c r="BK277" s="789" t="str">
        <f t="shared" ca="1" si="517"/>
        <v/>
      </c>
      <c r="BL277" s="789" t="str">
        <f t="shared" ca="1" si="518"/>
        <v/>
      </c>
      <c r="BM277" s="789" t="str">
        <f t="shared" ca="1" si="519"/>
        <v/>
      </c>
      <c r="BN277" s="789" t="str">
        <f t="shared" ca="1" si="520"/>
        <v/>
      </c>
      <c r="BO277" s="789" t="str">
        <f t="shared" ca="1" si="521"/>
        <v/>
      </c>
    </row>
    <row r="278" spans="1:67" ht="20.100000000000001" customHeight="1">
      <c r="A278" s="784">
        <v>28</v>
      </c>
      <c r="B278" s="1594"/>
      <c r="C278" s="1596"/>
      <c r="D278" s="785" t="s">
        <v>369</v>
      </c>
      <c r="E278" s="785"/>
      <c r="F278" s="786"/>
      <c r="G278" s="787" t="s">
        <v>455</v>
      </c>
      <c r="H278" s="788">
        <f t="shared" ca="1" si="522"/>
        <v>27.8</v>
      </c>
      <c r="I278" s="788">
        <f t="shared" ca="1" si="522"/>
        <v>27.8</v>
      </c>
      <c r="J278" s="788">
        <f t="shared" ca="1" si="522"/>
        <v>27.8</v>
      </c>
      <c r="K278" s="788">
        <f t="shared" ca="1" si="522"/>
        <v>27.8</v>
      </c>
      <c r="L278" s="789">
        <f t="shared" ca="1" si="523"/>
        <v>0</v>
      </c>
      <c r="M278" s="789">
        <f t="shared" ca="1" si="523"/>
        <v>0</v>
      </c>
      <c r="N278" s="789">
        <f t="shared" ca="1" si="523"/>
        <v>0</v>
      </c>
      <c r="O278" s="789">
        <f t="shared" ca="1" si="523"/>
        <v>0</v>
      </c>
      <c r="P278" s="789">
        <f ca="1">SUM(SUMIFS(OFFSET(貼付け_2024実績,$A278,11,1,199),OFFSET(貼付け_2024実績,4,9,1,199),{"横浜*","川崎*"}))</f>
        <v>0</v>
      </c>
      <c r="Q278" s="789">
        <f ca="1">SUM(SUMIFS(OFFSET(貼付け_2025実績,$A278,11,1,199),OFFSET(貼付け_2025実績,4,9,1,199),{"横浜*","川崎*"}))</f>
        <v>0</v>
      </c>
      <c r="R278" s="789">
        <f ca="1">SUM(SUMIFS(OFFSET(貼付け_2026実績,$A278,11,1,199),OFFSET(貼付け_2026実績,4,9,1,199),{"横浜*","川崎*"}))</f>
        <v>0</v>
      </c>
      <c r="S278" s="789">
        <f ca="1">SUM(SUMIFS(OFFSET(貼付け_2027実績,$A278,11,1,199),OFFSET(貼付け_2027実績,4,9,1,199),{"横浜*","川崎*"}))</f>
        <v>0</v>
      </c>
      <c r="T278" s="789">
        <f t="shared" ca="1" si="524"/>
        <v>0</v>
      </c>
      <c r="U278" s="789">
        <f t="shared" ca="1" si="524"/>
        <v>0</v>
      </c>
      <c r="V278" s="789">
        <f t="shared" ca="1" si="524"/>
        <v>0</v>
      </c>
      <c r="W278" s="789">
        <f t="shared" ca="1" si="524"/>
        <v>0</v>
      </c>
      <c r="X278" s="789">
        <f t="shared" ca="1" si="478"/>
        <v>0</v>
      </c>
      <c r="Y278" s="789">
        <f t="shared" ca="1" si="479"/>
        <v>0</v>
      </c>
      <c r="Z278" s="789">
        <f t="shared" ca="1" si="480"/>
        <v>0</v>
      </c>
      <c r="AA278" s="789">
        <f t="shared" ca="1" si="481"/>
        <v>0</v>
      </c>
      <c r="AB278" s="789" t="str">
        <f t="shared" ca="1" si="482"/>
        <v/>
      </c>
      <c r="AC278" s="789" t="str">
        <f t="shared" ca="1" si="483"/>
        <v/>
      </c>
      <c r="AD278" s="789" t="str">
        <f t="shared" ca="1" si="484"/>
        <v/>
      </c>
      <c r="AE278" s="789" t="str">
        <f t="shared" ca="1" si="485"/>
        <v/>
      </c>
      <c r="AF278" s="789" t="str">
        <f t="shared" ca="1" si="486"/>
        <v/>
      </c>
      <c r="AG278" s="789" t="str">
        <f t="shared" ca="1" si="487"/>
        <v/>
      </c>
      <c r="AH278" s="789" t="str">
        <f t="shared" ca="1" si="488"/>
        <v/>
      </c>
      <c r="AI278" s="789" t="str">
        <f t="shared" ca="1" si="489"/>
        <v/>
      </c>
      <c r="AJ278" s="789" t="str">
        <f t="shared" ca="1" si="490"/>
        <v/>
      </c>
      <c r="AK278" s="789" t="str">
        <f t="shared" ca="1" si="491"/>
        <v/>
      </c>
      <c r="AL278" s="789" t="str">
        <f t="shared" ca="1" si="492"/>
        <v/>
      </c>
      <c r="AM278" s="789" t="str">
        <f t="shared" ca="1" si="493"/>
        <v/>
      </c>
      <c r="AN278" s="789" t="str">
        <f t="shared" ca="1" si="494"/>
        <v/>
      </c>
      <c r="AO278" s="789" t="str">
        <f t="shared" ca="1" si="495"/>
        <v/>
      </c>
      <c r="AP278" s="789" t="str">
        <f t="shared" ca="1" si="496"/>
        <v/>
      </c>
      <c r="AQ278" s="789" t="str">
        <f t="shared" ca="1" si="497"/>
        <v/>
      </c>
      <c r="AR278" s="789" t="str">
        <f t="shared" ca="1" si="498"/>
        <v/>
      </c>
      <c r="AS278" s="789" t="str">
        <f t="shared" ca="1" si="499"/>
        <v/>
      </c>
      <c r="AT278" s="789" t="str">
        <f t="shared" ca="1" si="500"/>
        <v/>
      </c>
      <c r="AU278" s="789" t="str">
        <f t="shared" ca="1" si="501"/>
        <v/>
      </c>
      <c r="AV278" s="789" t="str">
        <f t="shared" ca="1" si="502"/>
        <v/>
      </c>
      <c r="AW278" s="789" t="str">
        <f t="shared" ca="1" si="503"/>
        <v/>
      </c>
      <c r="AX278" s="789" t="str">
        <f t="shared" ca="1" si="504"/>
        <v/>
      </c>
      <c r="AY278" s="789" t="str">
        <f t="shared" ca="1" si="505"/>
        <v/>
      </c>
      <c r="AZ278" s="789" t="str">
        <f t="shared" ca="1" si="506"/>
        <v/>
      </c>
      <c r="BA278" s="789" t="str">
        <f t="shared" ca="1" si="507"/>
        <v/>
      </c>
      <c r="BB278" s="789" t="str">
        <f t="shared" ca="1" si="508"/>
        <v/>
      </c>
      <c r="BC278" s="789" t="str">
        <f t="shared" ca="1" si="509"/>
        <v/>
      </c>
      <c r="BD278" s="789" t="str">
        <f t="shared" ca="1" si="510"/>
        <v/>
      </c>
      <c r="BE278" s="789" t="str">
        <f t="shared" ca="1" si="511"/>
        <v/>
      </c>
      <c r="BF278" s="789" t="str">
        <f t="shared" ca="1" si="512"/>
        <v/>
      </c>
      <c r="BG278" s="789" t="str">
        <f t="shared" ca="1" si="513"/>
        <v/>
      </c>
      <c r="BH278" s="789" t="str">
        <f t="shared" ca="1" si="514"/>
        <v/>
      </c>
      <c r="BI278" s="789" t="str">
        <f t="shared" ca="1" si="515"/>
        <v/>
      </c>
      <c r="BJ278" s="789" t="str">
        <f t="shared" ca="1" si="516"/>
        <v/>
      </c>
      <c r="BK278" s="789" t="str">
        <f t="shared" ca="1" si="517"/>
        <v/>
      </c>
      <c r="BL278" s="789" t="str">
        <f t="shared" ca="1" si="518"/>
        <v/>
      </c>
      <c r="BM278" s="789" t="str">
        <f t="shared" ca="1" si="519"/>
        <v/>
      </c>
      <c r="BN278" s="789" t="str">
        <f t="shared" ca="1" si="520"/>
        <v/>
      </c>
      <c r="BO278" s="789" t="str">
        <f t="shared" ca="1" si="521"/>
        <v/>
      </c>
    </row>
    <row r="279" spans="1:67" ht="20.100000000000001" customHeight="1">
      <c r="A279" s="784">
        <v>29</v>
      </c>
      <c r="B279" s="1594"/>
      <c r="C279" s="1596"/>
      <c r="D279" s="785" t="s">
        <v>370</v>
      </c>
      <c r="E279" s="785"/>
      <c r="F279" s="786"/>
      <c r="G279" s="787" t="s">
        <v>455</v>
      </c>
      <c r="H279" s="788">
        <f t="shared" ca="1" si="522"/>
        <v>29</v>
      </c>
      <c r="I279" s="788">
        <f t="shared" ca="1" si="522"/>
        <v>29</v>
      </c>
      <c r="J279" s="788">
        <f t="shared" ca="1" si="522"/>
        <v>29</v>
      </c>
      <c r="K279" s="788">
        <f t="shared" ca="1" si="522"/>
        <v>29</v>
      </c>
      <c r="L279" s="789">
        <f t="shared" ca="1" si="523"/>
        <v>0</v>
      </c>
      <c r="M279" s="789">
        <f t="shared" ca="1" si="523"/>
        <v>0</v>
      </c>
      <c r="N279" s="789">
        <f t="shared" ca="1" si="523"/>
        <v>0</v>
      </c>
      <c r="O279" s="789">
        <f t="shared" ca="1" si="523"/>
        <v>0</v>
      </c>
      <c r="P279" s="789">
        <f ca="1">SUM(SUMIFS(OFFSET(貼付け_2024実績,$A279,11,1,199),OFFSET(貼付け_2024実績,4,9,1,199),{"横浜*","川崎*"}))</f>
        <v>0</v>
      </c>
      <c r="Q279" s="789">
        <f ca="1">SUM(SUMIFS(OFFSET(貼付け_2025実績,$A279,11,1,199),OFFSET(貼付け_2025実績,4,9,1,199),{"横浜*","川崎*"}))</f>
        <v>0</v>
      </c>
      <c r="R279" s="789">
        <f ca="1">SUM(SUMIFS(OFFSET(貼付け_2026実績,$A279,11,1,199),OFFSET(貼付け_2026実績,4,9,1,199),{"横浜*","川崎*"}))</f>
        <v>0</v>
      </c>
      <c r="S279" s="789">
        <f ca="1">SUM(SUMIFS(OFFSET(貼付け_2027実績,$A279,11,1,199),OFFSET(貼付け_2027実績,4,9,1,199),{"横浜*","川崎*"}))</f>
        <v>0</v>
      </c>
      <c r="T279" s="789">
        <f t="shared" ca="1" si="524"/>
        <v>0</v>
      </c>
      <c r="U279" s="789">
        <f t="shared" ca="1" si="524"/>
        <v>0</v>
      </c>
      <c r="V279" s="789">
        <f t="shared" ca="1" si="524"/>
        <v>0</v>
      </c>
      <c r="W279" s="789">
        <f t="shared" ca="1" si="524"/>
        <v>0</v>
      </c>
      <c r="X279" s="789">
        <f t="shared" ca="1" si="478"/>
        <v>0</v>
      </c>
      <c r="Y279" s="789">
        <f t="shared" ca="1" si="479"/>
        <v>0</v>
      </c>
      <c r="Z279" s="789">
        <f t="shared" ca="1" si="480"/>
        <v>0</v>
      </c>
      <c r="AA279" s="789">
        <f t="shared" ca="1" si="481"/>
        <v>0</v>
      </c>
      <c r="AB279" s="789" t="str">
        <f t="shared" ca="1" si="482"/>
        <v/>
      </c>
      <c r="AC279" s="789" t="str">
        <f t="shared" ca="1" si="483"/>
        <v/>
      </c>
      <c r="AD279" s="789" t="str">
        <f t="shared" ca="1" si="484"/>
        <v/>
      </c>
      <c r="AE279" s="789" t="str">
        <f t="shared" ca="1" si="485"/>
        <v/>
      </c>
      <c r="AF279" s="789" t="str">
        <f t="shared" ca="1" si="486"/>
        <v/>
      </c>
      <c r="AG279" s="789" t="str">
        <f t="shared" ca="1" si="487"/>
        <v/>
      </c>
      <c r="AH279" s="789" t="str">
        <f t="shared" ca="1" si="488"/>
        <v/>
      </c>
      <c r="AI279" s="789" t="str">
        <f t="shared" ca="1" si="489"/>
        <v/>
      </c>
      <c r="AJ279" s="789" t="str">
        <f t="shared" ca="1" si="490"/>
        <v/>
      </c>
      <c r="AK279" s="789" t="str">
        <f t="shared" ca="1" si="491"/>
        <v/>
      </c>
      <c r="AL279" s="789" t="str">
        <f t="shared" ca="1" si="492"/>
        <v/>
      </c>
      <c r="AM279" s="789" t="str">
        <f t="shared" ca="1" si="493"/>
        <v/>
      </c>
      <c r="AN279" s="789" t="str">
        <f t="shared" ca="1" si="494"/>
        <v/>
      </c>
      <c r="AO279" s="789" t="str">
        <f t="shared" ca="1" si="495"/>
        <v/>
      </c>
      <c r="AP279" s="789" t="str">
        <f t="shared" ca="1" si="496"/>
        <v/>
      </c>
      <c r="AQ279" s="789" t="str">
        <f t="shared" ca="1" si="497"/>
        <v/>
      </c>
      <c r="AR279" s="789" t="str">
        <f t="shared" ca="1" si="498"/>
        <v/>
      </c>
      <c r="AS279" s="789" t="str">
        <f t="shared" ca="1" si="499"/>
        <v/>
      </c>
      <c r="AT279" s="789" t="str">
        <f t="shared" ca="1" si="500"/>
        <v/>
      </c>
      <c r="AU279" s="789" t="str">
        <f t="shared" ca="1" si="501"/>
        <v/>
      </c>
      <c r="AV279" s="789" t="str">
        <f t="shared" ca="1" si="502"/>
        <v/>
      </c>
      <c r="AW279" s="789" t="str">
        <f t="shared" ca="1" si="503"/>
        <v/>
      </c>
      <c r="AX279" s="789" t="str">
        <f t="shared" ca="1" si="504"/>
        <v/>
      </c>
      <c r="AY279" s="789" t="str">
        <f t="shared" ca="1" si="505"/>
        <v/>
      </c>
      <c r="AZ279" s="789" t="str">
        <f t="shared" ca="1" si="506"/>
        <v/>
      </c>
      <c r="BA279" s="789" t="str">
        <f t="shared" ca="1" si="507"/>
        <v/>
      </c>
      <c r="BB279" s="789" t="str">
        <f t="shared" ca="1" si="508"/>
        <v/>
      </c>
      <c r="BC279" s="789" t="str">
        <f t="shared" ca="1" si="509"/>
        <v/>
      </c>
      <c r="BD279" s="789" t="str">
        <f t="shared" ca="1" si="510"/>
        <v/>
      </c>
      <c r="BE279" s="789" t="str">
        <f t="shared" ca="1" si="511"/>
        <v/>
      </c>
      <c r="BF279" s="789" t="str">
        <f t="shared" ca="1" si="512"/>
        <v/>
      </c>
      <c r="BG279" s="789" t="str">
        <f t="shared" ca="1" si="513"/>
        <v/>
      </c>
      <c r="BH279" s="789" t="str">
        <f t="shared" ca="1" si="514"/>
        <v/>
      </c>
      <c r="BI279" s="789" t="str">
        <f t="shared" ca="1" si="515"/>
        <v/>
      </c>
      <c r="BJ279" s="789" t="str">
        <f t="shared" ca="1" si="516"/>
        <v/>
      </c>
      <c r="BK279" s="789" t="str">
        <f t="shared" ca="1" si="517"/>
        <v/>
      </c>
      <c r="BL279" s="789" t="str">
        <f t="shared" ca="1" si="518"/>
        <v/>
      </c>
      <c r="BM279" s="789" t="str">
        <f t="shared" ca="1" si="519"/>
        <v/>
      </c>
      <c r="BN279" s="789" t="str">
        <f t="shared" ca="1" si="520"/>
        <v/>
      </c>
      <c r="BO279" s="789" t="str">
        <f t="shared" ca="1" si="521"/>
        <v/>
      </c>
    </row>
    <row r="280" spans="1:67" ht="20.100000000000001" customHeight="1">
      <c r="A280" s="784">
        <v>30</v>
      </c>
      <c r="B280" s="1594"/>
      <c r="C280" s="1596"/>
      <c r="D280" s="785" t="s">
        <v>371</v>
      </c>
      <c r="E280" s="779"/>
      <c r="F280" s="786"/>
      <c r="G280" s="787" t="s">
        <v>455</v>
      </c>
      <c r="H280" s="788">
        <f t="shared" ca="1" si="522"/>
        <v>37.299999999999997</v>
      </c>
      <c r="I280" s="788">
        <f t="shared" ca="1" si="522"/>
        <v>37.299999999999997</v>
      </c>
      <c r="J280" s="788">
        <f t="shared" ca="1" si="522"/>
        <v>37.299999999999997</v>
      </c>
      <c r="K280" s="788">
        <f t="shared" ca="1" si="522"/>
        <v>37.299999999999997</v>
      </c>
      <c r="L280" s="789">
        <f t="shared" ca="1" si="523"/>
        <v>0</v>
      </c>
      <c r="M280" s="789">
        <f t="shared" ca="1" si="523"/>
        <v>0</v>
      </c>
      <c r="N280" s="789">
        <f t="shared" ca="1" si="523"/>
        <v>0</v>
      </c>
      <c r="O280" s="789">
        <f t="shared" ca="1" si="523"/>
        <v>0</v>
      </c>
      <c r="P280" s="789">
        <f ca="1">SUM(SUMIFS(OFFSET(貼付け_2024実績,$A280,11,1,199),OFFSET(貼付け_2024実績,4,9,1,199),{"横浜*","川崎*"}))</f>
        <v>0</v>
      </c>
      <c r="Q280" s="789">
        <f ca="1">SUM(SUMIFS(OFFSET(貼付け_2025実績,$A280,11,1,199),OFFSET(貼付け_2025実績,4,9,1,199),{"横浜*","川崎*"}))</f>
        <v>0</v>
      </c>
      <c r="R280" s="789">
        <f ca="1">SUM(SUMIFS(OFFSET(貼付け_2026実績,$A280,11,1,199),OFFSET(貼付け_2026実績,4,9,1,199),{"横浜*","川崎*"}))</f>
        <v>0</v>
      </c>
      <c r="S280" s="789">
        <f ca="1">SUM(SUMIFS(OFFSET(貼付け_2027実績,$A280,11,1,199),OFFSET(貼付け_2027実績,4,9,1,199),{"横浜*","川崎*"}))</f>
        <v>0</v>
      </c>
      <c r="T280" s="789">
        <f t="shared" ca="1" si="524"/>
        <v>0</v>
      </c>
      <c r="U280" s="789">
        <f t="shared" ca="1" si="524"/>
        <v>0</v>
      </c>
      <c r="V280" s="789">
        <f t="shared" ca="1" si="524"/>
        <v>0</v>
      </c>
      <c r="W280" s="789">
        <f t="shared" ca="1" si="524"/>
        <v>0</v>
      </c>
      <c r="X280" s="789">
        <f t="shared" ca="1" si="478"/>
        <v>0</v>
      </c>
      <c r="Y280" s="789">
        <f t="shared" ca="1" si="479"/>
        <v>0</v>
      </c>
      <c r="Z280" s="789">
        <f t="shared" ca="1" si="480"/>
        <v>0</v>
      </c>
      <c r="AA280" s="789">
        <f t="shared" ca="1" si="481"/>
        <v>0</v>
      </c>
      <c r="AB280" s="789" t="str">
        <f t="shared" ca="1" si="482"/>
        <v/>
      </c>
      <c r="AC280" s="789" t="str">
        <f t="shared" ca="1" si="483"/>
        <v/>
      </c>
      <c r="AD280" s="789" t="str">
        <f t="shared" ca="1" si="484"/>
        <v/>
      </c>
      <c r="AE280" s="789" t="str">
        <f t="shared" ca="1" si="485"/>
        <v/>
      </c>
      <c r="AF280" s="789" t="str">
        <f t="shared" ca="1" si="486"/>
        <v/>
      </c>
      <c r="AG280" s="789" t="str">
        <f t="shared" ca="1" si="487"/>
        <v/>
      </c>
      <c r="AH280" s="789" t="str">
        <f t="shared" ca="1" si="488"/>
        <v/>
      </c>
      <c r="AI280" s="789" t="str">
        <f t="shared" ca="1" si="489"/>
        <v/>
      </c>
      <c r="AJ280" s="789" t="str">
        <f t="shared" ca="1" si="490"/>
        <v/>
      </c>
      <c r="AK280" s="789" t="str">
        <f t="shared" ca="1" si="491"/>
        <v/>
      </c>
      <c r="AL280" s="789" t="str">
        <f t="shared" ca="1" si="492"/>
        <v/>
      </c>
      <c r="AM280" s="789" t="str">
        <f t="shared" ca="1" si="493"/>
        <v/>
      </c>
      <c r="AN280" s="789" t="str">
        <f t="shared" ca="1" si="494"/>
        <v/>
      </c>
      <c r="AO280" s="789" t="str">
        <f t="shared" ca="1" si="495"/>
        <v/>
      </c>
      <c r="AP280" s="789" t="str">
        <f t="shared" ca="1" si="496"/>
        <v/>
      </c>
      <c r="AQ280" s="789" t="str">
        <f t="shared" ca="1" si="497"/>
        <v/>
      </c>
      <c r="AR280" s="789" t="str">
        <f t="shared" ca="1" si="498"/>
        <v/>
      </c>
      <c r="AS280" s="789" t="str">
        <f t="shared" ca="1" si="499"/>
        <v/>
      </c>
      <c r="AT280" s="789" t="str">
        <f t="shared" ca="1" si="500"/>
        <v/>
      </c>
      <c r="AU280" s="789" t="str">
        <f t="shared" ca="1" si="501"/>
        <v/>
      </c>
      <c r="AV280" s="789" t="str">
        <f t="shared" ca="1" si="502"/>
        <v/>
      </c>
      <c r="AW280" s="789" t="str">
        <f t="shared" ca="1" si="503"/>
        <v/>
      </c>
      <c r="AX280" s="789" t="str">
        <f t="shared" ca="1" si="504"/>
        <v/>
      </c>
      <c r="AY280" s="789" t="str">
        <f t="shared" ca="1" si="505"/>
        <v/>
      </c>
      <c r="AZ280" s="789" t="str">
        <f t="shared" ca="1" si="506"/>
        <v/>
      </c>
      <c r="BA280" s="789" t="str">
        <f t="shared" ca="1" si="507"/>
        <v/>
      </c>
      <c r="BB280" s="789" t="str">
        <f t="shared" ca="1" si="508"/>
        <v/>
      </c>
      <c r="BC280" s="789" t="str">
        <f t="shared" ca="1" si="509"/>
        <v/>
      </c>
      <c r="BD280" s="789" t="str">
        <f t="shared" ca="1" si="510"/>
        <v/>
      </c>
      <c r="BE280" s="789" t="str">
        <f t="shared" ca="1" si="511"/>
        <v/>
      </c>
      <c r="BF280" s="789" t="str">
        <f t="shared" ca="1" si="512"/>
        <v/>
      </c>
      <c r="BG280" s="789" t="str">
        <f t="shared" ca="1" si="513"/>
        <v/>
      </c>
      <c r="BH280" s="789" t="str">
        <f t="shared" ca="1" si="514"/>
        <v/>
      </c>
      <c r="BI280" s="789" t="str">
        <f t="shared" ca="1" si="515"/>
        <v/>
      </c>
      <c r="BJ280" s="789" t="str">
        <f t="shared" ca="1" si="516"/>
        <v/>
      </c>
      <c r="BK280" s="789" t="str">
        <f t="shared" ca="1" si="517"/>
        <v/>
      </c>
      <c r="BL280" s="789" t="str">
        <f t="shared" ca="1" si="518"/>
        <v/>
      </c>
      <c r="BM280" s="789" t="str">
        <f t="shared" ca="1" si="519"/>
        <v/>
      </c>
      <c r="BN280" s="789" t="str">
        <f t="shared" ca="1" si="520"/>
        <v/>
      </c>
      <c r="BO280" s="789" t="str">
        <f t="shared" ca="1" si="521"/>
        <v/>
      </c>
    </row>
    <row r="281" spans="1:67" ht="20.100000000000001" customHeight="1">
      <c r="A281" s="784">
        <v>31</v>
      </c>
      <c r="B281" s="1594"/>
      <c r="C281" s="1596"/>
      <c r="D281" s="785" t="s">
        <v>372</v>
      </c>
      <c r="E281" s="785"/>
      <c r="F281" s="786"/>
      <c r="G281" s="787" t="s">
        <v>457</v>
      </c>
      <c r="H281" s="788">
        <f t="shared" ca="1" si="522"/>
        <v>18.399999999999999</v>
      </c>
      <c r="I281" s="788">
        <f t="shared" ca="1" si="522"/>
        <v>18.399999999999999</v>
      </c>
      <c r="J281" s="788">
        <f t="shared" ca="1" si="522"/>
        <v>18.399999999999999</v>
      </c>
      <c r="K281" s="788">
        <f t="shared" ca="1" si="522"/>
        <v>18.399999999999999</v>
      </c>
      <c r="L281" s="789">
        <f t="shared" ca="1" si="523"/>
        <v>0</v>
      </c>
      <c r="M281" s="789">
        <f t="shared" ca="1" si="523"/>
        <v>0</v>
      </c>
      <c r="N281" s="789">
        <f t="shared" ca="1" si="523"/>
        <v>0</v>
      </c>
      <c r="O281" s="789">
        <f t="shared" ca="1" si="523"/>
        <v>0</v>
      </c>
      <c r="P281" s="789">
        <f ca="1">SUM(SUMIFS(OFFSET(貼付け_2024実績,$A281,11,1,199),OFFSET(貼付け_2024実績,4,9,1,199),{"横浜*","川崎*"}))</f>
        <v>0</v>
      </c>
      <c r="Q281" s="789">
        <f ca="1">SUM(SUMIFS(OFFSET(貼付け_2025実績,$A281,11,1,199),OFFSET(貼付け_2025実績,4,9,1,199),{"横浜*","川崎*"}))</f>
        <v>0</v>
      </c>
      <c r="R281" s="789">
        <f ca="1">SUM(SUMIFS(OFFSET(貼付け_2026実績,$A281,11,1,199),OFFSET(貼付け_2026実績,4,9,1,199),{"横浜*","川崎*"}))</f>
        <v>0</v>
      </c>
      <c r="S281" s="789">
        <f ca="1">SUM(SUMIFS(OFFSET(貼付け_2027実績,$A281,11,1,199),OFFSET(貼付け_2027実績,4,9,1,199),{"横浜*","川崎*"}))</f>
        <v>0</v>
      </c>
      <c r="T281" s="789">
        <f t="shared" ca="1" si="524"/>
        <v>0</v>
      </c>
      <c r="U281" s="789">
        <f t="shared" ca="1" si="524"/>
        <v>0</v>
      </c>
      <c r="V281" s="789">
        <f t="shared" ca="1" si="524"/>
        <v>0</v>
      </c>
      <c r="W281" s="789">
        <f t="shared" ca="1" si="524"/>
        <v>0</v>
      </c>
      <c r="X281" s="789">
        <f t="shared" ca="1" si="478"/>
        <v>0</v>
      </c>
      <c r="Y281" s="789">
        <f t="shared" ca="1" si="479"/>
        <v>0</v>
      </c>
      <c r="Z281" s="789">
        <f t="shared" ca="1" si="480"/>
        <v>0</v>
      </c>
      <c r="AA281" s="789">
        <f t="shared" ca="1" si="481"/>
        <v>0</v>
      </c>
      <c r="AB281" s="789" t="str">
        <f t="shared" ca="1" si="482"/>
        <v/>
      </c>
      <c r="AC281" s="789" t="str">
        <f t="shared" ca="1" si="483"/>
        <v/>
      </c>
      <c r="AD281" s="789" t="str">
        <f t="shared" ca="1" si="484"/>
        <v/>
      </c>
      <c r="AE281" s="789" t="str">
        <f t="shared" ca="1" si="485"/>
        <v/>
      </c>
      <c r="AF281" s="789" t="str">
        <f t="shared" ca="1" si="486"/>
        <v/>
      </c>
      <c r="AG281" s="789" t="str">
        <f t="shared" ca="1" si="487"/>
        <v/>
      </c>
      <c r="AH281" s="789" t="str">
        <f t="shared" ca="1" si="488"/>
        <v/>
      </c>
      <c r="AI281" s="789" t="str">
        <f t="shared" ca="1" si="489"/>
        <v/>
      </c>
      <c r="AJ281" s="789" t="str">
        <f t="shared" ca="1" si="490"/>
        <v/>
      </c>
      <c r="AK281" s="789" t="str">
        <f t="shared" ca="1" si="491"/>
        <v/>
      </c>
      <c r="AL281" s="789" t="str">
        <f t="shared" ca="1" si="492"/>
        <v/>
      </c>
      <c r="AM281" s="789" t="str">
        <f t="shared" ca="1" si="493"/>
        <v/>
      </c>
      <c r="AN281" s="789" t="str">
        <f t="shared" ca="1" si="494"/>
        <v/>
      </c>
      <c r="AO281" s="789" t="str">
        <f t="shared" ca="1" si="495"/>
        <v/>
      </c>
      <c r="AP281" s="789" t="str">
        <f t="shared" ca="1" si="496"/>
        <v/>
      </c>
      <c r="AQ281" s="789" t="str">
        <f t="shared" ca="1" si="497"/>
        <v/>
      </c>
      <c r="AR281" s="789" t="str">
        <f t="shared" ca="1" si="498"/>
        <v/>
      </c>
      <c r="AS281" s="789" t="str">
        <f t="shared" ca="1" si="499"/>
        <v/>
      </c>
      <c r="AT281" s="789" t="str">
        <f t="shared" ca="1" si="500"/>
        <v/>
      </c>
      <c r="AU281" s="789" t="str">
        <f t="shared" ca="1" si="501"/>
        <v/>
      </c>
      <c r="AV281" s="789" t="str">
        <f t="shared" ca="1" si="502"/>
        <v/>
      </c>
      <c r="AW281" s="789" t="str">
        <f t="shared" ca="1" si="503"/>
        <v/>
      </c>
      <c r="AX281" s="789" t="str">
        <f t="shared" ca="1" si="504"/>
        <v/>
      </c>
      <c r="AY281" s="789" t="str">
        <f t="shared" ca="1" si="505"/>
        <v/>
      </c>
      <c r="AZ281" s="789" t="str">
        <f t="shared" ca="1" si="506"/>
        <v/>
      </c>
      <c r="BA281" s="789" t="str">
        <f t="shared" ca="1" si="507"/>
        <v/>
      </c>
      <c r="BB281" s="789" t="str">
        <f t="shared" ca="1" si="508"/>
        <v/>
      </c>
      <c r="BC281" s="789" t="str">
        <f t="shared" ca="1" si="509"/>
        <v/>
      </c>
      <c r="BD281" s="789" t="str">
        <f t="shared" ca="1" si="510"/>
        <v/>
      </c>
      <c r="BE281" s="789" t="str">
        <f t="shared" ca="1" si="511"/>
        <v/>
      </c>
      <c r="BF281" s="789" t="str">
        <f t="shared" ca="1" si="512"/>
        <v/>
      </c>
      <c r="BG281" s="789" t="str">
        <f t="shared" ca="1" si="513"/>
        <v/>
      </c>
      <c r="BH281" s="789" t="str">
        <f t="shared" ca="1" si="514"/>
        <v/>
      </c>
      <c r="BI281" s="789" t="str">
        <f t="shared" ca="1" si="515"/>
        <v/>
      </c>
      <c r="BJ281" s="789" t="str">
        <f t="shared" ca="1" si="516"/>
        <v/>
      </c>
      <c r="BK281" s="789" t="str">
        <f t="shared" ca="1" si="517"/>
        <v/>
      </c>
      <c r="BL281" s="789" t="str">
        <f t="shared" ca="1" si="518"/>
        <v/>
      </c>
      <c r="BM281" s="789" t="str">
        <f t="shared" ca="1" si="519"/>
        <v/>
      </c>
      <c r="BN281" s="789" t="str">
        <f t="shared" ca="1" si="520"/>
        <v/>
      </c>
      <c r="BO281" s="789" t="str">
        <f t="shared" ca="1" si="521"/>
        <v/>
      </c>
    </row>
    <row r="282" spans="1:67" ht="20.100000000000001" customHeight="1">
      <c r="A282" s="784">
        <v>32</v>
      </c>
      <c r="B282" s="1594"/>
      <c r="C282" s="1596"/>
      <c r="D282" s="785" t="s">
        <v>373</v>
      </c>
      <c r="E282" s="785"/>
      <c r="F282" s="786"/>
      <c r="G282" s="787" t="s">
        <v>457</v>
      </c>
      <c r="H282" s="788">
        <f t="shared" ca="1" si="522"/>
        <v>3.23</v>
      </c>
      <c r="I282" s="788">
        <f t="shared" ca="1" si="522"/>
        <v>3.23</v>
      </c>
      <c r="J282" s="788">
        <f t="shared" ca="1" si="522"/>
        <v>3.23</v>
      </c>
      <c r="K282" s="788">
        <f t="shared" ca="1" si="522"/>
        <v>3.23</v>
      </c>
      <c r="L282" s="789">
        <f t="shared" ca="1" si="523"/>
        <v>0</v>
      </c>
      <c r="M282" s="789">
        <f t="shared" ca="1" si="523"/>
        <v>0</v>
      </c>
      <c r="N282" s="789">
        <f t="shared" ca="1" si="523"/>
        <v>0</v>
      </c>
      <c r="O282" s="789">
        <f t="shared" ca="1" si="523"/>
        <v>0</v>
      </c>
      <c r="P282" s="789">
        <f ca="1">SUM(SUMIFS(OFFSET(貼付け_2024実績,$A282,11,1,199),OFFSET(貼付け_2024実績,4,9,1,199),{"横浜*","川崎*"}))</f>
        <v>0</v>
      </c>
      <c r="Q282" s="789">
        <f ca="1">SUM(SUMIFS(OFFSET(貼付け_2025実績,$A282,11,1,199),OFFSET(貼付け_2025実績,4,9,1,199),{"横浜*","川崎*"}))</f>
        <v>0</v>
      </c>
      <c r="R282" s="789">
        <f ca="1">SUM(SUMIFS(OFFSET(貼付け_2026実績,$A282,11,1,199),OFFSET(貼付け_2026実績,4,9,1,199),{"横浜*","川崎*"}))</f>
        <v>0</v>
      </c>
      <c r="S282" s="789">
        <f ca="1">SUM(SUMIFS(OFFSET(貼付け_2027実績,$A282,11,1,199),OFFSET(貼付け_2027実績,4,9,1,199),{"横浜*","川崎*"}))</f>
        <v>0</v>
      </c>
      <c r="T282" s="789">
        <f t="shared" ca="1" si="524"/>
        <v>0</v>
      </c>
      <c r="U282" s="789">
        <f t="shared" ca="1" si="524"/>
        <v>0</v>
      </c>
      <c r="V282" s="789">
        <f t="shared" ca="1" si="524"/>
        <v>0</v>
      </c>
      <c r="W282" s="789">
        <f t="shared" ca="1" si="524"/>
        <v>0</v>
      </c>
      <c r="X282" s="789">
        <f t="shared" ca="1" si="478"/>
        <v>0</v>
      </c>
      <c r="Y282" s="789">
        <f t="shared" ca="1" si="479"/>
        <v>0</v>
      </c>
      <c r="Z282" s="789">
        <f t="shared" ca="1" si="480"/>
        <v>0</v>
      </c>
      <c r="AA282" s="789">
        <f t="shared" ca="1" si="481"/>
        <v>0</v>
      </c>
      <c r="AB282" s="789" t="str">
        <f t="shared" ca="1" si="482"/>
        <v/>
      </c>
      <c r="AC282" s="789" t="str">
        <f t="shared" ca="1" si="483"/>
        <v/>
      </c>
      <c r="AD282" s="789" t="str">
        <f t="shared" ca="1" si="484"/>
        <v/>
      </c>
      <c r="AE282" s="789" t="str">
        <f t="shared" ca="1" si="485"/>
        <v/>
      </c>
      <c r="AF282" s="789" t="str">
        <f t="shared" ca="1" si="486"/>
        <v/>
      </c>
      <c r="AG282" s="789" t="str">
        <f t="shared" ca="1" si="487"/>
        <v/>
      </c>
      <c r="AH282" s="789" t="str">
        <f t="shared" ca="1" si="488"/>
        <v/>
      </c>
      <c r="AI282" s="789" t="str">
        <f t="shared" ca="1" si="489"/>
        <v/>
      </c>
      <c r="AJ282" s="789" t="str">
        <f t="shared" ca="1" si="490"/>
        <v/>
      </c>
      <c r="AK282" s="789" t="str">
        <f t="shared" ca="1" si="491"/>
        <v/>
      </c>
      <c r="AL282" s="789" t="str">
        <f t="shared" ca="1" si="492"/>
        <v/>
      </c>
      <c r="AM282" s="789" t="str">
        <f t="shared" ca="1" si="493"/>
        <v/>
      </c>
      <c r="AN282" s="789" t="str">
        <f t="shared" ca="1" si="494"/>
        <v/>
      </c>
      <c r="AO282" s="789" t="str">
        <f t="shared" ca="1" si="495"/>
        <v/>
      </c>
      <c r="AP282" s="789" t="str">
        <f t="shared" ca="1" si="496"/>
        <v/>
      </c>
      <c r="AQ282" s="789" t="str">
        <f t="shared" ca="1" si="497"/>
        <v/>
      </c>
      <c r="AR282" s="789" t="str">
        <f t="shared" ca="1" si="498"/>
        <v/>
      </c>
      <c r="AS282" s="789" t="str">
        <f t="shared" ca="1" si="499"/>
        <v/>
      </c>
      <c r="AT282" s="789" t="str">
        <f t="shared" ca="1" si="500"/>
        <v/>
      </c>
      <c r="AU282" s="789" t="str">
        <f t="shared" ca="1" si="501"/>
        <v/>
      </c>
      <c r="AV282" s="789" t="str">
        <f t="shared" ca="1" si="502"/>
        <v/>
      </c>
      <c r="AW282" s="789" t="str">
        <f t="shared" ca="1" si="503"/>
        <v/>
      </c>
      <c r="AX282" s="789" t="str">
        <f t="shared" ca="1" si="504"/>
        <v/>
      </c>
      <c r="AY282" s="789" t="str">
        <f t="shared" ca="1" si="505"/>
        <v/>
      </c>
      <c r="AZ282" s="789" t="str">
        <f t="shared" ca="1" si="506"/>
        <v/>
      </c>
      <c r="BA282" s="789" t="str">
        <f t="shared" ca="1" si="507"/>
        <v/>
      </c>
      <c r="BB282" s="789" t="str">
        <f t="shared" ca="1" si="508"/>
        <v/>
      </c>
      <c r="BC282" s="789" t="str">
        <f t="shared" ca="1" si="509"/>
        <v/>
      </c>
      <c r="BD282" s="789" t="str">
        <f t="shared" ca="1" si="510"/>
        <v/>
      </c>
      <c r="BE282" s="789" t="str">
        <f t="shared" ca="1" si="511"/>
        <v/>
      </c>
      <c r="BF282" s="789" t="str">
        <f t="shared" ca="1" si="512"/>
        <v/>
      </c>
      <c r="BG282" s="789" t="str">
        <f t="shared" ca="1" si="513"/>
        <v/>
      </c>
      <c r="BH282" s="789" t="str">
        <f t="shared" ca="1" si="514"/>
        <v/>
      </c>
      <c r="BI282" s="789" t="str">
        <f t="shared" ca="1" si="515"/>
        <v/>
      </c>
      <c r="BJ282" s="789" t="str">
        <f t="shared" ca="1" si="516"/>
        <v/>
      </c>
      <c r="BK282" s="789" t="str">
        <f t="shared" ca="1" si="517"/>
        <v/>
      </c>
      <c r="BL282" s="789" t="str">
        <f t="shared" ca="1" si="518"/>
        <v/>
      </c>
      <c r="BM282" s="789" t="str">
        <f t="shared" ca="1" si="519"/>
        <v/>
      </c>
      <c r="BN282" s="789" t="str">
        <f t="shared" ca="1" si="520"/>
        <v/>
      </c>
      <c r="BO282" s="789" t="str">
        <f t="shared" ca="1" si="521"/>
        <v/>
      </c>
    </row>
    <row r="283" spans="1:67" ht="20.100000000000001" customHeight="1">
      <c r="A283" s="784">
        <v>33</v>
      </c>
      <c r="B283" s="1594"/>
      <c r="C283" s="1596"/>
      <c r="D283" s="785" t="s">
        <v>374</v>
      </c>
      <c r="E283" s="785"/>
      <c r="F283" s="786"/>
      <c r="G283" s="787" t="s">
        <v>457</v>
      </c>
      <c r="H283" s="788">
        <f t="shared" ca="1" si="522"/>
        <v>3.45</v>
      </c>
      <c r="I283" s="788">
        <f t="shared" ca="1" si="522"/>
        <v>3.45</v>
      </c>
      <c r="J283" s="788">
        <f t="shared" ca="1" si="522"/>
        <v>3.45</v>
      </c>
      <c r="K283" s="788">
        <f t="shared" ca="1" si="522"/>
        <v>3.45</v>
      </c>
      <c r="L283" s="789">
        <f t="shared" ca="1" si="523"/>
        <v>0</v>
      </c>
      <c r="M283" s="789">
        <f t="shared" ca="1" si="523"/>
        <v>0</v>
      </c>
      <c r="N283" s="789">
        <f t="shared" ca="1" si="523"/>
        <v>0</v>
      </c>
      <c r="O283" s="789">
        <f t="shared" ca="1" si="523"/>
        <v>0</v>
      </c>
      <c r="P283" s="789">
        <f ca="1">SUM(SUMIFS(OFFSET(貼付け_2024実績,$A283,11,1,199),OFFSET(貼付け_2024実績,4,9,1,199),{"横浜*","川崎*"}))</f>
        <v>0</v>
      </c>
      <c r="Q283" s="789">
        <f ca="1">SUM(SUMIFS(OFFSET(貼付け_2025実績,$A283,11,1,199),OFFSET(貼付け_2025実績,4,9,1,199),{"横浜*","川崎*"}))</f>
        <v>0</v>
      </c>
      <c r="R283" s="789">
        <f ca="1">SUM(SUMIFS(OFFSET(貼付け_2026実績,$A283,11,1,199),OFFSET(貼付け_2026実績,4,9,1,199),{"横浜*","川崎*"}))</f>
        <v>0</v>
      </c>
      <c r="S283" s="789">
        <f ca="1">SUM(SUMIFS(OFFSET(貼付け_2027実績,$A283,11,1,199),OFFSET(貼付け_2027実績,4,9,1,199),{"横浜*","川崎*"}))</f>
        <v>0</v>
      </c>
      <c r="T283" s="789">
        <f t="shared" ca="1" si="524"/>
        <v>0</v>
      </c>
      <c r="U283" s="789">
        <f t="shared" ca="1" si="524"/>
        <v>0</v>
      </c>
      <c r="V283" s="789">
        <f t="shared" ca="1" si="524"/>
        <v>0</v>
      </c>
      <c r="W283" s="789">
        <f t="shared" ca="1" si="524"/>
        <v>0</v>
      </c>
      <c r="X283" s="789">
        <f t="shared" ca="1" si="478"/>
        <v>0</v>
      </c>
      <c r="Y283" s="789">
        <f t="shared" ca="1" si="479"/>
        <v>0</v>
      </c>
      <c r="Z283" s="789">
        <f t="shared" ca="1" si="480"/>
        <v>0</v>
      </c>
      <c r="AA283" s="789">
        <f t="shared" ca="1" si="481"/>
        <v>0</v>
      </c>
      <c r="AB283" s="789" t="str">
        <f t="shared" ca="1" si="482"/>
        <v/>
      </c>
      <c r="AC283" s="789" t="str">
        <f t="shared" ca="1" si="483"/>
        <v/>
      </c>
      <c r="AD283" s="789" t="str">
        <f t="shared" ca="1" si="484"/>
        <v/>
      </c>
      <c r="AE283" s="789" t="str">
        <f t="shared" ca="1" si="485"/>
        <v/>
      </c>
      <c r="AF283" s="789" t="str">
        <f t="shared" ca="1" si="486"/>
        <v/>
      </c>
      <c r="AG283" s="789" t="str">
        <f t="shared" ca="1" si="487"/>
        <v/>
      </c>
      <c r="AH283" s="789" t="str">
        <f t="shared" ca="1" si="488"/>
        <v/>
      </c>
      <c r="AI283" s="789" t="str">
        <f t="shared" ca="1" si="489"/>
        <v/>
      </c>
      <c r="AJ283" s="789" t="str">
        <f t="shared" ca="1" si="490"/>
        <v/>
      </c>
      <c r="AK283" s="789" t="str">
        <f t="shared" ca="1" si="491"/>
        <v/>
      </c>
      <c r="AL283" s="789" t="str">
        <f t="shared" ca="1" si="492"/>
        <v/>
      </c>
      <c r="AM283" s="789" t="str">
        <f t="shared" ca="1" si="493"/>
        <v/>
      </c>
      <c r="AN283" s="789" t="str">
        <f t="shared" ca="1" si="494"/>
        <v/>
      </c>
      <c r="AO283" s="789" t="str">
        <f t="shared" ca="1" si="495"/>
        <v/>
      </c>
      <c r="AP283" s="789" t="str">
        <f t="shared" ca="1" si="496"/>
        <v/>
      </c>
      <c r="AQ283" s="789" t="str">
        <f t="shared" ca="1" si="497"/>
        <v/>
      </c>
      <c r="AR283" s="789" t="str">
        <f t="shared" ca="1" si="498"/>
        <v/>
      </c>
      <c r="AS283" s="789" t="str">
        <f t="shared" ca="1" si="499"/>
        <v/>
      </c>
      <c r="AT283" s="789" t="str">
        <f t="shared" ca="1" si="500"/>
        <v/>
      </c>
      <c r="AU283" s="789" t="str">
        <f t="shared" ca="1" si="501"/>
        <v/>
      </c>
      <c r="AV283" s="789" t="str">
        <f t="shared" ca="1" si="502"/>
        <v/>
      </c>
      <c r="AW283" s="789" t="str">
        <f t="shared" ca="1" si="503"/>
        <v/>
      </c>
      <c r="AX283" s="789" t="str">
        <f t="shared" ca="1" si="504"/>
        <v/>
      </c>
      <c r="AY283" s="789" t="str">
        <f t="shared" ca="1" si="505"/>
        <v/>
      </c>
      <c r="AZ283" s="789" t="str">
        <f t="shared" ca="1" si="506"/>
        <v/>
      </c>
      <c r="BA283" s="789" t="str">
        <f t="shared" ca="1" si="507"/>
        <v/>
      </c>
      <c r="BB283" s="789" t="str">
        <f t="shared" ca="1" si="508"/>
        <v/>
      </c>
      <c r="BC283" s="789" t="str">
        <f t="shared" ca="1" si="509"/>
        <v/>
      </c>
      <c r="BD283" s="789" t="str">
        <f t="shared" ca="1" si="510"/>
        <v/>
      </c>
      <c r="BE283" s="789" t="str">
        <f t="shared" ca="1" si="511"/>
        <v/>
      </c>
      <c r="BF283" s="789" t="str">
        <f t="shared" ca="1" si="512"/>
        <v/>
      </c>
      <c r="BG283" s="789" t="str">
        <f t="shared" ca="1" si="513"/>
        <v/>
      </c>
      <c r="BH283" s="789" t="str">
        <f t="shared" ca="1" si="514"/>
        <v/>
      </c>
      <c r="BI283" s="789" t="str">
        <f t="shared" ca="1" si="515"/>
        <v/>
      </c>
      <c r="BJ283" s="789" t="str">
        <f t="shared" ca="1" si="516"/>
        <v/>
      </c>
      <c r="BK283" s="789" t="str">
        <f t="shared" ca="1" si="517"/>
        <v/>
      </c>
      <c r="BL283" s="789" t="str">
        <f t="shared" ca="1" si="518"/>
        <v/>
      </c>
      <c r="BM283" s="789" t="str">
        <f t="shared" ca="1" si="519"/>
        <v/>
      </c>
      <c r="BN283" s="789" t="str">
        <f t="shared" ca="1" si="520"/>
        <v/>
      </c>
      <c r="BO283" s="789" t="str">
        <f t="shared" ca="1" si="521"/>
        <v/>
      </c>
    </row>
    <row r="284" spans="1:67" ht="20.100000000000001" customHeight="1">
      <c r="A284" s="784">
        <v>34</v>
      </c>
      <c r="B284" s="1594"/>
      <c r="C284" s="1596"/>
      <c r="D284" s="785" t="s">
        <v>375</v>
      </c>
      <c r="E284" s="785"/>
      <c r="F284" s="786"/>
      <c r="G284" s="787" t="s">
        <v>457</v>
      </c>
      <c r="H284" s="788">
        <f t="shared" ca="1" si="522"/>
        <v>7.53</v>
      </c>
      <c r="I284" s="788">
        <f t="shared" ca="1" si="522"/>
        <v>7.53</v>
      </c>
      <c r="J284" s="788">
        <f t="shared" ca="1" si="522"/>
        <v>7.53</v>
      </c>
      <c r="K284" s="788">
        <f t="shared" ca="1" si="522"/>
        <v>7.53</v>
      </c>
      <c r="L284" s="789">
        <f t="shared" ca="1" si="523"/>
        <v>0</v>
      </c>
      <c r="M284" s="789">
        <f t="shared" ca="1" si="523"/>
        <v>0</v>
      </c>
      <c r="N284" s="789">
        <f t="shared" ca="1" si="523"/>
        <v>0</v>
      </c>
      <c r="O284" s="789">
        <f t="shared" ca="1" si="523"/>
        <v>0</v>
      </c>
      <c r="P284" s="789">
        <f ca="1">SUM(SUMIFS(OFFSET(貼付け_2024実績,$A284,11,1,199),OFFSET(貼付け_2024実績,4,9,1,199),{"横浜*","川崎*"}))</f>
        <v>0</v>
      </c>
      <c r="Q284" s="789">
        <f ca="1">SUM(SUMIFS(OFFSET(貼付け_2025実績,$A284,11,1,199),OFFSET(貼付け_2025実績,4,9,1,199),{"横浜*","川崎*"}))</f>
        <v>0</v>
      </c>
      <c r="R284" s="789">
        <f ca="1">SUM(SUMIFS(OFFSET(貼付け_2026実績,$A284,11,1,199),OFFSET(貼付け_2026実績,4,9,1,199),{"横浜*","川崎*"}))</f>
        <v>0</v>
      </c>
      <c r="S284" s="789">
        <f ca="1">SUM(SUMIFS(OFFSET(貼付け_2027実績,$A284,11,1,199),OFFSET(貼付け_2027実績,4,9,1,199),{"横浜*","川崎*"}))</f>
        <v>0</v>
      </c>
      <c r="T284" s="789">
        <f t="shared" ca="1" si="524"/>
        <v>0</v>
      </c>
      <c r="U284" s="789">
        <f t="shared" ca="1" si="524"/>
        <v>0</v>
      </c>
      <c r="V284" s="789">
        <f t="shared" ca="1" si="524"/>
        <v>0</v>
      </c>
      <c r="W284" s="789">
        <f t="shared" ca="1" si="524"/>
        <v>0</v>
      </c>
      <c r="X284" s="789">
        <f t="shared" ca="1" si="478"/>
        <v>0</v>
      </c>
      <c r="Y284" s="789">
        <f t="shared" ca="1" si="479"/>
        <v>0</v>
      </c>
      <c r="Z284" s="789">
        <f t="shared" ca="1" si="480"/>
        <v>0</v>
      </c>
      <c r="AA284" s="789">
        <f t="shared" ca="1" si="481"/>
        <v>0</v>
      </c>
      <c r="AB284" s="789" t="str">
        <f t="shared" ca="1" si="482"/>
        <v/>
      </c>
      <c r="AC284" s="789" t="str">
        <f t="shared" ca="1" si="483"/>
        <v/>
      </c>
      <c r="AD284" s="789" t="str">
        <f t="shared" ca="1" si="484"/>
        <v/>
      </c>
      <c r="AE284" s="789" t="str">
        <f t="shared" ca="1" si="485"/>
        <v/>
      </c>
      <c r="AF284" s="789" t="str">
        <f t="shared" ca="1" si="486"/>
        <v/>
      </c>
      <c r="AG284" s="789" t="str">
        <f t="shared" ca="1" si="487"/>
        <v/>
      </c>
      <c r="AH284" s="789" t="str">
        <f t="shared" ca="1" si="488"/>
        <v/>
      </c>
      <c r="AI284" s="789" t="str">
        <f t="shared" ca="1" si="489"/>
        <v/>
      </c>
      <c r="AJ284" s="789" t="str">
        <f t="shared" ca="1" si="490"/>
        <v/>
      </c>
      <c r="AK284" s="789" t="str">
        <f t="shared" ca="1" si="491"/>
        <v/>
      </c>
      <c r="AL284" s="789" t="str">
        <f t="shared" ca="1" si="492"/>
        <v/>
      </c>
      <c r="AM284" s="789" t="str">
        <f t="shared" ca="1" si="493"/>
        <v/>
      </c>
      <c r="AN284" s="789" t="str">
        <f t="shared" ca="1" si="494"/>
        <v/>
      </c>
      <c r="AO284" s="789" t="str">
        <f t="shared" ca="1" si="495"/>
        <v/>
      </c>
      <c r="AP284" s="789" t="str">
        <f t="shared" ca="1" si="496"/>
        <v/>
      </c>
      <c r="AQ284" s="789" t="str">
        <f t="shared" ca="1" si="497"/>
        <v/>
      </c>
      <c r="AR284" s="789" t="str">
        <f t="shared" ca="1" si="498"/>
        <v/>
      </c>
      <c r="AS284" s="789" t="str">
        <f t="shared" ca="1" si="499"/>
        <v/>
      </c>
      <c r="AT284" s="789" t="str">
        <f t="shared" ca="1" si="500"/>
        <v/>
      </c>
      <c r="AU284" s="789" t="str">
        <f t="shared" ca="1" si="501"/>
        <v/>
      </c>
      <c r="AV284" s="789" t="str">
        <f t="shared" ca="1" si="502"/>
        <v/>
      </c>
      <c r="AW284" s="789" t="str">
        <f t="shared" ca="1" si="503"/>
        <v/>
      </c>
      <c r="AX284" s="789" t="str">
        <f t="shared" ca="1" si="504"/>
        <v/>
      </c>
      <c r="AY284" s="789" t="str">
        <f t="shared" ca="1" si="505"/>
        <v/>
      </c>
      <c r="AZ284" s="789" t="str">
        <f t="shared" ca="1" si="506"/>
        <v/>
      </c>
      <c r="BA284" s="789" t="str">
        <f t="shared" ca="1" si="507"/>
        <v/>
      </c>
      <c r="BB284" s="789" t="str">
        <f t="shared" ca="1" si="508"/>
        <v/>
      </c>
      <c r="BC284" s="789" t="str">
        <f t="shared" ca="1" si="509"/>
        <v/>
      </c>
      <c r="BD284" s="789" t="str">
        <f t="shared" ca="1" si="510"/>
        <v/>
      </c>
      <c r="BE284" s="789" t="str">
        <f t="shared" ca="1" si="511"/>
        <v/>
      </c>
      <c r="BF284" s="789" t="str">
        <f t="shared" ca="1" si="512"/>
        <v/>
      </c>
      <c r="BG284" s="789" t="str">
        <f t="shared" ca="1" si="513"/>
        <v/>
      </c>
      <c r="BH284" s="789" t="str">
        <f t="shared" ca="1" si="514"/>
        <v/>
      </c>
      <c r="BI284" s="789" t="str">
        <f t="shared" ca="1" si="515"/>
        <v/>
      </c>
      <c r="BJ284" s="789" t="str">
        <f t="shared" ca="1" si="516"/>
        <v/>
      </c>
      <c r="BK284" s="789" t="str">
        <f t="shared" ca="1" si="517"/>
        <v/>
      </c>
      <c r="BL284" s="789" t="str">
        <f t="shared" ca="1" si="518"/>
        <v/>
      </c>
      <c r="BM284" s="789" t="str">
        <f t="shared" ca="1" si="519"/>
        <v/>
      </c>
      <c r="BN284" s="789" t="str">
        <f t="shared" ca="1" si="520"/>
        <v/>
      </c>
      <c r="BO284" s="789" t="str">
        <f t="shared" ca="1" si="521"/>
        <v/>
      </c>
    </row>
    <row r="285" spans="1:67" ht="20.100000000000001" customHeight="1">
      <c r="A285" s="784">
        <v>35</v>
      </c>
      <c r="B285" s="1595"/>
      <c r="C285" s="1596"/>
      <c r="D285" s="785" t="s">
        <v>782</v>
      </c>
      <c r="E285" s="790"/>
      <c r="F285" s="786"/>
      <c r="G285" s="787" t="s">
        <v>457</v>
      </c>
      <c r="H285" s="788">
        <f t="shared" si="522"/>
        <v>0</v>
      </c>
      <c r="I285" s="788">
        <f t="shared" si="522"/>
        <v>0</v>
      </c>
      <c r="J285" s="788">
        <f t="shared" si="522"/>
        <v>0</v>
      </c>
      <c r="K285" s="788">
        <f t="shared" si="522"/>
        <v>0</v>
      </c>
      <c r="L285" s="789">
        <f t="shared" ca="1" si="523"/>
        <v>0</v>
      </c>
      <c r="M285" s="789">
        <f t="shared" ca="1" si="523"/>
        <v>0</v>
      </c>
      <c r="N285" s="789">
        <f t="shared" ca="1" si="523"/>
        <v>0</v>
      </c>
      <c r="O285" s="789">
        <f t="shared" ca="1" si="523"/>
        <v>0</v>
      </c>
      <c r="P285" s="789">
        <f ca="1">SUM(SUMIFS(OFFSET(貼付け_2024実績,$A285,11,1,199),OFFSET(貼付け_2024実績,4,9,1,199),{"横浜*","川崎*"}))</f>
        <v>0</v>
      </c>
      <c r="Q285" s="789">
        <f ca="1">SUM(SUMIFS(OFFSET(貼付け_2025実績,$A285,11,1,199),OFFSET(貼付け_2025実績,4,9,1,199),{"横浜*","川崎*"}))</f>
        <v>0</v>
      </c>
      <c r="R285" s="789">
        <f ca="1">SUM(SUMIFS(OFFSET(貼付け_2026実績,$A285,11,1,199),OFFSET(貼付け_2026実績,4,9,1,199),{"横浜*","川崎*"}))</f>
        <v>0</v>
      </c>
      <c r="S285" s="789">
        <f ca="1">SUM(SUMIFS(OFFSET(貼付け_2027実績,$A285,11,1,199),OFFSET(貼付け_2027実績,4,9,1,199),{"横浜*","川崎*"}))</f>
        <v>0</v>
      </c>
      <c r="T285" s="789">
        <f t="shared" ca="1" si="524"/>
        <v>0</v>
      </c>
      <c r="U285" s="789">
        <f t="shared" ca="1" si="524"/>
        <v>0</v>
      </c>
      <c r="V285" s="789">
        <f t="shared" ca="1" si="524"/>
        <v>0</v>
      </c>
      <c r="W285" s="789">
        <f t="shared" ca="1" si="524"/>
        <v>0</v>
      </c>
      <c r="X285" s="789">
        <f t="shared" ca="1" si="478"/>
        <v>0</v>
      </c>
      <c r="Y285" s="789">
        <f t="shared" ca="1" si="479"/>
        <v>0</v>
      </c>
      <c r="Z285" s="789">
        <f t="shared" ca="1" si="480"/>
        <v>0</v>
      </c>
      <c r="AA285" s="789">
        <f t="shared" ca="1" si="481"/>
        <v>0</v>
      </c>
      <c r="AB285" s="789" t="str">
        <f t="shared" ca="1" si="482"/>
        <v/>
      </c>
      <c r="AC285" s="789" t="str">
        <f t="shared" ca="1" si="483"/>
        <v/>
      </c>
      <c r="AD285" s="789" t="str">
        <f t="shared" ca="1" si="484"/>
        <v/>
      </c>
      <c r="AE285" s="789" t="str">
        <f t="shared" ca="1" si="485"/>
        <v/>
      </c>
      <c r="AF285" s="789" t="str">
        <f t="shared" ca="1" si="486"/>
        <v/>
      </c>
      <c r="AG285" s="789" t="str">
        <f t="shared" ca="1" si="487"/>
        <v/>
      </c>
      <c r="AH285" s="789" t="str">
        <f t="shared" ca="1" si="488"/>
        <v/>
      </c>
      <c r="AI285" s="789" t="str">
        <f t="shared" ca="1" si="489"/>
        <v/>
      </c>
      <c r="AJ285" s="789" t="str">
        <f t="shared" ca="1" si="490"/>
        <v/>
      </c>
      <c r="AK285" s="789" t="str">
        <f t="shared" ca="1" si="491"/>
        <v/>
      </c>
      <c r="AL285" s="789" t="str">
        <f t="shared" ca="1" si="492"/>
        <v/>
      </c>
      <c r="AM285" s="789" t="str">
        <f t="shared" ca="1" si="493"/>
        <v/>
      </c>
      <c r="AN285" s="789" t="str">
        <f t="shared" ca="1" si="494"/>
        <v/>
      </c>
      <c r="AO285" s="789" t="str">
        <f t="shared" ca="1" si="495"/>
        <v/>
      </c>
      <c r="AP285" s="789" t="str">
        <f t="shared" ca="1" si="496"/>
        <v/>
      </c>
      <c r="AQ285" s="789" t="str">
        <f t="shared" ca="1" si="497"/>
        <v/>
      </c>
      <c r="AR285" s="789" t="str">
        <f t="shared" ca="1" si="498"/>
        <v/>
      </c>
      <c r="AS285" s="789" t="str">
        <f t="shared" ca="1" si="499"/>
        <v/>
      </c>
      <c r="AT285" s="789" t="str">
        <f t="shared" ca="1" si="500"/>
        <v/>
      </c>
      <c r="AU285" s="789" t="str">
        <f t="shared" ca="1" si="501"/>
        <v/>
      </c>
      <c r="AV285" s="789" t="str">
        <f t="shared" ca="1" si="502"/>
        <v/>
      </c>
      <c r="AW285" s="789" t="str">
        <f t="shared" ca="1" si="503"/>
        <v/>
      </c>
      <c r="AX285" s="789" t="str">
        <f t="shared" ca="1" si="504"/>
        <v/>
      </c>
      <c r="AY285" s="789" t="str">
        <f t="shared" ca="1" si="505"/>
        <v/>
      </c>
      <c r="AZ285" s="789" t="str">
        <f t="shared" ca="1" si="506"/>
        <v/>
      </c>
      <c r="BA285" s="789" t="str">
        <f t="shared" ca="1" si="507"/>
        <v/>
      </c>
      <c r="BB285" s="789" t="str">
        <f t="shared" ca="1" si="508"/>
        <v/>
      </c>
      <c r="BC285" s="789" t="str">
        <f t="shared" ca="1" si="509"/>
        <v/>
      </c>
      <c r="BD285" s="789" t="str">
        <f t="shared" ca="1" si="510"/>
        <v/>
      </c>
      <c r="BE285" s="789" t="str">
        <f t="shared" ca="1" si="511"/>
        <v/>
      </c>
      <c r="BF285" s="789" t="str">
        <f t="shared" ca="1" si="512"/>
        <v/>
      </c>
      <c r="BG285" s="789" t="str">
        <f t="shared" ca="1" si="513"/>
        <v/>
      </c>
      <c r="BH285" s="789" t="str">
        <f t="shared" ca="1" si="514"/>
        <v/>
      </c>
      <c r="BI285" s="789" t="str">
        <f t="shared" ca="1" si="515"/>
        <v/>
      </c>
      <c r="BJ285" s="789" t="str">
        <f t="shared" ca="1" si="516"/>
        <v/>
      </c>
      <c r="BK285" s="789" t="str">
        <f t="shared" ca="1" si="517"/>
        <v/>
      </c>
      <c r="BL285" s="789" t="str">
        <f t="shared" ca="1" si="518"/>
        <v/>
      </c>
      <c r="BM285" s="789" t="str">
        <f t="shared" ca="1" si="519"/>
        <v/>
      </c>
      <c r="BN285" s="789" t="str">
        <f t="shared" ca="1" si="520"/>
        <v/>
      </c>
      <c r="BO285" s="789" t="str">
        <f t="shared" ca="1" si="521"/>
        <v/>
      </c>
    </row>
    <row r="286" spans="1:67" ht="20.100000000000001" customHeight="1">
      <c r="A286" s="784">
        <v>36</v>
      </c>
      <c r="B286" s="1594"/>
      <c r="C286" s="1596"/>
      <c r="D286" s="785" t="s">
        <v>376</v>
      </c>
      <c r="E286" s="792" t="str">
        <f ca="1">E37</f>
        <v/>
      </c>
      <c r="F286" s="786"/>
      <c r="G286" s="792" t="str">
        <f ca="1">G37</f>
        <v/>
      </c>
      <c r="H286" s="788">
        <f t="shared" ca="1" si="522"/>
        <v>0</v>
      </c>
      <c r="I286" s="788">
        <f t="shared" ca="1" si="522"/>
        <v>0</v>
      </c>
      <c r="J286" s="788">
        <f t="shared" ca="1" si="522"/>
        <v>0</v>
      </c>
      <c r="K286" s="788">
        <f t="shared" ca="1" si="522"/>
        <v>0</v>
      </c>
      <c r="L286" s="789">
        <f t="shared" ca="1" si="523"/>
        <v>0</v>
      </c>
      <c r="M286" s="789">
        <f t="shared" ca="1" si="523"/>
        <v>0</v>
      </c>
      <c r="N286" s="789">
        <f t="shared" ca="1" si="523"/>
        <v>0</v>
      </c>
      <c r="O286" s="789">
        <f t="shared" ca="1" si="523"/>
        <v>0</v>
      </c>
      <c r="P286" s="789">
        <f ca="1">SUM(SUMIFS(OFFSET(貼付け_2024実績,$A286,11,1,199),OFFSET(貼付け_2024実績,4,9,1,199),{"横浜*","川崎*"}))</f>
        <v>0</v>
      </c>
      <c r="Q286" s="789">
        <f ca="1">SUM(SUMIFS(OFFSET(貼付け_2025実績,$A286,11,1,199),OFFSET(貼付け_2025実績,4,9,1,199),{"横浜*","川崎*"}))</f>
        <v>0</v>
      </c>
      <c r="R286" s="789">
        <f ca="1">SUM(SUMIFS(OFFSET(貼付け_2026実績,$A286,11,1,199),OFFSET(貼付け_2026実績,4,9,1,199),{"横浜*","川崎*"}))</f>
        <v>0</v>
      </c>
      <c r="S286" s="789">
        <f ca="1">SUM(SUMIFS(OFFSET(貼付け_2027実績,$A286,11,1,199),OFFSET(貼付け_2027実績,4,9,1,199),{"横浜*","川崎*"}))</f>
        <v>0</v>
      </c>
      <c r="T286" s="789">
        <f t="shared" ca="1" si="524"/>
        <v>0</v>
      </c>
      <c r="U286" s="789">
        <f t="shared" ca="1" si="524"/>
        <v>0</v>
      </c>
      <c r="V286" s="789">
        <f t="shared" ca="1" si="524"/>
        <v>0</v>
      </c>
      <c r="W286" s="789">
        <f t="shared" ca="1" si="524"/>
        <v>0</v>
      </c>
      <c r="X286" s="789">
        <f t="shared" ca="1" si="478"/>
        <v>0</v>
      </c>
      <c r="Y286" s="789">
        <f t="shared" ca="1" si="479"/>
        <v>0</v>
      </c>
      <c r="Z286" s="789">
        <f t="shared" ca="1" si="480"/>
        <v>0</v>
      </c>
      <c r="AA286" s="789">
        <f t="shared" ca="1" si="481"/>
        <v>0</v>
      </c>
      <c r="AB286" s="789" t="str">
        <f t="shared" ca="1" si="482"/>
        <v/>
      </c>
      <c r="AC286" s="789" t="str">
        <f t="shared" ca="1" si="483"/>
        <v/>
      </c>
      <c r="AD286" s="789" t="str">
        <f t="shared" ca="1" si="484"/>
        <v/>
      </c>
      <c r="AE286" s="789" t="str">
        <f t="shared" ca="1" si="485"/>
        <v/>
      </c>
      <c r="AF286" s="789" t="str">
        <f t="shared" ca="1" si="486"/>
        <v/>
      </c>
      <c r="AG286" s="789" t="str">
        <f t="shared" ca="1" si="487"/>
        <v/>
      </c>
      <c r="AH286" s="789" t="str">
        <f t="shared" ca="1" si="488"/>
        <v/>
      </c>
      <c r="AI286" s="789" t="str">
        <f t="shared" ca="1" si="489"/>
        <v/>
      </c>
      <c r="AJ286" s="789" t="str">
        <f t="shared" ca="1" si="490"/>
        <v/>
      </c>
      <c r="AK286" s="789" t="str">
        <f t="shared" ca="1" si="491"/>
        <v/>
      </c>
      <c r="AL286" s="789" t="str">
        <f t="shared" ca="1" si="492"/>
        <v/>
      </c>
      <c r="AM286" s="789" t="str">
        <f t="shared" ca="1" si="493"/>
        <v/>
      </c>
      <c r="AN286" s="789" t="str">
        <f t="shared" ca="1" si="494"/>
        <v/>
      </c>
      <c r="AO286" s="789" t="str">
        <f t="shared" ca="1" si="495"/>
        <v/>
      </c>
      <c r="AP286" s="789" t="str">
        <f t="shared" ca="1" si="496"/>
        <v/>
      </c>
      <c r="AQ286" s="789" t="str">
        <f t="shared" ca="1" si="497"/>
        <v/>
      </c>
      <c r="AR286" s="789" t="str">
        <f t="shared" ca="1" si="498"/>
        <v/>
      </c>
      <c r="AS286" s="789" t="str">
        <f t="shared" ca="1" si="499"/>
        <v/>
      </c>
      <c r="AT286" s="789" t="str">
        <f t="shared" ca="1" si="500"/>
        <v/>
      </c>
      <c r="AU286" s="789" t="str">
        <f t="shared" ca="1" si="501"/>
        <v/>
      </c>
      <c r="AV286" s="789" t="str">
        <f t="shared" ca="1" si="502"/>
        <v/>
      </c>
      <c r="AW286" s="789" t="str">
        <f t="shared" ca="1" si="503"/>
        <v/>
      </c>
      <c r="AX286" s="789" t="str">
        <f t="shared" ca="1" si="504"/>
        <v/>
      </c>
      <c r="AY286" s="789" t="str">
        <f t="shared" ca="1" si="505"/>
        <v/>
      </c>
      <c r="AZ286" s="789" t="str">
        <f t="shared" ca="1" si="506"/>
        <v/>
      </c>
      <c r="BA286" s="789" t="str">
        <f t="shared" ca="1" si="507"/>
        <v/>
      </c>
      <c r="BB286" s="789" t="str">
        <f t="shared" ca="1" si="508"/>
        <v/>
      </c>
      <c r="BC286" s="789" t="str">
        <f t="shared" ca="1" si="509"/>
        <v/>
      </c>
      <c r="BD286" s="789" t="str">
        <f t="shared" ca="1" si="510"/>
        <v/>
      </c>
      <c r="BE286" s="789" t="str">
        <f t="shared" ca="1" si="511"/>
        <v/>
      </c>
      <c r="BF286" s="789" t="str">
        <f t="shared" ca="1" si="512"/>
        <v/>
      </c>
      <c r="BG286" s="789" t="str">
        <f t="shared" ca="1" si="513"/>
        <v/>
      </c>
      <c r="BH286" s="789" t="str">
        <f t="shared" ca="1" si="514"/>
        <v/>
      </c>
      <c r="BI286" s="789" t="str">
        <f t="shared" ca="1" si="515"/>
        <v/>
      </c>
      <c r="BJ286" s="789" t="str">
        <f t="shared" ca="1" si="516"/>
        <v/>
      </c>
      <c r="BK286" s="789" t="str">
        <f t="shared" ca="1" si="517"/>
        <v/>
      </c>
      <c r="BL286" s="789" t="str">
        <f t="shared" ca="1" si="518"/>
        <v/>
      </c>
      <c r="BM286" s="789" t="str">
        <f t="shared" ca="1" si="519"/>
        <v/>
      </c>
      <c r="BN286" s="789" t="str">
        <f t="shared" ca="1" si="520"/>
        <v/>
      </c>
      <c r="BO286" s="789" t="str">
        <f t="shared" ca="1" si="521"/>
        <v/>
      </c>
    </row>
    <row r="287" spans="1:67" ht="20.100000000000001" customHeight="1">
      <c r="A287" s="784">
        <v>37</v>
      </c>
      <c r="B287" s="1594"/>
      <c r="C287" s="1596" t="s">
        <v>377</v>
      </c>
      <c r="D287" s="793" t="s">
        <v>378</v>
      </c>
      <c r="E287" s="785"/>
      <c r="F287" s="786"/>
      <c r="G287" s="787" t="s">
        <v>455</v>
      </c>
      <c r="H287" s="788">
        <f t="shared" ca="1" si="522"/>
        <v>13.6</v>
      </c>
      <c r="I287" s="788">
        <f t="shared" ca="1" si="522"/>
        <v>13.6</v>
      </c>
      <c r="J287" s="788">
        <f t="shared" ca="1" si="522"/>
        <v>13.6</v>
      </c>
      <c r="K287" s="788">
        <f t="shared" ca="1" si="522"/>
        <v>13.6</v>
      </c>
      <c r="L287" s="789">
        <f t="shared" ca="1" si="523"/>
        <v>0</v>
      </c>
      <c r="M287" s="789">
        <f t="shared" ca="1" si="523"/>
        <v>0</v>
      </c>
      <c r="N287" s="789">
        <f t="shared" ca="1" si="523"/>
        <v>0</v>
      </c>
      <c r="O287" s="789">
        <f t="shared" ca="1" si="523"/>
        <v>0</v>
      </c>
      <c r="P287" s="789">
        <f ca="1">SUM(SUMIFS(OFFSET(貼付け_2024実績,$A287,11,1,199),OFFSET(貼付け_2024実績,4,9,1,199),{"横浜*","川崎*"}))</f>
        <v>0</v>
      </c>
      <c r="Q287" s="789">
        <f ca="1">SUM(SUMIFS(OFFSET(貼付け_2025実績,$A287,11,1,199),OFFSET(貼付け_2025実績,4,9,1,199),{"横浜*","川崎*"}))</f>
        <v>0</v>
      </c>
      <c r="R287" s="789">
        <f ca="1">SUM(SUMIFS(OFFSET(貼付け_2026実績,$A287,11,1,199),OFFSET(貼付け_2026実績,4,9,1,199),{"横浜*","川崎*"}))</f>
        <v>0</v>
      </c>
      <c r="S287" s="789">
        <f ca="1">SUM(SUMIFS(OFFSET(貼付け_2027実績,$A287,11,1,199),OFFSET(貼付け_2027実績,4,9,1,199),{"横浜*","川崎*"}))</f>
        <v>0</v>
      </c>
      <c r="T287" s="789">
        <f t="shared" ca="1" si="524"/>
        <v>0</v>
      </c>
      <c r="U287" s="789">
        <f t="shared" ca="1" si="524"/>
        <v>0</v>
      </c>
      <c r="V287" s="789">
        <f t="shared" ca="1" si="524"/>
        <v>0</v>
      </c>
      <c r="W287" s="789">
        <f t="shared" ca="1" si="524"/>
        <v>0</v>
      </c>
      <c r="X287" s="789">
        <f t="shared" ca="1" si="478"/>
        <v>0</v>
      </c>
      <c r="Y287" s="789">
        <f t="shared" ca="1" si="479"/>
        <v>0</v>
      </c>
      <c r="Z287" s="789">
        <f t="shared" ca="1" si="480"/>
        <v>0</v>
      </c>
      <c r="AA287" s="789">
        <f t="shared" ca="1" si="481"/>
        <v>0</v>
      </c>
      <c r="AB287" s="789" t="str">
        <f t="shared" ca="1" si="482"/>
        <v/>
      </c>
      <c r="AC287" s="789" t="str">
        <f t="shared" ca="1" si="483"/>
        <v/>
      </c>
      <c r="AD287" s="789" t="str">
        <f t="shared" ca="1" si="484"/>
        <v/>
      </c>
      <c r="AE287" s="789" t="str">
        <f t="shared" ca="1" si="485"/>
        <v/>
      </c>
      <c r="AF287" s="789" t="str">
        <f t="shared" ca="1" si="486"/>
        <v/>
      </c>
      <c r="AG287" s="789" t="str">
        <f t="shared" ca="1" si="487"/>
        <v/>
      </c>
      <c r="AH287" s="789" t="str">
        <f t="shared" ca="1" si="488"/>
        <v/>
      </c>
      <c r="AI287" s="789" t="str">
        <f t="shared" ca="1" si="489"/>
        <v/>
      </c>
      <c r="AJ287" s="789" t="str">
        <f t="shared" ca="1" si="490"/>
        <v/>
      </c>
      <c r="AK287" s="789" t="str">
        <f t="shared" ca="1" si="491"/>
        <v/>
      </c>
      <c r="AL287" s="789" t="str">
        <f t="shared" ca="1" si="492"/>
        <v/>
      </c>
      <c r="AM287" s="789" t="str">
        <f t="shared" ca="1" si="493"/>
        <v/>
      </c>
      <c r="AN287" s="789" t="str">
        <f t="shared" ca="1" si="494"/>
        <v/>
      </c>
      <c r="AO287" s="789" t="str">
        <f t="shared" ca="1" si="495"/>
        <v/>
      </c>
      <c r="AP287" s="789" t="str">
        <f t="shared" ca="1" si="496"/>
        <v/>
      </c>
      <c r="AQ287" s="789" t="str">
        <f t="shared" ca="1" si="497"/>
        <v/>
      </c>
      <c r="AR287" s="789" t="str">
        <f t="shared" ca="1" si="498"/>
        <v/>
      </c>
      <c r="AS287" s="789" t="str">
        <f t="shared" ca="1" si="499"/>
        <v/>
      </c>
      <c r="AT287" s="789" t="str">
        <f t="shared" ca="1" si="500"/>
        <v/>
      </c>
      <c r="AU287" s="789" t="str">
        <f t="shared" ca="1" si="501"/>
        <v/>
      </c>
      <c r="AV287" s="789" t="str">
        <f t="shared" ca="1" si="502"/>
        <v/>
      </c>
      <c r="AW287" s="789" t="str">
        <f t="shared" ca="1" si="503"/>
        <v/>
      </c>
      <c r="AX287" s="789" t="str">
        <f t="shared" ca="1" si="504"/>
        <v/>
      </c>
      <c r="AY287" s="789" t="str">
        <f t="shared" ca="1" si="505"/>
        <v/>
      </c>
      <c r="AZ287" s="789" t="str">
        <f t="shared" ca="1" si="506"/>
        <v/>
      </c>
      <c r="BA287" s="789" t="str">
        <f t="shared" ca="1" si="507"/>
        <v/>
      </c>
      <c r="BB287" s="789" t="str">
        <f t="shared" ca="1" si="508"/>
        <v/>
      </c>
      <c r="BC287" s="789" t="str">
        <f t="shared" ca="1" si="509"/>
        <v/>
      </c>
      <c r="BD287" s="789" t="str">
        <f t="shared" ca="1" si="510"/>
        <v/>
      </c>
      <c r="BE287" s="789" t="str">
        <f t="shared" ca="1" si="511"/>
        <v/>
      </c>
      <c r="BF287" s="789" t="str">
        <f t="shared" ca="1" si="512"/>
        <v/>
      </c>
      <c r="BG287" s="789" t="str">
        <f t="shared" ca="1" si="513"/>
        <v/>
      </c>
      <c r="BH287" s="789" t="str">
        <f t="shared" ca="1" si="514"/>
        <v/>
      </c>
      <c r="BI287" s="789" t="str">
        <f t="shared" ca="1" si="515"/>
        <v/>
      </c>
      <c r="BJ287" s="789" t="str">
        <f t="shared" ca="1" si="516"/>
        <v/>
      </c>
      <c r="BK287" s="789" t="str">
        <f t="shared" ca="1" si="517"/>
        <v/>
      </c>
      <c r="BL287" s="789" t="str">
        <f t="shared" ca="1" si="518"/>
        <v/>
      </c>
      <c r="BM287" s="789" t="str">
        <f t="shared" ca="1" si="519"/>
        <v/>
      </c>
      <c r="BN287" s="789" t="str">
        <f t="shared" ca="1" si="520"/>
        <v/>
      </c>
      <c r="BO287" s="789" t="str">
        <f t="shared" ca="1" si="521"/>
        <v/>
      </c>
    </row>
    <row r="288" spans="1:67" ht="20.100000000000001" customHeight="1">
      <c r="A288" s="784">
        <v>38</v>
      </c>
      <c r="B288" s="1594"/>
      <c r="C288" s="1596"/>
      <c r="D288" s="793" t="s">
        <v>379</v>
      </c>
      <c r="E288" s="785"/>
      <c r="F288" s="786"/>
      <c r="G288" s="787" t="s">
        <v>455</v>
      </c>
      <c r="H288" s="788">
        <f t="shared" ca="1" si="522"/>
        <v>13.2</v>
      </c>
      <c r="I288" s="788">
        <f t="shared" ca="1" si="522"/>
        <v>13.2</v>
      </c>
      <c r="J288" s="788">
        <f t="shared" ca="1" si="522"/>
        <v>13.2</v>
      </c>
      <c r="K288" s="788">
        <f t="shared" ca="1" si="522"/>
        <v>13.2</v>
      </c>
      <c r="L288" s="789">
        <f t="shared" ca="1" si="523"/>
        <v>0</v>
      </c>
      <c r="M288" s="789">
        <f t="shared" ca="1" si="523"/>
        <v>0</v>
      </c>
      <c r="N288" s="789">
        <f t="shared" ca="1" si="523"/>
        <v>0</v>
      </c>
      <c r="O288" s="789">
        <f t="shared" ca="1" si="523"/>
        <v>0</v>
      </c>
      <c r="P288" s="789">
        <f ca="1">SUM(SUMIFS(OFFSET(貼付け_2024実績,$A288,11,1,199),OFFSET(貼付け_2024実績,4,9,1,199),{"横浜*","川崎*"}))</f>
        <v>0</v>
      </c>
      <c r="Q288" s="789">
        <f ca="1">SUM(SUMIFS(OFFSET(貼付け_2025実績,$A288,11,1,199),OFFSET(貼付け_2025実績,4,9,1,199),{"横浜*","川崎*"}))</f>
        <v>0</v>
      </c>
      <c r="R288" s="789">
        <f ca="1">SUM(SUMIFS(OFFSET(貼付け_2026実績,$A288,11,1,199),OFFSET(貼付け_2026実績,4,9,1,199),{"横浜*","川崎*"}))</f>
        <v>0</v>
      </c>
      <c r="S288" s="789">
        <f ca="1">SUM(SUMIFS(OFFSET(貼付け_2027実績,$A288,11,1,199),OFFSET(貼付け_2027実績,4,9,1,199),{"横浜*","川崎*"}))</f>
        <v>0</v>
      </c>
      <c r="T288" s="789">
        <f t="shared" ca="1" si="524"/>
        <v>0</v>
      </c>
      <c r="U288" s="789">
        <f t="shared" ca="1" si="524"/>
        <v>0</v>
      </c>
      <c r="V288" s="789">
        <f t="shared" ca="1" si="524"/>
        <v>0</v>
      </c>
      <c r="W288" s="789">
        <f t="shared" ca="1" si="524"/>
        <v>0</v>
      </c>
      <c r="X288" s="789">
        <f t="shared" ca="1" si="478"/>
        <v>0</v>
      </c>
      <c r="Y288" s="789">
        <f t="shared" ca="1" si="479"/>
        <v>0</v>
      </c>
      <c r="Z288" s="789">
        <f t="shared" ca="1" si="480"/>
        <v>0</v>
      </c>
      <c r="AA288" s="789">
        <f t="shared" ca="1" si="481"/>
        <v>0</v>
      </c>
      <c r="AB288" s="789" t="str">
        <f t="shared" ca="1" si="482"/>
        <v/>
      </c>
      <c r="AC288" s="789" t="str">
        <f t="shared" ca="1" si="483"/>
        <v/>
      </c>
      <c r="AD288" s="789" t="str">
        <f t="shared" ca="1" si="484"/>
        <v/>
      </c>
      <c r="AE288" s="789" t="str">
        <f t="shared" ca="1" si="485"/>
        <v/>
      </c>
      <c r="AF288" s="789" t="str">
        <f t="shared" ca="1" si="486"/>
        <v/>
      </c>
      <c r="AG288" s="789" t="str">
        <f t="shared" ca="1" si="487"/>
        <v/>
      </c>
      <c r="AH288" s="789" t="str">
        <f t="shared" ca="1" si="488"/>
        <v/>
      </c>
      <c r="AI288" s="789" t="str">
        <f t="shared" ca="1" si="489"/>
        <v/>
      </c>
      <c r="AJ288" s="789" t="str">
        <f t="shared" ca="1" si="490"/>
        <v/>
      </c>
      <c r="AK288" s="789" t="str">
        <f t="shared" ca="1" si="491"/>
        <v/>
      </c>
      <c r="AL288" s="789" t="str">
        <f t="shared" ca="1" si="492"/>
        <v/>
      </c>
      <c r="AM288" s="789" t="str">
        <f t="shared" ca="1" si="493"/>
        <v/>
      </c>
      <c r="AN288" s="789" t="str">
        <f t="shared" ca="1" si="494"/>
        <v/>
      </c>
      <c r="AO288" s="789" t="str">
        <f t="shared" ca="1" si="495"/>
        <v/>
      </c>
      <c r="AP288" s="789" t="str">
        <f t="shared" ca="1" si="496"/>
        <v/>
      </c>
      <c r="AQ288" s="789" t="str">
        <f t="shared" ca="1" si="497"/>
        <v/>
      </c>
      <c r="AR288" s="789" t="str">
        <f t="shared" ca="1" si="498"/>
        <v/>
      </c>
      <c r="AS288" s="789" t="str">
        <f t="shared" ca="1" si="499"/>
        <v/>
      </c>
      <c r="AT288" s="789" t="str">
        <f t="shared" ca="1" si="500"/>
        <v/>
      </c>
      <c r="AU288" s="789" t="str">
        <f t="shared" ca="1" si="501"/>
        <v/>
      </c>
      <c r="AV288" s="789" t="str">
        <f t="shared" ca="1" si="502"/>
        <v/>
      </c>
      <c r="AW288" s="789" t="str">
        <f t="shared" ca="1" si="503"/>
        <v/>
      </c>
      <c r="AX288" s="789" t="str">
        <f t="shared" ca="1" si="504"/>
        <v/>
      </c>
      <c r="AY288" s="789" t="str">
        <f t="shared" ca="1" si="505"/>
        <v/>
      </c>
      <c r="AZ288" s="789" t="str">
        <f t="shared" ca="1" si="506"/>
        <v/>
      </c>
      <c r="BA288" s="789" t="str">
        <f t="shared" ca="1" si="507"/>
        <v/>
      </c>
      <c r="BB288" s="789" t="str">
        <f t="shared" ca="1" si="508"/>
        <v/>
      </c>
      <c r="BC288" s="789" t="str">
        <f t="shared" ca="1" si="509"/>
        <v/>
      </c>
      <c r="BD288" s="789" t="str">
        <f t="shared" ca="1" si="510"/>
        <v/>
      </c>
      <c r="BE288" s="789" t="str">
        <f t="shared" ca="1" si="511"/>
        <v/>
      </c>
      <c r="BF288" s="789" t="str">
        <f t="shared" ca="1" si="512"/>
        <v/>
      </c>
      <c r="BG288" s="789" t="str">
        <f t="shared" ca="1" si="513"/>
        <v/>
      </c>
      <c r="BH288" s="789" t="str">
        <f t="shared" ca="1" si="514"/>
        <v/>
      </c>
      <c r="BI288" s="789" t="str">
        <f t="shared" ca="1" si="515"/>
        <v/>
      </c>
      <c r="BJ288" s="789" t="str">
        <f t="shared" ca="1" si="516"/>
        <v/>
      </c>
      <c r="BK288" s="789" t="str">
        <f t="shared" ca="1" si="517"/>
        <v/>
      </c>
      <c r="BL288" s="789" t="str">
        <f t="shared" ca="1" si="518"/>
        <v/>
      </c>
      <c r="BM288" s="789" t="str">
        <f t="shared" ca="1" si="519"/>
        <v/>
      </c>
      <c r="BN288" s="789" t="str">
        <f t="shared" ca="1" si="520"/>
        <v/>
      </c>
      <c r="BO288" s="789" t="str">
        <f t="shared" ca="1" si="521"/>
        <v/>
      </c>
    </row>
    <row r="289" spans="1:67" ht="20.100000000000001" customHeight="1">
      <c r="A289" s="784">
        <v>39</v>
      </c>
      <c r="B289" s="1594"/>
      <c r="C289" s="1596"/>
      <c r="D289" s="793" t="s">
        <v>380</v>
      </c>
      <c r="E289" s="779"/>
      <c r="F289" s="786"/>
      <c r="G289" s="787" t="s">
        <v>455</v>
      </c>
      <c r="H289" s="788">
        <f t="shared" ca="1" si="522"/>
        <v>17.100000000000001</v>
      </c>
      <c r="I289" s="788">
        <f t="shared" ca="1" si="522"/>
        <v>17.100000000000001</v>
      </c>
      <c r="J289" s="788">
        <f t="shared" ca="1" si="522"/>
        <v>17.100000000000001</v>
      </c>
      <c r="K289" s="788">
        <f t="shared" ca="1" si="522"/>
        <v>17.100000000000001</v>
      </c>
      <c r="L289" s="789">
        <f t="shared" ca="1" si="523"/>
        <v>0</v>
      </c>
      <c r="M289" s="789">
        <f t="shared" ca="1" si="523"/>
        <v>0</v>
      </c>
      <c r="N289" s="789">
        <f t="shared" ca="1" si="523"/>
        <v>0</v>
      </c>
      <c r="O289" s="789">
        <f t="shared" ca="1" si="523"/>
        <v>0</v>
      </c>
      <c r="P289" s="789">
        <f ca="1">SUM(SUMIFS(OFFSET(貼付け_2024実績,$A289,11,1,199),OFFSET(貼付け_2024実績,4,9,1,199),{"横浜*","川崎*"}))</f>
        <v>0</v>
      </c>
      <c r="Q289" s="789">
        <f ca="1">SUM(SUMIFS(OFFSET(貼付け_2025実績,$A289,11,1,199),OFFSET(貼付け_2025実績,4,9,1,199),{"横浜*","川崎*"}))</f>
        <v>0</v>
      </c>
      <c r="R289" s="789">
        <f ca="1">SUM(SUMIFS(OFFSET(貼付け_2026実績,$A289,11,1,199),OFFSET(貼付け_2026実績,4,9,1,199),{"横浜*","川崎*"}))</f>
        <v>0</v>
      </c>
      <c r="S289" s="789">
        <f ca="1">SUM(SUMIFS(OFFSET(貼付け_2027実績,$A289,11,1,199),OFFSET(貼付け_2027実績,4,9,1,199),{"横浜*","川崎*"}))</f>
        <v>0</v>
      </c>
      <c r="T289" s="789">
        <f t="shared" ca="1" si="524"/>
        <v>0</v>
      </c>
      <c r="U289" s="789">
        <f t="shared" ca="1" si="524"/>
        <v>0</v>
      </c>
      <c r="V289" s="789">
        <f t="shared" ca="1" si="524"/>
        <v>0</v>
      </c>
      <c r="W289" s="789">
        <f t="shared" ca="1" si="524"/>
        <v>0</v>
      </c>
      <c r="X289" s="789">
        <f t="shared" ca="1" si="478"/>
        <v>0</v>
      </c>
      <c r="Y289" s="789">
        <f t="shared" ca="1" si="479"/>
        <v>0</v>
      </c>
      <c r="Z289" s="789">
        <f t="shared" ca="1" si="480"/>
        <v>0</v>
      </c>
      <c r="AA289" s="789">
        <f t="shared" ca="1" si="481"/>
        <v>0</v>
      </c>
      <c r="AB289" s="789" t="str">
        <f t="shared" ca="1" si="482"/>
        <v/>
      </c>
      <c r="AC289" s="789" t="str">
        <f t="shared" ca="1" si="483"/>
        <v/>
      </c>
      <c r="AD289" s="789" t="str">
        <f t="shared" ca="1" si="484"/>
        <v/>
      </c>
      <c r="AE289" s="789" t="str">
        <f t="shared" ca="1" si="485"/>
        <v/>
      </c>
      <c r="AF289" s="789" t="str">
        <f t="shared" ca="1" si="486"/>
        <v/>
      </c>
      <c r="AG289" s="789" t="str">
        <f t="shared" ca="1" si="487"/>
        <v/>
      </c>
      <c r="AH289" s="789" t="str">
        <f t="shared" ca="1" si="488"/>
        <v/>
      </c>
      <c r="AI289" s="789" t="str">
        <f t="shared" ca="1" si="489"/>
        <v/>
      </c>
      <c r="AJ289" s="789" t="str">
        <f t="shared" ca="1" si="490"/>
        <v/>
      </c>
      <c r="AK289" s="789" t="str">
        <f t="shared" ca="1" si="491"/>
        <v/>
      </c>
      <c r="AL289" s="789" t="str">
        <f t="shared" ca="1" si="492"/>
        <v/>
      </c>
      <c r="AM289" s="789" t="str">
        <f t="shared" ca="1" si="493"/>
        <v/>
      </c>
      <c r="AN289" s="789" t="str">
        <f t="shared" ca="1" si="494"/>
        <v/>
      </c>
      <c r="AO289" s="789" t="str">
        <f t="shared" ca="1" si="495"/>
        <v/>
      </c>
      <c r="AP289" s="789" t="str">
        <f t="shared" ca="1" si="496"/>
        <v/>
      </c>
      <c r="AQ289" s="789" t="str">
        <f t="shared" ca="1" si="497"/>
        <v/>
      </c>
      <c r="AR289" s="789" t="str">
        <f t="shared" ca="1" si="498"/>
        <v/>
      </c>
      <c r="AS289" s="789" t="str">
        <f t="shared" ca="1" si="499"/>
        <v/>
      </c>
      <c r="AT289" s="789" t="str">
        <f t="shared" ca="1" si="500"/>
        <v/>
      </c>
      <c r="AU289" s="789" t="str">
        <f t="shared" ca="1" si="501"/>
        <v/>
      </c>
      <c r="AV289" s="789" t="str">
        <f t="shared" ca="1" si="502"/>
        <v/>
      </c>
      <c r="AW289" s="789" t="str">
        <f t="shared" ca="1" si="503"/>
        <v/>
      </c>
      <c r="AX289" s="789" t="str">
        <f t="shared" ca="1" si="504"/>
        <v/>
      </c>
      <c r="AY289" s="789" t="str">
        <f t="shared" ca="1" si="505"/>
        <v/>
      </c>
      <c r="AZ289" s="789" t="str">
        <f t="shared" ca="1" si="506"/>
        <v/>
      </c>
      <c r="BA289" s="789" t="str">
        <f t="shared" ca="1" si="507"/>
        <v/>
      </c>
      <c r="BB289" s="789" t="str">
        <f t="shared" ca="1" si="508"/>
        <v/>
      </c>
      <c r="BC289" s="789" t="str">
        <f t="shared" ca="1" si="509"/>
        <v/>
      </c>
      <c r="BD289" s="789" t="str">
        <f t="shared" ca="1" si="510"/>
        <v/>
      </c>
      <c r="BE289" s="789" t="str">
        <f t="shared" ca="1" si="511"/>
        <v/>
      </c>
      <c r="BF289" s="789" t="str">
        <f t="shared" ca="1" si="512"/>
        <v/>
      </c>
      <c r="BG289" s="789" t="str">
        <f t="shared" ca="1" si="513"/>
        <v/>
      </c>
      <c r="BH289" s="789" t="str">
        <f t="shared" ca="1" si="514"/>
        <v/>
      </c>
      <c r="BI289" s="789" t="str">
        <f t="shared" ca="1" si="515"/>
        <v/>
      </c>
      <c r="BJ289" s="789" t="str">
        <f t="shared" ca="1" si="516"/>
        <v/>
      </c>
      <c r="BK289" s="789" t="str">
        <f t="shared" ca="1" si="517"/>
        <v/>
      </c>
      <c r="BL289" s="789" t="str">
        <f t="shared" ca="1" si="518"/>
        <v/>
      </c>
      <c r="BM289" s="789" t="str">
        <f t="shared" ca="1" si="519"/>
        <v/>
      </c>
      <c r="BN289" s="789" t="str">
        <f t="shared" ca="1" si="520"/>
        <v/>
      </c>
      <c r="BO289" s="789" t="str">
        <f t="shared" ca="1" si="521"/>
        <v/>
      </c>
    </row>
    <row r="290" spans="1:67" ht="20.100000000000001" customHeight="1">
      <c r="A290" s="784">
        <v>40</v>
      </c>
      <c r="B290" s="1594"/>
      <c r="C290" s="1596"/>
      <c r="D290" s="785" t="s">
        <v>381</v>
      </c>
      <c r="E290" s="785"/>
      <c r="F290" s="786"/>
      <c r="G290" s="787" t="s">
        <v>453</v>
      </c>
      <c r="H290" s="788">
        <f t="shared" ref="H290:K305" ca="1" si="525">H41</f>
        <v>23.4</v>
      </c>
      <c r="I290" s="788">
        <f t="shared" ca="1" si="525"/>
        <v>23.4</v>
      </c>
      <c r="J290" s="788">
        <f t="shared" ca="1" si="525"/>
        <v>23.4</v>
      </c>
      <c r="K290" s="788">
        <f t="shared" ca="1" si="525"/>
        <v>23.4</v>
      </c>
      <c r="L290" s="789">
        <f t="shared" ca="1" si="523"/>
        <v>0</v>
      </c>
      <c r="M290" s="789">
        <f t="shared" ca="1" si="523"/>
        <v>0</v>
      </c>
      <c r="N290" s="789">
        <f t="shared" ca="1" si="523"/>
        <v>0</v>
      </c>
      <c r="O290" s="789">
        <f t="shared" ca="1" si="523"/>
        <v>0</v>
      </c>
      <c r="P290" s="789">
        <f ca="1">SUM(SUMIFS(OFFSET(貼付け_2024実績,$A290,11,1,199),OFFSET(貼付け_2024実績,4,9,1,199),{"横浜*","川崎*"}))</f>
        <v>0</v>
      </c>
      <c r="Q290" s="789">
        <f ca="1">SUM(SUMIFS(OFFSET(貼付け_2025実績,$A290,11,1,199),OFFSET(貼付け_2025実績,4,9,1,199),{"横浜*","川崎*"}))</f>
        <v>0</v>
      </c>
      <c r="R290" s="789">
        <f ca="1">SUM(SUMIFS(OFFSET(貼付け_2026実績,$A290,11,1,199),OFFSET(貼付け_2026実績,4,9,1,199),{"横浜*","川崎*"}))</f>
        <v>0</v>
      </c>
      <c r="S290" s="789">
        <f ca="1">SUM(SUMIFS(OFFSET(貼付け_2027実績,$A290,11,1,199),OFFSET(貼付け_2027実績,4,9,1,199),{"横浜*","川崎*"}))</f>
        <v>0</v>
      </c>
      <c r="T290" s="789">
        <f t="shared" ca="1" si="524"/>
        <v>0</v>
      </c>
      <c r="U290" s="789">
        <f t="shared" ca="1" si="524"/>
        <v>0</v>
      </c>
      <c r="V290" s="789">
        <f t="shared" ca="1" si="524"/>
        <v>0</v>
      </c>
      <c r="W290" s="789">
        <f t="shared" ca="1" si="524"/>
        <v>0</v>
      </c>
      <c r="X290" s="789">
        <f t="shared" ref="X290:X316" ca="1" si="526">SUMIFS(OFFSET(貼付け_2024実績,$A290,11,1,199),OFFSET(貼付け_2024実績,4,9,1,199),"県域*")</f>
        <v>0</v>
      </c>
      <c r="Y290" s="789">
        <f t="shared" ref="Y290:Y316" ca="1" si="527">SUMIFS(OFFSET(貼付け_2025実績,$A290,11,1,199),OFFSET(貼付け_2025実績,4,9,1,199),"県域*")</f>
        <v>0</v>
      </c>
      <c r="Z290" s="789">
        <f t="shared" ref="Z290:Z316" ca="1" si="528">SUMIFS(OFFSET(貼付け_2026実績,$A290,11,1,199),OFFSET(貼付け_2026実績,4,9,1,199),"県域*")</f>
        <v>0</v>
      </c>
      <c r="AA290" s="789">
        <f t="shared" ref="AA290:AA316" ca="1" si="529">SUMIFS(OFFSET(貼付け_2027実績,$A290,11,1,199),OFFSET(貼付け_2027実績,4,9,1,199),"県域*")</f>
        <v>0</v>
      </c>
      <c r="AB290" s="789" t="str">
        <f t="shared" ref="AB290:AB316" ca="1" si="530">IFERROR(OFFSET(貼付け_2024実績,$A290,AB$1+2),"")</f>
        <v/>
      </c>
      <c r="AC290" s="789" t="str">
        <f t="shared" ref="AC290:AC316" ca="1" si="531">IFERROR(OFFSET(貼付け_2025実績,$A290,AC$1+2),"")</f>
        <v/>
      </c>
      <c r="AD290" s="789" t="str">
        <f t="shared" ref="AD290:AD316" ca="1" si="532">IFERROR(OFFSET(貼付け_2026実績,$A290,AD$1+2),"")</f>
        <v/>
      </c>
      <c r="AE290" s="789" t="str">
        <f t="shared" ref="AE290:AE316" ca="1" si="533">IFERROR(OFFSET(貼付け_2027実績,$A290,AE$1+2),"")</f>
        <v/>
      </c>
      <c r="AF290" s="789" t="str">
        <f t="shared" ref="AF290:AF316" ca="1" si="534">IFERROR(OFFSET(貼付け_2024実績,$A290,AF$1+2),"")</f>
        <v/>
      </c>
      <c r="AG290" s="789" t="str">
        <f t="shared" ref="AG290:AG316" ca="1" si="535">IFERROR(OFFSET(貼付け_2025実績,$A290,AG$1+2),"")</f>
        <v/>
      </c>
      <c r="AH290" s="789" t="str">
        <f t="shared" ref="AH290:AH316" ca="1" si="536">IFERROR(OFFSET(貼付け_2026実績,$A290,AH$1+2),"")</f>
        <v/>
      </c>
      <c r="AI290" s="789" t="str">
        <f t="shared" ref="AI290:AI316" ca="1" si="537">IFERROR(OFFSET(貼付け_2027実績,$A290,AI$1+2),"")</f>
        <v/>
      </c>
      <c r="AJ290" s="789" t="str">
        <f t="shared" ref="AJ290:AJ316" ca="1" si="538">IFERROR(OFFSET(貼付け_2024実績,$A290,AJ$1+2),"")</f>
        <v/>
      </c>
      <c r="AK290" s="789" t="str">
        <f t="shared" ref="AK290:AK316" ca="1" si="539">IFERROR(OFFSET(貼付け_2025実績,$A290,AK$1+2),"")</f>
        <v/>
      </c>
      <c r="AL290" s="789" t="str">
        <f t="shared" ref="AL290:AL316" ca="1" si="540">IFERROR(OFFSET(貼付け_2026実績,$A290,AL$1+2),"")</f>
        <v/>
      </c>
      <c r="AM290" s="789" t="str">
        <f t="shared" ref="AM290:AM316" ca="1" si="541">IFERROR(OFFSET(貼付け_2027実績,$A290,AM$1+2),"")</f>
        <v/>
      </c>
      <c r="AN290" s="789" t="str">
        <f t="shared" ref="AN290:AN316" ca="1" si="542">IFERROR(OFFSET(貼付け_2024実績,$A290,AN$1+2),"")</f>
        <v/>
      </c>
      <c r="AO290" s="789" t="str">
        <f t="shared" ref="AO290:AO316" ca="1" si="543">IFERROR(OFFSET(貼付け_2025実績,$A290,AO$1+2),"")</f>
        <v/>
      </c>
      <c r="AP290" s="789" t="str">
        <f t="shared" ref="AP290:AP316" ca="1" si="544">IFERROR(OFFSET(貼付け_2026実績,$A290,AP$1+2),"")</f>
        <v/>
      </c>
      <c r="AQ290" s="789" t="str">
        <f t="shared" ref="AQ290:AQ316" ca="1" si="545">IFERROR(OFFSET(貼付け_2027実績,$A290,AQ$1+2),"")</f>
        <v/>
      </c>
      <c r="AR290" s="789" t="str">
        <f t="shared" ref="AR290:AR316" ca="1" si="546">IFERROR(OFFSET(貼付け_2024実績,$A290,AR$1+2),"")</f>
        <v/>
      </c>
      <c r="AS290" s="789" t="str">
        <f t="shared" ref="AS290:AS316" ca="1" si="547">IFERROR(OFFSET(貼付け_2025実績,$A290,AS$1+2),"")</f>
        <v/>
      </c>
      <c r="AT290" s="789" t="str">
        <f t="shared" ref="AT290:AT316" ca="1" si="548">IFERROR(OFFSET(貼付け_2026実績,$A290,AT$1+2),"")</f>
        <v/>
      </c>
      <c r="AU290" s="789" t="str">
        <f t="shared" ref="AU290:AU316" ca="1" si="549">IFERROR(OFFSET(貼付け_2027実績,$A290,AU$1+2),"")</f>
        <v/>
      </c>
      <c r="AV290" s="789" t="str">
        <f t="shared" ref="AV290:AV316" ca="1" si="550">IFERROR(OFFSET(貼付け_2024実績,$A290,AV$1+2),"")</f>
        <v/>
      </c>
      <c r="AW290" s="789" t="str">
        <f t="shared" ref="AW290:AW316" ca="1" si="551">IFERROR(OFFSET(貼付け_2025実績,$A290,AW$1+2),"")</f>
        <v/>
      </c>
      <c r="AX290" s="789" t="str">
        <f t="shared" ref="AX290:AX316" ca="1" si="552">IFERROR(OFFSET(貼付け_2026実績,$A290,AX$1+2),"")</f>
        <v/>
      </c>
      <c r="AY290" s="789" t="str">
        <f t="shared" ref="AY290:AY316" ca="1" si="553">IFERROR(OFFSET(貼付け_2027実績,$A290,AY$1+2),"")</f>
        <v/>
      </c>
      <c r="AZ290" s="789" t="str">
        <f t="shared" ref="AZ290:AZ316" ca="1" si="554">IFERROR(OFFSET(貼付け_2024実績,$A290,AZ$1+2),"")</f>
        <v/>
      </c>
      <c r="BA290" s="789" t="str">
        <f t="shared" ref="BA290:BA316" ca="1" si="555">IFERROR(OFFSET(貼付け_2025実績,$A290,BA$1+2),"")</f>
        <v/>
      </c>
      <c r="BB290" s="789" t="str">
        <f t="shared" ref="BB290:BB316" ca="1" si="556">IFERROR(OFFSET(貼付け_2026実績,$A290,BB$1+2),"")</f>
        <v/>
      </c>
      <c r="BC290" s="789" t="str">
        <f t="shared" ref="BC290:BC316" ca="1" si="557">IFERROR(OFFSET(貼付け_2027実績,$A290,BC$1+2),"")</f>
        <v/>
      </c>
      <c r="BD290" s="789" t="str">
        <f t="shared" ref="BD290:BD316" ca="1" si="558">IFERROR(OFFSET(貼付け_2024実績,$A290,BD$1+2),"")</f>
        <v/>
      </c>
      <c r="BE290" s="789" t="str">
        <f t="shared" ref="BE290:BE316" ca="1" si="559">IFERROR(OFFSET(貼付け_2025実績,$A290,BE$1+2),"")</f>
        <v/>
      </c>
      <c r="BF290" s="789" t="str">
        <f t="shared" ref="BF290:BF316" ca="1" si="560">IFERROR(OFFSET(貼付け_2026実績,$A290,BF$1+2),"")</f>
        <v/>
      </c>
      <c r="BG290" s="789" t="str">
        <f t="shared" ref="BG290:BG316" ca="1" si="561">IFERROR(OFFSET(貼付け_2027実績,$A290,BG$1+2),"")</f>
        <v/>
      </c>
      <c r="BH290" s="789" t="str">
        <f t="shared" ref="BH290:BH316" ca="1" si="562">IFERROR(OFFSET(貼付け_2024実績,$A290,BH$1+2),"")</f>
        <v/>
      </c>
      <c r="BI290" s="789" t="str">
        <f t="shared" ref="BI290:BI316" ca="1" si="563">IFERROR(OFFSET(貼付け_2025実績,$A290,BI$1+2),"")</f>
        <v/>
      </c>
      <c r="BJ290" s="789" t="str">
        <f t="shared" ref="BJ290:BJ316" ca="1" si="564">IFERROR(OFFSET(貼付け_2026実績,$A290,BJ$1+2),"")</f>
        <v/>
      </c>
      <c r="BK290" s="789" t="str">
        <f t="shared" ref="BK290:BK316" ca="1" si="565">IFERROR(OFFSET(貼付け_2027実績,$A290,BK$1+2),"")</f>
        <v/>
      </c>
      <c r="BL290" s="789" t="str">
        <f t="shared" ref="BL290:BL316" ca="1" si="566">IFERROR(OFFSET(貼付け_2024実績,$A290,BL$1+2),"")</f>
        <v/>
      </c>
      <c r="BM290" s="789" t="str">
        <f t="shared" ref="BM290:BM316" ca="1" si="567">IFERROR(OFFSET(貼付け_2025実績,$A290,BM$1+2),"")</f>
        <v/>
      </c>
      <c r="BN290" s="789" t="str">
        <f t="shared" ref="BN290:BN316" ca="1" si="568">IFERROR(OFFSET(貼付け_2026実績,$A290,BN$1+2),"")</f>
        <v/>
      </c>
      <c r="BO290" s="789" t="str">
        <f t="shared" ref="BO290:BO316" ca="1" si="569">IFERROR(OFFSET(貼付け_2027実績,$A290,BO$1+2),"")</f>
        <v/>
      </c>
    </row>
    <row r="291" spans="1:67" ht="20.100000000000001" customHeight="1">
      <c r="A291" s="784">
        <v>41</v>
      </c>
      <c r="B291" s="1594"/>
      <c r="C291" s="1596"/>
      <c r="D291" s="785" t="s">
        <v>382</v>
      </c>
      <c r="E291" s="785"/>
      <c r="F291" s="786"/>
      <c r="G291" s="787" t="s">
        <v>453</v>
      </c>
      <c r="H291" s="788">
        <f t="shared" ca="1" si="525"/>
        <v>35.6</v>
      </c>
      <c r="I291" s="788">
        <f t="shared" ca="1" si="525"/>
        <v>35.6</v>
      </c>
      <c r="J291" s="788">
        <f t="shared" ca="1" si="525"/>
        <v>35.6</v>
      </c>
      <c r="K291" s="788">
        <f t="shared" ca="1" si="525"/>
        <v>35.6</v>
      </c>
      <c r="L291" s="789">
        <f t="shared" ca="1" si="523"/>
        <v>0</v>
      </c>
      <c r="M291" s="789">
        <f t="shared" ca="1" si="523"/>
        <v>0</v>
      </c>
      <c r="N291" s="789">
        <f t="shared" ca="1" si="523"/>
        <v>0</v>
      </c>
      <c r="O291" s="789">
        <f t="shared" ca="1" si="523"/>
        <v>0</v>
      </c>
      <c r="P291" s="789">
        <f ca="1">SUM(SUMIFS(OFFSET(貼付け_2024実績,$A291,11,1,199),OFFSET(貼付け_2024実績,4,9,1,199),{"横浜*","川崎*"}))</f>
        <v>0</v>
      </c>
      <c r="Q291" s="789">
        <f ca="1">SUM(SUMIFS(OFFSET(貼付け_2025実績,$A291,11,1,199),OFFSET(貼付け_2025実績,4,9,1,199),{"横浜*","川崎*"}))</f>
        <v>0</v>
      </c>
      <c r="R291" s="789">
        <f ca="1">SUM(SUMIFS(OFFSET(貼付け_2026実績,$A291,11,1,199),OFFSET(貼付け_2026実績,4,9,1,199),{"横浜*","川崎*"}))</f>
        <v>0</v>
      </c>
      <c r="S291" s="789">
        <f ca="1">SUM(SUMIFS(OFFSET(貼付け_2027実績,$A291,11,1,199),OFFSET(貼付け_2027実績,4,9,1,199),{"横浜*","川崎*"}))</f>
        <v>0</v>
      </c>
      <c r="T291" s="789">
        <f t="shared" ca="1" si="524"/>
        <v>0</v>
      </c>
      <c r="U291" s="789">
        <f t="shared" ca="1" si="524"/>
        <v>0</v>
      </c>
      <c r="V291" s="789">
        <f t="shared" ca="1" si="524"/>
        <v>0</v>
      </c>
      <c r="W291" s="789">
        <f t="shared" ca="1" si="524"/>
        <v>0</v>
      </c>
      <c r="X291" s="789">
        <f t="shared" ca="1" si="526"/>
        <v>0</v>
      </c>
      <c r="Y291" s="789">
        <f t="shared" ca="1" si="527"/>
        <v>0</v>
      </c>
      <c r="Z291" s="789">
        <f t="shared" ca="1" si="528"/>
        <v>0</v>
      </c>
      <c r="AA291" s="789">
        <f t="shared" ca="1" si="529"/>
        <v>0</v>
      </c>
      <c r="AB291" s="789" t="str">
        <f t="shared" ca="1" si="530"/>
        <v/>
      </c>
      <c r="AC291" s="789" t="str">
        <f t="shared" ca="1" si="531"/>
        <v/>
      </c>
      <c r="AD291" s="789" t="str">
        <f t="shared" ca="1" si="532"/>
        <v/>
      </c>
      <c r="AE291" s="789" t="str">
        <f t="shared" ca="1" si="533"/>
        <v/>
      </c>
      <c r="AF291" s="789" t="str">
        <f t="shared" ca="1" si="534"/>
        <v/>
      </c>
      <c r="AG291" s="789" t="str">
        <f t="shared" ca="1" si="535"/>
        <v/>
      </c>
      <c r="AH291" s="789" t="str">
        <f t="shared" ca="1" si="536"/>
        <v/>
      </c>
      <c r="AI291" s="789" t="str">
        <f t="shared" ca="1" si="537"/>
        <v/>
      </c>
      <c r="AJ291" s="789" t="str">
        <f t="shared" ca="1" si="538"/>
        <v/>
      </c>
      <c r="AK291" s="789" t="str">
        <f t="shared" ca="1" si="539"/>
        <v/>
      </c>
      <c r="AL291" s="789" t="str">
        <f t="shared" ca="1" si="540"/>
        <v/>
      </c>
      <c r="AM291" s="789" t="str">
        <f t="shared" ca="1" si="541"/>
        <v/>
      </c>
      <c r="AN291" s="789" t="str">
        <f t="shared" ca="1" si="542"/>
        <v/>
      </c>
      <c r="AO291" s="789" t="str">
        <f t="shared" ca="1" si="543"/>
        <v/>
      </c>
      <c r="AP291" s="789" t="str">
        <f t="shared" ca="1" si="544"/>
        <v/>
      </c>
      <c r="AQ291" s="789" t="str">
        <f t="shared" ca="1" si="545"/>
        <v/>
      </c>
      <c r="AR291" s="789" t="str">
        <f t="shared" ca="1" si="546"/>
        <v/>
      </c>
      <c r="AS291" s="789" t="str">
        <f t="shared" ca="1" si="547"/>
        <v/>
      </c>
      <c r="AT291" s="789" t="str">
        <f t="shared" ca="1" si="548"/>
        <v/>
      </c>
      <c r="AU291" s="789" t="str">
        <f t="shared" ca="1" si="549"/>
        <v/>
      </c>
      <c r="AV291" s="789" t="str">
        <f t="shared" ca="1" si="550"/>
        <v/>
      </c>
      <c r="AW291" s="789" t="str">
        <f t="shared" ca="1" si="551"/>
        <v/>
      </c>
      <c r="AX291" s="789" t="str">
        <f t="shared" ca="1" si="552"/>
        <v/>
      </c>
      <c r="AY291" s="789" t="str">
        <f t="shared" ca="1" si="553"/>
        <v/>
      </c>
      <c r="AZ291" s="789" t="str">
        <f t="shared" ca="1" si="554"/>
        <v/>
      </c>
      <c r="BA291" s="789" t="str">
        <f t="shared" ca="1" si="555"/>
        <v/>
      </c>
      <c r="BB291" s="789" t="str">
        <f t="shared" ca="1" si="556"/>
        <v/>
      </c>
      <c r="BC291" s="789" t="str">
        <f t="shared" ca="1" si="557"/>
        <v/>
      </c>
      <c r="BD291" s="789" t="str">
        <f t="shared" ca="1" si="558"/>
        <v/>
      </c>
      <c r="BE291" s="789" t="str">
        <f t="shared" ca="1" si="559"/>
        <v/>
      </c>
      <c r="BF291" s="789" t="str">
        <f t="shared" ca="1" si="560"/>
        <v/>
      </c>
      <c r="BG291" s="789" t="str">
        <f t="shared" ca="1" si="561"/>
        <v/>
      </c>
      <c r="BH291" s="789" t="str">
        <f t="shared" ca="1" si="562"/>
        <v/>
      </c>
      <c r="BI291" s="789" t="str">
        <f t="shared" ca="1" si="563"/>
        <v/>
      </c>
      <c r="BJ291" s="789" t="str">
        <f t="shared" ca="1" si="564"/>
        <v/>
      </c>
      <c r="BK291" s="789" t="str">
        <f t="shared" ca="1" si="565"/>
        <v/>
      </c>
      <c r="BL291" s="789" t="str">
        <f t="shared" ca="1" si="566"/>
        <v/>
      </c>
      <c r="BM291" s="789" t="str">
        <f t="shared" ca="1" si="567"/>
        <v/>
      </c>
      <c r="BN291" s="789" t="str">
        <f t="shared" ca="1" si="568"/>
        <v/>
      </c>
      <c r="BO291" s="789" t="str">
        <f t="shared" ca="1" si="569"/>
        <v/>
      </c>
    </row>
    <row r="292" spans="1:67" ht="20.100000000000001" customHeight="1">
      <c r="A292" s="784">
        <v>42</v>
      </c>
      <c r="B292" s="1594"/>
      <c r="C292" s="1596"/>
      <c r="D292" s="785" t="s">
        <v>383</v>
      </c>
      <c r="E292" s="785"/>
      <c r="F292" s="786"/>
      <c r="G292" s="787" t="s">
        <v>457</v>
      </c>
      <c r="H292" s="788">
        <f t="shared" ca="1" si="525"/>
        <v>21.2</v>
      </c>
      <c r="I292" s="788">
        <f t="shared" ca="1" si="525"/>
        <v>21.2</v>
      </c>
      <c r="J292" s="788">
        <f t="shared" ca="1" si="525"/>
        <v>21.2</v>
      </c>
      <c r="K292" s="788">
        <f t="shared" ca="1" si="525"/>
        <v>21.2</v>
      </c>
      <c r="L292" s="789">
        <f t="shared" ca="1" si="523"/>
        <v>0</v>
      </c>
      <c r="M292" s="789">
        <f t="shared" ca="1" si="523"/>
        <v>0</v>
      </c>
      <c r="N292" s="789">
        <f t="shared" ca="1" si="523"/>
        <v>0</v>
      </c>
      <c r="O292" s="789">
        <f t="shared" ca="1" si="523"/>
        <v>0</v>
      </c>
      <c r="P292" s="789">
        <f ca="1">SUM(SUMIFS(OFFSET(貼付け_2024実績,$A292,11,1,199),OFFSET(貼付け_2024実績,4,9,1,199),{"横浜*","川崎*"}))</f>
        <v>0</v>
      </c>
      <c r="Q292" s="789">
        <f ca="1">SUM(SUMIFS(OFFSET(貼付け_2025実績,$A292,11,1,199),OFFSET(貼付け_2025実績,4,9,1,199),{"横浜*","川崎*"}))</f>
        <v>0</v>
      </c>
      <c r="R292" s="789">
        <f ca="1">SUM(SUMIFS(OFFSET(貼付け_2026実績,$A292,11,1,199),OFFSET(貼付け_2026実績,4,9,1,199),{"横浜*","川崎*"}))</f>
        <v>0</v>
      </c>
      <c r="S292" s="789">
        <f ca="1">SUM(SUMIFS(OFFSET(貼付け_2027実績,$A292,11,1,199),OFFSET(貼付け_2027実績,4,9,1,199),{"横浜*","川崎*"}))</f>
        <v>0</v>
      </c>
      <c r="T292" s="789">
        <f t="shared" ca="1" si="524"/>
        <v>0</v>
      </c>
      <c r="U292" s="789">
        <f t="shared" ca="1" si="524"/>
        <v>0</v>
      </c>
      <c r="V292" s="789">
        <f t="shared" ca="1" si="524"/>
        <v>0</v>
      </c>
      <c r="W292" s="789">
        <f t="shared" ca="1" si="524"/>
        <v>0</v>
      </c>
      <c r="X292" s="789">
        <f t="shared" ca="1" si="526"/>
        <v>0</v>
      </c>
      <c r="Y292" s="789">
        <f t="shared" ca="1" si="527"/>
        <v>0</v>
      </c>
      <c r="Z292" s="789">
        <f t="shared" ca="1" si="528"/>
        <v>0</v>
      </c>
      <c r="AA292" s="789">
        <f t="shared" ca="1" si="529"/>
        <v>0</v>
      </c>
      <c r="AB292" s="789" t="str">
        <f t="shared" ca="1" si="530"/>
        <v/>
      </c>
      <c r="AC292" s="789" t="str">
        <f t="shared" ca="1" si="531"/>
        <v/>
      </c>
      <c r="AD292" s="789" t="str">
        <f t="shared" ca="1" si="532"/>
        <v/>
      </c>
      <c r="AE292" s="789" t="str">
        <f t="shared" ca="1" si="533"/>
        <v/>
      </c>
      <c r="AF292" s="789" t="str">
        <f t="shared" ca="1" si="534"/>
        <v/>
      </c>
      <c r="AG292" s="789" t="str">
        <f t="shared" ca="1" si="535"/>
        <v/>
      </c>
      <c r="AH292" s="789" t="str">
        <f t="shared" ca="1" si="536"/>
        <v/>
      </c>
      <c r="AI292" s="789" t="str">
        <f t="shared" ca="1" si="537"/>
        <v/>
      </c>
      <c r="AJ292" s="789" t="str">
        <f t="shared" ca="1" si="538"/>
        <v/>
      </c>
      <c r="AK292" s="789" t="str">
        <f t="shared" ca="1" si="539"/>
        <v/>
      </c>
      <c r="AL292" s="789" t="str">
        <f t="shared" ca="1" si="540"/>
        <v/>
      </c>
      <c r="AM292" s="789" t="str">
        <f t="shared" ca="1" si="541"/>
        <v/>
      </c>
      <c r="AN292" s="789" t="str">
        <f t="shared" ca="1" si="542"/>
        <v/>
      </c>
      <c r="AO292" s="789" t="str">
        <f t="shared" ca="1" si="543"/>
        <v/>
      </c>
      <c r="AP292" s="789" t="str">
        <f t="shared" ca="1" si="544"/>
        <v/>
      </c>
      <c r="AQ292" s="789" t="str">
        <f t="shared" ca="1" si="545"/>
        <v/>
      </c>
      <c r="AR292" s="789" t="str">
        <f t="shared" ca="1" si="546"/>
        <v/>
      </c>
      <c r="AS292" s="789" t="str">
        <f t="shared" ca="1" si="547"/>
        <v/>
      </c>
      <c r="AT292" s="789" t="str">
        <f t="shared" ca="1" si="548"/>
        <v/>
      </c>
      <c r="AU292" s="789" t="str">
        <f t="shared" ca="1" si="549"/>
        <v/>
      </c>
      <c r="AV292" s="789" t="str">
        <f t="shared" ca="1" si="550"/>
        <v/>
      </c>
      <c r="AW292" s="789" t="str">
        <f t="shared" ca="1" si="551"/>
        <v/>
      </c>
      <c r="AX292" s="789" t="str">
        <f t="shared" ca="1" si="552"/>
        <v/>
      </c>
      <c r="AY292" s="789" t="str">
        <f t="shared" ca="1" si="553"/>
        <v/>
      </c>
      <c r="AZ292" s="789" t="str">
        <f t="shared" ca="1" si="554"/>
        <v/>
      </c>
      <c r="BA292" s="789" t="str">
        <f t="shared" ca="1" si="555"/>
        <v/>
      </c>
      <c r="BB292" s="789" t="str">
        <f t="shared" ca="1" si="556"/>
        <v/>
      </c>
      <c r="BC292" s="789" t="str">
        <f t="shared" ca="1" si="557"/>
        <v/>
      </c>
      <c r="BD292" s="789" t="str">
        <f t="shared" ca="1" si="558"/>
        <v/>
      </c>
      <c r="BE292" s="789" t="str">
        <f t="shared" ca="1" si="559"/>
        <v/>
      </c>
      <c r="BF292" s="789" t="str">
        <f t="shared" ca="1" si="560"/>
        <v/>
      </c>
      <c r="BG292" s="789" t="str">
        <f t="shared" ca="1" si="561"/>
        <v/>
      </c>
      <c r="BH292" s="789" t="str">
        <f t="shared" ca="1" si="562"/>
        <v/>
      </c>
      <c r="BI292" s="789" t="str">
        <f t="shared" ca="1" si="563"/>
        <v/>
      </c>
      <c r="BJ292" s="789" t="str">
        <f t="shared" ca="1" si="564"/>
        <v/>
      </c>
      <c r="BK292" s="789" t="str">
        <f t="shared" ca="1" si="565"/>
        <v/>
      </c>
      <c r="BL292" s="789" t="str">
        <f t="shared" ca="1" si="566"/>
        <v/>
      </c>
      <c r="BM292" s="789" t="str">
        <f t="shared" ca="1" si="567"/>
        <v/>
      </c>
      <c r="BN292" s="789" t="str">
        <f t="shared" ca="1" si="568"/>
        <v/>
      </c>
      <c r="BO292" s="789" t="str">
        <f t="shared" ca="1" si="569"/>
        <v/>
      </c>
    </row>
    <row r="293" spans="1:67" ht="20.100000000000001" customHeight="1">
      <c r="A293" s="784">
        <v>43</v>
      </c>
      <c r="B293" s="1594"/>
      <c r="C293" s="1596"/>
      <c r="D293" s="785" t="s">
        <v>384</v>
      </c>
      <c r="E293" s="792" t="str">
        <f ca="1">E44</f>
        <v/>
      </c>
      <c r="F293" s="794"/>
      <c r="G293" s="787" t="s">
        <v>455</v>
      </c>
      <c r="H293" s="788">
        <f t="shared" ca="1" si="525"/>
        <v>13.2</v>
      </c>
      <c r="I293" s="788">
        <f t="shared" ca="1" si="525"/>
        <v>13.2</v>
      </c>
      <c r="J293" s="788">
        <f t="shared" ca="1" si="525"/>
        <v>13.2</v>
      </c>
      <c r="K293" s="788">
        <f t="shared" ca="1" si="525"/>
        <v>13.2</v>
      </c>
      <c r="L293" s="789">
        <f t="shared" ca="1" si="523"/>
        <v>0</v>
      </c>
      <c r="M293" s="789">
        <f t="shared" ca="1" si="523"/>
        <v>0</v>
      </c>
      <c r="N293" s="789">
        <f t="shared" ca="1" si="523"/>
        <v>0</v>
      </c>
      <c r="O293" s="789">
        <f t="shared" ca="1" si="523"/>
        <v>0</v>
      </c>
      <c r="P293" s="789">
        <f ca="1">SUM(SUMIFS(OFFSET(貼付け_2024実績,$A293,11,1,199),OFFSET(貼付け_2024実績,4,9,1,199),{"横浜*","川崎*"}))</f>
        <v>0</v>
      </c>
      <c r="Q293" s="789">
        <f ca="1">SUM(SUMIFS(OFFSET(貼付け_2025実績,$A293,11,1,199),OFFSET(貼付け_2025実績,4,9,1,199),{"横浜*","川崎*"}))</f>
        <v>0</v>
      </c>
      <c r="R293" s="789">
        <f ca="1">SUM(SUMIFS(OFFSET(貼付け_2026実績,$A293,11,1,199),OFFSET(貼付け_2026実績,4,9,1,199),{"横浜*","川崎*"}))</f>
        <v>0</v>
      </c>
      <c r="S293" s="789">
        <f ca="1">SUM(SUMIFS(OFFSET(貼付け_2027実績,$A293,11,1,199),OFFSET(貼付け_2027実績,4,9,1,199),{"横浜*","川崎*"}))</f>
        <v>0</v>
      </c>
      <c r="T293" s="789">
        <f t="shared" ca="1" si="524"/>
        <v>0</v>
      </c>
      <c r="U293" s="789">
        <f t="shared" ca="1" si="524"/>
        <v>0</v>
      </c>
      <c r="V293" s="789">
        <f t="shared" ca="1" si="524"/>
        <v>0</v>
      </c>
      <c r="W293" s="789">
        <f t="shared" ca="1" si="524"/>
        <v>0</v>
      </c>
      <c r="X293" s="789">
        <f t="shared" ca="1" si="526"/>
        <v>0</v>
      </c>
      <c r="Y293" s="789">
        <f t="shared" ca="1" si="527"/>
        <v>0</v>
      </c>
      <c r="Z293" s="789">
        <f t="shared" ca="1" si="528"/>
        <v>0</v>
      </c>
      <c r="AA293" s="789">
        <f t="shared" ca="1" si="529"/>
        <v>0</v>
      </c>
      <c r="AB293" s="789" t="str">
        <f t="shared" ca="1" si="530"/>
        <v/>
      </c>
      <c r="AC293" s="789" t="str">
        <f t="shared" ca="1" si="531"/>
        <v/>
      </c>
      <c r="AD293" s="789" t="str">
        <f t="shared" ca="1" si="532"/>
        <v/>
      </c>
      <c r="AE293" s="789" t="str">
        <f t="shared" ca="1" si="533"/>
        <v/>
      </c>
      <c r="AF293" s="789" t="str">
        <f t="shared" ca="1" si="534"/>
        <v/>
      </c>
      <c r="AG293" s="789" t="str">
        <f t="shared" ca="1" si="535"/>
        <v/>
      </c>
      <c r="AH293" s="789" t="str">
        <f t="shared" ca="1" si="536"/>
        <v/>
      </c>
      <c r="AI293" s="789" t="str">
        <f t="shared" ca="1" si="537"/>
        <v/>
      </c>
      <c r="AJ293" s="789" t="str">
        <f t="shared" ca="1" si="538"/>
        <v/>
      </c>
      <c r="AK293" s="789" t="str">
        <f t="shared" ca="1" si="539"/>
        <v/>
      </c>
      <c r="AL293" s="789" t="str">
        <f t="shared" ca="1" si="540"/>
        <v/>
      </c>
      <c r="AM293" s="789" t="str">
        <f t="shared" ca="1" si="541"/>
        <v/>
      </c>
      <c r="AN293" s="789" t="str">
        <f t="shared" ca="1" si="542"/>
        <v/>
      </c>
      <c r="AO293" s="789" t="str">
        <f t="shared" ca="1" si="543"/>
        <v/>
      </c>
      <c r="AP293" s="789" t="str">
        <f t="shared" ca="1" si="544"/>
        <v/>
      </c>
      <c r="AQ293" s="789" t="str">
        <f t="shared" ca="1" si="545"/>
        <v/>
      </c>
      <c r="AR293" s="789" t="str">
        <f t="shared" ca="1" si="546"/>
        <v/>
      </c>
      <c r="AS293" s="789" t="str">
        <f t="shared" ca="1" si="547"/>
        <v/>
      </c>
      <c r="AT293" s="789" t="str">
        <f t="shared" ca="1" si="548"/>
        <v/>
      </c>
      <c r="AU293" s="789" t="str">
        <f t="shared" ca="1" si="549"/>
        <v/>
      </c>
      <c r="AV293" s="789" t="str">
        <f t="shared" ca="1" si="550"/>
        <v/>
      </c>
      <c r="AW293" s="789" t="str">
        <f t="shared" ca="1" si="551"/>
        <v/>
      </c>
      <c r="AX293" s="789" t="str">
        <f t="shared" ca="1" si="552"/>
        <v/>
      </c>
      <c r="AY293" s="789" t="str">
        <f t="shared" ca="1" si="553"/>
        <v/>
      </c>
      <c r="AZ293" s="789" t="str">
        <f t="shared" ca="1" si="554"/>
        <v/>
      </c>
      <c r="BA293" s="789" t="str">
        <f t="shared" ca="1" si="555"/>
        <v/>
      </c>
      <c r="BB293" s="789" t="str">
        <f t="shared" ca="1" si="556"/>
        <v/>
      </c>
      <c r="BC293" s="789" t="str">
        <f t="shared" ca="1" si="557"/>
        <v/>
      </c>
      <c r="BD293" s="789" t="str">
        <f t="shared" ca="1" si="558"/>
        <v/>
      </c>
      <c r="BE293" s="789" t="str">
        <f t="shared" ca="1" si="559"/>
        <v/>
      </c>
      <c r="BF293" s="789" t="str">
        <f t="shared" ca="1" si="560"/>
        <v/>
      </c>
      <c r="BG293" s="789" t="str">
        <f t="shared" ca="1" si="561"/>
        <v/>
      </c>
      <c r="BH293" s="789" t="str">
        <f t="shared" ca="1" si="562"/>
        <v/>
      </c>
      <c r="BI293" s="789" t="str">
        <f t="shared" ca="1" si="563"/>
        <v/>
      </c>
      <c r="BJ293" s="789" t="str">
        <f t="shared" ca="1" si="564"/>
        <v/>
      </c>
      <c r="BK293" s="789" t="str">
        <f t="shared" ca="1" si="565"/>
        <v/>
      </c>
      <c r="BL293" s="789" t="str">
        <f t="shared" ca="1" si="566"/>
        <v/>
      </c>
      <c r="BM293" s="789" t="str">
        <f t="shared" ca="1" si="567"/>
        <v/>
      </c>
      <c r="BN293" s="789" t="str">
        <f t="shared" ca="1" si="568"/>
        <v/>
      </c>
      <c r="BO293" s="789" t="str">
        <f t="shared" ca="1" si="569"/>
        <v/>
      </c>
    </row>
    <row r="294" spans="1:67" ht="20.100000000000001" customHeight="1">
      <c r="A294" s="784">
        <v>44</v>
      </c>
      <c r="B294" s="1594"/>
      <c r="C294" s="1596"/>
      <c r="D294" s="793" t="s">
        <v>385</v>
      </c>
      <c r="E294" s="785"/>
      <c r="F294" s="786"/>
      <c r="G294" s="787" t="s">
        <v>455</v>
      </c>
      <c r="H294" s="788">
        <f t="shared" ca="1" si="525"/>
        <v>18</v>
      </c>
      <c r="I294" s="788">
        <f t="shared" ca="1" si="525"/>
        <v>18</v>
      </c>
      <c r="J294" s="788">
        <f t="shared" ca="1" si="525"/>
        <v>18</v>
      </c>
      <c r="K294" s="788">
        <f t="shared" ca="1" si="525"/>
        <v>18</v>
      </c>
      <c r="L294" s="789">
        <f t="shared" ca="1" si="523"/>
        <v>0</v>
      </c>
      <c r="M294" s="789">
        <f t="shared" ca="1" si="523"/>
        <v>0</v>
      </c>
      <c r="N294" s="789">
        <f t="shared" ca="1" si="523"/>
        <v>0</v>
      </c>
      <c r="O294" s="789">
        <f t="shared" ca="1" si="523"/>
        <v>0</v>
      </c>
      <c r="P294" s="789">
        <f ca="1">SUM(SUMIFS(OFFSET(貼付け_2024実績,$A294,11,1,199),OFFSET(貼付け_2024実績,4,9,1,199),{"横浜*","川崎*"}))</f>
        <v>0</v>
      </c>
      <c r="Q294" s="789">
        <f ca="1">SUM(SUMIFS(OFFSET(貼付け_2025実績,$A294,11,1,199),OFFSET(貼付け_2025実績,4,9,1,199),{"横浜*","川崎*"}))</f>
        <v>0</v>
      </c>
      <c r="R294" s="789">
        <f ca="1">SUM(SUMIFS(OFFSET(貼付け_2026実績,$A294,11,1,199),OFFSET(貼付け_2026実績,4,9,1,199),{"横浜*","川崎*"}))</f>
        <v>0</v>
      </c>
      <c r="S294" s="789">
        <f ca="1">SUM(SUMIFS(OFFSET(貼付け_2027実績,$A294,11,1,199),OFFSET(貼付け_2027実績,4,9,1,199),{"横浜*","川崎*"}))</f>
        <v>0</v>
      </c>
      <c r="T294" s="789">
        <f t="shared" ca="1" si="524"/>
        <v>0</v>
      </c>
      <c r="U294" s="789">
        <f t="shared" ca="1" si="524"/>
        <v>0</v>
      </c>
      <c r="V294" s="789">
        <f t="shared" ca="1" si="524"/>
        <v>0</v>
      </c>
      <c r="W294" s="789">
        <f t="shared" ca="1" si="524"/>
        <v>0</v>
      </c>
      <c r="X294" s="789">
        <f t="shared" ca="1" si="526"/>
        <v>0</v>
      </c>
      <c r="Y294" s="789">
        <f t="shared" ca="1" si="527"/>
        <v>0</v>
      </c>
      <c r="Z294" s="789">
        <f t="shared" ca="1" si="528"/>
        <v>0</v>
      </c>
      <c r="AA294" s="789">
        <f t="shared" ca="1" si="529"/>
        <v>0</v>
      </c>
      <c r="AB294" s="789" t="str">
        <f t="shared" ca="1" si="530"/>
        <v/>
      </c>
      <c r="AC294" s="789" t="str">
        <f t="shared" ca="1" si="531"/>
        <v/>
      </c>
      <c r="AD294" s="789" t="str">
        <f t="shared" ca="1" si="532"/>
        <v/>
      </c>
      <c r="AE294" s="789" t="str">
        <f t="shared" ca="1" si="533"/>
        <v/>
      </c>
      <c r="AF294" s="789" t="str">
        <f t="shared" ca="1" si="534"/>
        <v/>
      </c>
      <c r="AG294" s="789" t="str">
        <f t="shared" ca="1" si="535"/>
        <v/>
      </c>
      <c r="AH294" s="789" t="str">
        <f t="shared" ca="1" si="536"/>
        <v/>
      </c>
      <c r="AI294" s="789" t="str">
        <f t="shared" ca="1" si="537"/>
        <v/>
      </c>
      <c r="AJ294" s="789" t="str">
        <f t="shared" ca="1" si="538"/>
        <v/>
      </c>
      <c r="AK294" s="789" t="str">
        <f t="shared" ca="1" si="539"/>
        <v/>
      </c>
      <c r="AL294" s="789" t="str">
        <f t="shared" ca="1" si="540"/>
        <v/>
      </c>
      <c r="AM294" s="789" t="str">
        <f t="shared" ca="1" si="541"/>
        <v/>
      </c>
      <c r="AN294" s="789" t="str">
        <f t="shared" ca="1" si="542"/>
        <v/>
      </c>
      <c r="AO294" s="789" t="str">
        <f t="shared" ca="1" si="543"/>
        <v/>
      </c>
      <c r="AP294" s="789" t="str">
        <f t="shared" ca="1" si="544"/>
        <v/>
      </c>
      <c r="AQ294" s="789" t="str">
        <f t="shared" ca="1" si="545"/>
        <v/>
      </c>
      <c r="AR294" s="789" t="str">
        <f t="shared" ca="1" si="546"/>
        <v/>
      </c>
      <c r="AS294" s="789" t="str">
        <f t="shared" ca="1" si="547"/>
        <v/>
      </c>
      <c r="AT294" s="789" t="str">
        <f t="shared" ca="1" si="548"/>
        <v/>
      </c>
      <c r="AU294" s="789" t="str">
        <f t="shared" ca="1" si="549"/>
        <v/>
      </c>
      <c r="AV294" s="789" t="str">
        <f t="shared" ca="1" si="550"/>
        <v/>
      </c>
      <c r="AW294" s="789" t="str">
        <f t="shared" ca="1" si="551"/>
        <v/>
      </c>
      <c r="AX294" s="789" t="str">
        <f t="shared" ca="1" si="552"/>
        <v/>
      </c>
      <c r="AY294" s="789" t="str">
        <f t="shared" ca="1" si="553"/>
        <v/>
      </c>
      <c r="AZ294" s="789" t="str">
        <f t="shared" ca="1" si="554"/>
        <v/>
      </c>
      <c r="BA294" s="789" t="str">
        <f t="shared" ca="1" si="555"/>
        <v/>
      </c>
      <c r="BB294" s="789" t="str">
        <f t="shared" ca="1" si="556"/>
        <v/>
      </c>
      <c r="BC294" s="789" t="str">
        <f t="shared" ca="1" si="557"/>
        <v/>
      </c>
      <c r="BD294" s="789" t="str">
        <f t="shared" ca="1" si="558"/>
        <v/>
      </c>
      <c r="BE294" s="789" t="str">
        <f t="shared" ca="1" si="559"/>
        <v/>
      </c>
      <c r="BF294" s="789" t="str">
        <f t="shared" ca="1" si="560"/>
        <v/>
      </c>
      <c r="BG294" s="789" t="str">
        <f t="shared" ca="1" si="561"/>
        <v/>
      </c>
      <c r="BH294" s="789" t="str">
        <f t="shared" ca="1" si="562"/>
        <v/>
      </c>
      <c r="BI294" s="789" t="str">
        <f t="shared" ca="1" si="563"/>
        <v/>
      </c>
      <c r="BJ294" s="789" t="str">
        <f t="shared" ca="1" si="564"/>
        <v/>
      </c>
      <c r="BK294" s="789" t="str">
        <f t="shared" ca="1" si="565"/>
        <v/>
      </c>
      <c r="BL294" s="789" t="str">
        <f t="shared" ca="1" si="566"/>
        <v/>
      </c>
      <c r="BM294" s="789" t="str">
        <f t="shared" ca="1" si="567"/>
        <v/>
      </c>
      <c r="BN294" s="789" t="str">
        <f t="shared" ca="1" si="568"/>
        <v/>
      </c>
      <c r="BO294" s="789" t="str">
        <f t="shared" ca="1" si="569"/>
        <v/>
      </c>
    </row>
    <row r="295" spans="1:67" ht="20.100000000000001" customHeight="1">
      <c r="A295" s="784">
        <v>45</v>
      </c>
      <c r="B295" s="1594"/>
      <c r="C295" s="1596"/>
      <c r="D295" s="793" t="s">
        <v>386</v>
      </c>
      <c r="E295" s="795"/>
      <c r="F295" s="786"/>
      <c r="G295" s="787" t="s">
        <v>455</v>
      </c>
      <c r="H295" s="788">
        <f t="shared" ca="1" si="525"/>
        <v>26.9</v>
      </c>
      <c r="I295" s="788">
        <f t="shared" ca="1" si="525"/>
        <v>26.9</v>
      </c>
      <c r="J295" s="788">
        <f t="shared" ca="1" si="525"/>
        <v>26.9</v>
      </c>
      <c r="K295" s="788">
        <f t="shared" ca="1" si="525"/>
        <v>26.9</v>
      </c>
      <c r="L295" s="789">
        <f t="shared" ca="1" si="523"/>
        <v>0</v>
      </c>
      <c r="M295" s="789">
        <f t="shared" ca="1" si="523"/>
        <v>0</v>
      </c>
      <c r="N295" s="789">
        <f t="shared" ca="1" si="523"/>
        <v>0</v>
      </c>
      <c r="O295" s="789">
        <f t="shared" ca="1" si="523"/>
        <v>0</v>
      </c>
      <c r="P295" s="789">
        <f ca="1">SUM(SUMIFS(OFFSET(貼付け_2024実績,$A295,11,1,199),OFFSET(貼付け_2024実績,4,9,1,199),{"横浜*","川崎*"}))</f>
        <v>0</v>
      </c>
      <c r="Q295" s="789">
        <f ca="1">SUM(SUMIFS(OFFSET(貼付け_2025実績,$A295,11,1,199),OFFSET(貼付け_2025実績,4,9,1,199),{"横浜*","川崎*"}))</f>
        <v>0</v>
      </c>
      <c r="R295" s="789">
        <f ca="1">SUM(SUMIFS(OFFSET(貼付け_2026実績,$A295,11,1,199),OFFSET(貼付け_2026実績,4,9,1,199),{"横浜*","川崎*"}))</f>
        <v>0</v>
      </c>
      <c r="S295" s="789">
        <f ca="1">SUM(SUMIFS(OFFSET(貼付け_2027実績,$A295,11,1,199),OFFSET(貼付け_2027実績,4,9,1,199),{"横浜*","川崎*"}))</f>
        <v>0</v>
      </c>
      <c r="T295" s="789">
        <f t="shared" ca="1" si="524"/>
        <v>0</v>
      </c>
      <c r="U295" s="789">
        <f t="shared" ca="1" si="524"/>
        <v>0</v>
      </c>
      <c r="V295" s="789">
        <f t="shared" ca="1" si="524"/>
        <v>0</v>
      </c>
      <c r="W295" s="789">
        <f t="shared" ca="1" si="524"/>
        <v>0</v>
      </c>
      <c r="X295" s="789">
        <f t="shared" ca="1" si="526"/>
        <v>0</v>
      </c>
      <c r="Y295" s="789">
        <f t="shared" ca="1" si="527"/>
        <v>0</v>
      </c>
      <c r="Z295" s="789">
        <f t="shared" ca="1" si="528"/>
        <v>0</v>
      </c>
      <c r="AA295" s="789">
        <f t="shared" ca="1" si="529"/>
        <v>0</v>
      </c>
      <c r="AB295" s="789" t="str">
        <f t="shared" ca="1" si="530"/>
        <v/>
      </c>
      <c r="AC295" s="789" t="str">
        <f t="shared" ca="1" si="531"/>
        <v/>
      </c>
      <c r="AD295" s="789" t="str">
        <f t="shared" ca="1" si="532"/>
        <v/>
      </c>
      <c r="AE295" s="789" t="str">
        <f t="shared" ca="1" si="533"/>
        <v/>
      </c>
      <c r="AF295" s="789" t="str">
        <f t="shared" ca="1" si="534"/>
        <v/>
      </c>
      <c r="AG295" s="789" t="str">
        <f t="shared" ca="1" si="535"/>
        <v/>
      </c>
      <c r="AH295" s="789" t="str">
        <f t="shared" ca="1" si="536"/>
        <v/>
      </c>
      <c r="AI295" s="789" t="str">
        <f t="shared" ca="1" si="537"/>
        <v/>
      </c>
      <c r="AJ295" s="789" t="str">
        <f t="shared" ca="1" si="538"/>
        <v/>
      </c>
      <c r="AK295" s="789" t="str">
        <f t="shared" ca="1" si="539"/>
        <v/>
      </c>
      <c r="AL295" s="789" t="str">
        <f t="shared" ca="1" si="540"/>
        <v/>
      </c>
      <c r="AM295" s="789" t="str">
        <f t="shared" ca="1" si="541"/>
        <v/>
      </c>
      <c r="AN295" s="789" t="str">
        <f t="shared" ca="1" si="542"/>
        <v/>
      </c>
      <c r="AO295" s="789" t="str">
        <f t="shared" ca="1" si="543"/>
        <v/>
      </c>
      <c r="AP295" s="789" t="str">
        <f t="shared" ca="1" si="544"/>
        <v/>
      </c>
      <c r="AQ295" s="789" t="str">
        <f t="shared" ca="1" si="545"/>
        <v/>
      </c>
      <c r="AR295" s="789" t="str">
        <f t="shared" ca="1" si="546"/>
        <v/>
      </c>
      <c r="AS295" s="789" t="str">
        <f t="shared" ca="1" si="547"/>
        <v/>
      </c>
      <c r="AT295" s="789" t="str">
        <f t="shared" ca="1" si="548"/>
        <v/>
      </c>
      <c r="AU295" s="789" t="str">
        <f t="shared" ca="1" si="549"/>
        <v/>
      </c>
      <c r="AV295" s="789" t="str">
        <f t="shared" ca="1" si="550"/>
        <v/>
      </c>
      <c r="AW295" s="789" t="str">
        <f t="shared" ca="1" si="551"/>
        <v/>
      </c>
      <c r="AX295" s="789" t="str">
        <f t="shared" ca="1" si="552"/>
        <v/>
      </c>
      <c r="AY295" s="789" t="str">
        <f t="shared" ca="1" si="553"/>
        <v/>
      </c>
      <c r="AZ295" s="789" t="str">
        <f t="shared" ca="1" si="554"/>
        <v/>
      </c>
      <c r="BA295" s="789" t="str">
        <f t="shared" ca="1" si="555"/>
        <v/>
      </c>
      <c r="BB295" s="789" t="str">
        <f t="shared" ca="1" si="556"/>
        <v/>
      </c>
      <c r="BC295" s="789" t="str">
        <f t="shared" ca="1" si="557"/>
        <v/>
      </c>
      <c r="BD295" s="789" t="str">
        <f t="shared" ca="1" si="558"/>
        <v/>
      </c>
      <c r="BE295" s="789" t="str">
        <f t="shared" ca="1" si="559"/>
        <v/>
      </c>
      <c r="BF295" s="789" t="str">
        <f t="shared" ca="1" si="560"/>
        <v/>
      </c>
      <c r="BG295" s="789" t="str">
        <f t="shared" ca="1" si="561"/>
        <v/>
      </c>
      <c r="BH295" s="789" t="str">
        <f t="shared" ca="1" si="562"/>
        <v/>
      </c>
      <c r="BI295" s="789" t="str">
        <f t="shared" ca="1" si="563"/>
        <v/>
      </c>
      <c r="BJ295" s="789" t="str">
        <f t="shared" ca="1" si="564"/>
        <v/>
      </c>
      <c r="BK295" s="789" t="str">
        <f t="shared" ca="1" si="565"/>
        <v/>
      </c>
      <c r="BL295" s="789" t="str">
        <f t="shared" ca="1" si="566"/>
        <v/>
      </c>
      <c r="BM295" s="789" t="str">
        <f t="shared" ca="1" si="567"/>
        <v/>
      </c>
      <c r="BN295" s="789" t="str">
        <f t="shared" ca="1" si="568"/>
        <v/>
      </c>
      <c r="BO295" s="789" t="str">
        <f t="shared" ca="1" si="569"/>
        <v/>
      </c>
    </row>
    <row r="296" spans="1:67" ht="20.100000000000001" customHeight="1">
      <c r="A296" s="784">
        <v>46</v>
      </c>
      <c r="B296" s="1594"/>
      <c r="C296" s="1596"/>
      <c r="D296" s="793" t="s">
        <v>387</v>
      </c>
      <c r="E296" s="779"/>
      <c r="F296" s="786"/>
      <c r="G296" s="787" t="s">
        <v>455</v>
      </c>
      <c r="H296" s="788">
        <f t="shared" ca="1" si="525"/>
        <v>33.200000000000003</v>
      </c>
      <c r="I296" s="788">
        <f t="shared" ca="1" si="525"/>
        <v>33.200000000000003</v>
      </c>
      <c r="J296" s="788">
        <f t="shared" ca="1" si="525"/>
        <v>33.200000000000003</v>
      </c>
      <c r="K296" s="788">
        <f t="shared" ca="1" si="525"/>
        <v>33.200000000000003</v>
      </c>
      <c r="L296" s="789">
        <f t="shared" ca="1" si="523"/>
        <v>0</v>
      </c>
      <c r="M296" s="789">
        <f t="shared" ca="1" si="523"/>
        <v>0</v>
      </c>
      <c r="N296" s="789">
        <f t="shared" ca="1" si="523"/>
        <v>0</v>
      </c>
      <c r="O296" s="789">
        <f t="shared" ca="1" si="523"/>
        <v>0</v>
      </c>
      <c r="P296" s="789">
        <f ca="1">SUM(SUMIFS(OFFSET(貼付け_2024実績,$A296,11,1,199),OFFSET(貼付け_2024実績,4,9,1,199),{"横浜*","川崎*"}))</f>
        <v>0</v>
      </c>
      <c r="Q296" s="789">
        <f ca="1">SUM(SUMIFS(OFFSET(貼付け_2025実績,$A296,11,1,199),OFFSET(貼付け_2025実績,4,9,1,199),{"横浜*","川崎*"}))</f>
        <v>0</v>
      </c>
      <c r="R296" s="789">
        <f ca="1">SUM(SUMIFS(OFFSET(貼付け_2026実績,$A296,11,1,199),OFFSET(貼付け_2026実績,4,9,1,199),{"横浜*","川崎*"}))</f>
        <v>0</v>
      </c>
      <c r="S296" s="789">
        <f ca="1">SUM(SUMIFS(OFFSET(貼付け_2027実績,$A296,11,1,199),OFFSET(貼付け_2027実績,4,9,1,199),{"横浜*","川崎*"}))</f>
        <v>0</v>
      </c>
      <c r="T296" s="789">
        <f t="shared" ca="1" si="524"/>
        <v>0</v>
      </c>
      <c r="U296" s="789">
        <f t="shared" ca="1" si="524"/>
        <v>0</v>
      </c>
      <c r="V296" s="789">
        <f t="shared" ca="1" si="524"/>
        <v>0</v>
      </c>
      <c r="W296" s="789">
        <f t="shared" ca="1" si="524"/>
        <v>0</v>
      </c>
      <c r="X296" s="789">
        <f t="shared" ca="1" si="526"/>
        <v>0</v>
      </c>
      <c r="Y296" s="789">
        <f t="shared" ca="1" si="527"/>
        <v>0</v>
      </c>
      <c r="Z296" s="789">
        <f t="shared" ca="1" si="528"/>
        <v>0</v>
      </c>
      <c r="AA296" s="789">
        <f t="shared" ca="1" si="529"/>
        <v>0</v>
      </c>
      <c r="AB296" s="789" t="str">
        <f t="shared" ca="1" si="530"/>
        <v/>
      </c>
      <c r="AC296" s="789" t="str">
        <f t="shared" ca="1" si="531"/>
        <v/>
      </c>
      <c r="AD296" s="789" t="str">
        <f t="shared" ca="1" si="532"/>
        <v/>
      </c>
      <c r="AE296" s="789" t="str">
        <f t="shared" ca="1" si="533"/>
        <v/>
      </c>
      <c r="AF296" s="789" t="str">
        <f t="shared" ca="1" si="534"/>
        <v/>
      </c>
      <c r="AG296" s="789" t="str">
        <f t="shared" ca="1" si="535"/>
        <v/>
      </c>
      <c r="AH296" s="789" t="str">
        <f t="shared" ca="1" si="536"/>
        <v/>
      </c>
      <c r="AI296" s="789" t="str">
        <f t="shared" ca="1" si="537"/>
        <v/>
      </c>
      <c r="AJ296" s="789" t="str">
        <f t="shared" ca="1" si="538"/>
        <v/>
      </c>
      <c r="AK296" s="789" t="str">
        <f t="shared" ca="1" si="539"/>
        <v/>
      </c>
      <c r="AL296" s="789" t="str">
        <f t="shared" ca="1" si="540"/>
        <v/>
      </c>
      <c r="AM296" s="789" t="str">
        <f t="shared" ca="1" si="541"/>
        <v/>
      </c>
      <c r="AN296" s="789" t="str">
        <f t="shared" ca="1" si="542"/>
        <v/>
      </c>
      <c r="AO296" s="789" t="str">
        <f t="shared" ca="1" si="543"/>
        <v/>
      </c>
      <c r="AP296" s="789" t="str">
        <f t="shared" ca="1" si="544"/>
        <v/>
      </c>
      <c r="AQ296" s="789" t="str">
        <f t="shared" ca="1" si="545"/>
        <v/>
      </c>
      <c r="AR296" s="789" t="str">
        <f t="shared" ca="1" si="546"/>
        <v/>
      </c>
      <c r="AS296" s="789" t="str">
        <f t="shared" ca="1" si="547"/>
        <v/>
      </c>
      <c r="AT296" s="789" t="str">
        <f t="shared" ca="1" si="548"/>
        <v/>
      </c>
      <c r="AU296" s="789" t="str">
        <f t="shared" ca="1" si="549"/>
        <v/>
      </c>
      <c r="AV296" s="789" t="str">
        <f t="shared" ca="1" si="550"/>
        <v/>
      </c>
      <c r="AW296" s="789" t="str">
        <f t="shared" ca="1" si="551"/>
        <v/>
      </c>
      <c r="AX296" s="789" t="str">
        <f t="shared" ca="1" si="552"/>
        <v/>
      </c>
      <c r="AY296" s="789" t="str">
        <f t="shared" ca="1" si="553"/>
        <v/>
      </c>
      <c r="AZ296" s="789" t="str">
        <f t="shared" ca="1" si="554"/>
        <v/>
      </c>
      <c r="BA296" s="789" t="str">
        <f t="shared" ca="1" si="555"/>
        <v/>
      </c>
      <c r="BB296" s="789" t="str">
        <f t="shared" ca="1" si="556"/>
        <v/>
      </c>
      <c r="BC296" s="789" t="str">
        <f t="shared" ca="1" si="557"/>
        <v/>
      </c>
      <c r="BD296" s="789" t="str">
        <f t="shared" ca="1" si="558"/>
        <v/>
      </c>
      <c r="BE296" s="789" t="str">
        <f t="shared" ca="1" si="559"/>
        <v/>
      </c>
      <c r="BF296" s="789" t="str">
        <f t="shared" ca="1" si="560"/>
        <v/>
      </c>
      <c r="BG296" s="789" t="str">
        <f t="shared" ca="1" si="561"/>
        <v/>
      </c>
      <c r="BH296" s="789" t="str">
        <f t="shared" ca="1" si="562"/>
        <v/>
      </c>
      <c r="BI296" s="789" t="str">
        <f t="shared" ca="1" si="563"/>
        <v/>
      </c>
      <c r="BJ296" s="789" t="str">
        <f t="shared" ca="1" si="564"/>
        <v/>
      </c>
      <c r="BK296" s="789" t="str">
        <f t="shared" ca="1" si="565"/>
        <v/>
      </c>
      <c r="BL296" s="789" t="str">
        <f t="shared" ca="1" si="566"/>
        <v/>
      </c>
      <c r="BM296" s="789" t="str">
        <f t="shared" ca="1" si="567"/>
        <v/>
      </c>
      <c r="BN296" s="789" t="str">
        <f t="shared" ca="1" si="568"/>
        <v/>
      </c>
      <c r="BO296" s="789" t="str">
        <f t="shared" ca="1" si="569"/>
        <v/>
      </c>
    </row>
    <row r="297" spans="1:67" ht="20.100000000000001" customHeight="1">
      <c r="A297" s="784">
        <v>47</v>
      </c>
      <c r="B297" s="1595"/>
      <c r="C297" s="1596"/>
      <c r="D297" s="793" t="s">
        <v>388</v>
      </c>
      <c r="E297" s="785"/>
      <c r="F297" s="786"/>
      <c r="G297" s="787" t="s">
        <v>455</v>
      </c>
      <c r="H297" s="788">
        <f t="shared" ca="1" si="525"/>
        <v>29.3</v>
      </c>
      <c r="I297" s="788">
        <f t="shared" ca="1" si="525"/>
        <v>29.3</v>
      </c>
      <c r="J297" s="788">
        <f t="shared" ca="1" si="525"/>
        <v>29.3</v>
      </c>
      <c r="K297" s="788">
        <f t="shared" ca="1" si="525"/>
        <v>29.3</v>
      </c>
      <c r="L297" s="789">
        <f t="shared" ca="1" si="523"/>
        <v>0</v>
      </c>
      <c r="M297" s="789">
        <f t="shared" ca="1" si="523"/>
        <v>0</v>
      </c>
      <c r="N297" s="789">
        <f t="shared" ca="1" si="523"/>
        <v>0</v>
      </c>
      <c r="O297" s="789">
        <f t="shared" ca="1" si="523"/>
        <v>0</v>
      </c>
      <c r="P297" s="789">
        <f ca="1">SUM(SUMIFS(OFFSET(貼付け_2024実績,$A297,11,1,199),OFFSET(貼付け_2024実績,4,9,1,199),{"横浜*","川崎*"}))</f>
        <v>0</v>
      </c>
      <c r="Q297" s="789">
        <f ca="1">SUM(SUMIFS(OFFSET(貼付け_2025実績,$A297,11,1,199),OFFSET(貼付け_2025実績,4,9,1,199),{"横浜*","川崎*"}))</f>
        <v>0</v>
      </c>
      <c r="R297" s="789">
        <f ca="1">SUM(SUMIFS(OFFSET(貼付け_2026実績,$A297,11,1,199),OFFSET(貼付け_2026実績,4,9,1,199),{"横浜*","川崎*"}))</f>
        <v>0</v>
      </c>
      <c r="S297" s="789">
        <f ca="1">SUM(SUMIFS(OFFSET(貼付け_2027実績,$A297,11,1,199),OFFSET(貼付け_2027実績,4,9,1,199),{"横浜*","川崎*"}))</f>
        <v>0</v>
      </c>
      <c r="T297" s="789">
        <f t="shared" ca="1" si="524"/>
        <v>0</v>
      </c>
      <c r="U297" s="789">
        <f t="shared" ca="1" si="524"/>
        <v>0</v>
      </c>
      <c r="V297" s="789">
        <f t="shared" ca="1" si="524"/>
        <v>0</v>
      </c>
      <c r="W297" s="789">
        <f t="shared" ca="1" si="524"/>
        <v>0</v>
      </c>
      <c r="X297" s="789">
        <f t="shared" ca="1" si="526"/>
        <v>0</v>
      </c>
      <c r="Y297" s="789">
        <f t="shared" ca="1" si="527"/>
        <v>0</v>
      </c>
      <c r="Z297" s="789">
        <f t="shared" ca="1" si="528"/>
        <v>0</v>
      </c>
      <c r="AA297" s="789">
        <f t="shared" ca="1" si="529"/>
        <v>0</v>
      </c>
      <c r="AB297" s="789" t="str">
        <f t="shared" ca="1" si="530"/>
        <v/>
      </c>
      <c r="AC297" s="789" t="str">
        <f t="shared" ca="1" si="531"/>
        <v/>
      </c>
      <c r="AD297" s="789" t="str">
        <f t="shared" ca="1" si="532"/>
        <v/>
      </c>
      <c r="AE297" s="789" t="str">
        <f t="shared" ca="1" si="533"/>
        <v/>
      </c>
      <c r="AF297" s="789" t="str">
        <f t="shared" ca="1" si="534"/>
        <v/>
      </c>
      <c r="AG297" s="789" t="str">
        <f t="shared" ca="1" si="535"/>
        <v/>
      </c>
      <c r="AH297" s="789" t="str">
        <f t="shared" ca="1" si="536"/>
        <v/>
      </c>
      <c r="AI297" s="789" t="str">
        <f t="shared" ca="1" si="537"/>
        <v/>
      </c>
      <c r="AJ297" s="789" t="str">
        <f t="shared" ca="1" si="538"/>
        <v/>
      </c>
      <c r="AK297" s="789" t="str">
        <f t="shared" ca="1" si="539"/>
        <v/>
      </c>
      <c r="AL297" s="789" t="str">
        <f t="shared" ca="1" si="540"/>
        <v/>
      </c>
      <c r="AM297" s="789" t="str">
        <f t="shared" ca="1" si="541"/>
        <v/>
      </c>
      <c r="AN297" s="789" t="str">
        <f t="shared" ca="1" si="542"/>
        <v/>
      </c>
      <c r="AO297" s="789" t="str">
        <f t="shared" ca="1" si="543"/>
        <v/>
      </c>
      <c r="AP297" s="789" t="str">
        <f t="shared" ca="1" si="544"/>
        <v/>
      </c>
      <c r="AQ297" s="789" t="str">
        <f t="shared" ca="1" si="545"/>
        <v/>
      </c>
      <c r="AR297" s="789" t="str">
        <f t="shared" ca="1" si="546"/>
        <v/>
      </c>
      <c r="AS297" s="789" t="str">
        <f t="shared" ca="1" si="547"/>
        <v/>
      </c>
      <c r="AT297" s="789" t="str">
        <f t="shared" ca="1" si="548"/>
        <v/>
      </c>
      <c r="AU297" s="789" t="str">
        <f t="shared" ca="1" si="549"/>
        <v/>
      </c>
      <c r="AV297" s="789" t="str">
        <f t="shared" ca="1" si="550"/>
        <v/>
      </c>
      <c r="AW297" s="789" t="str">
        <f t="shared" ca="1" si="551"/>
        <v/>
      </c>
      <c r="AX297" s="789" t="str">
        <f t="shared" ca="1" si="552"/>
        <v/>
      </c>
      <c r="AY297" s="789" t="str">
        <f t="shared" ca="1" si="553"/>
        <v/>
      </c>
      <c r="AZ297" s="789" t="str">
        <f t="shared" ca="1" si="554"/>
        <v/>
      </c>
      <c r="BA297" s="789" t="str">
        <f t="shared" ca="1" si="555"/>
        <v/>
      </c>
      <c r="BB297" s="789" t="str">
        <f t="shared" ca="1" si="556"/>
        <v/>
      </c>
      <c r="BC297" s="789" t="str">
        <f t="shared" ca="1" si="557"/>
        <v/>
      </c>
      <c r="BD297" s="789" t="str">
        <f t="shared" ca="1" si="558"/>
        <v/>
      </c>
      <c r="BE297" s="789" t="str">
        <f t="shared" ca="1" si="559"/>
        <v/>
      </c>
      <c r="BF297" s="789" t="str">
        <f t="shared" ca="1" si="560"/>
        <v/>
      </c>
      <c r="BG297" s="789" t="str">
        <f t="shared" ca="1" si="561"/>
        <v/>
      </c>
      <c r="BH297" s="789" t="str">
        <f t="shared" ca="1" si="562"/>
        <v/>
      </c>
      <c r="BI297" s="789" t="str">
        <f t="shared" ca="1" si="563"/>
        <v/>
      </c>
      <c r="BJ297" s="789" t="str">
        <f t="shared" ca="1" si="564"/>
        <v/>
      </c>
      <c r="BK297" s="789" t="str">
        <f t="shared" ca="1" si="565"/>
        <v/>
      </c>
      <c r="BL297" s="789" t="str">
        <f t="shared" ca="1" si="566"/>
        <v/>
      </c>
      <c r="BM297" s="789" t="str">
        <f t="shared" ca="1" si="567"/>
        <v/>
      </c>
      <c r="BN297" s="789" t="str">
        <f t="shared" ca="1" si="568"/>
        <v/>
      </c>
      <c r="BO297" s="789" t="str">
        <f t="shared" ca="1" si="569"/>
        <v/>
      </c>
    </row>
    <row r="298" spans="1:67" ht="20.100000000000001" customHeight="1">
      <c r="A298" s="784">
        <v>48</v>
      </c>
      <c r="B298" s="1595"/>
      <c r="C298" s="1596"/>
      <c r="D298" s="793" t="s">
        <v>389</v>
      </c>
      <c r="E298" s="785"/>
      <c r="F298" s="786"/>
      <c r="G298" s="787" t="s">
        <v>455</v>
      </c>
      <c r="H298" s="788">
        <f t="shared" ca="1" si="525"/>
        <v>29.3</v>
      </c>
      <c r="I298" s="788">
        <f t="shared" ca="1" si="525"/>
        <v>29.3</v>
      </c>
      <c r="J298" s="788">
        <f t="shared" ca="1" si="525"/>
        <v>29.3</v>
      </c>
      <c r="K298" s="788">
        <f t="shared" ca="1" si="525"/>
        <v>29.3</v>
      </c>
      <c r="L298" s="789">
        <f t="shared" ca="1" si="523"/>
        <v>0</v>
      </c>
      <c r="M298" s="789">
        <f t="shared" ca="1" si="523"/>
        <v>0</v>
      </c>
      <c r="N298" s="789">
        <f t="shared" ca="1" si="523"/>
        <v>0</v>
      </c>
      <c r="O298" s="789">
        <f t="shared" ca="1" si="523"/>
        <v>0</v>
      </c>
      <c r="P298" s="789">
        <f ca="1">SUM(SUMIFS(OFFSET(貼付け_2024実績,$A298,11,1,199),OFFSET(貼付け_2024実績,4,9,1,199),{"横浜*","川崎*"}))</f>
        <v>0</v>
      </c>
      <c r="Q298" s="789">
        <f ca="1">SUM(SUMIFS(OFFSET(貼付け_2025実績,$A298,11,1,199),OFFSET(貼付け_2025実績,4,9,1,199),{"横浜*","川崎*"}))</f>
        <v>0</v>
      </c>
      <c r="R298" s="789">
        <f ca="1">SUM(SUMIFS(OFFSET(貼付け_2026実績,$A298,11,1,199),OFFSET(貼付け_2026実績,4,9,1,199),{"横浜*","川崎*"}))</f>
        <v>0</v>
      </c>
      <c r="S298" s="789">
        <f ca="1">SUM(SUMIFS(OFFSET(貼付け_2027実績,$A298,11,1,199),OFFSET(貼付け_2027実績,4,9,1,199),{"横浜*","川崎*"}))</f>
        <v>0</v>
      </c>
      <c r="T298" s="789">
        <f t="shared" ca="1" si="524"/>
        <v>0</v>
      </c>
      <c r="U298" s="789">
        <f t="shared" ca="1" si="524"/>
        <v>0</v>
      </c>
      <c r="V298" s="789">
        <f t="shared" ca="1" si="524"/>
        <v>0</v>
      </c>
      <c r="W298" s="789">
        <f t="shared" ca="1" si="524"/>
        <v>0</v>
      </c>
      <c r="X298" s="789">
        <f t="shared" ca="1" si="526"/>
        <v>0</v>
      </c>
      <c r="Y298" s="789">
        <f t="shared" ca="1" si="527"/>
        <v>0</v>
      </c>
      <c r="Z298" s="789">
        <f t="shared" ca="1" si="528"/>
        <v>0</v>
      </c>
      <c r="AA298" s="789">
        <f t="shared" ca="1" si="529"/>
        <v>0</v>
      </c>
      <c r="AB298" s="789" t="str">
        <f t="shared" ca="1" si="530"/>
        <v/>
      </c>
      <c r="AC298" s="789" t="str">
        <f t="shared" ca="1" si="531"/>
        <v/>
      </c>
      <c r="AD298" s="789" t="str">
        <f t="shared" ca="1" si="532"/>
        <v/>
      </c>
      <c r="AE298" s="789" t="str">
        <f t="shared" ca="1" si="533"/>
        <v/>
      </c>
      <c r="AF298" s="789" t="str">
        <f t="shared" ca="1" si="534"/>
        <v/>
      </c>
      <c r="AG298" s="789" t="str">
        <f t="shared" ca="1" si="535"/>
        <v/>
      </c>
      <c r="AH298" s="789" t="str">
        <f t="shared" ca="1" si="536"/>
        <v/>
      </c>
      <c r="AI298" s="789" t="str">
        <f t="shared" ca="1" si="537"/>
        <v/>
      </c>
      <c r="AJ298" s="789" t="str">
        <f t="shared" ca="1" si="538"/>
        <v/>
      </c>
      <c r="AK298" s="789" t="str">
        <f t="shared" ca="1" si="539"/>
        <v/>
      </c>
      <c r="AL298" s="789" t="str">
        <f t="shared" ca="1" si="540"/>
        <v/>
      </c>
      <c r="AM298" s="789" t="str">
        <f t="shared" ca="1" si="541"/>
        <v/>
      </c>
      <c r="AN298" s="789" t="str">
        <f t="shared" ca="1" si="542"/>
        <v/>
      </c>
      <c r="AO298" s="789" t="str">
        <f t="shared" ca="1" si="543"/>
        <v/>
      </c>
      <c r="AP298" s="789" t="str">
        <f t="shared" ca="1" si="544"/>
        <v/>
      </c>
      <c r="AQ298" s="789" t="str">
        <f t="shared" ca="1" si="545"/>
        <v/>
      </c>
      <c r="AR298" s="789" t="str">
        <f t="shared" ca="1" si="546"/>
        <v/>
      </c>
      <c r="AS298" s="789" t="str">
        <f t="shared" ca="1" si="547"/>
        <v/>
      </c>
      <c r="AT298" s="789" t="str">
        <f t="shared" ca="1" si="548"/>
        <v/>
      </c>
      <c r="AU298" s="789" t="str">
        <f t="shared" ca="1" si="549"/>
        <v/>
      </c>
      <c r="AV298" s="789" t="str">
        <f t="shared" ca="1" si="550"/>
        <v/>
      </c>
      <c r="AW298" s="789" t="str">
        <f t="shared" ca="1" si="551"/>
        <v/>
      </c>
      <c r="AX298" s="789" t="str">
        <f t="shared" ca="1" si="552"/>
        <v/>
      </c>
      <c r="AY298" s="789" t="str">
        <f t="shared" ca="1" si="553"/>
        <v/>
      </c>
      <c r="AZ298" s="789" t="str">
        <f t="shared" ca="1" si="554"/>
        <v/>
      </c>
      <c r="BA298" s="789" t="str">
        <f t="shared" ca="1" si="555"/>
        <v/>
      </c>
      <c r="BB298" s="789" t="str">
        <f t="shared" ca="1" si="556"/>
        <v/>
      </c>
      <c r="BC298" s="789" t="str">
        <f t="shared" ca="1" si="557"/>
        <v/>
      </c>
      <c r="BD298" s="789" t="str">
        <f t="shared" ca="1" si="558"/>
        <v/>
      </c>
      <c r="BE298" s="789" t="str">
        <f t="shared" ca="1" si="559"/>
        <v/>
      </c>
      <c r="BF298" s="789" t="str">
        <f t="shared" ca="1" si="560"/>
        <v/>
      </c>
      <c r="BG298" s="789" t="str">
        <f t="shared" ca="1" si="561"/>
        <v/>
      </c>
      <c r="BH298" s="789" t="str">
        <f t="shared" ca="1" si="562"/>
        <v/>
      </c>
      <c r="BI298" s="789" t="str">
        <f t="shared" ca="1" si="563"/>
        <v/>
      </c>
      <c r="BJ298" s="789" t="str">
        <f t="shared" ca="1" si="564"/>
        <v/>
      </c>
      <c r="BK298" s="789" t="str">
        <f t="shared" ca="1" si="565"/>
        <v/>
      </c>
      <c r="BL298" s="789" t="str">
        <f t="shared" ca="1" si="566"/>
        <v/>
      </c>
      <c r="BM298" s="789" t="str">
        <f t="shared" ca="1" si="567"/>
        <v/>
      </c>
      <c r="BN298" s="789" t="str">
        <f t="shared" ca="1" si="568"/>
        <v/>
      </c>
      <c r="BO298" s="789" t="str">
        <f t="shared" ca="1" si="569"/>
        <v/>
      </c>
    </row>
    <row r="299" spans="1:67" ht="20.100000000000001" customHeight="1">
      <c r="A299" s="784">
        <v>49</v>
      </c>
      <c r="B299" s="1595"/>
      <c r="C299" s="1596"/>
      <c r="D299" s="793" t="s">
        <v>390</v>
      </c>
      <c r="E299" s="785"/>
      <c r="F299" s="786"/>
      <c r="G299" s="787" t="s">
        <v>453</v>
      </c>
      <c r="H299" s="788">
        <f t="shared" ca="1" si="525"/>
        <v>40.200000000000003</v>
      </c>
      <c r="I299" s="788">
        <f t="shared" ca="1" si="525"/>
        <v>40.200000000000003</v>
      </c>
      <c r="J299" s="788">
        <f t="shared" ca="1" si="525"/>
        <v>40.200000000000003</v>
      </c>
      <c r="K299" s="788">
        <f t="shared" ca="1" si="525"/>
        <v>40.200000000000003</v>
      </c>
      <c r="L299" s="789">
        <f t="shared" ca="1" si="523"/>
        <v>0</v>
      </c>
      <c r="M299" s="789">
        <f t="shared" ca="1" si="523"/>
        <v>0</v>
      </c>
      <c r="N299" s="789">
        <f t="shared" ca="1" si="523"/>
        <v>0</v>
      </c>
      <c r="O299" s="789">
        <f t="shared" ca="1" si="523"/>
        <v>0</v>
      </c>
      <c r="P299" s="789">
        <f ca="1">SUM(SUMIFS(OFFSET(貼付け_2024実績,$A299,11,1,199),OFFSET(貼付け_2024実績,4,9,1,199),{"横浜*","川崎*"}))</f>
        <v>0</v>
      </c>
      <c r="Q299" s="789">
        <f ca="1">SUM(SUMIFS(OFFSET(貼付け_2025実績,$A299,11,1,199),OFFSET(貼付け_2025実績,4,9,1,199),{"横浜*","川崎*"}))</f>
        <v>0</v>
      </c>
      <c r="R299" s="789">
        <f ca="1">SUM(SUMIFS(OFFSET(貼付け_2026実績,$A299,11,1,199),OFFSET(貼付け_2026実績,4,9,1,199),{"横浜*","川崎*"}))</f>
        <v>0</v>
      </c>
      <c r="S299" s="789">
        <f ca="1">SUM(SUMIFS(OFFSET(貼付け_2027実績,$A299,11,1,199),OFFSET(貼付け_2027実績,4,9,1,199),{"横浜*","川崎*"}))</f>
        <v>0</v>
      </c>
      <c r="T299" s="789">
        <f t="shared" ca="1" si="524"/>
        <v>0</v>
      </c>
      <c r="U299" s="789">
        <f t="shared" ca="1" si="524"/>
        <v>0</v>
      </c>
      <c r="V299" s="789">
        <f t="shared" ca="1" si="524"/>
        <v>0</v>
      </c>
      <c r="W299" s="789">
        <f t="shared" ca="1" si="524"/>
        <v>0</v>
      </c>
      <c r="X299" s="789">
        <f t="shared" ca="1" si="526"/>
        <v>0</v>
      </c>
      <c r="Y299" s="789">
        <f t="shared" ca="1" si="527"/>
        <v>0</v>
      </c>
      <c r="Z299" s="789">
        <f t="shared" ca="1" si="528"/>
        <v>0</v>
      </c>
      <c r="AA299" s="789">
        <f t="shared" ca="1" si="529"/>
        <v>0</v>
      </c>
      <c r="AB299" s="789" t="str">
        <f t="shared" ca="1" si="530"/>
        <v/>
      </c>
      <c r="AC299" s="789" t="str">
        <f t="shared" ca="1" si="531"/>
        <v/>
      </c>
      <c r="AD299" s="789" t="str">
        <f t="shared" ca="1" si="532"/>
        <v/>
      </c>
      <c r="AE299" s="789" t="str">
        <f t="shared" ca="1" si="533"/>
        <v/>
      </c>
      <c r="AF299" s="789" t="str">
        <f t="shared" ca="1" si="534"/>
        <v/>
      </c>
      <c r="AG299" s="789" t="str">
        <f t="shared" ca="1" si="535"/>
        <v/>
      </c>
      <c r="AH299" s="789" t="str">
        <f t="shared" ca="1" si="536"/>
        <v/>
      </c>
      <c r="AI299" s="789" t="str">
        <f t="shared" ca="1" si="537"/>
        <v/>
      </c>
      <c r="AJ299" s="789" t="str">
        <f t="shared" ca="1" si="538"/>
        <v/>
      </c>
      <c r="AK299" s="789" t="str">
        <f t="shared" ca="1" si="539"/>
        <v/>
      </c>
      <c r="AL299" s="789" t="str">
        <f t="shared" ca="1" si="540"/>
        <v/>
      </c>
      <c r="AM299" s="789" t="str">
        <f t="shared" ca="1" si="541"/>
        <v/>
      </c>
      <c r="AN299" s="789" t="str">
        <f t="shared" ca="1" si="542"/>
        <v/>
      </c>
      <c r="AO299" s="789" t="str">
        <f t="shared" ca="1" si="543"/>
        <v/>
      </c>
      <c r="AP299" s="789" t="str">
        <f t="shared" ca="1" si="544"/>
        <v/>
      </c>
      <c r="AQ299" s="789" t="str">
        <f t="shared" ca="1" si="545"/>
        <v/>
      </c>
      <c r="AR299" s="789" t="str">
        <f t="shared" ca="1" si="546"/>
        <v/>
      </c>
      <c r="AS299" s="789" t="str">
        <f t="shared" ca="1" si="547"/>
        <v/>
      </c>
      <c r="AT299" s="789" t="str">
        <f t="shared" ca="1" si="548"/>
        <v/>
      </c>
      <c r="AU299" s="789" t="str">
        <f t="shared" ca="1" si="549"/>
        <v/>
      </c>
      <c r="AV299" s="789" t="str">
        <f t="shared" ca="1" si="550"/>
        <v/>
      </c>
      <c r="AW299" s="789" t="str">
        <f t="shared" ca="1" si="551"/>
        <v/>
      </c>
      <c r="AX299" s="789" t="str">
        <f t="shared" ca="1" si="552"/>
        <v/>
      </c>
      <c r="AY299" s="789" t="str">
        <f t="shared" ca="1" si="553"/>
        <v/>
      </c>
      <c r="AZ299" s="789" t="str">
        <f t="shared" ca="1" si="554"/>
        <v/>
      </c>
      <c r="BA299" s="789" t="str">
        <f t="shared" ca="1" si="555"/>
        <v/>
      </c>
      <c r="BB299" s="789" t="str">
        <f t="shared" ca="1" si="556"/>
        <v/>
      </c>
      <c r="BC299" s="789" t="str">
        <f t="shared" ca="1" si="557"/>
        <v/>
      </c>
      <c r="BD299" s="789" t="str">
        <f t="shared" ca="1" si="558"/>
        <v/>
      </c>
      <c r="BE299" s="789" t="str">
        <f t="shared" ca="1" si="559"/>
        <v/>
      </c>
      <c r="BF299" s="789" t="str">
        <f t="shared" ca="1" si="560"/>
        <v/>
      </c>
      <c r="BG299" s="789" t="str">
        <f t="shared" ca="1" si="561"/>
        <v/>
      </c>
      <c r="BH299" s="789" t="str">
        <f t="shared" ca="1" si="562"/>
        <v/>
      </c>
      <c r="BI299" s="789" t="str">
        <f t="shared" ca="1" si="563"/>
        <v/>
      </c>
      <c r="BJ299" s="789" t="str">
        <f t="shared" ca="1" si="564"/>
        <v/>
      </c>
      <c r="BK299" s="789" t="str">
        <f t="shared" ca="1" si="565"/>
        <v/>
      </c>
      <c r="BL299" s="789" t="str">
        <f t="shared" ca="1" si="566"/>
        <v/>
      </c>
      <c r="BM299" s="789" t="str">
        <f t="shared" ca="1" si="567"/>
        <v/>
      </c>
      <c r="BN299" s="789" t="str">
        <f t="shared" ca="1" si="568"/>
        <v/>
      </c>
      <c r="BO299" s="789" t="str">
        <f t="shared" ca="1" si="569"/>
        <v/>
      </c>
    </row>
    <row r="300" spans="1:67" ht="20.100000000000001" customHeight="1">
      <c r="A300" s="784">
        <v>50</v>
      </c>
      <c r="B300" s="1594"/>
      <c r="C300" s="1596"/>
      <c r="D300" s="785" t="s">
        <v>391</v>
      </c>
      <c r="E300" s="785"/>
      <c r="F300" s="786"/>
      <c r="G300" s="787" t="s">
        <v>457</v>
      </c>
      <c r="H300" s="788">
        <f t="shared" ca="1" si="525"/>
        <v>21.2</v>
      </c>
      <c r="I300" s="788">
        <f t="shared" ca="1" si="525"/>
        <v>21.2</v>
      </c>
      <c r="J300" s="788">
        <f t="shared" ca="1" si="525"/>
        <v>21.2</v>
      </c>
      <c r="K300" s="788">
        <f t="shared" ca="1" si="525"/>
        <v>21.2</v>
      </c>
      <c r="L300" s="789">
        <f t="shared" ca="1" si="523"/>
        <v>0</v>
      </c>
      <c r="M300" s="789">
        <f t="shared" ca="1" si="523"/>
        <v>0</v>
      </c>
      <c r="N300" s="789">
        <f t="shared" ca="1" si="523"/>
        <v>0</v>
      </c>
      <c r="O300" s="789">
        <f t="shared" ca="1" si="523"/>
        <v>0</v>
      </c>
      <c r="P300" s="789">
        <f ca="1">SUM(SUMIFS(OFFSET(貼付け_2024実績,$A300,11,1,199),OFFSET(貼付け_2024実績,4,9,1,199),{"横浜*","川崎*"}))</f>
        <v>0</v>
      </c>
      <c r="Q300" s="789">
        <f ca="1">SUM(SUMIFS(OFFSET(貼付け_2025実績,$A300,11,1,199),OFFSET(貼付け_2025実績,4,9,1,199),{"横浜*","川崎*"}))</f>
        <v>0</v>
      </c>
      <c r="R300" s="789">
        <f ca="1">SUM(SUMIFS(OFFSET(貼付け_2026実績,$A300,11,1,199),OFFSET(貼付け_2026実績,4,9,1,199),{"横浜*","川崎*"}))</f>
        <v>0</v>
      </c>
      <c r="S300" s="789">
        <f ca="1">SUM(SUMIFS(OFFSET(貼付け_2027実績,$A300,11,1,199),OFFSET(貼付け_2027実績,4,9,1,199),{"横浜*","川崎*"}))</f>
        <v>0</v>
      </c>
      <c r="T300" s="789">
        <f t="shared" ca="1" si="524"/>
        <v>0</v>
      </c>
      <c r="U300" s="789">
        <f t="shared" ca="1" si="524"/>
        <v>0</v>
      </c>
      <c r="V300" s="789">
        <f t="shared" ca="1" si="524"/>
        <v>0</v>
      </c>
      <c r="W300" s="789">
        <f t="shared" ca="1" si="524"/>
        <v>0</v>
      </c>
      <c r="X300" s="789">
        <f t="shared" ca="1" si="526"/>
        <v>0</v>
      </c>
      <c r="Y300" s="789">
        <f t="shared" ca="1" si="527"/>
        <v>0</v>
      </c>
      <c r="Z300" s="789">
        <f t="shared" ca="1" si="528"/>
        <v>0</v>
      </c>
      <c r="AA300" s="789">
        <f t="shared" ca="1" si="529"/>
        <v>0</v>
      </c>
      <c r="AB300" s="789" t="str">
        <f t="shared" ca="1" si="530"/>
        <v/>
      </c>
      <c r="AC300" s="789" t="str">
        <f t="shared" ca="1" si="531"/>
        <v/>
      </c>
      <c r="AD300" s="789" t="str">
        <f t="shared" ca="1" si="532"/>
        <v/>
      </c>
      <c r="AE300" s="789" t="str">
        <f t="shared" ca="1" si="533"/>
        <v/>
      </c>
      <c r="AF300" s="789" t="str">
        <f t="shared" ca="1" si="534"/>
        <v/>
      </c>
      <c r="AG300" s="789" t="str">
        <f t="shared" ca="1" si="535"/>
        <v/>
      </c>
      <c r="AH300" s="789" t="str">
        <f t="shared" ca="1" si="536"/>
        <v/>
      </c>
      <c r="AI300" s="789" t="str">
        <f t="shared" ca="1" si="537"/>
        <v/>
      </c>
      <c r="AJ300" s="789" t="str">
        <f t="shared" ca="1" si="538"/>
        <v/>
      </c>
      <c r="AK300" s="789" t="str">
        <f t="shared" ca="1" si="539"/>
        <v/>
      </c>
      <c r="AL300" s="789" t="str">
        <f t="shared" ca="1" si="540"/>
        <v/>
      </c>
      <c r="AM300" s="789" t="str">
        <f t="shared" ca="1" si="541"/>
        <v/>
      </c>
      <c r="AN300" s="789" t="str">
        <f t="shared" ca="1" si="542"/>
        <v/>
      </c>
      <c r="AO300" s="789" t="str">
        <f t="shared" ca="1" si="543"/>
        <v/>
      </c>
      <c r="AP300" s="789" t="str">
        <f t="shared" ca="1" si="544"/>
        <v/>
      </c>
      <c r="AQ300" s="789" t="str">
        <f t="shared" ca="1" si="545"/>
        <v/>
      </c>
      <c r="AR300" s="789" t="str">
        <f t="shared" ca="1" si="546"/>
        <v/>
      </c>
      <c r="AS300" s="789" t="str">
        <f t="shared" ca="1" si="547"/>
        <v/>
      </c>
      <c r="AT300" s="789" t="str">
        <f t="shared" ca="1" si="548"/>
        <v/>
      </c>
      <c r="AU300" s="789" t="str">
        <f t="shared" ca="1" si="549"/>
        <v/>
      </c>
      <c r="AV300" s="789" t="str">
        <f t="shared" ca="1" si="550"/>
        <v/>
      </c>
      <c r="AW300" s="789" t="str">
        <f t="shared" ca="1" si="551"/>
        <v/>
      </c>
      <c r="AX300" s="789" t="str">
        <f t="shared" ca="1" si="552"/>
        <v/>
      </c>
      <c r="AY300" s="789" t="str">
        <f t="shared" ca="1" si="553"/>
        <v/>
      </c>
      <c r="AZ300" s="789" t="str">
        <f t="shared" ca="1" si="554"/>
        <v/>
      </c>
      <c r="BA300" s="789" t="str">
        <f t="shared" ca="1" si="555"/>
        <v/>
      </c>
      <c r="BB300" s="789" t="str">
        <f t="shared" ca="1" si="556"/>
        <v/>
      </c>
      <c r="BC300" s="789" t="str">
        <f t="shared" ca="1" si="557"/>
        <v/>
      </c>
      <c r="BD300" s="789" t="str">
        <f t="shared" ca="1" si="558"/>
        <v/>
      </c>
      <c r="BE300" s="789" t="str">
        <f t="shared" ca="1" si="559"/>
        <v/>
      </c>
      <c r="BF300" s="789" t="str">
        <f t="shared" ca="1" si="560"/>
        <v/>
      </c>
      <c r="BG300" s="789" t="str">
        <f t="shared" ca="1" si="561"/>
        <v/>
      </c>
      <c r="BH300" s="789" t="str">
        <f t="shared" ca="1" si="562"/>
        <v/>
      </c>
      <c r="BI300" s="789" t="str">
        <f t="shared" ca="1" si="563"/>
        <v/>
      </c>
      <c r="BJ300" s="789" t="str">
        <f t="shared" ca="1" si="564"/>
        <v/>
      </c>
      <c r="BK300" s="789" t="str">
        <f t="shared" ca="1" si="565"/>
        <v/>
      </c>
      <c r="BL300" s="789" t="str">
        <f t="shared" ca="1" si="566"/>
        <v/>
      </c>
      <c r="BM300" s="789" t="str">
        <f t="shared" ca="1" si="567"/>
        <v/>
      </c>
      <c r="BN300" s="789" t="str">
        <f t="shared" ca="1" si="568"/>
        <v/>
      </c>
      <c r="BO300" s="789" t="str">
        <f t="shared" ca="1" si="569"/>
        <v/>
      </c>
    </row>
    <row r="301" spans="1:67" ht="20.100000000000001" customHeight="1">
      <c r="A301" s="784">
        <v>51</v>
      </c>
      <c r="B301" s="1594"/>
      <c r="C301" s="1596"/>
      <c r="D301" s="785" t="s">
        <v>392</v>
      </c>
      <c r="E301" s="785"/>
      <c r="F301" s="786"/>
      <c r="G301" s="787" t="s">
        <v>455</v>
      </c>
      <c r="H301" s="788">
        <f t="shared" ca="1" si="525"/>
        <v>17.100000000000001</v>
      </c>
      <c r="I301" s="788">
        <f t="shared" ca="1" si="525"/>
        <v>17.100000000000001</v>
      </c>
      <c r="J301" s="788">
        <f t="shared" ca="1" si="525"/>
        <v>17.100000000000001</v>
      </c>
      <c r="K301" s="788">
        <f t="shared" ca="1" si="525"/>
        <v>17.100000000000001</v>
      </c>
      <c r="L301" s="789">
        <f t="shared" ca="1" si="523"/>
        <v>0</v>
      </c>
      <c r="M301" s="789">
        <f t="shared" ca="1" si="523"/>
        <v>0</v>
      </c>
      <c r="N301" s="789">
        <f t="shared" ca="1" si="523"/>
        <v>0</v>
      </c>
      <c r="O301" s="789">
        <f t="shared" ca="1" si="523"/>
        <v>0</v>
      </c>
      <c r="P301" s="789">
        <f ca="1">SUM(SUMIFS(OFFSET(貼付け_2024実績,$A301,11,1,199),OFFSET(貼付け_2024実績,4,9,1,199),{"横浜*","川崎*"}))</f>
        <v>0</v>
      </c>
      <c r="Q301" s="789">
        <f ca="1">SUM(SUMIFS(OFFSET(貼付け_2025実績,$A301,11,1,199),OFFSET(貼付け_2025実績,4,9,1,199),{"横浜*","川崎*"}))</f>
        <v>0</v>
      </c>
      <c r="R301" s="789">
        <f ca="1">SUM(SUMIFS(OFFSET(貼付け_2026実績,$A301,11,1,199),OFFSET(貼付け_2026実績,4,9,1,199),{"横浜*","川崎*"}))</f>
        <v>0</v>
      </c>
      <c r="S301" s="789">
        <f ca="1">SUM(SUMIFS(OFFSET(貼付け_2027実績,$A301,11,1,199),OFFSET(貼付け_2027実績,4,9,1,199),{"横浜*","川崎*"}))</f>
        <v>0</v>
      </c>
      <c r="T301" s="789">
        <f t="shared" ca="1" si="524"/>
        <v>0</v>
      </c>
      <c r="U301" s="789">
        <f t="shared" ca="1" si="524"/>
        <v>0</v>
      </c>
      <c r="V301" s="789">
        <f t="shared" ca="1" si="524"/>
        <v>0</v>
      </c>
      <c r="W301" s="789">
        <f t="shared" ca="1" si="524"/>
        <v>0</v>
      </c>
      <c r="X301" s="789">
        <f t="shared" ca="1" si="526"/>
        <v>0</v>
      </c>
      <c r="Y301" s="789">
        <f t="shared" ca="1" si="527"/>
        <v>0</v>
      </c>
      <c r="Z301" s="789">
        <f t="shared" ca="1" si="528"/>
        <v>0</v>
      </c>
      <c r="AA301" s="789">
        <f t="shared" ca="1" si="529"/>
        <v>0</v>
      </c>
      <c r="AB301" s="789" t="str">
        <f t="shared" ca="1" si="530"/>
        <v/>
      </c>
      <c r="AC301" s="789" t="str">
        <f t="shared" ca="1" si="531"/>
        <v/>
      </c>
      <c r="AD301" s="789" t="str">
        <f t="shared" ca="1" si="532"/>
        <v/>
      </c>
      <c r="AE301" s="789" t="str">
        <f t="shared" ca="1" si="533"/>
        <v/>
      </c>
      <c r="AF301" s="789" t="str">
        <f t="shared" ca="1" si="534"/>
        <v/>
      </c>
      <c r="AG301" s="789" t="str">
        <f t="shared" ca="1" si="535"/>
        <v/>
      </c>
      <c r="AH301" s="789" t="str">
        <f t="shared" ca="1" si="536"/>
        <v/>
      </c>
      <c r="AI301" s="789" t="str">
        <f t="shared" ca="1" si="537"/>
        <v/>
      </c>
      <c r="AJ301" s="789" t="str">
        <f t="shared" ca="1" si="538"/>
        <v/>
      </c>
      <c r="AK301" s="789" t="str">
        <f t="shared" ca="1" si="539"/>
        <v/>
      </c>
      <c r="AL301" s="789" t="str">
        <f t="shared" ca="1" si="540"/>
        <v/>
      </c>
      <c r="AM301" s="789" t="str">
        <f t="shared" ca="1" si="541"/>
        <v/>
      </c>
      <c r="AN301" s="789" t="str">
        <f t="shared" ca="1" si="542"/>
        <v/>
      </c>
      <c r="AO301" s="789" t="str">
        <f t="shared" ca="1" si="543"/>
        <v/>
      </c>
      <c r="AP301" s="789" t="str">
        <f t="shared" ca="1" si="544"/>
        <v/>
      </c>
      <c r="AQ301" s="789" t="str">
        <f t="shared" ca="1" si="545"/>
        <v/>
      </c>
      <c r="AR301" s="789" t="str">
        <f t="shared" ca="1" si="546"/>
        <v/>
      </c>
      <c r="AS301" s="789" t="str">
        <f t="shared" ca="1" si="547"/>
        <v/>
      </c>
      <c r="AT301" s="789" t="str">
        <f t="shared" ca="1" si="548"/>
        <v/>
      </c>
      <c r="AU301" s="789" t="str">
        <f t="shared" ca="1" si="549"/>
        <v/>
      </c>
      <c r="AV301" s="789" t="str">
        <f t="shared" ca="1" si="550"/>
        <v/>
      </c>
      <c r="AW301" s="789" t="str">
        <f t="shared" ca="1" si="551"/>
        <v/>
      </c>
      <c r="AX301" s="789" t="str">
        <f t="shared" ca="1" si="552"/>
        <v/>
      </c>
      <c r="AY301" s="789" t="str">
        <f t="shared" ca="1" si="553"/>
        <v/>
      </c>
      <c r="AZ301" s="789" t="str">
        <f t="shared" ca="1" si="554"/>
        <v/>
      </c>
      <c r="BA301" s="789" t="str">
        <f t="shared" ca="1" si="555"/>
        <v/>
      </c>
      <c r="BB301" s="789" t="str">
        <f t="shared" ca="1" si="556"/>
        <v/>
      </c>
      <c r="BC301" s="789" t="str">
        <f t="shared" ca="1" si="557"/>
        <v/>
      </c>
      <c r="BD301" s="789" t="str">
        <f t="shared" ca="1" si="558"/>
        <v/>
      </c>
      <c r="BE301" s="789" t="str">
        <f t="shared" ca="1" si="559"/>
        <v/>
      </c>
      <c r="BF301" s="789" t="str">
        <f t="shared" ca="1" si="560"/>
        <v/>
      </c>
      <c r="BG301" s="789" t="str">
        <f t="shared" ca="1" si="561"/>
        <v/>
      </c>
      <c r="BH301" s="789" t="str">
        <f t="shared" ca="1" si="562"/>
        <v/>
      </c>
      <c r="BI301" s="789" t="str">
        <f t="shared" ca="1" si="563"/>
        <v/>
      </c>
      <c r="BJ301" s="789" t="str">
        <f t="shared" ca="1" si="564"/>
        <v/>
      </c>
      <c r="BK301" s="789" t="str">
        <f t="shared" ca="1" si="565"/>
        <v/>
      </c>
      <c r="BL301" s="789" t="str">
        <f t="shared" ca="1" si="566"/>
        <v/>
      </c>
      <c r="BM301" s="789" t="str">
        <f t="shared" ca="1" si="567"/>
        <v/>
      </c>
      <c r="BN301" s="789" t="str">
        <f t="shared" ca="1" si="568"/>
        <v/>
      </c>
      <c r="BO301" s="789" t="str">
        <f t="shared" ca="1" si="569"/>
        <v/>
      </c>
    </row>
    <row r="302" spans="1:67" ht="20.100000000000001" customHeight="1">
      <c r="A302" s="784">
        <v>52</v>
      </c>
      <c r="B302" s="1594"/>
      <c r="C302" s="1596"/>
      <c r="D302" s="785" t="s">
        <v>393</v>
      </c>
      <c r="E302" s="785"/>
      <c r="F302" s="786"/>
      <c r="G302" s="787" t="s">
        <v>455</v>
      </c>
      <c r="H302" s="788">
        <f t="shared" ca="1" si="525"/>
        <v>142</v>
      </c>
      <c r="I302" s="788">
        <f t="shared" ca="1" si="525"/>
        <v>142</v>
      </c>
      <c r="J302" s="788">
        <f t="shared" ca="1" si="525"/>
        <v>142</v>
      </c>
      <c r="K302" s="788">
        <f t="shared" ca="1" si="525"/>
        <v>142</v>
      </c>
      <c r="L302" s="789">
        <f t="shared" ca="1" si="523"/>
        <v>0</v>
      </c>
      <c r="M302" s="789">
        <f t="shared" ca="1" si="523"/>
        <v>0</v>
      </c>
      <c r="N302" s="789">
        <f t="shared" ca="1" si="523"/>
        <v>0</v>
      </c>
      <c r="O302" s="789">
        <f t="shared" ca="1" si="523"/>
        <v>0</v>
      </c>
      <c r="P302" s="789">
        <f ca="1">SUM(SUMIFS(OFFSET(貼付け_2024実績,$A302,11,1,199),OFFSET(貼付け_2024実績,4,9,1,199),{"横浜*","川崎*"}))</f>
        <v>0</v>
      </c>
      <c r="Q302" s="789">
        <f ca="1">SUM(SUMIFS(OFFSET(貼付け_2025実績,$A302,11,1,199),OFFSET(貼付け_2025実績,4,9,1,199),{"横浜*","川崎*"}))</f>
        <v>0</v>
      </c>
      <c r="R302" s="789">
        <f ca="1">SUM(SUMIFS(OFFSET(貼付け_2026実績,$A302,11,1,199),OFFSET(貼付け_2026実績,4,9,1,199),{"横浜*","川崎*"}))</f>
        <v>0</v>
      </c>
      <c r="S302" s="789">
        <f ca="1">SUM(SUMIFS(OFFSET(貼付け_2027実績,$A302,11,1,199),OFFSET(貼付け_2027実績,4,9,1,199),{"横浜*","川崎*"}))</f>
        <v>0</v>
      </c>
      <c r="T302" s="789">
        <f t="shared" ca="1" si="524"/>
        <v>0</v>
      </c>
      <c r="U302" s="789">
        <f t="shared" ca="1" si="524"/>
        <v>0</v>
      </c>
      <c r="V302" s="789">
        <f t="shared" ca="1" si="524"/>
        <v>0</v>
      </c>
      <c r="W302" s="789">
        <f t="shared" ca="1" si="524"/>
        <v>0</v>
      </c>
      <c r="X302" s="789">
        <f t="shared" ca="1" si="526"/>
        <v>0</v>
      </c>
      <c r="Y302" s="789">
        <f t="shared" ca="1" si="527"/>
        <v>0</v>
      </c>
      <c r="Z302" s="789">
        <f t="shared" ca="1" si="528"/>
        <v>0</v>
      </c>
      <c r="AA302" s="789">
        <f t="shared" ca="1" si="529"/>
        <v>0</v>
      </c>
      <c r="AB302" s="789" t="str">
        <f t="shared" ca="1" si="530"/>
        <v/>
      </c>
      <c r="AC302" s="789" t="str">
        <f t="shared" ca="1" si="531"/>
        <v/>
      </c>
      <c r="AD302" s="789" t="str">
        <f t="shared" ca="1" si="532"/>
        <v/>
      </c>
      <c r="AE302" s="789" t="str">
        <f t="shared" ca="1" si="533"/>
        <v/>
      </c>
      <c r="AF302" s="789" t="str">
        <f t="shared" ca="1" si="534"/>
        <v/>
      </c>
      <c r="AG302" s="789" t="str">
        <f t="shared" ca="1" si="535"/>
        <v/>
      </c>
      <c r="AH302" s="789" t="str">
        <f t="shared" ca="1" si="536"/>
        <v/>
      </c>
      <c r="AI302" s="789" t="str">
        <f t="shared" ca="1" si="537"/>
        <v/>
      </c>
      <c r="AJ302" s="789" t="str">
        <f t="shared" ca="1" si="538"/>
        <v/>
      </c>
      <c r="AK302" s="789" t="str">
        <f t="shared" ca="1" si="539"/>
        <v/>
      </c>
      <c r="AL302" s="789" t="str">
        <f t="shared" ca="1" si="540"/>
        <v/>
      </c>
      <c r="AM302" s="789" t="str">
        <f t="shared" ca="1" si="541"/>
        <v/>
      </c>
      <c r="AN302" s="789" t="str">
        <f t="shared" ca="1" si="542"/>
        <v/>
      </c>
      <c r="AO302" s="789" t="str">
        <f t="shared" ca="1" si="543"/>
        <v/>
      </c>
      <c r="AP302" s="789" t="str">
        <f t="shared" ca="1" si="544"/>
        <v/>
      </c>
      <c r="AQ302" s="789" t="str">
        <f t="shared" ca="1" si="545"/>
        <v/>
      </c>
      <c r="AR302" s="789" t="str">
        <f t="shared" ca="1" si="546"/>
        <v/>
      </c>
      <c r="AS302" s="789" t="str">
        <f t="shared" ca="1" si="547"/>
        <v/>
      </c>
      <c r="AT302" s="789" t="str">
        <f t="shared" ca="1" si="548"/>
        <v/>
      </c>
      <c r="AU302" s="789" t="str">
        <f t="shared" ca="1" si="549"/>
        <v/>
      </c>
      <c r="AV302" s="789" t="str">
        <f t="shared" ca="1" si="550"/>
        <v/>
      </c>
      <c r="AW302" s="789" t="str">
        <f t="shared" ca="1" si="551"/>
        <v/>
      </c>
      <c r="AX302" s="789" t="str">
        <f t="shared" ca="1" si="552"/>
        <v/>
      </c>
      <c r="AY302" s="789" t="str">
        <f t="shared" ca="1" si="553"/>
        <v/>
      </c>
      <c r="AZ302" s="789" t="str">
        <f t="shared" ca="1" si="554"/>
        <v/>
      </c>
      <c r="BA302" s="789" t="str">
        <f t="shared" ca="1" si="555"/>
        <v/>
      </c>
      <c r="BB302" s="789" t="str">
        <f t="shared" ca="1" si="556"/>
        <v/>
      </c>
      <c r="BC302" s="789" t="str">
        <f t="shared" ca="1" si="557"/>
        <v/>
      </c>
      <c r="BD302" s="789" t="str">
        <f t="shared" ca="1" si="558"/>
        <v/>
      </c>
      <c r="BE302" s="789" t="str">
        <f t="shared" ca="1" si="559"/>
        <v/>
      </c>
      <c r="BF302" s="789" t="str">
        <f t="shared" ca="1" si="560"/>
        <v/>
      </c>
      <c r="BG302" s="789" t="str">
        <f t="shared" ca="1" si="561"/>
        <v/>
      </c>
      <c r="BH302" s="789" t="str">
        <f t="shared" ca="1" si="562"/>
        <v/>
      </c>
      <c r="BI302" s="789" t="str">
        <f t="shared" ca="1" si="563"/>
        <v/>
      </c>
      <c r="BJ302" s="789" t="str">
        <f t="shared" ca="1" si="564"/>
        <v/>
      </c>
      <c r="BK302" s="789" t="str">
        <f t="shared" ca="1" si="565"/>
        <v/>
      </c>
      <c r="BL302" s="789" t="str">
        <f t="shared" ca="1" si="566"/>
        <v/>
      </c>
      <c r="BM302" s="789" t="str">
        <f t="shared" ca="1" si="567"/>
        <v/>
      </c>
      <c r="BN302" s="789" t="str">
        <f t="shared" ca="1" si="568"/>
        <v/>
      </c>
      <c r="BO302" s="789" t="str">
        <f t="shared" ca="1" si="569"/>
        <v/>
      </c>
    </row>
    <row r="303" spans="1:67" ht="20.100000000000001" customHeight="1">
      <c r="A303" s="784">
        <v>53</v>
      </c>
      <c r="B303" s="1594"/>
      <c r="C303" s="1596"/>
      <c r="D303" s="785" t="s">
        <v>394</v>
      </c>
      <c r="E303" s="785"/>
      <c r="F303" s="786"/>
      <c r="G303" s="787" t="s">
        <v>455</v>
      </c>
      <c r="H303" s="788">
        <f t="shared" ca="1" si="525"/>
        <v>22.5</v>
      </c>
      <c r="I303" s="788">
        <f t="shared" ca="1" si="525"/>
        <v>22.5</v>
      </c>
      <c r="J303" s="788">
        <f t="shared" ca="1" si="525"/>
        <v>22.5</v>
      </c>
      <c r="K303" s="788">
        <f t="shared" ca="1" si="525"/>
        <v>22.5</v>
      </c>
      <c r="L303" s="789">
        <f t="shared" ca="1" si="523"/>
        <v>0</v>
      </c>
      <c r="M303" s="789">
        <f t="shared" ca="1" si="523"/>
        <v>0</v>
      </c>
      <c r="N303" s="789">
        <f t="shared" ca="1" si="523"/>
        <v>0</v>
      </c>
      <c r="O303" s="789">
        <f t="shared" ca="1" si="523"/>
        <v>0</v>
      </c>
      <c r="P303" s="789">
        <f ca="1">SUM(SUMIFS(OFFSET(貼付け_2024実績,$A303,11,1,199),OFFSET(貼付け_2024実績,4,9,1,199),{"横浜*","川崎*"}))</f>
        <v>0</v>
      </c>
      <c r="Q303" s="789">
        <f ca="1">SUM(SUMIFS(OFFSET(貼付け_2025実績,$A303,11,1,199),OFFSET(貼付け_2025実績,4,9,1,199),{"横浜*","川崎*"}))</f>
        <v>0</v>
      </c>
      <c r="R303" s="789">
        <f ca="1">SUM(SUMIFS(OFFSET(貼付け_2026実績,$A303,11,1,199),OFFSET(貼付け_2026実績,4,9,1,199),{"横浜*","川崎*"}))</f>
        <v>0</v>
      </c>
      <c r="S303" s="789">
        <f ca="1">SUM(SUMIFS(OFFSET(貼付け_2027実績,$A303,11,1,199),OFFSET(貼付け_2027実績,4,9,1,199),{"横浜*","川崎*"}))</f>
        <v>0</v>
      </c>
      <c r="T303" s="789">
        <f t="shared" ca="1" si="524"/>
        <v>0</v>
      </c>
      <c r="U303" s="789">
        <f t="shared" ca="1" si="524"/>
        <v>0</v>
      </c>
      <c r="V303" s="789">
        <f t="shared" ca="1" si="524"/>
        <v>0</v>
      </c>
      <c r="W303" s="789">
        <f t="shared" ca="1" si="524"/>
        <v>0</v>
      </c>
      <c r="X303" s="789">
        <f t="shared" ca="1" si="526"/>
        <v>0</v>
      </c>
      <c r="Y303" s="789">
        <f t="shared" ca="1" si="527"/>
        <v>0</v>
      </c>
      <c r="Z303" s="789">
        <f t="shared" ca="1" si="528"/>
        <v>0</v>
      </c>
      <c r="AA303" s="789">
        <f t="shared" ca="1" si="529"/>
        <v>0</v>
      </c>
      <c r="AB303" s="789" t="str">
        <f t="shared" ca="1" si="530"/>
        <v/>
      </c>
      <c r="AC303" s="789" t="str">
        <f t="shared" ca="1" si="531"/>
        <v/>
      </c>
      <c r="AD303" s="789" t="str">
        <f t="shared" ca="1" si="532"/>
        <v/>
      </c>
      <c r="AE303" s="789" t="str">
        <f t="shared" ca="1" si="533"/>
        <v/>
      </c>
      <c r="AF303" s="789" t="str">
        <f t="shared" ca="1" si="534"/>
        <v/>
      </c>
      <c r="AG303" s="789" t="str">
        <f t="shared" ca="1" si="535"/>
        <v/>
      </c>
      <c r="AH303" s="789" t="str">
        <f t="shared" ca="1" si="536"/>
        <v/>
      </c>
      <c r="AI303" s="789" t="str">
        <f t="shared" ca="1" si="537"/>
        <v/>
      </c>
      <c r="AJ303" s="789" t="str">
        <f t="shared" ca="1" si="538"/>
        <v/>
      </c>
      <c r="AK303" s="789" t="str">
        <f t="shared" ca="1" si="539"/>
        <v/>
      </c>
      <c r="AL303" s="789" t="str">
        <f t="shared" ca="1" si="540"/>
        <v/>
      </c>
      <c r="AM303" s="789" t="str">
        <f t="shared" ca="1" si="541"/>
        <v/>
      </c>
      <c r="AN303" s="789" t="str">
        <f t="shared" ca="1" si="542"/>
        <v/>
      </c>
      <c r="AO303" s="789" t="str">
        <f t="shared" ca="1" si="543"/>
        <v/>
      </c>
      <c r="AP303" s="789" t="str">
        <f t="shared" ca="1" si="544"/>
        <v/>
      </c>
      <c r="AQ303" s="789" t="str">
        <f t="shared" ca="1" si="545"/>
        <v/>
      </c>
      <c r="AR303" s="789" t="str">
        <f t="shared" ca="1" si="546"/>
        <v/>
      </c>
      <c r="AS303" s="789" t="str">
        <f t="shared" ca="1" si="547"/>
        <v/>
      </c>
      <c r="AT303" s="789" t="str">
        <f t="shared" ca="1" si="548"/>
        <v/>
      </c>
      <c r="AU303" s="789" t="str">
        <f t="shared" ca="1" si="549"/>
        <v/>
      </c>
      <c r="AV303" s="789" t="str">
        <f t="shared" ca="1" si="550"/>
        <v/>
      </c>
      <c r="AW303" s="789" t="str">
        <f t="shared" ca="1" si="551"/>
        <v/>
      </c>
      <c r="AX303" s="789" t="str">
        <f t="shared" ca="1" si="552"/>
        <v/>
      </c>
      <c r="AY303" s="789" t="str">
        <f t="shared" ca="1" si="553"/>
        <v/>
      </c>
      <c r="AZ303" s="789" t="str">
        <f t="shared" ca="1" si="554"/>
        <v/>
      </c>
      <c r="BA303" s="789" t="str">
        <f t="shared" ca="1" si="555"/>
        <v/>
      </c>
      <c r="BB303" s="789" t="str">
        <f t="shared" ca="1" si="556"/>
        <v/>
      </c>
      <c r="BC303" s="789" t="str">
        <f t="shared" ca="1" si="557"/>
        <v/>
      </c>
      <c r="BD303" s="789" t="str">
        <f t="shared" ca="1" si="558"/>
        <v/>
      </c>
      <c r="BE303" s="789" t="str">
        <f t="shared" ca="1" si="559"/>
        <v/>
      </c>
      <c r="BF303" s="789" t="str">
        <f t="shared" ca="1" si="560"/>
        <v/>
      </c>
      <c r="BG303" s="789" t="str">
        <f t="shared" ca="1" si="561"/>
        <v/>
      </c>
      <c r="BH303" s="789" t="str">
        <f t="shared" ca="1" si="562"/>
        <v/>
      </c>
      <c r="BI303" s="789" t="str">
        <f t="shared" ca="1" si="563"/>
        <v/>
      </c>
      <c r="BJ303" s="789" t="str">
        <f t="shared" ca="1" si="564"/>
        <v/>
      </c>
      <c r="BK303" s="789" t="str">
        <f t="shared" ca="1" si="565"/>
        <v/>
      </c>
      <c r="BL303" s="789" t="str">
        <f t="shared" ca="1" si="566"/>
        <v/>
      </c>
      <c r="BM303" s="789" t="str">
        <f t="shared" ca="1" si="567"/>
        <v/>
      </c>
      <c r="BN303" s="789" t="str">
        <f t="shared" ca="1" si="568"/>
        <v/>
      </c>
      <c r="BO303" s="789" t="str">
        <f t="shared" ca="1" si="569"/>
        <v/>
      </c>
    </row>
    <row r="304" spans="1:67" ht="20.100000000000001" customHeight="1">
      <c r="A304" s="784">
        <v>54</v>
      </c>
      <c r="B304" s="1594"/>
      <c r="C304" s="1596"/>
      <c r="D304" s="785" t="s">
        <v>783</v>
      </c>
      <c r="E304" s="792" t="str">
        <f ca="1">E55</f>
        <v/>
      </c>
      <c r="F304" s="794"/>
      <c r="G304" s="792" t="str">
        <f ca="1">G55</f>
        <v/>
      </c>
      <c r="H304" s="788">
        <f t="shared" ca="1" si="525"/>
        <v>0</v>
      </c>
      <c r="I304" s="788">
        <f t="shared" ca="1" si="525"/>
        <v>0</v>
      </c>
      <c r="J304" s="788">
        <f t="shared" ca="1" si="525"/>
        <v>0</v>
      </c>
      <c r="K304" s="788">
        <f t="shared" ca="1" si="525"/>
        <v>0</v>
      </c>
      <c r="L304" s="789">
        <f t="shared" ca="1" si="523"/>
        <v>0</v>
      </c>
      <c r="M304" s="789">
        <f t="shared" ca="1" si="523"/>
        <v>0</v>
      </c>
      <c r="N304" s="789">
        <f t="shared" ca="1" si="523"/>
        <v>0</v>
      </c>
      <c r="O304" s="789">
        <f t="shared" ca="1" si="523"/>
        <v>0</v>
      </c>
      <c r="P304" s="789">
        <f ca="1">SUM(SUMIFS(OFFSET(貼付け_2024実績,$A304,11,1,199),OFFSET(貼付け_2024実績,4,9,1,199),{"横浜*","川崎*"}))</f>
        <v>0</v>
      </c>
      <c r="Q304" s="789">
        <f ca="1">SUM(SUMIFS(OFFSET(貼付け_2025実績,$A304,11,1,199),OFFSET(貼付け_2025実績,4,9,1,199),{"横浜*","川崎*"}))</f>
        <v>0</v>
      </c>
      <c r="R304" s="789">
        <f ca="1">SUM(SUMIFS(OFFSET(貼付け_2026実績,$A304,11,1,199),OFFSET(貼付け_2026実績,4,9,1,199),{"横浜*","川崎*"}))</f>
        <v>0</v>
      </c>
      <c r="S304" s="789">
        <f ca="1">SUM(SUMIFS(OFFSET(貼付け_2027実績,$A304,11,1,199),OFFSET(貼付け_2027実績,4,9,1,199),{"横浜*","川崎*"}))</f>
        <v>0</v>
      </c>
      <c r="T304" s="789">
        <f t="shared" ca="1" si="524"/>
        <v>0</v>
      </c>
      <c r="U304" s="789">
        <f t="shared" ca="1" si="524"/>
        <v>0</v>
      </c>
      <c r="V304" s="789">
        <f t="shared" ca="1" si="524"/>
        <v>0</v>
      </c>
      <c r="W304" s="789">
        <f t="shared" ca="1" si="524"/>
        <v>0</v>
      </c>
      <c r="X304" s="789">
        <f t="shared" ca="1" si="526"/>
        <v>0</v>
      </c>
      <c r="Y304" s="789">
        <f t="shared" ca="1" si="527"/>
        <v>0</v>
      </c>
      <c r="Z304" s="789">
        <f t="shared" ca="1" si="528"/>
        <v>0</v>
      </c>
      <c r="AA304" s="789">
        <f t="shared" ca="1" si="529"/>
        <v>0</v>
      </c>
      <c r="AB304" s="789" t="str">
        <f t="shared" ca="1" si="530"/>
        <v/>
      </c>
      <c r="AC304" s="789" t="str">
        <f t="shared" ca="1" si="531"/>
        <v/>
      </c>
      <c r="AD304" s="789" t="str">
        <f t="shared" ca="1" si="532"/>
        <v/>
      </c>
      <c r="AE304" s="789" t="str">
        <f t="shared" ca="1" si="533"/>
        <v/>
      </c>
      <c r="AF304" s="789" t="str">
        <f t="shared" ca="1" si="534"/>
        <v/>
      </c>
      <c r="AG304" s="789" t="str">
        <f t="shared" ca="1" si="535"/>
        <v/>
      </c>
      <c r="AH304" s="789" t="str">
        <f t="shared" ca="1" si="536"/>
        <v/>
      </c>
      <c r="AI304" s="789" t="str">
        <f t="shared" ca="1" si="537"/>
        <v/>
      </c>
      <c r="AJ304" s="789" t="str">
        <f t="shared" ca="1" si="538"/>
        <v/>
      </c>
      <c r="AK304" s="789" t="str">
        <f t="shared" ca="1" si="539"/>
        <v/>
      </c>
      <c r="AL304" s="789" t="str">
        <f t="shared" ca="1" si="540"/>
        <v/>
      </c>
      <c r="AM304" s="789" t="str">
        <f t="shared" ca="1" si="541"/>
        <v/>
      </c>
      <c r="AN304" s="789" t="str">
        <f t="shared" ca="1" si="542"/>
        <v/>
      </c>
      <c r="AO304" s="789" t="str">
        <f t="shared" ca="1" si="543"/>
        <v/>
      </c>
      <c r="AP304" s="789" t="str">
        <f t="shared" ca="1" si="544"/>
        <v/>
      </c>
      <c r="AQ304" s="789" t="str">
        <f t="shared" ca="1" si="545"/>
        <v/>
      </c>
      <c r="AR304" s="789" t="str">
        <f t="shared" ca="1" si="546"/>
        <v/>
      </c>
      <c r="AS304" s="789" t="str">
        <f t="shared" ca="1" si="547"/>
        <v/>
      </c>
      <c r="AT304" s="789" t="str">
        <f t="shared" ca="1" si="548"/>
        <v/>
      </c>
      <c r="AU304" s="789" t="str">
        <f t="shared" ca="1" si="549"/>
        <v/>
      </c>
      <c r="AV304" s="789" t="str">
        <f t="shared" ca="1" si="550"/>
        <v/>
      </c>
      <c r="AW304" s="789" t="str">
        <f t="shared" ca="1" si="551"/>
        <v/>
      </c>
      <c r="AX304" s="789" t="str">
        <f t="shared" ca="1" si="552"/>
        <v/>
      </c>
      <c r="AY304" s="789" t="str">
        <f t="shared" ca="1" si="553"/>
        <v/>
      </c>
      <c r="AZ304" s="789" t="str">
        <f t="shared" ca="1" si="554"/>
        <v/>
      </c>
      <c r="BA304" s="789" t="str">
        <f t="shared" ca="1" si="555"/>
        <v/>
      </c>
      <c r="BB304" s="789" t="str">
        <f t="shared" ca="1" si="556"/>
        <v/>
      </c>
      <c r="BC304" s="789" t="str">
        <f t="shared" ca="1" si="557"/>
        <v/>
      </c>
      <c r="BD304" s="789" t="str">
        <f t="shared" ca="1" si="558"/>
        <v/>
      </c>
      <c r="BE304" s="789" t="str">
        <f t="shared" ca="1" si="559"/>
        <v/>
      </c>
      <c r="BF304" s="789" t="str">
        <f t="shared" ca="1" si="560"/>
        <v/>
      </c>
      <c r="BG304" s="789" t="str">
        <f t="shared" ca="1" si="561"/>
        <v/>
      </c>
      <c r="BH304" s="789" t="str">
        <f t="shared" ca="1" si="562"/>
        <v/>
      </c>
      <c r="BI304" s="789" t="str">
        <f t="shared" ca="1" si="563"/>
        <v/>
      </c>
      <c r="BJ304" s="789" t="str">
        <f t="shared" ca="1" si="564"/>
        <v/>
      </c>
      <c r="BK304" s="789" t="str">
        <f t="shared" ca="1" si="565"/>
        <v/>
      </c>
      <c r="BL304" s="789" t="str">
        <f t="shared" ca="1" si="566"/>
        <v/>
      </c>
      <c r="BM304" s="789" t="str">
        <f t="shared" ca="1" si="567"/>
        <v/>
      </c>
      <c r="BN304" s="789" t="str">
        <f t="shared" ca="1" si="568"/>
        <v/>
      </c>
      <c r="BO304" s="789" t="str">
        <f t="shared" ca="1" si="569"/>
        <v/>
      </c>
    </row>
    <row r="305" spans="1:68" ht="20.100000000000001" customHeight="1">
      <c r="A305" s="784">
        <v>55</v>
      </c>
      <c r="B305" s="1594"/>
      <c r="C305" s="1596"/>
      <c r="D305" s="785" t="s">
        <v>784</v>
      </c>
      <c r="E305" s="792" t="str">
        <f ca="1">E56</f>
        <v/>
      </c>
      <c r="F305" s="794"/>
      <c r="G305" s="792" t="str">
        <f ca="1">G56</f>
        <v/>
      </c>
      <c r="H305" s="788">
        <f t="shared" ca="1" si="525"/>
        <v>0</v>
      </c>
      <c r="I305" s="788">
        <f t="shared" ca="1" si="525"/>
        <v>0</v>
      </c>
      <c r="J305" s="788">
        <f t="shared" ca="1" si="525"/>
        <v>0</v>
      </c>
      <c r="K305" s="788">
        <f t="shared" ca="1" si="525"/>
        <v>0</v>
      </c>
      <c r="L305" s="789">
        <f t="shared" ca="1" si="523"/>
        <v>0</v>
      </c>
      <c r="M305" s="789">
        <f t="shared" ca="1" si="523"/>
        <v>0</v>
      </c>
      <c r="N305" s="789">
        <f t="shared" ca="1" si="523"/>
        <v>0</v>
      </c>
      <c r="O305" s="789">
        <f t="shared" ca="1" si="523"/>
        <v>0</v>
      </c>
      <c r="P305" s="789">
        <f ca="1">SUM(SUMIFS(OFFSET(貼付け_2024実績,$A305,11,1,199),OFFSET(貼付け_2024実績,4,9,1,199),{"横浜*","川崎*"}))</f>
        <v>0</v>
      </c>
      <c r="Q305" s="789">
        <f ca="1">SUM(SUMIFS(OFFSET(貼付け_2025実績,$A305,11,1,199),OFFSET(貼付け_2025実績,4,9,1,199),{"横浜*","川崎*"}))</f>
        <v>0</v>
      </c>
      <c r="R305" s="789">
        <f ca="1">SUM(SUMIFS(OFFSET(貼付け_2026実績,$A305,11,1,199),OFFSET(貼付け_2026実績,4,9,1,199),{"横浜*","川崎*"}))</f>
        <v>0</v>
      </c>
      <c r="S305" s="789">
        <f ca="1">SUM(SUMIFS(OFFSET(貼付け_2027実績,$A305,11,1,199),OFFSET(貼付け_2027実績,4,9,1,199),{"横浜*","川崎*"}))</f>
        <v>0</v>
      </c>
      <c r="T305" s="789">
        <f t="shared" ca="1" si="524"/>
        <v>0</v>
      </c>
      <c r="U305" s="789">
        <f t="shared" ca="1" si="524"/>
        <v>0</v>
      </c>
      <c r="V305" s="789">
        <f t="shared" ca="1" si="524"/>
        <v>0</v>
      </c>
      <c r="W305" s="789">
        <f t="shared" ca="1" si="524"/>
        <v>0</v>
      </c>
      <c r="X305" s="789">
        <f t="shared" ca="1" si="526"/>
        <v>0</v>
      </c>
      <c r="Y305" s="789">
        <f t="shared" ca="1" si="527"/>
        <v>0</v>
      </c>
      <c r="Z305" s="789">
        <f t="shared" ca="1" si="528"/>
        <v>0</v>
      </c>
      <c r="AA305" s="789">
        <f t="shared" ca="1" si="529"/>
        <v>0</v>
      </c>
      <c r="AB305" s="789" t="str">
        <f t="shared" ca="1" si="530"/>
        <v/>
      </c>
      <c r="AC305" s="789" t="str">
        <f t="shared" ca="1" si="531"/>
        <v/>
      </c>
      <c r="AD305" s="789" t="str">
        <f t="shared" ca="1" si="532"/>
        <v/>
      </c>
      <c r="AE305" s="789" t="str">
        <f t="shared" ca="1" si="533"/>
        <v/>
      </c>
      <c r="AF305" s="789" t="str">
        <f t="shared" ca="1" si="534"/>
        <v/>
      </c>
      <c r="AG305" s="789" t="str">
        <f t="shared" ca="1" si="535"/>
        <v/>
      </c>
      <c r="AH305" s="789" t="str">
        <f t="shared" ca="1" si="536"/>
        <v/>
      </c>
      <c r="AI305" s="789" t="str">
        <f t="shared" ca="1" si="537"/>
        <v/>
      </c>
      <c r="AJ305" s="789" t="str">
        <f t="shared" ca="1" si="538"/>
        <v/>
      </c>
      <c r="AK305" s="789" t="str">
        <f t="shared" ca="1" si="539"/>
        <v/>
      </c>
      <c r="AL305" s="789" t="str">
        <f t="shared" ca="1" si="540"/>
        <v/>
      </c>
      <c r="AM305" s="789" t="str">
        <f t="shared" ca="1" si="541"/>
        <v/>
      </c>
      <c r="AN305" s="789" t="str">
        <f t="shared" ca="1" si="542"/>
        <v/>
      </c>
      <c r="AO305" s="789" t="str">
        <f t="shared" ca="1" si="543"/>
        <v/>
      </c>
      <c r="AP305" s="789" t="str">
        <f t="shared" ca="1" si="544"/>
        <v/>
      </c>
      <c r="AQ305" s="789" t="str">
        <f t="shared" ca="1" si="545"/>
        <v/>
      </c>
      <c r="AR305" s="789" t="str">
        <f t="shared" ca="1" si="546"/>
        <v/>
      </c>
      <c r="AS305" s="789" t="str">
        <f t="shared" ca="1" si="547"/>
        <v/>
      </c>
      <c r="AT305" s="789" t="str">
        <f t="shared" ca="1" si="548"/>
        <v/>
      </c>
      <c r="AU305" s="789" t="str">
        <f t="shared" ca="1" si="549"/>
        <v/>
      </c>
      <c r="AV305" s="789" t="str">
        <f t="shared" ca="1" si="550"/>
        <v/>
      </c>
      <c r="AW305" s="789" t="str">
        <f t="shared" ca="1" si="551"/>
        <v/>
      </c>
      <c r="AX305" s="789" t="str">
        <f t="shared" ca="1" si="552"/>
        <v/>
      </c>
      <c r="AY305" s="789" t="str">
        <f t="shared" ca="1" si="553"/>
        <v/>
      </c>
      <c r="AZ305" s="789" t="str">
        <f t="shared" ca="1" si="554"/>
        <v/>
      </c>
      <c r="BA305" s="789" t="str">
        <f t="shared" ca="1" si="555"/>
        <v/>
      </c>
      <c r="BB305" s="789" t="str">
        <f t="shared" ca="1" si="556"/>
        <v/>
      </c>
      <c r="BC305" s="789" t="str">
        <f t="shared" ca="1" si="557"/>
        <v/>
      </c>
      <c r="BD305" s="789" t="str">
        <f t="shared" ca="1" si="558"/>
        <v/>
      </c>
      <c r="BE305" s="789" t="str">
        <f t="shared" ca="1" si="559"/>
        <v/>
      </c>
      <c r="BF305" s="789" t="str">
        <f t="shared" ca="1" si="560"/>
        <v/>
      </c>
      <c r="BG305" s="789" t="str">
        <f t="shared" ca="1" si="561"/>
        <v/>
      </c>
      <c r="BH305" s="789" t="str">
        <f t="shared" ca="1" si="562"/>
        <v/>
      </c>
      <c r="BI305" s="789" t="str">
        <f t="shared" ca="1" si="563"/>
        <v/>
      </c>
      <c r="BJ305" s="789" t="str">
        <f t="shared" ca="1" si="564"/>
        <v/>
      </c>
      <c r="BK305" s="789" t="str">
        <f t="shared" ca="1" si="565"/>
        <v/>
      </c>
      <c r="BL305" s="789" t="str">
        <f t="shared" ca="1" si="566"/>
        <v/>
      </c>
      <c r="BM305" s="789" t="str">
        <f t="shared" ca="1" si="567"/>
        <v/>
      </c>
      <c r="BN305" s="789" t="str">
        <f t="shared" ca="1" si="568"/>
        <v/>
      </c>
      <c r="BO305" s="789" t="str">
        <f t="shared" ca="1" si="569"/>
        <v/>
      </c>
      <c r="BP305" s="802"/>
    </row>
    <row r="306" spans="1:68" ht="20.100000000000001" customHeight="1">
      <c r="A306" s="784">
        <v>56</v>
      </c>
      <c r="B306" s="1593" t="s">
        <v>421</v>
      </c>
      <c r="C306" s="1596" t="s">
        <v>396</v>
      </c>
      <c r="D306" s="785" t="s">
        <v>397</v>
      </c>
      <c r="E306" s="790"/>
      <c r="F306" s="810"/>
      <c r="G306" s="787" t="s">
        <v>461</v>
      </c>
      <c r="H306" s="788">
        <f t="shared" ref="H306:K316" ca="1" si="570">H57</f>
        <v>1.17</v>
      </c>
      <c r="I306" s="788">
        <f t="shared" ca="1" si="570"/>
        <v>1.17</v>
      </c>
      <c r="J306" s="788">
        <f t="shared" ca="1" si="570"/>
        <v>1.17</v>
      </c>
      <c r="K306" s="788">
        <f t="shared" ca="1" si="570"/>
        <v>1.17</v>
      </c>
      <c r="L306" s="789">
        <f t="shared" ca="1" si="523"/>
        <v>0</v>
      </c>
      <c r="M306" s="789">
        <f t="shared" ca="1" si="523"/>
        <v>0</v>
      </c>
      <c r="N306" s="789">
        <f t="shared" ca="1" si="523"/>
        <v>0</v>
      </c>
      <c r="O306" s="789">
        <f t="shared" ca="1" si="523"/>
        <v>0</v>
      </c>
      <c r="P306" s="789">
        <f ca="1">SUM(SUMIFS(OFFSET(貼付け_2024実績,$A306,11,1,199),OFFSET(貼付け_2024実績,4,9,1,199),{"横浜*","川崎*"}))</f>
        <v>0</v>
      </c>
      <c r="Q306" s="789">
        <f ca="1">SUM(SUMIFS(OFFSET(貼付け_2025実績,$A306,11,1,199),OFFSET(貼付け_2025実績,4,9,1,199),{"横浜*","川崎*"}))</f>
        <v>0</v>
      </c>
      <c r="R306" s="789">
        <f ca="1">SUM(SUMIFS(OFFSET(貼付け_2026実績,$A306,11,1,199),OFFSET(貼付け_2026実績,4,9,1,199),{"横浜*","川崎*"}))</f>
        <v>0</v>
      </c>
      <c r="S306" s="789">
        <f ca="1">SUM(SUMIFS(OFFSET(貼付け_2027実績,$A306,11,1,199),OFFSET(貼付け_2027実績,4,9,1,199),{"横浜*","川崎*"}))</f>
        <v>0</v>
      </c>
      <c r="T306" s="789">
        <f t="shared" ca="1" si="524"/>
        <v>0</v>
      </c>
      <c r="U306" s="789">
        <f t="shared" ca="1" si="524"/>
        <v>0</v>
      </c>
      <c r="V306" s="789">
        <f t="shared" ca="1" si="524"/>
        <v>0</v>
      </c>
      <c r="W306" s="789">
        <f t="shared" ca="1" si="524"/>
        <v>0</v>
      </c>
      <c r="X306" s="789">
        <f t="shared" ca="1" si="526"/>
        <v>0</v>
      </c>
      <c r="Y306" s="789">
        <f t="shared" ca="1" si="527"/>
        <v>0</v>
      </c>
      <c r="Z306" s="789">
        <f t="shared" ca="1" si="528"/>
        <v>0</v>
      </c>
      <c r="AA306" s="789">
        <f t="shared" ca="1" si="529"/>
        <v>0</v>
      </c>
      <c r="AB306" s="789" t="str">
        <f t="shared" ca="1" si="530"/>
        <v/>
      </c>
      <c r="AC306" s="789" t="str">
        <f t="shared" ca="1" si="531"/>
        <v/>
      </c>
      <c r="AD306" s="789" t="str">
        <f t="shared" ca="1" si="532"/>
        <v/>
      </c>
      <c r="AE306" s="789" t="str">
        <f t="shared" ca="1" si="533"/>
        <v/>
      </c>
      <c r="AF306" s="789" t="str">
        <f t="shared" ca="1" si="534"/>
        <v/>
      </c>
      <c r="AG306" s="789" t="str">
        <f t="shared" ca="1" si="535"/>
        <v/>
      </c>
      <c r="AH306" s="789" t="str">
        <f t="shared" ca="1" si="536"/>
        <v/>
      </c>
      <c r="AI306" s="789" t="str">
        <f t="shared" ca="1" si="537"/>
        <v/>
      </c>
      <c r="AJ306" s="789" t="str">
        <f t="shared" ca="1" si="538"/>
        <v/>
      </c>
      <c r="AK306" s="789" t="str">
        <f t="shared" ca="1" si="539"/>
        <v/>
      </c>
      <c r="AL306" s="789" t="str">
        <f t="shared" ca="1" si="540"/>
        <v/>
      </c>
      <c r="AM306" s="789" t="str">
        <f t="shared" ca="1" si="541"/>
        <v/>
      </c>
      <c r="AN306" s="789" t="str">
        <f t="shared" ca="1" si="542"/>
        <v/>
      </c>
      <c r="AO306" s="789" t="str">
        <f t="shared" ca="1" si="543"/>
        <v/>
      </c>
      <c r="AP306" s="789" t="str">
        <f t="shared" ca="1" si="544"/>
        <v/>
      </c>
      <c r="AQ306" s="789" t="str">
        <f t="shared" ca="1" si="545"/>
        <v/>
      </c>
      <c r="AR306" s="789" t="str">
        <f t="shared" ca="1" si="546"/>
        <v/>
      </c>
      <c r="AS306" s="789" t="str">
        <f t="shared" ca="1" si="547"/>
        <v/>
      </c>
      <c r="AT306" s="789" t="str">
        <f t="shared" ca="1" si="548"/>
        <v/>
      </c>
      <c r="AU306" s="789" t="str">
        <f t="shared" ca="1" si="549"/>
        <v/>
      </c>
      <c r="AV306" s="789" t="str">
        <f t="shared" ca="1" si="550"/>
        <v/>
      </c>
      <c r="AW306" s="789" t="str">
        <f t="shared" ca="1" si="551"/>
        <v/>
      </c>
      <c r="AX306" s="789" t="str">
        <f t="shared" ca="1" si="552"/>
        <v/>
      </c>
      <c r="AY306" s="789" t="str">
        <f t="shared" ca="1" si="553"/>
        <v/>
      </c>
      <c r="AZ306" s="789" t="str">
        <f t="shared" ca="1" si="554"/>
        <v/>
      </c>
      <c r="BA306" s="789" t="str">
        <f t="shared" ca="1" si="555"/>
        <v/>
      </c>
      <c r="BB306" s="789" t="str">
        <f t="shared" ca="1" si="556"/>
        <v/>
      </c>
      <c r="BC306" s="789" t="str">
        <f t="shared" ca="1" si="557"/>
        <v/>
      </c>
      <c r="BD306" s="789" t="str">
        <f t="shared" ca="1" si="558"/>
        <v/>
      </c>
      <c r="BE306" s="789" t="str">
        <f t="shared" ca="1" si="559"/>
        <v/>
      </c>
      <c r="BF306" s="789" t="str">
        <f t="shared" ca="1" si="560"/>
        <v/>
      </c>
      <c r="BG306" s="789" t="str">
        <f t="shared" ca="1" si="561"/>
        <v/>
      </c>
      <c r="BH306" s="789" t="str">
        <f t="shared" ca="1" si="562"/>
        <v/>
      </c>
      <c r="BI306" s="789" t="str">
        <f t="shared" ca="1" si="563"/>
        <v/>
      </c>
      <c r="BJ306" s="789" t="str">
        <f t="shared" ca="1" si="564"/>
        <v/>
      </c>
      <c r="BK306" s="789" t="str">
        <f t="shared" ca="1" si="565"/>
        <v/>
      </c>
      <c r="BL306" s="789" t="str">
        <f t="shared" ca="1" si="566"/>
        <v/>
      </c>
      <c r="BM306" s="789" t="str">
        <f t="shared" ca="1" si="567"/>
        <v/>
      </c>
      <c r="BN306" s="789" t="str">
        <f t="shared" ca="1" si="568"/>
        <v/>
      </c>
      <c r="BO306" s="789" t="str">
        <f t="shared" ca="1" si="569"/>
        <v/>
      </c>
      <c r="BP306" s="802"/>
    </row>
    <row r="307" spans="1:68" ht="20.100000000000001" customHeight="1">
      <c r="A307" s="906">
        <v>58</v>
      </c>
      <c r="B307" s="1594"/>
      <c r="C307" s="1596"/>
      <c r="D307" s="785" t="s">
        <v>785</v>
      </c>
      <c r="E307" s="790"/>
      <c r="F307" s="810"/>
      <c r="G307" s="787" t="s">
        <v>461</v>
      </c>
      <c r="H307" s="858">
        <f t="shared" ca="1" si="570"/>
        <v>1.19</v>
      </c>
      <c r="I307" s="858">
        <f t="shared" ca="1" si="570"/>
        <v>1.19</v>
      </c>
      <c r="J307" s="858">
        <f t="shared" ca="1" si="570"/>
        <v>1.19</v>
      </c>
      <c r="K307" s="858">
        <f t="shared" ca="1" si="570"/>
        <v>1.19</v>
      </c>
      <c r="L307" s="789">
        <f t="shared" ca="1" si="523"/>
        <v>0</v>
      </c>
      <c r="M307" s="789">
        <f t="shared" ca="1" si="523"/>
        <v>0</v>
      </c>
      <c r="N307" s="789">
        <f t="shared" ca="1" si="523"/>
        <v>0</v>
      </c>
      <c r="O307" s="789">
        <f t="shared" ca="1" si="523"/>
        <v>0</v>
      </c>
      <c r="P307" s="789">
        <f ca="1">SUM(SUMIFS(OFFSET(貼付け_2024実績,$A307,11,1,199),OFFSET(貼付け_2024実績,4,9,1,199),{"横浜*","川崎*"}))</f>
        <v>0</v>
      </c>
      <c r="Q307" s="789">
        <f ca="1">SUM(SUMIFS(OFFSET(貼付け_2025実績,$A307,11,1,199),OFFSET(貼付け_2025実績,4,9,1,199),{"横浜*","川崎*"}))</f>
        <v>0</v>
      </c>
      <c r="R307" s="789">
        <f ca="1">SUM(SUMIFS(OFFSET(貼付け_2026実績,$A307,11,1,199),OFFSET(貼付け_2026実績,4,9,1,199),{"横浜*","川崎*"}))</f>
        <v>0</v>
      </c>
      <c r="S307" s="789">
        <f ca="1">SUM(SUMIFS(OFFSET(貼付け_2027実績,$A307,11,1,199),OFFSET(貼付け_2027実績,4,9,1,199),{"横浜*","川崎*"}))</f>
        <v>0</v>
      </c>
      <c r="T307" s="789">
        <f t="shared" ca="1" si="524"/>
        <v>0</v>
      </c>
      <c r="U307" s="789">
        <f t="shared" ca="1" si="524"/>
        <v>0</v>
      </c>
      <c r="V307" s="789">
        <f t="shared" ca="1" si="524"/>
        <v>0</v>
      </c>
      <c r="W307" s="789">
        <f t="shared" ca="1" si="524"/>
        <v>0</v>
      </c>
      <c r="X307" s="789">
        <f t="shared" ca="1" si="526"/>
        <v>0</v>
      </c>
      <c r="Y307" s="789">
        <f t="shared" ca="1" si="527"/>
        <v>0</v>
      </c>
      <c r="Z307" s="789">
        <f t="shared" ca="1" si="528"/>
        <v>0</v>
      </c>
      <c r="AA307" s="789">
        <f t="shared" ca="1" si="529"/>
        <v>0</v>
      </c>
      <c r="AB307" s="789" t="str">
        <f t="shared" ca="1" si="530"/>
        <v/>
      </c>
      <c r="AC307" s="789" t="str">
        <f t="shared" ca="1" si="531"/>
        <v/>
      </c>
      <c r="AD307" s="789" t="str">
        <f t="shared" ca="1" si="532"/>
        <v/>
      </c>
      <c r="AE307" s="789" t="str">
        <f t="shared" ca="1" si="533"/>
        <v/>
      </c>
      <c r="AF307" s="789" t="str">
        <f t="shared" ca="1" si="534"/>
        <v/>
      </c>
      <c r="AG307" s="789" t="str">
        <f t="shared" ca="1" si="535"/>
        <v/>
      </c>
      <c r="AH307" s="789" t="str">
        <f t="shared" ca="1" si="536"/>
        <v/>
      </c>
      <c r="AI307" s="789" t="str">
        <f t="shared" ca="1" si="537"/>
        <v/>
      </c>
      <c r="AJ307" s="789" t="str">
        <f t="shared" ca="1" si="538"/>
        <v/>
      </c>
      <c r="AK307" s="789" t="str">
        <f t="shared" ca="1" si="539"/>
        <v/>
      </c>
      <c r="AL307" s="789" t="str">
        <f t="shared" ca="1" si="540"/>
        <v/>
      </c>
      <c r="AM307" s="789" t="str">
        <f t="shared" ca="1" si="541"/>
        <v/>
      </c>
      <c r="AN307" s="789" t="str">
        <f t="shared" ca="1" si="542"/>
        <v/>
      </c>
      <c r="AO307" s="789" t="str">
        <f t="shared" ca="1" si="543"/>
        <v/>
      </c>
      <c r="AP307" s="789" t="str">
        <f t="shared" ca="1" si="544"/>
        <v/>
      </c>
      <c r="AQ307" s="789" t="str">
        <f t="shared" ca="1" si="545"/>
        <v/>
      </c>
      <c r="AR307" s="789" t="str">
        <f t="shared" ca="1" si="546"/>
        <v/>
      </c>
      <c r="AS307" s="789" t="str">
        <f t="shared" ca="1" si="547"/>
        <v/>
      </c>
      <c r="AT307" s="789" t="str">
        <f t="shared" ca="1" si="548"/>
        <v/>
      </c>
      <c r="AU307" s="789" t="str">
        <f t="shared" ca="1" si="549"/>
        <v/>
      </c>
      <c r="AV307" s="789" t="str">
        <f t="shared" ca="1" si="550"/>
        <v/>
      </c>
      <c r="AW307" s="789" t="str">
        <f t="shared" ca="1" si="551"/>
        <v/>
      </c>
      <c r="AX307" s="789" t="str">
        <f t="shared" ca="1" si="552"/>
        <v/>
      </c>
      <c r="AY307" s="789" t="str">
        <f t="shared" ca="1" si="553"/>
        <v/>
      </c>
      <c r="AZ307" s="789" t="str">
        <f t="shared" ca="1" si="554"/>
        <v/>
      </c>
      <c r="BA307" s="789" t="str">
        <f t="shared" ca="1" si="555"/>
        <v/>
      </c>
      <c r="BB307" s="789" t="str">
        <f t="shared" ca="1" si="556"/>
        <v/>
      </c>
      <c r="BC307" s="789" t="str">
        <f t="shared" ca="1" si="557"/>
        <v/>
      </c>
      <c r="BD307" s="789" t="str">
        <f t="shared" ca="1" si="558"/>
        <v/>
      </c>
      <c r="BE307" s="789" t="str">
        <f t="shared" ca="1" si="559"/>
        <v/>
      </c>
      <c r="BF307" s="789" t="str">
        <f t="shared" ca="1" si="560"/>
        <v/>
      </c>
      <c r="BG307" s="789" t="str">
        <f t="shared" ca="1" si="561"/>
        <v/>
      </c>
      <c r="BH307" s="789" t="str">
        <f t="shared" ca="1" si="562"/>
        <v/>
      </c>
      <c r="BI307" s="789" t="str">
        <f t="shared" ca="1" si="563"/>
        <v/>
      </c>
      <c r="BJ307" s="789" t="str">
        <f t="shared" ca="1" si="564"/>
        <v/>
      </c>
      <c r="BK307" s="789" t="str">
        <f t="shared" ca="1" si="565"/>
        <v/>
      </c>
      <c r="BL307" s="789" t="str">
        <f t="shared" ca="1" si="566"/>
        <v/>
      </c>
      <c r="BM307" s="789" t="str">
        <f t="shared" ca="1" si="567"/>
        <v/>
      </c>
      <c r="BN307" s="789" t="str">
        <f t="shared" ca="1" si="568"/>
        <v/>
      </c>
      <c r="BO307" s="789" t="str">
        <f t="shared" ca="1" si="569"/>
        <v/>
      </c>
      <c r="BP307" s="802"/>
    </row>
    <row r="308" spans="1:68" ht="20.100000000000001" customHeight="1">
      <c r="A308" s="906">
        <v>60</v>
      </c>
      <c r="B308" s="1594"/>
      <c r="C308" s="1596"/>
      <c r="D308" s="785" t="s">
        <v>786</v>
      </c>
      <c r="E308" s="790"/>
      <c r="F308" s="810"/>
      <c r="G308" s="787" t="s">
        <v>461</v>
      </c>
      <c r="H308" s="858">
        <f t="shared" ca="1" si="570"/>
        <v>1.19</v>
      </c>
      <c r="I308" s="858">
        <f t="shared" ca="1" si="570"/>
        <v>1.19</v>
      </c>
      <c r="J308" s="858">
        <f t="shared" ca="1" si="570"/>
        <v>1.19</v>
      </c>
      <c r="K308" s="858">
        <f t="shared" ca="1" si="570"/>
        <v>1.19</v>
      </c>
      <c r="L308" s="789">
        <f t="shared" ca="1" si="523"/>
        <v>0</v>
      </c>
      <c r="M308" s="789">
        <f t="shared" ca="1" si="523"/>
        <v>0</v>
      </c>
      <c r="N308" s="789">
        <f t="shared" ca="1" si="523"/>
        <v>0</v>
      </c>
      <c r="O308" s="789">
        <f t="shared" ca="1" si="523"/>
        <v>0</v>
      </c>
      <c r="P308" s="789">
        <f ca="1">SUM(SUMIFS(OFFSET(貼付け_2024実績,$A308,11,1,199),OFFSET(貼付け_2024実績,4,9,1,199),{"横浜*","川崎*"}))</f>
        <v>0</v>
      </c>
      <c r="Q308" s="789">
        <f ca="1">SUM(SUMIFS(OFFSET(貼付け_2025実績,$A308,11,1,199),OFFSET(貼付け_2025実績,4,9,1,199),{"横浜*","川崎*"}))</f>
        <v>0</v>
      </c>
      <c r="R308" s="789">
        <f ca="1">SUM(SUMIFS(OFFSET(貼付け_2026実績,$A308,11,1,199),OFFSET(貼付け_2026実績,4,9,1,199),{"横浜*","川崎*"}))</f>
        <v>0</v>
      </c>
      <c r="S308" s="789">
        <f ca="1">SUM(SUMIFS(OFFSET(貼付け_2027実績,$A308,11,1,199),OFFSET(貼付け_2027実績,4,9,1,199),{"横浜*","川崎*"}))</f>
        <v>0</v>
      </c>
      <c r="T308" s="789">
        <f t="shared" ca="1" si="524"/>
        <v>0</v>
      </c>
      <c r="U308" s="789">
        <f t="shared" ca="1" si="524"/>
        <v>0</v>
      </c>
      <c r="V308" s="789">
        <f t="shared" ca="1" si="524"/>
        <v>0</v>
      </c>
      <c r="W308" s="789">
        <f t="shared" ca="1" si="524"/>
        <v>0</v>
      </c>
      <c r="X308" s="789">
        <f t="shared" ca="1" si="526"/>
        <v>0</v>
      </c>
      <c r="Y308" s="789">
        <f t="shared" ca="1" si="527"/>
        <v>0</v>
      </c>
      <c r="Z308" s="789">
        <f t="shared" ca="1" si="528"/>
        <v>0</v>
      </c>
      <c r="AA308" s="789">
        <f t="shared" ca="1" si="529"/>
        <v>0</v>
      </c>
      <c r="AB308" s="789" t="str">
        <f t="shared" ca="1" si="530"/>
        <v/>
      </c>
      <c r="AC308" s="789" t="str">
        <f t="shared" ca="1" si="531"/>
        <v/>
      </c>
      <c r="AD308" s="789" t="str">
        <f t="shared" ca="1" si="532"/>
        <v/>
      </c>
      <c r="AE308" s="789" t="str">
        <f t="shared" ca="1" si="533"/>
        <v/>
      </c>
      <c r="AF308" s="789" t="str">
        <f t="shared" ca="1" si="534"/>
        <v/>
      </c>
      <c r="AG308" s="789" t="str">
        <f t="shared" ca="1" si="535"/>
        <v/>
      </c>
      <c r="AH308" s="789" t="str">
        <f t="shared" ca="1" si="536"/>
        <v/>
      </c>
      <c r="AI308" s="789" t="str">
        <f t="shared" ca="1" si="537"/>
        <v/>
      </c>
      <c r="AJ308" s="789" t="str">
        <f t="shared" ca="1" si="538"/>
        <v/>
      </c>
      <c r="AK308" s="789" t="str">
        <f t="shared" ca="1" si="539"/>
        <v/>
      </c>
      <c r="AL308" s="789" t="str">
        <f t="shared" ca="1" si="540"/>
        <v/>
      </c>
      <c r="AM308" s="789" t="str">
        <f t="shared" ca="1" si="541"/>
        <v/>
      </c>
      <c r="AN308" s="789" t="str">
        <f t="shared" ca="1" si="542"/>
        <v/>
      </c>
      <c r="AO308" s="789" t="str">
        <f t="shared" ca="1" si="543"/>
        <v/>
      </c>
      <c r="AP308" s="789" t="str">
        <f t="shared" ca="1" si="544"/>
        <v/>
      </c>
      <c r="AQ308" s="789" t="str">
        <f t="shared" ca="1" si="545"/>
        <v/>
      </c>
      <c r="AR308" s="789" t="str">
        <f t="shared" ca="1" si="546"/>
        <v/>
      </c>
      <c r="AS308" s="789" t="str">
        <f t="shared" ca="1" si="547"/>
        <v/>
      </c>
      <c r="AT308" s="789" t="str">
        <f t="shared" ca="1" si="548"/>
        <v/>
      </c>
      <c r="AU308" s="789" t="str">
        <f t="shared" ca="1" si="549"/>
        <v/>
      </c>
      <c r="AV308" s="789" t="str">
        <f t="shared" ca="1" si="550"/>
        <v/>
      </c>
      <c r="AW308" s="789" t="str">
        <f t="shared" ca="1" si="551"/>
        <v/>
      </c>
      <c r="AX308" s="789" t="str">
        <f t="shared" ca="1" si="552"/>
        <v/>
      </c>
      <c r="AY308" s="789" t="str">
        <f t="shared" ca="1" si="553"/>
        <v/>
      </c>
      <c r="AZ308" s="789" t="str">
        <f t="shared" ca="1" si="554"/>
        <v/>
      </c>
      <c r="BA308" s="789" t="str">
        <f t="shared" ca="1" si="555"/>
        <v/>
      </c>
      <c r="BB308" s="789" t="str">
        <f t="shared" ca="1" si="556"/>
        <v/>
      </c>
      <c r="BC308" s="789" t="str">
        <f t="shared" ca="1" si="557"/>
        <v/>
      </c>
      <c r="BD308" s="789" t="str">
        <f t="shared" ca="1" si="558"/>
        <v/>
      </c>
      <c r="BE308" s="789" t="str">
        <f t="shared" ca="1" si="559"/>
        <v/>
      </c>
      <c r="BF308" s="789" t="str">
        <f t="shared" ca="1" si="560"/>
        <v/>
      </c>
      <c r="BG308" s="789" t="str">
        <f t="shared" ca="1" si="561"/>
        <v/>
      </c>
      <c r="BH308" s="789" t="str">
        <f t="shared" ca="1" si="562"/>
        <v/>
      </c>
      <c r="BI308" s="789" t="str">
        <f t="shared" ca="1" si="563"/>
        <v/>
      </c>
      <c r="BJ308" s="789" t="str">
        <f t="shared" ca="1" si="564"/>
        <v/>
      </c>
      <c r="BK308" s="789" t="str">
        <f t="shared" ca="1" si="565"/>
        <v/>
      </c>
      <c r="BL308" s="789" t="str">
        <f t="shared" ca="1" si="566"/>
        <v/>
      </c>
      <c r="BM308" s="789" t="str">
        <f t="shared" ca="1" si="567"/>
        <v/>
      </c>
      <c r="BN308" s="789" t="str">
        <f t="shared" ca="1" si="568"/>
        <v/>
      </c>
      <c r="BO308" s="789" t="str">
        <f t="shared" ca="1" si="569"/>
        <v/>
      </c>
      <c r="BP308" s="802"/>
    </row>
    <row r="309" spans="1:68" ht="20.100000000000001" customHeight="1">
      <c r="A309" s="906">
        <v>62</v>
      </c>
      <c r="B309" s="1594"/>
      <c r="C309" s="1596"/>
      <c r="D309" s="785" t="s">
        <v>787</v>
      </c>
      <c r="E309" s="790"/>
      <c r="F309" s="810"/>
      <c r="G309" s="787" t="s">
        <v>461</v>
      </c>
      <c r="H309" s="858">
        <f t="shared" ca="1" si="570"/>
        <v>1.19</v>
      </c>
      <c r="I309" s="858">
        <f t="shared" ca="1" si="570"/>
        <v>1.19</v>
      </c>
      <c r="J309" s="858">
        <f t="shared" ca="1" si="570"/>
        <v>1.19</v>
      </c>
      <c r="K309" s="858">
        <f t="shared" ca="1" si="570"/>
        <v>1.19</v>
      </c>
      <c r="L309" s="789">
        <f t="shared" ca="1" si="523"/>
        <v>0</v>
      </c>
      <c r="M309" s="789">
        <f t="shared" ca="1" si="523"/>
        <v>0</v>
      </c>
      <c r="N309" s="789">
        <f t="shared" ca="1" si="523"/>
        <v>0</v>
      </c>
      <c r="O309" s="789">
        <f t="shared" ca="1" si="523"/>
        <v>0</v>
      </c>
      <c r="P309" s="789">
        <f ca="1">SUM(SUMIFS(OFFSET(貼付け_2024実績,$A309,11,1,199),OFFSET(貼付け_2024実績,4,9,1,199),{"横浜*","川崎*"}))</f>
        <v>0</v>
      </c>
      <c r="Q309" s="789">
        <f ca="1">SUM(SUMIFS(OFFSET(貼付け_2025実績,$A309,11,1,199),OFFSET(貼付け_2025実績,4,9,1,199),{"横浜*","川崎*"}))</f>
        <v>0</v>
      </c>
      <c r="R309" s="789">
        <f ca="1">SUM(SUMIFS(OFFSET(貼付け_2026実績,$A309,11,1,199),OFFSET(貼付け_2026実績,4,9,1,199),{"横浜*","川崎*"}))</f>
        <v>0</v>
      </c>
      <c r="S309" s="789">
        <f ca="1">SUM(SUMIFS(OFFSET(貼付け_2027実績,$A309,11,1,199),OFFSET(貼付け_2027実績,4,9,1,199),{"横浜*","川崎*"}))</f>
        <v>0</v>
      </c>
      <c r="T309" s="789">
        <f t="shared" ca="1" si="524"/>
        <v>0</v>
      </c>
      <c r="U309" s="789">
        <f t="shared" ca="1" si="524"/>
        <v>0</v>
      </c>
      <c r="V309" s="789">
        <f t="shared" ca="1" si="524"/>
        <v>0</v>
      </c>
      <c r="W309" s="789">
        <f t="shared" ca="1" si="524"/>
        <v>0</v>
      </c>
      <c r="X309" s="789">
        <f t="shared" ca="1" si="526"/>
        <v>0</v>
      </c>
      <c r="Y309" s="789">
        <f t="shared" ca="1" si="527"/>
        <v>0</v>
      </c>
      <c r="Z309" s="789">
        <f t="shared" ca="1" si="528"/>
        <v>0</v>
      </c>
      <c r="AA309" s="789">
        <f t="shared" ca="1" si="529"/>
        <v>0</v>
      </c>
      <c r="AB309" s="789" t="str">
        <f t="shared" ca="1" si="530"/>
        <v/>
      </c>
      <c r="AC309" s="789" t="str">
        <f t="shared" ca="1" si="531"/>
        <v/>
      </c>
      <c r="AD309" s="789" t="str">
        <f t="shared" ca="1" si="532"/>
        <v/>
      </c>
      <c r="AE309" s="789" t="str">
        <f t="shared" ca="1" si="533"/>
        <v/>
      </c>
      <c r="AF309" s="789" t="str">
        <f t="shared" ca="1" si="534"/>
        <v/>
      </c>
      <c r="AG309" s="789" t="str">
        <f t="shared" ca="1" si="535"/>
        <v/>
      </c>
      <c r="AH309" s="789" t="str">
        <f t="shared" ca="1" si="536"/>
        <v/>
      </c>
      <c r="AI309" s="789" t="str">
        <f t="shared" ca="1" si="537"/>
        <v/>
      </c>
      <c r="AJ309" s="789" t="str">
        <f t="shared" ca="1" si="538"/>
        <v/>
      </c>
      <c r="AK309" s="789" t="str">
        <f t="shared" ca="1" si="539"/>
        <v/>
      </c>
      <c r="AL309" s="789" t="str">
        <f t="shared" ca="1" si="540"/>
        <v/>
      </c>
      <c r="AM309" s="789" t="str">
        <f t="shared" ca="1" si="541"/>
        <v/>
      </c>
      <c r="AN309" s="789" t="str">
        <f t="shared" ca="1" si="542"/>
        <v/>
      </c>
      <c r="AO309" s="789" t="str">
        <f t="shared" ca="1" si="543"/>
        <v/>
      </c>
      <c r="AP309" s="789" t="str">
        <f t="shared" ca="1" si="544"/>
        <v/>
      </c>
      <c r="AQ309" s="789" t="str">
        <f t="shared" ca="1" si="545"/>
        <v/>
      </c>
      <c r="AR309" s="789" t="str">
        <f t="shared" ca="1" si="546"/>
        <v/>
      </c>
      <c r="AS309" s="789" t="str">
        <f t="shared" ca="1" si="547"/>
        <v/>
      </c>
      <c r="AT309" s="789" t="str">
        <f t="shared" ca="1" si="548"/>
        <v/>
      </c>
      <c r="AU309" s="789" t="str">
        <f t="shared" ca="1" si="549"/>
        <v/>
      </c>
      <c r="AV309" s="789" t="str">
        <f t="shared" ca="1" si="550"/>
        <v/>
      </c>
      <c r="AW309" s="789" t="str">
        <f t="shared" ca="1" si="551"/>
        <v/>
      </c>
      <c r="AX309" s="789" t="str">
        <f t="shared" ca="1" si="552"/>
        <v/>
      </c>
      <c r="AY309" s="789" t="str">
        <f t="shared" ca="1" si="553"/>
        <v/>
      </c>
      <c r="AZ309" s="789" t="str">
        <f t="shared" ca="1" si="554"/>
        <v/>
      </c>
      <c r="BA309" s="789" t="str">
        <f t="shared" ca="1" si="555"/>
        <v/>
      </c>
      <c r="BB309" s="789" t="str">
        <f t="shared" ca="1" si="556"/>
        <v/>
      </c>
      <c r="BC309" s="789" t="str">
        <f t="shared" ca="1" si="557"/>
        <v/>
      </c>
      <c r="BD309" s="789" t="str">
        <f t="shared" ca="1" si="558"/>
        <v/>
      </c>
      <c r="BE309" s="789" t="str">
        <f t="shared" ca="1" si="559"/>
        <v/>
      </c>
      <c r="BF309" s="789" t="str">
        <f t="shared" ca="1" si="560"/>
        <v/>
      </c>
      <c r="BG309" s="789" t="str">
        <f t="shared" ca="1" si="561"/>
        <v/>
      </c>
      <c r="BH309" s="789" t="str">
        <f t="shared" ca="1" si="562"/>
        <v/>
      </c>
      <c r="BI309" s="789" t="str">
        <f t="shared" ca="1" si="563"/>
        <v/>
      </c>
      <c r="BJ309" s="789" t="str">
        <f t="shared" ca="1" si="564"/>
        <v/>
      </c>
      <c r="BK309" s="789" t="str">
        <f t="shared" ca="1" si="565"/>
        <v/>
      </c>
      <c r="BL309" s="789" t="str">
        <f t="shared" ca="1" si="566"/>
        <v/>
      </c>
      <c r="BM309" s="789" t="str">
        <f t="shared" ca="1" si="567"/>
        <v/>
      </c>
      <c r="BN309" s="789" t="str">
        <f t="shared" ca="1" si="568"/>
        <v/>
      </c>
      <c r="BO309" s="789" t="str">
        <f t="shared" ca="1" si="569"/>
        <v/>
      </c>
      <c r="BP309" s="802"/>
    </row>
    <row r="310" spans="1:68" ht="20.100000000000001" customHeight="1">
      <c r="A310" s="906">
        <v>64</v>
      </c>
      <c r="B310" s="1594"/>
      <c r="C310" s="1596"/>
      <c r="D310" s="812" t="s">
        <v>398</v>
      </c>
      <c r="E310" s="792" t="str">
        <f ca="1">E61</f>
        <v/>
      </c>
      <c r="F310" s="794"/>
      <c r="G310" s="787" t="s">
        <v>461</v>
      </c>
      <c r="H310" s="788">
        <f t="shared" ca="1" si="570"/>
        <v>0</v>
      </c>
      <c r="I310" s="788">
        <f t="shared" ca="1" si="570"/>
        <v>0</v>
      </c>
      <c r="J310" s="788">
        <f t="shared" ca="1" si="570"/>
        <v>0</v>
      </c>
      <c r="K310" s="788">
        <f t="shared" ca="1" si="570"/>
        <v>0</v>
      </c>
      <c r="L310" s="789">
        <f t="shared" ca="1" si="523"/>
        <v>0</v>
      </c>
      <c r="M310" s="789">
        <f t="shared" ca="1" si="523"/>
        <v>0</v>
      </c>
      <c r="N310" s="789">
        <f t="shared" ca="1" si="523"/>
        <v>0</v>
      </c>
      <c r="O310" s="789">
        <f t="shared" ca="1" si="523"/>
        <v>0</v>
      </c>
      <c r="P310" s="789">
        <f ca="1">SUM(SUMIFS(OFFSET(貼付け_2024実績,$A310,11,1,199),OFFSET(貼付け_2024実績,4,9,1,199),{"横浜*","川崎*"}))</f>
        <v>0</v>
      </c>
      <c r="Q310" s="789">
        <f ca="1">SUM(SUMIFS(OFFSET(貼付け_2025実績,$A310,11,1,199),OFFSET(貼付け_2025実績,4,9,1,199),{"横浜*","川崎*"}))</f>
        <v>0</v>
      </c>
      <c r="R310" s="789">
        <f ca="1">SUM(SUMIFS(OFFSET(貼付け_2026実績,$A310,11,1,199),OFFSET(貼付け_2026実績,4,9,1,199),{"横浜*","川崎*"}))</f>
        <v>0</v>
      </c>
      <c r="S310" s="789">
        <f ca="1">SUM(SUMIFS(OFFSET(貼付け_2027実績,$A310,11,1,199),OFFSET(貼付け_2027実績,4,9,1,199),{"横浜*","川崎*"}))</f>
        <v>0</v>
      </c>
      <c r="T310" s="789">
        <f t="shared" ca="1" si="524"/>
        <v>0</v>
      </c>
      <c r="U310" s="789">
        <f t="shared" ca="1" si="524"/>
        <v>0</v>
      </c>
      <c r="V310" s="789">
        <f t="shared" ca="1" si="524"/>
        <v>0</v>
      </c>
      <c r="W310" s="789">
        <f t="shared" ca="1" si="524"/>
        <v>0</v>
      </c>
      <c r="X310" s="789">
        <f t="shared" ca="1" si="526"/>
        <v>0</v>
      </c>
      <c r="Y310" s="789">
        <f t="shared" ca="1" si="527"/>
        <v>0</v>
      </c>
      <c r="Z310" s="789">
        <f t="shared" ca="1" si="528"/>
        <v>0</v>
      </c>
      <c r="AA310" s="789">
        <f t="shared" ca="1" si="529"/>
        <v>0</v>
      </c>
      <c r="AB310" s="789" t="str">
        <f t="shared" ca="1" si="530"/>
        <v/>
      </c>
      <c r="AC310" s="789" t="str">
        <f t="shared" ca="1" si="531"/>
        <v/>
      </c>
      <c r="AD310" s="789" t="str">
        <f t="shared" ca="1" si="532"/>
        <v/>
      </c>
      <c r="AE310" s="789" t="str">
        <f t="shared" ca="1" si="533"/>
        <v/>
      </c>
      <c r="AF310" s="789" t="str">
        <f t="shared" ca="1" si="534"/>
        <v/>
      </c>
      <c r="AG310" s="789" t="str">
        <f t="shared" ca="1" si="535"/>
        <v/>
      </c>
      <c r="AH310" s="789" t="str">
        <f t="shared" ca="1" si="536"/>
        <v/>
      </c>
      <c r="AI310" s="789" t="str">
        <f t="shared" ca="1" si="537"/>
        <v/>
      </c>
      <c r="AJ310" s="789" t="str">
        <f t="shared" ca="1" si="538"/>
        <v/>
      </c>
      <c r="AK310" s="789" t="str">
        <f t="shared" ca="1" si="539"/>
        <v/>
      </c>
      <c r="AL310" s="789" t="str">
        <f t="shared" ca="1" si="540"/>
        <v/>
      </c>
      <c r="AM310" s="789" t="str">
        <f t="shared" ca="1" si="541"/>
        <v/>
      </c>
      <c r="AN310" s="789" t="str">
        <f t="shared" ca="1" si="542"/>
        <v/>
      </c>
      <c r="AO310" s="789" t="str">
        <f t="shared" ca="1" si="543"/>
        <v/>
      </c>
      <c r="AP310" s="789" t="str">
        <f t="shared" ca="1" si="544"/>
        <v/>
      </c>
      <c r="AQ310" s="789" t="str">
        <f t="shared" ca="1" si="545"/>
        <v/>
      </c>
      <c r="AR310" s="789" t="str">
        <f t="shared" ca="1" si="546"/>
        <v/>
      </c>
      <c r="AS310" s="789" t="str">
        <f t="shared" ca="1" si="547"/>
        <v/>
      </c>
      <c r="AT310" s="789" t="str">
        <f t="shared" ca="1" si="548"/>
        <v/>
      </c>
      <c r="AU310" s="789" t="str">
        <f t="shared" ca="1" si="549"/>
        <v/>
      </c>
      <c r="AV310" s="789" t="str">
        <f t="shared" ca="1" si="550"/>
        <v/>
      </c>
      <c r="AW310" s="789" t="str">
        <f t="shared" ca="1" si="551"/>
        <v/>
      </c>
      <c r="AX310" s="789" t="str">
        <f t="shared" ca="1" si="552"/>
        <v/>
      </c>
      <c r="AY310" s="789" t="str">
        <f t="shared" ca="1" si="553"/>
        <v/>
      </c>
      <c r="AZ310" s="789" t="str">
        <f t="shared" ca="1" si="554"/>
        <v/>
      </c>
      <c r="BA310" s="789" t="str">
        <f t="shared" ca="1" si="555"/>
        <v/>
      </c>
      <c r="BB310" s="789" t="str">
        <f t="shared" ca="1" si="556"/>
        <v/>
      </c>
      <c r="BC310" s="789" t="str">
        <f t="shared" ca="1" si="557"/>
        <v/>
      </c>
      <c r="BD310" s="789" t="str">
        <f t="shared" ca="1" si="558"/>
        <v/>
      </c>
      <c r="BE310" s="789" t="str">
        <f t="shared" ca="1" si="559"/>
        <v/>
      </c>
      <c r="BF310" s="789" t="str">
        <f t="shared" ca="1" si="560"/>
        <v/>
      </c>
      <c r="BG310" s="789" t="str">
        <f t="shared" ca="1" si="561"/>
        <v/>
      </c>
      <c r="BH310" s="789" t="str">
        <f t="shared" ca="1" si="562"/>
        <v/>
      </c>
      <c r="BI310" s="789" t="str">
        <f t="shared" ca="1" si="563"/>
        <v/>
      </c>
      <c r="BJ310" s="789" t="str">
        <f t="shared" ca="1" si="564"/>
        <v/>
      </c>
      <c r="BK310" s="789" t="str">
        <f t="shared" ca="1" si="565"/>
        <v/>
      </c>
      <c r="BL310" s="789" t="str">
        <f t="shared" ca="1" si="566"/>
        <v/>
      </c>
      <c r="BM310" s="789" t="str">
        <f t="shared" ca="1" si="567"/>
        <v/>
      </c>
      <c r="BN310" s="789" t="str">
        <f t="shared" ca="1" si="568"/>
        <v/>
      </c>
      <c r="BO310" s="789" t="str">
        <f t="shared" ca="1" si="569"/>
        <v/>
      </c>
      <c r="BP310" s="802"/>
    </row>
    <row r="311" spans="1:68" ht="20.100000000000001" customHeight="1">
      <c r="A311" s="906">
        <v>66</v>
      </c>
      <c r="B311" s="1594"/>
      <c r="C311" s="1596" t="s">
        <v>399</v>
      </c>
      <c r="D311" s="813" t="s">
        <v>400</v>
      </c>
      <c r="E311" s="785"/>
      <c r="F311" s="810"/>
      <c r="G311" s="787" t="s">
        <v>461</v>
      </c>
      <c r="H311" s="858">
        <f t="shared" ca="1" si="570"/>
        <v>0</v>
      </c>
      <c r="I311" s="858">
        <f t="shared" ca="1" si="570"/>
        <v>0</v>
      </c>
      <c r="J311" s="858">
        <f t="shared" ca="1" si="570"/>
        <v>0</v>
      </c>
      <c r="K311" s="858">
        <f t="shared" ca="1" si="570"/>
        <v>0</v>
      </c>
      <c r="L311" s="789">
        <f t="shared" ca="1" si="523"/>
        <v>0</v>
      </c>
      <c r="M311" s="789">
        <f t="shared" ca="1" si="523"/>
        <v>0</v>
      </c>
      <c r="N311" s="789">
        <f t="shared" ca="1" si="523"/>
        <v>0</v>
      </c>
      <c r="O311" s="789">
        <f t="shared" ca="1" si="523"/>
        <v>0</v>
      </c>
      <c r="P311" s="789">
        <f ca="1">SUM(SUMIFS(OFFSET(貼付け_2024実績,$A311,11,1,199),OFFSET(貼付け_2024実績,4,9,1,199),{"横浜*","川崎*"}))</f>
        <v>0</v>
      </c>
      <c r="Q311" s="789">
        <f ca="1">SUM(SUMIFS(OFFSET(貼付け_2025実績,$A311,11,1,199),OFFSET(貼付け_2025実績,4,9,1,199),{"横浜*","川崎*"}))</f>
        <v>0</v>
      </c>
      <c r="R311" s="789">
        <f ca="1">SUM(SUMIFS(OFFSET(貼付け_2026実績,$A311,11,1,199),OFFSET(貼付け_2026実績,4,9,1,199),{"横浜*","川崎*"}))</f>
        <v>0</v>
      </c>
      <c r="S311" s="789">
        <f ca="1">SUM(SUMIFS(OFFSET(貼付け_2027実績,$A311,11,1,199),OFFSET(貼付け_2027実績,4,9,1,199),{"横浜*","川崎*"}))</f>
        <v>0</v>
      </c>
      <c r="T311" s="789">
        <f t="shared" ca="1" si="524"/>
        <v>0</v>
      </c>
      <c r="U311" s="789">
        <f t="shared" ca="1" si="524"/>
        <v>0</v>
      </c>
      <c r="V311" s="789">
        <f t="shared" ca="1" si="524"/>
        <v>0</v>
      </c>
      <c r="W311" s="789">
        <f t="shared" ca="1" si="524"/>
        <v>0</v>
      </c>
      <c r="X311" s="789">
        <f t="shared" ca="1" si="526"/>
        <v>0</v>
      </c>
      <c r="Y311" s="789">
        <f t="shared" ca="1" si="527"/>
        <v>0</v>
      </c>
      <c r="Z311" s="789">
        <f t="shared" ca="1" si="528"/>
        <v>0</v>
      </c>
      <c r="AA311" s="789">
        <f t="shared" ca="1" si="529"/>
        <v>0</v>
      </c>
      <c r="AB311" s="789" t="str">
        <f t="shared" ca="1" si="530"/>
        <v/>
      </c>
      <c r="AC311" s="789" t="str">
        <f t="shared" ca="1" si="531"/>
        <v/>
      </c>
      <c r="AD311" s="789" t="str">
        <f t="shared" ca="1" si="532"/>
        <v/>
      </c>
      <c r="AE311" s="789" t="str">
        <f t="shared" ca="1" si="533"/>
        <v/>
      </c>
      <c r="AF311" s="789" t="str">
        <f t="shared" ca="1" si="534"/>
        <v/>
      </c>
      <c r="AG311" s="789" t="str">
        <f t="shared" ca="1" si="535"/>
        <v/>
      </c>
      <c r="AH311" s="789" t="str">
        <f t="shared" ca="1" si="536"/>
        <v/>
      </c>
      <c r="AI311" s="789" t="str">
        <f t="shared" ca="1" si="537"/>
        <v/>
      </c>
      <c r="AJ311" s="789" t="str">
        <f t="shared" ca="1" si="538"/>
        <v/>
      </c>
      <c r="AK311" s="789" t="str">
        <f t="shared" ca="1" si="539"/>
        <v/>
      </c>
      <c r="AL311" s="789" t="str">
        <f t="shared" ca="1" si="540"/>
        <v/>
      </c>
      <c r="AM311" s="789" t="str">
        <f t="shared" ca="1" si="541"/>
        <v/>
      </c>
      <c r="AN311" s="789" t="str">
        <f t="shared" ca="1" si="542"/>
        <v/>
      </c>
      <c r="AO311" s="789" t="str">
        <f t="shared" ca="1" si="543"/>
        <v/>
      </c>
      <c r="AP311" s="789" t="str">
        <f t="shared" ca="1" si="544"/>
        <v/>
      </c>
      <c r="AQ311" s="789" t="str">
        <f t="shared" ca="1" si="545"/>
        <v/>
      </c>
      <c r="AR311" s="789" t="str">
        <f t="shared" ca="1" si="546"/>
        <v/>
      </c>
      <c r="AS311" s="789" t="str">
        <f t="shared" ca="1" si="547"/>
        <v/>
      </c>
      <c r="AT311" s="789" t="str">
        <f t="shared" ca="1" si="548"/>
        <v/>
      </c>
      <c r="AU311" s="789" t="str">
        <f t="shared" ca="1" si="549"/>
        <v/>
      </c>
      <c r="AV311" s="789" t="str">
        <f t="shared" ca="1" si="550"/>
        <v/>
      </c>
      <c r="AW311" s="789" t="str">
        <f t="shared" ca="1" si="551"/>
        <v/>
      </c>
      <c r="AX311" s="789" t="str">
        <f t="shared" ca="1" si="552"/>
        <v/>
      </c>
      <c r="AY311" s="789" t="str">
        <f t="shared" ca="1" si="553"/>
        <v/>
      </c>
      <c r="AZ311" s="789" t="str">
        <f t="shared" ca="1" si="554"/>
        <v/>
      </c>
      <c r="BA311" s="789" t="str">
        <f t="shared" ca="1" si="555"/>
        <v/>
      </c>
      <c r="BB311" s="789" t="str">
        <f t="shared" ca="1" si="556"/>
        <v/>
      </c>
      <c r="BC311" s="789" t="str">
        <f t="shared" ca="1" si="557"/>
        <v/>
      </c>
      <c r="BD311" s="789" t="str">
        <f t="shared" ca="1" si="558"/>
        <v/>
      </c>
      <c r="BE311" s="789" t="str">
        <f t="shared" ca="1" si="559"/>
        <v/>
      </c>
      <c r="BF311" s="789" t="str">
        <f t="shared" ca="1" si="560"/>
        <v/>
      </c>
      <c r="BG311" s="789" t="str">
        <f t="shared" ca="1" si="561"/>
        <v/>
      </c>
      <c r="BH311" s="789" t="str">
        <f t="shared" ca="1" si="562"/>
        <v/>
      </c>
      <c r="BI311" s="789" t="str">
        <f t="shared" ca="1" si="563"/>
        <v/>
      </c>
      <c r="BJ311" s="789" t="str">
        <f t="shared" ca="1" si="564"/>
        <v/>
      </c>
      <c r="BK311" s="789" t="str">
        <f t="shared" ca="1" si="565"/>
        <v/>
      </c>
      <c r="BL311" s="789" t="str">
        <f t="shared" ca="1" si="566"/>
        <v/>
      </c>
      <c r="BM311" s="789" t="str">
        <f t="shared" ca="1" si="567"/>
        <v/>
      </c>
      <c r="BN311" s="789" t="str">
        <f t="shared" ca="1" si="568"/>
        <v/>
      </c>
      <c r="BO311" s="789" t="str">
        <f t="shared" ca="1" si="569"/>
        <v/>
      </c>
      <c r="BP311" s="802"/>
    </row>
    <row r="312" spans="1:68" ht="20.100000000000001" customHeight="1">
      <c r="A312" s="906">
        <v>67</v>
      </c>
      <c r="B312" s="1594"/>
      <c r="C312" s="1596"/>
      <c r="D312" s="813" t="s">
        <v>401</v>
      </c>
      <c r="E312" s="785"/>
      <c r="F312" s="810"/>
      <c r="G312" s="787" t="s">
        <v>461</v>
      </c>
      <c r="H312" s="788">
        <f t="shared" ca="1" si="570"/>
        <v>0</v>
      </c>
      <c r="I312" s="788">
        <f t="shared" ca="1" si="570"/>
        <v>0</v>
      </c>
      <c r="J312" s="788">
        <f t="shared" ca="1" si="570"/>
        <v>0</v>
      </c>
      <c r="K312" s="788">
        <f t="shared" ca="1" si="570"/>
        <v>0</v>
      </c>
      <c r="L312" s="789">
        <f t="shared" ca="1" si="523"/>
        <v>0</v>
      </c>
      <c r="M312" s="789">
        <f t="shared" ca="1" si="523"/>
        <v>0</v>
      </c>
      <c r="N312" s="789">
        <f t="shared" ca="1" si="523"/>
        <v>0</v>
      </c>
      <c r="O312" s="789">
        <f t="shared" ca="1" si="523"/>
        <v>0</v>
      </c>
      <c r="P312" s="789">
        <f ca="1">SUM(SUMIFS(OFFSET(貼付け_2024実績,$A312,11,1,199),OFFSET(貼付け_2024実績,4,9,1,199),{"横浜*","川崎*"}))</f>
        <v>0</v>
      </c>
      <c r="Q312" s="789">
        <f ca="1">SUM(SUMIFS(OFFSET(貼付け_2025実績,$A312,11,1,199),OFFSET(貼付け_2025実績,4,9,1,199),{"横浜*","川崎*"}))</f>
        <v>0</v>
      </c>
      <c r="R312" s="789">
        <f ca="1">SUM(SUMIFS(OFFSET(貼付け_2026実績,$A312,11,1,199),OFFSET(貼付け_2026実績,4,9,1,199),{"横浜*","川崎*"}))</f>
        <v>0</v>
      </c>
      <c r="S312" s="789">
        <f ca="1">SUM(SUMIFS(OFFSET(貼付け_2027実績,$A312,11,1,199),OFFSET(貼付け_2027実績,4,9,1,199),{"横浜*","川崎*"}))</f>
        <v>0</v>
      </c>
      <c r="T312" s="789">
        <f t="shared" ca="1" si="524"/>
        <v>0</v>
      </c>
      <c r="U312" s="789">
        <f t="shared" ca="1" si="524"/>
        <v>0</v>
      </c>
      <c r="V312" s="789">
        <f t="shared" ca="1" si="524"/>
        <v>0</v>
      </c>
      <c r="W312" s="789">
        <f t="shared" ca="1" si="524"/>
        <v>0</v>
      </c>
      <c r="X312" s="789">
        <f t="shared" ca="1" si="526"/>
        <v>0</v>
      </c>
      <c r="Y312" s="789">
        <f t="shared" ca="1" si="527"/>
        <v>0</v>
      </c>
      <c r="Z312" s="789">
        <f t="shared" ca="1" si="528"/>
        <v>0</v>
      </c>
      <c r="AA312" s="789">
        <f t="shared" ca="1" si="529"/>
        <v>0</v>
      </c>
      <c r="AB312" s="789" t="str">
        <f t="shared" ca="1" si="530"/>
        <v/>
      </c>
      <c r="AC312" s="789" t="str">
        <f t="shared" ca="1" si="531"/>
        <v/>
      </c>
      <c r="AD312" s="789" t="str">
        <f t="shared" ca="1" si="532"/>
        <v/>
      </c>
      <c r="AE312" s="789" t="str">
        <f t="shared" ca="1" si="533"/>
        <v/>
      </c>
      <c r="AF312" s="789" t="str">
        <f t="shared" ca="1" si="534"/>
        <v/>
      </c>
      <c r="AG312" s="789" t="str">
        <f t="shared" ca="1" si="535"/>
        <v/>
      </c>
      <c r="AH312" s="789" t="str">
        <f t="shared" ca="1" si="536"/>
        <v/>
      </c>
      <c r="AI312" s="789" t="str">
        <f t="shared" ca="1" si="537"/>
        <v/>
      </c>
      <c r="AJ312" s="789" t="str">
        <f t="shared" ca="1" si="538"/>
        <v/>
      </c>
      <c r="AK312" s="789" t="str">
        <f t="shared" ca="1" si="539"/>
        <v/>
      </c>
      <c r="AL312" s="789" t="str">
        <f t="shared" ca="1" si="540"/>
        <v/>
      </c>
      <c r="AM312" s="789" t="str">
        <f t="shared" ca="1" si="541"/>
        <v/>
      </c>
      <c r="AN312" s="789" t="str">
        <f t="shared" ca="1" si="542"/>
        <v/>
      </c>
      <c r="AO312" s="789" t="str">
        <f t="shared" ca="1" si="543"/>
        <v/>
      </c>
      <c r="AP312" s="789" t="str">
        <f t="shared" ca="1" si="544"/>
        <v/>
      </c>
      <c r="AQ312" s="789" t="str">
        <f t="shared" ca="1" si="545"/>
        <v/>
      </c>
      <c r="AR312" s="789" t="str">
        <f t="shared" ca="1" si="546"/>
        <v/>
      </c>
      <c r="AS312" s="789" t="str">
        <f t="shared" ca="1" si="547"/>
        <v/>
      </c>
      <c r="AT312" s="789" t="str">
        <f t="shared" ca="1" si="548"/>
        <v/>
      </c>
      <c r="AU312" s="789" t="str">
        <f t="shared" ca="1" si="549"/>
        <v/>
      </c>
      <c r="AV312" s="789" t="str">
        <f t="shared" ca="1" si="550"/>
        <v/>
      </c>
      <c r="AW312" s="789" t="str">
        <f t="shared" ca="1" si="551"/>
        <v/>
      </c>
      <c r="AX312" s="789" t="str">
        <f t="shared" ca="1" si="552"/>
        <v/>
      </c>
      <c r="AY312" s="789" t="str">
        <f t="shared" ca="1" si="553"/>
        <v/>
      </c>
      <c r="AZ312" s="789" t="str">
        <f t="shared" ca="1" si="554"/>
        <v/>
      </c>
      <c r="BA312" s="789" t="str">
        <f t="shared" ca="1" si="555"/>
        <v/>
      </c>
      <c r="BB312" s="789" t="str">
        <f t="shared" ca="1" si="556"/>
        <v/>
      </c>
      <c r="BC312" s="789" t="str">
        <f t="shared" ca="1" si="557"/>
        <v/>
      </c>
      <c r="BD312" s="789" t="str">
        <f t="shared" ca="1" si="558"/>
        <v/>
      </c>
      <c r="BE312" s="789" t="str">
        <f t="shared" ca="1" si="559"/>
        <v/>
      </c>
      <c r="BF312" s="789" t="str">
        <f t="shared" ca="1" si="560"/>
        <v/>
      </c>
      <c r="BG312" s="789" t="str">
        <f t="shared" ca="1" si="561"/>
        <v/>
      </c>
      <c r="BH312" s="789" t="str">
        <f t="shared" ca="1" si="562"/>
        <v/>
      </c>
      <c r="BI312" s="789" t="str">
        <f t="shared" ca="1" si="563"/>
        <v/>
      </c>
      <c r="BJ312" s="789" t="str">
        <f t="shared" ca="1" si="564"/>
        <v/>
      </c>
      <c r="BK312" s="789" t="str">
        <f t="shared" ca="1" si="565"/>
        <v/>
      </c>
      <c r="BL312" s="789" t="str">
        <f t="shared" ca="1" si="566"/>
        <v/>
      </c>
      <c r="BM312" s="789" t="str">
        <f t="shared" ca="1" si="567"/>
        <v/>
      </c>
      <c r="BN312" s="789" t="str">
        <f t="shared" ca="1" si="568"/>
        <v/>
      </c>
      <c r="BO312" s="789" t="str">
        <f t="shared" ca="1" si="569"/>
        <v/>
      </c>
      <c r="BP312" s="802"/>
    </row>
    <row r="313" spans="1:68" ht="20.100000000000001" customHeight="1">
      <c r="A313" s="906">
        <v>68</v>
      </c>
      <c r="B313" s="1594"/>
      <c r="C313" s="1596"/>
      <c r="D313" s="813" t="s">
        <v>402</v>
      </c>
      <c r="E313" s="785"/>
      <c r="F313" s="810"/>
      <c r="G313" s="787" t="s">
        <v>461</v>
      </c>
      <c r="H313" s="858">
        <f t="shared" ca="1" si="570"/>
        <v>0</v>
      </c>
      <c r="I313" s="858">
        <f t="shared" ca="1" si="570"/>
        <v>0</v>
      </c>
      <c r="J313" s="858">
        <f t="shared" ca="1" si="570"/>
        <v>0</v>
      </c>
      <c r="K313" s="858">
        <f t="shared" ca="1" si="570"/>
        <v>0</v>
      </c>
      <c r="L313" s="789">
        <f t="shared" ca="1" si="523"/>
        <v>0</v>
      </c>
      <c r="M313" s="789">
        <f t="shared" ca="1" si="523"/>
        <v>0</v>
      </c>
      <c r="N313" s="789">
        <f t="shared" ca="1" si="523"/>
        <v>0</v>
      </c>
      <c r="O313" s="789">
        <f t="shared" ca="1" si="523"/>
        <v>0</v>
      </c>
      <c r="P313" s="789">
        <f ca="1">SUM(SUMIFS(OFFSET(貼付け_2024実績,$A313,11,1,199),OFFSET(貼付け_2024実績,4,9,1,199),{"横浜*","川崎*"}))</f>
        <v>0</v>
      </c>
      <c r="Q313" s="789">
        <f ca="1">SUM(SUMIFS(OFFSET(貼付け_2025実績,$A313,11,1,199),OFFSET(貼付け_2025実績,4,9,1,199),{"横浜*","川崎*"}))</f>
        <v>0</v>
      </c>
      <c r="R313" s="789">
        <f ca="1">SUM(SUMIFS(OFFSET(貼付け_2026実績,$A313,11,1,199),OFFSET(貼付け_2026実績,4,9,1,199),{"横浜*","川崎*"}))</f>
        <v>0</v>
      </c>
      <c r="S313" s="789">
        <f ca="1">SUM(SUMIFS(OFFSET(貼付け_2027実績,$A313,11,1,199),OFFSET(貼付け_2027実績,4,9,1,199),{"横浜*","川崎*"}))</f>
        <v>0</v>
      </c>
      <c r="T313" s="789">
        <f t="shared" ca="1" si="524"/>
        <v>0</v>
      </c>
      <c r="U313" s="789">
        <f t="shared" ca="1" si="524"/>
        <v>0</v>
      </c>
      <c r="V313" s="789">
        <f t="shared" ca="1" si="524"/>
        <v>0</v>
      </c>
      <c r="W313" s="789">
        <f t="shared" ca="1" si="524"/>
        <v>0</v>
      </c>
      <c r="X313" s="789">
        <f t="shared" ca="1" si="526"/>
        <v>0</v>
      </c>
      <c r="Y313" s="789">
        <f t="shared" ca="1" si="527"/>
        <v>0</v>
      </c>
      <c r="Z313" s="789">
        <f t="shared" ca="1" si="528"/>
        <v>0</v>
      </c>
      <c r="AA313" s="789">
        <f t="shared" ca="1" si="529"/>
        <v>0</v>
      </c>
      <c r="AB313" s="789" t="str">
        <f t="shared" ca="1" si="530"/>
        <v/>
      </c>
      <c r="AC313" s="789" t="str">
        <f t="shared" ca="1" si="531"/>
        <v/>
      </c>
      <c r="AD313" s="789" t="str">
        <f t="shared" ca="1" si="532"/>
        <v/>
      </c>
      <c r="AE313" s="789" t="str">
        <f t="shared" ca="1" si="533"/>
        <v/>
      </c>
      <c r="AF313" s="789" t="str">
        <f t="shared" ca="1" si="534"/>
        <v/>
      </c>
      <c r="AG313" s="789" t="str">
        <f t="shared" ca="1" si="535"/>
        <v/>
      </c>
      <c r="AH313" s="789" t="str">
        <f t="shared" ca="1" si="536"/>
        <v/>
      </c>
      <c r="AI313" s="789" t="str">
        <f t="shared" ca="1" si="537"/>
        <v/>
      </c>
      <c r="AJ313" s="789" t="str">
        <f t="shared" ca="1" si="538"/>
        <v/>
      </c>
      <c r="AK313" s="789" t="str">
        <f t="shared" ca="1" si="539"/>
        <v/>
      </c>
      <c r="AL313" s="789" t="str">
        <f t="shared" ca="1" si="540"/>
        <v/>
      </c>
      <c r="AM313" s="789" t="str">
        <f t="shared" ca="1" si="541"/>
        <v/>
      </c>
      <c r="AN313" s="789" t="str">
        <f t="shared" ca="1" si="542"/>
        <v/>
      </c>
      <c r="AO313" s="789" t="str">
        <f t="shared" ca="1" si="543"/>
        <v/>
      </c>
      <c r="AP313" s="789" t="str">
        <f t="shared" ca="1" si="544"/>
        <v/>
      </c>
      <c r="AQ313" s="789" t="str">
        <f t="shared" ca="1" si="545"/>
        <v/>
      </c>
      <c r="AR313" s="789" t="str">
        <f t="shared" ca="1" si="546"/>
        <v/>
      </c>
      <c r="AS313" s="789" t="str">
        <f t="shared" ca="1" si="547"/>
        <v/>
      </c>
      <c r="AT313" s="789" t="str">
        <f t="shared" ca="1" si="548"/>
        <v/>
      </c>
      <c r="AU313" s="789" t="str">
        <f t="shared" ca="1" si="549"/>
        <v/>
      </c>
      <c r="AV313" s="789" t="str">
        <f t="shared" ca="1" si="550"/>
        <v/>
      </c>
      <c r="AW313" s="789" t="str">
        <f t="shared" ca="1" si="551"/>
        <v/>
      </c>
      <c r="AX313" s="789" t="str">
        <f t="shared" ca="1" si="552"/>
        <v/>
      </c>
      <c r="AY313" s="789" t="str">
        <f t="shared" ca="1" si="553"/>
        <v/>
      </c>
      <c r="AZ313" s="789" t="str">
        <f t="shared" ca="1" si="554"/>
        <v/>
      </c>
      <c r="BA313" s="789" t="str">
        <f t="shared" ca="1" si="555"/>
        <v/>
      </c>
      <c r="BB313" s="789" t="str">
        <f t="shared" ca="1" si="556"/>
        <v/>
      </c>
      <c r="BC313" s="789" t="str">
        <f t="shared" ca="1" si="557"/>
        <v/>
      </c>
      <c r="BD313" s="789" t="str">
        <f t="shared" ca="1" si="558"/>
        <v/>
      </c>
      <c r="BE313" s="789" t="str">
        <f t="shared" ca="1" si="559"/>
        <v/>
      </c>
      <c r="BF313" s="789" t="str">
        <f t="shared" ca="1" si="560"/>
        <v/>
      </c>
      <c r="BG313" s="789" t="str">
        <f t="shared" ca="1" si="561"/>
        <v/>
      </c>
      <c r="BH313" s="789" t="str">
        <f t="shared" ca="1" si="562"/>
        <v/>
      </c>
      <c r="BI313" s="789" t="str">
        <f t="shared" ca="1" si="563"/>
        <v/>
      </c>
      <c r="BJ313" s="789" t="str">
        <f t="shared" ca="1" si="564"/>
        <v/>
      </c>
      <c r="BK313" s="789" t="str">
        <f t="shared" ca="1" si="565"/>
        <v/>
      </c>
      <c r="BL313" s="789" t="str">
        <f t="shared" ca="1" si="566"/>
        <v/>
      </c>
      <c r="BM313" s="789" t="str">
        <f t="shared" ca="1" si="567"/>
        <v/>
      </c>
      <c r="BN313" s="789" t="str">
        <f t="shared" ca="1" si="568"/>
        <v/>
      </c>
      <c r="BO313" s="789" t="str">
        <f t="shared" ca="1" si="569"/>
        <v/>
      </c>
      <c r="BP313" s="802"/>
    </row>
    <row r="314" spans="1:68" ht="20.100000000000001" customHeight="1">
      <c r="A314" s="906">
        <v>69</v>
      </c>
      <c r="B314" s="1594"/>
      <c r="C314" s="1596"/>
      <c r="D314" s="813" t="s">
        <v>403</v>
      </c>
      <c r="E314" s="785"/>
      <c r="F314" s="810"/>
      <c r="G314" s="787" t="s">
        <v>461</v>
      </c>
      <c r="H314" s="788">
        <f t="shared" ca="1" si="570"/>
        <v>0</v>
      </c>
      <c r="I314" s="788">
        <f t="shared" ca="1" si="570"/>
        <v>0</v>
      </c>
      <c r="J314" s="788">
        <f t="shared" ca="1" si="570"/>
        <v>0</v>
      </c>
      <c r="K314" s="788">
        <f t="shared" ca="1" si="570"/>
        <v>0</v>
      </c>
      <c r="L314" s="789">
        <f t="shared" ca="1" si="523"/>
        <v>0</v>
      </c>
      <c r="M314" s="789">
        <f t="shared" ca="1" si="523"/>
        <v>0</v>
      </c>
      <c r="N314" s="789">
        <f t="shared" ca="1" si="523"/>
        <v>0</v>
      </c>
      <c r="O314" s="789">
        <f t="shared" ca="1" si="523"/>
        <v>0</v>
      </c>
      <c r="P314" s="789">
        <f ca="1">SUM(SUMIFS(OFFSET(貼付け_2024実績,$A314,11,1,199),OFFSET(貼付け_2024実績,4,9,1,199),{"横浜*","川崎*"}))</f>
        <v>0</v>
      </c>
      <c r="Q314" s="789">
        <f ca="1">SUM(SUMIFS(OFFSET(貼付け_2025実績,$A314,11,1,199),OFFSET(貼付け_2025実績,4,9,1,199),{"横浜*","川崎*"}))</f>
        <v>0</v>
      </c>
      <c r="R314" s="789">
        <f ca="1">SUM(SUMIFS(OFFSET(貼付け_2026実績,$A314,11,1,199),OFFSET(貼付け_2026実績,4,9,1,199),{"横浜*","川崎*"}))</f>
        <v>0</v>
      </c>
      <c r="S314" s="789">
        <f ca="1">SUM(SUMIFS(OFFSET(貼付け_2027実績,$A314,11,1,199),OFFSET(貼付け_2027実績,4,9,1,199),{"横浜*","川崎*"}))</f>
        <v>0</v>
      </c>
      <c r="T314" s="789">
        <f t="shared" ca="1" si="524"/>
        <v>0</v>
      </c>
      <c r="U314" s="789">
        <f t="shared" ca="1" si="524"/>
        <v>0</v>
      </c>
      <c r="V314" s="789">
        <f t="shared" ca="1" si="524"/>
        <v>0</v>
      </c>
      <c r="W314" s="789">
        <f t="shared" ca="1" si="524"/>
        <v>0</v>
      </c>
      <c r="X314" s="789">
        <f t="shared" ca="1" si="526"/>
        <v>0</v>
      </c>
      <c r="Y314" s="789">
        <f t="shared" ca="1" si="527"/>
        <v>0</v>
      </c>
      <c r="Z314" s="789">
        <f t="shared" ca="1" si="528"/>
        <v>0</v>
      </c>
      <c r="AA314" s="789">
        <f t="shared" ca="1" si="529"/>
        <v>0</v>
      </c>
      <c r="AB314" s="789" t="str">
        <f t="shared" ca="1" si="530"/>
        <v/>
      </c>
      <c r="AC314" s="789" t="str">
        <f t="shared" ca="1" si="531"/>
        <v/>
      </c>
      <c r="AD314" s="789" t="str">
        <f t="shared" ca="1" si="532"/>
        <v/>
      </c>
      <c r="AE314" s="789" t="str">
        <f t="shared" ca="1" si="533"/>
        <v/>
      </c>
      <c r="AF314" s="789" t="str">
        <f t="shared" ca="1" si="534"/>
        <v/>
      </c>
      <c r="AG314" s="789" t="str">
        <f t="shared" ca="1" si="535"/>
        <v/>
      </c>
      <c r="AH314" s="789" t="str">
        <f t="shared" ca="1" si="536"/>
        <v/>
      </c>
      <c r="AI314" s="789" t="str">
        <f t="shared" ca="1" si="537"/>
        <v/>
      </c>
      <c r="AJ314" s="789" t="str">
        <f t="shared" ca="1" si="538"/>
        <v/>
      </c>
      <c r="AK314" s="789" t="str">
        <f t="shared" ca="1" si="539"/>
        <v/>
      </c>
      <c r="AL314" s="789" t="str">
        <f t="shared" ca="1" si="540"/>
        <v/>
      </c>
      <c r="AM314" s="789" t="str">
        <f t="shared" ca="1" si="541"/>
        <v/>
      </c>
      <c r="AN314" s="789" t="str">
        <f t="shared" ca="1" si="542"/>
        <v/>
      </c>
      <c r="AO314" s="789" t="str">
        <f t="shared" ca="1" si="543"/>
        <v/>
      </c>
      <c r="AP314" s="789" t="str">
        <f t="shared" ca="1" si="544"/>
        <v/>
      </c>
      <c r="AQ314" s="789" t="str">
        <f t="shared" ca="1" si="545"/>
        <v/>
      </c>
      <c r="AR314" s="789" t="str">
        <f t="shared" ca="1" si="546"/>
        <v/>
      </c>
      <c r="AS314" s="789" t="str">
        <f t="shared" ca="1" si="547"/>
        <v/>
      </c>
      <c r="AT314" s="789" t="str">
        <f t="shared" ca="1" si="548"/>
        <v/>
      </c>
      <c r="AU314" s="789" t="str">
        <f t="shared" ca="1" si="549"/>
        <v/>
      </c>
      <c r="AV314" s="789" t="str">
        <f t="shared" ca="1" si="550"/>
        <v/>
      </c>
      <c r="AW314" s="789" t="str">
        <f t="shared" ca="1" si="551"/>
        <v/>
      </c>
      <c r="AX314" s="789" t="str">
        <f t="shared" ca="1" si="552"/>
        <v/>
      </c>
      <c r="AY314" s="789" t="str">
        <f t="shared" ca="1" si="553"/>
        <v/>
      </c>
      <c r="AZ314" s="789" t="str">
        <f t="shared" ca="1" si="554"/>
        <v/>
      </c>
      <c r="BA314" s="789" t="str">
        <f t="shared" ca="1" si="555"/>
        <v/>
      </c>
      <c r="BB314" s="789" t="str">
        <f t="shared" ca="1" si="556"/>
        <v/>
      </c>
      <c r="BC314" s="789" t="str">
        <f t="shared" ca="1" si="557"/>
        <v/>
      </c>
      <c r="BD314" s="789" t="str">
        <f t="shared" ca="1" si="558"/>
        <v/>
      </c>
      <c r="BE314" s="789" t="str">
        <f t="shared" ca="1" si="559"/>
        <v/>
      </c>
      <c r="BF314" s="789" t="str">
        <f t="shared" ca="1" si="560"/>
        <v/>
      </c>
      <c r="BG314" s="789" t="str">
        <f t="shared" ca="1" si="561"/>
        <v/>
      </c>
      <c r="BH314" s="789" t="str">
        <f t="shared" ca="1" si="562"/>
        <v/>
      </c>
      <c r="BI314" s="789" t="str">
        <f t="shared" ca="1" si="563"/>
        <v/>
      </c>
      <c r="BJ314" s="789" t="str">
        <f t="shared" ca="1" si="564"/>
        <v/>
      </c>
      <c r="BK314" s="789" t="str">
        <f t="shared" ca="1" si="565"/>
        <v/>
      </c>
      <c r="BL314" s="789" t="str">
        <f t="shared" ca="1" si="566"/>
        <v/>
      </c>
      <c r="BM314" s="789" t="str">
        <f t="shared" ca="1" si="567"/>
        <v/>
      </c>
      <c r="BN314" s="789" t="str">
        <f t="shared" ca="1" si="568"/>
        <v/>
      </c>
      <c r="BO314" s="789" t="str">
        <f t="shared" ca="1" si="569"/>
        <v/>
      </c>
      <c r="BP314" s="802"/>
    </row>
    <row r="315" spans="1:68" ht="20.100000000000001" customHeight="1">
      <c r="A315" s="906">
        <v>70</v>
      </c>
      <c r="B315" s="1594"/>
      <c r="C315" s="1596"/>
      <c r="D315" s="814" t="s">
        <v>788</v>
      </c>
      <c r="E315" s="792" t="str">
        <f ca="1">E66</f>
        <v/>
      </c>
      <c r="F315" s="794"/>
      <c r="G315" s="787" t="s">
        <v>461</v>
      </c>
      <c r="H315" s="858">
        <f t="shared" ca="1" si="570"/>
        <v>0</v>
      </c>
      <c r="I315" s="858">
        <f t="shared" ca="1" si="570"/>
        <v>0</v>
      </c>
      <c r="J315" s="858">
        <f t="shared" ca="1" si="570"/>
        <v>0</v>
      </c>
      <c r="K315" s="858">
        <f t="shared" ca="1" si="570"/>
        <v>0</v>
      </c>
      <c r="L315" s="789">
        <f t="shared" ca="1" si="523"/>
        <v>0</v>
      </c>
      <c r="M315" s="789">
        <f t="shared" ca="1" si="523"/>
        <v>0</v>
      </c>
      <c r="N315" s="789">
        <f t="shared" ca="1" si="523"/>
        <v>0</v>
      </c>
      <c r="O315" s="789">
        <f t="shared" ca="1" si="523"/>
        <v>0</v>
      </c>
      <c r="P315" s="789">
        <f ca="1">SUM(SUMIFS(OFFSET(貼付け_2024実績,$A315,11,1,199),OFFSET(貼付け_2024実績,4,9,1,199),{"横浜*","川崎*"}))</f>
        <v>0</v>
      </c>
      <c r="Q315" s="789">
        <f ca="1">SUM(SUMIFS(OFFSET(貼付け_2025実績,$A315,11,1,199),OFFSET(貼付け_2025実績,4,9,1,199),{"横浜*","川崎*"}))</f>
        <v>0</v>
      </c>
      <c r="R315" s="789">
        <f ca="1">SUM(SUMIFS(OFFSET(貼付け_2026実績,$A315,11,1,199),OFFSET(貼付け_2026実績,4,9,1,199),{"横浜*","川崎*"}))</f>
        <v>0</v>
      </c>
      <c r="S315" s="789">
        <f ca="1">SUM(SUMIFS(OFFSET(貼付け_2027実績,$A315,11,1,199),OFFSET(貼付け_2027実績,4,9,1,199),{"横浜*","川崎*"}))</f>
        <v>0</v>
      </c>
      <c r="T315" s="789">
        <f t="shared" ca="1" si="524"/>
        <v>0</v>
      </c>
      <c r="U315" s="789">
        <f t="shared" ca="1" si="524"/>
        <v>0</v>
      </c>
      <c r="V315" s="789">
        <f t="shared" ca="1" si="524"/>
        <v>0</v>
      </c>
      <c r="W315" s="789">
        <f t="shared" ca="1" si="524"/>
        <v>0</v>
      </c>
      <c r="X315" s="789">
        <f t="shared" ca="1" si="526"/>
        <v>0</v>
      </c>
      <c r="Y315" s="789">
        <f t="shared" ca="1" si="527"/>
        <v>0</v>
      </c>
      <c r="Z315" s="789">
        <f t="shared" ca="1" si="528"/>
        <v>0</v>
      </c>
      <c r="AA315" s="789">
        <f t="shared" ca="1" si="529"/>
        <v>0</v>
      </c>
      <c r="AB315" s="789" t="str">
        <f t="shared" ca="1" si="530"/>
        <v/>
      </c>
      <c r="AC315" s="789" t="str">
        <f t="shared" ca="1" si="531"/>
        <v/>
      </c>
      <c r="AD315" s="789" t="str">
        <f t="shared" ca="1" si="532"/>
        <v/>
      </c>
      <c r="AE315" s="789" t="str">
        <f t="shared" ca="1" si="533"/>
        <v/>
      </c>
      <c r="AF315" s="789" t="str">
        <f t="shared" ca="1" si="534"/>
        <v/>
      </c>
      <c r="AG315" s="789" t="str">
        <f t="shared" ca="1" si="535"/>
        <v/>
      </c>
      <c r="AH315" s="789" t="str">
        <f t="shared" ca="1" si="536"/>
        <v/>
      </c>
      <c r="AI315" s="789" t="str">
        <f t="shared" ca="1" si="537"/>
        <v/>
      </c>
      <c r="AJ315" s="789" t="str">
        <f t="shared" ca="1" si="538"/>
        <v/>
      </c>
      <c r="AK315" s="789" t="str">
        <f t="shared" ca="1" si="539"/>
        <v/>
      </c>
      <c r="AL315" s="789" t="str">
        <f t="shared" ca="1" si="540"/>
        <v/>
      </c>
      <c r="AM315" s="789" t="str">
        <f t="shared" ca="1" si="541"/>
        <v/>
      </c>
      <c r="AN315" s="789" t="str">
        <f t="shared" ca="1" si="542"/>
        <v/>
      </c>
      <c r="AO315" s="789" t="str">
        <f t="shared" ca="1" si="543"/>
        <v/>
      </c>
      <c r="AP315" s="789" t="str">
        <f t="shared" ca="1" si="544"/>
        <v/>
      </c>
      <c r="AQ315" s="789" t="str">
        <f t="shared" ca="1" si="545"/>
        <v/>
      </c>
      <c r="AR315" s="789" t="str">
        <f t="shared" ca="1" si="546"/>
        <v/>
      </c>
      <c r="AS315" s="789" t="str">
        <f t="shared" ca="1" si="547"/>
        <v/>
      </c>
      <c r="AT315" s="789" t="str">
        <f t="shared" ca="1" si="548"/>
        <v/>
      </c>
      <c r="AU315" s="789" t="str">
        <f t="shared" ca="1" si="549"/>
        <v/>
      </c>
      <c r="AV315" s="789" t="str">
        <f t="shared" ca="1" si="550"/>
        <v/>
      </c>
      <c r="AW315" s="789" t="str">
        <f t="shared" ca="1" si="551"/>
        <v/>
      </c>
      <c r="AX315" s="789" t="str">
        <f t="shared" ca="1" si="552"/>
        <v/>
      </c>
      <c r="AY315" s="789" t="str">
        <f t="shared" ca="1" si="553"/>
        <v/>
      </c>
      <c r="AZ315" s="789" t="str">
        <f t="shared" ca="1" si="554"/>
        <v/>
      </c>
      <c r="BA315" s="789" t="str">
        <f t="shared" ca="1" si="555"/>
        <v/>
      </c>
      <c r="BB315" s="789" t="str">
        <f t="shared" ca="1" si="556"/>
        <v/>
      </c>
      <c r="BC315" s="789" t="str">
        <f t="shared" ca="1" si="557"/>
        <v/>
      </c>
      <c r="BD315" s="789" t="str">
        <f t="shared" ca="1" si="558"/>
        <v/>
      </c>
      <c r="BE315" s="789" t="str">
        <f t="shared" ca="1" si="559"/>
        <v/>
      </c>
      <c r="BF315" s="789" t="str">
        <f t="shared" ca="1" si="560"/>
        <v/>
      </c>
      <c r="BG315" s="789" t="str">
        <f t="shared" ca="1" si="561"/>
        <v/>
      </c>
      <c r="BH315" s="789" t="str">
        <f t="shared" ca="1" si="562"/>
        <v/>
      </c>
      <c r="BI315" s="789" t="str">
        <f t="shared" ca="1" si="563"/>
        <v/>
      </c>
      <c r="BJ315" s="789" t="str">
        <f t="shared" ca="1" si="564"/>
        <v/>
      </c>
      <c r="BK315" s="789" t="str">
        <f t="shared" ca="1" si="565"/>
        <v/>
      </c>
      <c r="BL315" s="789" t="str">
        <f t="shared" ca="1" si="566"/>
        <v/>
      </c>
      <c r="BM315" s="789" t="str">
        <f t="shared" ca="1" si="567"/>
        <v/>
      </c>
      <c r="BN315" s="789" t="str">
        <f t="shared" ca="1" si="568"/>
        <v/>
      </c>
      <c r="BO315" s="789" t="str">
        <f t="shared" ca="1" si="569"/>
        <v/>
      </c>
      <c r="BP315" s="802"/>
    </row>
    <row r="316" spans="1:68" ht="20.100000000000001" customHeight="1">
      <c r="A316" s="906">
        <v>71</v>
      </c>
      <c r="B316" s="1594"/>
      <c r="C316" s="1596"/>
      <c r="D316" s="814" t="s">
        <v>789</v>
      </c>
      <c r="E316" s="792" t="str">
        <f ca="1">E67</f>
        <v/>
      </c>
      <c r="F316" s="794"/>
      <c r="G316" s="787" t="s">
        <v>461</v>
      </c>
      <c r="H316" s="788">
        <f t="shared" ca="1" si="570"/>
        <v>0</v>
      </c>
      <c r="I316" s="788">
        <f t="shared" ca="1" si="570"/>
        <v>0</v>
      </c>
      <c r="J316" s="788">
        <f t="shared" ca="1" si="570"/>
        <v>0</v>
      </c>
      <c r="K316" s="788">
        <f t="shared" ca="1" si="570"/>
        <v>0</v>
      </c>
      <c r="L316" s="789">
        <f t="shared" ca="1" si="523"/>
        <v>0</v>
      </c>
      <c r="M316" s="789">
        <f t="shared" ca="1" si="523"/>
        <v>0</v>
      </c>
      <c r="N316" s="789">
        <f t="shared" ca="1" si="523"/>
        <v>0</v>
      </c>
      <c r="O316" s="789">
        <f t="shared" ca="1" si="523"/>
        <v>0</v>
      </c>
      <c r="P316" s="789">
        <f ca="1">SUM(SUMIFS(OFFSET(貼付け_2024実績,$A316,11,1,199),OFFSET(貼付け_2024実績,4,9,1,199),{"横浜*","川崎*"}))</f>
        <v>0</v>
      </c>
      <c r="Q316" s="789">
        <f ca="1">SUM(SUMIFS(OFFSET(貼付け_2025実績,$A316,11,1,199),OFFSET(貼付け_2025実績,4,9,1,199),{"横浜*","川崎*"}))</f>
        <v>0</v>
      </c>
      <c r="R316" s="789">
        <f ca="1">SUM(SUMIFS(OFFSET(貼付け_2026実績,$A316,11,1,199),OFFSET(貼付け_2026実績,4,9,1,199),{"横浜*","川崎*"}))</f>
        <v>0</v>
      </c>
      <c r="S316" s="789">
        <f ca="1">SUM(SUMIFS(OFFSET(貼付け_2027実績,$A316,11,1,199),OFFSET(貼付け_2027実績,4,9,1,199),{"横浜*","川崎*"}))</f>
        <v>0</v>
      </c>
      <c r="T316" s="789">
        <f t="shared" ca="1" si="524"/>
        <v>0</v>
      </c>
      <c r="U316" s="789">
        <f t="shared" ca="1" si="524"/>
        <v>0</v>
      </c>
      <c r="V316" s="789">
        <f t="shared" ca="1" si="524"/>
        <v>0</v>
      </c>
      <c r="W316" s="789">
        <f t="shared" ca="1" si="524"/>
        <v>0</v>
      </c>
      <c r="X316" s="789">
        <f t="shared" ca="1" si="526"/>
        <v>0</v>
      </c>
      <c r="Y316" s="789">
        <f t="shared" ca="1" si="527"/>
        <v>0</v>
      </c>
      <c r="Z316" s="789">
        <f t="shared" ca="1" si="528"/>
        <v>0</v>
      </c>
      <c r="AA316" s="789">
        <f t="shared" ca="1" si="529"/>
        <v>0</v>
      </c>
      <c r="AB316" s="789" t="str">
        <f t="shared" ca="1" si="530"/>
        <v/>
      </c>
      <c r="AC316" s="789" t="str">
        <f t="shared" ca="1" si="531"/>
        <v/>
      </c>
      <c r="AD316" s="789" t="str">
        <f t="shared" ca="1" si="532"/>
        <v/>
      </c>
      <c r="AE316" s="789" t="str">
        <f t="shared" ca="1" si="533"/>
        <v/>
      </c>
      <c r="AF316" s="789" t="str">
        <f t="shared" ca="1" si="534"/>
        <v/>
      </c>
      <c r="AG316" s="789" t="str">
        <f t="shared" ca="1" si="535"/>
        <v/>
      </c>
      <c r="AH316" s="789" t="str">
        <f t="shared" ca="1" si="536"/>
        <v/>
      </c>
      <c r="AI316" s="789" t="str">
        <f t="shared" ca="1" si="537"/>
        <v/>
      </c>
      <c r="AJ316" s="789" t="str">
        <f t="shared" ca="1" si="538"/>
        <v/>
      </c>
      <c r="AK316" s="789" t="str">
        <f t="shared" ca="1" si="539"/>
        <v/>
      </c>
      <c r="AL316" s="789" t="str">
        <f t="shared" ca="1" si="540"/>
        <v/>
      </c>
      <c r="AM316" s="789" t="str">
        <f t="shared" ca="1" si="541"/>
        <v/>
      </c>
      <c r="AN316" s="789" t="str">
        <f t="shared" ca="1" si="542"/>
        <v/>
      </c>
      <c r="AO316" s="789" t="str">
        <f t="shared" ca="1" si="543"/>
        <v/>
      </c>
      <c r="AP316" s="789" t="str">
        <f t="shared" ca="1" si="544"/>
        <v/>
      </c>
      <c r="AQ316" s="789" t="str">
        <f t="shared" ca="1" si="545"/>
        <v/>
      </c>
      <c r="AR316" s="789" t="str">
        <f t="shared" ca="1" si="546"/>
        <v/>
      </c>
      <c r="AS316" s="789" t="str">
        <f t="shared" ca="1" si="547"/>
        <v/>
      </c>
      <c r="AT316" s="789" t="str">
        <f t="shared" ca="1" si="548"/>
        <v/>
      </c>
      <c r="AU316" s="789" t="str">
        <f t="shared" ca="1" si="549"/>
        <v/>
      </c>
      <c r="AV316" s="789" t="str">
        <f t="shared" ca="1" si="550"/>
        <v/>
      </c>
      <c r="AW316" s="789" t="str">
        <f t="shared" ca="1" si="551"/>
        <v/>
      </c>
      <c r="AX316" s="789" t="str">
        <f t="shared" ca="1" si="552"/>
        <v/>
      </c>
      <c r="AY316" s="789" t="str">
        <f t="shared" ca="1" si="553"/>
        <v/>
      </c>
      <c r="AZ316" s="789" t="str">
        <f t="shared" ca="1" si="554"/>
        <v/>
      </c>
      <c r="BA316" s="789" t="str">
        <f t="shared" ca="1" si="555"/>
        <v/>
      </c>
      <c r="BB316" s="789" t="str">
        <f t="shared" ca="1" si="556"/>
        <v/>
      </c>
      <c r="BC316" s="789" t="str">
        <f t="shared" ca="1" si="557"/>
        <v/>
      </c>
      <c r="BD316" s="789" t="str">
        <f t="shared" ca="1" si="558"/>
        <v/>
      </c>
      <c r="BE316" s="789" t="str">
        <f t="shared" ca="1" si="559"/>
        <v/>
      </c>
      <c r="BF316" s="789" t="str">
        <f t="shared" ca="1" si="560"/>
        <v/>
      </c>
      <c r="BG316" s="789" t="str">
        <f t="shared" ca="1" si="561"/>
        <v/>
      </c>
      <c r="BH316" s="789" t="str">
        <f t="shared" ca="1" si="562"/>
        <v/>
      </c>
      <c r="BI316" s="789" t="str">
        <f t="shared" ca="1" si="563"/>
        <v/>
      </c>
      <c r="BJ316" s="789" t="str">
        <f t="shared" ca="1" si="564"/>
        <v/>
      </c>
      <c r="BK316" s="789" t="str">
        <f t="shared" ca="1" si="565"/>
        <v/>
      </c>
      <c r="BL316" s="789" t="str">
        <f t="shared" ca="1" si="566"/>
        <v/>
      </c>
      <c r="BM316" s="789" t="str">
        <f t="shared" ca="1" si="567"/>
        <v/>
      </c>
      <c r="BN316" s="789" t="str">
        <f t="shared" ca="1" si="568"/>
        <v/>
      </c>
      <c r="BO316" s="789" t="str">
        <f t="shared" ca="1" si="569"/>
        <v/>
      </c>
      <c r="BP316" s="802"/>
    </row>
    <row r="317" spans="1:68" ht="20.100000000000001" customHeight="1">
      <c r="A317" s="784"/>
      <c r="B317" s="1593" t="s">
        <v>422</v>
      </c>
      <c r="C317" s="894" t="s">
        <v>405</v>
      </c>
      <c r="D317" s="895"/>
      <c r="E317" s="790"/>
      <c r="F317" s="810"/>
      <c r="G317" s="787" t="s">
        <v>462</v>
      </c>
      <c r="H317" s="907"/>
      <c r="I317" s="907"/>
      <c r="J317" s="907"/>
      <c r="K317" s="907"/>
      <c r="L317" s="908"/>
      <c r="M317" s="908"/>
      <c r="N317" s="908"/>
      <c r="O317" s="908"/>
      <c r="P317" s="908"/>
      <c r="Q317" s="908"/>
      <c r="R317" s="908"/>
      <c r="S317" s="908"/>
      <c r="T317" s="908"/>
      <c r="U317" s="908"/>
      <c r="V317" s="908"/>
      <c r="W317" s="908"/>
      <c r="X317" s="908"/>
      <c r="Y317" s="908"/>
      <c r="Z317" s="908"/>
      <c r="AA317" s="908"/>
      <c r="AB317" s="908"/>
      <c r="AC317" s="908"/>
      <c r="AD317" s="908"/>
      <c r="AE317" s="908"/>
      <c r="AF317" s="908"/>
      <c r="AG317" s="908"/>
      <c r="AH317" s="908"/>
      <c r="AI317" s="908"/>
      <c r="AJ317" s="908"/>
      <c r="AK317" s="908"/>
      <c r="AL317" s="908"/>
      <c r="AM317" s="908"/>
      <c r="AN317" s="908"/>
      <c r="AO317" s="908"/>
      <c r="AP317" s="908"/>
      <c r="AQ317" s="908"/>
      <c r="AR317" s="908"/>
      <c r="AS317" s="908"/>
      <c r="AT317" s="908"/>
      <c r="AU317" s="908"/>
      <c r="AV317" s="908"/>
      <c r="AW317" s="908"/>
      <c r="AX317" s="908"/>
      <c r="AY317" s="908"/>
      <c r="AZ317" s="908"/>
      <c r="BA317" s="908"/>
      <c r="BB317" s="908"/>
      <c r="BC317" s="908"/>
      <c r="BD317" s="908"/>
      <c r="BE317" s="908"/>
      <c r="BF317" s="908"/>
      <c r="BG317" s="908"/>
      <c r="BH317" s="908"/>
      <c r="BI317" s="908"/>
      <c r="BJ317" s="908"/>
      <c r="BK317" s="908"/>
      <c r="BL317" s="908"/>
      <c r="BM317" s="908"/>
      <c r="BN317" s="908"/>
      <c r="BO317" s="908"/>
      <c r="BP317" s="802"/>
    </row>
    <row r="318" spans="1:68" ht="20.100000000000001" customHeight="1">
      <c r="A318" s="784"/>
      <c r="B318" s="1594"/>
      <c r="C318" s="1597" t="s">
        <v>406</v>
      </c>
      <c r="D318" s="812" t="s">
        <v>407</v>
      </c>
      <c r="E318" s="785"/>
      <c r="F318" s="810"/>
      <c r="G318" s="787" t="s">
        <v>462</v>
      </c>
      <c r="H318" s="907"/>
      <c r="I318" s="907"/>
      <c r="J318" s="907"/>
      <c r="K318" s="907"/>
      <c r="L318" s="908"/>
      <c r="M318" s="908"/>
      <c r="N318" s="908"/>
      <c r="O318" s="908"/>
      <c r="P318" s="908"/>
      <c r="Q318" s="908"/>
      <c r="R318" s="908"/>
      <c r="S318" s="908"/>
      <c r="T318" s="908"/>
      <c r="U318" s="908"/>
      <c r="V318" s="908"/>
      <c r="W318" s="908"/>
      <c r="X318" s="908"/>
      <c r="Y318" s="908"/>
      <c r="Z318" s="908"/>
      <c r="AA318" s="908"/>
      <c r="AB318" s="908"/>
      <c r="AC318" s="908"/>
      <c r="AD318" s="908"/>
      <c r="AE318" s="908"/>
      <c r="AF318" s="908"/>
      <c r="AG318" s="908"/>
      <c r="AH318" s="908"/>
      <c r="AI318" s="908"/>
      <c r="AJ318" s="908"/>
      <c r="AK318" s="908"/>
      <c r="AL318" s="908"/>
      <c r="AM318" s="908"/>
      <c r="AN318" s="908"/>
      <c r="AO318" s="908"/>
      <c r="AP318" s="908"/>
      <c r="AQ318" s="908"/>
      <c r="AR318" s="908"/>
      <c r="AS318" s="908"/>
      <c r="AT318" s="908"/>
      <c r="AU318" s="908"/>
      <c r="AV318" s="908"/>
      <c r="AW318" s="908"/>
      <c r="AX318" s="908"/>
      <c r="AY318" s="908"/>
      <c r="AZ318" s="908"/>
      <c r="BA318" s="908"/>
      <c r="BB318" s="908"/>
      <c r="BC318" s="908"/>
      <c r="BD318" s="908"/>
      <c r="BE318" s="908"/>
      <c r="BF318" s="908"/>
      <c r="BG318" s="908"/>
      <c r="BH318" s="908"/>
      <c r="BI318" s="908"/>
      <c r="BJ318" s="908"/>
      <c r="BK318" s="908"/>
      <c r="BL318" s="908"/>
      <c r="BM318" s="908"/>
      <c r="BN318" s="908"/>
      <c r="BO318" s="908"/>
      <c r="BP318" s="802"/>
    </row>
    <row r="319" spans="1:68" ht="20.100000000000001" customHeight="1">
      <c r="A319" s="784"/>
      <c r="B319" s="1594"/>
      <c r="C319" s="1625"/>
      <c r="D319" s="814" t="s">
        <v>408</v>
      </c>
      <c r="E319" s="785"/>
      <c r="F319" s="810"/>
      <c r="G319" s="787" t="s">
        <v>462</v>
      </c>
      <c r="H319" s="907"/>
      <c r="I319" s="907"/>
      <c r="J319" s="907"/>
      <c r="K319" s="907"/>
      <c r="L319" s="908"/>
      <c r="M319" s="908"/>
      <c r="N319" s="908"/>
      <c r="O319" s="908"/>
      <c r="P319" s="908"/>
      <c r="Q319" s="908"/>
      <c r="R319" s="908"/>
      <c r="S319" s="908"/>
      <c r="T319" s="908"/>
      <c r="U319" s="908"/>
      <c r="V319" s="908"/>
      <c r="W319" s="908"/>
      <c r="X319" s="908"/>
      <c r="Y319" s="908"/>
      <c r="Z319" s="908"/>
      <c r="AA319" s="908"/>
      <c r="AB319" s="908"/>
      <c r="AC319" s="908"/>
      <c r="AD319" s="908"/>
      <c r="AE319" s="908"/>
      <c r="AF319" s="908"/>
      <c r="AG319" s="908"/>
      <c r="AH319" s="908"/>
      <c r="AI319" s="908"/>
      <c r="AJ319" s="908"/>
      <c r="AK319" s="908"/>
      <c r="AL319" s="908"/>
      <c r="AM319" s="908"/>
      <c r="AN319" s="908"/>
      <c r="AO319" s="908"/>
      <c r="AP319" s="908"/>
      <c r="AQ319" s="908"/>
      <c r="AR319" s="908"/>
      <c r="AS319" s="908"/>
      <c r="AT319" s="908"/>
      <c r="AU319" s="908"/>
      <c r="AV319" s="908"/>
      <c r="AW319" s="908"/>
      <c r="AX319" s="908"/>
      <c r="AY319" s="908"/>
      <c r="AZ319" s="908"/>
      <c r="BA319" s="908"/>
      <c r="BB319" s="908"/>
      <c r="BC319" s="908"/>
      <c r="BD319" s="908"/>
      <c r="BE319" s="908"/>
      <c r="BF319" s="908"/>
      <c r="BG319" s="908"/>
      <c r="BH319" s="908"/>
      <c r="BI319" s="908"/>
      <c r="BJ319" s="908"/>
      <c r="BK319" s="908"/>
      <c r="BL319" s="908"/>
      <c r="BM319" s="908"/>
      <c r="BN319" s="908"/>
      <c r="BO319" s="908"/>
      <c r="BP319" s="802"/>
    </row>
    <row r="320" spans="1:68" ht="20.100000000000001" customHeight="1">
      <c r="A320" s="784"/>
      <c r="B320" s="1594"/>
      <c r="C320" s="1625"/>
      <c r="D320" s="814" t="s">
        <v>409</v>
      </c>
      <c r="E320" s="792" t="str">
        <f ca="1">E71</f>
        <v/>
      </c>
      <c r="F320" s="794"/>
      <c r="G320" s="787" t="s">
        <v>462</v>
      </c>
      <c r="H320" s="907"/>
      <c r="I320" s="907"/>
      <c r="J320" s="907"/>
      <c r="K320" s="907"/>
      <c r="L320" s="908"/>
      <c r="M320" s="908"/>
      <c r="N320" s="908"/>
      <c r="O320" s="908"/>
      <c r="P320" s="908"/>
      <c r="Q320" s="908"/>
      <c r="R320" s="908"/>
      <c r="S320" s="908"/>
      <c r="T320" s="908"/>
      <c r="U320" s="908"/>
      <c r="V320" s="908"/>
      <c r="W320" s="908"/>
      <c r="X320" s="908"/>
      <c r="Y320" s="908"/>
      <c r="Z320" s="908"/>
      <c r="AA320" s="908"/>
      <c r="AB320" s="908"/>
      <c r="AC320" s="908"/>
      <c r="AD320" s="908"/>
      <c r="AE320" s="908"/>
      <c r="AF320" s="908"/>
      <c r="AG320" s="908"/>
      <c r="AH320" s="908"/>
      <c r="AI320" s="908"/>
      <c r="AJ320" s="908"/>
      <c r="AK320" s="908"/>
      <c r="AL320" s="908"/>
      <c r="AM320" s="908"/>
      <c r="AN320" s="908"/>
      <c r="AO320" s="908"/>
      <c r="AP320" s="908"/>
      <c r="AQ320" s="908"/>
      <c r="AR320" s="908"/>
      <c r="AS320" s="908"/>
      <c r="AT320" s="908"/>
      <c r="AU320" s="908"/>
      <c r="AV320" s="908"/>
      <c r="AW320" s="908"/>
      <c r="AX320" s="908"/>
      <c r="AY320" s="908"/>
      <c r="AZ320" s="908"/>
      <c r="BA320" s="908"/>
      <c r="BB320" s="908"/>
      <c r="BC320" s="908"/>
      <c r="BD320" s="908"/>
      <c r="BE320" s="908"/>
      <c r="BF320" s="908"/>
      <c r="BG320" s="908"/>
      <c r="BH320" s="908"/>
      <c r="BI320" s="908"/>
      <c r="BJ320" s="908"/>
      <c r="BK320" s="908"/>
      <c r="BL320" s="908"/>
      <c r="BM320" s="908"/>
      <c r="BN320" s="908"/>
      <c r="BO320" s="908"/>
      <c r="BP320" s="802"/>
    </row>
    <row r="321" spans="1:68" ht="20.100000000000001" customHeight="1">
      <c r="A321" s="784"/>
      <c r="B321" s="1594"/>
      <c r="C321" s="1626"/>
      <c r="D321" s="905" t="s">
        <v>410</v>
      </c>
      <c r="E321" s="792" t="str">
        <f ca="1">E73</f>
        <v/>
      </c>
      <c r="F321" s="794"/>
      <c r="G321" s="787" t="s">
        <v>462</v>
      </c>
      <c r="H321" s="907"/>
      <c r="I321" s="907"/>
      <c r="J321" s="907"/>
      <c r="K321" s="907"/>
      <c r="L321" s="908"/>
      <c r="M321" s="908"/>
      <c r="N321" s="908"/>
      <c r="O321" s="908"/>
      <c r="P321" s="908"/>
      <c r="Q321" s="908"/>
      <c r="R321" s="908"/>
      <c r="S321" s="908"/>
      <c r="T321" s="908"/>
      <c r="U321" s="908"/>
      <c r="V321" s="908"/>
      <c r="W321" s="908"/>
      <c r="X321" s="908"/>
      <c r="Y321" s="908"/>
      <c r="Z321" s="908"/>
      <c r="AA321" s="908"/>
      <c r="AB321" s="908"/>
      <c r="AC321" s="908"/>
      <c r="AD321" s="908"/>
      <c r="AE321" s="908"/>
      <c r="AF321" s="908"/>
      <c r="AG321" s="908"/>
      <c r="AH321" s="908"/>
      <c r="AI321" s="908"/>
      <c r="AJ321" s="908"/>
      <c r="AK321" s="908"/>
      <c r="AL321" s="908"/>
      <c r="AM321" s="908"/>
      <c r="AN321" s="908"/>
      <c r="AO321" s="908"/>
      <c r="AP321" s="908"/>
      <c r="AQ321" s="908"/>
      <c r="AR321" s="908"/>
      <c r="AS321" s="908"/>
      <c r="AT321" s="908"/>
      <c r="AU321" s="908"/>
      <c r="AV321" s="908"/>
      <c r="AW321" s="908"/>
      <c r="AX321" s="908"/>
      <c r="AY321" s="908"/>
      <c r="AZ321" s="908"/>
      <c r="BA321" s="908"/>
      <c r="BB321" s="908"/>
      <c r="BC321" s="908"/>
      <c r="BD321" s="908"/>
      <c r="BE321" s="908"/>
      <c r="BF321" s="908"/>
      <c r="BG321" s="908"/>
      <c r="BH321" s="908"/>
      <c r="BI321" s="908"/>
      <c r="BJ321" s="908"/>
      <c r="BK321" s="908"/>
      <c r="BL321" s="908"/>
      <c r="BM321" s="908"/>
      <c r="BN321" s="908"/>
      <c r="BO321" s="908"/>
      <c r="BP321" s="802"/>
    </row>
    <row r="322" spans="1:68" ht="20.100000000000001" customHeight="1">
      <c r="A322" s="784">
        <v>83</v>
      </c>
      <c r="B322" s="1594"/>
      <c r="C322" s="1597" t="s">
        <v>411</v>
      </c>
      <c r="D322" s="814" t="s">
        <v>791</v>
      </c>
      <c r="E322" s="785"/>
      <c r="F322" s="836"/>
      <c r="G322" s="787" t="s">
        <v>462</v>
      </c>
      <c r="H322" s="909">
        <f ca="1">H75</f>
        <v>3.6</v>
      </c>
      <c r="I322" s="909">
        <f ca="1">I75</f>
        <v>3.6</v>
      </c>
      <c r="J322" s="909">
        <f ca="1">J75</f>
        <v>3.6</v>
      </c>
      <c r="K322" s="909">
        <f ca="1">K75</f>
        <v>3.6</v>
      </c>
      <c r="L322" s="789">
        <f t="shared" ref="L322:O322" ca="1" si="571">P322+T322</f>
        <v>0</v>
      </c>
      <c r="M322" s="789">
        <f t="shared" ca="1" si="571"/>
        <v>0</v>
      </c>
      <c r="N322" s="789">
        <f t="shared" ca="1" si="571"/>
        <v>0</v>
      </c>
      <c r="O322" s="789">
        <f t="shared" ca="1" si="571"/>
        <v>0</v>
      </c>
      <c r="P322" s="789">
        <f ca="1">SUM(SUMIFS(OFFSET(貼付け_2024実績,$A322,11,1,199),OFFSET(貼付け_2024実績,4,9,1,199),{"横浜*","川崎*"}))</f>
        <v>0</v>
      </c>
      <c r="Q322" s="789">
        <f ca="1">SUM(SUMIFS(OFFSET(貼付け_2025実績,$A322,11,1,199),OFFSET(貼付け_2025実績,4,9,1,199),{"横浜*","川崎*"}))</f>
        <v>0</v>
      </c>
      <c r="R322" s="789">
        <f ca="1">SUM(SUMIFS(OFFSET(貼付け_2026実績,$A322,11,1,199),OFFSET(貼付け_2026実績,4,9,1,199),{"横浜*","川崎*"}))</f>
        <v>0</v>
      </c>
      <c r="S322" s="789">
        <f ca="1">SUM(SUMIFS(OFFSET(貼付け_2027実績,$A322,11,1,199),OFFSET(貼付け_2027実績,4,9,1,199),{"横浜*","川崎*"}))</f>
        <v>0</v>
      </c>
      <c r="T322" s="789">
        <f t="shared" ref="T322:W322" ca="1" si="572">SUM(X322,AB322,AF322,AJ322,AN322,AR322,AV322,AZ322,BD322,BH322,BL322)</f>
        <v>0</v>
      </c>
      <c r="U322" s="789">
        <f t="shared" ca="1" si="572"/>
        <v>0</v>
      </c>
      <c r="V322" s="789">
        <f t="shared" ca="1" si="572"/>
        <v>0</v>
      </c>
      <c r="W322" s="789">
        <f t="shared" ca="1" si="572"/>
        <v>0</v>
      </c>
      <c r="X322" s="789">
        <f ca="1">SUMIFS(OFFSET(貼付け_2024実績,$A322,11,1,199),OFFSET(貼付け_2024実績,4,9,1,199),"県域*")</f>
        <v>0</v>
      </c>
      <c r="Y322" s="789">
        <f ca="1">SUMIFS(OFFSET(貼付け_2025実績,$A322,11,1,199),OFFSET(貼付け_2025実績,4,9,1,199),"県域*")</f>
        <v>0</v>
      </c>
      <c r="Z322" s="789">
        <f ca="1">SUMIFS(OFFSET(貼付け_2026実績,$A322,11,1,199),OFFSET(貼付け_2026実績,4,9,1,199),"県域*")</f>
        <v>0</v>
      </c>
      <c r="AA322" s="789">
        <f ca="1">SUMIFS(OFFSET(貼付け_2027実績,$A322,11,1,199),OFFSET(貼付け_2027実績,4,9,1,199),"県域*")</f>
        <v>0</v>
      </c>
      <c r="AB322" s="789" t="str">
        <f ca="1">IFERROR(OFFSET(貼付け_2024実績,$A322,AB$1+2),"")</f>
        <v/>
      </c>
      <c r="AC322" s="789" t="str">
        <f ca="1">IFERROR(OFFSET(貼付け_2025実績,$A322,AC$1+2),"")</f>
        <v/>
      </c>
      <c r="AD322" s="789" t="str">
        <f ca="1">IFERROR(OFFSET(貼付け_2026実績,$A322,AD$1+2),"")</f>
        <v/>
      </c>
      <c r="AE322" s="789" t="str">
        <f ca="1">IFERROR(OFFSET(貼付け_2027実績,$A322,AE$1+2),"")</f>
        <v/>
      </c>
      <c r="AF322" s="789" t="str">
        <f ca="1">IFERROR(OFFSET(貼付け_2024実績,$A322,AF$1+2),"")</f>
        <v/>
      </c>
      <c r="AG322" s="789" t="str">
        <f ca="1">IFERROR(OFFSET(貼付け_2025実績,$A322,AG$1+2),"")</f>
        <v/>
      </c>
      <c r="AH322" s="789" t="str">
        <f ca="1">IFERROR(OFFSET(貼付け_2026実績,$A322,AH$1+2),"")</f>
        <v/>
      </c>
      <c r="AI322" s="789" t="str">
        <f ca="1">IFERROR(OFFSET(貼付け_2027実績,$A322,AI$1+2),"")</f>
        <v/>
      </c>
      <c r="AJ322" s="789" t="str">
        <f ca="1">IFERROR(OFFSET(貼付け_2024実績,$A322,AJ$1+2),"")</f>
        <v/>
      </c>
      <c r="AK322" s="789" t="str">
        <f ca="1">IFERROR(OFFSET(貼付け_2025実績,$A322,AK$1+2),"")</f>
        <v/>
      </c>
      <c r="AL322" s="789" t="str">
        <f ca="1">IFERROR(OFFSET(貼付け_2026実績,$A322,AL$1+2),"")</f>
        <v/>
      </c>
      <c r="AM322" s="789" t="str">
        <f ca="1">IFERROR(OFFSET(貼付け_2027実績,$A322,AM$1+2),"")</f>
        <v/>
      </c>
      <c r="AN322" s="789" t="str">
        <f ca="1">IFERROR(OFFSET(貼付け_2024実績,$A322,AN$1+2),"")</f>
        <v/>
      </c>
      <c r="AO322" s="789" t="str">
        <f ca="1">IFERROR(OFFSET(貼付け_2025実績,$A322,AO$1+2),"")</f>
        <v/>
      </c>
      <c r="AP322" s="789" t="str">
        <f ca="1">IFERROR(OFFSET(貼付け_2026実績,$A322,AP$1+2),"")</f>
        <v/>
      </c>
      <c r="AQ322" s="789" t="str">
        <f ca="1">IFERROR(OFFSET(貼付け_2027実績,$A322,AQ$1+2),"")</f>
        <v/>
      </c>
      <c r="AR322" s="789" t="str">
        <f ca="1">IFERROR(OFFSET(貼付け_2024実績,$A322,AR$1+2),"")</f>
        <v/>
      </c>
      <c r="AS322" s="789" t="str">
        <f ca="1">IFERROR(OFFSET(貼付け_2025実績,$A322,AS$1+2),"")</f>
        <v/>
      </c>
      <c r="AT322" s="789" t="str">
        <f ca="1">IFERROR(OFFSET(貼付け_2026実績,$A322,AT$1+2),"")</f>
        <v/>
      </c>
      <c r="AU322" s="789" t="str">
        <f ca="1">IFERROR(OFFSET(貼付け_2027実績,$A322,AU$1+2),"")</f>
        <v/>
      </c>
      <c r="AV322" s="789" t="str">
        <f ca="1">IFERROR(OFFSET(貼付け_2024実績,$A322,AV$1+2),"")</f>
        <v/>
      </c>
      <c r="AW322" s="789" t="str">
        <f ca="1">IFERROR(OFFSET(貼付け_2025実績,$A322,AW$1+2),"")</f>
        <v/>
      </c>
      <c r="AX322" s="789" t="str">
        <f ca="1">IFERROR(OFFSET(貼付け_2026実績,$A322,AX$1+2),"")</f>
        <v/>
      </c>
      <c r="AY322" s="789" t="str">
        <f ca="1">IFERROR(OFFSET(貼付け_2027実績,$A322,AY$1+2),"")</f>
        <v/>
      </c>
      <c r="AZ322" s="789" t="str">
        <f ca="1">IFERROR(OFFSET(貼付け_2024実績,$A322,AZ$1+2),"")</f>
        <v/>
      </c>
      <c r="BA322" s="789" t="str">
        <f ca="1">IFERROR(OFFSET(貼付け_2025実績,$A322,BA$1+2),"")</f>
        <v/>
      </c>
      <c r="BB322" s="789" t="str">
        <f ca="1">IFERROR(OFFSET(貼付け_2026実績,$A322,BB$1+2),"")</f>
        <v/>
      </c>
      <c r="BC322" s="789" t="str">
        <f ca="1">IFERROR(OFFSET(貼付け_2027実績,$A322,BC$1+2),"")</f>
        <v/>
      </c>
      <c r="BD322" s="789" t="str">
        <f ca="1">IFERROR(OFFSET(貼付け_2024実績,$A322,BD$1+2),"")</f>
        <v/>
      </c>
      <c r="BE322" s="789" t="str">
        <f ca="1">IFERROR(OFFSET(貼付け_2025実績,$A322,BE$1+2),"")</f>
        <v/>
      </c>
      <c r="BF322" s="789" t="str">
        <f ca="1">IFERROR(OFFSET(貼付け_2026実績,$A322,BF$1+2),"")</f>
        <v/>
      </c>
      <c r="BG322" s="789" t="str">
        <f ca="1">IFERROR(OFFSET(貼付け_2027実績,$A322,BG$1+2),"")</f>
        <v/>
      </c>
      <c r="BH322" s="789" t="str">
        <f ca="1">IFERROR(OFFSET(貼付け_2024実績,$A322,BH$1+2),"")</f>
        <v/>
      </c>
      <c r="BI322" s="789" t="str">
        <f ca="1">IFERROR(OFFSET(貼付け_2025実績,$A322,BI$1+2),"")</f>
        <v/>
      </c>
      <c r="BJ322" s="789" t="str">
        <f ca="1">IFERROR(OFFSET(貼付け_2026実績,$A322,BJ$1+2),"")</f>
        <v/>
      </c>
      <c r="BK322" s="789" t="str">
        <f ca="1">IFERROR(OFFSET(貼付け_2027実績,$A322,BK$1+2),"")</f>
        <v/>
      </c>
      <c r="BL322" s="789" t="str">
        <f ca="1">IFERROR(OFFSET(貼付け_2024実績,$A322,BL$1+2),"")</f>
        <v/>
      </c>
      <c r="BM322" s="789" t="str">
        <f ca="1">IFERROR(OFFSET(貼付け_2025実績,$A322,BM$1+2),"")</f>
        <v/>
      </c>
      <c r="BN322" s="789" t="str">
        <f ca="1">IFERROR(OFFSET(貼付け_2026実績,$A322,BN$1+2),"")</f>
        <v/>
      </c>
      <c r="BO322" s="789" t="str">
        <f ca="1">IFERROR(OFFSET(貼付け_2027実績,$A322,BO$1+2),"")</f>
        <v/>
      </c>
      <c r="BP322" s="802"/>
    </row>
    <row r="323" spans="1:68" ht="20.100000000000001" customHeight="1">
      <c r="A323" s="784">
        <v>84</v>
      </c>
      <c r="B323" s="1594"/>
      <c r="C323" s="1625"/>
      <c r="D323" s="814" t="s">
        <v>792</v>
      </c>
      <c r="E323" s="785"/>
      <c r="F323" s="836"/>
      <c r="G323" s="787" t="s">
        <v>463</v>
      </c>
      <c r="H323" s="907"/>
      <c r="I323" s="907"/>
      <c r="J323" s="907"/>
      <c r="K323" s="907"/>
      <c r="L323" s="908"/>
      <c r="M323" s="908"/>
      <c r="N323" s="908"/>
      <c r="O323" s="908"/>
      <c r="P323" s="908"/>
      <c r="Q323" s="908"/>
      <c r="R323" s="908"/>
      <c r="S323" s="908"/>
      <c r="T323" s="908"/>
      <c r="U323" s="908"/>
      <c r="V323" s="908"/>
      <c r="W323" s="908"/>
      <c r="X323" s="908"/>
      <c r="Y323" s="908"/>
      <c r="Z323" s="908"/>
      <c r="AA323" s="908"/>
      <c r="AB323" s="908"/>
      <c r="AC323" s="908"/>
      <c r="AD323" s="908"/>
      <c r="AE323" s="908"/>
      <c r="AF323" s="908"/>
      <c r="AG323" s="908"/>
      <c r="AH323" s="908"/>
      <c r="AI323" s="908"/>
      <c r="AJ323" s="908"/>
      <c r="AK323" s="908"/>
      <c r="AL323" s="908"/>
      <c r="AM323" s="908"/>
      <c r="AN323" s="908"/>
      <c r="AO323" s="908"/>
      <c r="AP323" s="908"/>
      <c r="AQ323" s="908"/>
      <c r="AR323" s="908"/>
      <c r="AS323" s="908"/>
      <c r="AT323" s="908"/>
      <c r="AU323" s="908"/>
      <c r="AV323" s="908"/>
      <c r="AW323" s="908"/>
      <c r="AX323" s="908"/>
      <c r="AY323" s="908"/>
      <c r="AZ323" s="908"/>
      <c r="BA323" s="908"/>
      <c r="BB323" s="908"/>
      <c r="BC323" s="908"/>
      <c r="BD323" s="908"/>
      <c r="BE323" s="908"/>
      <c r="BF323" s="908"/>
      <c r="BG323" s="908"/>
      <c r="BH323" s="908"/>
      <c r="BI323" s="908"/>
      <c r="BJ323" s="908"/>
      <c r="BK323" s="908"/>
      <c r="BL323" s="908"/>
      <c r="BM323" s="908"/>
      <c r="BN323" s="908"/>
      <c r="BO323" s="908"/>
      <c r="BP323" s="802"/>
    </row>
    <row r="324" spans="1:68" ht="20.100000000000001" customHeight="1">
      <c r="A324" s="784">
        <v>85</v>
      </c>
      <c r="B324" s="1594"/>
      <c r="C324" s="1625"/>
      <c r="D324" s="814" t="s">
        <v>793</v>
      </c>
      <c r="E324" s="785"/>
      <c r="F324" s="836"/>
      <c r="G324" s="787" t="s">
        <v>462</v>
      </c>
      <c r="H324" s="909">
        <f ca="1">H77</f>
        <v>3.6</v>
      </c>
      <c r="I324" s="909">
        <f ca="1">I77</f>
        <v>3.6</v>
      </c>
      <c r="J324" s="909">
        <f ca="1">J77</f>
        <v>3.6</v>
      </c>
      <c r="K324" s="909">
        <f ca="1">K77</f>
        <v>3.6</v>
      </c>
      <c r="L324" s="789">
        <f t="shared" ref="L324:O324" ca="1" si="573">P324+T324</f>
        <v>0</v>
      </c>
      <c r="M324" s="789">
        <f t="shared" ca="1" si="573"/>
        <v>0</v>
      </c>
      <c r="N324" s="789">
        <f t="shared" ca="1" si="573"/>
        <v>0</v>
      </c>
      <c r="O324" s="789">
        <f t="shared" ca="1" si="573"/>
        <v>0</v>
      </c>
      <c r="P324" s="789">
        <f ca="1">SUM(SUMIFS(OFFSET(貼付け_2024実績,$A324,11,1,199),OFFSET(貼付け_2024実績,4,9,1,199),{"横浜*","川崎*"}))</f>
        <v>0</v>
      </c>
      <c r="Q324" s="789">
        <f ca="1">SUM(SUMIFS(OFFSET(貼付け_2025実績,$A324,11,1,199),OFFSET(貼付け_2025実績,4,9,1,199),{"横浜*","川崎*"}))</f>
        <v>0</v>
      </c>
      <c r="R324" s="789">
        <f ca="1">SUM(SUMIFS(OFFSET(貼付け_2026実績,$A324,11,1,199),OFFSET(貼付け_2026実績,4,9,1,199),{"横浜*","川崎*"}))</f>
        <v>0</v>
      </c>
      <c r="S324" s="789">
        <f ca="1">SUM(SUMIFS(OFFSET(貼付け_2027実績,$A324,11,1,199),OFFSET(貼付け_2027実績,4,9,1,199),{"横浜*","川崎*"}))</f>
        <v>0</v>
      </c>
      <c r="T324" s="789">
        <f t="shared" ref="T324:W324" ca="1" si="574">SUM(X324,AB324,AF324,AJ324,AN324,AR324,AV324,AZ324,BD324,BH324,BL324)</f>
        <v>0</v>
      </c>
      <c r="U324" s="789">
        <f t="shared" ca="1" si="574"/>
        <v>0</v>
      </c>
      <c r="V324" s="789">
        <f t="shared" ca="1" si="574"/>
        <v>0</v>
      </c>
      <c r="W324" s="789">
        <f t="shared" ca="1" si="574"/>
        <v>0</v>
      </c>
      <c r="X324" s="789">
        <f ca="1">SUMIFS(OFFSET(貼付け_2024実績,$A324,11,1,199),OFFSET(貼付け_2024実績,4,9,1,199),"県域*")</f>
        <v>0</v>
      </c>
      <c r="Y324" s="789">
        <f ca="1">SUMIFS(OFFSET(貼付け_2025実績,$A324,11,1,199),OFFSET(貼付け_2025実績,4,9,1,199),"県域*")</f>
        <v>0</v>
      </c>
      <c r="Z324" s="789">
        <f ca="1">SUMIFS(OFFSET(貼付け_2026実績,$A324,11,1,199),OFFSET(貼付け_2026実績,4,9,1,199),"県域*")</f>
        <v>0</v>
      </c>
      <c r="AA324" s="789">
        <f ca="1">SUMIFS(OFFSET(貼付け_2027実績,$A324,11,1,199),OFFSET(貼付け_2027実績,4,9,1,199),"県域*")</f>
        <v>0</v>
      </c>
      <c r="AB324" s="789" t="str">
        <f ca="1">IFERROR(OFFSET(貼付け_2024実績,$A324,AB$1+2),"")</f>
        <v/>
      </c>
      <c r="AC324" s="789" t="str">
        <f ca="1">IFERROR(OFFSET(貼付け_2025実績,$A324,AC$1+2),"")</f>
        <v/>
      </c>
      <c r="AD324" s="789" t="str">
        <f ca="1">IFERROR(OFFSET(貼付け_2026実績,$A324,AD$1+2),"")</f>
        <v/>
      </c>
      <c r="AE324" s="789" t="str">
        <f ca="1">IFERROR(OFFSET(貼付け_2027実績,$A324,AE$1+2),"")</f>
        <v/>
      </c>
      <c r="AF324" s="789" t="str">
        <f ca="1">IFERROR(OFFSET(貼付け_2024実績,$A324,AF$1+2),"")</f>
        <v/>
      </c>
      <c r="AG324" s="789" t="str">
        <f ca="1">IFERROR(OFFSET(貼付け_2025実績,$A324,AG$1+2),"")</f>
        <v/>
      </c>
      <c r="AH324" s="789" t="str">
        <f ca="1">IFERROR(OFFSET(貼付け_2026実績,$A324,AH$1+2),"")</f>
        <v/>
      </c>
      <c r="AI324" s="789" t="str">
        <f ca="1">IFERROR(OFFSET(貼付け_2027実績,$A324,AI$1+2),"")</f>
        <v/>
      </c>
      <c r="AJ324" s="789" t="str">
        <f ca="1">IFERROR(OFFSET(貼付け_2024実績,$A324,AJ$1+2),"")</f>
        <v/>
      </c>
      <c r="AK324" s="789" t="str">
        <f ca="1">IFERROR(OFFSET(貼付け_2025実績,$A324,AK$1+2),"")</f>
        <v/>
      </c>
      <c r="AL324" s="789" t="str">
        <f ca="1">IFERROR(OFFSET(貼付け_2026実績,$A324,AL$1+2),"")</f>
        <v/>
      </c>
      <c r="AM324" s="789" t="str">
        <f ca="1">IFERROR(OFFSET(貼付け_2027実績,$A324,AM$1+2),"")</f>
        <v/>
      </c>
      <c r="AN324" s="789" t="str">
        <f ca="1">IFERROR(OFFSET(貼付け_2024実績,$A324,AN$1+2),"")</f>
        <v/>
      </c>
      <c r="AO324" s="789" t="str">
        <f ca="1">IFERROR(OFFSET(貼付け_2025実績,$A324,AO$1+2),"")</f>
        <v/>
      </c>
      <c r="AP324" s="789" t="str">
        <f ca="1">IFERROR(OFFSET(貼付け_2026実績,$A324,AP$1+2),"")</f>
        <v/>
      </c>
      <c r="AQ324" s="789" t="str">
        <f ca="1">IFERROR(OFFSET(貼付け_2027実績,$A324,AQ$1+2),"")</f>
        <v/>
      </c>
      <c r="AR324" s="789" t="str">
        <f ca="1">IFERROR(OFFSET(貼付け_2024実績,$A324,AR$1+2),"")</f>
        <v/>
      </c>
      <c r="AS324" s="789" t="str">
        <f ca="1">IFERROR(OFFSET(貼付け_2025実績,$A324,AS$1+2),"")</f>
        <v/>
      </c>
      <c r="AT324" s="789" t="str">
        <f ca="1">IFERROR(OFFSET(貼付け_2026実績,$A324,AT$1+2),"")</f>
        <v/>
      </c>
      <c r="AU324" s="789" t="str">
        <f ca="1">IFERROR(OFFSET(貼付け_2027実績,$A324,AU$1+2),"")</f>
        <v/>
      </c>
      <c r="AV324" s="789" t="str">
        <f ca="1">IFERROR(OFFSET(貼付け_2024実績,$A324,AV$1+2),"")</f>
        <v/>
      </c>
      <c r="AW324" s="789" t="str">
        <f ca="1">IFERROR(OFFSET(貼付け_2025実績,$A324,AW$1+2),"")</f>
        <v/>
      </c>
      <c r="AX324" s="789" t="str">
        <f ca="1">IFERROR(OFFSET(貼付け_2026実績,$A324,AX$1+2),"")</f>
        <v/>
      </c>
      <c r="AY324" s="789" t="str">
        <f ca="1">IFERROR(OFFSET(貼付け_2027実績,$A324,AY$1+2),"")</f>
        <v/>
      </c>
      <c r="AZ324" s="789" t="str">
        <f ca="1">IFERROR(OFFSET(貼付け_2024実績,$A324,AZ$1+2),"")</f>
        <v/>
      </c>
      <c r="BA324" s="789" t="str">
        <f ca="1">IFERROR(OFFSET(貼付け_2025実績,$A324,BA$1+2),"")</f>
        <v/>
      </c>
      <c r="BB324" s="789" t="str">
        <f ca="1">IFERROR(OFFSET(貼付け_2026実績,$A324,BB$1+2),"")</f>
        <v/>
      </c>
      <c r="BC324" s="789" t="str">
        <f ca="1">IFERROR(OFFSET(貼付け_2027実績,$A324,BC$1+2),"")</f>
        <v/>
      </c>
      <c r="BD324" s="789" t="str">
        <f ca="1">IFERROR(OFFSET(貼付け_2024実績,$A324,BD$1+2),"")</f>
        <v/>
      </c>
      <c r="BE324" s="789" t="str">
        <f ca="1">IFERROR(OFFSET(貼付け_2025実績,$A324,BE$1+2),"")</f>
        <v/>
      </c>
      <c r="BF324" s="789" t="str">
        <f ca="1">IFERROR(OFFSET(貼付け_2026実績,$A324,BF$1+2),"")</f>
        <v/>
      </c>
      <c r="BG324" s="789" t="str">
        <f ca="1">IFERROR(OFFSET(貼付け_2027実績,$A324,BG$1+2),"")</f>
        <v/>
      </c>
      <c r="BH324" s="789" t="str">
        <f ca="1">IFERROR(OFFSET(貼付け_2024実績,$A324,BH$1+2),"")</f>
        <v/>
      </c>
      <c r="BI324" s="789" t="str">
        <f ca="1">IFERROR(OFFSET(貼付け_2025実績,$A324,BI$1+2),"")</f>
        <v/>
      </c>
      <c r="BJ324" s="789" t="str">
        <f ca="1">IFERROR(OFFSET(貼付け_2026実績,$A324,BJ$1+2),"")</f>
        <v/>
      </c>
      <c r="BK324" s="789" t="str">
        <f ca="1">IFERROR(OFFSET(貼付け_2027実績,$A324,BK$1+2),"")</f>
        <v/>
      </c>
      <c r="BL324" s="789" t="str">
        <f ca="1">IFERROR(OFFSET(貼付け_2024実績,$A324,BL$1+2),"")</f>
        <v/>
      </c>
      <c r="BM324" s="789" t="str">
        <f ca="1">IFERROR(OFFSET(貼付け_2025実績,$A324,BM$1+2),"")</f>
        <v/>
      </c>
      <c r="BN324" s="789" t="str">
        <f ca="1">IFERROR(OFFSET(貼付け_2026実績,$A324,BN$1+2),"")</f>
        <v/>
      </c>
      <c r="BO324" s="789" t="str">
        <f ca="1">IFERROR(OFFSET(貼付け_2027実績,$A324,BO$1+2),"")</f>
        <v/>
      </c>
      <c r="BP324" s="802"/>
    </row>
    <row r="325" spans="1:68" ht="20.100000000000001" customHeight="1">
      <c r="A325" s="784">
        <v>86</v>
      </c>
      <c r="B325" s="1594"/>
      <c r="C325" s="1625"/>
      <c r="D325" s="814" t="s">
        <v>794</v>
      </c>
      <c r="E325" s="785"/>
      <c r="F325" s="836"/>
      <c r="G325" s="787" t="s">
        <v>463</v>
      </c>
      <c r="H325" s="907"/>
      <c r="I325" s="907"/>
      <c r="J325" s="907"/>
      <c r="K325" s="907"/>
      <c r="L325" s="908"/>
      <c r="M325" s="908"/>
      <c r="N325" s="908"/>
      <c r="O325" s="908"/>
      <c r="P325" s="908"/>
      <c r="Q325" s="908"/>
      <c r="R325" s="908"/>
      <c r="S325" s="908"/>
      <c r="T325" s="908"/>
      <c r="U325" s="908"/>
      <c r="V325" s="908"/>
      <c r="W325" s="908"/>
      <c r="X325" s="908"/>
      <c r="Y325" s="908"/>
      <c r="Z325" s="908"/>
      <c r="AA325" s="908"/>
      <c r="AB325" s="908"/>
      <c r="AC325" s="908"/>
      <c r="AD325" s="908"/>
      <c r="AE325" s="908"/>
      <c r="AF325" s="908"/>
      <c r="AG325" s="908"/>
      <c r="AH325" s="908"/>
      <c r="AI325" s="908"/>
      <c r="AJ325" s="908"/>
      <c r="AK325" s="908"/>
      <c r="AL325" s="908"/>
      <c r="AM325" s="908"/>
      <c r="AN325" s="908"/>
      <c r="AO325" s="908"/>
      <c r="AP325" s="908"/>
      <c r="AQ325" s="908"/>
      <c r="AR325" s="908"/>
      <c r="AS325" s="908"/>
      <c r="AT325" s="908"/>
      <c r="AU325" s="908"/>
      <c r="AV325" s="908"/>
      <c r="AW325" s="908"/>
      <c r="AX325" s="908"/>
      <c r="AY325" s="908"/>
      <c r="AZ325" s="908"/>
      <c r="BA325" s="908"/>
      <c r="BB325" s="908"/>
      <c r="BC325" s="908"/>
      <c r="BD325" s="908"/>
      <c r="BE325" s="908"/>
      <c r="BF325" s="908"/>
      <c r="BG325" s="908"/>
      <c r="BH325" s="908"/>
      <c r="BI325" s="908"/>
      <c r="BJ325" s="908"/>
      <c r="BK325" s="908"/>
      <c r="BL325" s="908"/>
      <c r="BM325" s="908"/>
      <c r="BN325" s="908"/>
      <c r="BO325" s="908"/>
      <c r="BP325" s="802"/>
    </row>
    <row r="326" spans="1:68" ht="20.100000000000001" customHeight="1">
      <c r="A326" s="784">
        <v>87</v>
      </c>
      <c r="B326" s="1594"/>
      <c r="C326" s="1625"/>
      <c r="D326" s="814" t="s">
        <v>795</v>
      </c>
      <c r="E326" s="785"/>
      <c r="F326" s="836"/>
      <c r="G326" s="787" t="s">
        <v>462</v>
      </c>
      <c r="H326" s="909">
        <f ca="1">H79</f>
        <v>3.6</v>
      </c>
      <c r="I326" s="909">
        <f ca="1">I79</f>
        <v>3.6</v>
      </c>
      <c r="J326" s="909">
        <f ca="1">J79</f>
        <v>3.6</v>
      </c>
      <c r="K326" s="909">
        <f ca="1">K79</f>
        <v>3.6</v>
      </c>
      <c r="L326" s="789">
        <f t="shared" ref="L326:O326" ca="1" si="575">P326+T326</f>
        <v>0</v>
      </c>
      <c r="M326" s="789">
        <f t="shared" ca="1" si="575"/>
        <v>0</v>
      </c>
      <c r="N326" s="789">
        <f t="shared" ca="1" si="575"/>
        <v>0</v>
      </c>
      <c r="O326" s="789">
        <f t="shared" ca="1" si="575"/>
        <v>0</v>
      </c>
      <c r="P326" s="789">
        <f ca="1">SUM(SUMIFS(OFFSET(貼付け_2024実績,$A326,11,1,199),OFFSET(貼付け_2024実績,4,9,1,199),{"横浜*","川崎*"}))</f>
        <v>0</v>
      </c>
      <c r="Q326" s="789">
        <f ca="1">SUM(SUMIFS(OFFSET(貼付け_2025実績,$A326,11,1,199),OFFSET(貼付け_2025実績,4,9,1,199),{"横浜*","川崎*"}))</f>
        <v>0</v>
      </c>
      <c r="R326" s="789">
        <f ca="1">SUM(SUMIFS(OFFSET(貼付け_2026実績,$A326,11,1,199),OFFSET(貼付け_2026実績,4,9,1,199),{"横浜*","川崎*"}))</f>
        <v>0</v>
      </c>
      <c r="S326" s="789">
        <f ca="1">SUM(SUMIFS(OFFSET(貼付け_2027実績,$A326,11,1,199),OFFSET(貼付け_2027実績,4,9,1,199),{"横浜*","川崎*"}))</f>
        <v>0</v>
      </c>
      <c r="T326" s="789">
        <f t="shared" ref="T326:W326" ca="1" si="576">SUM(X326,AB326,AF326,AJ326,AN326,AR326,AV326,AZ326,BD326,BH326,BL326)</f>
        <v>0</v>
      </c>
      <c r="U326" s="789">
        <f t="shared" ca="1" si="576"/>
        <v>0</v>
      </c>
      <c r="V326" s="789">
        <f t="shared" ca="1" si="576"/>
        <v>0</v>
      </c>
      <c r="W326" s="789">
        <f t="shared" ca="1" si="576"/>
        <v>0</v>
      </c>
      <c r="X326" s="789">
        <f ca="1">SUMIFS(OFFSET(貼付け_2024実績,$A326,11,1,199),OFFSET(貼付け_2024実績,4,9,1,199),"県域*")</f>
        <v>0</v>
      </c>
      <c r="Y326" s="789">
        <f ca="1">SUMIFS(OFFSET(貼付け_2025実績,$A326,11,1,199),OFFSET(貼付け_2025実績,4,9,1,199),"県域*")</f>
        <v>0</v>
      </c>
      <c r="Z326" s="789">
        <f ca="1">SUMIFS(OFFSET(貼付け_2026実績,$A326,11,1,199),OFFSET(貼付け_2026実績,4,9,1,199),"県域*")</f>
        <v>0</v>
      </c>
      <c r="AA326" s="789">
        <f ca="1">SUMIFS(OFFSET(貼付け_2027実績,$A326,11,1,199),OFFSET(貼付け_2027実績,4,9,1,199),"県域*")</f>
        <v>0</v>
      </c>
      <c r="AB326" s="789" t="str">
        <f ca="1">IFERROR(OFFSET(貼付け_2024実績,$A326,AB$1+2),"")</f>
        <v/>
      </c>
      <c r="AC326" s="789" t="str">
        <f ca="1">IFERROR(OFFSET(貼付け_2025実績,$A326,AC$1+2),"")</f>
        <v/>
      </c>
      <c r="AD326" s="789" t="str">
        <f ca="1">IFERROR(OFFSET(貼付け_2026実績,$A326,AD$1+2),"")</f>
        <v/>
      </c>
      <c r="AE326" s="789" t="str">
        <f ca="1">IFERROR(OFFSET(貼付け_2027実績,$A326,AE$1+2),"")</f>
        <v/>
      </c>
      <c r="AF326" s="789" t="str">
        <f ca="1">IFERROR(OFFSET(貼付け_2024実績,$A326,AF$1+2),"")</f>
        <v/>
      </c>
      <c r="AG326" s="789" t="str">
        <f ca="1">IFERROR(OFFSET(貼付け_2025実績,$A326,AG$1+2),"")</f>
        <v/>
      </c>
      <c r="AH326" s="789" t="str">
        <f ca="1">IFERROR(OFFSET(貼付け_2026実績,$A326,AH$1+2),"")</f>
        <v/>
      </c>
      <c r="AI326" s="789" t="str">
        <f ca="1">IFERROR(OFFSET(貼付け_2027実績,$A326,AI$1+2),"")</f>
        <v/>
      </c>
      <c r="AJ326" s="789" t="str">
        <f ca="1">IFERROR(OFFSET(貼付け_2024実績,$A326,AJ$1+2),"")</f>
        <v/>
      </c>
      <c r="AK326" s="789" t="str">
        <f ca="1">IFERROR(OFFSET(貼付け_2025実績,$A326,AK$1+2),"")</f>
        <v/>
      </c>
      <c r="AL326" s="789" t="str">
        <f ca="1">IFERROR(OFFSET(貼付け_2026実績,$A326,AL$1+2),"")</f>
        <v/>
      </c>
      <c r="AM326" s="789" t="str">
        <f ca="1">IFERROR(OFFSET(貼付け_2027実績,$A326,AM$1+2),"")</f>
        <v/>
      </c>
      <c r="AN326" s="789" t="str">
        <f ca="1">IFERROR(OFFSET(貼付け_2024実績,$A326,AN$1+2),"")</f>
        <v/>
      </c>
      <c r="AO326" s="789" t="str">
        <f ca="1">IFERROR(OFFSET(貼付け_2025実績,$A326,AO$1+2),"")</f>
        <v/>
      </c>
      <c r="AP326" s="789" t="str">
        <f ca="1">IFERROR(OFFSET(貼付け_2026実績,$A326,AP$1+2),"")</f>
        <v/>
      </c>
      <c r="AQ326" s="789" t="str">
        <f ca="1">IFERROR(OFFSET(貼付け_2027実績,$A326,AQ$1+2),"")</f>
        <v/>
      </c>
      <c r="AR326" s="789" t="str">
        <f ca="1">IFERROR(OFFSET(貼付け_2024実績,$A326,AR$1+2),"")</f>
        <v/>
      </c>
      <c r="AS326" s="789" t="str">
        <f ca="1">IFERROR(OFFSET(貼付け_2025実績,$A326,AS$1+2),"")</f>
        <v/>
      </c>
      <c r="AT326" s="789" t="str">
        <f ca="1">IFERROR(OFFSET(貼付け_2026実績,$A326,AT$1+2),"")</f>
        <v/>
      </c>
      <c r="AU326" s="789" t="str">
        <f ca="1">IFERROR(OFFSET(貼付け_2027実績,$A326,AU$1+2),"")</f>
        <v/>
      </c>
      <c r="AV326" s="789" t="str">
        <f ca="1">IFERROR(OFFSET(貼付け_2024実績,$A326,AV$1+2),"")</f>
        <v/>
      </c>
      <c r="AW326" s="789" t="str">
        <f ca="1">IFERROR(OFFSET(貼付け_2025実績,$A326,AW$1+2),"")</f>
        <v/>
      </c>
      <c r="AX326" s="789" t="str">
        <f ca="1">IFERROR(OFFSET(貼付け_2026実績,$A326,AX$1+2),"")</f>
        <v/>
      </c>
      <c r="AY326" s="789" t="str">
        <f ca="1">IFERROR(OFFSET(貼付け_2027実績,$A326,AY$1+2),"")</f>
        <v/>
      </c>
      <c r="AZ326" s="789" t="str">
        <f ca="1">IFERROR(OFFSET(貼付け_2024実績,$A326,AZ$1+2),"")</f>
        <v/>
      </c>
      <c r="BA326" s="789" t="str">
        <f ca="1">IFERROR(OFFSET(貼付け_2025実績,$A326,BA$1+2),"")</f>
        <v/>
      </c>
      <c r="BB326" s="789" t="str">
        <f ca="1">IFERROR(OFFSET(貼付け_2026実績,$A326,BB$1+2),"")</f>
        <v/>
      </c>
      <c r="BC326" s="789" t="str">
        <f ca="1">IFERROR(OFFSET(貼付け_2027実績,$A326,BC$1+2),"")</f>
        <v/>
      </c>
      <c r="BD326" s="789" t="str">
        <f ca="1">IFERROR(OFFSET(貼付け_2024実績,$A326,BD$1+2),"")</f>
        <v/>
      </c>
      <c r="BE326" s="789" t="str">
        <f ca="1">IFERROR(OFFSET(貼付け_2025実績,$A326,BE$1+2),"")</f>
        <v/>
      </c>
      <c r="BF326" s="789" t="str">
        <f ca="1">IFERROR(OFFSET(貼付け_2026実績,$A326,BF$1+2),"")</f>
        <v/>
      </c>
      <c r="BG326" s="789" t="str">
        <f ca="1">IFERROR(OFFSET(貼付け_2027実績,$A326,BG$1+2),"")</f>
        <v/>
      </c>
      <c r="BH326" s="789" t="str">
        <f ca="1">IFERROR(OFFSET(貼付け_2024実績,$A326,BH$1+2),"")</f>
        <v/>
      </c>
      <c r="BI326" s="789" t="str">
        <f ca="1">IFERROR(OFFSET(貼付け_2025実績,$A326,BI$1+2),"")</f>
        <v/>
      </c>
      <c r="BJ326" s="789" t="str">
        <f ca="1">IFERROR(OFFSET(貼付け_2026実績,$A326,BJ$1+2),"")</f>
        <v/>
      </c>
      <c r="BK326" s="789" t="str">
        <f ca="1">IFERROR(OFFSET(貼付け_2027実績,$A326,BK$1+2),"")</f>
        <v/>
      </c>
      <c r="BL326" s="789" t="str">
        <f ca="1">IFERROR(OFFSET(貼付け_2024実績,$A326,BL$1+2),"")</f>
        <v/>
      </c>
      <c r="BM326" s="789" t="str">
        <f ca="1">IFERROR(OFFSET(貼付け_2025実績,$A326,BM$1+2),"")</f>
        <v/>
      </c>
      <c r="BN326" s="789" t="str">
        <f ca="1">IFERROR(OFFSET(貼付け_2026実績,$A326,BN$1+2),"")</f>
        <v/>
      </c>
      <c r="BO326" s="789" t="str">
        <f ca="1">IFERROR(OFFSET(貼付け_2027実績,$A326,BO$1+2),"")</f>
        <v/>
      </c>
      <c r="BP326" s="802"/>
    </row>
    <row r="327" spans="1:68" ht="20.100000000000001" customHeight="1">
      <c r="A327" s="784">
        <v>88</v>
      </c>
      <c r="B327" s="1594"/>
      <c r="C327" s="1625"/>
      <c r="D327" s="814" t="s">
        <v>796</v>
      </c>
      <c r="E327" s="785"/>
      <c r="F327" s="836"/>
      <c r="G327" s="787" t="s">
        <v>463</v>
      </c>
      <c r="H327" s="907"/>
      <c r="I327" s="907"/>
      <c r="J327" s="907"/>
      <c r="K327" s="907"/>
      <c r="L327" s="908"/>
      <c r="M327" s="908"/>
      <c r="N327" s="908"/>
      <c r="O327" s="908"/>
      <c r="P327" s="908"/>
      <c r="Q327" s="908"/>
      <c r="R327" s="908"/>
      <c r="S327" s="908"/>
      <c r="T327" s="908"/>
      <c r="U327" s="908"/>
      <c r="V327" s="908"/>
      <c r="W327" s="908"/>
      <c r="X327" s="908"/>
      <c r="Y327" s="908"/>
      <c r="Z327" s="908"/>
      <c r="AA327" s="908"/>
      <c r="AB327" s="908"/>
      <c r="AC327" s="908"/>
      <c r="AD327" s="908"/>
      <c r="AE327" s="908"/>
      <c r="AF327" s="908"/>
      <c r="AG327" s="908"/>
      <c r="AH327" s="908"/>
      <c r="AI327" s="908"/>
      <c r="AJ327" s="908"/>
      <c r="AK327" s="908"/>
      <c r="AL327" s="908"/>
      <c r="AM327" s="908"/>
      <c r="AN327" s="908"/>
      <c r="AO327" s="908"/>
      <c r="AP327" s="908"/>
      <c r="AQ327" s="908"/>
      <c r="AR327" s="908"/>
      <c r="AS327" s="908"/>
      <c r="AT327" s="908"/>
      <c r="AU327" s="908"/>
      <c r="AV327" s="908"/>
      <c r="AW327" s="908"/>
      <c r="AX327" s="908"/>
      <c r="AY327" s="908"/>
      <c r="AZ327" s="908"/>
      <c r="BA327" s="908"/>
      <c r="BB327" s="908"/>
      <c r="BC327" s="908"/>
      <c r="BD327" s="908"/>
      <c r="BE327" s="908"/>
      <c r="BF327" s="908"/>
      <c r="BG327" s="908"/>
      <c r="BH327" s="908"/>
      <c r="BI327" s="908"/>
      <c r="BJ327" s="908"/>
      <c r="BK327" s="908"/>
      <c r="BL327" s="908"/>
      <c r="BM327" s="908"/>
      <c r="BN327" s="908"/>
      <c r="BO327" s="908"/>
      <c r="BP327" s="802"/>
    </row>
    <row r="328" spans="1:68" ht="20.100000000000001" customHeight="1">
      <c r="A328" s="784">
        <v>89</v>
      </c>
      <c r="B328" s="1594"/>
      <c r="C328" s="1625"/>
      <c r="D328" s="814" t="s">
        <v>797</v>
      </c>
      <c r="E328" s="785"/>
      <c r="F328" s="836"/>
      <c r="G328" s="787" t="s">
        <v>462</v>
      </c>
      <c r="H328" s="909">
        <f ca="1">H81</f>
        <v>3.6</v>
      </c>
      <c r="I328" s="909">
        <f ca="1">I81</f>
        <v>3.6</v>
      </c>
      <c r="J328" s="909">
        <f ca="1">J81</f>
        <v>3.6</v>
      </c>
      <c r="K328" s="909">
        <f ca="1">K81</f>
        <v>3.6</v>
      </c>
      <c r="L328" s="789">
        <f t="shared" ref="L328:O328" ca="1" si="577">P328+T328</f>
        <v>0</v>
      </c>
      <c r="M328" s="789">
        <f t="shared" ca="1" si="577"/>
        <v>0</v>
      </c>
      <c r="N328" s="789">
        <f t="shared" ca="1" si="577"/>
        <v>0</v>
      </c>
      <c r="O328" s="789">
        <f t="shared" ca="1" si="577"/>
        <v>0</v>
      </c>
      <c r="P328" s="789">
        <f ca="1">SUM(SUMIFS(OFFSET(貼付け_2024実績,$A328,11,1,199),OFFSET(貼付け_2024実績,4,9,1,199),{"横浜*","川崎*"}))</f>
        <v>0</v>
      </c>
      <c r="Q328" s="789">
        <f ca="1">SUM(SUMIFS(OFFSET(貼付け_2025実績,$A328,11,1,199),OFFSET(貼付け_2025実績,4,9,1,199),{"横浜*","川崎*"}))</f>
        <v>0</v>
      </c>
      <c r="R328" s="789">
        <f ca="1">SUM(SUMIFS(OFFSET(貼付け_2026実績,$A328,11,1,199),OFFSET(貼付け_2026実績,4,9,1,199),{"横浜*","川崎*"}))</f>
        <v>0</v>
      </c>
      <c r="S328" s="789">
        <f ca="1">SUM(SUMIFS(OFFSET(貼付け_2027実績,$A328,11,1,199),OFFSET(貼付け_2027実績,4,9,1,199),{"横浜*","川崎*"}))</f>
        <v>0</v>
      </c>
      <c r="T328" s="789">
        <f t="shared" ref="T328:W328" ca="1" si="578">SUM(X328,AB328,AF328,AJ328,AN328,AR328,AV328,AZ328,BD328,BH328,BL328)</f>
        <v>0</v>
      </c>
      <c r="U328" s="789">
        <f t="shared" ca="1" si="578"/>
        <v>0</v>
      </c>
      <c r="V328" s="789">
        <f t="shared" ca="1" si="578"/>
        <v>0</v>
      </c>
      <c r="W328" s="789">
        <f t="shared" ca="1" si="578"/>
        <v>0</v>
      </c>
      <c r="X328" s="789">
        <f ca="1">SUMIFS(OFFSET(貼付け_2024実績,$A328,11,1,199),OFFSET(貼付け_2024実績,4,9,1,199),"県域*")</f>
        <v>0</v>
      </c>
      <c r="Y328" s="789">
        <f ca="1">SUMIFS(OFFSET(貼付け_2025実績,$A328,11,1,199),OFFSET(貼付け_2025実績,4,9,1,199),"県域*")</f>
        <v>0</v>
      </c>
      <c r="Z328" s="789">
        <f ca="1">SUMIFS(OFFSET(貼付け_2026実績,$A328,11,1,199),OFFSET(貼付け_2026実績,4,9,1,199),"県域*")</f>
        <v>0</v>
      </c>
      <c r="AA328" s="789">
        <f ca="1">SUMIFS(OFFSET(貼付け_2027実績,$A328,11,1,199),OFFSET(貼付け_2027実績,4,9,1,199),"県域*")</f>
        <v>0</v>
      </c>
      <c r="AB328" s="789" t="str">
        <f ca="1">IFERROR(OFFSET(貼付け_2024実績,$A328,AB$1+2),"")</f>
        <v/>
      </c>
      <c r="AC328" s="789" t="str">
        <f ca="1">IFERROR(OFFSET(貼付け_2025実績,$A328,AC$1+2),"")</f>
        <v/>
      </c>
      <c r="AD328" s="789" t="str">
        <f ca="1">IFERROR(OFFSET(貼付け_2026実績,$A328,AD$1+2),"")</f>
        <v/>
      </c>
      <c r="AE328" s="789" t="str">
        <f ca="1">IFERROR(OFFSET(貼付け_2027実績,$A328,AE$1+2),"")</f>
        <v/>
      </c>
      <c r="AF328" s="789" t="str">
        <f ca="1">IFERROR(OFFSET(貼付け_2024実績,$A328,AF$1+2),"")</f>
        <v/>
      </c>
      <c r="AG328" s="789" t="str">
        <f ca="1">IFERROR(OFFSET(貼付け_2025実績,$A328,AG$1+2),"")</f>
        <v/>
      </c>
      <c r="AH328" s="789" t="str">
        <f ca="1">IFERROR(OFFSET(貼付け_2026実績,$A328,AH$1+2),"")</f>
        <v/>
      </c>
      <c r="AI328" s="789" t="str">
        <f ca="1">IFERROR(OFFSET(貼付け_2027実績,$A328,AI$1+2),"")</f>
        <v/>
      </c>
      <c r="AJ328" s="789" t="str">
        <f ca="1">IFERROR(OFFSET(貼付け_2024実績,$A328,AJ$1+2),"")</f>
        <v/>
      </c>
      <c r="AK328" s="789" t="str">
        <f ca="1">IFERROR(OFFSET(貼付け_2025実績,$A328,AK$1+2),"")</f>
        <v/>
      </c>
      <c r="AL328" s="789" t="str">
        <f ca="1">IFERROR(OFFSET(貼付け_2026実績,$A328,AL$1+2),"")</f>
        <v/>
      </c>
      <c r="AM328" s="789" t="str">
        <f ca="1">IFERROR(OFFSET(貼付け_2027実績,$A328,AM$1+2),"")</f>
        <v/>
      </c>
      <c r="AN328" s="789" t="str">
        <f ca="1">IFERROR(OFFSET(貼付け_2024実績,$A328,AN$1+2),"")</f>
        <v/>
      </c>
      <c r="AO328" s="789" t="str">
        <f ca="1">IFERROR(OFFSET(貼付け_2025実績,$A328,AO$1+2),"")</f>
        <v/>
      </c>
      <c r="AP328" s="789" t="str">
        <f ca="1">IFERROR(OFFSET(貼付け_2026実績,$A328,AP$1+2),"")</f>
        <v/>
      </c>
      <c r="AQ328" s="789" t="str">
        <f ca="1">IFERROR(OFFSET(貼付け_2027実績,$A328,AQ$1+2),"")</f>
        <v/>
      </c>
      <c r="AR328" s="789" t="str">
        <f ca="1">IFERROR(OFFSET(貼付け_2024実績,$A328,AR$1+2),"")</f>
        <v/>
      </c>
      <c r="AS328" s="789" t="str">
        <f ca="1">IFERROR(OFFSET(貼付け_2025実績,$A328,AS$1+2),"")</f>
        <v/>
      </c>
      <c r="AT328" s="789" t="str">
        <f ca="1">IFERROR(OFFSET(貼付け_2026実績,$A328,AT$1+2),"")</f>
        <v/>
      </c>
      <c r="AU328" s="789" t="str">
        <f ca="1">IFERROR(OFFSET(貼付け_2027実績,$A328,AU$1+2),"")</f>
        <v/>
      </c>
      <c r="AV328" s="789" t="str">
        <f ca="1">IFERROR(OFFSET(貼付け_2024実績,$A328,AV$1+2),"")</f>
        <v/>
      </c>
      <c r="AW328" s="789" t="str">
        <f ca="1">IFERROR(OFFSET(貼付け_2025実績,$A328,AW$1+2),"")</f>
        <v/>
      </c>
      <c r="AX328" s="789" t="str">
        <f ca="1">IFERROR(OFFSET(貼付け_2026実績,$A328,AX$1+2),"")</f>
        <v/>
      </c>
      <c r="AY328" s="789" t="str">
        <f ca="1">IFERROR(OFFSET(貼付け_2027実績,$A328,AY$1+2),"")</f>
        <v/>
      </c>
      <c r="AZ328" s="789" t="str">
        <f ca="1">IFERROR(OFFSET(貼付け_2024実績,$A328,AZ$1+2),"")</f>
        <v/>
      </c>
      <c r="BA328" s="789" t="str">
        <f ca="1">IFERROR(OFFSET(貼付け_2025実績,$A328,BA$1+2),"")</f>
        <v/>
      </c>
      <c r="BB328" s="789" t="str">
        <f ca="1">IFERROR(OFFSET(貼付け_2026実績,$A328,BB$1+2),"")</f>
        <v/>
      </c>
      <c r="BC328" s="789" t="str">
        <f ca="1">IFERROR(OFFSET(貼付け_2027実績,$A328,BC$1+2),"")</f>
        <v/>
      </c>
      <c r="BD328" s="789" t="str">
        <f ca="1">IFERROR(OFFSET(貼付け_2024実績,$A328,BD$1+2),"")</f>
        <v/>
      </c>
      <c r="BE328" s="789" t="str">
        <f ca="1">IFERROR(OFFSET(貼付け_2025実績,$A328,BE$1+2),"")</f>
        <v/>
      </c>
      <c r="BF328" s="789" t="str">
        <f ca="1">IFERROR(OFFSET(貼付け_2026実績,$A328,BF$1+2),"")</f>
        <v/>
      </c>
      <c r="BG328" s="789" t="str">
        <f ca="1">IFERROR(OFFSET(貼付け_2027実績,$A328,BG$1+2),"")</f>
        <v/>
      </c>
      <c r="BH328" s="789" t="str">
        <f ca="1">IFERROR(OFFSET(貼付け_2024実績,$A328,BH$1+2),"")</f>
        <v/>
      </c>
      <c r="BI328" s="789" t="str">
        <f ca="1">IFERROR(OFFSET(貼付け_2025実績,$A328,BI$1+2),"")</f>
        <v/>
      </c>
      <c r="BJ328" s="789" t="str">
        <f ca="1">IFERROR(OFFSET(貼付け_2026実績,$A328,BJ$1+2),"")</f>
        <v/>
      </c>
      <c r="BK328" s="789" t="str">
        <f ca="1">IFERROR(OFFSET(貼付け_2027実績,$A328,BK$1+2),"")</f>
        <v/>
      </c>
      <c r="BL328" s="789" t="str">
        <f ca="1">IFERROR(OFFSET(貼付け_2024実績,$A328,BL$1+2),"")</f>
        <v/>
      </c>
      <c r="BM328" s="789" t="str">
        <f ca="1">IFERROR(OFFSET(貼付け_2025実績,$A328,BM$1+2),"")</f>
        <v/>
      </c>
      <c r="BN328" s="789" t="str">
        <f ca="1">IFERROR(OFFSET(貼付け_2026実績,$A328,BN$1+2),"")</f>
        <v/>
      </c>
      <c r="BO328" s="789" t="str">
        <f ca="1">IFERROR(OFFSET(貼付け_2027実績,$A328,BO$1+2),"")</f>
        <v/>
      </c>
      <c r="BP328" s="802"/>
    </row>
    <row r="329" spans="1:68" ht="20.100000000000001" customHeight="1">
      <c r="A329" s="784">
        <v>90</v>
      </c>
      <c r="B329" s="1594"/>
      <c r="C329" s="1625"/>
      <c r="D329" s="814" t="s">
        <v>798</v>
      </c>
      <c r="E329" s="785"/>
      <c r="F329" s="836"/>
      <c r="G329" s="787" t="s">
        <v>463</v>
      </c>
      <c r="H329" s="907"/>
      <c r="I329" s="907"/>
      <c r="J329" s="907"/>
      <c r="K329" s="907"/>
      <c r="L329" s="908"/>
      <c r="M329" s="908"/>
      <c r="N329" s="908"/>
      <c r="O329" s="908"/>
      <c r="P329" s="908"/>
      <c r="Q329" s="908"/>
      <c r="R329" s="908"/>
      <c r="S329" s="908"/>
      <c r="T329" s="908"/>
      <c r="U329" s="908"/>
      <c r="V329" s="908"/>
      <c r="W329" s="908"/>
      <c r="X329" s="908"/>
      <c r="Y329" s="908"/>
      <c r="Z329" s="908"/>
      <c r="AA329" s="908"/>
      <c r="AB329" s="908"/>
      <c r="AC329" s="908"/>
      <c r="AD329" s="908"/>
      <c r="AE329" s="908"/>
      <c r="AF329" s="908"/>
      <c r="AG329" s="908"/>
      <c r="AH329" s="908"/>
      <c r="AI329" s="908"/>
      <c r="AJ329" s="908"/>
      <c r="AK329" s="908"/>
      <c r="AL329" s="908"/>
      <c r="AM329" s="908"/>
      <c r="AN329" s="908"/>
      <c r="AO329" s="908"/>
      <c r="AP329" s="908"/>
      <c r="AQ329" s="908"/>
      <c r="AR329" s="908"/>
      <c r="AS329" s="908"/>
      <c r="AT329" s="908"/>
      <c r="AU329" s="908"/>
      <c r="AV329" s="908"/>
      <c r="AW329" s="908"/>
      <c r="AX329" s="908"/>
      <c r="AY329" s="908"/>
      <c r="AZ329" s="908"/>
      <c r="BA329" s="908"/>
      <c r="BB329" s="908"/>
      <c r="BC329" s="908"/>
      <c r="BD329" s="908"/>
      <c r="BE329" s="908"/>
      <c r="BF329" s="908"/>
      <c r="BG329" s="908"/>
      <c r="BH329" s="908"/>
      <c r="BI329" s="908"/>
      <c r="BJ329" s="908"/>
      <c r="BK329" s="908"/>
      <c r="BL329" s="908"/>
      <c r="BM329" s="908"/>
      <c r="BN329" s="908"/>
      <c r="BO329" s="908"/>
      <c r="BP329" s="802"/>
    </row>
    <row r="330" spans="1:68" ht="20.100000000000001" customHeight="1">
      <c r="A330" s="784">
        <v>91</v>
      </c>
      <c r="B330" s="1594"/>
      <c r="C330" s="1625"/>
      <c r="D330" s="1628" t="s">
        <v>799</v>
      </c>
      <c r="E330" s="838" t="str">
        <f ca="1">E83</f>
        <v/>
      </c>
      <c r="F330" s="839"/>
      <c r="G330" s="787" t="s">
        <v>462</v>
      </c>
      <c r="H330" s="909">
        <f ca="1">H83</f>
        <v>0</v>
      </c>
      <c r="I330" s="909">
        <f ca="1">I83</f>
        <v>0</v>
      </c>
      <c r="J330" s="909">
        <f ca="1">J83</f>
        <v>0</v>
      </c>
      <c r="K330" s="909">
        <f ca="1">K83</f>
        <v>0</v>
      </c>
      <c r="L330" s="789">
        <f t="shared" ref="L330:O330" ca="1" si="579">P330+T330</f>
        <v>0</v>
      </c>
      <c r="M330" s="789">
        <f t="shared" ca="1" si="579"/>
        <v>0</v>
      </c>
      <c r="N330" s="789">
        <f t="shared" ca="1" si="579"/>
        <v>0</v>
      </c>
      <c r="O330" s="789">
        <f t="shared" ca="1" si="579"/>
        <v>0</v>
      </c>
      <c r="P330" s="789">
        <f ca="1">SUM(SUMIFS(OFFSET(貼付け_2024実績,$A330,11,1,199),OFFSET(貼付け_2024実績,4,9,1,199),{"横浜*","川崎*"}))</f>
        <v>0</v>
      </c>
      <c r="Q330" s="789">
        <f ca="1">SUM(SUMIFS(OFFSET(貼付け_2025実績,$A330,11,1,199),OFFSET(貼付け_2025実績,4,9,1,199),{"横浜*","川崎*"}))</f>
        <v>0</v>
      </c>
      <c r="R330" s="789">
        <f ca="1">SUM(SUMIFS(OFFSET(貼付け_2026実績,$A330,11,1,199),OFFSET(貼付け_2026実績,4,9,1,199),{"横浜*","川崎*"}))</f>
        <v>0</v>
      </c>
      <c r="S330" s="789">
        <f ca="1">SUM(SUMIFS(OFFSET(貼付け_2027実績,$A330,11,1,199),OFFSET(貼付け_2027実績,4,9,1,199),{"横浜*","川崎*"}))</f>
        <v>0</v>
      </c>
      <c r="T330" s="789">
        <f t="shared" ref="T330:W330" ca="1" si="580">SUM(X330,AB330,AF330,AJ330,AN330,AR330,AV330,AZ330,BD330,BH330,BL330)</f>
        <v>0</v>
      </c>
      <c r="U330" s="789">
        <f t="shared" ca="1" si="580"/>
        <v>0</v>
      </c>
      <c r="V330" s="789">
        <f t="shared" ca="1" si="580"/>
        <v>0</v>
      </c>
      <c r="W330" s="789">
        <f t="shared" ca="1" si="580"/>
        <v>0</v>
      </c>
      <c r="X330" s="789">
        <f ca="1">SUMIFS(OFFSET(貼付け_2024実績,$A330,11,1,199),OFFSET(貼付け_2024実績,4,9,1,199),"県域*")</f>
        <v>0</v>
      </c>
      <c r="Y330" s="789">
        <f ca="1">SUMIFS(OFFSET(貼付け_2025実績,$A330,11,1,199),OFFSET(貼付け_2025実績,4,9,1,199),"県域*")</f>
        <v>0</v>
      </c>
      <c r="Z330" s="789">
        <f ca="1">SUMIFS(OFFSET(貼付け_2026実績,$A330,11,1,199),OFFSET(貼付け_2026実績,4,9,1,199),"県域*")</f>
        <v>0</v>
      </c>
      <c r="AA330" s="789">
        <f ca="1">SUMIFS(OFFSET(貼付け_2027実績,$A330,11,1,199),OFFSET(貼付け_2027実績,4,9,1,199),"県域*")</f>
        <v>0</v>
      </c>
      <c r="AB330" s="789" t="str">
        <f ca="1">IFERROR(OFFSET(貼付け_2024実績,$A330,AB$1+2),"")</f>
        <v/>
      </c>
      <c r="AC330" s="789" t="str">
        <f ca="1">IFERROR(OFFSET(貼付け_2025実績,$A330,AC$1+2),"")</f>
        <v/>
      </c>
      <c r="AD330" s="789" t="str">
        <f ca="1">IFERROR(OFFSET(貼付け_2026実績,$A330,AD$1+2),"")</f>
        <v/>
      </c>
      <c r="AE330" s="789" t="str">
        <f ca="1">IFERROR(OFFSET(貼付け_2027実績,$A330,AE$1+2),"")</f>
        <v/>
      </c>
      <c r="AF330" s="789" t="str">
        <f ca="1">IFERROR(OFFSET(貼付け_2024実績,$A330,AF$1+2),"")</f>
        <v/>
      </c>
      <c r="AG330" s="789" t="str">
        <f ca="1">IFERROR(OFFSET(貼付け_2025実績,$A330,AG$1+2),"")</f>
        <v/>
      </c>
      <c r="AH330" s="789" t="str">
        <f ca="1">IFERROR(OFFSET(貼付け_2026実績,$A330,AH$1+2),"")</f>
        <v/>
      </c>
      <c r="AI330" s="789" t="str">
        <f ca="1">IFERROR(OFFSET(貼付け_2027実績,$A330,AI$1+2),"")</f>
        <v/>
      </c>
      <c r="AJ330" s="789" t="str">
        <f ca="1">IFERROR(OFFSET(貼付け_2024実績,$A330,AJ$1+2),"")</f>
        <v/>
      </c>
      <c r="AK330" s="789" t="str">
        <f ca="1">IFERROR(OFFSET(貼付け_2025実績,$A330,AK$1+2),"")</f>
        <v/>
      </c>
      <c r="AL330" s="789" t="str">
        <f ca="1">IFERROR(OFFSET(貼付け_2026実績,$A330,AL$1+2),"")</f>
        <v/>
      </c>
      <c r="AM330" s="789" t="str">
        <f ca="1">IFERROR(OFFSET(貼付け_2027実績,$A330,AM$1+2),"")</f>
        <v/>
      </c>
      <c r="AN330" s="789" t="str">
        <f ca="1">IFERROR(OFFSET(貼付け_2024実績,$A330,AN$1+2),"")</f>
        <v/>
      </c>
      <c r="AO330" s="789" t="str">
        <f ca="1">IFERROR(OFFSET(貼付け_2025実績,$A330,AO$1+2),"")</f>
        <v/>
      </c>
      <c r="AP330" s="789" t="str">
        <f ca="1">IFERROR(OFFSET(貼付け_2026実績,$A330,AP$1+2),"")</f>
        <v/>
      </c>
      <c r="AQ330" s="789" t="str">
        <f ca="1">IFERROR(OFFSET(貼付け_2027実績,$A330,AQ$1+2),"")</f>
        <v/>
      </c>
      <c r="AR330" s="789" t="str">
        <f ca="1">IFERROR(OFFSET(貼付け_2024実績,$A330,AR$1+2),"")</f>
        <v/>
      </c>
      <c r="AS330" s="789" t="str">
        <f ca="1">IFERROR(OFFSET(貼付け_2025実績,$A330,AS$1+2),"")</f>
        <v/>
      </c>
      <c r="AT330" s="789" t="str">
        <f ca="1">IFERROR(OFFSET(貼付け_2026実績,$A330,AT$1+2),"")</f>
        <v/>
      </c>
      <c r="AU330" s="789" t="str">
        <f ca="1">IFERROR(OFFSET(貼付け_2027実績,$A330,AU$1+2),"")</f>
        <v/>
      </c>
      <c r="AV330" s="789" t="str">
        <f ca="1">IFERROR(OFFSET(貼付け_2024実績,$A330,AV$1+2),"")</f>
        <v/>
      </c>
      <c r="AW330" s="789" t="str">
        <f ca="1">IFERROR(OFFSET(貼付け_2025実績,$A330,AW$1+2),"")</f>
        <v/>
      </c>
      <c r="AX330" s="789" t="str">
        <f ca="1">IFERROR(OFFSET(貼付け_2026実績,$A330,AX$1+2),"")</f>
        <v/>
      </c>
      <c r="AY330" s="789" t="str">
        <f ca="1">IFERROR(OFFSET(貼付け_2027実績,$A330,AY$1+2),"")</f>
        <v/>
      </c>
      <c r="AZ330" s="789" t="str">
        <f ca="1">IFERROR(OFFSET(貼付け_2024実績,$A330,AZ$1+2),"")</f>
        <v/>
      </c>
      <c r="BA330" s="789" t="str">
        <f ca="1">IFERROR(OFFSET(貼付け_2025実績,$A330,BA$1+2),"")</f>
        <v/>
      </c>
      <c r="BB330" s="789" t="str">
        <f ca="1">IFERROR(OFFSET(貼付け_2026実績,$A330,BB$1+2),"")</f>
        <v/>
      </c>
      <c r="BC330" s="789" t="str">
        <f ca="1">IFERROR(OFFSET(貼付け_2027実績,$A330,BC$1+2),"")</f>
        <v/>
      </c>
      <c r="BD330" s="789" t="str">
        <f ca="1">IFERROR(OFFSET(貼付け_2024実績,$A330,BD$1+2),"")</f>
        <v/>
      </c>
      <c r="BE330" s="789" t="str">
        <f ca="1">IFERROR(OFFSET(貼付け_2025実績,$A330,BE$1+2),"")</f>
        <v/>
      </c>
      <c r="BF330" s="789" t="str">
        <f ca="1">IFERROR(OFFSET(貼付け_2026実績,$A330,BF$1+2),"")</f>
        <v/>
      </c>
      <c r="BG330" s="789" t="str">
        <f ca="1">IFERROR(OFFSET(貼付け_2027実績,$A330,BG$1+2),"")</f>
        <v/>
      </c>
      <c r="BH330" s="789" t="str">
        <f ca="1">IFERROR(OFFSET(貼付け_2024実績,$A330,BH$1+2),"")</f>
        <v/>
      </c>
      <c r="BI330" s="789" t="str">
        <f ca="1">IFERROR(OFFSET(貼付け_2025実績,$A330,BI$1+2),"")</f>
        <v/>
      </c>
      <c r="BJ330" s="789" t="str">
        <f ca="1">IFERROR(OFFSET(貼付け_2026実績,$A330,BJ$1+2),"")</f>
        <v/>
      </c>
      <c r="BK330" s="789" t="str">
        <f ca="1">IFERROR(OFFSET(貼付け_2027実績,$A330,BK$1+2),"")</f>
        <v/>
      </c>
      <c r="BL330" s="789" t="str">
        <f ca="1">IFERROR(OFFSET(貼付け_2024実績,$A330,BL$1+2),"")</f>
        <v/>
      </c>
      <c r="BM330" s="789" t="str">
        <f ca="1">IFERROR(OFFSET(貼付け_2025実績,$A330,BM$1+2),"")</f>
        <v/>
      </c>
      <c r="BN330" s="789" t="str">
        <f ca="1">IFERROR(OFFSET(貼付け_2026実績,$A330,BN$1+2),"")</f>
        <v/>
      </c>
      <c r="BO330" s="789" t="str">
        <f ca="1">IFERROR(OFFSET(貼付け_2027実績,$A330,BO$1+2),"")</f>
        <v/>
      </c>
      <c r="BP330" s="802"/>
    </row>
    <row r="331" spans="1:68" ht="20.100000000000001" customHeight="1">
      <c r="A331" s="784">
        <v>92</v>
      </c>
      <c r="B331" s="1594"/>
      <c r="C331" s="1625"/>
      <c r="D331" s="1629"/>
      <c r="E331" s="840"/>
      <c r="F331" s="841"/>
      <c r="G331" s="787" t="s">
        <v>463</v>
      </c>
      <c r="H331" s="907"/>
      <c r="I331" s="907"/>
      <c r="J331" s="907"/>
      <c r="K331" s="907"/>
      <c r="L331" s="908"/>
      <c r="M331" s="908"/>
      <c r="N331" s="908"/>
      <c r="O331" s="908"/>
      <c r="P331" s="908"/>
      <c r="Q331" s="908"/>
      <c r="R331" s="908"/>
      <c r="S331" s="908"/>
      <c r="T331" s="908"/>
      <c r="U331" s="908"/>
      <c r="V331" s="908"/>
      <c r="W331" s="908"/>
      <c r="X331" s="908"/>
      <c r="Y331" s="908"/>
      <c r="Z331" s="908"/>
      <c r="AA331" s="908"/>
      <c r="AB331" s="908"/>
      <c r="AC331" s="908"/>
      <c r="AD331" s="908"/>
      <c r="AE331" s="908"/>
      <c r="AF331" s="908"/>
      <c r="AG331" s="908"/>
      <c r="AH331" s="908"/>
      <c r="AI331" s="908"/>
      <c r="AJ331" s="908"/>
      <c r="AK331" s="908"/>
      <c r="AL331" s="908"/>
      <c r="AM331" s="908"/>
      <c r="AN331" s="908"/>
      <c r="AO331" s="908"/>
      <c r="AP331" s="908"/>
      <c r="AQ331" s="908"/>
      <c r="AR331" s="908"/>
      <c r="AS331" s="908"/>
      <c r="AT331" s="908"/>
      <c r="AU331" s="908"/>
      <c r="AV331" s="908"/>
      <c r="AW331" s="908"/>
      <c r="AX331" s="908"/>
      <c r="AY331" s="908"/>
      <c r="AZ331" s="908"/>
      <c r="BA331" s="908"/>
      <c r="BB331" s="908"/>
      <c r="BC331" s="908"/>
      <c r="BD331" s="908"/>
      <c r="BE331" s="908"/>
      <c r="BF331" s="908"/>
      <c r="BG331" s="908"/>
      <c r="BH331" s="908"/>
      <c r="BI331" s="908"/>
      <c r="BJ331" s="908"/>
      <c r="BK331" s="908"/>
      <c r="BL331" s="908"/>
      <c r="BM331" s="908"/>
      <c r="BN331" s="908"/>
      <c r="BO331" s="908"/>
      <c r="BP331" s="802"/>
    </row>
    <row r="332" spans="1:68" ht="20.100000000000001" customHeight="1">
      <c r="A332" s="784">
        <v>93</v>
      </c>
      <c r="B332" s="1594"/>
      <c r="C332" s="1625"/>
      <c r="D332" s="1628" t="s">
        <v>800</v>
      </c>
      <c r="E332" s="838" t="str">
        <f ca="1">E85</f>
        <v/>
      </c>
      <c r="F332" s="839"/>
      <c r="G332" s="787" t="s">
        <v>462</v>
      </c>
      <c r="H332" s="909">
        <f ca="1">H85</f>
        <v>0</v>
      </c>
      <c r="I332" s="909">
        <f ca="1">I85</f>
        <v>0</v>
      </c>
      <c r="J332" s="909">
        <f ca="1">J85</f>
        <v>0</v>
      </c>
      <c r="K332" s="909">
        <f ca="1">K85</f>
        <v>0</v>
      </c>
      <c r="L332" s="789">
        <f t="shared" ref="L332:O332" ca="1" si="581">P332+T332</f>
        <v>0</v>
      </c>
      <c r="M332" s="789">
        <f t="shared" ca="1" si="581"/>
        <v>0</v>
      </c>
      <c r="N332" s="789">
        <f t="shared" ca="1" si="581"/>
        <v>0</v>
      </c>
      <c r="O332" s="789">
        <f t="shared" ca="1" si="581"/>
        <v>0</v>
      </c>
      <c r="P332" s="789">
        <f ca="1">SUM(SUMIFS(OFFSET(貼付け_2024実績,$A332,11,1,199),OFFSET(貼付け_2024実績,4,9,1,199),{"横浜*","川崎*"}))</f>
        <v>0</v>
      </c>
      <c r="Q332" s="789">
        <f ca="1">SUM(SUMIFS(OFFSET(貼付け_2025実績,$A332,11,1,199),OFFSET(貼付け_2025実績,4,9,1,199),{"横浜*","川崎*"}))</f>
        <v>0</v>
      </c>
      <c r="R332" s="789">
        <f ca="1">SUM(SUMIFS(OFFSET(貼付け_2026実績,$A332,11,1,199),OFFSET(貼付け_2026実績,4,9,1,199),{"横浜*","川崎*"}))</f>
        <v>0</v>
      </c>
      <c r="S332" s="789">
        <f ca="1">SUM(SUMIFS(OFFSET(貼付け_2027実績,$A332,11,1,199),OFFSET(貼付け_2027実績,4,9,1,199),{"横浜*","川崎*"}))</f>
        <v>0</v>
      </c>
      <c r="T332" s="789">
        <f t="shared" ref="T332:W332" ca="1" si="582">SUM(X332,AB332,AF332,AJ332,AN332,AR332,AV332,AZ332,BD332,BH332,BL332)</f>
        <v>0</v>
      </c>
      <c r="U332" s="789">
        <f t="shared" ca="1" si="582"/>
        <v>0</v>
      </c>
      <c r="V332" s="789">
        <f t="shared" ca="1" si="582"/>
        <v>0</v>
      </c>
      <c r="W332" s="789">
        <f t="shared" ca="1" si="582"/>
        <v>0</v>
      </c>
      <c r="X332" s="789">
        <f ca="1">SUMIFS(OFFSET(貼付け_2024実績,$A332,11,1,199),OFFSET(貼付け_2024実績,4,9,1,199),"県域*")</f>
        <v>0</v>
      </c>
      <c r="Y332" s="789">
        <f ca="1">SUMIFS(OFFSET(貼付け_2025実績,$A332,11,1,199),OFFSET(貼付け_2025実績,4,9,1,199),"県域*")</f>
        <v>0</v>
      </c>
      <c r="Z332" s="789">
        <f ca="1">SUMIFS(OFFSET(貼付け_2026実績,$A332,11,1,199),OFFSET(貼付け_2026実績,4,9,1,199),"県域*")</f>
        <v>0</v>
      </c>
      <c r="AA332" s="789">
        <f ca="1">SUMIFS(OFFSET(貼付け_2027実績,$A332,11,1,199),OFFSET(貼付け_2027実績,4,9,1,199),"県域*")</f>
        <v>0</v>
      </c>
      <c r="AB332" s="789" t="str">
        <f ca="1">IFERROR(OFFSET(貼付け_2024実績,$A332,AB$1+2),"")</f>
        <v/>
      </c>
      <c r="AC332" s="789" t="str">
        <f ca="1">IFERROR(OFFSET(貼付け_2025実績,$A332,AC$1+2),"")</f>
        <v/>
      </c>
      <c r="AD332" s="789" t="str">
        <f ca="1">IFERROR(OFFSET(貼付け_2026実績,$A332,AD$1+2),"")</f>
        <v/>
      </c>
      <c r="AE332" s="789" t="str">
        <f ca="1">IFERROR(OFFSET(貼付け_2027実績,$A332,AE$1+2),"")</f>
        <v/>
      </c>
      <c r="AF332" s="789" t="str">
        <f ca="1">IFERROR(OFFSET(貼付け_2024実績,$A332,AF$1+2),"")</f>
        <v/>
      </c>
      <c r="AG332" s="789" t="str">
        <f ca="1">IFERROR(OFFSET(貼付け_2025実績,$A332,AG$1+2),"")</f>
        <v/>
      </c>
      <c r="AH332" s="789" t="str">
        <f ca="1">IFERROR(OFFSET(貼付け_2026実績,$A332,AH$1+2),"")</f>
        <v/>
      </c>
      <c r="AI332" s="789" t="str">
        <f ca="1">IFERROR(OFFSET(貼付け_2027実績,$A332,AI$1+2),"")</f>
        <v/>
      </c>
      <c r="AJ332" s="789" t="str">
        <f ca="1">IFERROR(OFFSET(貼付け_2024実績,$A332,AJ$1+2),"")</f>
        <v/>
      </c>
      <c r="AK332" s="789" t="str">
        <f ca="1">IFERROR(OFFSET(貼付け_2025実績,$A332,AK$1+2),"")</f>
        <v/>
      </c>
      <c r="AL332" s="789" t="str">
        <f ca="1">IFERROR(OFFSET(貼付け_2026実績,$A332,AL$1+2),"")</f>
        <v/>
      </c>
      <c r="AM332" s="789" t="str">
        <f ca="1">IFERROR(OFFSET(貼付け_2027実績,$A332,AM$1+2),"")</f>
        <v/>
      </c>
      <c r="AN332" s="789" t="str">
        <f ca="1">IFERROR(OFFSET(貼付け_2024実績,$A332,AN$1+2),"")</f>
        <v/>
      </c>
      <c r="AO332" s="789" t="str">
        <f ca="1">IFERROR(OFFSET(貼付け_2025実績,$A332,AO$1+2),"")</f>
        <v/>
      </c>
      <c r="AP332" s="789" t="str">
        <f ca="1">IFERROR(OFFSET(貼付け_2026実績,$A332,AP$1+2),"")</f>
        <v/>
      </c>
      <c r="AQ332" s="789" t="str">
        <f ca="1">IFERROR(OFFSET(貼付け_2027実績,$A332,AQ$1+2),"")</f>
        <v/>
      </c>
      <c r="AR332" s="789" t="str">
        <f ca="1">IFERROR(OFFSET(貼付け_2024実績,$A332,AR$1+2),"")</f>
        <v/>
      </c>
      <c r="AS332" s="789" t="str">
        <f ca="1">IFERROR(OFFSET(貼付け_2025実績,$A332,AS$1+2),"")</f>
        <v/>
      </c>
      <c r="AT332" s="789" t="str">
        <f ca="1">IFERROR(OFFSET(貼付け_2026実績,$A332,AT$1+2),"")</f>
        <v/>
      </c>
      <c r="AU332" s="789" t="str">
        <f ca="1">IFERROR(OFFSET(貼付け_2027実績,$A332,AU$1+2),"")</f>
        <v/>
      </c>
      <c r="AV332" s="789" t="str">
        <f ca="1">IFERROR(OFFSET(貼付け_2024実績,$A332,AV$1+2),"")</f>
        <v/>
      </c>
      <c r="AW332" s="789" t="str">
        <f ca="1">IFERROR(OFFSET(貼付け_2025実績,$A332,AW$1+2),"")</f>
        <v/>
      </c>
      <c r="AX332" s="789" t="str">
        <f ca="1">IFERROR(OFFSET(貼付け_2026実績,$A332,AX$1+2),"")</f>
        <v/>
      </c>
      <c r="AY332" s="789" t="str">
        <f ca="1">IFERROR(OFFSET(貼付け_2027実績,$A332,AY$1+2),"")</f>
        <v/>
      </c>
      <c r="AZ332" s="789" t="str">
        <f ca="1">IFERROR(OFFSET(貼付け_2024実績,$A332,AZ$1+2),"")</f>
        <v/>
      </c>
      <c r="BA332" s="789" t="str">
        <f ca="1">IFERROR(OFFSET(貼付け_2025実績,$A332,BA$1+2),"")</f>
        <v/>
      </c>
      <c r="BB332" s="789" t="str">
        <f ca="1">IFERROR(OFFSET(貼付け_2026実績,$A332,BB$1+2),"")</f>
        <v/>
      </c>
      <c r="BC332" s="789" t="str">
        <f ca="1">IFERROR(OFFSET(貼付け_2027実績,$A332,BC$1+2),"")</f>
        <v/>
      </c>
      <c r="BD332" s="789" t="str">
        <f ca="1">IFERROR(OFFSET(貼付け_2024実績,$A332,BD$1+2),"")</f>
        <v/>
      </c>
      <c r="BE332" s="789" t="str">
        <f ca="1">IFERROR(OFFSET(貼付け_2025実績,$A332,BE$1+2),"")</f>
        <v/>
      </c>
      <c r="BF332" s="789" t="str">
        <f ca="1">IFERROR(OFFSET(貼付け_2026実績,$A332,BF$1+2),"")</f>
        <v/>
      </c>
      <c r="BG332" s="789" t="str">
        <f ca="1">IFERROR(OFFSET(貼付け_2027実績,$A332,BG$1+2),"")</f>
        <v/>
      </c>
      <c r="BH332" s="789" t="str">
        <f ca="1">IFERROR(OFFSET(貼付け_2024実績,$A332,BH$1+2),"")</f>
        <v/>
      </c>
      <c r="BI332" s="789" t="str">
        <f ca="1">IFERROR(OFFSET(貼付け_2025実績,$A332,BI$1+2),"")</f>
        <v/>
      </c>
      <c r="BJ332" s="789" t="str">
        <f ca="1">IFERROR(OFFSET(貼付け_2026実績,$A332,BJ$1+2),"")</f>
        <v/>
      </c>
      <c r="BK332" s="789" t="str">
        <f ca="1">IFERROR(OFFSET(貼付け_2027実績,$A332,BK$1+2),"")</f>
        <v/>
      </c>
      <c r="BL332" s="789" t="str">
        <f ca="1">IFERROR(OFFSET(貼付け_2024実績,$A332,BL$1+2),"")</f>
        <v/>
      </c>
      <c r="BM332" s="789" t="str">
        <f ca="1">IFERROR(OFFSET(貼付け_2025実績,$A332,BM$1+2),"")</f>
        <v/>
      </c>
      <c r="BN332" s="789" t="str">
        <f ca="1">IFERROR(OFFSET(貼付け_2026実績,$A332,BN$1+2),"")</f>
        <v/>
      </c>
      <c r="BO332" s="789" t="str">
        <f ca="1">IFERROR(OFFSET(貼付け_2027実績,$A332,BO$1+2),"")</f>
        <v/>
      </c>
      <c r="BP332" s="802"/>
    </row>
    <row r="333" spans="1:68" ht="20.100000000000001" customHeight="1">
      <c r="A333" s="784">
        <v>94</v>
      </c>
      <c r="B333" s="1594"/>
      <c r="C333" s="1625"/>
      <c r="D333" s="1629"/>
      <c r="E333" s="840"/>
      <c r="F333" s="841"/>
      <c r="G333" s="787" t="s">
        <v>463</v>
      </c>
      <c r="H333" s="907"/>
      <c r="I333" s="907"/>
      <c r="J333" s="907"/>
      <c r="K333" s="907"/>
      <c r="L333" s="908"/>
      <c r="M333" s="908"/>
      <c r="N333" s="908"/>
      <c r="O333" s="908"/>
      <c r="P333" s="908"/>
      <c r="Q333" s="908"/>
      <c r="R333" s="908"/>
      <c r="S333" s="908"/>
      <c r="T333" s="908"/>
      <c r="U333" s="908"/>
      <c r="V333" s="908"/>
      <c r="W333" s="908"/>
      <c r="X333" s="908"/>
      <c r="Y333" s="908"/>
      <c r="Z333" s="908"/>
      <c r="AA333" s="908"/>
      <c r="AB333" s="908"/>
      <c r="AC333" s="908"/>
      <c r="AD333" s="908"/>
      <c r="AE333" s="908"/>
      <c r="AF333" s="908"/>
      <c r="AG333" s="908"/>
      <c r="AH333" s="908"/>
      <c r="AI333" s="908"/>
      <c r="AJ333" s="908"/>
      <c r="AK333" s="908"/>
      <c r="AL333" s="908"/>
      <c r="AM333" s="908"/>
      <c r="AN333" s="908"/>
      <c r="AO333" s="908"/>
      <c r="AP333" s="908"/>
      <c r="AQ333" s="908"/>
      <c r="AR333" s="908"/>
      <c r="AS333" s="908"/>
      <c r="AT333" s="908"/>
      <c r="AU333" s="908"/>
      <c r="AV333" s="908"/>
      <c r="AW333" s="908"/>
      <c r="AX333" s="908"/>
      <c r="AY333" s="908"/>
      <c r="AZ333" s="908"/>
      <c r="BA333" s="908"/>
      <c r="BB333" s="908"/>
      <c r="BC333" s="908"/>
      <c r="BD333" s="908"/>
      <c r="BE333" s="908"/>
      <c r="BF333" s="908"/>
      <c r="BG333" s="908"/>
      <c r="BH333" s="908"/>
      <c r="BI333" s="908"/>
      <c r="BJ333" s="908"/>
      <c r="BK333" s="908"/>
      <c r="BL333" s="908"/>
      <c r="BM333" s="908"/>
      <c r="BN333" s="908"/>
      <c r="BO333" s="908"/>
      <c r="BP333" s="802"/>
    </row>
    <row r="334" spans="1:68" ht="20.100000000000001" customHeight="1">
      <c r="A334" s="784">
        <v>95</v>
      </c>
      <c r="B334" s="1594"/>
      <c r="C334" s="1625"/>
      <c r="D334" s="814" t="s">
        <v>412</v>
      </c>
      <c r="E334" s="792" t="str">
        <f ca="1">E87</f>
        <v/>
      </c>
      <c r="F334" s="786" t="s">
        <v>879</v>
      </c>
      <c r="G334" s="787" t="s">
        <v>462</v>
      </c>
      <c r="H334" s="909">
        <f t="shared" ref="H334:K336" ca="1" si="583">H87</f>
        <v>8.64</v>
      </c>
      <c r="I334" s="858">
        <f t="shared" ca="1" si="583"/>
        <v>8.64</v>
      </c>
      <c r="J334" s="858">
        <f t="shared" ca="1" si="583"/>
        <v>8.64</v>
      </c>
      <c r="K334" s="858">
        <f t="shared" ca="1" si="583"/>
        <v>8.64</v>
      </c>
      <c r="L334" s="789">
        <f t="shared" ref="L334:O337" ca="1" si="584">P334+T334</f>
        <v>0</v>
      </c>
      <c r="M334" s="789">
        <f t="shared" ca="1" si="584"/>
        <v>0</v>
      </c>
      <c r="N334" s="789">
        <f t="shared" ca="1" si="584"/>
        <v>0</v>
      </c>
      <c r="O334" s="789">
        <f t="shared" ca="1" si="584"/>
        <v>0</v>
      </c>
      <c r="P334" s="789">
        <f ca="1">SUM(SUMIFS(OFFSET(貼付け_2024実績,$A334,11,1,199),OFFSET(貼付け_2024実績,4,9,1,199),{"横浜*","川崎*"}))</f>
        <v>0</v>
      </c>
      <c r="Q334" s="789">
        <f ca="1">SUM(SUMIFS(OFFSET(貼付け_2025実績,$A334,11,1,199),OFFSET(貼付け_2025実績,4,9,1,199),{"横浜*","川崎*"}))</f>
        <v>0</v>
      </c>
      <c r="R334" s="789">
        <f ca="1">SUM(SUMIFS(OFFSET(貼付け_2026実績,$A334,11,1,199),OFFSET(貼付け_2026実績,4,9,1,199),{"横浜*","川崎*"}))</f>
        <v>0</v>
      </c>
      <c r="S334" s="789">
        <f ca="1">SUM(SUMIFS(OFFSET(貼付け_2027実績,$A334,11,1,199),OFFSET(貼付け_2027実績,4,9,1,199),{"横浜*","川崎*"}))</f>
        <v>0</v>
      </c>
      <c r="T334" s="789">
        <f t="shared" ref="T334:W337" ca="1" si="585">SUM(X334,AB334,AF334,AJ334,AN334,AR334,AV334,AZ334,BD334,BH334,BL334)</f>
        <v>0</v>
      </c>
      <c r="U334" s="789">
        <f t="shared" ca="1" si="585"/>
        <v>0</v>
      </c>
      <c r="V334" s="789">
        <f t="shared" ca="1" si="585"/>
        <v>0</v>
      </c>
      <c r="W334" s="789">
        <f t="shared" ca="1" si="585"/>
        <v>0</v>
      </c>
      <c r="X334" s="789">
        <f ca="1">SUMIFS(OFFSET(貼付け_2024実績,$A334,11,1,199),OFFSET(貼付け_2024実績,4,9,1,199),"県域*")</f>
        <v>0</v>
      </c>
      <c r="Y334" s="789">
        <f ca="1">SUMIFS(OFFSET(貼付け_2025実績,$A334,11,1,199),OFFSET(貼付け_2025実績,4,9,1,199),"県域*")</f>
        <v>0</v>
      </c>
      <c r="Z334" s="789">
        <f ca="1">SUMIFS(OFFSET(貼付け_2026実績,$A334,11,1,199),OFFSET(貼付け_2026実績,4,9,1,199),"県域*")</f>
        <v>0</v>
      </c>
      <c r="AA334" s="789">
        <f ca="1">SUMIFS(OFFSET(貼付け_2027実績,$A334,11,1,199),OFFSET(貼付け_2027実績,4,9,1,199),"県域*")</f>
        <v>0</v>
      </c>
      <c r="AB334" s="789" t="str">
        <f ca="1">IFERROR(OFFSET(貼付け_2024実績,$A334,AB$1+2),"")</f>
        <v/>
      </c>
      <c r="AC334" s="789" t="str">
        <f ca="1">IFERROR(OFFSET(貼付け_2025実績,$A334,AC$1+2),"")</f>
        <v/>
      </c>
      <c r="AD334" s="789" t="str">
        <f ca="1">IFERROR(OFFSET(貼付け_2026実績,$A334,AD$1+2),"")</f>
        <v/>
      </c>
      <c r="AE334" s="789" t="str">
        <f ca="1">IFERROR(OFFSET(貼付け_2027実績,$A334,AE$1+2),"")</f>
        <v/>
      </c>
      <c r="AF334" s="789" t="str">
        <f ca="1">IFERROR(OFFSET(貼付け_2024実績,$A334,AF$1+2),"")</f>
        <v/>
      </c>
      <c r="AG334" s="789" t="str">
        <f ca="1">IFERROR(OFFSET(貼付け_2025実績,$A334,AG$1+2),"")</f>
        <v/>
      </c>
      <c r="AH334" s="789" t="str">
        <f ca="1">IFERROR(OFFSET(貼付け_2026実績,$A334,AH$1+2),"")</f>
        <v/>
      </c>
      <c r="AI334" s="789" t="str">
        <f ca="1">IFERROR(OFFSET(貼付け_2027実績,$A334,AI$1+2),"")</f>
        <v/>
      </c>
      <c r="AJ334" s="789" t="str">
        <f ca="1">IFERROR(OFFSET(貼付け_2024実績,$A334,AJ$1+2),"")</f>
        <v/>
      </c>
      <c r="AK334" s="789" t="str">
        <f ca="1">IFERROR(OFFSET(貼付け_2025実績,$A334,AK$1+2),"")</f>
        <v/>
      </c>
      <c r="AL334" s="789" t="str">
        <f ca="1">IFERROR(OFFSET(貼付け_2026実績,$A334,AL$1+2),"")</f>
        <v/>
      </c>
      <c r="AM334" s="789" t="str">
        <f ca="1">IFERROR(OFFSET(貼付け_2027実績,$A334,AM$1+2),"")</f>
        <v/>
      </c>
      <c r="AN334" s="789" t="str">
        <f ca="1">IFERROR(OFFSET(貼付け_2024実績,$A334,AN$1+2),"")</f>
        <v/>
      </c>
      <c r="AO334" s="789" t="str">
        <f ca="1">IFERROR(OFFSET(貼付け_2025実績,$A334,AO$1+2),"")</f>
        <v/>
      </c>
      <c r="AP334" s="789" t="str">
        <f ca="1">IFERROR(OFFSET(貼付け_2026実績,$A334,AP$1+2),"")</f>
        <v/>
      </c>
      <c r="AQ334" s="789" t="str">
        <f ca="1">IFERROR(OFFSET(貼付け_2027実績,$A334,AQ$1+2),"")</f>
        <v/>
      </c>
      <c r="AR334" s="789" t="str">
        <f ca="1">IFERROR(OFFSET(貼付け_2024実績,$A334,AR$1+2),"")</f>
        <v/>
      </c>
      <c r="AS334" s="789" t="str">
        <f ca="1">IFERROR(OFFSET(貼付け_2025実績,$A334,AS$1+2),"")</f>
        <v/>
      </c>
      <c r="AT334" s="789" t="str">
        <f ca="1">IFERROR(OFFSET(貼付け_2026実績,$A334,AT$1+2),"")</f>
        <v/>
      </c>
      <c r="AU334" s="789" t="str">
        <f ca="1">IFERROR(OFFSET(貼付け_2027実績,$A334,AU$1+2),"")</f>
        <v/>
      </c>
      <c r="AV334" s="789" t="str">
        <f ca="1">IFERROR(OFFSET(貼付け_2024実績,$A334,AV$1+2),"")</f>
        <v/>
      </c>
      <c r="AW334" s="789" t="str">
        <f ca="1">IFERROR(OFFSET(貼付け_2025実績,$A334,AW$1+2),"")</f>
        <v/>
      </c>
      <c r="AX334" s="789" t="str">
        <f ca="1">IFERROR(OFFSET(貼付け_2026実績,$A334,AX$1+2),"")</f>
        <v/>
      </c>
      <c r="AY334" s="789" t="str">
        <f ca="1">IFERROR(OFFSET(貼付け_2027実績,$A334,AY$1+2),"")</f>
        <v/>
      </c>
      <c r="AZ334" s="789" t="str">
        <f ca="1">IFERROR(OFFSET(貼付け_2024実績,$A334,AZ$1+2),"")</f>
        <v/>
      </c>
      <c r="BA334" s="789" t="str">
        <f ca="1">IFERROR(OFFSET(貼付け_2025実績,$A334,BA$1+2),"")</f>
        <v/>
      </c>
      <c r="BB334" s="789" t="str">
        <f ca="1">IFERROR(OFFSET(貼付け_2026実績,$A334,BB$1+2),"")</f>
        <v/>
      </c>
      <c r="BC334" s="789" t="str">
        <f ca="1">IFERROR(OFFSET(貼付け_2027実績,$A334,BC$1+2),"")</f>
        <v/>
      </c>
      <c r="BD334" s="789" t="str">
        <f ca="1">IFERROR(OFFSET(貼付け_2024実績,$A334,BD$1+2),"")</f>
        <v/>
      </c>
      <c r="BE334" s="789" t="str">
        <f ca="1">IFERROR(OFFSET(貼付け_2025実績,$A334,BE$1+2),"")</f>
        <v/>
      </c>
      <c r="BF334" s="789" t="str">
        <f ca="1">IFERROR(OFFSET(貼付け_2026実績,$A334,BF$1+2),"")</f>
        <v/>
      </c>
      <c r="BG334" s="789" t="str">
        <f ca="1">IFERROR(OFFSET(貼付け_2027実績,$A334,BG$1+2),"")</f>
        <v/>
      </c>
      <c r="BH334" s="789" t="str">
        <f ca="1">IFERROR(OFFSET(貼付け_2024実績,$A334,BH$1+2),"")</f>
        <v/>
      </c>
      <c r="BI334" s="789" t="str">
        <f ca="1">IFERROR(OFFSET(貼付け_2025実績,$A334,BI$1+2),"")</f>
        <v/>
      </c>
      <c r="BJ334" s="789" t="str">
        <f ca="1">IFERROR(OFFSET(貼付け_2026実績,$A334,BJ$1+2),"")</f>
        <v/>
      </c>
      <c r="BK334" s="789" t="str">
        <f ca="1">IFERROR(OFFSET(貼付け_2027実績,$A334,BK$1+2),"")</f>
        <v/>
      </c>
      <c r="BL334" s="789" t="str">
        <f ca="1">IFERROR(OFFSET(貼付け_2024実績,$A334,BL$1+2),"")</f>
        <v/>
      </c>
      <c r="BM334" s="789" t="str">
        <f ca="1">IFERROR(OFFSET(貼付け_2025実績,$A334,BM$1+2),"")</f>
        <v/>
      </c>
      <c r="BN334" s="789" t="str">
        <f ca="1">IFERROR(OFFSET(貼付け_2026実績,$A334,BN$1+2),"")</f>
        <v/>
      </c>
      <c r="BO334" s="789" t="str">
        <f ca="1">IFERROR(OFFSET(貼付け_2027実績,$A334,BO$1+2),"")</f>
        <v/>
      </c>
      <c r="BP334" s="802"/>
    </row>
    <row r="335" spans="1:68" ht="20.100000000000001" customHeight="1">
      <c r="A335" s="784">
        <v>96</v>
      </c>
      <c r="B335" s="1594"/>
      <c r="C335" s="1625"/>
      <c r="D335" s="814" t="s">
        <v>414</v>
      </c>
      <c r="E335" s="792" t="str">
        <f ca="1">E88</f>
        <v/>
      </c>
      <c r="F335" s="842" t="s">
        <v>880</v>
      </c>
      <c r="G335" s="787" t="s">
        <v>462</v>
      </c>
      <c r="H335" s="909">
        <f t="shared" ca="1" si="583"/>
        <v>8.64</v>
      </c>
      <c r="I335" s="858">
        <f t="shared" ca="1" si="583"/>
        <v>8.64</v>
      </c>
      <c r="J335" s="858">
        <f t="shared" ca="1" si="583"/>
        <v>8.64</v>
      </c>
      <c r="K335" s="858">
        <f t="shared" ca="1" si="583"/>
        <v>8.64</v>
      </c>
      <c r="L335" s="789">
        <f t="shared" ca="1" si="584"/>
        <v>0</v>
      </c>
      <c r="M335" s="789">
        <f t="shared" ca="1" si="584"/>
        <v>0</v>
      </c>
      <c r="N335" s="789">
        <f t="shared" ca="1" si="584"/>
        <v>0</v>
      </c>
      <c r="O335" s="789">
        <f t="shared" ca="1" si="584"/>
        <v>0</v>
      </c>
      <c r="P335" s="789">
        <f ca="1">SUM(SUMIFS(OFFSET(貼付け_2024実績,$A335,11,1,199),OFFSET(貼付け_2024実績,4,9,1,199),{"横浜*","川崎*"}))</f>
        <v>0</v>
      </c>
      <c r="Q335" s="789">
        <f ca="1">SUM(SUMIFS(OFFSET(貼付け_2025実績,$A335,11,1,199),OFFSET(貼付け_2025実績,4,9,1,199),{"横浜*","川崎*"}))</f>
        <v>0</v>
      </c>
      <c r="R335" s="789">
        <f ca="1">SUM(SUMIFS(OFFSET(貼付け_2026実績,$A335,11,1,199),OFFSET(貼付け_2026実績,4,9,1,199),{"横浜*","川崎*"}))</f>
        <v>0</v>
      </c>
      <c r="S335" s="789">
        <f ca="1">SUM(SUMIFS(OFFSET(貼付け_2027実績,$A335,11,1,199),OFFSET(貼付け_2027実績,4,9,1,199),{"横浜*","川崎*"}))</f>
        <v>0</v>
      </c>
      <c r="T335" s="789">
        <f t="shared" ca="1" si="585"/>
        <v>0</v>
      </c>
      <c r="U335" s="789">
        <f t="shared" ca="1" si="585"/>
        <v>0</v>
      </c>
      <c r="V335" s="789">
        <f t="shared" ca="1" si="585"/>
        <v>0</v>
      </c>
      <c r="W335" s="789">
        <f t="shared" ca="1" si="585"/>
        <v>0</v>
      </c>
      <c r="X335" s="789">
        <f ca="1">SUMIFS(OFFSET(貼付け_2024実績,$A335,11,1,199),OFFSET(貼付け_2024実績,4,9,1,199),"県域*")</f>
        <v>0</v>
      </c>
      <c r="Y335" s="789">
        <f ca="1">SUMIFS(OFFSET(貼付け_2025実績,$A335,11,1,199),OFFSET(貼付け_2025実績,4,9,1,199),"県域*")</f>
        <v>0</v>
      </c>
      <c r="Z335" s="789">
        <f ca="1">SUMIFS(OFFSET(貼付け_2026実績,$A335,11,1,199),OFFSET(貼付け_2026実績,4,9,1,199),"県域*")</f>
        <v>0</v>
      </c>
      <c r="AA335" s="789">
        <f ca="1">SUMIFS(OFFSET(貼付け_2027実績,$A335,11,1,199),OFFSET(貼付け_2027実績,4,9,1,199),"県域*")</f>
        <v>0</v>
      </c>
      <c r="AB335" s="789" t="str">
        <f ca="1">IFERROR(OFFSET(貼付け_2024実績,$A335,AB$1+2),"")</f>
        <v/>
      </c>
      <c r="AC335" s="789" t="str">
        <f ca="1">IFERROR(OFFSET(貼付け_2025実績,$A335,AC$1+2),"")</f>
        <v/>
      </c>
      <c r="AD335" s="789" t="str">
        <f ca="1">IFERROR(OFFSET(貼付け_2026実績,$A335,AD$1+2),"")</f>
        <v/>
      </c>
      <c r="AE335" s="789" t="str">
        <f ca="1">IFERROR(OFFSET(貼付け_2027実績,$A335,AE$1+2),"")</f>
        <v/>
      </c>
      <c r="AF335" s="789" t="str">
        <f ca="1">IFERROR(OFFSET(貼付け_2024実績,$A335,AF$1+2),"")</f>
        <v/>
      </c>
      <c r="AG335" s="789" t="str">
        <f ca="1">IFERROR(OFFSET(貼付け_2025実績,$A335,AG$1+2),"")</f>
        <v/>
      </c>
      <c r="AH335" s="789" t="str">
        <f ca="1">IFERROR(OFFSET(貼付け_2026実績,$A335,AH$1+2),"")</f>
        <v/>
      </c>
      <c r="AI335" s="789" t="str">
        <f ca="1">IFERROR(OFFSET(貼付け_2027実績,$A335,AI$1+2),"")</f>
        <v/>
      </c>
      <c r="AJ335" s="789" t="str">
        <f ca="1">IFERROR(OFFSET(貼付け_2024実績,$A335,AJ$1+2),"")</f>
        <v/>
      </c>
      <c r="AK335" s="789" t="str">
        <f ca="1">IFERROR(OFFSET(貼付け_2025実績,$A335,AK$1+2),"")</f>
        <v/>
      </c>
      <c r="AL335" s="789" t="str">
        <f ca="1">IFERROR(OFFSET(貼付け_2026実績,$A335,AL$1+2),"")</f>
        <v/>
      </c>
      <c r="AM335" s="789" t="str">
        <f ca="1">IFERROR(OFFSET(貼付け_2027実績,$A335,AM$1+2),"")</f>
        <v/>
      </c>
      <c r="AN335" s="789" t="str">
        <f ca="1">IFERROR(OFFSET(貼付け_2024実績,$A335,AN$1+2),"")</f>
        <v/>
      </c>
      <c r="AO335" s="789" t="str">
        <f ca="1">IFERROR(OFFSET(貼付け_2025実績,$A335,AO$1+2),"")</f>
        <v/>
      </c>
      <c r="AP335" s="789" t="str">
        <f ca="1">IFERROR(OFFSET(貼付け_2026実績,$A335,AP$1+2),"")</f>
        <v/>
      </c>
      <c r="AQ335" s="789" t="str">
        <f ca="1">IFERROR(OFFSET(貼付け_2027実績,$A335,AQ$1+2),"")</f>
        <v/>
      </c>
      <c r="AR335" s="789" t="str">
        <f ca="1">IFERROR(OFFSET(貼付け_2024実績,$A335,AR$1+2),"")</f>
        <v/>
      </c>
      <c r="AS335" s="789" t="str">
        <f ca="1">IFERROR(OFFSET(貼付け_2025実績,$A335,AS$1+2),"")</f>
        <v/>
      </c>
      <c r="AT335" s="789" t="str">
        <f ca="1">IFERROR(OFFSET(貼付け_2026実績,$A335,AT$1+2),"")</f>
        <v/>
      </c>
      <c r="AU335" s="789" t="str">
        <f ca="1">IFERROR(OFFSET(貼付け_2027実績,$A335,AU$1+2),"")</f>
        <v/>
      </c>
      <c r="AV335" s="789" t="str">
        <f ca="1">IFERROR(OFFSET(貼付け_2024実績,$A335,AV$1+2),"")</f>
        <v/>
      </c>
      <c r="AW335" s="789" t="str">
        <f ca="1">IFERROR(OFFSET(貼付け_2025実績,$A335,AW$1+2),"")</f>
        <v/>
      </c>
      <c r="AX335" s="789" t="str">
        <f ca="1">IFERROR(OFFSET(貼付け_2026実績,$A335,AX$1+2),"")</f>
        <v/>
      </c>
      <c r="AY335" s="789" t="str">
        <f ca="1">IFERROR(OFFSET(貼付け_2027実績,$A335,AY$1+2),"")</f>
        <v/>
      </c>
      <c r="AZ335" s="789" t="str">
        <f ca="1">IFERROR(OFFSET(貼付け_2024実績,$A335,AZ$1+2),"")</f>
        <v/>
      </c>
      <c r="BA335" s="789" t="str">
        <f ca="1">IFERROR(OFFSET(貼付け_2025実績,$A335,BA$1+2),"")</f>
        <v/>
      </c>
      <c r="BB335" s="789" t="str">
        <f ca="1">IFERROR(OFFSET(貼付け_2026実績,$A335,BB$1+2),"")</f>
        <v/>
      </c>
      <c r="BC335" s="789" t="str">
        <f ca="1">IFERROR(OFFSET(貼付け_2027実績,$A335,BC$1+2),"")</f>
        <v/>
      </c>
      <c r="BD335" s="789" t="str">
        <f ca="1">IFERROR(OFFSET(貼付け_2024実績,$A335,BD$1+2),"")</f>
        <v/>
      </c>
      <c r="BE335" s="789" t="str">
        <f ca="1">IFERROR(OFFSET(貼付け_2025実績,$A335,BE$1+2),"")</f>
        <v/>
      </c>
      <c r="BF335" s="789" t="str">
        <f ca="1">IFERROR(OFFSET(貼付け_2026実績,$A335,BF$1+2),"")</f>
        <v/>
      </c>
      <c r="BG335" s="789" t="str">
        <f ca="1">IFERROR(OFFSET(貼付け_2027実績,$A335,BG$1+2),"")</f>
        <v/>
      </c>
      <c r="BH335" s="789" t="str">
        <f ca="1">IFERROR(OFFSET(貼付け_2024実績,$A335,BH$1+2),"")</f>
        <v/>
      </c>
      <c r="BI335" s="789" t="str">
        <f ca="1">IFERROR(OFFSET(貼付け_2025実績,$A335,BI$1+2),"")</f>
        <v/>
      </c>
      <c r="BJ335" s="789" t="str">
        <f ca="1">IFERROR(OFFSET(貼付け_2026実績,$A335,BJ$1+2),"")</f>
        <v/>
      </c>
      <c r="BK335" s="789" t="str">
        <f ca="1">IFERROR(OFFSET(貼付け_2027実績,$A335,BK$1+2),"")</f>
        <v/>
      </c>
      <c r="BL335" s="789" t="str">
        <f ca="1">IFERROR(OFFSET(貼付け_2024実績,$A335,BL$1+2),"")</f>
        <v/>
      </c>
      <c r="BM335" s="789" t="str">
        <f ca="1">IFERROR(OFFSET(貼付け_2025実績,$A335,BM$1+2),"")</f>
        <v/>
      </c>
      <c r="BN335" s="789" t="str">
        <f ca="1">IFERROR(OFFSET(貼付け_2026実績,$A335,BN$1+2),"")</f>
        <v/>
      </c>
      <c r="BO335" s="789" t="str">
        <f ca="1">IFERROR(OFFSET(貼付け_2027実績,$A335,BO$1+2),"")</f>
        <v/>
      </c>
      <c r="BP335" s="802"/>
    </row>
    <row r="336" spans="1:68" ht="20.100000000000001" customHeight="1">
      <c r="A336" s="784">
        <v>97</v>
      </c>
      <c r="B336" s="1594"/>
      <c r="C336" s="1625"/>
      <c r="D336" s="814" t="s">
        <v>416</v>
      </c>
      <c r="E336" s="792" t="str">
        <f ca="1">E89</f>
        <v/>
      </c>
      <c r="F336" s="842" t="s">
        <v>881</v>
      </c>
      <c r="G336" s="787" t="s">
        <v>462</v>
      </c>
      <c r="H336" s="909">
        <f t="shared" ca="1" si="583"/>
        <v>8.64</v>
      </c>
      <c r="I336" s="858">
        <f t="shared" ca="1" si="583"/>
        <v>8.64</v>
      </c>
      <c r="J336" s="858">
        <f t="shared" ca="1" si="583"/>
        <v>8.64</v>
      </c>
      <c r="K336" s="858">
        <f t="shared" ca="1" si="583"/>
        <v>8.64</v>
      </c>
      <c r="L336" s="789">
        <f t="shared" ca="1" si="584"/>
        <v>0</v>
      </c>
      <c r="M336" s="789">
        <f t="shared" ca="1" si="584"/>
        <v>0</v>
      </c>
      <c r="N336" s="789">
        <f t="shared" ca="1" si="584"/>
        <v>0</v>
      </c>
      <c r="O336" s="789">
        <f t="shared" ca="1" si="584"/>
        <v>0</v>
      </c>
      <c r="P336" s="789">
        <f ca="1">SUM(SUMIFS(OFFSET(貼付け_2024実績,$A336,11,1,199),OFFSET(貼付け_2024実績,4,9,1,199),{"横浜*","川崎*"}))</f>
        <v>0</v>
      </c>
      <c r="Q336" s="789">
        <f ca="1">SUM(SUMIFS(OFFSET(貼付け_2025実績,$A336,11,1,199),OFFSET(貼付け_2025実績,4,9,1,199),{"横浜*","川崎*"}))</f>
        <v>0</v>
      </c>
      <c r="R336" s="789">
        <f ca="1">SUM(SUMIFS(OFFSET(貼付け_2026実績,$A336,11,1,199),OFFSET(貼付け_2026実績,4,9,1,199),{"横浜*","川崎*"}))</f>
        <v>0</v>
      </c>
      <c r="S336" s="789">
        <f ca="1">SUM(SUMIFS(OFFSET(貼付け_2027実績,$A336,11,1,199),OFFSET(貼付け_2027実績,4,9,1,199),{"横浜*","川崎*"}))</f>
        <v>0</v>
      </c>
      <c r="T336" s="789">
        <f t="shared" ca="1" si="585"/>
        <v>0</v>
      </c>
      <c r="U336" s="789">
        <f t="shared" ca="1" si="585"/>
        <v>0</v>
      </c>
      <c r="V336" s="789">
        <f t="shared" ca="1" si="585"/>
        <v>0</v>
      </c>
      <c r="W336" s="789">
        <f t="shared" ca="1" si="585"/>
        <v>0</v>
      </c>
      <c r="X336" s="789">
        <f ca="1">SUMIFS(OFFSET(貼付け_2024実績,$A336,11,1,199),OFFSET(貼付け_2024実績,4,9,1,199),"県域*")</f>
        <v>0</v>
      </c>
      <c r="Y336" s="789">
        <f ca="1">SUMIFS(OFFSET(貼付け_2025実績,$A336,11,1,199),OFFSET(貼付け_2025実績,4,9,1,199),"県域*")</f>
        <v>0</v>
      </c>
      <c r="Z336" s="789">
        <f ca="1">SUMIFS(OFFSET(貼付け_2026実績,$A336,11,1,199),OFFSET(貼付け_2026実績,4,9,1,199),"県域*")</f>
        <v>0</v>
      </c>
      <c r="AA336" s="789">
        <f ca="1">SUMIFS(OFFSET(貼付け_2027実績,$A336,11,1,199),OFFSET(貼付け_2027実績,4,9,1,199),"県域*")</f>
        <v>0</v>
      </c>
      <c r="AB336" s="789" t="str">
        <f ca="1">IFERROR(OFFSET(貼付け_2024実績,$A336,AB$1+2),"")</f>
        <v/>
      </c>
      <c r="AC336" s="789" t="str">
        <f ca="1">IFERROR(OFFSET(貼付け_2025実績,$A336,AC$1+2),"")</f>
        <v/>
      </c>
      <c r="AD336" s="789" t="str">
        <f ca="1">IFERROR(OFFSET(貼付け_2026実績,$A336,AD$1+2),"")</f>
        <v/>
      </c>
      <c r="AE336" s="789" t="str">
        <f ca="1">IFERROR(OFFSET(貼付け_2027実績,$A336,AE$1+2),"")</f>
        <v/>
      </c>
      <c r="AF336" s="789" t="str">
        <f ca="1">IFERROR(OFFSET(貼付け_2024実績,$A336,AF$1+2),"")</f>
        <v/>
      </c>
      <c r="AG336" s="789" t="str">
        <f ca="1">IFERROR(OFFSET(貼付け_2025実績,$A336,AG$1+2),"")</f>
        <v/>
      </c>
      <c r="AH336" s="789" t="str">
        <f ca="1">IFERROR(OFFSET(貼付け_2026実績,$A336,AH$1+2),"")</f>
        <v/>
      </c>
      <c r="AI336" s="789" t="str">
        <f ca="1">IFERROR(OFFSET(貼付け_2027実績,$A336,AI$1+2),"")</f>
        <v/>
      </c>
      <c r="AJ336" s="789" t="str">
        <f ca="1">IFERROR(OFFSET(貼付け_2024実績,$A336,AJ$1+2),"")</f>
        <v/>
      </c>
      <c r="AK336" s="789" t="str">
        <f ca="1">IFERROR(OFFSET(貼付け_2025実績,$A336,AK$1+2),"")</f>
        <v/>
      </c>
      <c r="AL336" s="789" t="str">
        <f ca="1">IFERROR(OFFSET(貼付け_2026実績,$A336,AL$1+2),"")</f>
        <v/>
      </c>
      <c r="AM336" s="789" t="str">
        <f ca="1">IFERROR(OFFSET(貼付け_2027実績,$A336,AM$1+2),"")</f>
        <v/>
      </c>
      <c r="AN336" s="789" t="str">
        <f ca="1">IFERROR(OFFSET(貼付け_2024実績,$A336,AN$1+2),"")</f>
        <v/>
      </c>
      <c r="AO336" s="789" t="str">
        <f ca="1">IFERROR(OFFSET(貼付け_2025実績,$A336,AO$1+2),"")</f>
        <v/>
      </c>
      <c r="AP336" s="789" t="str">
        <f ca="1">IFERROR(OFFSET(貼付け_2026実績,$A336,AP$1+2),"")</f>
        <v/>
      </c>
      <c r="AQ336" s="789" t="str">
        <f ca="1">IFERROR(OFFSET(貼付け_2027実績,$A336,AQ$1+2),"")</f>
        <v/>
      </c>
      <c r="AR336" s="789" t="str">
        <f ca="1">IFERROR(OFFSET(貼付け_2024実績,$A336,AR$1+2),"")</f>
        <v/>
      </c>
      <c r="AS336" s="789" t="str">
        <f ca="1">IFERROR(OFFSET(貼付け_2025実績,$A336,AS$1+2),"")</f>
        <v/>
      </c>
      <c r="AT336" s="789" t="str">
        <f ca="1">IFERROR(OFFSET(貼付け_2026実績,$A336,AT$1+2),"")</f>
        <v/>
      </c>
      <c r="AU336" s="789" t="str">
        <f ca="1">IFERROR(OFFSET(貼付け_2027実績,$A336,AU$1+2),"")</f>
        <v/>
      </c>
      <c r="AV336" s="789" t="str">
        <f ca="1">IFERROR(OFFSET(貼付け_2024実績,$A336,AV$1+2),"")</f>
        <v/>
      </c>
      <c r="AW336" s="789" t="str">
        <f ca="1">IFERROR(OFFSET(貼付け_2025実績,$A336,AW$1+2),"")</f>
        <v/>
      </c>
      <c r="AX336" s="789" t="str">
        <f ca="1">IFERROR(OFFSET(貼付け_2026実績,$A336,AX$1+2),"")</f>
        <v/>
      </c>
      <c r="AY336" s="789" t="str">
        <f ca="1">IFERROR(OFFSET(貼付け_2027実績,$A336,AY$1+2),"")</f>
        <v/>
      </c>
      <c r="AZ336" s="789" t="str">
        <f ca="1">IFERROR(OFFSET(貼付け_2024実績,$A336,AZ$1+2),"")</f>
        <v/>
      </c>
      <c r="BA336" s="789" t="str">
        <f ca="1">IFERROR(OFFSET(貼付け_2025実績,$A336,BA$1+2),"")</f>
        <v/>
      </c>
      <c r="BB336" s="789" t="str">
        <f ca="1">IFERROR(OFFSET(貼付け_2026実績,$A336,BB$1+2),"")</f>
        <v/>
      </c>
      <c r="BC336" s="789" t="str">
        <f ca="1">IFERROR(OFFSET(貼付け_2027実績,$A336,BC$1+2),"")</f>
        <v/>
      </c>
      <c r="BD336" s="789" t="str">
        <f ca="1">IFERROR(OFFSET(貼付け_2024実績,$A336,BD$1+2),"")</f>
        <v/>
      </c>
      <c r="BE336" s="789" t="str">
        <f ca="1">IFERROR(OFFSET(貼付け_2025実績,$A336,BE$1+2),"")</f>
        <v/>
      </c>
      <c r="BF336" s="789" t="str">
        <f ca="1">IFERROR(OFFSET(貼付け_2026実績,$A336,BF$1+2),"")</f>
        <v/>
      </c>
      <c r="BG336" s="789" t="str">
        <f ca="1">IFERROR(OFFSET(貼付け_2027実績,$A336,BG$1+2),"")</f>
        <v/>
      </c>
      <c r="BH336" s="789" t="str">
        <f ca="1">IFERROR(OFFSET(貼付け_2024実績,$A336,BH$1+2),"")</f>
        <v/>
      </c>
      <c r="BI336" s="789" t="str">
        <f ca="1">IFERROR(OFFSET(貼付け_2025実績,$A336,BI$1+2),"")</f>
        <v/>
      </c>
      <c r="BJ336" s="789" t="str">
        <f ca="1">IFERROR(OFFSET(貼付け_2026実績,$A336,BJ$1+2),"")</f>
        <v/>
      </c>
      <c r="BK336" s="789" t="str">
        <f ca="1">IFERROR(OFFSET(貼付け_2027実績,$A336,BK$1+2),"")</f>
        <v/>
      </c>
      <c r="BL336" s="789" t="str">
        <f ca="1">IFERROR(OFFSET(貼付け_2024実績,$A336,BL$1+2),"")</f>
        <v/>
      </c>
      <c r="BM336" s="789" t="str">
        <f ca="1">IFERROR(OFFSET(貼付け_2025実績,$A336,BM$1+2),"")</f>
        <v/>
      </c>
      <c r="BN336" s="789" t="str">
        <f ca="1">IFERROR(OFFSET(貼付け_2026実績,$A336,BN$1+2),"")</f>
        <v/>
      </c>
      <c r="BO336" s="789" t="str">
        <f ca="1">IFERROR(OFFSET(貼付け_2027実績,$A336,BO$1+2),"")</f>
        <v/>
      </c>
      <c r="BP336" s="802"/>
    </row>
    <row r="337" spans="1:68" ht="20.100000000000001" customHeight="1">
      <c r="A337" s="784">
        <v>98</v>
      </c>
      <c r="B337" s="1627"/>
      <c r="C337" s="1626"/>
      <c r="D337" s="814" t="s">
        <v>418</v>
      </c>
      <c r="E337" s="792" t="str">
        <f ca="1">E90</f>
        <v/>
      </c>
      <c r="F337" s="842" t="s">
        <v>882</v>
      </c>
      <c r="G337" s="787" t="s">
        <v>462</v>
      </c>
      <c r="H337" s="909">
        <f ca="1">H90</f>
        <v>8.64</v>
      </c>
      <c r="I337" s="858">
        <f ca="1">I90</f>
        <v>8.64</v>
      </c>
      <c r="J337" s="858">
        <f ca="1">J90</f>
        <v>8.64</v>
      </c>
      <c r="K337" s="858">
        <f ca="1">K90</f>
        <v>8.64</v>
      </c>
      <c r="L337" s="789">
        <f t="shared" ca="1" si="584"/>
        <v>0</v>
      </c>
      <c r="M337" s="789">
        <f t="shared" ca="1" si="584"/>
        <v>0</v>
      </c>
      <c r="N337" s="789">
        <f t="shared" ca="1" si="584"/>
        <v>0</v>
      </c>
      <c r="O337" s="789">
        <f t="shared" ca="1" si="584"/>
        <v>0</v>
      </c>
      <c r="P337" s="789">
        <f ca="1">SUM(SUMIFS(OFFSET(貼付け_2024実績,$A337,11,1,199),OFFSET(貼付け_2024実績,4,9,1,199),{"横浜*","川崎*"}))</f>
        <v>0</v>
      </c>
      <c r="Q337" s="789">
        <f ca="1">SUM(SUMIFS(OFFSET(貼付け_2025実績,$A337,11,1,199),OFFSET(貼付け_2025実績,4,9,1,199),{"横浜*","川崎*"}))</f>
        <v>0</v>
      </c>
      <c r="R337" s="789">
        <f ca="1">SUM(SUMIFS(OFFSET(貼付け_2026実績,$A337,11,1,199),OFFSET(貼付け_2026実績,4,9,1,199),{"横浜*","川崎*"}))</f>
        <v>0</v>
      </c>
      <c r="S337" s="789">
        <f ca="1">SUM(SUMIFS(OFFSET(貼付け_2027実績,$A337,11,1,199),OFFSET(貼付け_2027実績,4,9,1,199),{"横浜*","川崎*"}))</f>
        <v>0</v>
      </c>
      <c r="T337" s="789">
        <f t="shared" ca="1" si="585"/>
        <v>0</v>
      </c>
      <c r="U337" s="789">
        <f t="shared" ca="1" si="585"/>
        <v>0</v>
      </c>
      <c r="V337" s="789">
        <f t="shared" ca="1" si="585"/>
        <v>0</v>
      </c>
      <c r="W337" s="789">
        <f t="shared" ca="1" si="585"/>
        <v>0</v>
      </c>
      <c r="X337" s="789">
        <f ca="1">SUMIFS(OFFSET(貼付け_2024実績,$A337,11,1,199),OFFSET(貼付け_2024実績,4,9,1,199),"県域*")</f>
        <v>0</v>
      </c>
      <c r="Y337" s="789">
        <f ca="1">SUMIFS(OFFSET(貼付け_2025実績,$A337,11,1,199),OFFSET(貼付け_2025実績,4,9,1,199),"県域*")</f>
        <v>0</v>
      </c>
      <c r="Z337" s="789">
        <f ca="1">SUMIFS(OFFSET(貼付け_2026実績,$A337,11,1,199),OFFSET(貼付け_2026実績,4,9,1,199),"県域*")</f>
        <v>0</v>
      </c>
      <c r="AA337" s="789">
        <f ca="1">SUMIFS(OFFSET(貼付け_2027実績,$A337,11,1,199),OFFSET(貼付け_2027実績,4,9,1,199),"県域*")</f>
        <v>0</v>
      </c>
      <c r="AB337" s="789" t="str">
        <f ca="1">IFERROR(OFFSET(貼付け_2024実績,$A337,AB$1+2),"")</f>
        <v/>
      </c>
      <c r="AC337" s="789" t="str">
        <f ca="1">IFERROR(OFFSET(貼付け_2025実績,$A337,AC$1+2),"")</f>
        <v/>
      </c>
      <c r="AD337" s="789" t="str">
        <f ca="1">IFERROR(OFFSET(貼付け_2026実績,$A337,AD$1+2),"")</f>
        <v/>
      </c>
      <c r="AE337" s="789" t="str">
        <f ca="1">IFERROR(OFFSET(貼付け_2027実績,$A337,AE$1+2),"")</f>
        <v/>
      </c>
      <c r="AF337" s="789" t="str">
        <f ca="1">IFERROR(OFFSET(貼付け_2024実績,$A337,AF$1+2),"")</f>
        <v/>
      </c>
      <c r="AG337" s="789" t="str">
        <f ca="1">IFERROR(OFFSET(貼付け_2025実績,$A337,AG$1+2),"")</f>
        <v/>
      </c>
      <c r="AH337" s="789" t="str">
        <f ca="1">IFERROR(OFFSET(貼付け_2026実績,$A337,AH$1+2),"")</f>
        <v/>
      </c>
      <c r="AI337" s="789" t="str">
        <f ca="1">IFERROR(OFFSET(貼付け_2027実績,$A337,AI$1+2),"")</f>
        <v/>
      </c>
      <c r="AJ337" s="789" t="str">
        <f ca="1">IFERROR(OFFSET(貼付け_2024実績,$A337,AJ$1+2),"")</f>
        <v/>
      </c>
      <c r="AK337" s="789" t="str">
        <f ca="1">IFERROR(OFFSET(貼付け_2025実績,$A337,AK$1+2),"")</f>
        <v/>
      </c>
      <c r="AL337" s="789" t="str">
        <f ca="1">IFERROR(OFFSET(貼付け_2026実績,$A337,AL$1+2),"")</f>
        <v/>
      </c>
      <c r="AM337" s="789" t="str">
        <f ca="1">IFERROR(OFFSET(貼付け_2027実績,$A337,AM$1+2),"")</f>
        <v/>
      </c>
      <c r="AN337" s="789" t="str">
        <f ca="1">IFERROR(OFFSET(貼付け_2024実績,$A337,AN$1+2),"")</f>
        <v/>
      </c>
      <c r="AO337" s="789" t="str">
        <f ca="1">IFERROR(OFFSET(貼付け_2025実績,$A337,AO$1+2),"")</f>
        <v/>
      </c>
      <c r="AP337" s="789" t="str">
        <f ca="1">IFERROR(OFFSET(貼付け_2026実績,$A337,AP$1+2),"")</f>
        <v/>
      </c>
      <c r="AQ337" s="789" t="str">
        <f ca="1">IFERROR(OFFSET(貼付け_2027実績,$A337,AQ$1+2),"")</f>
        <v/>
      </c>
      <c r="AR337" s="789" t="str">
        <f ca="1">IFERROR(OFFSET(貼付け_2024実績,$A337,AR$1+2),"")</f>
        <v/>
      </c>
      <c r="AS337" s="789" t="str">
        <f ca="1">IFERROR(OFFSET(貼付け_2025実績,$A337,AS$1+2),"")</f>
        <v/>
      </c>
      <c r="AT337" s="789" t="str">
        <f ca="1">IFERROR(OFFSET(貼付け_2026実績,$A337,AT$1+2),"")</f>
        <v/>
      </c>
      <c r="AU337" s="789" t="str">
        <f ca="1">IFERROR(OFFSET(貼付け_2027実績,$A337,AU$1+2),"")</f>
        <v/>
      </c>
      <c r="AV337" s="789" t="str">
        <f ca="1">IFERROR(OFFSET(貼付け_2024実績,$A337,AV$1+2),"")</f>
        <v/>
      </c>
      <c r="AW337" s="789" t="str">
        <f ca="1">IFERROR(OFFSET(貼付け_2025実績,$A337,AW$1+2),"")</f>
        <v/>
      </c>
      <c r="AX337" s="789" t="str">
        <f ca="1">IFERROR(OFFSET(貼付け_2026実績,$A337,AX$1+2),"")</f>
        <v/>
      </c>
      <c r="AY337" s="789" t="str">
        <f ca="1">IFERROR(OFFSET(貼付け_2027実績,$A337,AY$1+2),"")</f>
        <v/>
      </c>
      <c r="AZ337" s="789" t="str">
        <f ca="1">IFERROR(OFFSET(貼付け_2024実績,$A337,AZ$1+2),"")</f>
        <v/>
      </c>
      <c r="BA337" s="789" t="str">
        <f ca="1">IFERROR(OFFSET(貼付け_2025実績,$A337,BA$1+2),"")</f>
        <v/>
      </c>
      <c r="BB337" s="789" t="str">
        <f ca="1">IFERROR(OFFSET(貼付け_2026実績,$A337,BB$1+2),"")</f>
        <v/>
      </c>
      <c r="BC337" s="789" t="str">
        <f ca="1">IFERROR(OFFSET(貼付け_2027実績,$A337,BC$1+2),"")</f>
        <v/>
      </c>
      <c r="BD337" s="789" t="str">
        <f ca="1">IFERROR(OFFSET(貼付け_2024実績,$A337,BD$1+2),"")</f>
        <v/>
      </c>
      <c r="BE337" s="789" t="str">
        <f ca="1">IFERROR(OFFSET(貼付け_2025実績,$A337,BE$1+2),"")</f>
        <v/>
      </c>
      <c r="BF337" s="789" t="str">
        <f ca="1">IFERROR(OFFSET(貼付け_2026実績,$A337,BF$1+2),"")</f>
        <v/>
      </c>
      <c r="BG337" s="789" t="str">
        <f ca="1">IFERROR(OFFSET(貼付け_2027実績,$A337,BG$1+2),"")</f>
        <v/>
      </c>
      <c r="BH337" s="789" t="str">
        <f ca="1">IFERROR(OFFSET(貼付け_2024実績,$A337,BH$1+2),"")</f>
        <v/>
      </c>
      <c r="BI337" s="789" t="str">
        <f ca="1">IFERROR(OFFSET(貼付け_2025実績,$A337,BI$1+2),"")</f>
        <v/>
      </c>
      <c r="BJ337" s="789" t="str">
        <f ca="1">IFERROR(OFFSET(貼付け_2026実績,$A337,BJ$1+2),"")</f>
        <v/>
      </c>
      <c r="BK337" s="789" t="str">
        <f ca="1">IFERROR(OFFSET(貼付け_2027実績,$A337,BK$1+2),"")</f>
        <v/>
      </c>
      <c r="BL337" s="789" t="str">
        <f ca="1">IFERROR(OFFSET(貼付け_2024実績,$A337,BL$1+2),"")</f>
        <v/>
      </c>
      <c r="BM337" s="789" t="str">
        <f ca="1">IFERROR(OFFSET(貼付け_2025実績,$A337,BM$1+2),"")</f>
        <v/>
      </c>
      <c r="BN337" s="789" t="str">
        <f ca="1">IFERROR(OFFSET(貼付け_2026実績,$A337,BN$1+2),"")</f>
        <v/>
      </c>
      <c r="BO337" s="789" t="str">
        <f ca="1">IFERROR(OFFSET(貼付け_2027実績,$A337,BO$1+2),"")</f>
        <v/>
      </c>
      <c r="BP337" s="802"/>
    </row>
    <row r="338" spans="1:68" ht="20.100000000000001" customHeight="1">
      <c r="A338" s="784"/>
      <c r="B338" s="898"/>
      <c r="C338" s="905" t="s">
        <v>883</v>
      </c>
      <c r="D338" s="848"/>
      <c r="E338" s="910"/>
      <c r="F338" s="901"/>
      <c r="G338" s="787" t="s">
        <v>462</v>
      </c>
      <c r="H338" s="843"/>
      <c r="I338" s="843"/>
      <c r="J338" s="843"/>
      <c r="K338" s="843"/>
      <c r="L338" s="846">
        <f ca="1">SUM(L322:L332,L335,L337)</f>
        <v>0</v>
      </c>
      <c r="M338" s="846">
        <f t="shared" ref="M338:O338" ca="1" si="586">SUM(M322:M332,M335,M337)</f>
        <v>0</v>
      </c>
      <c r="N338" s="846">
        <f t="shared" ca="1" si="586"/>
        <v>0</v>
      </c>
      <c r="O338" s="846">
        <f t="shared" ca="1" si="586"/>
        <v>0</v>
      </c>
      <c r="P338" s="846">
        <f ca="1">SUM(P322:P332,P335,P337)</f>
        <v>0</v>
      </c>
      <c r="Q338" s="846">
        <f t="shared" ref="Q338:W338" ca="1" si="587">SUM(Q322:Q332,Q335,Q337)</f>
        <v>0</v>
      </c>
      <c r="R338" s="846">
        <f t="shared" ca="1" si="587"/>
        <v>0</v>
      </c>
      <c r="S338" s="846">
        <f t="shared" ca="1" si="587"/>
        <v>0</v>
      </c>
      <c r="T338" s="846">
        <f t="shared" ca="1" si="587"/>
        <v>0</v>
      </c>
      <c r="U338" s="846">
        <f t="shared" ca="1" si="587"/>
        <v>0</v>
      </c>
      <c r="V338" s="846">
        <f t="shared" ca="1" si="587"/>
        <v>0</v>
      </c>
      <c r="W338" s="846">
        <f t="shared" ca="1" si="587"/>
        <v>0</v>
      </c>
      <c r="X338" s="873"/>
      <c r="Y338" s="873"/>
      <c r="Z338" s="873"/>
      <c r="AA338" s="873"/>
      <c r="AB338" s="873"/>
      <c r="AC338" s="873"/>
      <c r="AD338" s="873"/>
      <c r="AE338" s="873"/>
      <c r="AF338" s="873"/>
      <c r="AG338" s="873"/>
      <c r="AH338" s="873"/>
      <c r="AI338" s="873"/>
      <c r="AJ338" s="873"/>
      <c r="AK338" s="873"/>
      <c r="AL338" s="873"/>
      <c r="AM338" s="873"/>
      <c r="AN338" s="873"/>
      <c r="AO338" s="873"/>
      <c r="AP338" s="873"/>
      <c r="AQ338" s="873"/>
      <c r="AR338" s="873"/>
      <c r="AS338" s="873"/>
      <c r="AT338" s="873"/>
      <c r="AU338" s="873"/>
      <c r="AV338" s="873"/>
      <c r="AW338" s="873"/>
      <c r="AX338" s="873"/>
      <c r="AY338" s="873"/>
      <c r="AZ338" s="873"/>
      <c r="BA338" s="873"/>
      <c r="BB338" s="873"/>
      <c r="BC338" s="873"/>
      <c r="BD338" s="873"/>
      <c r="BE338" s="873"/>
      <c r="BF338" s="873"/>
      <c r="BG338" s="873"/>
      <c r="BH338" s="873"/>
      <c r="BI338" s="873"/>
      <c r="BJ338" s="873"/>
      <c r="BK338" s="873"/>
      <c r="BL338" s="873"/>
      <c r="BM338" s="873"/>
      <c r="BN338" s="873"/>
      <c r="BO338" s="873"/>
      <c r="BP338" s="802"/>
    </row>
    <row r="339" spans="1:68" ht="20.100000000000001" customHeight="1">
      <c r="A339" s="784"/>
      <c r="B339" s="898"/>
      <c r="C339" s="905" t="s">
        <v>884</v>
      </c>
      <c r="D339" s="848"/>
      <c r="E339" s="910"/>
      <c r="F339" s="901"/>
      <c r="G339" s="787" t="s">
        <v>462</v>
      </c>
      <c r="H339" s="843"/>
      <c r="I339" s="843"/>
      <c r="J339" s="843"/>
      <c r="K339" s="843"/>
      <c r="L339" s="846">
        <f ca="1">SUM(L322:L337)</f>
        <v>0</v>
      </c>
      <c r="M339" s="846">
        <f t="shared" ref="M339:O339" ca="1" si="588">SUM(M322:M337)</f>
        <v>0</v>
      </c>
      <c r="N339" s="846">
        <f t="shared" ca="1" si="588"/>
        <v>0</v>
      </c>
      <c r="O339" s="846">
        <f t="shared" ca="1" si="588"/>
        <v>0</v>
      </c>
      <c r="P339" s="846">
        <f ca="1">SUM(P322:P337)</f>
        <v>0</v>
      </c>
      <c r="Q339" s="846">
        <f t="shared" ref="Q339:W339" ca="1" si="589">SUM(Q322:Q337)</f>
        <v>0</v>
      </c>
      <c r="R339" s="846">
        <f t="shared" ca="1" si="589"/>
        <v>0</v>
      </c>
      <c r="S339" s="846">
        <f t="shared" ca="1" si="589"/>
        <v>0</v>
      </c>
      <c r="T339" s="846">
        <f t="shared" ca="1" si="589"/>
        <v>0</v>
      </c>
      <c r="U339" s="846">
        <f t="shared" ca="1" si="589"/>
        <v>0</v>
      </c>
      <c r="V339" s="846">
        <f t="shared" ca="1" si="589"/>
        <v>0</v>
      </c>
      <c r="W339" s="846">
        <f t="shared" ca="1" si="589"/>
        <v>0</v>
      </c>
      <c r="X339" s="873"/>
      <c r="Y339" s="873"/>
      <c r="Z339" s="873"/>
      <c r="AA339" s="873"/>
      <c r="AB339" s="873"/>
      <c r="AC339" s="873"/>
      <c r="AD339" s="873"/>
      <c r="AE339" s="873"/>
      <c r="AF339" s="873"/>
      <c r="AG339" s="873"/>
      <c r="AH339" s="873"/>
      <c r="AI339" s="873"/>
      <c r="AJ339" s="873"/>
      <c r="AK339" s="873"/>
      <c r="AL339" s="873"/>
      <c r="AM339" s="873"/>
      <c r="AN339" s="873"/>
      <c r="AO339" s="873"/>
      <c r="AP339" s="873"/>
      <c r="AQ339" s="873"/>
      <c r="AR339" s="873"/>
      <c r="AS339" s="873"/>
      <c r="AT339" s="873"/>
      <c r="AU339" s="873"/>
      <c r="AV339" s="873"/>
      <c r="AW339" s="873"/>
      <c r="AX339" s="873"/>
      <c r="AY339" s="873"/>
      <c r="AZ339" s="873"/>
      <c r="BA339" s="873"/>
      <c r="BB339" s="873"/>
      <c r="BC339" s="873"/>
      <c r="BD339" s="873"/>
      <c r="BE339" s="873"/>
      <c r="BF339" s="873"/>
      <c r="BG339" s="873"/>
      <c r="BH339" s="873"/>
      <c r="BI339" s="873"/>
      <c r="BJ339" s="873"/>
      <c r="BK339" s="873"/>
      <c r="BL339" s="873"/>
      <c r="BM339" s="873"/>
      <c r="BN339" s="873"/>
      <c r="BO339" s="873"/>
      <c r="BP339" s="802"/>
    </row>
    <row r="340" spans="1:68" ht="20.100000000000001" customHeight="1">
      <c r="A340" s="783">
        <v>2</v>
      </c>
      <c r="B340" s="1596" t="s">
        <v>885</v>
      </c>
      <c r="C340" s="1596"/>
      <c r="D340" s="785" t="s">
        <v>805</v>
      </c>
      <c r="E340" s="785"/>
      <c r="F340" s="810" t="s">
        <v>886</v>
      </c>
      <c r="G340" s="787" t="s">
        <v>807</v>
      </c>
      <c r="H340" s="843"/>
      <c r="I340" s="843"/>
      <c r="J340" s="843"/>
      <c r="K340" s="843"/>
      <c r="L340" s="844">
        <f ca="1">SUMPRODUCT(ROUND((0&amp;L258:L305)*$H258:$H305,0))+ROUND(SUM(SUMIFS(OFFSET(A1_集計2024,$A340,11,1,199),OFFSET(貼付け_2024実績,4,9,1,199),{"横浜*","川崎*","県域*","エネルギー管理指定工場等*"})),0)</f>
        <v>0</v>
      </c>
      <c r="M340" s="844">
        <f ca="1">SUMPRODUCT(ROUND((0&amp;M258:M305)*$H258:$H305,0))+ROUND(SUM(SUMIFS(OFFSET(A1_集計2025,$A340,11,1,199),OFFSET(貼付け_2025実績,4,9,1,199),{"横浜*","川崎*","県域*","エネルギー管理指定工場等*"})),0)</f>
        <v>0</v>
      </c>
      <c r="N340" s="844">
        <f ca="1">SUMPRODUCT(ROUND((0&amp;N258:N305)*$H258:$H305,0))+ROUND(SUM(SUMIFS(OFFSET(A1_集計2026,$A340,11,1,199),OFFSET(貼付け_2026実績,4,9,1,199),{"横浜*","川崎*","県域*","エネルギー管理指定工場等*"})),0)</f>
        <v>0</v>
      </c>
      <c r="O340" s="844">
        <f ca="1">SUMPRODUCT(ROUND((0&amp;O258:O305)*$H258:$H305,0))+ROUND(SUM(SUMIFS(OFFSET(A1_集計2027,$A340,11,1,199),OFFSET(貼付け_2027実績,4,9,1,199),{"横浜*","川崎*","県域*","エネルギー管理指定工場等*"})),0)</f>
        <v>0</v>
      </c>
      <c r="P340" s="844">
        <f ca="1">SUMPRODUCT(ROUND((0&amp;P258:P305)*$H258:$H305,0))+ROUND(SUM(SUMIFS(OFFSET(A1_集計2024,$A340,11,1,199),OFFSET(貼付け_2024実績,4,9,1,199),{"横浜*","川崎*"})),0)</f>
        <v>0</v>
      </c>
      <c r="Q340" s="844">
        <f ca="1">SUMPRODUCT(ROUND((0&amp;Q258:Q305)*$H258:$H305,0))+ROUND(SUM(SUMIFS(OFFSET(A1_集計2025,$A340,11,1,199),OFFSET(貼付け_2025実績,4,9,1,199),{"横浜*","川崎*"})),0)</f>
        <v>0</v>
      </c>
      <c r="R340" s="844">
        <f ca="1">SUMPRODUCT(ROUND((0&amp;R258:R305)*$H258:$H305,0))+ROUND(SUM(SUMIFS(OFFSET(A1_集計2026,$A340,11,1,199),OFFSET(貼付け_2026実績,4,9,1,199),{"横浜*","川崎*"})),0)</f>
        <v>0</v>
      </c>
      <c r="S340" s="844">
        <f ca="1">SUMPRODUCT(ROUND((0&amp;S258:S305)*$H258:$H305,0))+ROUND(SUM(SUMIFS(OFFSET(A1_集計2027,$A340,11,1,199),OFFSET(貼付け_2027実績,4,9,1,199),{"横浜*","川崎*"})),0)</f>
        <v>0</v>
      </c>
      <c r="T340" s="844">
        <f ca="1">SUMPRODUCT(ROUND((0&amp;T258:T305)*$H258:$H305,0))+ROUND(SUM(SUMIFS(OFFSET(A1_集計2024,$A340,11,1,199),OFFSET(貼付け_2024実績,4,9,1,199),{"県域*","エネルギー管理指定工場等*"})),0)</f>
        <v>0</v>
      </c>
      <c r="U340" s="844">
        <f ca="1">SUMPRODUCT(ROUND((0&amp;U258:U305)*$H258:$H305,0))+ROUND(SUM(SUMIFS(OFFSET(A1_集計2025,$A340,11,1,199),OFFSET(貼付け_2025実績,4,9,1,199),{"県域*","エネルギー管理指定工場等*"})),0)</f>
        <v>0</v>
      </c>
      <c r="V340" s="844">
        <f ca="1">SUMPRODUCT(ROUND((0&amp;V258:V305)*$H258:$H305,0))+ROUND(SUM(SUMIFS(OFFSET(A1_集計2026,$A340,11,1,199),OFFSET(貼付け_2026実績,4,9,1,199),{"県域*","エネルギー管理指定工場等*"})),0)</f>
        <v>0</v>
      </c>
      <c r="W340" s="844">
        <f ca="1">SUMPRODUCT(ROUND((0&amp;W258:W305)*$H258:$H305,0))+ROUND(SUM(SUMIFS(OFFSET(A1_集計2027,$A340,11,1,199),OFFSET(貼付け_2027実績,4,9,1,199),{"県域*","エネルギー管理指定工場等*"})),0)</f>
        <v>0</v>
      </c>
      <c r="X340" s="844">
        <f ca="1">SUMPRODUCT(ROUND((0&amp;X258:X305)*$H258:$H305,0))+ROUND(SUMIFS(OFFSET(A1_集計2024,$A340,11,1,199),OFFSET(貼付け_2024実績,4,9,1,199),"県域*"),0)</f>
        <v>0</v>
      </c>
      <c r="Y340" s="844">
        <f ca="1">SUMPRODUCT(ROUND((0&amp;Y258:Y305)*$H258:$H305,0))+ROUND(SUMIFS(OFFSET(A1_集計2025,$A340,11,1,199),OFFSET(貼付け_2025実績,4,9,1,199),"県域*"),0)</f>
        <v>0</v>
      </c>
      <c r="Z340" s="844">
        <f ca="1">SUMPRODUCT(ROUND((0&amp;Z258:Z305)*$H258:$H305,0))+ROUND(SUMIFS(OFFSET(A1_集計2026,$A340,11,1,199),OFFSET(貼付け_2026実績,4,9,1,199),"県域*"),0)</f>
        <v>0</v>
      </c>
      <c r="AA340" s="844">
        <f ca="1">SUMPRODUCT(ROUND((0&amp;AA258:AA305)*$H258:$H305,0))+ROUND(SUMIFS(OFFSET(A1_集計2027,$A340,11,1,199),OFFSET(貼付け_2027実績,4,9,1,199),"県域*"),0)</f>
        <v>0</v>
      </c>
      <c r="AB340" s="844">
        <f ca="1">SUMPRODUCT(ROUND((0&amp;AB258:AB305)*$H258:$H305,0))+ROUND(IFERROR(OFFSET(A1_集計2024,$A340,AB$1+2),0),0)</f>
        <v>0</v>
      </c>
      <c r="AC340" s="844">
        <f ca="1">SUMPRODUCT(ROUND((0&amp;AC258:AC305)*$H258:$H305,0))+ROUND(IFERROR(OFFSET(A1_集計2025,$A340,AC$1+2),0),0)</f>
        <v>0</v>
      </c>
      <c r="AD340" s="844">
        <f ca="1">SUMPRODUCT(ROUND((0&amp;AD258:AD305)*$H258:$H305,0))+ROUND(IFERROR(OFFSET(A1_集計2026,$A340,AD$1+2),0),0)</f>
        <v>0</v>
      </c>
      <c r="AE340" s="844">
        <f ca="1">SUMPRODUCT(ROUND((0&amp;AE258:AE305)*$H258:$H305,0))+ROUND(IFERROR(OFFSET(A1_集計2027,$A340,AE$1+2),0),0)</f>
        <v>0</v>
      </c>
      <c r="AF340" s="844">
        <f ca="1">SUMPRODUCT(ROUND((0&amp;AF258:AF305)*$H258:$H305,0))+ROUND(IFERROR(OFFSET(A1_集計2024,$A340,AF$1+2),0),0)</f>
        <v>0</v>
      </c>
      <c r="AG340" s="844">
        <f ca="1">SUMPRODUCT(ROUND((0&amp;AG258:AG305)*$H258:$H305,0))+ROUND(IFERROR(OFFSET(A1_集計2025,$A340,AG$1+2),0),0)</f>
        <v>0</v>
      </c>
      <c r="AH340" s="844">
        <f ca="1">SUMPRODUCT(ROUND((0&amp;AH258:AH305)*$H258:$H305,0))+ROUND(IFERROR(OFFSET(A1_集計2026,$A340,AH$1+2),0),0)</f>
        <v>0</v>
      </c>
      <c r="AI340" s="844">
        <f ca="1">SUMPRODUCT(ROUND((0&amp;AI258:AI305)*$H258:$H305,0))+ROUND(IFERROR(OFFSET(A1_集計2027,$A340,AI$1+2),0),0)</f>
        <v>0</v>
      </c>
      <c r="AJ340" s="844">
        <f ca="1">SUMPRODUCT(ROUND((0&amp;AJ258:AJ305)*$H258:$H305,0))+ROUND(IFERROR(OFFSET(A1_集計2024,$A340,AJ$1+2),0),0)</f>
        <v>0</v>
      </c>
      <c r="AK340" s="844">
        <f ca="1">SUMPRODUCT(ROUND((0&amp;AK258:AK305)*$H258:$H305,0))+ROUND(IFERROR(OFFSET(A1_集計2025,$A340,AK$1+2),0),0)</f>
        <v>0</v>
      </c>
      <c r="AL340" s="844">
        <f ca="1">SUMPRODUCT(ROUND((0&amp;AL258:AL305)*$H258:$H305,0))+ROUND(IFERROR(OFFSET(A1_集計2026,$A340,AL$1+2),0),0)</f>
        <v>0</v>
      </c>
      <c r="AM340" s="844">
        <f ca="1">SUMPRODUCT(ROUND((0&amp;AM258:AM305)*$H258:$H305,0))+ROUND(IFERROR(OFFSET(A1_集計2027,$A340,AM$1+2),0),0)</f>
        <v>0</v>
      </c>
      <c r="AN340" s="844">
        <f ca="1">SUMPRODUCT(ROUND((0&amp;AN258:AN305)*$H258:$H305,0))+ROUND(IFERROR(OFFSET(A1_集計2024,$A340,AN$1+2),0),0)</f>
        <v>0</v>
      </c>
      <c r="AO340" s="844">
        <f ca="1">SUMPRODUCT(ROUND((0&amp;AO258:AO305)*$H258:$H305,0))+ROUND(IFERROR(OFFSET(A1_集計2025,$A340,AO$1+2),0),0)</f>
        <v>0</v>
      </c>
      <c r="AP340" s="844">
        <f ca="1">SUMPRODUCT(ROUND((0&amp;AP258:AP305)*$H258:$H305,0))+ROUND(IFERROR(OFFSET(A1_集計2026,$A340,AP$1+2),0),0)</f>
        <v>0</v>
      </c>
      <c r="AQ340" s="844">
        <f ca="1">SUMPRODUCT(ROUND((0&amp;AQ258:AQ305)*$H258:$H305,0))+ROUND(IFERROR(OFFSET(A1_集計2027,$A340,AQ$1+2),0),0)</f>
        <v>0</v>
      </c>
      <c r="AR340" s="844">
        <f ca="1">SUMPRODUCT(ROUND((0&amp;AR258:AR305)*$H258:$H305,0))+ROUND(IFERROR(OFFSET(A1_集計2024,$A340,AR$1+2),0),0)</f>
        <v>0</v>
      </c>
      <c r="AS340" s="844">
        <f ca="1">SUMPRODUCT(ROUND((0&amp;AS258:AS305)*$H258:$H305,0))+ROUND(IFERROR(OFFSET(A1_集計2025,$A340,AS$1+2),0),0)</f>
        <v>0</v>
      </c>
      <c r="AT340" s="844">
        <f ca="1">SUMPRODUCT(ROUND((0&amp;AT258:AT305)*$H258:$H305,0))+ROUND(IFERROR(OFFSET(A1_集計2026,$A340,AT$1+2),0),0)</f>
        <v>0</v>
      </c>
      <c r="AU340" s="844">
        <f ca="1">SUMPRODUCT(ROUND((0&amp;AU258:AU305)*$H258:$H305,0))+ROUND(IFERROR(OFFSET(A1_集計2027,$A340,AU$1+2),0),0)</f>
        <v>0</v>
      </c>
      <c r="AV340" s="844">
        <f ca="1">SUMPRODUCT(ROUND((0&amp;AV258:AV305)*$H258:$H305,0))+ROUND(IFERROR(OFFSET(A1_集計2024,$A340,AV$1+2),0),0)</f>
        <v>0</v>
      </c>
      <c r="AW340" s="844">
        <f ca="1">SUMPRODUCT(ROUND((0&amp;AW258:AW305)*$H258:$H305,0))+ROUND(IFERROR(OFFSET(A1_集計2025,$A340,AW$1+2),0),0)</f>
        <v>0</v>
      </c>
      <c r="AX340" s="844">
        <f ca="1">SUMPRODUCT(ROUND((0&amp;AX258:AX305)*$H258:$H305,0))+ROUND(IFERROR(OFFSET(A1_集計2026,$A340,AX$1+2),0),0)</f>
        <v>0</v>
      </c>
      <c r="AY340" s="844">
        <f ca="1">SUMPRODUCT(ROUND((0&amp;AY258:AY305)*$H258:$H305,0))+ROUND(IFERROR(OFFSET(A1_集計2027,$A340,AY$1+2),0),0)</f>
        <v>0</v>
      </c>
      <c r="AZ340" s="844">
        <f ca="1">SUMPRODUCT(ROUND((0&amp;AZ258:AZ305)*$H258:$H305,0))+ROUND(IFERROR(OFFSET(A1_集計2024,$A340,AZ$1+2),0),0)</f>
        <v>0</v>
      </c>
      <c r="BA340" s="844">
        <f ca="1">SUMPRODUCT(ROUND((0&amp;BA258:BA305)*$H258:$H305,0))+ROUND(IFERROR(OFFSET(A1_集計2025,$A340,BA$1+2),0),0)</f>
        <v>0</v>
      </c>
      <c r="BB340" s="844">
        <f ca="1">SUMPRODUCT(ROUND((0&amp;BB258:BB305)*$H258:$H305,0))+ROUND(IFERROR(OFFSET(A1_集計2026,$A340,BB$1+2),0),0)</f>
        <v>0</v>
      </c>
      <c r="BC340" s="844">
        <f ca="1">SUMPRODUCT(ROUND((0&amp;BC258:BC305)*$H258:$H305,0))+ROUND(IFERROR(OFFSET(A1_集計2027,$A340,BC$1+2),0),0)</f>
        <v>0</v>
      </c>
      <c r="BD340" s="844">
        <f ca="1">SUMPRODUCT(ROUND((0&amp;BD258:BD305)*$H258:$H305,0))+ROUND(IFERROR(OFFSET(A1_集計2024,$A340,BD$1+2),0),0)</f>
        <v>0</v>
      </c>
      <c r="BE340" s="844">
        <f ca="1">SUMPRODUCT(ROUND((0&amp;BE258:BE305)*$H258:$H305,0))+ROUND(IFERROR(OFFSET(A1_集計2025,$A340,BE$1+2),0),0)</f>
        <v>0</v>
      </c>
      <c r="BF340" s="844">
        <f ca="1">SUMPRODUCT(ROUND((0&amp;BF258:BF305)*$H258:$H305,0))+ROUND(IFERROR(OFFSET(A1_集計2026,$A340,BF$1+2),0),0)</f>
        <v>0</v>
      </c>
      <c r="BG340" s="844">
        <f ca="1">SUMPRODUCT(ROUND((0&amp;BG258:BG305)*$H258:$H305,0))+ROUND(IFERROR(OFFSET(A1_集計2027,$A340,BG$1+2),0),0)</f>
        <v>0</v>
      </c>
      <c r="BH340" s="844">
        <f ca="1">SUMPRODUCT(ROUND((0&amp;BH258:BH305)*$H258:$H305,0))+ROUND(IFERROR(OFFSET(A1_集計2024,$A340,BH$1+2),0),0)</f>
        <v>0</v>
      </c>
      <c r="BI340" s="844">
        <f ca="1">SUMPRODUCT(ROUND((0&amp;BI258:BI305)*$H258:$H305,0))+ROUND(IFERROR(OFFSET(A1_集計2025,$A340,BI$1+2),0),0)</f>
        <v>0</v>
      </c>
      <c r="BJ340" s="844">
        <f ca="1">SUMPRODUCT(ROUND((0&amp;BJ258:BJ305)*$H258:$H305,0))+ROUND(IFERROR(OFFSET(A1_集計2026,$A340,BJ$1+2),0),0)</f>
        <v>0</v>
      </c>
      <c r="BK340" s="844">
        <f ca="1">SUMPRODUCT(ROUND((0&amp;BK258:BK305)*$H258:$H305,0))+ROUND(IFERROR(OFFSET(A1_集計2027,$A340,BK$1+2),0),0)</f>
        <v>0</v>
      </c>
      <c r="BL340" s="844">
        <f ca="1">SUMPRODUCT(ROUND((0&amp;BL258:BL305)*$H258:$H305,0))+ROUND(IFERROR(OFFSET(A1_集計2024,$A340,BL$1+2),0),0)</f>
        <v>0</v>
      </c>
      <c r="BM340" s="844">
        <f ca="1">SUMPRODUCT(ROUND((0&amp;BM258:BM305)*$H258:$H305,0))+ROUND(IFERROR(OFFSET(A1_集計2025,$A340,BM$1+2),0),0)</f>
        <v>0</v>
      </c>
      <c r="BN340" s="844">
        <f ca="1">SUMPRODUCT(ROUND((0&amp;BN258:BN305)*$H258:$H305,0))+ROUND(IFERROR(OFFSET(A1_集計2026,$A340,BN$1+2),0),0)</f>
        <v>0</v>
      </c>
      <c r="BO340" s="844">
        <f ca="1">SUMPRODUCT(ROUND((0&amp;BO258:BO305)*$H258:$H305,0))+ROUND(IFERROR(OFFSET(A1_集計2027,$A340,BO$1+2),0),0)</f>
        <v>0</v>
      </c>
      <c r="BP340" s="802"/>
    </row>
    <row r="341" spans="1:68" ht="20.100000000000001" customHeight="1">
      <c r="A341" s="783"/>
      <c r="B341" s="1596"/>
      <c r="C341" s="1596"/>
      <c r="D341" s="785" t="s">
        <v>808</v>
      </c>
      <c r="E341" s="785"/>
      <c r="F341" s="810" t="s">
        <v>887</v>
      </c>
      <c r="G341" s="787" t="s">
        <v>807</v>
      </c>
      <c r="H341" s="843"/>
      <c r="I341" s="843"/>
      <c r="J341" s="843"/>
      <c r="K341" s="843"/>
      <c r="L341" s="844">
        <f ca="1">SUMPRODUCT(ROUND((0&amp;L306:L316)*$H306:$H316,0))</f>
        <v>0</v>
      </c>
      <c r="M341" s="844">
        <f ca="1">SUMPRODUCT(ROUND((0&amp;M306:M316)*$I306:$I316,0))</f>
        <v>0</v>
      </c>
      <c r="N341" s="844">
        <f ca="1">SUMPRODUCT(ROUND((0&amp;N306:N316)*$J306:$J316,0))</f>
        <v>0</v>
      </c>
      <c r="O341" s="844">
        <f ca="1">SUMPRODUCT(ROUND((0&amp;O306:O316)*$K306:$K316,0))</f>
        <v>0</v>
      </c>
      <c r="P341" s="844">
        <f ca="1">SUMPRODUCT(ROUND((0&amp;P306:P316)*$H306:$H316,0))</f>
        <v>0</v>
      </c>
      <c r="Q341" s="844">
        <f ca="1">SUMPRODUCT(ROUND((0&amp;Q306:Q316)*$I306:$I316,0))</f>
        <v>0</v>
      </c>
      <c r="R341" s="844">
        <f ca="1">SUMPRODUCT(ROUND((0&amp;R306:R316)*$J306:$J316,0))</f>
        <v>0</v>
      </c>
      <c r="S341" s="844">
        <f ca="1">SUMPRODUCT(ROUND((0&amp;S306:S316)*$K306:$K316,0))</f>
        <v>0</v>
      </c>
      <c r="T341" s="844">
        <f ca="1">SUMPRODUCT(ROUND((0&amp;T306:T316)*$H306:$H316,0))</f>
        <v>0</v>
      </c>
      <c r="U341" s="844">
        <f ca="1">SUMPRODUCT(ROUND((0&amp;U306:U316)*$I306:$I316,0))</f>
        <v>0</v>
      </c>
      <c r="V341" s="844">
        <f ca="1">SUMPRODUCT(ROUND((0&amp;V306:V316)*$J306:$J316,0))</f>
        <v>0</v>
      </c>
      <c r="W341" s="844">
        <f ca="1">SUMPRODUCT(ROUND((0&amp;W306:W316)*$K306:$K316,0))</f>
        <v>0</v>
      </c>
      <c r="X341" s="844">
        <f ca="1">SUMPRODUCT(ROUND((0&amp;X306:X316)*$H306:$H316,0))</f>
        <v>0</v>
      </c>
      <c r="Y341" s="844">
        <f ca="1">SUMPRODUCT(ROUND((0&amp;Y306:Y316)*$I306:$I316,0))</f>
        <v>0</v>
      </c>
      <c r="Z341" s="844">
        <f ca="1">SUMPRODUCT(ROUND((0&amp;Z306:Z316)*$J306:$J316,0))</f>
        <v>0</v>
      </c>
      <c r="AA341" s="844">
        <f ca="1">SUMPRODUCT(ROUND((0&amp;AA306:AA316)*$K306:$K316,0))</f>
        <v>0</v>
      </c>
      <c r="AB341" s="844">
        <f ca="1">SUMPRODUCT(ROUND((0&amp;AB306:AB316)*$H306:$H316,0))</f>
        <v>0</v>
      </c>
      <c r="AC341" s="844">
        <f ca="1">SUMPRODUCT(ROUND((0&amp;AC306:AC316)*$I306:$I316,0))</f>
        <v>0</v>
      </c>
      <c r="AD341" s="844">
        <f ca="1">SUMPRODUCT(ROUND((0&amp;AD306:AD316)*$J306:$J316,0))</f>
        <v>0</v>
      </c>
      <c r="AE341" s="844">
        <f ca="1">SUMPRODUCT(ROUND((0&amp;AE306:AE316)*$K306:$K316,0))</f>
        <v>0</v>
      </c>
      <c r="AF341" s="844">
        <f ca="1">SUMPRODUCT(ROUND((0&amp;AF306:AF316)*$H306:$H316,0))</f>
        <v>0</v>
      </c>
      <c r="AG341" s="844">
        <f ca="1">SUMPRODUCT(ROUND((0&amp;AG306:AG316)*$I306:$I316,0))</f>
        <v>0</v>
      </c>
      <c r="AH341" s="844">
        <f ca="1">SUMPRODUCT(ROUND((0&amp;AH306:AH316)*$J306:$J316,0))</f>
        <v>0</v>
      </c>
      <c r="AI341" s="844">
        <f ca="1">SUMPRODUCT(ROUND((0&amp;AI306:AI316)*$K306:$K316,0))</f>
        <v>0</v>
      </c>
      <c r="AJ341" s="844">
        <f ca="1">SUMPRODUCT(ROUND((0&amp;AJ306:AJ316)*$H306:$H316,0))</f>
        <v>0</v>
      </c>
      <c r="AK341" s="844">
        <f ca="1">SUMPRODUCT(ROUND((0&amp;AK306:AK316)*$I306:$I316,0))</f>
        <v>0</v>
      </c>
      <c r="AL341" s="844">
        <f ca="1">SUMPRODUCT(ROUND((0&amp;AL306:AL316)*$J306:$J316,0))</f>
        <v>0</v>
      </c>
      <c r="AM341" s="844">
        <f ca="1">SUMPRODUCT(ROUND((0&amp;AM306:AM316)*$K306:$K316,0))</f>
        <v>0</v>
      </c>
      <c r="AN341" s="844">
        <f ca="1">SUMPRODUCT(ROUND((0&amp;AN306:AN316)*$H306:$H316,0))</f>
        <v>0</v>
      </c>
      <c r="AO341" s="844">
        <f ca="1">SUMPRODUCT(ROUND((0&amp;AO306:AO316)*$I306:$I316,0))</f>
        <v>0</v>
      </c>
      <c r="AP341" s="844">
        <f ca="1">SUMPRODUCT(ROUND((0&amp;AP306:AP316)*$J306:$J316,0))</f>
        <v>0</v>
      </c>
      <c r="AQ341" s="844">
        <f ca="1">SUMPRODUCT(ROUND((0&amp;AQ306:AQ316)*$K306:$K316,0))</f>
        <v>0</v>
      </c>
      <c r="AR341" s="844">
        <f ca="1">SUMPRODUCT(ROUND((0&amp;AR306:AR316)*$H306:$H316,0))</f>
        <v>0</v>
      </c>
      <c r="AS341" s="844">
        <f ca="1">SUMPRODUCT(ROUND((0&amp;AS306:AS316)*$I306:$I316,0))</f>
        <v>0</v>
      </c>
      <c r="AT341" s="844">
        <f ca="1">SUMPRODUCT(ROUND((0&amp;AT306:AT316)*$J306:$J316,0))</f>
        <v>0</v>
      </c>
      <c r="AU341" s="844">
        <f ca="1">SUMPRODUCT(ROUND((0&amp;AU306:AU316)*$K306:$K316,0))</f>
        <v>0</v>
      </c>
      <c r="AV341" s="844">
        <f ca="1">SUMPRODUCT(ROUND((0&amp;AV306:AV316)*$H306:$H316,0))</f>
        <v>0</v>
      </c>
      <c r="AW341" s="844">
        <f ca="1">SUMPRODUCT(ROUND((0&amp;AW306:AW316)*$I306:$I316,0))</f>
        <v>0</v>
      </c>
      <c r="AX341" s="844">
        <f ca="1">SUMPRODUCT(ROUND((0&amp;AX306:AX316)*$J306:$J316,0))</f>
        <v>0</v>
      </c>
      <c r="AY341" s="844">
        <f ca="1">SUMPRODUCT(ROUND((0&amp;AY306:AY316)*$K306:$K316,0))</f>
        <v>0</v>
      </c>
      <c r="AZ341" s="844">
        <f ca="1">SUMPRODUCT(ROUND((0&amp;AZ306:AZ316)*$H306:$H316,0))</f>
        <v>0</v>
      </c>
      <c r="BA341" s="844">
        <f ca="1">SUMPRODUCT(ROUND((0&amp;BA306:BA316)*$I306:$I316,0))</f>
        <v>0</v>
      </c>
      <c r="BB341" s="844">
        <f ca="1">SUMPRODUCT(ROUND((0&amp;BB306:BB316)*$J306:$J316,0))</f>
        <v>0</v>
      </c>
      <c r="BC341" s="844">
        <f ca="1">SUMPRODUCT(ROUND((0&amp;BC306:BC316)*$K306:$K316,0))</f>
        <v>0</v>
      </c>
      <c r="BD341" s="844">
        <f ca="1">SUMPRODUCT(ROUND((0&amp;BD306:BD316)*$H306:$H316,0))</f>
        <v>0</v>
      </c>
      <c r="BE341" s="844">
        <f ca="1">SUMPRODUCT(ROUND((0&amp;BE306:BE316)*$I306:$I316,0))</f>
        <v>0</v>
      </c>
      <c r="BF341" s="844">
        <f ca="1">SUMPRODUCT(ROUND((0&amp;BF306:BF316)*$J306:$J316,0))</f>
        <v>0</v>
      </c>
      <c r="BG341" s="844">
        <f ca="1">SUMPRODUCT(ROUND((0&amp;BG306:BG316)*$K306:$K316,0))</f>
        <v>0</v>
      </c>
      <c r="BH341" s="844">
        <f ca="1">SUMPRODUCT(ROUND((0&amp;BH306:BH316)*$H306:$H316,0))</f>
        <v>0</v>
      </c>
      <c r="BI341" s="844">
        <f ca="1">SUMPRODUCT(ROUND((0&amp;BI306:BI316)*$I306:$I316,0))</f>
        <v>0</v>
      </c>
      <c r="BJ341" s="844">
        <f ca="1">SUMPRODUCT(ROUND((0&amp;BJ306:BJ316)*$J306:$J316,0))</f>
        <v>0</v>
      </c>
      <c r="BK341" s="844">
        <f ca="1">SUMPRODUCT(ROUND((0&amp;BK306:BK316)*$K306:$K316,0))</f>
        <v>0</v>
      </c>
      <c r="BL341" s="844">
        <f ca="1">SUMPRODUCT(ROUND((0&amp;BL306:BL316)*$H306:$H316,0))</f>
        <v>0</v>
      </c>
      <c r="BM341" s="844">
        <f ca="1">SUMPRODUCT(ROUND((0&amp;BM306:BM316)*$I306:$I316,0))</f>
        <v>0</v>
      </c>
      <c r="BN341" s="844">
        <f ca="1">SUMPRODUCT(ROUND((0&amp;BN306:BN316)*$J306:$J316,0))</f>
        <v>0</v>
      </c>
      <c r="BO341" s="844">
        <f ca="1">SUMPRODUCT(ROUND((0&amp;BO306:BO316)*$K306:$K316,0))</f>
        <v>0</v>
      </c>
      <c r="BP341" s="802"/>
    </row>
    <row r="342" spans="1:68" ht="20.100000000000001" customHeight="1">
      <c r="A342" s="783"/>
      <c r="B342" s="1596"/>
      <c r="C342" s="1596"/>
      <c r="D342" s="785" t="s">
        <v>810</v>
      </c>
      <c r="E342" s="785" t="s">
        <v>888</v>
      </c>
      <c r="F342" s="810" t="s">
        <v>889</v>
      </c>
      <c r="G342" s="787" t="s">
        <v>807</v>
      </c>
      <c r="H342" s="843"/>
      <c r="I342" s="843"/>
      <c r="J342" s="843"/>
      <c r="K342" s="843"/>
      <c r="L342" s="844">
        <f ca="1">SUMPRODUCT(ROUND((0&amp;L317:L333)*$H317:$H333,0))</f>
        <v>0</v>
      </c>
      <c r="M342" s="844">
        <f ca="1">SUMPRODUCT(ROUND((0&amp;M317:M333)*$I317:$I333,0))</f>
        <v>0</v>
      </c>
      <c r="N342" s="844">
        <f ca="1">SUMPRODUCT(ROUND((0&amp;N317:N333)*$J317:$J333,0))</f>
        <v>0</v>
      </c>
      <c r="O342" s="844">
        <f ca="1">SUMPRODUCT(ROUND((0&amp;O317:O333)*$K317:$K333,0))</f>
        <v>0</v>
      </c>
      <c r="P342" s="844">
        <f ca="1">SUMPRODUCT(ROUND((0&amp;P317:P333)*$H317:$H333,0))</f>
        <v>0</v>
      </c>
      <c r="Q342" s="844">
        <f ca="1">SUMPRODUCT(ROUND((0&amp;Q317:Q333)*$I317:$I333,0))</f>
        <v>0</v>
      </c>
      <c r="R342" s="844">
        <f ca="1">SUMPRODUCT(ROUND((0&amp;R317:R333)*$J317:$J333,0))</f>
        <v>0</v>
      </c>
      <c r="S342" s="844">
        <f ca="1">SUMPRODUCT(ROUND((0&amp;S317:S333)*$K317:$K333,0))</f>
        <v>0</v>
      </c>
      <c r="T342" s="844">
        <f ca="1">SUMPRODUCT(ROUND((0&amp;T317:T333)*$H317:$H333,0))</f>
        <v>0</v>
      </c>
      <c r="U342" s="844">
        <f ca="1">SUMPRODUCT(ROUND((0&amp;U317:U333)*$I317:$I333,0))</f>
        <v>0</v>
      </c>
      <c r="V342" s="844">
        <f ca="1">SUMPRODUCT(ROUND((0&amp;V317:V333)*$J317:$J333,0))</f>
        <v>0</v>
      </c>
      <c r="W342" s="844">
        <f ca="1">SUMPRODUCT(ROUND((0&amp;W317:W333)*$K317:$K333,0))</f>
        <v>0</v>
      </c>
      <c r="X342" s="844">
        <f ca="1">SUMPRODUCT(ROUND((0&amp;X317:X333)*$H317:$H333,0))</f>
        <v>0</v>
      </c>
      <c r="Y342" s="844">
        <f ca="1">SUMPRODUCT(ROUND((0&amp;Y317:Y333)*$I317:$I333,0))</f>
        <v>0</v>
      </c>
      <c r="Z342" s="844">
        <f ca="1">SUMPRODUCT(ROUND((0&amp;Z317:Z333)*$J317:$J333,0))</f>
        <v>0</v>
      </c>
      <c r="AA342" s="844">
        <f ca="1">SUMPRODUCT(ROUND((0&amp;AA317:AA333)*$K317:$K333,0))</f>
        <v>0</v>
      </c>
      <c r="AB342" s="844">
        <f ca="1">SUMPRODUCT(ROUND((0&amp;AB317:AB333)*$H317:$H333,0))</f>
        <v>0</v>
      </c>
      <c r="AC342" s="844">
        <f ca="1">SUMPRODUCT(ROUND((0&amp;AC317:AC333)*$I317:$I333,0))</f>
        <v>0</v>
      </c>
      <c r="AD342" s="844">
        <f ca="1">SUMPRODUCT(ROUND((0&amp;AD317:AD333)*$J317:$J333,0))</f>
        <v>0</v>
      </c>
      <c r="AE342" s="844">
        <f ca="1">SUMPRODUCT(ROUND((0&amp;AE317:AE333)*$K317:$K333,0))</f>
        <v>0</v>
      </c>
      <c r="AF342" s="844">
        <f ca="1">SUMPRODUCT(ROUND((0&amp;AF317:AF333)*$H317:$H333,0))</f>
        <v>0</v>
      </c>
      <c r="AG342" s="844">
        <f ca="1">SUMPRODUCT(ROUND((0&amp;AG317:AG333)*$I317:$I333,0))</f>
        <v>0</v>
      </c>
      <c r="AH342" s="844">
        <f ca="1">SUMPRODUCT(ROUND((0&amp;AH317:AH333)*$J317:$J333,0))</f>
        <v>0</v>
      </c>
      <c r="AI342" s="844">
        <f ca="1">SUMPRODUCT(ROUND((0&amp;AI317:AI333)*$K317:$K333,0))</f>
        <v>0</v>
      </c>
      <c r="AJ342" s="844">
        <f ca="1">SUMPRODUCT(ROUND((0&amp;AJ317:AJ333)*$H317:$H333,0))</f>
        <v>0</v>
      </c>
      <c r="AK342" s="844">
        <f ca="1">SUMPRODUCT(ROUND((0&amp;AK317:AK333)*$I317:$I333,0))</f>
        <v>0</v>
      </c>
      <c r="AL342" s="844">
        <f ca="1">SUMPRODUCT(ROUND((0&amp;AL317:AL333)*$J317:$J333,0))</f>
        <v>0</v>
      </c>
      <c r="AM342" s="844">
        <f ca="1">SUMPRODUCT(ROUND((0&amp;AM317:AM333)*$K317:$K333,0))</f>
        <v>0</v>
      </c>
      <c r="AN342" s="844">
        <f ca="1">SUMPRODUCT(ROUND((0&amp;AN317:AN333)*$H317:$H333,0))</f>
        <v>0</v>
      </c>
      <c r="AO342" s="844">
        <f ca="1">SUMPRODUCT(ROUND((0&amp;AO317:AO333)*$I317:$I333,0))</f>
        <v>0</v>
      </c>
      <c r="AP342" s="844">
        <f ca="1">SUMPRODUCT(ROUND((0&amp;AP317:AP333)*$J317:$J333,0))</f>
        <v>0</v>
      </c>
      <c r="AQ342" s="844">
        <f ca="1">SUMPRODUCT(ROUND((0&amp;AQ317:AQ333)*$K317:$K333,0))</f>
        <v>0</v>
      </c>
      <c r="AR342" s="844">
        <f ca="1">SUMPRODUCT(ROUND((0&amp;AR317:AR333)*$H317:$H333,0))</f>
        <v>0</v>
      </c>
      <c r="AS342" s="844">
        <f ca="1">SUMPRODUCT(ROUND((0&amp;AS317:AS333)*$I317:$I333,0))</f>
        <v>0</v>
      </c>
      <c r="AT342" s="844">
        <f ca="1">SUMPRODUCT(ROUND((0&amp;AT317:AT333)*$J317:$J333,0))</f>
        <v>0</v>
      </c>
      <c r="AU342" s="844">
        <f ca="1">SUMPRODUCT(ROUND((0&amp;AU317:AU333)*$K317:$K333,0))</f>
        <v>0</v>
      </c>
      <c r="AV342" s="844">
        <f ca="1">SUMPRODUCT(ROUND((0&amp;AV317:AV333)*$H317:$H333,0))</f>
        <v>0</v>
      </c>
      <c r="AW342" s="844">
        <f ca="1">SUMPRODUCT(ROUND((0&amp;AW317:AW333)*$I317:$I333,0))</f>
        <v>0</v>
      </c>
      <c r="AX342" s="844">
        <f ca="1">SUMPRODUCT(ROUND((0&amp;AX317:AX333)*$J317:$J333,0))</f>
        <v>0</v>
      </c>
      <c r="AY342" s="844">
        <f ca="1">SUMPRODUCT(ROUND((0&amp;AY317:AY333)*$K317:$K333,0))</f>
        <v>0</v>
      </c>
      <c r="AZ342" s="844">
        <f ca="1">SUMPRODUCT(ROUND((0&amp;AZ317:AZ333)*$H317:$H333,0))</f>
        <v>0</v>
      </c>
      <c r="BA342" s="844">
        <f ca="1">SUMPRODUCT(ROUND((0&amp;BA317:BA333)*$I317:$I333,0))</f>
        <v>0</v>
      </c>
      <c r="BB342" s="844">
        <f ca="1">SUMPRODUCT(ROUND((0&amp;BB317:BB333)*$J317:$J333,0))</f>
        <v>0</v>
      </c>
      <c r="BC342" s="844">
        <f ca="1">SUMPRODUCT(ROUND((0&amp;BC317:BC333)*$K317:$K333,0))</f>
        <v>0</v>
      </c>
      <c r="BD342" s="844">
        <f ca="1">SUMPRODUCT(ROUND((0&amp;BD317:BD333)*$H317:$H333,0))</f>
        <v>0</v>
      </c>
      <c r="BE342" s="844">
        <f ca="1">SUMPRODUCT(ROUND((0&amp;BE317:BE333)*$I317:$I333,0))</f>
        <v>0</v>
      </c>
      <c r="BF342" s="844">
        <f ca="1">SUMPRODUCT(ROUND((0&amp;BF317:BF333)*$J317:$J333,0))</f>
        <v>0</v>
      </c>
      <c r="BG342" s="844">
        <f ca="1">SUMPRODUCT(ROUND((0&amp;BG317:BG333)*$K317:$K333,0))</f>
        <v>0</v>
      </c>
      <c r="BH342" s="844">
        <f ca="1">SUMPRODUCT(ROUND((0&amp;BH317:BH333)*$H317:$H333,0))</f>
        <v>0</v>
      </c>
      <c r="BI342" s="844">
        <f ca="1">SUMPRODUCT(ROUND((0&amp;BI317:BI333)*$I317:$I333,0))</f>
        <v>0</v>
      </c>
      <c r="BJ342" s="844">
        <f ca="1">SUMPRODUCT(ROUND((0&amp;BJ317:BJ333)*$J317:$J333,0))</f>
        <v>0</v>
      </c>
      <c r="BK342" s="844">
        <f ca="1">SUMPRODUCT(ROUND((0&amp;BK317:BK333)*$K317:$K333,0))</f>
        <v>0</v>
      </c>
      <c r="BL342" s="844">
        <f ca="1">SUMPRODUCT(ROUND((0&amp;BL317:BL333)*$H317:$H333,0))</f>
        <v>0</v>
      </c>
      <c r="BM342" s="844">
        <f ca="1">SUMPRODUCT(ROUND((0&amp;BM317:BM333)*$I317:$I333,0))</f>
        <v>0</v>
      </c>
      <c r="BN342" s="844">
        <f ca="1">SUMPRODUCT(ROUND((0&amp;BN317:BN333)*$J317:$J333,0))</f>
        <v>0</v>
      </c>
      <c r="BO342" s="844">
        <f ca="1">SUMPRODUCT(ROUND((0&amp;BO317:BO333)*$K317:$K333,0))</f>
        <v>0</v>
      </c>
      <c r="BP342" s="802"/>
    </row>
    <row r="343" spans="1:68" ht="20.100000000000001" customHeight="1">
      <c r="A343" s="783"/>
      <c r="B343" s="1596"/>
      <c r="C343" s="1596"/>
      <c r="D343" s="785" t="s">
        <v>813</v>
      </c>
      <c r="E343" s="785" t="s">
        <v>890</v>
      </c>
      <c r="F343" s="810" t="s">
        <v>891</v>
      </c>
      <c r="G343" s="787" t="s">
        <v>807</v>
      </c>
      <c r="H343" s="843"/>
      <c r="I343" s="843"/>
      <c r="J343" s="843"/>
      <c r="K343" s="843"/>
      <c r="L343" s="845">
        <f ca="1">SUM(L340:L342)</f>
        <v>0</v>
      </c>
      <c r="M343" s="845">
        <f t="shared" ref="M343:BO343" ca="1" si="590">SUM(M340:M342)</f>
        <v>0</v>
      </c>
      <c r="N343" s="845">
        <f t="shared" ca="1" si="590"/>
        <v>0</v>
      </c>
      <c r="O343" s="845">
        <f t="shared" ca="1" si="590"/>
        <v>0</v>
      </c>
      <c r="P343" s="845">
        <f t="shared" ca="1" si="590"/>
        <v>0</v>
      </c>
      <c r="Q343" s="845">
        <f t="shared" ca="1" si="590"/>
        <v>0</v>
      </c>
      <c r="R343" s="845">
        <f t="shared" ca="1" si="590"/>
        <v>0</v>
      </c>
      <c r="S343" s="845">
        <f t="shared" ca="1" si="590"/>
        <v>0</v>
      </c>
      <c r="T343" s="845">
        <f t="shared" ca="1" si="590"/>
        <v>0</v>
      </c>
      <c r="U343" s="845">
        <f t="shared" ca="1" si="590"/>
        <v>0</v>
      </c>
      <c r="V343" s="845">
        <f t="shared" ca="1" si="590"/>
        <v>0</v>
      </c>
      <c r="W343" s="845">
        <f t="shared" ca="1" si="590"/>
        <v>0</v>
      </c>
      <c r="X343" s="845">
        <f t="shared" ca="1" si="590"/>
        <v>0</v>
      </c>
      <c r="Y343" s="845">
        <f t="shared" ca="1" si="590"/>
        <v>0</v>
      </c>
      <c r="Z343" s="845">
        <f t="shared" ca="1" si="590"/>
        <v>0</v>
      </c>
      <c r="AA343" s="845">
        <f t="shared" ca="1" si="590"/>
        <v>0</v>
      </c>
      <c r="AB343" s="845">
        <f t="shared" ca="1" si="590"/>
        <v>0</v>
      </c>
      <c r="AC343" s="845">
        <f t="shared" ca="1" si="590"/>
        <v>0</v>
      </c>
      <c r="AD343" s="845">
        <f t="shared" ca="1" si="590"/>
        <v>0</v>
      </c>
      <c r="AE343" s="845">
        <f t="shared" ca="1" si="590"/>
        <v>0</v>
      </c>
      <c r="AF343" s="845">
        <f t="shared" ca="1" si="590"/>
        <v>0</v>
      </c>
      <c r="AG343" s="845">
        <f t="shared" ca="1" si="590"/>
        <v>0</v>
      </c>
      <c r="AH343" s="845">
        <f t="shared" ca="1" si="590"/>
        <v>0</v>
      </c>
      <c r="AI343" s="845">
        <f t="shared" ca="1" si="590"/>
        <v>0</v>
      </c>
      <c r="AJ343" s="845">
        <f t="shared" ca="1" si="590"/>
        <v>0</v>
      </c>
      <c r="AK343" s="845">
        <f t="shared" ca="1" si="590"/>
        <v>0</v>
      </c>
      <c r="AL343" s="845">
        <f t="shared" ca="1" si="590"/>
        <v>0</v>
      </c>
      <c r="AM343" s="845">
        <f t="shared" ca="1" si="590"/>
        <v>0</v>
      </c>
      <c r="AN343" s="845">
        <f t="shared" ca="1" si="590"/>
        <v>0</v>
      </c>
      <c r="AO343" s="845">
        <f t="shared" ca="1" si="590"/>
        <v>0</v>
      </c>
      <c r="AP343" s="845">
        <f t="shared" ca="1" si="590"/>
        <v>0</v>
      </c>
      <c r="AQ343" s="845">
        <f t="shared" ca="1" si="590"/>
        <v>0</v>
      </c>
      <c r="AR343" s="845">
        <f t="shared" ca="1" si="590"/>
        <v>0</v>
      </c>
      <c r="AS343" s="845">
        <f t="shared" ca="1" si="590"/>
        <v>0</v>
      </c>
      <c r="AT343" s="845">
        <f t="shared" ca="1" si="590"/>
        <v>0</v>
      </c>
      <c r="AU343" s="845">
        <f t="shared" ca="1" si="590"/>
        <v>0</v>
      </c>
      <c r="AV343" s="845">
        <f t="shared" ca="1" si="590"/>
        <v>0</v>
      </c>
      <c r="AW343" s="845">
        <f t="shared" ca="1" si="590"/>
        <v>0</v>
      </c>
      <c r="AX343" s="845">
        <f t="shared" ca="1" si="590"/>
        <v>0</v>
      </c>
      <c r="AY343" s="845">
        <f t="shared" ca="1" si="590"/>
        <v>0</v>
      </c>
      <c r="AZ343" s="845">
        <f t="shared" ca="1" si="590"/>
        <v>0</v>
      </c>
      <c r="BA343" s="845">
        <f t="shared" ca="1" si="590"/>
        <v>0</v>
      </c>
      <c r="BB343" s="845">
        <f t="shared" ca="1" si="590"/>
        <v>0</v>
      </c>
      <c r="BC343" s="845">
        <f t="shared" ca="1" si="590"/>
        <v>0</v>
      </c>
      <c r="BD343" s="845">
        <f t="shared" ca="1" si="590"/>
        <v>0</v>
      </c>
      <c r="BE343" s="845">
        <f t="shared" ca="1" si="590"/>
        <v>0</v>
      </c>
      <c r="BF343" s="845">
        <f t="shared" ca="1" si="590"/>
        <v>0</v>
      </c>
      <c r="BG343" s="845">
        <f t="shared" ca="1" si="590"/>
        <v>0</v>
      </c>
      <c r="BH343" s="845">
        <f t="shared" ca="1" si="590"/>
        <v>0</v>
      </c>
      <c r="BI343" s="845">
        <f t="shared" ca="1" si="590"/>
        <v>0</v>
      </c>
      <c r="BJ343" s="845">
        <f t="shared" ca="1" si="590"/>
        <v>0</v>
      </c>
      <c r="BK343" s="845">
        <f t="shared" ca="1" si="590"/>
        <v>0</v>
      </c>
      <c r="BL343" s="845">
        <f t="shared" ca="1" si="590"/>
        <v>0</v>
      </c>
      <c r="BM343" s="845">
        <f t="shared" ca="1" si="590"/>
        <v>0</v>
      </c>
      <c r="BN343" s="845">
        <f t="shared" ca="1" si="590"/>
        <v>0</v>
      </c>
      <c r="BO343" s="845">
        <f t="shared" ca="1" si="590"/>
        <v>0</v>
      </c>
      <c r="BP343" s="802"/>
    </row>
    <row r="344" spans="1:68" ht="20.100000000000001" customHeight="1">
      <c r="A344" s="783"/>
      <c r="B344" s="847" t="s">
        <v>892</v>
      </c>
      <c r="C344" s="848"/>
      <c r="D344" s="785"/>
      <c r="E344" s="785" t="s">
        <v>893</v>
      </c>
      <c r="F344" s="810"/>
      <c r="G344" s="787" t="s">
        <v>347</v>
      </c>
      <c r="H344" s="843"/>
      <c r="I344" s="843"/>
      <c r="J344" s="843"/>
      <c r="K344" s="843"/>
      <c r="L344" s="845">
        <f t="shared" ref="L344:O344" ca="1" si="591">ROUND(L343*0.0258,0)</f>
        <v>0</v>
      </c>
      <c r="M344" s="845">
        <f t="shared" ca="1" si="591"/>
        <v>0</v>
      </c>
      <c r="N344" s="845">
        <f t="shared" ca="1" si="591"/>
        <v>0</v>
      </c>
      <c r="O344" s="845">
        <f t="shared" ca="1" si="591"/>
        <v>0</v>
      </c>
      <c r="P344" s="845">
        <f ca="1">ROUND(P343*0.0258,0)</f>
        <v>0</v>
      </c>
      <c r="Q344" s="845">
        <f t="shared" ref="Q344:BO344" ca="1" si="592">ROUND(Q343*0.0258,0)</f>
        <v>0</v>
      </c>
      <c r="R344" s="845">
        <f t="shared" ca="1" si="592"/>
        <v>0</v>
      </c>
      <c r="S344" s="845">
        <f t="shared" ca="1" si="592"/>
        <v>0</v>
      </c>
      <c r="T344" s="845">
        <f t="shared" ca="1" si="592"/>
        <v>0</v>
      </c>
      <c r="U344" s="845">
        <f t="shared" ca="1" si="592"/>
        <v>0</v>
      </c>
      <c r="V344" s="845">
        <f t="shared" ca="1" si="592"/>
        <v>0</v>
      </c>
      <c r="W344" s="845">
        <f t="shared" ca="1" si="592"/>
        <v>0</v>
      </c>
      <c r="X344" s="845">
        <f t="shared" ca="1" si="592"/>
        <v>0</v>
      </c>
      <c r="Y344" s="845">
        <f t="shared" ca="1" si="592"/>
        <v>0</v>
      </c>
      <c r="Z344" s="845">
        <f t="shared" ca="1" si="592"/>
        <v>0</v>
      </c>
      <c r="AA344" s="845">
        <f t="shared" ca="1" si="592"/>
        <v>0</v>
      </c>
      <c r="AB344" s="845">
        <f t="shared" ca="1" si="592"/>
        <v>0</v>
      </c>
      <c r="AC344" s="845">
        <f t="shared" ca="1" si="592"/>
        <v>0</v>
      </c>
      <c r="AD344" s="845">
        <f t="shared" ca="1" si="592"/>
        <v>0</v>
      </c>
      <c r="AE344" s="845">
        <f t="shared" ca="1" si="592"/>
        <v>0</v>
      </c>
      <c r="AF344" s="845">
        <f t="shared" ca="1" si="592"/>
        <v>0</v>
      </c>
      <c r="AG344" s="845">
        <f t="shared" ca="1" si="592"/>
        <v>0</v>
      </c>
      <c r="AH344" s="845">
        <f t="shared" ca="1" si="592"/>
        <v>0</v>
      </c>
      <c r="AI344" s="845">
        <f t="shared" ca="1" si="592"/>
        <v>0</v>
      </c>
      <c r="AJ344" s="845">
        <f t="shared" ca="1" si="592"/>
        <v>0</v>
      </c>
      <c r="AK344" s="845">
        <f t="shared" ca="1" si="592"/>
        <v>0</v>
      </c>
      <c r="AL344" s="845">
        <f t="shared" ca="1" si="592"/>
        <v>0</v>
      </c>
      <c r="AM344" s="845">
        <f t="shared" ca="1" si="592"/>
        <v>0</v>
      </c>
      <c r="AN344" s="845">
        <f t="shared" ca="1" si="592"/>
        <v>0</v>
      </c>
      <c r="AO344" s="845">
        <f t="shared" ca="1" si="592"/>
        <v>0</v>
      </c>
      <c r="AP344" s="845">
        <f t="shared" ca="1" si="592"/>
        <v>0</v>
      </c>
      <c r="AQ344" s="845">
        <f t="shared" ca="1" si="592"/>
        <v>0</v>
      </c>
      <c r="AR344" s="845">
        <f t="shared" ca="1" si="592"/>
        <v>0</v>
      </c>
      <c r="AS344" s="845">
        <f t="shared" ca="1" si="592"/>
        <v>0</v>
      </c>
      <c r="AT344" s="845">
        <f t="shared" ca="1" si="592"/>
        <v>0</v>
      </c>
      <c r="AU344" s="845">
        <f t="shared" ca="1" si="592"/>
        <v>0</v>
      </c>
      <c r="AV344" s="845">
        <f t="shared" ca="1" si="592"/>
        <v>0</v>
      </c>
      <c r="AW344" s="845">
        <f t="shared" ca="1" si="592"/>
        <v>0</v>
      </c>
      <c r="AX344" s="845">
        <f t="shared" ca="1" si="592"/>
        <v>0</v>
      </c>
      <c r="AY344" s="845">
        <f t="shared" ca="1" si="592"/>
        <v>0</v>
      </c>
      <c r="AZ344" s="845">
        <f t="shared" ca="1" si="592"/>
        <v>0</v>
      </c>
      <c r="BA344" s="845">
        <f t="shared" ca="1" si="592"/>
        <v>0</v>
      </c>
      <c r="BB344" s="845">
        <f t="shared" ca="1" si="592"/>
        <v>0</v>
      </c>
      <c r="BC344" s="845">
        <f t="shared" ca="1" si="592"/>
        <v>0</v>
      </c>
      <c r="BD344" s="845">
        <f t="shared" ca="1" si="592"/>
        <v>0</v>
      </c>
      <c r="BE344" s="845">
        <f t="shared" ca="1" si="592"/>
        <v>0</v>
      </c>
      <c r="BF344" s="845">
        <f t="shared" ca="1" si="592"/>
        <v>0</v>
      </c>
      <c r="BG344" s="845">
        <f t="shared" ca="1" si="592"/>
        <v>0</v>
      </c>
      <c r="BH344" s="845">
        <f t="shared" ca="1" si="592"/>
        <v>0</v>
      </c>
      <c r="BI344" s="845">
        <f t="shared" ca="1" si="592"/>
        <v>0</v>
      </c>
      <c r="BJ344" s="845">
        <f t="shared" ca="1" si="592"/>
        <v>0</v>
      </c>
      <c r="BK344" s="845">
        <f t="shared" ca="1" si="592"/>
        <v>0</v>
      </c>
      <c r="BL344" s="845">
        <f t="shared" ca="1" si="592"/>
        <v>0</v>
      </c>
      <c r="BM344" s="845">
        <f t="shared" ca="1" si="592"/>
        <v>0</v>
      </c>
      <c r="BN344" s="845">
        <f t="shared" ca="1" si="592"/>
        <v>0</v>
      </c>
      <c r="BO344" s="845">
        <f t="shared" ca="1" si="592"/>
        <v>0</v>
      </c>
      <c r="BP344" s="802"/>
    </row>
    <row r="345" spans="1:68" ht="20.100000000000001" customHeight="1">
      <c r="A345" s="780">
        <v>4</v>
      </c>
      <c r="B345" s="780" t="s">
        <v>894</v>
      </c>
      <c r="C345" s="781"/>
      <c r="D345" s="781"/>
      <c r="E345" s="781"/>
      <c r="F345" s="781"/>
      <c r="G345" s="782"/>
      <c r="H345" s="879"/>
      <c r="I345" s="879"/>
      <c r="J345" s="879"/>
      <c r="K345" s="879"/>
      <c r="L345" s="879"/>
      <c r="M345" s="879"/>
      <c r="N345" s="879"/>
      <c r="O345" s="879"/>
      <c r="P345" s="879"/>
      <c r="Q345" s="879"/>
      <c r="R345" s="879"/>
      <c r="S345" s="879"/>
      <c r="T345" s="879"/>
      <c r="U345" s="879"/>
      <c r="V345" s="879"/>
      <c r="W345" s="879"/>
      <c r="X345" s="879"/>
      <c r="Y345" s="879"/>
      <c r="Z345" s="879"/>
      <c r="AA345" s="879"/>
      <c r="AB345" s="879"/>
      <c r="AC345" s="879"/>
      <c r="AD345" s="879"/>
      <c r="AE345" s="879"/>
      <c r="AF345" s="879"/>
      <c r="AG345" s="879"/>
      <c r="AH345" s="879"/>
      <c r="AI345" s="879"/>
      <c r="AJ345" s="879"/>
      <c r="AK345" s="879"/>
      <c r="AL345" s="879"/>
      <c r="AM345" s="879"/>
      <c r="AN345" s="879"/>
      <c r="AO345" s="879"/>
      <c r="AP345" s="879"/>
      <c r="AQ345" s="879"/>
      <c r="AR345" s="879"/>
      <c r="AS345" s="879"/>
      <c r="AT345" s="879"/>
      <c r="AU345" s="879"/>
      <c r="AV345" s="879"/>
      <c r="AW345" s="879"/>
      <c r="AX345" s="879"/>
      <c r="AY345" s="879"/>
      <c r="AZ345" s="879"/>
      <c r="BA345" s="879"/>
      <c r="BB345" s="879"/>
      <c r="BC345" s="879"/>
      <c r="BD345" s="879"/>
      <c r="BE345" s="879"/>
      <c r="BF345" s="879"/>
      <c r="BG345" s="879"/>
      <c r="BH345" s="879"/>
      <c r="BI345" s="879"/>
      <c r="BJ345" s="879"/>
      <c r="BK345" s="879"/>
      <c r="BL345" s="879"/>
      <c r="BM345" s="879"/>
      <c r="BN345" s="879"/>
      <c r="BO345" s="879"/>
    </row>
    <row r="346" spans="1:68" ht="20.100000000000001" customHeight="1">
      <c r="A346" s="783"/>
      <c r="B346" s="780" t="s">
        <v>781</v>
      </c>
      <c r="C346" s="781"/>
      <c r="D346" s="781"/>
      <c r="E346" s="781"/>
      <c r="F346" s="781"/>
      <c r="G346" s="782"/>
      <c r="H346" s="879"/>
      <c r="I346" s="879"/>
      <c r="J346" s="879"/>
      <c r="K346" s="879"/>
      <c r="L346" s="879"/>
      <c r="M346" s="879"/>
      <c r="N346" s="879"/>
      <c r="O346" s="879"/>
      <c r="P346" s="879"/>
      <c r="Q346" s="879"/>
      <c r="R346" s="879"/>
      <c r="S346" s="879"/>
      <c r="T346" s="879"/>
      <c r="U346" s="879"/>
      <c r="V346" s="879"/>
      <c r="W346" s="879"/>
      <c r="X346" s="879"/>
      <c r="Y346" s="879"/>
      <c r="Z346" s="879"/>
      <c r="AA346" s="879"/>
      <c r="AB346" s="879"/>
      <c r="AC346" s="879"/>
      <c r="AD346" s="879"/>
      <c r="AE346" s="879"/>
      <c r="AF346" s="879"/>
      <c r="AG346" s="879"/>
      <c r="AH346" s="879"/>
      <c r="AI346" s="879"/>
      <c r="AJ346" s="879"/>
      <c r="AK346" s="879"/>
      <c r="AL346" s="879"/>
      <c r="AM346" s="879"/>
      <c r="AN346" s="879"/>
      <c r="AO346" s="879"/>
      <c r="AP346" s="879"/>
      <c r="AQ346" s="879"/>
      <c r="AR346" s="879"/>
      <c r="AS346" s="879"/>
      <c r="AT346" s="879"/>
      <c r="AU346" s="879"/>
      <c r="AV346" s="879"/>
      <c r="AW346" s="879"/>
      <c r="AX346" s="879"/>
      <c r="AY346" s="879"/>
      <c r="AZ346" s="879"/>
      <c r="BA346" s="879"/>
      <c r="BB346" s="879"/>
      <c r="BC346" s="879"/>
      <c r="BD346" s="879"/>
      <c r="BE346" s="879"/>
      <c r="BF346" s="879"/>
      <c r="BG346" s="879"/>
      <c r="BH346" s="879"/>
      <c r="BI346" s="879"/>
      <c r="BJ346" s="879"/>
      <c r="BK346" s="879"/>
      <c r="BL346" s="879"/>
      <c r="BM346" s="879"/>
      <c r="BN346" s="879"/>
      <c r="BO346" s="879"/>
    </row>
    <row r="347" spans="1:68" ht="20.100000000000001" hidden="1" customHeight="1" outlineLevel="1">
      <c r="A347" s="784"/>
      <c r="B347" s="1593" t="s">
        <v>420</v>
      </c>
      <c r="C347" s="1596" t="s">
        <v>345</v>
      </c>
      <c r="D347" s="785" t="s">
        <v>346</v>
      </c>
      <c r="E347" s="785"/>
      <c r="F347" s="786"/>
      <c r="G347" s="787" t="s">
        <v>453</v>
      </c>
      <c r="H347" s="843"/>
      <c r="I347" s="843"/>
      <c r="J347" s="843"/>
      <c r="K347" s="843"/>
      <c r="L347" s="904"/>
      <c r="M347" s="904"/>
      <c r="N347" s="904"/>
      <c r="O347" s="904"/>
      <c r="P347" s="904"/>
      <c r="Q347" s="904"/>
      <c r="R347" s="904"/>
      <c r="S347" s="904"/>
      <c r="T347" s="904"/>
      <c r="U347" s="904"/>
      <c r="V347" s="904"/>
      <c r="W347" s="904"/>
      <c r="X347" s="904"/>
      <c r="Y347" s="904"/>
      <c r="Z347" s="904"/>
      <c r="AA347" s="904"/>
      <c r="AB347" s="904"/>
      <c r="AC347" s="904"/>
      <c r="AD347" s="904"/>
      <c r="AE347" s="904"/>
      <c r="AF347" s="904"/>
      <c r="AG347" s="904"/>
      <c r="AH347" s="904"/>
      <c r="AI347" s="904"/>
      <c r="AJ347" s="904"/>
      <c r="AK347" s="904"/>
      <c r="AL347" s="904"/>
      <c r="AM347" s="904"/>
      <c r="AN347" s="904"/>
      <c r="AO347" s="904"/>
      <c r="AP347" s="904"/>
      <c r="AQ347" s="904"/>
      <c r="AR347" s="904"/>
      <c r="AS347" s="904"/>
      <c r="AT347" s="904"/>
      <c r="AU347" s="904"/>
      <c r="AV347" s="904"/>
      <c r="AW347" s="904"/>
      <c r="AX347" s="904"/>
      <c r="AY347" s="904"/>
      <c r="AZ347" s="904"/>
      <c r="BA347" s="904"/>
      <c r="BB347" s="904"/>
      <c r="BC347" s="904"/>
      <c r="BD347" s="904"/>
      <c r="BE347" s="904"/>
      <c r="BF347" s="904"/>
      <c r="BG347" s="904"/>
      <c r="BH347" s="904"/>
      <c r="BI347" s="904"/>
      <c r="BJ347" s="904"/>
      <c r="BK347" s="904"/>
      <c r="BL347" s="904"/>
      <c r="BM347" s="904"/>
      <c r="BN347" s="904"/>
      <c r="BO347" s="904"/>
    </row>
    <row r="348" spans="1:68" ht="20.100000000000001" hidden="1" customHeight="1" outlineLevel="1">
      <c r="A348" s="784"/>
      <c r="B348" s="1594"/>
      <c r="C348" s="1596"/>
      <c r="D348" s="785" t="s">
        <v>349</v>
      </c>
      <c r="E348" s="785"/>
      <c r="F348" s="786"/>
      <c r="G348" s="787" t="s">
        <v>453</v>
      </c>
      <c r="H348" s="843"/>
      <c r="I348" s="843"/>
      <c r="J348" s="843"/>
      <c r="K348" s="843"/>
      <c r="L348" s="904"/>
      <c r="M348" s="904"/>
      <c r="N348" s="904"/>
      <c r="O348" s="904"/>
      <c r="P348" s="904"/>
      <c r="Q348" s="904"/>
      <c r="R348" s="904"/>
      <c r="S348" s="904"/>
      <c r="T348" s="904"/>
      <c r="U348" s="904"/>
      <c r="V348" s="904"/>
      <c r="W348" s="904"/>
      <c r="X348" s="904"/>
      <c r="Y348" s="904"/>
      <c r="Z348" s="904"/>
      <c r="AA348" s="904"/>
      <c r="AB348" s="904"/>
      <c r="AC348" s="904"/>
      <c r="AD348" s="904"/>
      <c r="AE348" s="904"/>
      <c r="AF348" s="904"/>
      <c r="AG348" s="904"/>
      <c r="AH348" s="904"/>
      <c r="AI348" s="904"/>
      <c r="AJ348" s="904"/>
      <c r="AK348" s="904"/>
      <c r="AL348" s="904"/>
      <c r="AM348" s="904"/>
      <c r="AN348" s="904"/>
      <c r="AO348" s="904"/>
      <c r="AP348" s="904"/>
      <c r="AQ348" s="904"/>
      <c r="AR348" s="904"/>
      <c r="AS348" s="904"/>
      <c r="AT348" s="904"/>
      <c r="AU348" s="904"/>
      <c r="AV348" s="904"/>
      <c r="AW348" s="904"/>
      <c r="AX348" s="904"/>
      <c r="AY348" s="904"/>
      <c r="AZ348" s="904"/>
      <c r="BA348" s="904"/>
      <c r="BB348" s="904"/>
      <c r="BC348" s="904"/>
      <c r="BD348" s="904"/>
      <c r="BE348" s="904"/>
      <c r="BF348" s="904"/>
      <c r="BG348" s="904"/>
      <c r="BH348" s="904"/>
      <c r="BI348" s="904"/>
      <c r="BJ348" s="904"/>
      <c r="BK348" s="904"/>
      <c r="BL348" s="904"/>
      <c r="BM348" s="904"/>
      <c r="BN348" s="904"/>
      <c r="BO348" s="904"/>
    </row>
    <row r="349" spans="1:68" ht="20.100000000000001" hidden="1" customHeight="1" outlineLevel="1">
      <c r="A349" s="784"/>
      <c r="B349" s="1595"/>
      <c r="C349" s="1596"/>
      <c r="D349" s="785" t="s">
        <v>350</v>
      </c>
      <c r="E349" s="785"/>
      <c r="F349" s="786"/>
      <c r="G349" s="787" t="s">
        <v>453</v>
      </c>
      <c r="H349" s="843"/>
      <c r="I349" s="843"/>
      <c r="J349" s="843"/>
      <c r="K349" s="843"/>
      <c r="L349" s="904"/>
      <c r="M349" s="904"/>
      <c r="N349" s="904"/>
      <c r="O349" s="904"/>
      <c r="P349" s="904"/>
      <c r="Q349" s="904"/>
      <c r="R349" s="904"/>
      <c r="S349" s="904"/>
      <c r="T349" s="904"/>
      <c r="U349" s="904"/>
      <c r="V349" s="904"/>
      <c r="W349" s="904"/>
      <c r="X349" s="904"/>
      <c r="Y349" s="904"/>
      <c r="Z349" s="904"/>
      <c r="AA349" s="904"/>
      <c r="AB349" s="904"/>
      <c r="AC349" s="904"/>
      <c r="AD349" s="904"/>
      <c r="AE349" s="904"/>
      <c r="AF349" s="904"/>
      <c r="AG349" s="904"/>
      <c r="AH349" s="904"/>
      <c r="AI349" s="904"/>
      <c r="AJ349" s="904"/>
      <c r="AK349" s="904"/>
      <c r="AL349" s="904"/>
      <c r="AM349" s="904"/>
      <c r="AN349" s="904"/>
      <c r="AO349" s="904"/>
      <c r="AP349" s="904"/>
      <c r="AQ349" s="904"/>
      <c r="AR349" s="904"/>
      <c r="AS349" s="904"/>
      <c r="AT349" s="904"/>
      <c r="AU349" s="904"/>
      <c r="AV349" s="904"/>
      <c r="AW349" s="904"/>
      <c r="AX349" s="904"/>
      <c r="AY349" s="904"/>
      <c r="AZ349" s="904"/>
      <c r="BA349" s="904"/>
      <c r="BB349" s="904"/>
      <c r="BC349" s="904"/>
      <c r="BD349" s="904"/>
      <c r="BE349" s="904"/>
      <c r="BF349" s="904"/>
      <c r="BG349" s="904"/>
      <c r="BH349" s="904"/>
      <c r="BI349" s="904"/>
      <c r="BJ349" s="904"/>
      <c r="BK349" s="904"/>
      <c r="BL349" s="904"/>
      <c r="BM349" s="904"/>
      <c r="BN349" s="904"/>
      <c r="BO349" s="904"/>
    </row>
    <row r="350" spans="1:68" ht="20.100000000000001" hidden="1" customHeight="1" outlineLevel="1">
      <c r="A350" s="784"/>
      <c r="B350" s="1594"/>
      <c r="C350" s="1596"/>
      <c r="D350" s="785" t="s">
        <v>351</v>
      </c>
      <c r="E350" s="785"/>
      <c r="F350" s="786"/>
      <c r="G350" s="787" t="s">
        <v>453</v>
      </c>
      <c r="H350" s="843"/>
      <c r="I350" s="843"/>
      <c r="J350" s="843"/>
      <c r="K350" s="843"/>
      <c r="L350" s="904"/>
      <c r="M350" s="904"/>
      <c r="N350" s="904"/>
      <c r="O350" s="904"/>
      <c r="P350" s="904"/>
      <c r="Q350" s="904"/>
      <c r="R350" s="904"/>
      <c r="S350" s="904"/>
      <c r="T350" s="904"/>
      <c r="U350" s="904"/>
      <c r="V350" s="904"/>
      <c r="W350" s="904"/>
      <c r="X350" s="904"/>
      <c r="Y350" s="904"/>
      <c r="Z350" s="904"/>
      <c r="AA350" s="904"/>
      <c r="AB350" s="904"/>
      <c r="AC350" s="904"/>
      <c r="AD350" s="904"/>
      <c r="AE350" s="904"/>
      <c r="AF350" s="904"/>
      <c r="AG350" s="904"/>
      <c r="AH350" s="904"/>
      <c r="AI350" s="904"/>
      <c r="AJ350" s="904"/>
      <c r="AK350" s="904"/>
      <c r="AL350" s="904"/>
      <c r="AM350" s="904"/>
      <c r="AN350" s="904"/>
      <c r="AO350" s="904"/>
      <c r="AP350" s="904"/>
      <c r="AQ350" s="904"/>
      <c r="AR350" s="904"/>
      <c r="AS350" s="904"/>
      <c r="AT350" s="904"/>
      <c r="AU350" s="904"/>
      <c r="AV350" s="904"/>
      <c r="AW350" s="904"/>
      <c r="AX350" s="904"/>
      <c r="AY350" s="904"/>
      <c r="AZ350" s="904"/>
      <c r="BA350" s="904"/>
      <c r="BB350" s="904"/>
      <c r="BC350" s="904"/>
      <c r="BD350" s="904"/>
      <c r="BE350" s="904"/>
      <c r="BF350" s="904"/>
      <c r="BG350" s="904"/>
      <c r="BH350" s="904"/>
      <c r="BI350" s="904"/>
      <c r="BJ350" s="904"/>
      <c r="BK350" s="904"/>
      <c r="BL350" s="904"/>
      <c r="BM350" s="904"/>
      <c r="BN350" s="904"/>
      <c r="BO350" s="904"/>
    </row>
    <row r="351" spans="1:68" ht="20.100000000000001" hidden="1" customHeight="1" outlineLevel="1">
      <c r="A351" s="784"/>
      <c r="B351" s="1594"/>
      <c r="C351" s="1596"/>
      <c r="D351" s="785" t="s">
        <v>352</v>
      </c>
      <c r="E351" s="785"/>
      <c r="F351" s="786"/>
      <c r="G351" s="787" t="s">
        <v>453</v>
      </c>
      <c r="H351" s="843"/>
      <c r="I351" s="843"/>
      <c r="J351" s="843"/>
      <c r="K351" s="843"/>
      <c r="L351" s="904"/>
      <c r="M351" s="904"/>
      <c r="N351" s="904"/>
      <c r="O351" s="904"/>
      <c r="P351" s="904"/>
      <c r="Q351" s="904"/>
      <c r="R351" s="904"/>
      <c r="S351" s="904"/>
      <c r="T351" s="904"/>
      <c r="U351" s="904"/>
      <c r="V351" s="904"/>
      <c r="W351" s="904"/>
      <c r="X351" s="904"/>
      <c r="Y351" s="904"/>
      <c r="Z351" s="904"/>
      <c r="AA351" s="904"/>
      <c r="AB351" s="904"/>
      <c r="AC351" s="904"/>
      <c r="AD351" s="904"/>
      <c r="AE351" s="904"/>
      <c r="AF351" s="904"/>
      <c r="AG351" s="904"/>
      <c r="AH351" s="904"/>
      <c r="AI351" s="904"/>
      <c r="AJ351" s="904"/>
      <c r="AK351" s="904"/>
      <c r="AL351" s="904"/>
      <c r="AM351" s="904"/>
      <c r="AN351" s="904"/>
      <c r="AO351" s="904"/>
      <c r="AP351" s="904"/>
      <c r="AQ351" s="904"/>
      <c r="AR351" s="904"/>
      <c r="AS351" s="904"/>
      <c r="AT351" s="904"/>
      <c r="AU351" s="904"/>
      <c r="AV351" s="904"/>
      <c r="AW351" s="904"/>
      <c r="AX351" s="904"/>
      <c r="AY351" s="904"/>
      <c r="AZ351" s="904"/>
      <c r="BA351" s="904"/>
      <c r="BB351" s="904"/>
      <c r="BC351" s="904"/>
      <c r="BD351" s="904"/>
      <c r="BE351" s="904"/>
      <c r="BF351" s="904"/>
      <c r="BG351" s="904"/>
      <c r="BH351" s="904"/>
      <c r="BI351" s="904"/>
      <c r="BJ351" s="904"/>
      <c r="BK351" s="904"/>
      <c r="BL351" s="904"/>
      <c r="BM351" s="904"/>
      <c r="BN351" s="904"/>
      <c r="BO351" s="904"/>
    </row>
    <row r="352" spans="1:68" ht="20.100000000000001" hidden="1" customHeight="1" outlineLevel="1">
      <c r="A352" s="784"/>
      <c r="B352" s="1595"/>
      <c r="C352" s="1596"/>
      <c r="D352" s="785" t="s">
        <v>353</v>
      </c>
      <c r="E352" s="785"/>
      <c r="F352" s="786"/>
      <c r="G352" s="787" t="s">
        <v>453</v>
      </c>
      <c r="H352" s="843"/>
      <c r="I352" s="843"/>
      <c r="J352" s="843"/>
      <c r="K352" s="843"/>
      <c r="L352" s="904"/>
      <c r="M352" s="904"/>
      <c r="N352" s="904"/>
      <c r="O352" s="904"/>
      <c r="P352" s="904"/>
      <c r="Q352" s="904"/>
      <c r="R352" s="904"/>
      <c r="S352" s="904"/>
      <c r="T352" s="904"/>
      <c r="U352" s="904"/>
      <c r="V352" s="904"/>
      <c r="W352" s="904"/>
      <c r="X352" s="904"/>
      <c r="Y352" s="904"/>
      <c r="Z352" s="904"/>
      <c r="AA352" s="904"/>
      <c r="AB352" s="904"/>
      <c r="AC352" s="904"/>
      <c r="AD352" s="904"/>
      <c r="AE352" s="904"/>
      <c r="AF352" s="904"/>
      <c r="AG352" s="904"/>
      <c r="AH352" s="904"/>
      <c r="AI352" s="904"/>
      <c r="AJ352" s="904"/>
      <c r="AK352" s="904"/>
      <c r="AL352" s="904"/>
      <c r="AM352" s="904"/>
      <c r="AN352" s="904"/>
      <c r="AO352" s="904"/>
      <c r="AP352" s="904"/>
      <c r="AQ352" s="904"/>
      <c r="AR352" s="904"/>
      <c r="AS352" s="904"/>
      <c r="AT352" s="904"/>
      <c r="AU352" s="904"/>
      <c r="AV352" s="904"/>
      <c r="AW352" s="904"/>
      <c r="AX352" s="904"/>
      <c r="AY352" s="904"/>
      <c r="AZ352" s="904"/>
      <c r="BA352" s="904"/>
      <c r="BB352" s="904"/>
      <c r="BC352" s="904"/>
      <c r="BD352" s="904"/>
      <c r="BE352" s="904"/>
      <c r="BF352" s="904"/>
      <c r="BG352" s="904"/>
      <c r="BH352" s="904"/>
      <c r="BI352" s="904"/>
      <c r="BJ352" s="904"/>
      <c r="BK352" s="904"/>
      <c r="BL352" s="904"/>
      <c r="BM352" s="904"/>
      <c r="BN352" s="904"/>
      <c r="BO352" s="904"/>
    </row>
    <row r="353" spans="1:67" ht="20.100000000000001" hidden="1" customHeight="1" outlineLevel="1">
      <c r="A353" s="784"/>
      <c r="B353" s="1595"/>
      <c r="C353" s="1596"/>
      <c r="D353" s="785" t="s">
        <v>354</v>
      </c>
      <c r="E353" s="785"/>
      <c r="F353" s="786"/>
      <c r="G353" s="787" t="s">
        <v>453</v>
      </c>
      <c r="H353" s="843"/>
      <c r="I353" s="843"/>
      <c r="J353" s="843"/>
      <c r="K353" s="843"/>
      <c r="L353" s="904"/>
      <c r="M353" s="904"/>
      <c r="N353" s="904"/>
      <c r="O353" s="904"/>
      <c r="P353" s="904"/>
      <c r="Q353" s="904"/>
      <c r="R353" s="904"/>
      <c r="S353" s="904"/>
      <c r="T353" s="904"/>
      <c r="U353" s="904"/>
      <c r="V353" s="904"/>
      <c r="W353" s="904"/>
      <c r="X353" s="904"/>
      <c r="Y353" s="904"/>
      <c r="Z353" s="904"/>
      <c r="AA353" s="904"/>
      <c r="AB353" s="904"/>
      <c r="AC353" s="904"/>
      <c r="AD353" s="904"/>
      <c r="AE353" s="904"/>
      <c r="AF353" s="904"/>
      <c r="AG353" s="904"/>
      <c r="AH353" s="904"/>
      <c r="AI353" s="904"/>
      <c r="AJ353" s="904"/>
      <c r="AK353" s="904"/>
      <c r="AL353" s="904"/>
      <c r="AM353" s="904"/>
      <c r="AN353" s="904"/>
      <c r="AO353" s="904"/>
      <c r="AP353" s="904"/>
      <c r="AQ353" s="904"/>
      <c r="AR353" s="904"/>
      <c r="AS353" s="904"/>
      <c r="AT353" s="904"/>
      <c r="AU353" s="904"/>
      <c r="AV353" s="904"/>
      <c r="AW353" s="904"/>
      <c r="AX353" s="904"/>
      <c r="AY353" s="904"/>
      <c r="AZ353" s="904"/>
      <c r="BA353" s="904"/>
      <c r="BB353" s="904"/>
      <c r="BC353" s="904"/>
      <c r="BD353" s="904"/>
      <c r="BE353" s="904"/>
      <c r="BF353" s="904"/>
      <c r="BG353" s="904"/>
      <c r="BH353" s="904"/>
      <c r="BI353" s="904"/>
      <c r="BJ353" s="904"/>
      <c r="BK353" s="904"/>
      <c r="BL353" s="904"/>
      <c r="BM353" s="904"/>
      <c r="BN353" s="904"/>
      <c r="BO353" s="904"/>
    </row>
    <row r="354" spans="1:67" ht="20.100000000000001" hidden="1" customHeight="1" outlineLevel="1">
      <c r="A354" s="784"/>
      <c r="B354" s="1594"/>
      <c r="C354" s="1596"/>
      <c r="D354" s="785" t="s">
        <v>355</v>
      </c>
      <c r="E354" s="785"/>
      <c r="F354" s="786"/>
      <c r="G354" s="787" t="s">
        <v>453</v>
      </c>
      <c r="H354" s="843"/>
      <c r="I354" s="843"/>
      <c r="J354" s="843"/>
      <c r="K354" s="843"/>
      <c r="L354" s="904"/>
      <c r="M354" s="904"/>
      <c r="N354" s="904"/>
      <c r="O354" s="904"/>
      <c r="P354" s="904"/>
      <c r="Q354" s="904"/>
      <c r="R354" s="904"/>
      <c r="S354" s="904"/>
      <c r="T354" s="904"/>
      <c r="U354" s="904"/>
      <c r="V354" s="904"/>
      <c r="W354" s="904"/>
      <c r="X354" s="904"/>
      <c r="Y354" s="904"/>
      <c r="Z354" s="904"/>
      <c r="AA354" s="904"/>
      <c r="AB354" s="904"/>
      <c r="AC354" s="904"/>
      <c r="AD354" s="904"/>
      <c r="AE354" s="904"/>
      <c r="AF354" s="904"/>
      <c r="AG354" s="904"/>
      <c r="AH354" s="904"/>
      <c r="AI354" s="904"/>
      <c r="AJ354" s="904"/>
      <c r="AK354" s="904"/>
      <c r="AL354" s="904"/>
      <c r="AM354" s="904"/>
      <c r="AN354" s="904"/>
      <c r="AO354" s="904"/>
      <c r="AP354" s="904"/>
      <c r="AQ354" s="904"/>
      <c r="AR354" s="904"/>
      <c r="AS354" s="904"/>
      <c r="AT354" s="904"/>
      <c r="AU354" s="904"/>
      <c r="AV354" s="904"/>
      <c r="AW354" s="904"/>
      <c r="AX354" s="904"/>
      <c r="AY354" s="904"/>
      <c r="AZ354" s="904"/>
      <c r="BA354" s="904"/>
      <c r="BB354" s="904"/>
      <c r="BC354" s="904"/>
      <c r="BD354" s="904"/>
      <c r="BE354" s="904"/>
      <c r="BF354" s="904"/>
      <c r="BG354" s="904"/>
      <c r="BH354" s="904"/>
      <c r="BI354" s="904"/>
      <c r="BJ354" s="904"/>
      <c r="BK354" s="904"/>
      <c r="BL354" s="904"/>
      <c r="BM354" s="904"/>
      <c r="BN354" s="904"/>
      <c r="BO354" s="904"/>
    </row>
    <row r="355" spans="1:67" ht="20.100000000000001" hidden="1" customHeight="1" outlineLevel="1">
      <c r="A355" s="784"/>
      <c r="B355" s="1594"/>
      <c r="C355" s="1596"/>
      <c r="D355" s="785" t="s">
        <v>356</v>
      </c>
      <c r="E355" s="779"/>
      <c r="F355" s="786"/>
      <c r="G355" s="787" t="s">
        <v>453</v>
      </c>
      <c r="H355" s="843"/>
      <c r="I355" s="843"/>
      <c r="J355" s="843"/>
      <c r="K355" s="843"/>
      <c r="L355" s="904"/>
      <c r="M355" s="904"/>
      <c r="N355" s="904"/>
      <c r="O355" s="904"/>
      <c r="P355" s="904"/>
      <c r="Q355" s="904"/>
      <c r="R355" s="904"/>
      <c r="S355" s="904"/>
      <c r="T355" s="904"/>
      <c r="U355" s="904"/>
      <c r="V355" s="904"/>
      <c r="W355" s="904"/>
      <c r="X355" s="904"/>
      <c r="Y355" s="904"/>
      <c r="Z355" s="904"/>
      <c r="AA355" s="904"/>
      <c r="AB355" s="904"/>
      <c r="AC355" s="904"/>
      <c r="AD355" s="904"/>
      <c r="AE355" s="904"/>
      <c r="AF355" s="904"/>
      <c r="AG355" s="904"/>
      <c r="AH355" s="904"/>
      <c r="AI355" s="904"/>
      <c r="AJ355" s="904"/>
      <c r="AK355" s="904"/>
      <c r="AL355" s="904"/>
      <c r="AM355" s="904"/>
      <c r="AN355" s="904"/>
      <c r="AO355" s="904"/>
      <c r="AP355" s="904"/>
      <c r="AQ355" s="904"/>
      <c r="AR355" s="904"/>
      <c r="AS355" s="904"/>
      <c r="AT355" s="904"/>
      <c r="AU355" s="904"/>
      <c r="AV355" s="904"/>
      <c r="AW355" s="904"/>
      <c r="AX355" s="904"/>
      <c r="AY355" s="904"/>
      <c r="AZ355" s="904"/>
      <c r="BA355" s="904"/>
      <c r="BB355" s="904"/>
      <c r="BC355" s="904"/>
      <c r="BD355" s="904"/>
      <c r="BE355" s="904"/>
      <c r="BF355" s="904"/>
      <c r="BG355" s="904"/>
      <c r="BH355" s="904"/>
      <c r="BI355" s="904"/>
      <c r="BJ355" s="904"/>
      <c r="BK355" s="904"/>
      <c r="BL355" s="904"/>
      <c r="BM355" s="904"/>
      <c r="BN355" s="904"/>
      <c r="BO355" s="904"/>
    </row>
    <row r="356" spans="1:67" ht="20.100000000000001" hidden="1" customHeight="1" outlineLevel="1">
      <c r="A356" s="784"/>
      <c r="B356" s="1594"/>
      <c r="C356" s="1596"/>
      <c r="D356" s="785" t="s">
        <v>358</v>
      </c>
      <c r="E356" s="785"/>
      <c r="F356" s="786"/>
      <c r="G356" s="787" t="s">
        <v>455</v>
      </c>
      <c r="H356" s="843"/>
      <c r="I356" s="843"/>
      <c r="J356" s="843"/>
      <c r="K356" s="843"/>
      <c r="L356" s="904"/>
      <c r="M356" s="904"/>
      <c r="N356" s="904"/>
      <c r="O356" s="904"/>
      <c r="P356" s="904"/>
      <c r="Q356" s="904"/>
      <c r="R356" s="904"/>
      <c r="S356" s="904"/>
      <c r="T356" s="904"/>
      <c r="U356" s="904"/>
      <c r="V356" s="904"/>
      <c r="W356" s="904"/>
      <c r="X356" s="904"/>
      <c r="Y356" s="904"/>
      <c r="Z356" s="904"/>
      <c r="AA356" s="904"/>
      <c r="AB356" s="904"/>
      <c r="AC356" s="904"/>
      <c r="AD356" s="904"/>
      <c r="AE356" s="904"/>
      <c r="AF356" s="904"/>
      <c r="AG356" s="904"/>
      <c r="AH356" s="904"/>
      <c r="AI356" s="904"/>
      <c r="AJ356" s="904"/>
      <c r="AK356" s="904"/>
      <c r="AL356" s="904"/>
      <c r="AM356" s="904"/>
      <c r="AN356" s="904"/>
      <c r="AO356" s="904"/>
      <c r="AP356" s="904"/>
      <c r="AQ356" s="904"/>
      <c r="AR356" s="904"/>
      <c r="AS356" s="904"/>
      <c r="AT356" s="904"/>
      <c r="AU356" s="904"/>
      <c r="AV356" s="904"/>
      <c r="AW356" s="904"/>
      <c r="AX356" s="904"/>
      <c r="AY356" s="904"/>
      <c r="AZ356" s="904"/>
      <c r="BA356" s="904"/>
      <c r="BB356" s="904"/>
      <c r="BC356" s="904"/>
      <c r="BD356" s="904"/>
      <c r="BE356" s="904"/>
      <c r="BF356" s="904"/>
      <c r="BG356" s="904"/>
      <c r="BH356" s="904"/>
      <c r="BI356" s="904"/>
      <c r="BJ356" s="904"/>
      <c r="BK356" s="904"/>
      <c r="BL356" s="904"/>
      <c r="BM356" s="904"/>
      <c r="BN356" s="904"/>
      <c r="BO356" s="904"/>
    </row>
    <row r="357" spans="1:67" ht="20.100000000000001" hidden="1" customHeight="1" outlineLevel="1">
      <c r="A357" s="784"/>
      <c r="B357" s="1594"/>
      <c r="C357" s="1596"/>
      <c r="D357" s="785" t="s">
        <v>359</v>
      </c>
      <c r="E357" s="785"/>
      <c r="F357" s="786"/>
      <c r="G357" s="787" t="s">
        <v>455</v>
      </c>
      <c r="H357" s="843"/>
      <c r="I357" s="843"/>
      <c r="J357" s="843"/>
      <c r="K357" s="843"/>
      <c r="L357" s="904"/>
      <c r="M357" s="904"/>
      <c r="N357" s="904"/>
      <c r="O357" s="904"/>
      <c r="P357" s="904"/>
      <c r="Q357" s="904"/>
      <c r="R357" s="904"/>
      <c r="S357" s="904"/>
      <c r="T357" s="904"/>
      <c r="U357" s="904"/>
      <c r="V357" s="904"/>
      <c r="W357" s="904"/>
      <c r="X357" s="904"/>
      <c r="Y357" s="904"/>
      <c r="Z357" s="904"/>
      <c r="AA357" s="904"/>
      <c r="AB357" s="904"/>
      <c r="AC357" s="904"/>
      <c r="AD357" s="904"/>
      <c r="AE357" s="904"/>
      <c r="AF357" s="904"/>
      <c r="AG357" s="904"/>
      <c r="AH357" s="904"/>
      <c r="AI357" s="904"/>
      <c r="AJ357" s="904"/>
      <c r="AK357" s="904"/>
      <c r="AL357" s="904"/>
      <c r="AM357" s="904"/>
      <c r="AN357" s="904"/>
      <c r="AO357" s="904"/>
      <c r="AP357" s="904"/>
      <c r="AQ357" s="904"/>
      <c r="AR357" s="904"/>
      <c r="AS357" s="904"/>
      <c r="AT357" s="904"/>
      <c r="AU357" s="904"/>
      <c r="AV357" s="904"/>
      <c r="AW357" s="904"/>
      <c r="AX357" s="904"/>
      <c r="AY357" s="904"/>
      <c r="AZ357" s="904"/>
      <c r="BA357" s="904"/>
      <c r="BB357" s="904"/>
      <c r="BC357" s="904"/>
      <c r="BD357" s="904"/>
      <c r="BE357" s="904"/>
      <c r="BF357" s="904"/>
      <c r="BG357" s="904"/>
      <c r="BH357" s="904"/>
      <c r="BI357" s="904"/>
      <c r="BJ357" s="904"/>
      <c r="BK357" s="904"/>
      <c r="BL357" s="904"/>
      <c r="BM357" s="904"/>
      <c r="BN357" s="904"/>
      <c r="BO357" s="904"/>
    </row>
    <row r="358" spans="1:67" ht="20.100000000000001" hidden="1" customHeight="1" outlineLevel="1">
      <c r="A358" s="784"/>
      <c r="B358" s="1595"/>
      <c r="C358" s="1596"/>
      <c r="D358" s="785" t="s">
        <v>360</v>
      </c>
      <c r="E358" s="785"/>
      <c r="F358" s="786"/>
      <c r="G358" s="787" t="s">
        <v>455</v>
      </c>
      <c r="H358" s="843"/>
      <c r="I358" s="843"/>
      <c r="J358" s="843"/>
      <c r="K358" s="843"/>
      <c r="L358" s="904"/>
      <c r="M358" s="904"/>
      <c r="N358" s="904"/>
      <c r="O358" s="904"/>
      <c r="P358" s="904"/>
      <c r="Q358" s="904"/>
      <c r="R358" s="904"/>
      <c r="S358" s="904"/>
      <c r="T358" s="904"/>
      <c r="U358" s="904"/>
      <c r="V358" s="904"/>
      <c r="W358" s="904"/>
      <c r="X358" s="904"/>
      <c r="Y358" s="904"/>
      <c r="Z358" s="904"/>
      <c r="AA358" s="904"/>
      <c r="AB358" s="904"/>
      <c r="AC358" s="904"/>
      <c r="AD358" s="904"/>
      <c r="AE358" s="904"/>
      <c r="AF358" s="904"/>
      <c r="AG358" s="904"/>
      <c r="AH358" s="904"/>
      <c r="AI358" s="904"/>
      <c r="AJ358" s="904"/>
      <c r="AK358" s="904"/>
      <c r="AL358" s="904"/>
      <c r="AM358" s="904"/>
      <c r="AN358" s="904"/>
      <c r="AO358" s="904"/>
      <c r="AP358" s="904"/>
      <c r="AQ358" s="904"/>
      <c r="AR358" s="904"/>
      <c r="AS358" s="904"/>
      <c r="AT358" s="904"/>
      <c r="AU358" s="904"/>
      <c r="AV358" s="904"/>
      <c r="AW358" s="904"/>
      <c r="AX358" s="904"/>
      <c r="AY358" s="904"/>
      <c r="AZ358" s="904"/>
      <c r="BA358" s="904"/>
      <c r="BB358" s="904"/>
      <c r="BC358" s="904"/>
      <c r="BD358" s="904"/>
      <c r="BE358" s="904"/>
      <c r="BF358" s="904"/>
      <c r="BG358" s="904"/>
      <c r="BH358" s="904"/>
      <c r="BI358" s="904"/>
      <c r="BJ358" s="904"/>
      <c r="BK358" s="904"/>
      <c r="BL358" s="904"/>
      <c r="BM358" s="904"/>
      <c r="BN358" s="904"/>
      <c r="BO358" s="904"/>
    </row>
    <row r="359" spans="1:67" ht="20.100000000000001" hidden="1" customHeight="1" outlineLevel="1">
      <c r="A359" s="784"/>
      <c r="B359" s="1594"/>
      <c r="C359" s="1596"/>
      <c r="D359" s="785" t="s">
        <v>361</v>
      </c>
      <c r="E359" s="785"/>
      <c r="F359" s="786"/>
      <c r="G359" s="787" t="s">
        <v>457</v>
      </c>
      <c r="H359" s="843"/>
      <c r="I359" s="843"/>
      <c r="J359" s="843"/>
      <c r="K359" s="843"/>
      <c r="L359" s="904"/>
      <c r="M359" s="904"/>
      <c r="N359" s="904"/>
      <c r="O359" s="904"/>
      <c r="P359" s="904"/>
      <c r="Q359" s="904"/>
      <c r="R359" s="904"/>
      <c r="S359" s="904"/>
      <c r="T359" s="904"/>
      <c r="U359" s="904"/>
      <c r="V359" s="904"/>
      <c r="W359" s="904"/>
      <c r="X359" s="904"/>
      <c r="Y359" s="904"/>
      <c r="Z359" s="904"/>
      <c r="AA359" s="904"/>
      <c r="AB359" s="904"/>
      <c r="AC359" s="904"/>
      <c r="AD359" s="904"/>
      <c r="AE359" s="904"/>
      <c r="AF359" s="904"/>
      <c r="AG359" s="904"/>
      <c r="AH359" s="904"/>
      <c r="AI359" s="904"/>
      <c r="AJ359" s="904"/>
      <c r="AK359" s="904"/>
      <c r="AL359" s="904"/>
      <c r="AM359" s="904"/>
      <c r="AN359" s="904"/>
      <c r="AO359" s="904"/>
      <c r="AP359" s="904"/>
      <c r="AQ359" s="904"/>
      <c r="AR359" s="904"/>
      <c r="AS359" s="904"/>
      <c r="AT359" s="904"/>
      <c r="AU359" s="904"/>
      <c r="AV359" s="904"/>
      <c r="AW359" s="904"/>
      <c r="AX359" s="904"/>
      <c r="AY359" s="904"/>
      <c r="AZ359" s="904"/>
      <c r="BA359" s="904"/>
      <c r="BB359" s="904"/>
      <c r="BC359" s="904"/>
      <c r="BD359" s="904"/>
      <c r="BE359" s="904"/>
      <c r="BF359" s="904"/>
      <c r="BG359" s="904"/>
      <c r="BH359" s="904"/>
      <c r="BI359" s="904"/>
      <c r="BJ359" s="904"/>
      <c r="BK359" s="904"/>
      <c r="BL359" s="904"/>
      <c r="BM359" s="904"/>
      <c r="BN359" s="904"/>
      <c r="BO359" s="904"/>
    </row>
    <row r="360" spans="1:67" ht="20.100000000000001" hidden="1" customHeight="1" outlineLevel="1">
      <c r="A360" s="784"/>
      <c r="B360" s="1595"/>
      <c r="C360" s="1596"/>
      <c r="D360" s="785" t="s">
        <v>362</v>
      </c>
      <c r="E360" s="779"/>
      <c r="F360" s="786"/>
      <c r="G360" s="787" t="s">
        <v>455</v>
      </c>
      <c r="H360" s="843"/>
      <c r="I360" s="843"/>
      <c r="J360" s="843"/>
      <c r="K360" s="843"/>
      <c r="L360" s="904"/>
      <c r="M360" s="904"/>
      <c r="N360" s="904"/>
      <c r="O360" s="904"/>
      <c r="P360" s="904"/>
      <c r="Q360" s="904"/>
      <c r="R360" s="904"/>
      <c r="S360" s="904"/>
      <c r="T360" s="904"/>
      <c r="U360" s="904"/>
      <c r="V360" s="904"/>
      <c r="W360" s="904"/>
      <c r="X360" s="904"/>
      <c r="Y360" s="904"/>
      <c r="Z360" s="904"/>
      <c r="AA360" s="904"/>
      <c r="AB360" s="904"/>
      <c r="AC360" s="904"/>
      <c r="AD360" s="904"/>
      <c r="AE360" s="904"/>
      <c r="AF360" s="904"/>
      <c r="AG360" s="904"/>
      <c r="AH360" s="904"/>
      <c r="AI360" s="904"/>
      <c r="AJ360" s="904"/>
      <c r="AK360" s="904"/>
      <c r="AL360" s="904"/>
      <c r="AM360" s="904"/>
      <c r="AN360" s="904"/>
      <c r="AO360" s="904"/>
      <c r="AP360" s="904"/>
      <c r="AQ360" s="904"/>
      <c r="AR360" s="904"/>
      <c r="AS360" s="904"/>
      <c r="AT360" s="904"/>
      <c r="AU360" s="904"/>
      <c r="AV360" s="904"/>
      <c r="AW360" s="904"/>
      <c r="AX360" s="904"/>
      <c r="AY360" s="904"/>
      <c r="AZ360" s="904"/>
      <c r="BA360" s="904"/>
      <c r="BB360" s="904"/>
      <c r="BC360" s="904"/>
      <c r="BD360" s="904"/>
      <c r="BE360" s="904"/>
      <c r="BF360" s="904"/>
      <c r="BG360" s="904"/>
      <c r="BH360" s="904"/>
      <c r="BI360" s="904"/>
      <c r="BJ360" s="904"/>
      <c r="BK360" s="904"/>
      <c r="BL360" s="904"/>
      <c r="BM360" s="904"/>
      <c r="BN360" s="904"/>
      <c r="BO360" s="904"/>
    </row>
    <row r="361" spans="1:67" ht="20.100000000000001" hidden="1" customHeight="1" outlineLevel="1">
      <c r="A361" s="784"/>
      <c r="B361" s="1594"/>
      <c r="C361" s="1596"/>
      <c r="D361" s="785" t="s">
        <v>363</v>
      </c>
      <c r="E361" s="785"/>
      <c r="F361" s="786"/>
      <c r="G361" s="787" t="s">
        <v>457</v>
      </c>
      <c r="H361" s="843"/>
      <c r="I361" s="843"/>
      <c r="J361" s="843"/>
      <c r="K361" s="843"/>
      <c r="L361" s="904"/>
      <c r="M361" s="904"/>
      <c r="N361" s="904"/>
      <c r="O361" s="904"/>
      <c r="P361" s="904"/>
      <c r="Q361" s="904"/>
      <c r="R361" s="904"/>
      <c r="S361" s="904"/>
      <c r="T361" s="904"/>
      <c r="U361" s="904"/>
      <c r="V361" s="904"/>
      <c r="W361" s="904"/>
      <c r="X361" s="904"/>
      <c r="Y361" s="904"/>
      <c r="Z361" s="904"/>
      <c r="AA361" s="904"/>
      <c r="AB361" s="904"/>
      <c r="AC361" s="904"/>
      <c r="AD361" s="904"/>
      <c r="AE361" s="904"/>
      <c r="AF361" s="904"/>
      <c r="AG361" s="904"/>
      <c r="AH361" s="904"/>
      <c r="AI361" s="904"/>
      <c r="AJ361" s="904"/>
      <c r="AK361" s="904"/>
      <c r="AL361" s="904"/>
      <c r="AM361" s="904"/>
      <c r="AN361" s="904"/>
      <c r="AO361" s="904"/>
      <c r="AP361" s="904"/>
      <c r="AQ361" s="904"/>
      <c r="AR361" s="904"/>
      <c r="AS361" s="904"/>
      <c r="AT361" s="904"/>
      <c r="AU361" s="904"/>
      <c r="AV361" s="904"/>
      <c r="AW361" s="904"/>
      <c r="AX361" s="904"/>
      <c r="AY361" s="904"/>
      <c r="AZ361" s="904"/>
      <c r="BA361" s="904"/>
      <c r="BB361" s="904"/>
      <c r="BC361" s="904"/>
      <c r="BD361" s="904"/>
      <c r="BE361" s="904"/>
      <c r="BF361" s="904"/>
      <c r="BG361" s="904"/>
      <c r="BH361" s="904"/>
      <c r="BI361" s="904"/>
      <c r="BJ361" s="904"/>
      <c r="BK361" s="904"/>
      <c r="BL361" s="904"/>
      <c r="BM361" s="904"/>
      <c r="BN361" s="904"/>
      <c r="BO361" s="904"/>
    </row>
    <row r="362" spans="1:67" ht="20.100000000000001" hidden="1" customHeight="1" outlineLevel="1">
      <c r="A362" s="784"/>
      <c r="B362" s="1594"/>
      <c r="C362" s="1596"/>
      <c r="D362" s="785" t="s">
        <v>364</v>
      </c>
      <c r="E362" s="785"/>
      <c r="F362" s="786"/>
      <c r="G362" s="787" t="s">
        <v>455</v>
      </c>
      <c r="H362" s="843"/>
      <c r="I362" s="843"/>
      <c r="J362" s="843"/>
      <c r="K362" s="843"/>
      <c r="L362" s="904"/>
      <c r="M362" s="904"/>
      <c r="N362" s="904"/>
      <c r="O362" s="904"/>
      <c r="P362" s="904"/>
      <c r="Q362" s="904"/>
      <c r="R362" s="904"/>
      <c r="S362" s="904"/>
      <c r="T362" s="904"/>
      <c r="U362" s="904"/>
      <c r="V362" s="904"/>
      <c r="W362" s="904"/>
      <c r="X362" s="904"/>
      <c r="Y362" s="904"/>
      <c r="Z362" s="904"/>
      <c r="AA362" s="904"/>
      <c r="AB362" s="904"/>
      <c r="AC362" s="904"/>
      <c r="AD362" s="904"/>
      <c r="AE362" s="904"/>
      <c r="AF362" s="904"/>
      <c r="AG362" s="904"/>
      <c r="AH362" s="904"/>
      <c r="AI362" s="904"/>
      <c r="AJ362" s="904"/>
      <c r="AK362" s="904"/>
      <c r="AL362" s="904"/>
      <c r="AM362" s="904"/>
      <c r="AN362" s="904"/>
      <c r="AO362" s="904"/>
      <c r="AP362" s="904"/>
      <c r="AQ362" s="904"/>
      <c r="AR362" s="904"/>
      <c r="AS362" s="904"/>
      <c r="AT362" s="904"/>
      <c r="AU362" s="904"/>
      <c r="AV362" s="904"/>
      <c r="AW362" s="904"/>
      <c r="AX362" s="904"/>
      <c r="AY362" s="904"/>
      <c r="AZ362" s="904"/>
      <c r="BA362" s="904"/>
      <c r="BB362" s="904"/>
      <c r="BC362" s="904"/>
      <c r="BD362" s="904"/>
      <c r="BE362" s="904"/>
      <c r="BF362" s="904"/>
      <c r="BG362" s="904"/>
      <c r="BH362" s="904"/>
      <c r="BI362" s="904"/>
      <c r="BJ362" s="904"/>
      <c r="BK362" s="904"/>
      <c r="BL362" s="904"/>
      <c r="BM362" s="904"/>
      <c r="BN362" s="904"/>
      <c r="BO362" s="904"/>
    </row>
    <row r="363" spans="1:67" ht="20.100000000000001" hidden="1" customHeight="1" outlineLevel="1">
      <c r="A363" s="784"/>
      <c r="B363" s="1594"/>
      <c r="C363" s="1596"/>
      <c r="D363" s="785" t="s">
        <v>365</v>
      </c>
      <c r="E363" s="779"/>
      <c r="F363" s="786"/>
      <c r="G363" s="787" t="s">
        <v>455</v>
      </c>
      <c r="H363" s="843"/>
      <c r="I363" s="843"/>
      <c r="J363" s="843"/>
      <c r="K363" s="843"/>
      <c r="L363" s="904"/>
      <c r="M363" s="904"/>
      <c r="N363" s="904"/>
      <c r="O363" s="904"/>
      <c r="P363" s="904"/>
      <c r="Q363" s="904"/>
      <c r="R363" s="904"/>
      <c r="S363" s="904"/>
      <c r="T363" s="904"/>
      <c r="U363" s="904"/>
      <c r="V363" s="904"/>
      <c r="W363" s="904"/>
      <c r="X363" s="904"/>
      <c r="Y363" s="904"/>
      <c r="Z363" s="904"/>
      <c r="AA363" s="904"/>
      <c r="AB363" s="904"/>
      <c r="AC363" s="904"/>
      <c r="AD363" s="904"/>
      <c r="AE363" s="904"/>
      <c r="AF363" s="904"/>
      <c r="AG363" s="904"/>
      <c r="AH363" s="904"/>
      <c r="AI363" s="904"/>
      <c r="AJ363" s="904"/>
      <c r="AK363" s="904"/>
      <c r="AL363" s="904"/>
      <c r="AM363" s="904"/>
      <c r="AN363" s="904"/>
      <c r="AO363" s="904"/>
      <c r="AP363" s="904"/>
      <c r="AQ363" s="904"/>
      <c r="AR363" s="904"/>
      <c r="AS363" s="904"/>
      <c r="AT363" s="904"/>
      <c r="AU363" s="904"/>
      <c r="AV363" s="904"/>
      <c r="AW363" s="904"/>
      <c r="AX363" s="904"/>
      <c r="AY363" s="904"/>
      <c r="AZ363" s="904"/>
      <c r="BA363" s="904"/>
      <c r="BB363" s="904"/>
      <c r="BC363" s="904"/>
      <c r="BD363" s="904"/>
      <c r="BE363" s="904"/>
      <c r="BF363" s="904"/>
      <c r="BG363" s="904"/>
      <c r="BH363" s="904"/>
      <c r="BI363" s="904"/>
      <c r="BJ363" s="904"/>
      <c r="BK363" s="904"/>
      <c r="BL363" s="904"/>
      <c r="BM363" s="904"/>
      <c r="BN363" s="904"/>
      <c r="BO363" s="904"/>
    </row>
    <row r="364" spans="1:67" ht="20.100000000000001" hidden="1" customHeight="1" outlineLevel="1">
      <c r="A364" s="784"/>
      <c r="B364" s="1594"/>
      <c r="C364" s="1596"/>
      <c r="D364" s="785" t="s">
        <v>366</v>
      </c>
      <c r="E364" s="785"/>
      <c r="F364" s="786"/>
      <c r="G364" s="787" t="s">
        <v>455</v>
      </c>
      <c r="H364" s="843"/>
      <c r="I364" s="843"/>
      <c r="J364" s="843"/>
      <c r="K364" s="843"/>
      <c r="L364" s="904"/>
      <c r="M364" s="904"/>
      <c r="N364" s="904"/>
      <c r="O364" s="904"/>
      <c r="P364" s="904"/>
      <c r="Q364" s="904"/>
      <c r="R364" s="904"/>
      <c r="S364" s="904"/>
      <c r="T364" s="904"/>
      <c r="U364" s="904"/>
      <c r="V364" s="904"/>
      <c r="W364" s="904"/>
      <c r="X364" s="904"/>
      <c r="Y364" s="904"/>
      <c r="Z364" s="904"/>
      <c r="AA364" s="904"/>
      <c r="AB364" s="904"/>
      <c r="AC364" s="904"/>
      <c r="AD364" s="904"/>
      <c r="AE364" s="904"/>
      <c r="AF364" s="904"/>
      <c r="AG364" s="904"/>
      <c r="AH364" s="904"/>
      <c r="AI364" s="904"/>
      <c r="AJ364" s="904"/>
      <c r="AK364" s="904"/>
      <c r="AL364" s="904"/>
      <c r="AM364" s="904"/>
      <c r="AN364" s="904"/>
      <c r="AO364" s="904"/>
      <c r="AP364" s="904"/>
      <c r="AQ364" s="904"/>
      <c r="AR364" s="904"/>
      <c r="AS364" s="904"/>
      <c r="AT364" s="904"/>
      <c r="AU364" s="904"/>
      <c r="AV364" s="904"/>
      <c r="AW364" s="904"/>
      <c r="AX364" s="904"/>
      <c r="AY364" s="904"/>
      <c r="AZ364" s="904"/>
      <c r="BA364" s="904"/>
      <c r="BB364" s="904"/>
      <c r="BC364" s="904"/>
      <c r="BD364" s="904"/>
      <c r="BE364" s="904"/>
      <c r="BF364" s="904"/>
      <c r="BG364" s="904"/>
      <c r="BH364" s="904"/>
      <c r="BI364" s="904"/>
      <c r="BJ364" s="904"/>
      <c r="BK364" s="904"/>
      <c r="BL364" s="904"/>
      <c r="BM364" s="904"/>
      <c r="BN364" s="904"/>
      <c r="BO364" s="904"/>
    </row>
    <row r="365" spans="1:67" ht="20.100000000000001" hidden="1" customHeight="1" outlineLevel="1">
      <c r="A365" s="784"/>
      <c r="B365" s="1594"/>
      <c r="C365" s="1596"/>
      <c r="D365" s="785" t="s">
        <v>367</v>
      </c>
      <c r="E365" s="785"/>
      <c r="F365" s="786"/>
      <c r="G365" s="787" t="s">
        <v>455</v>
      </c>
      <c r="H365" s="843"/>
      <c r="I365" s="843"/>
      <c r="J365" s="843"/>
      <c r="K365" s="843"/>
      <c r="L365" s="904"/>
      <c r="M365" s="904"/>
      <c r="N365" s="904"/>
      <c r="O365" s="904"/>
      <c r="P365" s="904"/>
      <c r="Q365" s="904"/>
      <c r="R365" s="904"/>
      <c r="S365" s="904"/>
      <c r="T365" s="904"/>
      <c r="U365" s="904"/>
      <c r="V365" s="904"/>
      <c r="W365" s="904"/>
      <c r="X365" s="904"/>
      <c r="Y365" s="904"/>
      <c r="Z365" s="904"/>
      <c r="AA365" s="904"/>
      <c r="AB365" s="904"/>
      <c r="AC365" s="904"/>
      <c r="AD365" s="904"/>
      <c r="AE365" s="904"/>
      <c r="AF365" s="904"/>
      <c r="AG365" s="904"/>
      <c r="AH365" s="904"/>
      <c r="AI365" s="904"/>
      <c r="AJ365" s="904"/>
      <c r="AK365" s="904"/>
      <c r="AL365" s="904"/>
      <c r="AM365" s="904"/>
      <c r="AN365" s="904"/>
      <c r="AO365" s="904"/>
      <c r="AP365" s="904"/>
      <c r="AQ365" s="904"/>
      <c r="AR365" s="904"/>
      <c r="AS365" s="904"/>
      <c r="AT365" s="904"/>
      <c r="AU365" s="904"/>
      <c r="AV365" s="904"/>
      <c r="AW365" s="904"/>
      <c r="AX365" s="904"/>
      <c r="AY365" s="904"/>
      <c r="AZ365" s="904"/>
      <c r="BA365" s="904"/>
      <c r="BB365" s="904"/>
      <c r="BC365" s="904"/>
      <c r="BD365" s="904"/>
      <c r="BE365" s="904"/>
      <c r="BF365" s="904"/>
      <c r="BG365" s="904"/>
      <c r="BH365" s="904"/>
      <c r="BI365" s="904"/>
      <c r="BJ365" s="904"/>
      <c r="BK365" s="904"/>
      <c r="BL365" s="904"/>
      <c r="BM365" s="904"/>
      <c r="BN365" s="904"/>
      <c r="BO365" s="904"/>
    </row>
    <row r="366" spans="1:67" ht="20.100000000000001" hidden="1" customHeight="1" outlineLevel="1">
      <c r="A366" s="784"/>
      <c r="B366" s="1594"/>
      <c r="C366" s="1596"/>
      <c r="D366" s="785" t="s">
        <v>368</v>
      </c>
      <c r="E366" s="785"/>
      <c r="F366" s="786"/>
      <c r="G366" s="787" t="s">
        <v>455</v>
      </c>
      <c r="H366" s="843"/>
      <c r="I366" s="843"/>
      <c r="J366" s="843"/>
      <c r="K366" s="843"/>
      <c r="L366" s="904"/>
      <c r="M366" s="904"/>
      <c r="N366" s="904"/>
      <c r="O366" s="904"/>
      <c r="P366" s="904"/>
      <c r="Q366" s="904"/>
      <c r="R366" s="904"/>
      <c r="S366" s="904"/>
      <c r="T366" s="904"/>
      <c r="U366" s="904"/>
      <c r="V366" s="904"/>
      <c r="W366" s="904"/>
      <c r="X366" s="904"/>
      <c r="Y366" s="904"/>
      <c r="Z366" s="904"/>
      <c r="AA366" s="904"/>
      <c r="AB366" s="904"/>
      <c r="AC366" s="904"/>
      <c r="AD366" s="904"/>
      <c r="AE366" s="904"/>
      <c r="AF366" s="904"/>
      <c r="AG366" s="904"/>
      <c r="AH366" s="904"/>
      <c r="AI366" s="904"/>
      <c r="AJ366" s="904"/>
      <c r="AK366" s="904"/>
      <c r="AL366" s="904"/>
      <c r="AM366" s="904"/>
      <c r="AN366" s="904"/>
      <c r="AO366" s="904"/>
      <c r="AP366" s="904"/>
      <c r="AQ366" s="904"/>
      <c r="AR366" s="904"/>
      <c r="AS366" s="904"/>
      <c r="AT366" s="904"/>
      <c r="AU366" s="904"/>
      <c r="AV366" s="904"/>
      <c r="AW366" s="904"/>
      <c r="AX366" s="904"/>
      <c r="AY366" s="904"/>
      <c r="AZ366" s="904"/>
      <c r="BA366" s="904"/>
      <c r="BB366" s="904"/>
      <c r="BC366" s="904"/>
      <c r="BD366" s="904"/>
      <c r="BE366" s="904"/>
      <c r="BF366" s="904"/>
      <c r="BG366" s="904"/>
      <c r="BH366" s="904"/>
      <c r="BI366" s="904"/>
      <c r="BJ366" s="904"/>
      <c r="BK366" s="904"/>
      <c r="BL366" s="904"/>
      <c r="BM366" s="904"/>
      <c r="BN366" s="904"/>
      <c r="BO366" s="904"/>
    </row>
    <row r="367" spans="1:67" ht="20.100000000000001" hidden="1" customHeight="1" outlineLevel="1">
      <c r="A367" s="784"/>
      <c r="B367" s="1594"/>
      <c r="C367" s="1596"/>
      <c r="D367" s="785" t="s">
        <v>369</v>
      </c>
      <c r="E367" s="785"/>
      <c r="F367" s="786"/>
      <c r="G367" s="787" t="s">
        <v>455</v>
      </c>
      <c r="H367" s="843"/>
      <c r="I367" s="843"/>
      <c r="J367" s="843"/>
      <c r="K367" s="843"/>
      <c r="L367" s="904"/>
      <c r="M367" s="904"/>
      <c r="N367" s="904"/>
      <c r="O367" s="904"/>
      <c r="P367" s="904"/>
      <c r="Q367" s="904"/>
      <c r="R367" s="904"/>
      <c r="S367" s="904"/>
      <c r="T367" s="904"/>
      <c r="U367" s="904"/>
      <c r="V367" s="904"/>
      <c r="W367" s="904"/>
      <c r="X367" s="904"/>
      <c r="Y367" s="904"/>
      <c r="Z367" s="904"/>
      <c r="AA367" s="904"/>
      <c r="AB367" s="904"/>
      <c r="AC367" s="904"/>
      <c r="AD367" s="904"/>
      <c r="AE367" s="904"/>
      <c r="AF367" s="904"/>
      <c r="AG367" s="904"/>
      <c r="AH367" s="904"/>
      <c r="AI367" s="904"/>
      <c r="AJ367" s="904"/>
      <c r="AK367" s="904"/>
      <c r="AL367" s="904"/>
      <c r="AM367" s="904"/>
      <c r="AN367" s="904"/>
      <c r="AO367" s="904"/>
      <c r="AP367" s="904"/>
      <c r="AQ367" s="904"/>
      <c r="AR367" s="904"/>
      <c r="AS367" s="904"/>
      <c r="AT367" s="904"/>
      <c r="AU367" s="904"/>
      <c r="AV367" s="904"/>
      <c r="AW367" s="904"/>
      <c r="AX367" s="904"/>
      <c r="AY367" s="904"/>
      <c r="AZ367" s="904"/>
      <c r="BA367" s="904"/>
      <c r="BB367" s="904"/>
      <c r="BC367" s="904"/>
      <c r="BD367" s="904"/>
      <c r="BE367" s="904"/>
      <c r="BF367" s="904"/>
      <c r="BG367" s="904"/>
      <c r="BH367" s="904"/>
      <c r="BI367" s="904"/>
      <c r="BJ367" s="904"/>
      <c r="BK367" s="904"/>
      <c r="BL367" s="904"/>
      <c r="BM367" s="904"/>
      <c r="BN367" s="904"/>
      <c r="BO367" s="904"/>
    </row>
    <row r="368" spans="1:67" ht="20.100000000000001" hidden="1" customHeight="1" outlineLevel="1">
      <c r="A368" s="784"/>
      <c r="B368" s="1594"/>
      <c r="C368" s="1596"/>
      <c r="D368" s="785" t="s">
        <v>370</v>
      </c>
      <c r="E368" s="785"/>
      <c r="F368" s="786"/>
      <c r="G368" s="787" t="s">
        <v>455</v>
      </c>
      <c r="H368" s="843"/>
      <c r="I368" s="843"/>
      <c r="J368" s="843"/>
      <c r="K368" s="843"/>
      <c r="L368" s="904"/>
      <c r="M368" s="904"/>
      <c r="N368" s="904"/>
      <c r="O368" s="904"/>
      <c r="P368" s="904"/>
      <c r="Q368" s="904"/>
      <c r="R368" s="904"/>
      <c r="S368" s="904"/>
      <c r="T368" s="904"/>
      <c r="U368" s="904"/>
      <c r="V368" s="904"/>
      <c r="W368" s="904"/>
      <c r="X368" s="904"/>
      <c r="Y368" s="904"/>
      <c r="Z368" s="904"/>
      <c r="AA368" s="904"/>
      <c r="AB368" s="904"/>
      <c r="AC368" s="904"/>
      <c r="AD368" s="904"/>
      <c r="AE368" s="904"/>
      <c r="AF368" s="904"/>
      <c r="AG368" s="904"/>
      <c r="AH368" s="904"/>
      <c r="AI368" s="904"/>
      <c r="AJ368" s="904"/>
      <c r="AK368" s="904"/>
      <c r="AL368" s="904"/>
      <c r="AM368" s="904"/>
      <c r="AN368" s="904"/>
      <c r="AO368" s="904"/>
      <c r="AP368" s="904"/>
      <c r="AQ368" s="904"/>
      <c r="AR368" s="904"/>
      <c r="AS368" s="904"/>
      <c r="AT368" s="904"/>
      <c r="AU368" s="904"/>
      <c r="AV368" s="904"/>
      <c r="AW368" s="904"/>
      <c r="AX368" s="904"/>
      <c r="AY368" s="904"/>
      <c r="AZ368" s="904"/>
      <c r="BA368" s="904"/>
      <c r="BB368" s="904"/>
      <c r="BC368" s="904"/>
      <c r="BD368" s="904"/>
      <c r="BE368" s="904"/>
      <c r="BF368" s="904"/>
      <c r="BG368" s="904"/>
      <c r="BH368" s="904"/>
      <c r="BI368" s="904"/>
      <c r="BJ368" s="904"/>
      <c r="BK368" s="904"/>
      <c r="BL368" s="904"/>
      <c r="BM368" s="904"/>
      <c r="BN368" s="904"/>
      <c r="BO368" s="904"/>
    </row>
    <row r="369" spans="1:67" ht="20.100000000000001" hidden="1" customHeight="1" outlineLevel="1">
      <c r="A369" s="784"/>
      <c r="B369" s="1594"/>
      <c r="C369" s="1596"/>
      <c r="D369" s="785" t="s">
        <v>371</v>
      </c>
      <c r="E369" s="779"/>
      <c r="F369" s="786"/>
      <c r="G369" s="787" t="s">
        <v>455</v>
      </c>
      <c r="H369" s="843"/>
      <c r="I369" s="843"/>
      <c r="J369" s="843"/>
      <c r="K369" s="843"/>
      <c r="L369" s="904"/>
      <c r="M369" s="904"/>
      <c r="N369" s="904"/>
      <c r="O369" s="904"/>
      <c r="P369" s="904"/>
      <c r="Q369" s="904"/>
      <c r="R369" s="904"/>
      <c r="S369" s="904"/>
      <c r="T369" s="904"/>
      <c r="U369" s="904"/>
      <c r="V369" s="904"/>
      <c r="W369" s="904"/>
      <c r="X369" s="904"/>
      <c r="Y369" s="904"/>
      <c r="Z369" s="904"/>
      <c r="AA369" s="904"/>
      <c r="AB369" s="904"/>
      <c r="AC369" s="904"/>
      <c r="AD369" s="904"/>
      <c r="AE369" s="904"/>
      <c r="AF369" s="904"/>
      <c r="AG369" s="904"/>
      <c r="AH369" s="904"/>
      <c r="AI369" s="904"/>
      <c r="AJ369" s="904"/>
      <c r="AK369" s="904"/>
      <c r="AL369" s="904"/>
      <c r="AM369" s="904"/>
      <c r="AN369" s="904"/>
      <c r="AO369" s="904"/>
      <c r="AP369" s="904"/>
      <c r="AQ369" s="904"/>
      <c r="AR369" s="904"/>
      <c r="AS369" s="904"/>
      <c r="AT369" s="904"/>
      <c r="AU369" s="904"/>
      <c r="AV369" s="904"/>
      <c r="AW369" s="904"/>
      <c r="AX369" s="904"/>
      <c r="AY369" s="904"/>
      <c r="AZ369" s="904"/>
      <c r="BA369" s="904"/>
      <c r="BB369" s="904"/>
      <c r="BC369" s="904"/>
      <c r="BD369" s="904"/>
      <c r="BE369" s="904"/>
      <c r="BF369" s="904"/>
      <c r="BG369" s="904"/>
      <c r="BH369" s="904"/>
      <c r="BI369" s="904"/>
      <c r="BJ369" s="904"/>
      <c r="BK369" s="904"/>
      <c r="BL369" s="904"/>
      <c r="BM369" s="904"/>
      <c r="BN369" s="904"/>
      <c r="BO369" s="904"/>
    </row>
    <row r="370" spans="1:67" ht="20.100000000000001" hidden="1" customHeight="1" outlineLevel="1">
      <c r="A370" s="784"/>
      <c r="B370" s="1594"/>
      <c r="C370" s="1596"/>
      <c r="D370" s="785" t="s">
        <v>372</v>
      </c>
      <c r="E370" s="785"/>
      <c r="F370" s="786"/>
      <c r="G370" s="787" t="s">
        <v>457</v>
      </c>
      <c r="H370" s="843"/>
      <c r="I370" s="843"/>
      <c r="J370" s="843"/>
      <c r="K370" s="843"/>
      <c r="L370" s="904"/>
      <c r="M370" s="904"/>
      <c r="N370" s="904"/>
      <c r="O370" s="904"/>
      <c r="P370" s="904"/>
      <c r="Q370" s="904"/>
      <c r="R370" s="904"/>
      <c r="S370" s="904"/>
      <c r="T370" s="904"/>
      <c r="U370" s="904"/>
      <c r="V370" s="904"/>
      <c r="W370" s="904"/>
      <c r="X370" s="904"/>
      <c r="Y370" s="904"/>
      <c r="Z370" s="904"/>
      <c r="AA370" s="904"/>
      <c r="AB370" s="904"/>
      <c r="AC370" s="904"/>
      <c r="AD370" s="904"/>
      <c r="AE370" s="904"/>
      <c r="AF370" s="904"/>
      <c r="AG370" s="904"/>
      <c r="AH370" s="904"/>
      <c r="AI370" s="904"/>
      <c r="AJ370" s="904"/>
      <c r="AK370" s="904"/>
      <c r="AL370" s="904"/>
      <c r="AM370" s="904"/>
      <c r="AN370" s="904"/>
      <c r="AO370" s="904"/>
      <c r="AP370" s="904"/>
      <c r="AQ370" s="904"/>
      <c r="AR370" s="904"/>
      <c r="AS370" s="904"/>
      <c r="AT370" s="904"/>
      <c r="AU370" s="904"/>
      <c r="AV370" s="904"/>
      <c r="AW370" s="904"/>
      <c r="AX370" s="904"/>
      <c r="AY370" s="904"/>
      <c r="AZ370" s="904"/>
      <c r="BA370" s="904"/>
      <c r="BB370" s="904"/>
      <c r="BC370" s="904"/>
      <c r="BD370" s="904"/>
      <c r="BE370" s="904"/>
      <c r="BF370" s="904"/>
      <c r="BG370" s="904"/>
      <c r="BH370" s="904"/>
      <c r="BI370" s="904"/>
      <c r="BJ370" s="904"/>
      <c r="BK370" s="904"/>
      <c r="BL370" s="904"/>
      <c r="BM370" s="904"/>
      <c r="BN370" s="904"/>
      <c r="BO370" s="904"/>
    </row>
    <row r="371" spans="1:67" ht="20.100000000000001" hidden="1" customHeight="1" outlineLevel="1">
      <c r="A371" s="784"/>
      <c r="B371" s="1594"/>
      <c r="C371" s="1596"/>
      <c r="D371" s="785" t="s">
        <v>373</v>
      </c>
      <c r="E371" s="785"/>
      <c r="F371" s="786"/>
      <c r="G371" s="787" t="s">
        <v>457</v>
      </c>
      <c r="H371" s="843"/>
      <c r="I371" s="843"/>
      <c r="J371" s="843"/>
      <c r="K371" s="843"/>
      <c r="L371" s="904"/>
      <c r="M371" s="904"/>
      <c r="N371" s="904"/>
      <c r="O371" s="904"/>
      <c r="P371" s="904"/>
      <c r="Q371" s="904"/>
      <c r="R371" s="904"/>
      <c r="S371" s="904"/>
      <c r="T371" s="904"/>
      <c r="U371" s="904"/>
      <c r="V371" s="904"/>
      <c r="W371" s="904"/>
      <c r="X371" s="904"/>
      <c r="Y371" s="904"/>
      <c r="Z371" s="904"/>
      <c r="AA371" s="904"/>
      <c r="AB371" s="904"/>
      <c r="AC371" s="904"/>
      <c r="AD371" s="904"/>
      <c r="AE371" s="904"/>
      <c r="AF371" s="904"/>
      <c r="AG371" s="904"/>
      <c r="AH371" s="904"/>
      <c r="AI371" s="904"/>
      <c r="AJ371" s="904"/>
      <c r="AK371" s="904"/>
      <c r="AL371" s="904"/>
      <c r="AM371" s="904"/>
      <c r="AN371" s="904"/>
      <c r="AO371" s="904"/>
      <c r="AP371" s="904"/>
      <c r="AQ371" s="904"/>
      <c r="AR371" s="904"/>
      <c r="AS371" s="904"/>
      <c r="AT371" s="904"/>
      <c r="AU371" s="904"/>
      <c r="AV371" s="904"/>
      <c r="AW371" s="904"/>
      <c r="AX371" s="904"/>
      <c r="AY371" s="904"/>
      <c r="AZ371" s="904"/>
      <c r="BA371" s="904"/>
      <c r="BB371" s="904"/>
      <c r="BC371" s="904"/>
      <c r="BD371" s="904"/>
      <c r="BE371" s="904"/>
      <c r="BF371" s="904"/>
      <c r="BG371" s="904"/>
      <c r="BH371" s="904"/>
      <c r="BI371" s="904"/>
      <c r="BJ371" s="904"/>
      <c r="BK371" s="904"/>
      <c r="BL371" s="904"/>
      <c r="BM371" s="904"/>
      <c r="BN371" s="904"/>
      <c r="BO371" s="904"/>
    </row>
    <row r="372" spans="1:67" ht="20.100000000000001" hidden="1" customHeight="1" outlineLevel="1">
      <c r="A372" s="784"/>
      <c r="B372" s="1594"/>
      <c r="C372" s="1596"/>
      <c r="D372" s="785" t="s">
        <v>374</v>
      </c>
      <c r="E372" s="785"/>
      <c r="F372" s="786"/>
      <c r="G372" s="787" t="s">
        <v>457</v>
      </c>
      <c r="H372" s="843"/>
      <c r="I372" s="843"/>
      <c r="J372" s="843"/>
      <c r="K372" s="843"/>
      <c r="L372" s="904"/>
      <c r="M372" s="904"/>
      <c r="N372" s="904"/>
      <c r="O372" s="904"/>
      <c r="P372" s="904"/>
      <c r="Q372" s="904"/>
      <c r="R372" s="904"/>
      <c r="S372" s="904"/>
      <c r="T372" s="904"/>
      <c r="U372" s="904"/>
      <c r="V372" s="904"/>
      <c r="W372" s="904"/>
      <c r="X372" s="904"/>
      <c r="Y372" s="904"/>
      <c r="Z372" s="904"/>
      <c r="AA372" s="904"/>
      <c r="AB372" s="904"/>
      <c r="AC372" s="904"/>
      <c r="AD372" s="904"/>
      <c r="AE372" s="904"/>
      <c r="AF372" s="904"/>
      <c r="AG372" s="904"/>
      <c r="AH372" s="904"/>
      <c r="AI372" s="904"/>
      <c r="AJ372" s="904"/>
      <c r="AK372" s="904"/>
      <c r="AL372" s="904"/>
      <c r="AM372" s="904"/>
      <c r="AN372" s="904"/>
      <c r="AO372" s="904"/>
      <c r="AP372" s="904"/>
      <c r="AQ372" s="904"/>
      <c r="AR372" s="904"/>
      <c r="AS372" s="904"/>
      <c r="AT372" s="904"/>
      <c r="AU372" s="904"/>
      <c r="AV372" s="904"/>
      <c r="AW372" s="904"/>
      <c r="AX372" s="904"/>
      <c r="AY372" s="904"/>
      <c r="AZ372" s="904"/>
      <c r="BA372" s="904"/>
      <c r="BB372" s="904"/>
      <c r="BC372" s="904"/>
      <c r="BD372" s="904"/>
      <c r="BE372" s="904"/>
      <c r="BF372" s="904"/>
      <c r="BG372" s="904"/>
      <c r="BH372" s="904"/>
      <c r="BI372" s="904"/>
      <c r="BJ372" s="904"/>
      <c r="BK372" s="904"/>
      <c r="BL372" s="904"/>
      <c r="BM372" s="904"/>
      <c r="BN372" s="904"/>
      <c r="BO372" s="904"/>
    </row>
    <row r="373" spans="1:67" ht="20.100000000000001" hidden="1" customHeight="1" outlineLevel="1">
      <c r="A373" s="784"/>
      <c r="B373" s="1594"/>
      <c r="C373" s="1596"/>
      <c r="D373" s="785" t="s">
        <v>375</v>
      </c>
      <c r="E373" s="785"/>
      <c r="F373" s="786"/>
      <c r="G373" s="787" t="s">
        <v>457</v>
      </c>
      <c r="H373" s="843"/>
      <c r="I373" s="843"/>
      <c r="J373" s="843"/>
      <c r="K373" s="843"/>
      <c r="L373" s="904"/>
      <c r="M373" s="904"/>
      <c r="N373" s="904"/>
      <c r="O373" s="904"/>
      <c r="P373" s="904"/>
      <c r="Q373" s="904"/>
      <c r="R373" s="904"/>
      <c r="S373" s="904"/>
      <c r="T373" s="904"/>
      <c r="U373" s="904"/>
      <c r="V373" s="904"/>
      <c r="W373" s="904"/>
      <c r="X373" s="904"/>
      <c r="Y373" s="904"/>
      <c r="Z373" s="904"/>
      <c r="AA373" s="904"/>
      <c r="AB373" s="904"/>
      <c r="AC373" s="904"/>
      <c r="AD373" s="904"/>
      <c r="AE373" s="904"/>
      <c r="AF373" s="904"/>
      <c r="AG373" s="904"/>
      <c r="AH373" s="904"/>
      <c r="AI373" s="904"/>
      <c r="AJ373" s="904"/>
      <c r="AK373" s="904"/>
      <c r="AL373" s="904"/>
      <c r="AM373" s="904"/>
      <c r="AN373" s="904"/>
      <c r="AO373" s="904"/>
      <c r="AP373" s="904"/>
      <c r="AQ373" s="904"/>
      <c r="AR373" s="904"/>
      <c r="AS373" s="904"/>
      <c r="AT373" s="904"/>
      <c r="AU373" s="904"/>
      <c r="AV373" s="904"/>
      <c r="AW373" s="904"/>
      <c r="AX373" s="904"/>
      <c r="AY373" s="904"/>
      <c r="AZ373" s="904"/>
      <c r="BA373" s="904"/>
      <c r="BB373" s="904"/>
      <c r="BC373" s="904"/>
      <c r="BD373" s="904"/>
      <c r="BE373" s="904"/>
      <c r="BF373" s="904"/>
      <c r="BG373" s="904"/>
      <c r="BH373" s="904"/>
      <c r="BI373" s="904"/>
      <c r="BJ373" s="904"/>
      <c r="BK373" s="904"/>
      <c r="BL373" s="904"/>
      <c r="BM373" s="904"/>
      <c r="BN373" s="904"/>
      <c r="BO373" s="904"/>
    </row>
    <row r="374" spans="1:67" ht="20.100000000000001" hidden="1" customHeight="1" outlineLevel="1">
      <c r="A374" s="784"/>
      <c r="B374" s="1595"/>
      <c r="C374" s="1596"/>
      <c r="D374" s="785" t="s">
        <v>782</v>
      </c>
      <c r="E374" s="790"/>
      <c r="F374" s="786"/>
      <c r="G374" s="787" t="s">
        <v>457</v>
      </c>
      <c r="H374" s="843"/>
      <c r="I374" s="843"/>
      <c r="J374" s="843"/>
      <c r="K374" s="843"/>
      <c r="L374" s="904"/>
      <c r="M374" s="904"/>
      <c r="N374" s="904"/>
      <c r="O374" s="904"/>
      <c r="P374" s="904"/>
      <c r="Q374" s="904"/>
      <c r="R374" s="904"/>
      <c r="S374" s="904"/>
      <c r="T374" s="904"/>
      <c r="U374" s="904"/>
      <c r="V374" s="904"/>
      <c r="W374" s="904"/>
      <c r="X374" s="904"/>
      <c r="Y374" s="904"/>
      <c r="Z374" s="904"/>
      <c r="AA374" s="904"/>
      <c r="AB374" s="904"/>
      <c r="AC374" s="904"/>
      <c r="AD374" s="904"/>
      <c r="AE374" s="904"/>
      <c r="AF374" s="904"/>
      <c r="AG374" s="904"/>
      <c r="AH374" s="904"/>
      <c r="AI374" s="904"/>
      <c r="AJ374" s="904"/>
      <c r="AK374" s="904"/>
      <c r="AL374" s="904"/>
      <c r="AM374" s="904"/>
      <c r="AN374" s="904"/>
      <c r="AO374" s="904"/>
      <c r="AP374" s="904"/>
      <c r="AQ374" s="904"/>
      <c r="AR374" s="904"/>
      <c r="AS374" s="904"/>
      <c r="AT374" s="904"/>
      <c r="AU374" s="904"/>
      <c r="AV374" s="904"/>
      <c r="AW374" s="904"/>
      <c r="AX374" s="904"/>
      <c r="AY374" s="904"/>
      <c r="AZ374" s="904"/>
      <c r="BA374" s="904"/>
      <c r="BB374" s="904"/>
      <c r="BC374" s="904"/>
      <c r="BD374" s="904"/>
      <c r="BE374" s="904"/>
      <c r="BF374" s="904"/>
      <c r="BG374" s="904"/>
      <c r="BH374" s="904"/>
      <c r="BI374" s="904"/>
      <c r="BJ374" s="904"/>
      <c r="BK374" s="904"/>
      <c r="BL374" s="904"/>
      <c r="BM374" s="904"/>
      <c r="BN374" s="904"/>
      <c r="BO374" s="904"/>
    </row>
    <row r="375" spans="1:67" ht="20.100000000000001" hidden="1" customHeight="1" outlineLevel="1">
      <c r="A375" s="784"/>
      <c r="B375" s="1594"/>
      <c r="C375" s="1596"/>
      <c r="D375" s="785" t="s">
        <v>376</v>
      </c>
      <c r="E375" s="792" t="str">
        <f ca="1">E37</f>
        <v/>
      </c>
      <c r="F375" s="786"/>
      <c r="G375" s="792" t="str">
        <f ca="1">G37</f>
        <v/>
      </c>
      <c r="H375" s="843"/>
      <c r="I375" s="843"/>
      <c r="J375" s="843"/>
      <c r="K375" s="843"/>
      <c r="L375" s="904"/>
      <c r="M375" s="904"/>
      <c r="N375" s="904"/>
      <c r="O375" s="904"/>
      <c r="P375" s="904"/>
      <c r="Q375" s="904"/>
      <c r="R375" s="904"/>
      <c r="S375" s="904"/>
      <c r="T375" s="904"/>
      <c r="U375" s="904"/>
      <c r="V375" s="904"/>
      <c r="W375" s="904"/>
      <c r="X375" s="904"/>
      <c r="Y375" s="904"/>
      <c r="Z375" s="904"/>
      <c r="AA375" s="904"/>
      <c r="AB375" s="904"/>
      <c r="AC375" s="904"/>
      <c r="AD375" s="904"/>
      <c r="AE375" s="904"/>
      <c r="AF375" s="904"/>
      <c r="AG375" s="904"/>
      <c r="AH375" s="904"/>
      <c r="AI375" s="904"/>
      <c r="AJ375" s="904"/>
      <c r="AK375" s="904"/>
      <c r="AL375" s="904"/>
      <c r="AM375" s="904"/>
      <c r="AN375" s="904"/>
      <c r="AO375" s="904"/>
      <c r="AP375" s="904"/>
      <c r="AQ375" s="904"/>
      <c r="AR375" s="904"/>
      <c r="AS375" s="904"/>
      <c r="AT375" s="904"/>
      <c r="AU375" s="904"/>
      <c r="AV375" s="904"/>
      <c r="AW375" s="904"/>
      <c r="AX375" s="904"/>
      <c r="AY375" s="904"/>
      <c r="AZ375" s="904"/>
      <c r="BA375" s="904"/>
      <c r="BB375" s="904"/>
      <c r="BC375" s="904"/>
      <c r="BD375" s="904"/>
      <c r="BE375" s="904"/>
      <c r="BF375" s="904"/>
      <c r="BG375" s="904"/>
      <c r="BH375" s="904"/>
      <c r="BI375" s="904"/>
      <c r="BJ375" s="904"/>
      <c r="BK375" s="904"/>
      <c r="BL375" s="904"/>
      <c r="BM375" s="904"/>
      <c r="BN375" s="904"/>
      <c r="BO375" s="904"/>
    </row>
    <row r="376" spans="1:67" ht="20.100000000000001" hidden="1" customHeight="1" outlineLevel="1">
      <c r="A376" s="784"/>
      <c r="B376" s="1594"/>
      <c r="C376" s="1596" t="s">
        <v>377</v>
      </c>
      <c r="D376" s="793" t="s">
        <v>378</v>
      </c>
      <c r="E376" s="785"/>
      <c r="F376" s="786"/>
      <c r="G376" s="787" t="s">
        <v>455</v>
      </c>
      <c r="H376" s="843"/>
      <c r="I376" s="843"/>
      <c r="J376" s="843"/>
      <c r="K376" s="843"/>
      <c r="L376" s="904"/>
      <c r="M376" s="904"/>
      <c r="N376" s="904"/>
      <c r="O376" s="904"/>
      <c r="P376" s="904"/>
      <c r="Q376" s="904"/>
      <c r="R376" s="904"/>
      <c r="S376" s="904"/>
      <c r="T376" s="904"/>
      <c r="U376" s="904"/>
      <c r="V376" s="904"/>
      <c r="W376" s="904"/>
      <c r="X376" s="904"/>
      <c r="Y376" s="904"/>
      <c r="Z376" s="904"/>
      <c r="AA376" s="904"/>
      <c r="AB376" s="904"/>
      <c r="AC376" s="904"/>
      <c r="AD376" s="904"/>
      <c r="AE376" s="904"/>
      <c r="AF376" s="904"/>
      <c r="AG376" s="904"/>
      <c r="AH376" s="904"/>
      <c r="AI376" s="904"/>
      <c r="AJ376" s="904"/>
      <c r="AK376" s="904"/>
      <c r="AL376" s="904"/>
      <c r="AM376" s="904"/>
      <c r="AN376" s="904"/>
      <c r="AO376" s="904"/>
      <c r="AP376" s="904"/>
      <c r="AQ376" s="904"/>
      <c r="AR376" s="904"/>
      <c r="AS376" s="904"/>
      <c r="AT376" s="904"/>
      <c r="AU376" s="904"/>
      <c r="AV376" s="904"/>
      <c r="AW376" s="904"/>
      <c r="AX376" s="904"/>
      <c r="AY376" s="904"/>
      <c r="AZ376" s="904"/>
      <c r="BA376" s="904"/>
      <c r="BB376" s="904"/>
      <c r="BC376" s="904"/>
      <c r="BD376" s="904"/>
      <c r="BE376" s="904"/>
      <c r="BF376" s="904"/>
      <c r="BG376" s="904"/>
      <c r="BH376" s="904"/>
      <c r="BI376" s="904"/>
      <c r="BJ376" s="904"/>
      <c r="BK376" s="904"/>
      <c r="BL376" s="904"/>
      <c r="BM376" s="904"/>
      <c r="BN376" s="904"/>
      <c r="BO376" s="904"/>
    </row>
    <row r="377" spans="1:67" ht="20.100000000000001" hidden="1" customHeight="1" outlineLevel="1">
      <c r="A377" s="784"/>
      <c r="B377" s="1594"/>
      <c r="C377" s="1596"/>
      <c r="D377" s="793" t="s">
        <v>379</v>
      </c>
      <c r="E377" s="785"/>
      <c r="F377" s="786"/>
      <c r="G377" s="787" t="s">
        <v>455</v>
      </c>
      <c r="H377" s="843"/>
      <c r="I377" s="843"/>
      <c r="J377" s="843"/>
      <c r="K377" s="843"/>
      <c r="L377" s="904"/>
      <c r="M377" s="904"/>
      <c r="N377" s="904"/>
      <c r="O377" s="904"/>
      <c r="P377" s="904"/>
      <c r="Q377" s="904"/>
      <c r="R377" s="904"/>
      <c r="S377" s="904"/>
      <c r="T377" s="904"/>
      <c r="U377" s="904"/>
      <c r="V377" s="904"/>
      <c r="W377" s="904"/>
      <c r="X377" s="904"/>
      <c r="Y377" s="904"/>
      <c r="Z377" s="904"/>
      <c r="AA377" s="904"/>
      <c r="AB377" s="904"/>
      <c r="AC377" s="904"/>
      <c r="AD377" s="904"/>
      <c r="AE377" s="904"/>
      <c r="AF377" s="904"/>
      <c r="AG377" s="904"/>
      <c r="AH377" s="904"/>
      <c r="AI377" s="904"/>
      <c r="AJ377" s="904"/>
      <c r="AK377" s="904"/>
      <c r="AL377" s="904"/>
      <c r="AM377" s="904"/>
      <c r="AN377" s="904"/>
      <c r="AO377" s="904"/>
      <c r="AP377" s="904"/>
      <c r="AQ377" s="904"/>
      <c r="AR377" s="904"/>
      <c r="AS377" s="904"/>
      <c r="AT377" s="904"/>
      <c r="AU377" s="904"/>
      <c r="AV377" s="904"/>
      <c r="AW377" s="904"/>
      <c r="AX377" s="904"/>
      <c r="AY377" s="904"/>
      <c r="AZ377" s="904"/>
      <c r="BA377" s="904"/>
      <c r="BB377" s="904"/>
      <c r="BC377" s="904"/>
      <c r="BD377" s="904"/>
      <c r="BE377" s="904"/>
      <c r="BF377" s="904"/>
      <c r="BG377" s="904"/>
      <c r="BH377" s="904"/>
      <c r="BI377" s="904"/>
      <c r="BJ377" s="904"/>
      <c r="BK377" s="904"/>
      <c r="BL377" s="904"/>
      <c r="BM377" s="904"/>
      <c r="BN377" s="904"/>
      <c r="BO377" s="904"/>
    </row>
    <row r="378" spans="1:67" ht="20.100000000000001" hidden="1" customHeight="1" outlineLevel="1">
      <c r="A378" s="784"/>
      <c r="B378" s="1594"/>
      <c r="C378" s="1596"/>
      <c r="D378" s="793" t="s">
        <v>380</v>
      </c>
      <c r="E378" s="779"/>
      <c r="F378" s="786"/>
      <c r="G378" s="787" t="s">
        <v>455</v>
      </c>
      <c r="H378" s="843"/>
      <c r="I378" s="843"/>
      <c r="J378" s="843"/>
      <c r="K378" s="843"/>
      <c r="L378" s="904"/>
      <c r="M378" s="904"/>
      <c r="N378" s="904"/>
      <c r="O378" s="904"/>
      <c r="P378" s="904"/>
      <c r="Q378" s="904"/>
      <c r="R378" s="904"/>
      <c r="S378" s="904"/>
      <c r="T378" s="904"/>
      <c r="U378" s="904"/>
      <c r="V378" s="904"/>
      <c r="W378" s="904"/>
      <c r="X378" s="904"/>
      <c r="Y378" s="904"/>
      <c r="Z378" s="904"/>
      <c r="AA378" s="904"/>
      <c r="AB378" s="904"/>
      <c r="AC378" s="904"/>
      <c r="AD378" s="904"/>
      <c r="AE378" s="904"/>
      <c r="AF378" s="904"/>
      <c r="AG378" s="904"/>
      <c r="AH378" s="904"/>
      <c r="AI378" s="904"/>
      <c r="AJ378" s="904"/>
      <c r="AK378" s="904"/>
      <c r="AL378" s="904"/>
      <c r="AM378" s="904"/>
      <c r="AN378" s="904"/>
      <c r="AO378" s="904"/>
      <c r="AP378" s="904"/>
      <c r="AQ378" s="904"/>
      <c r="AR378" s="904"/>
      <c r="AS378" s="904"/>
      <c r="AT378" s="904"/>
      <c r="AU378" s="904"/>
      <c r="AV378" s="904"/>
      <c r="AW378" s="904"/>
      <c r="AX378" s="904"/>
      <c r="AY378" s="904"/>
      <c r="AZ378" s="904"/>
      <c r="BA378" s="904"/>
      <c r="BB378" s="904"/>
      <c r="BC378" s="904"/>
      <c r="BD378" s="904"/>
      <c r="BE378" s="904"/>
      <c r="BF378" s="904"/>
      <c r="BG378" s="904"/>
      <c r="BH378" s="904"/>
      <c r="BI378" s="904"/>
      <c r="BJ378" s="904"/>
      <c r="BK378" s="904"/>
      <c r="BL378" s="904"/>
      <c r="BM378" s="904"/>
      <c r="BN378" s="904"/>
      <c r="BO378" s="904"/>
    </row>
    <row r="379" spans="1:67" ht="20.100000000000001" hidden="1" customHeight="1" outlineLevel="1">
      <c r="A379" s="784"/>
      <c r="B379" s="1594"/>
      <c r="C379" s="1596"/>
      <c r="D379" s="785" t="s">
        <v>381</v>
      </c>
      <c r="E379" s="785"/>
      <c r="F379" s="786"/>
      <c r="G379" s="787" t="s">
        <v>453</v>
      </c>
      <c r="H379" s="843"/>
      <c r="I379" s="843"/>
      <c r="J379" s="843"/>
      <c r="K379" s="843"/>
      <c r="L379" s="904"/>
      <c r="M379" s="904"/>
      <c r="N379" s="904"/>
      <c r="O379" s="904"/>
      <c r="P379" s="904"/>
      <c r="Q379" s="904"/>
      <c r="R379" s="904"/>
      <c r="S379" s="904"/>
      <c r="T379" s="904"/>
      <c r="U379" s="904"/>
      <c r="V379" s="904"/>
      <c r="W379" s="904"/>
      <c r="X379" s="904"/>
      <c r="Y379" s="904"/>
      <c r="Z379" s="904"/>
      <c r="AA379" s="904"/>
      <c r="AB379" s="904"/>
      <c r="AC379" s="904"/>
      <c r="AD379" s="904"/>
      <c r="AE379" s="904"/>
      <c r="AF379" s="904"/>
      <c r="AG379" s="904"/>
      <c r="AH379" s="904"/>
      <c r="AI379" s="904"/>
      <c r="AJ379" s="904"/>
      <c r="AK379" s="904"/>
      <c r="AL379" s="904"/>
      <c r="AM379" s="904"/>
      <c r="AN379" s="904"/>
      <c r="AO379" s="904"/>
      <c r="AP379" s="904"/>
      <c r="AQ379" s="904"/>
      <c r="AR379" s="904"/>
      <c r="AS379" s="904"/>
      <c r="AT379" s="904"/>
      <c r="AU379" s="904"/>
      <c r="AV379" s="904"/>
      <c r="AW379" s="904"/>
      <c r="AX379" s="904"/>
      <c r="AY379" s="904"/>
      <c r="AZ379" s="904"/>
      <c r="BA379" s="904"/>
      <c r="BB379" s="904"/>
      <c r="BC379" s="904"/>
      <c r="BD379" s="904"/>
      <c r="BE379" s="904"/>
      <c r="BF379" s="904"/>
      <c r="BG379" s="904"/>
      <c r="BH379" s="904"/>
      <c r="BI379" s="904"/>
      <c r="BJ379" s="904"/>
      <c r="BK379" s="904"/>
      <c r="BL379" s="904"/>
      <c r="BM379" s="904"/>
      <c r="BN379" s="904"/>
      <c r="BO379" s="904"/>
    </row>
    <row r="380" spans="1:67" ht="20.100000000000001" hidden="1" customHeight="1" outlineLevel="1">
      <c r="A380" s="784"/>
      <c r="B380" s="1594"/>
      <c r="C380" s="1596"/>
      <c r="D380" s="785" t="s">
        <v>382</v>
      </c>
      <c r="E380" s="785"/>
      <c r="F380" s="786"/>
      <c r="G380" s="787" t="s">
        <v>453</v>
      </c>
      <c r="H380" s="843"/>
      <c r="I380" s="843"/>
      <c r="J380" s="843"/>
      <c r="K380" s="843"/>
      <c r="L380" s="904"/>
      <c r="M380" s="904"/>
      <c r="N380" s="904"/>
      <c r="O380" s="904"/>
      <c r="P380" s="904"/>
      <c r="Q380" s="904"/>
      <c r="R380" s="904"/>
      <c r="S380" s="904"/>
      <c r="T380" s="904"/>
      <c r="U380" s="904"/>
      <c r="V380" s="904"/>
      <c r="W380" s="904"/>
      <c r="X380" s="904"/>
      <c r="Y380" s="904"/>
      <c r="Z380" s="904"/>
      <c r="AA380" s="904"/>
      <c r="AB380" s="904"/>
      <c r="AC380" s="904"/>
      <c r="AD380" s="904"/>
      <c r="AE380" s="904"/>
      <c r="AF380" s="904"/>
      <c r="AG380" s="904"/>
      <c r="AH380" s="904"/>
      <c r="AI380" s="904"/>
      <c r="AJ380" s="904"/>
      <c r="AK380" s="904"/>
      <c r="AL380" s="904"/>
      <c r="AM380" s="904"/>
      <c r="AN380" s="904"/>
      <c r="AO380" s="904"/>
      <c r="AP380" s="904"/>
      <c r="AQ380" s="904"/>
      <c r="AR380" s="904"/>
      <c r="AS380" s="904"/>
      <c r="AT380" s="904"/>
      <c r="AU380" s="904"/>
      <c r="AV380" s="904"/>
      <c r="AW380" s="904"/>
      <c r="AX380" s="904"/>
      <c r="AY380" s="904"/>
      <c r="AZ380" s="904"/>
      <c r="BA380" s="904"/>
      <c r="BB380" s="904"/>
      <c r="BC380" s="904"/>
      <c r="BD380" s="904"/>
      <c r="BE380" s="904"/>
      <c r="BF380" s="904"/>
      <c r="BG380" s="904"/>
      <c r="BH380" s="904"/>
      <c r="BI380" s="904"/>
      <c r="BJ380" s="904"/>
      <c r="BK380" s="904"/>
      <c r="BL380" s="904"/>
      <c r="BM380" s="904"/>
      <c r="BN380" s="904"/>
      <c r="BO380" s="904"/>
    </row>
    <row r="381" spans="1:67" ht="20.100000000000001" hidden="1" customHeight="1" outlineLevel="1">
      <c r="A381" s="784"/>
      <c r="B381" s="1594"/>
      <c r="C381" s="1596"/>
      <c r="D381" s="785" t="s">
        <v>383</v>
      </c>
      <c r="E381" s="785"/>
      <c r="F381" s="786"/>
      <c r="G381" s="787" t="s">
        <v>457</v>
      </c>
      <c r="H381" s="843"/>
      <c r="I381" s="843"/>
      <c r="J381" s="843"/>
      <c r="K381" s="843"/>
      <c r="L381" s="904"/>
      <c r="M381" s="904"/>
      <c r="N381" s="904"/>
      <c r="O381" s="904"/>
      <c r="P381" s="904"/>
      <c r="Q381" s="904"/>
      <c r="R381" s="904"/>
      <c r="S381" s="904"/>
      <c r="T381" s="904"/>
      <c r="U381" s="904"/>
      <c r="V381" s="904"/>
      <c r="W381" s="904"/>
      <c r="X381" s="904"/>
      <c r="Y381" s="904"/>
      <c r="Z381" s="904"/>
      <c r="AA381" s="904"/>
      <c r="AB381" s="904"/>
      <c r="AC381" s="904"/>
      <c r="AD381" s="904"/>
      <c r="AE381" s="904"/>
      <c r="AF381" s="904"/>
      <c r="AG381" s="904"/>
      <c r="AH381" s="904"/>
      <c r="AI381" s="904"/>
      <c r="AJ381" s="904"/>
      <c r="AK381" s="904"/>
      <c r="AL381" s="904"/>
      <c r="AM381" s="904"/>
      <c r="AN381" s="904"/>
      <c r="AO381" s="904"/>
      <c r="AP381" s="904"/>
      <c r="AQ381" s="904"/>
      <c r="AR381" s="904"/>
      <c r="AS381" s="904"/>
      <c r="AT381" s="904"/>
      <c r="AU381" s="904"/>
      <c r="AV381" s="904"/>
      <c r="AW381" s="904"/>
      <c r="AX381" s="904"/>
      <c r="AY381" s="904"/>
      <c r="AZ381" s="904"/>
      <c r="BA381" s="904"/>
      <c r="BB381" s="904"/>
      <c r="BC381" s="904"/>
      <c r="BD381" s="904"/>
      <c r="BE381" s="904"/>
      <c r="BF381" s="904"/>
      <c r="BG381" s="904"/>
      <c r="BH381" s="904"/>
      <c r="BI381" s="904"/>
      <c r="BJ381" s="904"/>
      <c r="BK381" s="904"/>
      <c r="BL381" s="904"/>
      <c r="BM381" s="904"/>
      <c r="BN381" s="904"/>
      <c r="BO381" s="904"/>
    </row>
    <row r="382" spans="1:67" ht="20.100000000000001" hidden="1" customHeight="1" outlineLevel="1">
      <c r="A382" s="784"/>
      <c r="B382" s="1594"/>
      <c r="C382" s="1596"/>
      <c r="D382" s="785" t="s">
        <v>384</v>
      </c>
      <c r="E382" s="792" t="str">
        <f ca="1">E44</f>
        <v/>
      </c>
      <c r="F382" s="794"/>
      <c r="G382" s="787" t="s">
        <v>455</v>
      </c>
      <c r="H382" s="843"/>
      <c r="I382" s="843"/>
      <c r="J382" s="843"/>
      <c r="K382" s="843"/>
      <c r="L382" s="904"/>
      <c r="M382" s="904"/>
      <c r="N382" s="904"/>
      <c r="O382" s="904"/>
      <c r="P382" s="904"/>
      <c r="Q382" s="904"/>
      <c r="R382" s="904"/>
      <c r="S382" s="904"/>
      <c r="T382" s="904"/>
      <c r="U382" s="904"/>
      <c r="V382" s="904"/>
      <c r="W382" s="904"/>
      <c r="X382" s="904"/>
      <c r="Y382" s="904"/>
      <c r="Z382" s="904"/>
      <c r="AA382" s="904"/>
      <c r="AB382" s="904"/>
      <c r="AC382" s="904"/>
      <c r="AD382" s="904"/>
      <c r="AE382" s="904"/>
      <c r="AF382" s="904"/>
      <c r="AG382" s="904"/>
      <c r="AH382" s="904"/>
      <c r="AI382" s="904"/>
      <c r="AJ382" s="904"/>
      <c r="AK382" s="904"/>
      <c r="AL382" s="904"/>
      <c r="AM382" s="904"/>
      <c r="AN382" s="904"/>
      <c r="AO382" s="904"/>
      <c r="AP382" s="904"/>
      <c r="AQ382" s="904"/>
      <c r="AR382" s="904"/>
      <c r="AS382" s="904"/>
      <c r="AT382" s="904"/>
      <c r="AU382" s="904"/>
      <c r="AV382" s="904"/>
      <c r="AW382" s="904"/>
      <c r="AX382" s="904"/>
      <c r="AY382" s="904"/>
      <c r="AZ382" s="904"/>
      <c r="BA382" s="904"/>
      <c r="BB382" s="904"/>
      <c r="BC382" s="904"/>
      <c r="BD382" s="904"/>
      <c r="BE382" s="904"/>
      <c r="BF382" s="904"/>
      <c r="BG382" s="904"/>
      <c r="BH382" s="904"/>
      <c r="BI382" s="904"/>
      <c r="BJ382" s="904"/>
      <c r="BK382" s="904"/>
      <c r="BL382" s="904"/>
      <c r="BM382" s="904"/>
      <c r="BN382" s="904"/>
      <c r="BO382" s="904"/>
    </row>
    <row r="383" spans="1:67" ht="20.100000000000001" hidden="1" customHeight="1" outlineLevel="1">
      <c r="A383" s="784"/>
      <c r="B383" s="1594"/>
      <c r="C383" s="1596"/>
      <c r="D383" s="793" t="s">
        <v>385</v>
      </c>
      <c r="E383" s="785"/>
      <c r="F383" s="786"/>
      <c r="G383" s="787" t="s">
        <v>455</v>
      </c>
      <c r="H383" s="843"/>
      <c r="I383" s="843"/>
      <c r="J383" s="843"/>
      <c r="K383" s="843"/>
      <c r="L383" s="904"/>
      <c r="M383" s="904"/>
      <c r="N383" s="904"/>
      <c r="O383" s="904"/>
      <c r="P383" s="904"/>
      <c r="Q383" s="904"/>
      <c r="R383" s="904"/>
      <c r="S383" s="904"/>
      <c r="T383" s="904"/>
      <c r="U383" s="904"/>
      <c r="V383" s="904"/>
      <c r="W383" s="904"/>
      <c r="X383" s="904"/>
      <c r="Y383" s="904"/>
      <c r="Z383" s="904"/>
      <c r="AA383" s="904"/>
      <c r="AB383" s="904"/>
      <c r="AC383" s="904"/>
      <c r="AD383" s="904"/>
      <c r="AE383" s="904"/>
      <c r="AF383" s="904"/>
      <c r="AG383" s="904"/>
      <c r="AH383" s="904"/>
      <c r="AI383" s="904"/>
      <c r="AJ383" s="904"/>
      <c r="AK383" s="904"/>
      <c r="AL383" s="904"/>
      <c r="AM383" s="904"/>
      <c r="AN383" s="904"/>
      <c r="AO383" s="904"/>
      <c r="AP383" s="904"/>
      <c r="AQ383" s="904"/>
      <c r="AR383" s="904"/>
      <c r="AS383" s="904"/>
      <c r="AT383" s="904"/>
      <c r="AU383" s="904"/>
      <c r="AV383" s="904"/>
      <c r="AW383" s="904"/>
      <c r="AX383" s="904"/>
      <c r="AY383" s="904"/>
      <c r="AZ383" s="904"/>
      <c r="BA383" s="904"/>
      <c r="BB383" s="904"/>
      <c r="BC383" s="904"/>
      <c r="BD383" s="904"/>
      <c r="BE383" s="904"/>
      <c r="BF383" s="904"/>
      <c r="BG383" s="904"/>
      <c r="BH383" s="904"/>
      <c r="BI383" s="904"/>
      <c r="BJ383" s="904"/>
      <c r="BK383" s="904"/>
      <c r="BL383" s="904"/>
      <c r="BM383" s="904"/>
      <c r="BN383" s="904"/>
      <c r="BO383" s="904"/>
    </row>
    <row r="384" spans="1:67" ht="20.100000000000001" hidden="1" customHeight="1" outlineLevel="1">
      <c r="A384" s="784"/>
      <c r="B384" s="1594"/>
      <c r="C384" s="1596"/>
      <c r="D384" s="793" t="s">
        <v>386</v>
      </c>
      <c r="E384" s="795"/>
      <c r="F384" s="786"/>
      <c r="G384" s="787" t="s">
        <v>455</v>
      </c>
      <c r="H384" s="843"/>
      <c r="I384" s="843"/>
      <c r="J384" s="843"/>
      <c r="K384" s="843"/>
      <c r="L384" s="904"/>
      <c r="M384" s="904"/>
      <c r="N384" s="904"/>
      <c r="O384" s="904"/>
      <c r="P384" s="904"/>
      <c r="Q384" s="904"/>
      <c r="R384" s="904"/>
      <c r="S384" s="904"/>
      <c r="T384" s="904"/>
      <c r="U384" s="904"/>
      <c r="V384" s="904"/>
      <c r="W384" s="904"/>
      <c r="X384" s="904"/>
      <c r="Y384" s="904"/>
      <c r="Z384" s="904"/>
      <c r="AA384" s="904"/>
      <c r="AB384" s="904"/>
      <c r="AC384" s="904"/>
      <c r="AD384" s="904"/>
      <c r="AE384" s="904"/>
      <c r="AF384" s="904"/>
      <c r="AG384" s="904"/>
      <c r="AH384" s="904"/>
      <c r="AI384" s="904"/>
      <c r="AJ384" s="904"/>
      <c r="AK384" s="904"/>
      <c r="AL384" s="904"/>
      <c r="AM384" s="904"/>
      <c r="AN384" s="904"/>
      <c r="AO384" s="904"/>
      <c r="AP384" s="904"/>
      <c r="AQ384" s="904"/>
      <c r="AR384" s="904"/>
      <c r="AS384" s="904"/>
      <c r="AT384" s="904"/>
      <c r="AU384" s="904"/>
      <c r="AV384" s="904"/>
      <c r="AW384" s="904"/>
      <c r="AX384" s="904"/>
      <c r="AY384" s="904"/>
      <c r="AZ384" s="904"/>
      <c r="BA384" s="904"/>
      <c r="BB384" s="904"/>
      <c r="BC384" s="904"/>
      <c r="BD384" s="904"/>
      <c r="BE384" s="904"/>
      <c r="BF384" s="904"/>
      <c r="BG384" s="904"/>
      <c r="BH384" s="904"/>
      <c r="BI384" s="904"/>
      <c r="BJ384" s="904"/>
      <c r="BK384" s="904"/>
      <c r="BL384" s="904"/>
      <c r="BM384" s="904"/>
      <c r="BN384" s="904"/>
      <c r="BO384" s="904"/>
    </row>
    <row r="385" spans="1:68" ht="20.100000000000001" hidden="1" customHeight="1" outlineLevel="1">
      <c r="A385" s="784"/>
      <c r="B385" s="1594"/>
      <c r="C385" s="1596"/>
      <c r="D385" s="793" t="s">
        <v>387</v>
      </c>
      <c r="E385" s="779"/>
      <c r="F385" s="786"/>
      <c r="G385" s="787" t="s">
        <v>455</v>
      </c>
      <c r="H385" s="843"/>
      <c r="I385" s="843"/>
      <c r="J385" s="843"/>
      <c r="K385" s="843"/>
      <c r="L385" s="904"/>
      <c r="M385" s="904"/>
      <c r="N385" s="904"/>
      <c r="O385" s="904"/>
      <c r="P385" s="904"/>
      <c r="Q385" s="904"/>
      <c r="R385" s="904"/>
      <c r="S385" s="904"/>
      <c r="T385" s="904"/>
      <c r="U385" s="904"/>
      <c r="V385" s="904"/>
      <c r="W385" s="904"/>
      <c r="X385" s="904"/>
      <c r="Y385" s="904"/>
      <c r="Z385" s="904"/>
      <c r="AA385" s="904"/>
      <c r="AB385" s="904"/>
      <c r="AC385" s="904"/>
      <c r="AD385" s="904"/>
      <c r="AE385" s="904"/>
      <c r="AF385" s="904"/>
      <c r="AG385" s="904"/>
      <c r="AH385" s="904"/>
      <c r="AI385" s="904"/>
      <c r="AJ385" s="904"/>
      <c r="AK385" s="904"/>
      <c r="AL385" s="904"/>
      <c r="AM385" s="904"/>
      <c r="AN385" s="904"/>
      <c r="AO385" s="904"/>
      <c r="AP385" s="904"/>
      <c r="AQ385" s="904"/>
      <c r="AR385" s="904"/>
      <c r="AS385" s="904"/>
      <c r="AT385" s="904"/>
      <c r="AU385" s="904"/>
      <c r="AV385" s="904"/>
      <c r="AW385" s="904"/>
      <c r="AX385" s="904"/>
      <c r="AY385" s="904"/>
      <c r="AZ385" s="904"/>
      <c r="BA385" s="904"/>
      <c r="BB385" s="904"/>
      <c r="BC385" s="904"/>
      <c r="BD385" s="904"/>
      <c r="BE385" s="904"/>
      <c r="BF385" s="904"/>
      <c r="BG385" s="904"/>
      <c r="BH385" s="904"/>
      <c r="BI385" s="904"/>
      <c r="BJ385" s="904"/>
      <c r="BK385" s="904"/>
      <c r="BL385" s="904"/>
      <c r="BM385" s="904"/>
      <c r="BN385" s="904"/>
      <c r="BO385" s="904"/>
    </row>
    <row r="386" spans="1:68" ht="20.100000000000001" hidden="1" customHeight="1" outlineLevel="1">
      <c r="A386" s="784"/>
      <c r="B386" s="1595"/>
      <c r="C386" s="1596"/>
      <c r="D386" s="793" t="s">
        <v>388</v>
      </c>
      <c r="E386" s="785"/>
      <c r="F386" s="786"/>
      <c r="G386" s="787" t="s">
        <v>455</v>
      </c>
      <c r="H386" s="843"/>
      <c r="I386" s="843"/>
      <c r="J386" s="843"/>
      <c r="K386" s="843"/>
      <c r="L386" s="904"/>
      <c r="M386" s="904"/>
      <c r="N386" s="904"/>
      <c r="O386" s="904"/>
      <c r="P386" s="904"/>
      <c r="Q386" s="904"/>
      <c r="R386" s="904"/>
      <c r="S386" s="904"/>
      <c r="T386" s="904"/>
      <c r="U386" s="904"/>
      <c r="V386" s="904"/>
      <c r="W386" s="904"/>
      <c r="X386" s="904"/>
      <c r="Y386" s="904"/>
      <c r="Z386" s="904"/>
      <c r="AA386" s="904"/>
      <c r="AB386" s="904"/>
      <c r="AC386" s="904"/>
      <c r="AD386" s="904"/>
      <c r="AE386" s="904"/>
      <c r="AF386" s="904"/>
      <c r="AG386" s="904"/>
      <c r="AH386" s="904"/>
      <c r="AI386" s="904"/>
      <c r="AJ386" s="904"/>
      <c r="AK386" s="904"/>
      <c r="AL386" s="904"/>
      <c r="AM386" s="904"/>
      <c r="AN386" s="904"/>
      <c r="AO386" s="904"/>
      <c r="AP386" s="904"/>
      <c r="AQ386" s="904"/>
      <c r="AR386" s="904"/>
      <c r="AS386" s="904"/>
      <c r="AT386" s="904"/>
      <c r="AU386" s="904"/>
      <c r="AV386" s="904"/>
      <c r="AW386" s="904"/>
      <c r="AX386" s="904"/>
      <c r="AY386" s="904"/>
      <c r="AZ386" s="904"/>
      <c r="BA386" s="904"/>
      <c r="BB386" s="904"/>
      <c r="BC386" s="904"/>
      <c r="BD386" s="904"/>
      <c r="BE386" s="904"/>
      <c r="BF386" s="904"/>
      <c r="BG386" s="904"/>
      <c r="BH386" s="904"/>
      <c r="BI386" s="904"/>
      <c r="BJ386" s="904"/>
      <c r="BK386" s="904"/>
      <c r="BL386" s="904"/>
      <c r="BM386" s="904"/>
      <c r="BN386" s="904"/>
      <c r="BO386" s="904"/>
    </row>
    <row r="387" spans="1:68" ht="20.100000000000001" hidden="1" customHeight="1" outlineLevel="1">
      <c r="A387" s="784"/>
      <c r="B387" s="1595"/>
      <c r="C387" s="1596"/>
      <c r="D387" s="793" t="s">
        <v>389</v>
      </c>
      <c r="E387" s="785"/>
      <c r="F387" s="786"/>
      <c r="G387" s="787" t="s">
        <v>455</v>
      </c>
      <c r="H387" s="843"/>
      <c r="I387" s="843"/>
      <c r="J387" s="843"/>
      <c r="K387" s="843"/>
      <c r="L387" s="904"/>
      <c r="M387" s="904"/>
      <c r="N387" s="904"/>
      <c r="O387" s="904"/>
      <c r="P387" s="904"/>
      <c r="Q387" s="904"/>
      <c r="R387" s="904"/>
      <c r="S387" s="904"/>
      <c r="T387" s="904"/>
      <c r="U387" s="904"/>
      <c r="V387" s="904"/>
      <c r="W387" s="904"/>
      <c r="X387" s="904"/>
      <c r="Y387" s="904"/>
      <c r="Z387" s="904"/>
      <c r="AA387" s="904"/>
      <c r="AB387" s="904"/>
      <c r="AC387" s="904"/>
      <c r="AD387" s="904"/>
      <c r="AE387" s="904"/>
      <c r="AF387" s="904"/>
      <c r="AG387" s="904"/>
      <c r="AH387" s="904"/>
      <c r="AI387" s="904"/>
      <c r="AJ387" s="904"/>
      <c r="AK387" s="904"/>
      <c r="AL387" s="904"/>
      <c r="AM387" s="904"/>
      <c r="AN387" s="904"/>
      <c r="AO387" s="904"/>
      <c r="AP387" s="904"/>
      <c r="AQ387" s="904"/>
      <c r="AR387" s="904"/>
      <c r="AS387" s="904"/>
      <c r="AT387" s="904"/>
      <c r="AU387" s="904"/>
      <c r="AV387" s="904"/>
      <c r="AW387" s="904"/>
      <c r="AX387" s="904"/>
      <c r="AY387" s="904"/>
      <c r="AZ387" s="904"/>
      <c r="BA387" s="904"/>
      <c r="BB387" s="904"/>
      <c r="BC387" s="904"/>
      <c r="BD387" s="904"/>
      <c r="BE387" s="904"/>
      <c r="BF387" s="904"/>
      <c r="BG387" s="904"/>
      <c r="BH387" s="904"/>
      <c r="BI387" s="904"/>
      <c r="BJ387" s="904"/>
      <c r="BK387" s="904"/>
      <c r="BL387" s="904"/>
      <c r="BM387" s="904"/>
      <c r="BN387" s="904"/>
      <c r="BO387" s="904"/>
    </row>
    <row r="388" spans="1:68" ht="20.100000000000001" hidden="1" customHeight="1" outlineLevel="1">
      <c r="A388" s="784"/>
      <c r="B388" s="1595"/>
      <c r="C388" s="1596"/>
      <c r="D388" s="793" t="s">
        <v>390</v>
      </c>
      <c r="E388" s="785"/>
      <c r="F388" s="786"/>
      <c r="G388" s="787" t="s">
        <v>453</v>
      </c>
      <c r="H388" s="843"/>
      <c r="I388" s="843"/>
      <c r="J388" s="843"/>
      <c r="K388" s="843"/>
      <c r="L388" s="904"/>
      <c r="M388" s="904"/>
      <c r="N388" s="904"/>
      <c r="O388" s="904"/>
      <c r="P388" s="904"/>
      <c r="Q388" s="904"/>
      <c r="R388" s="904"/>
      <c r="S388" s="904"/>
      <c r="T388" s="904"/>
      <c r="U388" s="904"/>
      <c r="V388" s="904"/>
      <c r="W388" s="904"/>
      <c r="X388" s="904"/>
      <c r="Y388" s="904"/>
      <c r="Z388" s="904"/>
      <c r="AA388" s="904"/>
      <c r="AB388" s="904"/>
      <c r="AC388" s="904"/>
      <c r="AD388" s="904"/>
      <c r="AE388" s="904"/>
      <c r="AF388" s="904"/>
      <c r="AG388" s="904"/>
      <c r="AH388" s="904"/>
      <c r="AI388" s="904"/>
      <c r="AJ388" s="904"/>
      <c r="AK388" s="904"/>
      <c r="AL388" s="904"/>
      <c r="AM388" s="904"/>
      <c r="AN388" s="904"/>
      <c r="AO388" s="904"/>
      <c r="AP388" s="904"/>
      <c r="AQ388" s="904"/>
      <c r="AR388" s="904"/>
      <c r="AS388" s="904"/>
      <c r="AT388" s="904"/>
      <c r="AU388" s="904"/>
      <c r="AV388" s="904"/>
      <c r="AW388" s="904"/>
      <c r="AX388" s="904"/>
      <c r="AY388" s="904"/>
      <c r="AZ388" s="904"/>
      <c r="BA388" s="904"/>
      <c r="BB388" s="904"/>
      <c r="BC388" s="904"/>
      <c r="BD388" s="904"/>
      <c r="BE388" s="904"/>
      <c r="BF388" s="904"/>
      <c r="BG388" s="904"/>
      <c r="BH388" s="904"/>
      <c r="BI388" s="904"/>
      <c r="BJ388" s="904"/>
      <c r="BK388" s="904"/>
      <c r="BL388" s="904"/>
      <c r="BM388" s="904"/>
      <c r="BN388" s="904"/>
      <c r="BO388" s="904"/>
    </row>
    <row r="389" spans="1:68" ht="20.100000000000001" hidden="1" customHeight="1" outlineLevel="1">
      <c r="A389" s="784"/>
      <c r="B389" s="1594"/>
      <c r="C389" s="1596"/>
      <c r="D389" s="785" t="s">
        <v>391</v>
      </c>
      <c r="E389" s="785"/>
      <c r="F389" s="786"/>
      <c r="G389" s="787" t="s">
        <v>457</v>
      </c>
      <c r="H389" s="843"/>
      <c r="I389" s="843"/>
      <c r="J389" s="843"/>
      <c r="K389" s="843"/>
      <c r="L389" s="904"/>
      <c r="M389" s="904"/>
      <c r="N389" s="904"/>
      <c r="O389" s="904"/>
      <c r="P389" s="904"/>
      <c r="Q389" s="904"/>
      <c r="R389" s="904"/>
      <c r="S389" s="904"/>
      <c r="T389" s="904"/>
      <c r="U389" s="904"/>
      <c r="V389" s="904"/>
      <c r="W389" s="904"/>
      <c r="X389" s="904"/>
      <c r="Y389" s="904"/>
      <c r="Z389" s="904"/>
      <c r="AA389" s="904"/>
      <c r="AB389" s="904"/>
      <c r="AC389" s="904"/>
      <c r="AD389" s="904"/>
      <c r="AE389" s="904"/>
      <c r="AF389" s="904"/>
      <c r="AG389" s="904"/>
      <c r="AH389" s="904"/>
      <c r="AI389" s="904"/>
      <c r="AJ389" s="904"/>
      <c r="AK389" s="904"/>
      <c r="AL389" s="904"/>
      <c r="AM389" s="904"/>
      <c r="AN389" s="904"/>
      <c r="AO389" s="904"/>
      <c r="AP389" s="904"/>
      <c r="AQ389" s="904"/>
      <c r="AR389" s="904"/>
      <c r="AS389" s="904"/>
      <c r="AT389" s="904"/>
      <c r="AU389" s="904"/>
      <c r="AV389" s="904"/>
      <c r="AW389" s="904"/>
      <c r="AX389" s="904"/>
      <c r="AY389" s="904"/>
      <c r="AZ389" s="904"/>
      <c r="BA389" s="904"/>
      <c r="BB389" s="904"/>
      <c r="BC389" s="904"/>
      <c r="BD389" s="904"/>
      <c r="BE389" s="904"/>
      <c r="BF389" s="904"/>
      <c r="BG389" s="904"/>
      <c r="BH389" s="904"/>
      <c r="BI389" s="904"/>
      <c r="BJ389" s="904"/>
      <c r="BK389" s="904"/>
      <c r="BL389" s="904"/>
      <c r="BM389" s="904"/>
      <c r="BN389" s="904"/>
      <c r="BO389" s="904"/>
    </row>
    <row r="390" spans="1:68" ht="20.100000000000001" hidden="1" customHeight="1" outlineLevel="1">
      <c r="A390" s="784"/>
      <c r="B390" s="1594"/>
      <c r="C390" s="1596"/>
      <c r="D390" s="785" t="s">
        <v>392</v>
      </c>
      <c r="E390" s="785"/>
      <c r="F390" s="786"/>
      <c r="G390" s="787" t="s">
        <v>455</v>
      </c>
      <c r="H390" s="843"/>
      <c r="I390" s="843"/>
      <c r="J390" s="843"/>
      <c r="K390" s="843"/>
      <c r="L390" s="904"/>
      <c r="M390" s="904"/>
      <c r="N390" s="904"/>
      <c r="O390" s="904"/>
      <c r="P390" s="904"/>
      <c r="Q390" s="904"/>
      <c r="R390" s="904"/>
      <c r="S390" s="904"/>
      <c r="T390" s="904"/>
      <c r="U390" s="904"/>
      <c r="V390" s="904"/>
      <c r="W390" s="904"/>
      <c r="X390" s="904"/>
      <c r="Y390" s="904"/>
      <c r="Z390" s="904"/>
      <c r="AA390" s="904"/>
      <c r="AB390" s="904"/>
      <c r="AC390" s="904"/>
      <c r="AD390" s="904"/>
      <c r="AE390" s="904"/>
      <c r="AF390" s="904"/>
      <c r="AG390" s="904"/>
      <c r="AH390" s="904"/>
      <c r="AI390" s="904"/>
      <c r="AJ390" s="904"/>
      <c r="AK390" s="904"/>
      <c r="AL390" s="904"/>
      <c r="AM390" s="904"/>
      <c r="AN390" s="904"/>
      <c r="AO390" s="904"/>
      <c r="AP390" s="904"/>
      <c r="AQ390" s="904"/>
      <c r="AR390" s="904"/>
      <c r="AS390" s="904"/>
      <c r="AT390" s="904"/>
      <c r="AU390" s="904"/>
      <c r="AV390" s="904"/>
      <c r="AW390" s="904"/>
      <c r="AX390" s="904"/>
      <c r="AY390" s="904"/>
      <c r="AZ390" s="904"/>
      <c r="BA390" s="904"/>
      <c r="BB390" s="904"/>
      <c r="BC390" s="904"/>
      <c r="BD390" s="904"/>
      <c r="BE390" s="904"/>
      <c r="BF390" s="904"/>
      <c r="BG390" s="904"/>
      <c r="BH390" s="904"/>
      <c r="BI390" s="904"/>
      <c r="BJ390" s="904"/>
      <c r="BK390" s="904"/>
      <c r="BL390" s="904"/>
      <c r="BM390" s="904"/>
      <c r="BN390" s="904"/>
      <c r="BO390" s="904"/>
    </row>
    <row r="391" spans="1:68" ht="20.100000000000001" hidden="1" customHeight="1" outlineLevel="1">
      <c r="A391" s="784"/>
      <c r="B391" s="1594"/>
      <c r="C391" s="1596"/>
      <c r="D391" s="785" t="s">
        <v>393</v>
      </c>
      <c r="E391" s="785"/>
      <c r="F391" s="786"/>
      <c r="G391" s="787" t="s">
        <v>455</v>
      </c>
      <c r="H391" s="843"/>
      <c r="I391" s="843"/>
      <c r="J391" s="843"/>
      <c r="K391" s="843"/>
      <c r="L391" s="904"/>
      <c r="M391" s="904"/>
      <c r="N391" s="904"/>
      <c r="O391" s="904"/>
      <c r="P391" s="904"/>
      <c r="Q391" s="904"/>
      <c r="R391" s="904"/>
      <c r="S391" s="904"/>
      <c r="T391" s="904"/>
      <c r="U391" s="904"/>
      <c r="V391" s="904"/>
      <c r="W391" s="904"/>
      <c r="X391" s="904"/>
      <c r="Y391" s="904"/>
      <c r="Z391" s="904"/>
      <c r="AA391" s="904"/>
      <c r="AB391" s="904"/>
      <c r="AC391" s="904"/>
      <c r="AD391" s="904"/>
      <c r="AE391" s="904"/>
      <c r="AF391" s="904"/>
      <c r="AG391" s="904"/>
      <c r="AH391" s="904"/>
      <c r="AI391" s="904"/>
      <c r="AJ391" s="904"/>
      <c r="AK391" s="904"/>
      <c r="AL391" s="904"/>
      <c r="AM391" s="904"/>
      <c r="AN391" s="904"/>
      <c r="AO391" s="904"/>
      <c r="AP391" s="904"/>
      <c r="AQ391" s="904"/>
      <c r="AR391" s="904"/>
      <c r="AS391" s="904"/>
      <c r="AT391" s="904"/>
      <c r="AU391" s="904"/>
      <c r="AV391" s="904"/>
      <c r="AW391" s="904"/>
      <c r="AX391" s="904"/>
      <c r="AY391" s="904"/>
      <c r="AZ391" s="904"/>
      <c r="BA391" s="904"/>
      <c r="BB391" s="904"/>
      <c r="BC391" s="904"/>
      <c r="BD391" s="904"/>
      <c r="BE391" s="904"/>
      <c r="BF391" s="904"/>
      <c r="BG391" s="904"/>
      <c r="BH391" s="904"/>
      <c r="BI391" s="904"/>
      <c r="BJ391" s="904"/>
      <c r="BK391" s="904"/>
      <c r="BL391" s="904"/>
      <c r="BM391" s="904"/>
      <c r="BN391" s="904"/>
      <c r="BO391" s="904"/>
    </row>
    <row r="392" spans="1:68" ht="20.100000000000001" hidden="1" customHeight="1" outlineLevel="1">
      <c r="A392" s="784"/>
      <c r="B392" s="1594"/>
      <c r="C392" s="1596"/>
      <c r="D392" s="785" t="s">
        <v>394</v>
      </c>
      <c r="E392" s="785"/>
      <c r="F392" s="786"/>
      <c r="G392" s="787" t="s">
        <v>455</v>
      </c>
      <c r="H392" s="843"/>
      <c r="I392" s="843"/>
      <c r="J392" s="843"/>
      <c r="K392" s="843"/>
      <c r="L392" s="904"/>
      <c r="M392" s="904"/>
      <c r="N392" s="904"/>
      <c r="O392" s="904"/>
      <c r="P392" s="904"/>
      <c r="Q392" s="904"/>
      <c r="R392" s="904"/>
      <c r="S392" s="904"/>
      <c r="T392" s="904"/>
      <c r="U392" s="904"/>
      <c r="V392" s="904"/>
      <c r="W392" s="904"/>
      <c r="X392" s="904"/>
      <c r="Y392" s="904"/>
      <c r="Z392" s="904"/>
      <c r="AA392" s="904"/>
      <c r="AB392" s="904"/>
      <c r="AC392" s="904"/>
      <c r="AD392" s="904"/>
      <c r="AE392" s="904"/>
      <c r="AF392" s="904"/>
      <c r="AG392" s="904"/>
      <c r="AH392" s="904"/>
      <c r="AI392" s="904"/>
      <c r="AJ392" s="904"/>
      <c r="AK392" s="904"/>
      <c r="AL392" s="904"/>
      <c r="AM392" s="904"/>
      <c r="AN392" s="904"/>
      <c r="AO392" s="904"/>
      <c r="AP392" s="904"/>
      <c r="AQ392" s="904"/>
      <c r="AR392" s="904"/>
      <c r="AS392" s="904"/>
      <c r="AT392" s="904"/>
      <c r="AU392" s="904"/>
      <c r="AV392" s="904"/>
      <c r="AW392" s="904"/>
      <c r="AX392" s="904"/>
      <c r="AY392" s="904"/>
      <c r="AZ392" s="904"/>
      <c r="BA392" s="904"/>
      <c r="BB392" s="904"/>
      <c r="BC392" s="904"/>
      <c r="BD392" s="904"/>
      <c r="BE392" s="904"/>
      <c r="BF392" s="904"/>
      <c r="BG392" s="904"/>
      <c r="BH392" s="904"/>
      <c r="BI392" s="904"/>
      <c r="BJ392" s="904"/>
      <c r="BK392" s="904"/>
      <c r="BL392" s="904"/>
      <c r="BM392" s="904"/>
      <c r="BN392" s="904"/>
      <c r="BO392" s="904"/>
    </row>
    <row r="393" spans="1:68" ht="20.100000000000001" hidden="1" customHeight="1" outlineLevel="1">
      <c r="A393" s="784"/>
      <c r="B393" s="1594"/>
      <c r="C393" s="1596"/>
      <c r="D393" s="785" t="s">
        <v>783</v>
      </c>
      <c r="E393" s="792" t="str">
        <f ca="1">E55</f>
        <v/>
      </c>
      <c r="F393" s="794"/>
      <c r="G393" s="792" t="str">
        <f ca="1">G55</f>
        <v/>
      </c>
      <c r="H393" s="843"/>
      <c r="I393" s="843"/>
      <c r="J393" s="843"/>
      <c r="K393" s="843"/>
      <c r="L393" s="904"/>
      <c r="M393" s="904"/>
      <c r="N393" s="904"/>
      <c r="O393" s="904"/>
      <c r="P393" s="904"/>
      <c r="Q393" s="904"/>
      <c r="R393" s="904"/>
      <c r="S393" s="904"/>
      <c r="T393" s="904"/>
      <c r="U393" s="904"/>
      <c r="V393" s="904"/>
      <c r="W393" s="904"/>
      <c r="X393" s="904"/>
      <c r="Y393" s="904"/>
      <c r="Z393" s="904"/>
      <c r="AA393" s="904"/>
      <c r="AB393" s="904"/>
      <c r="AC393" s="904"/>
      <c r="AD393" s="904"/>
      <c r="AE393" s="904"/>
      <c r="AF393" s="904"/>
      <c r="AG393" s="904"/>
      <c r="AH393" s="904"/>
      <c r="AI393" s="904"/>
      <c r="AJ393" s="904"/>
      <c r="AK393" s="904"/>
      <c r="AL393" s="904"/>
      <c r="AM393" s="904"/>
      <c r="AN393" s="904"/>
      <c r="AO393" s="904"/>
      <c r="AP393" s="904"/>
      <c r="AQ393" s="904"/>
      <c r="AR393" s="904"/>
      <c r="AS393" s="904"/>
      <c r="AT393" s="904"/>
      <c r="AU393" s="904"/>
      <c r="AV393" s="904"/>
      <c r="AW393" s="904"/>
      <c r="AX393" s="904"/>
      <c r="AY393" s="904"/>
      <c r="AZ393" s="904"/>
      <c r="BA393" s="904"/>
      <c r="BB393" s="904"/>
      <c r="BC393" s="904"/>
      <c r="BD393" s="904"/>
      <c r="BE393" s="904"/>
      <c r="BF393" s="904"/>
      <c r="BG393" s="904"/>
      <c r="BH393" s="904"/>
      <c r="BI393" s="904"/>
      <c r="BJ393" s="904"/>
      <c r="BK393" s="904"/>
      <c r="BL393" s="904"/>
      <c r="BM393" s="904"/>
      <c r="BN393" s="904"/>
      <c r="BO393" s="904"/>
    </row>
    <row r="394" spans="1:68" ht="20.100000000000001" hidden="1" customHeight="1" outlineLevel="1">
      <c r="A394" s="784"/>
      <c r="B394" s="1594"/>
      <c r="C394" s="1596"/>
      <c r="D394" s="785" t="s">
        <v>784</v>
      </c>
      <c r="E394" s="792" t="str">
        <f ca="1">E56</f>
        <v/>
      </c>
      <c r="F394" s="794"/>
      <c r="G394" s="792" t="str">
        <f ca="1">G56</f>
        <v/>
      </c>
      <c r="H394" s="843"/>
      <c r="I394" s="843"/>
      <c r="J394" s="843"/>
      <c r="K394" s="843"/>
      <c r="L394" s="904"/>
      <c r="M394" s="904"/>
      <c r="N394" s="904"/>
      <c r="O394" s="904"/>
      <c r="P394" s="904"/>
      <c r="Q394" s="904"/>
      <c r="R394" s="904"/>
      <c r="S394" s="904"/>
      <c r="T394" s="904"/>
      <c r="U394" s="904"/>
      <c r="V394" s="904"/>
      <c r="W394" s="904"/>
      <c r="X394" s="904"/>
      <c r="Y394" s="904"/>
      <c r="Z394" s="904"/>
      <c r="AA394" s="904"/>
      <c r="AB394" s="904"/>
      <c r="AC394" s="904"/>
      <c r="AD394" s="904"/>
      <c r="AE394" s="904"/>
      <c r="AF394" s="904"/>
      <c r="AG394" s="904"/>
      <c r="AH394" s="904"/>
      <c r="AI394" s="904"/>
      <c r="AJ394" s="904"/>
      <c r="AK394" s="904"/>
      <c r="AL394" s="904"/>
      <c r="AM394" s="904"/>
      <c r="AN394" s="904"/>
      <c r="AO394" s="904"/>
      <c r="AP394" s="904"/>
      <c r="AQ394" s="904"/>
      <c r="AR394" s="904"/>
      <c r="AS394" s="904"/>
      <c r="AT394" s="904"/>
      <c r="AU394" s="904"/>
      <c r="AV394" s="904"/>
      <c r="AW394" s="904"/>
      <c r="AX394" s="904"/>
      <c r="AY394" s="904"/>
      <c r="AZ394" s="904"/>
      <c r="BA394" s="904"/>
      <c r="BB394" s="904"/>
      <c r="BC394" s="904"/>
      <c r="BD394" s="904"/>
      <c r="BE394" s="904"/>
      <c r="BF394" s="904"/>
      <c r="BG394" s="904"/>
      <c r="BH394" s="904"/>
      <c r="BI394" s="904"/>
      <c r="BJ394" s="904"/>
      <c r="BK394" s="904"/>
      <c r="BL394" s="904"/>
      <c r="BM394" s="904"/>
      <c r="BN394" s="904"/>
      <c r="BO394" s="904"/>
      <c r="BP394" s="802"/>
    </row>
    <row r="395" spans="1:68" ht="20.100000000000001" customHeight="1" collapsed="1">
      <c r="A395" s="784">
        <v>56</v>
      </c>
      <c r="B395" s="1593" t="s">
        <v>421</v>
      </c>
      <c r="C395" s="1596" t="s">
        <v>396</v>
      </c>
      <c r="D395" s="785" t="s">
        <v>397</v>
      </c>
      <c r="E395" s="790"/>
      <c r="F395" s="810"/>
      <c r="G395" s="787" t="s">
        <v>461</v>
      </c>
      <c r="H395" s="788">
        <f t="shared" ref="H395:K405" ca="1" si="593">H57</f>
        <v>1.17</v>
      </c>
      <c r="I395" s="788">
        <f t="shared" ca="1" si="593"/>
        <v>1.17</v>
      </c>
      <c r="J395" s="788">
        <f t="shared" ca="1" si="593"/>
        <v>1.17</v>
      </c>
      <c r="K395" s="788">
        <f t="shared" ca="1" si="593"/>
        <v>1.17</v>
      </c>
      <c r="L395" s="789">
        <f t="shared" ref="L395:O405" ca="1" si="594">P395+T395</f>
        <v>0</v>
      </c>
      <c r="M395" s="789">
        <f t="shared" ca="1" si="594"/>
        <v>0</v>
      </c>
      <c r="N395" s="789">
        <f t="shared" ca="1" si="594"/>
        <v>0</v>
      </c>
      <c r="O395" s="789">
        <f t="shared" ca="1" si="594"/>
        <v>0</v>
      </c>
      <c r="P395" s="789">
        <f ca="1">SUM(SUMIFS(OFFSET(貼付け_2024実績,$A395,12,1,199),OFFSET(貼付け_2024実績,4,9,1,199),{"横浜*","川崎*"}))</f>
        <v>0</v>
      </c>
      <c r="Q395" s="789">
        <f ca="1">SUM(SUMIFS(OFFSET(貼付け_2025実績,$A395,12,1,199),OFFSET(貼付け_2025実績,4,9,1,199),{"横浜*","川崎*"}))</f>
        <v>0</v>
      </c>
      <c r="R395" s="789">
        <f ca="1">SUM(SUMIFS(OFFSET(貼付け_2026実績,$A395,12,1,199),OFFSET(貼付け_2026実績,4,9,1,199),{"横浜*","川崎*"}))</f>
        <v>0</v>
      </c>
      <c r="S395" s="789">
        <f ca="1">SUM(SUMIFS(OFFSET(貼付け_2027実績,$A395,12,1,199),OFFSET(貼付け_2027実績,4,9,1,199),{"横浜*","川崎*"}))</f>
        <v>0</v>
      </c>
      <c r="T395" s="789">
        <f t="shared" ref="T395:W405" ca="1" si="595">SUM(X395,AB395,AF395,AJ395,AN395,AR395,AV395,AZ395,BD395,BH395,BL395)</f>
        <v>0</v>
      </c>
      <c r="U395" s="789">
        <f t="shared" ca="1" si="595"/>
        <v>0</v>
      </c>
      <c r="V395" s="789">
        <f t="shared" ca="1" si="595"/>
        <v>0</v>
      </c>
      <c r="W395" s="789">
        <f t="shared" ca="1" si="595"/>
        <v>0</v>
      </c>
      <c r="X395" s="789">
        <f t="shared" ref="X395:X405" ca="1" si="596">SUMIFS(OFFSET(貼付け_2024実績,$A395,12,1,199),OFFSET(貼付け_2024実績,4,9,1,199),"県域*")</f>
        <v>0</v>
      </c>
      <c r="Y395" s="789">
        <f t="shared" ref="Y395:Y405" ca="1" si="597">SUMIFS(OFFSET(貼付け_2025実績,$A395,12,1,199),OFFSET(貼付け_2025実績,4,9,1,199),"県域*")</f>
        <v>0</v>
      </c>
      <c r="Z395" s="789">
        <f t="shared" ref="Z395:Z405" ca="1" si="598">SUMIFS(OFFSET(貼付け_2026実績,$A395,12,1,199),OFFSET(貼付け_2026実績,4,9,1,199),"県域*")</f>
        <v>0</v>
      </c>
      <c r="AA395" s="789">
        <f t="shared" ref="AA395:AA405" ca="1" si="599">SUMIFS(OFFSET(貼付け_2027実績,$A395,12,1,199),OFFSET(貼付け_2027実績,4,9,1,199),"県域*")</f>
        <v>0</v>
      </c>
      <c r="AB395" s="789" t="str">
        <f t="shared" ref="AB395:AB405" ca="1" si="600">IFERROR(OFFSET(貼付け_2024実績,$A395,AB$1+3),"")</f>
        <v/>
      </c>
      <c r="AC395" s="789" t="str">
        <f t="shared" ref="AC395:AC405" ca="1" si="601">IFERROR(OFFSET(貼付け_2025実績,$A395,AC$1+3),"")</f>
        <v/>
      </c>
      <c r="AD395" s="789" t="str">
        <f t="shared" ref="AD395:AD405" ca="1" si="602">IFERROR(OFFSET(貼付け_2026実績,$A395,AD$1+3),"")</f>
        <v/>
      </c>
      <c r="AE395" s="789" t="str">
        <f t="shared" ref="AE395:AE405" ca="1" si="603">IFERROR(OFFSET(貼付け_2027実績,$A395,AE$1+3),"")</f>
        <v/>
      </c>
      <c r="AF395" s="789" t="str">
        <f t="shared" ref="AF395:AF405" ca="1" si="604">IFERROR(OFFSET(貼付け_2024実績,$A395,AF$1+3),"")</f>
        <v/>
      </c>
      <c r="AG395" s="789" t="str">
        <f t="shared" ref="AG395:AG405" ca="1" si="605">IFERROR(OFFSET(貼付け_2025実績,$A395,AG$1+3),"")</f>
        <v/>
      </c>
      <c r="AH395" s="789" t="str">
        <f t="shared" ref="AH395:AH405" ca="1" si="606">IFERROR(OFFSET(貼付け_2026実績,$A395,AH$1+3),"")</f>
        <v/>
      </c>
      <c r="AI395" s="789" t="str">
        <f t="shared" ref="AI395:AI405" ca="1" si="607">IFERROR(OFFSET(貼付け_2027実績,$A395,AI$1+3),"")</f>
        <v/>
      </c>
      <c r="AJ395" s="789" t="str">
        <f t="shared" ref="AJ395:AJ405" ca="1" si="608">IFERROR(OFFSET(貼付け_2024実績,$A395,AJ$1+3),"")</f>
        <v/>
      </c>
      <c r="AK395" s="789" t="str">
        <f t="shared" ref="AK395:AK405" ca="1" si="609">IFERROR(OFFSET(貼付け_2025実績,$A395,AK$1+3),"")</f>
        <v/>
      </c>
      <c r="AL395" s="789" t="str">
        <f t="shared" ref="AL395:AL405" ca="1" si="610">IFERROR(OFFSET(貼付け_2026実績,$A395,AL$1+3),"")</f>
        <v/>
      </c>
      <c r="AM395" s="789" t="str">
        <f t="shared" ref="AM395:AM405" ca="1" si="611">IFERROR(OFFSET(貼付け_2027実績,$A395,AM$1+3),"")</f>
        <v/>
      </c>
      <c r="AN395" s="789" t="str">
        <f t="shared" ref="AN395:AN405" ca="1" si="612">IFERROR(OFFSET(貼付け_2024実績,$A395,AN$1+3),"")</f>
        <v/>
      </c>
      <c r="AO395" s="789" t="str">
        <f t="shared" ref="AO395:AO405" ca="1" si="613">IFERROR(OFFSET(貼付け_2025実績,$A395,AO$1+3),"")</f>
        <v/>
      </c>
      <c r="AP395" s="789" t="str">
        <f t="shared" ref="AP395:AP405" ca="1" si="614">IFERROR(OFFSET(貼付け_2026実績,$A395,AP$1+3),"")</f>
        <v/>
      </c>
      <c r="AQ395" s="789" t="str">
        <f t="shared" ref="AQ395:AQ405" ca="1" si="615">IFERROR(OFFSET(貼付け_2027実績,$A395,AQ$1+3),"")</f>
        <v/>
      </c>
      <c r="AR395" s="789" t="str">
        <f t="shared" ref="AR395:AR405" ca="1" si="616">IFERROR(OFFSET(貼付け_2024実績,$A395,AR$1+3),"")</f>
        <v/>
      </c>
      <c r="AS395" s="789" t="str">
        <f t="shared" ref="AS395:AS405" ca="1" si="617">IFERROR(OFFSET(貼付け_2025実績,$A395,AS$1+3),"")</f>
        <v/>
      </c>
      <c r="AT395" s="789" t="str">
        <f t="shared" ref="AT395:AT405" ca="1" si="618">IFERROR(OFFSET(貼付け_2026実績,$A395,AT$1+3),"")</f>
        <v/>
      </c>
      <c r="AU395" s="789" t="str">
        <f t="shared" ref="AU395:AU405" ca="1" si="619">IFERROR(OFFSET(貼付け_2027実績,$A395,AU$1+3),"")</f>
        <v/>
      </c>
      <c r="AV395" s="789" t="str">
        <f t="shared" ref="AV395:AV405" ca="1" si="620">IFERROR(OFFSET(貼付け_2024実績,$A395,AV$1+3),"")</f>
        <v/>
      </c>
      <c r="AW395" s="789" t="str">
        <f t="shared" ref="AW395:AW405" ca="1" si="621">IFERROR(OFFSET(貼付け_2025実績,$A395,AW$1+3),"")</f>
        <v/>
      </c>
      <c r="AX395" s="789" t="str">
        <f t="shared" ref="AX395:AX405" ca="1" si="622">IFERROR(OFFSET(貼付け_2026実績,$A395,AX$1+3),"")</f>
        <v/>
      </c>
      <c r="AY395" s="789" t="str">
        <f t="shared" ref="AY395:AY405" ca="1" si="623">IFERROR(OFFSET(貼付け_2027実績,$A395,AY$1+3),"")</f>
        <v/>
      </c>
      <c r="AZ395" s="789" t="str">
        <f t="shared" ref="AZ395:AZ405" ca="1" si="624">IFERROR(OFFSET(貼付け_2024実績,$A395,AZ$1+3),"")</f>
        <v/>
      </c>
      <c r="BA395" s="789" t="str">
        <f t="shared" ref="BA395:BA405" ca="1" si="625">IFERROR(OFFSET(貼付け_2025実績,$A395,BA$1+3),"")</f>
        <v/>
      </c>
      <c r="BB395" s="789" t="str">
        <f t="shared" ref="BB395:BB405" ca="1" si="626">IFERROR(OFFSET(貼付け_2026実績,$A395,BB$1+3),"")</f>
        <v/>
      </c>
      <c r="BC395" s="789" t="str">
        <f t="shared" ref="BC395:BC405" ca="1" si="627">IFERROR(OFFSET(貼付け_2027実績,$A395,BC$1+3),"")</f>
        <v/>
      </c>
      <c r="BD395" s="789" t="str">
        <f t="shared" ref="BD395:BD405" ca="1" si="628">IFERROR(OFFSET(貼付け_2024実績,$A395,BD$1+3),"")</f>
        <v/>
      </c>
      <c r="BE395" s="789" t="str">
        <f t="shared" ref="BE395:BE405" ca="1" si="629">IFERROR(OFFSET(貼付け_2025実績,$A395,BE$1+3),"")</f>
        <v/>
      </c>
      <c r="BF395" s="789" t="str">
        <f t="shared" ref="BF395:BF405" ca="1" si="630">IFERROR(OFFSET(貼付け_2026実績,$A395,BF$1+3),"")</f>
        <v/>
      </c>
      <c r="BG395" s="789" t="str">
        <f t="shared" ref="BG395:BG405" ca="1" si="631">IFERROR(OFFSET(貼付け_2027実績,$A395,BG$1+3),"")</f>
        <v/>
      </c>
      <c r="BH395" s="789" t="str">
        <f t="shared" ref="BH395:BH405" ca="1" si="632">IFERROR(OFFSET(貼付け_2024実績,$A395,BH$1+3),"")</f>
        <v/>
      </c>
      <c r="BI395" s="789" t="str">
        <f t="shared" ref="BI395:BI405" ca="1" si="633">IFERROR(OFFSET(貼付け_2025実績,$A395,BI$1+3),"")</f>
        <v/>
      </c>
      <c r="BJ395" s="789" t="str">
        <f t="shared" ref="BJ395:BJ405" ca="1" si="634">IFERROR(OFFSET(貼付け_2026実績,$A395,BJ$1+3),"")</f>
        <v/>
      </c>
      <c r="BK395" s="789" t="str">
        <f t="shared" ref="BK395:BK405" ca="1" si="635">IFERROR(OFFSET(貼付け_2027実績,$A395,BK$1+3),"")</f>
        <v/>
      </c>
      <c r="BL395" s="789" t="str">
        <f t="shared" ref="BL395:BL405" ca="1" si="636">IFERROR(OFFSET(貼付け_2024実績,$A395,BL$1+3),"")</f>
        <v/>
      </c>
      <c r="BM395" s="789" t="str">
        <f t="shared" ref="BM395:BM405" ca="1" si="637">IFERROR(OFFSET(貼付け_2025実績,$A395,BM$1+3),"")</f>
        <v/>
      </c>
      <c r="BN395" s="789" t="str">
        <f t="shared" ref="BN395:BN405" ca="1" si="638">IFERROR(OFFSET(貼付け_2026実績,$A395,BN$1+3),"")</f>
        <v/>
      </c>
      <c r="BO395" s="789" t="str">
        <f t="shared" ref="BO395:BO405" ca="1" si="639">IFERROR(OFFSET(貼付け_2027実績,$A395,BO$1+3),"")</f>
        <v/>
      </c>
      <c r="BP395" s="802"/>
    </row>
    <row r="396" spans="1:68" ht="20.100000000000001" customHeight="1">
      <c r="A396" s="784">
        <v>58</v>
      </c>
      <c r="B396" s="1594"/>
      <c r="C396" s="1596"/>
      <c r="D396" s="785" t="s">
        <v>785</v>
      </c>
      <c r="E396" s="790"/>
      <c r="F396" s="810"/>
      <c r="G396" s="787" t="s">
        <v>461</v>
      </c>
      <c r="H396" s="788">
        <f t="shared" ca="1" si="593"/>
        <v>1.19</v>
      </c>
      <c r="I396" s="788">
        <f t="shared" ca="1" si="593"/>
        <v>1.19</v>
      </c>
      <c r="J396" s="788">
        <f t="shared" ca="1" si="593"/>
        <v>1.19</v>
      </c>
      <c r="K396" s="788">
        <f t="shared" ca="1" si="593"/>
        <v>1.19</v>
      </c>
      <c r="L396" s="789">
        <f t="shared" ca="1" si="594"/>
        <v>0</v>
      </c>
      <c r="M396" s="789">
        <f t="shared" ca="1" si="594"/>
        <v>0</v>
      </c>
      <c r="N396" s="789">
        <f t="shared" ca="1" si="594"/>
        <v>0</v>
      </c>
      <c r="O396" s="789">
        <f t="shared" ca="1" si="594"/>
        <v>0</v>
      </c>
      <c r="P396" s="789">
        <f ca="1">SUM(SUMIFS(OFFSET(貼付け_2024実績,$A396,12,1,199),OFFSET(貼付け_2024実績,4,9,1,199),{"横浜*","川崎*"}))</f>
        <v>0</v>
      </c>
      <c r="Q396" s="789">
        <f ca="1">SUM(SUMIFS(OFFSET(貼付け_2025実績,$A396,12,1,199),OFFSET(貼付け_2025実績,4,9,1,199),{"横浜*","川崎*"}))</f>
        <v>0</v>
      </c>
      <c r="R396" s="789">
        <f ca="1">SUM(SUMIFS(OFFSET(貼付け_2026実績,$A396,12,1,199),OFFSET(貼付け_2026実績,4,9,1,199),{"横浜*","川崎*"}))</f>
        <v>0</v>
      </c>
      <c r="S396" s="789">
        <f ca="1">SUM(SUMIFS(OFFSET(貼付け_2027実績,$A396,12,1,199),OFFSET(貼付け_2027実績,4,9,1,199),{"横浜*","川崎*"}))</f>
        <v>0</v>
      </c>
      <c r="T396" s="789">
        <f t="shared" ca="1" si="595"/>
        <v>0</v>
      </c>
      <c r="U396" s="789">
        <f t="shared" ca="1" si="595"/>
        <v>0</v>
      </c>
      <c r="V396" s="789">
        <f t="shared" ca="1" si="595"/>
        <v>0</v>
      </c>
      <c r="W396" s="789">
        <f t="shared" ca="1" si="595"/>
        <v>0</v>
      </c>
      <c r="X396" s="789">
        <f t="shared" ca="1" si="596"/>
        <v>0</v>
      </c>
      <c r="Y396" s="789">
        <f t="shared" ca="1" si="597"/>
        <v>0</v>
      </c>
      <c r="Z396" s="789">
        <f t="shared" ca="1" si="598"/>
        <v>0</v>
      </c>
      <c r="AA396" s="789">
        <f t="shared" ca="1" si="599"/>
        <v>0</v>
      </c>
      <c r="AB396" s="789" t="str">
        <f t="shared" ca="1" si="600"/>
        <v/>
      </c>
      <c r="AC396" s="789" t="str">
        <f t="shared" ca="1" si="601"/>
        <v/>
      </c>
      <c r="AD396" s="789" t="str">
        <f t="shared" ca="1" si="602"/>
        <v/>
      </c>
      <c r="AE396" s="789" t="str">
        <f t="shared" ca="1" si="603"/>
        <v/>
      </c>
      <c r="AF396" s="789" t="str">
        <f t="shared" ca="1" si="604"/>
        <v/>
      </c>
      <c r="AG396" s="789" t="str">
        <f t="shared" ca="1" si="605"/>
        <v/>
      </c>
      <c r="AH396" s="789" t="str">
        <f t="shared" ca="1" si="606"/>
        <v/>
      </c>
      <c r="AI396" s="789" t="str">
        <f t="shared" ca="1" si="607"/>
        <v/>
      </c>
      <c r="AJ396" s="789" t="str">
        <f t="shared" ca="1" si="608"/>
        <v/>
      </c>
      <c r="AK396" s="789" t="str">
        <f t="shared" ca="1" si="609"/>
        <v/>
      </c>
      <c r="AL396" s="789" t="str">
        <f t="shared" ca="1" si="610"/>
        <v/>
      </c>
      <c r="AM396" s="789" t="str">
        <f t="shared" ca="1" si="611"/>
        <v/>
      </c>
      <c r="AN396" s="789" t="str">
        <f t="shared" ca="1" si="612"/>
        <v/>
      </c>
      <c r="AO396" s="789" t="str">
        <f t="shared" ca="1" si="613"/>
        <v/>
      </c>
      <c r="AP396" s="789" t="str">
        <f t="shared" ca="1" si="614"/>
        <v/>
      </c>
      <c r="AQ396" s="789" t="str">
        <f t="shared" ca="1" si="615"/>
        <v/>
      </c>
      <c r="AR396" s="789" t="str">
        <f t="shared" ca="1" si="616"/>
        <v/>
      </c>
      <c r="AS396" s="789" t="str">
        <f t="shared" ca="1" si="617"/>
        <v/>
      </c>
      <c r="AT396" s="789" t="str">
        <f t="shared" ca="1" si="618"/>
        <v/>
      </c>
      <c r="AU396" s="789" t="str">
        <f t="shared" ca="1" si="619"/>
        <v/>
      </c>
      <c r="AV396" s="789" t="str">
        <f t="shared" ca="1" si="620"/>
        <v/>
      </c>
      <c r="AW396" s="789" t="str">
        <f t="shared" ca="1" si="621"/>
        <v/>
      </c>
      <c r="AX396" s="789" t="str">
        <f t="shared" ca="1" si="622"/>
        <v/>
      </c>
      <c r="AY396" s="789" t="str">
        <f t="shared" ca="1" si="623"/>
        <v/>
      </c>
      <c r="AZ396" s="789" t="str">
        <f t="shared" ca="1" si="624"/>
        <v/>
      </c>
      <c r="BA396" s="789" t="str">
        <f t="shared" ca="1" si="625"/>
        <v/>
      </c>
      <c r="BB396" s="789" t="str">
        <f t="shared" ca="1" si="626"/>
        <v/>
      </c>
      <c r="BC396" s="789" t="str">
        <f t="shared" ca="1" si="627"/>
        <v/>
      </c>
      <c r="BD396" s="789" t="str">
        <f t="shared" ca="1" si="628"/>
        <v/>
      </c>
      <c r="BE396" s="789" t="str">
        <f t="shared" ca="1" si="629"/>
        <v/>
      </c>
      <c r="BF396" s="789" t="str">
        <f t="shared" ca="1" si="630"/>
        <v/>
      </c>
      <c r="BG396" s="789" t="str">
        <f t="shared" ca="1" si="631"/>
        <v/>
      </c>
      <c r="BH396" s="789" t="str">
        <f t="shared" ca="1" si="632"/>
        <v/>
      </c>
      <c r="BI396" s="789" t="str">
        <f t="shared" ca="1" si="633"/>
        <v/>
      </c>
      <c r="BJ396" s="789" t="str">
        <f t="shared" ca="1" si="634"/>
        <v/>
      </c>
      <c r="BK396" s="789" t="str">
        <f t="shared" ca="1" si="635"/>
        <v/>
      </c>
      <c r="BL396" s="789" t="str">
        <f t="shared" ca="1" si="636"/>
        <v/>
      </c>
      <c r="BM396" s="789" t="str">
        <f t="shared" ca="1" si="637"/>
        <v/>
      </c>
      <c r="BN396" s="789" t="str">
        <f t="shared" ca="1" si="638"/>
        <v/>
      </c>
      <c r="BO396" s="789" t="str">
        <f t="shared" ca="1" si="639"/>
        <v/>
      </c>
      <c r="BP396" s="802"/>
    </row>
    <row r="397" spans="1:68" ht="20.100000000000001" customHeight="1">
      <c r="A397" s="784">
        <v>60</v>
      </c>
      <c r="B397" s="1594"/>
      <c r="C397" s="1596"/>
      <c r="D397" s="785" t="s">
        <v>786</v>
      </c>
      <c r="E397" s="790"/>
      <c r="F397" s="810"/>
      <c r="G397" s="787" t="s">
        <v>461</v>
      </c>
      <c r="H397" s="788">
        <f t="shared" ca="1" si="593"/>
        <v>1.19</v>
      </c>
      <c r="I397" s="788">
        <f t="shared" ca="1" si="593"/>
        <v>1.19</v>
      </c>
      <c r="J397" s="788">
        <f t="shared" ca="1" si="593"/>
        <v>1.19</v>
      </c>
      <c r="K397" s="788">
        <f t="shared" ca="1" si="593"/>
        <v>1.19</v>
      </c>
      <c r="L397" s="789">
        <f t="shared" ca="1" si="594"/>
        <v>0</v>
      </c>
      <c r="M397" s="789">
        <f t="shared" ca="1" si="594"/>
        <v>0</v>
      </c>
      <c r="N397" s="789">
        <f t="shared" ca="1" si="594"/>
        <v>0</v>
      </c>
      <c r="O397" s="789">
        <f t="shared" ca="1" si="594"/>
        <v>0</v>
      </c>
      <c r="P397" s="789">
        <f ca="1">SUM(SUMIFS(OFFSET(貼付け_2024実績,$A397,12,1,199),OFFSET(貼付け_2024実績,4,9,1,199),{"横浜*","川崎*"}))</f>
        <v>0</v>
      </c>
      <c r="Q397" s="789">
        <f ca="1">SUM(SUMIFS(OFFSET(貼付け_2025実績,$A397,12,1,199),OFFSET(貼付け_2025実績,4,9,1,199),{"横浜*","川崎*"}))</f>
        <v>0</v>
      </c>
      <c r="R397" s="789">
        <f ca="1">SUM(SUMIFS(OFFSET(貼付け_2026実績,$A397,12,1,199),OFFSET(貼付け_2026実績,4,9,1,199),{"横浜*","川崎*"}))</f>
        <v>0</v>
      </c>
      <c r="S397" s="789">
        <f ca="1">SUM(SUMIFS(OFFSET(貼付け_2027実績,$A397,12,1,199),OFFSET(貼付け_2027実績,4,9,1,199),{"横浜*","川崎*"}))</f>
        <v>0</v>
      </c>
      <c r="T397" s="789">
        <f t="shared" ca="1" si="595"/>
        <v>0</v>
      </c>
      <c r="U397" s="789">
        <f t="shared" ca="1" si="595"/>
        <v>0</v>
      </c>
      <c r="V397" s="789">
        <f t="shared" ca="1" si="595"/>
        <v>0</v>
      </c>
      <c r="W397" s="789">
        <f t="shared" ca="1" si="595"/>
        <v>0</v>
      </c>
      <c r="X397" s="789">
        <f t="shared" ca="1" si="596"/>
        <v>0</v>
      </c>
      <c r="Y397" s="789">
        <f t="shared" ca="1" si="597"/>
        <v>0</v>
      </c>
      <c r="Z397" s="789">
        <f t="shared" ca="1" si="598"/>
        <v>0</v>
      </c>
      <c r="AA397" s="789">
        <f t="shared" ca="1" si="599"/>
        <v>0</v>
      </c>
      <c r="AB397" s="789" t="str">
        <f t="shared" ca="1" si="600"/>
        <v/>
      </c>
      <c r="AC397" s="789" t="str">
        <f t="shared" ca="1" si="601"/>
        <v/>
      </c>
      <c r="AD397" s="789" t="str">
        <f t="shared" ca="1" si="602"/>
        <v/>
      </c>
      <c r="AE397" s="789" t="str">
        <f t="shared" ca="1" si="603"/>
        <v/>
      </c>
      <c r="AF397" s="789" t="str">
        <f t="shared" ca="1" si="604"/>
        <v/>
      </c>
      <c r="AG397" s="789" t="str">
        <f t="shared" ca="1" si="605"/>
        <v/>
      </c>
      <c r="AH397" s="789" t="str">
        <f t="shared" ca="1" si="606"/>
        <v/>
      </c>
      <c r="AI397" s="789" t="str">
        <f t="shared" ca="1" si="607"/>
        <v/>
      </c>
      <c r="AJ397" s="789" t="str">
        <f t="shared" ca="1" si="608"/>
        <v/>
      </c>
      <c r="AK397" s="789" t="str">
        <f t="shared" ca="1" si="609"/>
        <v/>
      </c>
      <c r="AL397" s="789" t="str">
        <f t="shared" ca="1" si="610"/>
        <v/>
      </c>
      <c r="AM397" s="789" t="str">
        <f t="shared" ca="1" si="611"/>
        <v/>
      </c>
      <c r="AN397" s="789" t="str">
        <f t="shared" ca="1" si="612"/>
        <v/>
      </c>
      <c r="AO397" s="789" t="str">
        <f t="shared" ca="1" si="613"/>
        <v/>
      </c>
      <c r="AP397" s="789" t="str">
        <f t="shared" ca="1" si="614"/>
        <v/>
      </c>
      <c r="AQ397" s="789" t="str">
        <f t="shared" ca="1" si="615"/>
        <v/>
      </c>
      <c r="AR397" s="789" t="str">
        <f t="shared" ca="1" si="616"/>
        <v/>
      </c>
      <c r="AS397" s="789" t="str">
        <f t="shared" ca="1" si="617"/>
        <v/>
      </c>
      <c r="AT397" s="789" t="str">
        <f t="shared" ca="1" si="618"/>
        <v/>
      </c>
      <c r="AU397" s="789" t="str">
        <f t="shared" ca="1" si="619"/>
        <v/>
      </c>
      <c r="AV397" s="789" t="str">
        <f t="shared" ca="1" si="620"/>
        <v/>
      </c>
      <c r="AW397" s="789" t="str">
        <f t="shared" ca="1" si="621"/>
        <v/>
      </c>
      <c r="AX397" s="789" t="str">
        <f t="shared" ca="1" si="622"/>
        <v/>
      </c>
      <c r="AY397" s="789" t="str">
        <f t="shared" ca="1" si="623"/>
        <v/>
      </c>
      <c r="AZ397" s="789" t="str">
        <f t="shared" ca="1" si="624"/>
        <v/>
      </c>
      <c r="BA397" s="789" t="str">
        <f t="shared" ca="1" si="625"/>
        <v/>
      </c>
      <c r="BB397" s="789" t="str">
        <f t="shared" ca="1" si="626"/>
        <v/>
      </c>
      <c r="BC397" s="789" t="str">
        <f t="shared" ca="1" si="627"/>
        <v/>
      </c>
      <c r="BD397" s="789" t="str">
        <f t="shared" ca="1" si="628"/>
        <v/>
      </c>
      <c r="BE397" s="789" t="str">
        <f t="shared" ca="1" si="629"/>
        <v/>
      </c>
      <c r="BF397" s="789" t="str">
        <f t="shared" ca="1" si="630"/>
        <v/>
      </c>
      <c r="BG397" s="789" t="str">
        <f t="shared" ca="1" si="631"/>
        <v/>
      </c>
      <c r="BH397" s="789" t="str">
        <f t="shared" ca="1" si="632"/>
        <v/>
      </c>
      <c r="BI397" s="789" t="str">
        <f t="shared" ca="1" si="633"/>
        <v/>
      </c>
      <c r="BJ397" s="789" t="str">
        <f t="shared" ca="1" si="634"/>
        <v/>
      </c>
      <c r="BK397" s="789" t="str">
        <f t="shared" ca="1" si="635"/>
        <v/>
      </c>
      <c r="BL397" s="789" t="str">
        <f t="shared" ca="1" si="636"/>
        <v/>
      </c>
      <c r="BM397" s="789" t="str">
        <f t="shared" ca="1" si="637"/>
        <v/>
      </c>
      <c r="BN397" s="789" t="str">
        <f t="shared" ca="1" si="638"/>
        <v/>
      </c>
      <c r="BO397" s="789" t="str">
        <f t="shared" ca="1" si="639"/>
        <v/>
      </c>
      <c r="BP397" s="802"/>
    </row>
    <row r="398" spans="1:68" ht="20.100000000000001" customHeight="1">
      <c r="A398" s="784">
        <v>62</v>
      </c>
      <c r="B398" s="1594"/>
      <c r="C398" s="1596"/>
      <c r="D398" s="785" t="s">
        <v>787</v>
      </c>
      <c r="E398" s="790"/>
      <c r="F398" s="810"/>
      <c r="G398" s="787" t="s">
        <v>461</v>
      </c>
      <c r="H398" s="788">
        <f t="shared" ca="1" si="593"/>
        <v>1.19</v>
      </c>
      <c r="I398" s="788">
        <f t="shared" ca="1" si="593"/>
        <v>1.19</v>
      </c>
      <c r="J398" s="788">
        <f t="shared" ca="1" si="593"/>
        <v>1.19</v>
      </c>
      <c r="K398" s="788">
        <f t="shared" ca="1" si="593"/>
        <v>1.19</v>
      </c>
      <c r="L398" s="789">
        <f t="shared" ca="1" si="594"/>
        <v>0</v>
      </c>
      <c r="M398" s="789">
        <f t="shared" ca="1" si="594"/>
        <v>0</v>
      </c>
      <c r="N398" s="789">
        <f t="shared" ca="1" si="594"/>
        <v>0</v>
      </c>
      <c r="O398" s="789">
        <f t="shared" ca="1" si="594"/>
        <v>0</v>
      </c>
      <c r="P398" s="789">
        <f ca="1">SUM(SUMIFS(OFFSET(貼付け_2024実績,$A398,12,1,199),OFFSET(貼付け_2024実績,4,9,1,199),{"横浜*","川崎*"}))</f>
        <v>0</v>
      </c>
      <c r="Q398" s="789">
        <f ca="1">SUM(SUMIFS(OFFSET(貼付け_2025実績,$A398,12,1,199),OFFSET(貼付け_2025実績,4,9,1,199),{"横浜*","川崎*"}))</f>
        <v>0</v>
      </c>
      <c r="R398" s="789">
        <f ca="1">SUM(SUMIFS(OFFSET(貼付け_2026実績,$A398,12,1,199),OFFSET(貼付け_2026実績,4,9,1,199),{"横浜*","川崎*"}))</f>
        <v>0</v>
      </c>
      <c r="S398" s="789">
        <f ca="1">SUM(SUMIFS(OFFSET(貼付け_2027実績,$A398,12,1,199),OFFSET(貼付け_2027実績,4,9,1,199),{"横浜*","川崎*"}))</f>
        <v>0</v>
      </c>
      <c r="T398" s="789">
        <f t="shared" ca="1" si="595"/>
        <v>0</v>
      </c>
      <c r="U398" s="789">
        <f t="shared" ca="1" si="595"/>
        <v>0</v>
      </c>
      <c r="V398" s="789">
        <f t="shared" ca="1" si="595"/>
        <v>0</v>
      </c>
      <c r="W398" s="789">
        <f t="shared" ca="1" si="595"/>
        <v>0</v>
      </c>
      <c r="X398" s="789">
        <f t="shared" ca="1" si="596"/>
        <v>0</v>
      </c>
      <c r="Y398" s="789">
        <f t="shared" ca="1" si="597"/>
        <v>0</v>
      </c>
      <c r="Z398" s="789">
        <f t="shared" ca="1" si="598"/>
        <v>0</v>
      </c>
      <c r="AA398" s="789">
        <f t="shared" ca="1" si="599"/>
        <v>0</v>
      </c>
      <c r="AB398" s="789" t="str">
        <f t="shared" ca="1" si="600"/>
        <v/>
      </c>
      <c r="AC398" s="789" t="str">
        <f t="shared" ca="1" si="601"/>
        <v/>
      </c>
      <c r="AD398" s="789" t="str">
        <f t="shared" ca="1" si="602"/>
        <v/>
      </c>
      <c r="AE398" s="789" t="str">
        <f t="shared" ca="1" si="603"/>
        <v/>
      </c>
      <c r="AF398" s="789" t="str">
        <f t="shared" ca="1" si="604"/>
        <v/>
      </c>
      <c r="AG398" s="789" t="str">
        <f t="shared" ca="1" si="605"/>
        <v/>
      </c>
      <c r="AH398" s="789" t="str">
        <f t="shared" ca="1" si="606"/>
        <v/>
      </c>
      <c r="AI398" s="789" t="str">
        <f t="shared" ca="1" si="607"/>
        <v/>
      </c>
      <c r="AJ398" s="789" t="str">
        <f t="shared" ca="1" si="608"/>
        <v/>
      </c>
      <c r="AK398" s="789" t="str">
        <f t="shared" ca="1" si="609"/>
        <v/>
      </c>
      <c r="AL398" s="789" t="str">
        <f t="shared" ca="1" si="610"/>
        <v/>
      </c>
      <c r="AM398" s="789" t="str">
        <f t="shared" ca="1" si="611"/>
        <v/>
      </c>
      <c r="AN398" s="789" t="str">
        <f t="shared" ca="1" si="612"/>
        <v/>
      </c>
      <c r="AO398" s="789" t="str">
        <f t="shared" ca="1" si="613"/>
        <v/>
      </c>
      <c r="AP398" s="789" t="str">
        <f t="shared" ca="1" si="614"/>
        <v/>
      </c>
      <c r="AQ398" s="789" t="str">
        <f t="shared" ca="1" si="615"/>
        <v/>
      </c>
      <c r="AR398" s="789" t="str">
        <f t="shared" ca="1" si="616"/>
        <v/>
      </c>
      <c r="AS398" s="789" t="str">
        <f t="shared" ca="1" si="617"/>
        <v/>
      </c>
      <c r="AT398" s="789" t="str">
        <f t="shared" ca="1" si="618"/>
        <v/>
      </c>
      <c r="AU398" s="789" t="str">
        <f t="shared" ca="1" si="619"/>
        <v/>
      </c>
      <c r="AV398" s="789" t="str">
        <f t="shared" ca="1" si="620"/>
        <v/>
      </c>
      <c r="AW398" s="789" t="str">
        <f t="shared" ca="1" si="621"/>
        <v/>
      </c>
      <c r="AX398" s="789" t="str">
        <f t="shared" ca="1" si="622"/>
        <v/>
      </c>
      <c r="AY398" s="789" t="str">
        <f t="shared" ca="1" si="623"/>
        <v/>
      </c>
      <c r="AZ398" s="789" t="str">
        <f t="shared" ca="1" si="624"/>
        <v/>
      </c>
      <c r="BA398" s="789" t="str">
        <f t="shared" ca="1" si="625"/>
        <v/>
      </c>
      <c r="BB398" s="789" t="str">
        <f t="shared" ca="1" si="626"/>
        <v/>
      </c>
      <c r="BC398" s="789" t="str">
        <f t="shared" ca="1" si="627"/>
        <v/>
      </c>
      <c r="BD398" s="789" t="str">
        <f t="shared" ca="1" si="628"/>
        <v/>
      </c>
      <c r="BE398" s="789" t="str">
        <f t="shared" ca="1" si="629"/>
        <v/>
      </c>
      <c r="BF398" s="789" t="str">
        <f t="shared" ca="1" si="630"/>
        <v/>
      </c>
      <c r="BG398" s="789" t="str">
        <f t="shared" ca="1" si="631"/>
        <v/>
      </c>
      <c r="BH398" s="789" t="str">
        <f t="shared" ca="1" si="632"/>
        <v/>
      </c>
      <c r="BI398" s="789" t="str">
        <f t="shared" ca="1" si="633"/>
        <v/>
      </c>
      <c r="BJ398" s="789" t="str">
        <f t="shared" ca="1" si="634"/>
        <v/>
      </c>
      <c r="BK398" s="789" t="str">
        <f t="shared" ca="1" si="635"/>
        <v/>
      </c>
      <c r="BL398" s="789" t="str">
        <f t="shared" ca="1" si="636"/>
        <v/>
      </c>
      <c r="BM398" s="789" t="str">
        <f t="shared" ca="1" si="637"/>
        <v/>
      </c>
      <c r="BN398" s="789" t="str">
        <f t="shared" ca="1" si="638"/>
        <v/>
      </c>
      <c r="BO398" s="789" t="str">
        <f t="shared" ca="1" si="639"/>
        <v/>
      </c>
      <c r="BP398" s="802"/>
    </row>
    <row r="399" spans="1:68" ht="20.100000000000001" customHeight="1">
      <c r="A399" s="784">
        <v>64</v>
      </c>
      <c r="B399" s="1594"/>
      <c r="C399" s="1596"/>
      <c r="D399" s="812" t="s">
        <v>398</v>
      </c>
      <c r="E399" s="792" t="str">
        <f ca="1">E61</f>
        <v/>
      </c>
      <c r="F399" s="794"/>
      <c r="G399" s="787" t="s">
        <v>461</v>
      </c>
      <c r="H399" s="788">
        <f t="shared" ca="1" si="593"/>
        <v>0</v>
      </c>
      <c r="I399" s="788">
        <f t="shared" ca="1" si="593"/>
        <v>0</v>
      </c>
      <c r="J399" s="788">
        <f t="shared" ca="1" si="593"/>
        <v>0</v>
      </c>
      <c r="K399" s="788">
        <f t="shared" ca="1" si="593"/>
        <v>0</v>
      </c>
      <c r="L399" s="789">
        <f t="shared" ca="1" si="594"/>
        <v>0</v>
      </c>
      <c r="M399" s="789">
        <f t="shared" ca="1" si="594"/>
        <v>0</v>
      </c>
      <c r="N399" s="789">
        <f t="shared" ca="1" si="594"/>
        <v>0</v>
      </c>
      <c r="O399" s="789">
        <f t="shared" ca="1" si="594"/>
        <v>0</v>
      </c>
      <c r="P399" s="789">
        <f ca="1">SUM(SUMIFS(OFFSET(貼付け_2024実績,$A399,12,1,199),OFFSET(貼付け_2024実績,4,9,1,199),{"横浜*","川崎*"}))</f>
        <v>0</v>
      </c>
      <c r="Q399" s="789">
        <f ca="1">SUM(SUMIFS(OFFSET(貼付け_2025実績,$A399,12,1,199),OFFSET(貼付け_2025実績,4,9,1,199),{"横浜*","川崎*"}))</f>
        <v>0</v>
      </c>
      <c r="R399" s="789">
        <f ca="1">SUM(SUMIFS(OFFSET(貼付け_2026実績,$A399,12,1,199),OFFSET(貼付け_2026実績,4,9,1,199),{"横浜*","川崎*"}))</f>
        <v>0</v>
      </c>
      <c r="S399" s="789">
        <f ca="1">SUM(SUMIFS(OFFSET(貼付け_2027実績,$A399,12,1,199),OFFSET(貼付け_2027実績,4,9,1,199),{"横浜*","川崎*"}))</f>
        <v>0</v>
      </c>
      <c r="T399" s="789">
        <f t="shared" ca="1" si="595"/>
        <v>0</v>
      </c>
      <c r="U399" s="789">
        <f t="shared" ca="1" si="595"/>
        <v>0</v>
      </c>
      <c r="V399" s="789">
        <f t="shared" ca="1" si="595"/>
        <v>0</v>
      </c>
      <c r="W399" s="789">
        <f t="shared" ca="1" si="595"/>
        <v>0</v>
      </c>
      <c r="X399" s="789">
        <f t="shared" ca="1" si="596"/>
        <v>0</v>
      </c>
      <c r="Y399" s="789">
        <f t="shared" ca="1" si="597"/>
        <v>0</v>
      </c>
      <c r="Z399" s="789">
        <f t="shared" ca="1" si="598"/>
        <v>0</v>
      </c>
      <c r="AA399" s="789">
        <f t="shared" ca="1" si="599"/>
        <v>0</v>
      </c>
      <c r="AB399" s="789" t="str">
        <f t="shared" ca="1" si="600"/>
        <v/>
      </c>
      <c r="AC399" s="789" t="str">
        <f t="shared" ca="1" si="601"/>
        <v/>
      </c>
      <c r="AD399" s="789" t="str">
        <f t="shared" ca="1" si="602"/>
        <v/>
      </c>
      <c r="AE399" s="789" t="str">
        <f t="shared" ca="1" si="603"/>
        <v/>
      </c>
      <c r="AF399" s="789" t="str">
        <f t="shared" ca="1" si="604"/>
        <v/>
      </c>
      <c r="AG399" s="789" t="str">
        <f t="shared" ca="1" si="605"/>
        <v/>
      </c>
      <c r="AH399" s="789" t="str">
        <f t="shared" ca="1" si="606"/>
        <v/>
      </c>
      <c r="AI399" s="789" t="str">
        <f t="shared" ca="1" si="607"/>
        <v/>
      </c>
      <c r="AJ399" s="789" t="str">
        <f t="shared" ca="1" si="608"/>
        <v/>
      </c>
      <c r="AK399" s="789" t="str">
        <f t="shared" ca="1" si="609"/>
        <v/>
      </c>
      <c r="AL399" s="789" t="str">
        <f t="shared" ca="1" si="610"/>
        <v/>
      </c>
      <c r="AM399" s="789" t="str">
        <f t="shared" ca="1" si="611"/>
        <v/>
      </c>
      <c r="AN399" s="789" t="str">
        <f t="shared" ca="1" si="612"/>
        <v/>
      </c>
      <c r="AO399" s="789" t="str">
        <f t="shared" ca="1" si="613"/>
        <v/>
      </c>
      <c r="AP399" s="789" t="str">
        <f t="shared" ca="1" si="614"/>
        <v/>
      </c>
      <c r="AQ399" s="789" t="str">
        <f t="shared" ca="1" si="615"/>
        <v/>
      </c>
      <c r="AR399" s="789" t="str">
        <f t="shared" ca="1" si="616"/>
        <v/>
      </c>
      <c r="AS399" s="789" t="str">
        <f t="shared" ca="1" si="617"/>
        <v/>
      </c>
      <c r="AT399" s="789" t="str">
        <f t="shared" ca="1" si="618"/>
        <v/>
      </c>
      <c r="AU399" s="789" t="str">
        <f t="shared" ca="1" si="619"/>
        <v/>
      </c>
      <c r="AV399" s="789" t="str">
        <f t="shared" ca="1" si="620"/>
        <v/>
      </c>
      <c r="AW399" s="789" t="str">
        <f t="shared" ca="1" si="621"/>
        <v/>
      </c>
      <c r="AX399" s="789" t="str">
        <f t="shared" ca="1" si="622"/>
        <v/>
      </c>
      <c r="AY399" s="789" t="str">
        <f t="shared" ca="1" si="623"/>
        <v/>
      </c>
      <c r="AZ399" s="789" t="str">
        <f t="shared" ca="1" si="624"/>
        <v/>
      </c>
      <c r="BA399" s="789" t="str">
        <f t="shared" ca="1" si="625"/>
        <v/>
      </c>
      <c r="BB399" s="789" t="str">
        <f t="shared" ca="1" si="626"/>
        <v/>
      </c>
      <c r="BC399" s="789" t="str">
        <f t="shared" ca="1" si="627"/>
        <v/>
      </c>
      <c r="BD399" s="789" t="str">
        <f t="shared" ca="1" si="628"/>
        <v/>
      </c>
      <c r="BE399" s="789" t="str">
        <f t="shared" ca="1" si="629"/>
        <v/>
      </c>
      <c r="BF399" s="789" t="str">
        <f t="shared" ca="1" si="630"/>
        <v/>
      </c>
      <c r="BG399" s="789" t="str">
        <f t="shared" ca="1" si="631"/>
        <v/>
      </c>
      <c r="BH399" s="789" t="str">
        <f t="shared" ca="1" si="632"/>
        <v/>
      </c>
      <c r="BI399" s="789" t="str">
        <f t="shared" ca="1" si="633"/>
        <v/>
      </c>
      <c r="BJ399" s="789" t="str">
        <f t="shared" ca="1" si="634"/>
        <v/>
      </c>
      <c r="BK399" s="789" t="str">
        <f t="shared" ca="1" si="635"/>
        <v/>
      </c>
      <c r="BL399" s="789" t="str">
        <f t="shared" ca="1" si="636"/>
        <v/>
      </c>
      <c r="BM399" s="789" t="str">
        <f t="shared" ca="1" si="637"/>
        <v/>
      </c>
      <c r="BN399" s="789" t="str">
        <f t="shared" ca="1" si="638"/>
        <v/>
      </c>
      <c r="BO399" s="789" t="str">
        <f t="shared" ca="1" si="639"/>
        <v/>
      </c>
      <c r="BP399" s="802"/>
    </row>
    <row r="400" spans="1:68" ht="20.100000000000001" customHeight="1">
      <c r="A400" s="784">
        <v>66</v>
      </c>
      <c r="B400" s="1594"/>
      <c r="C400" s="1596" t="s">
        <v>399</v>
      </c>
      <c r="D400" s="813" t="s">
        <v>400</v>
      </c>
      <c r="E400" s="785"/>
      <c r="F400" s="810"/>
      <c r="G400" s="787" t="s">
        <v>461</v>
      </c>
      <c r="H400" s="788">
        <f t="shared" ca="1" si="593"/>
        <v>0</v>
      </c>
      <c r="I400" s="788">
        <f t="shared" ca="1" si="593"/>
        <v>0</v>
      </c>
      <c r="J400" s="788">
        <f t="shared" ca="1" si="593"/>
        <v>0</v>
      </c>
      <c r="K400" s="788">
        <f t="shared" ca="1" si="593"/>
        <v>0</v>
      </c>
      <c r="L400" s="789">
        <f t="shared" ca="1" si="594"/>
        <v>0</v>
      </c>
      <c r="M400" s="789">
        <f t="shared" ca="1" si="594"/>
        <v>0</v>
      </c>
      <c r="N400" s="789">
        <f t="shared" ca="1" si="594"/>
        <v>0</v>
      </c>
      <c r="O400" s="789">
        <f t="shared" ca="1" si="594"/>
        <v>0</v>
      </c>
      <c r="P400" s="789">
        <f ca="1">SUM(SUMIFS(OFFSET(貼付け_2024実績,$A400,12,1,199),OFFSET(貼付け_2024実績,4,9,1,199),{"横浜*","川崎*"}))</f>
        <v>0</v>
      </c>
      <c r="Q400" s="789">
        <f ca="1">SUM(SUMIFS(OFFSET(貼付け_2025実績,$A400,12,1,199),OFFSET(貼付け_2025実績,4,9,1,199),{"横浜*","川崎*"}))</f>
        <v>0</v>
      </c>
      <c r="R400" s="789">
        <f ca="1">SUM(SUMIFS(OFFSET(貼付け_2026実績,$A400,12,1,199),OFFSET(貼付け_2026実績,4,9,1,199),{"横浜*","川崎*"}))</f>
        <v>0</v>
      </c>
      <c r="S400" s="789">
        <f ca="1">SUM(SUMIFS(OFFSET(貼付け_2027実績,$A400,12,1,199),OFFSET(貼付け_2027実績,4,9,1,199),{"横浜*","川崎*"}))</f>
        <v>0</v>
      </c>
      <c r="T400" s="789">
        <f t="shared" ca="1" si="595"/>
        <v>0</v>
      </c>
      <c r="U400" s="789">
        <f t="shared" ca="1" si="595"/>
        <v>0</v>
      </c>
      <c r="V400" s="789">
        <f t="shared" ca="1" si="595"/>
        <v>0</v>
      </c>
      <c r="W400" s="789">
        <f t="shared" ca="1" si="595"/>
        <v>0</v>
      </c>
      <c r="X400" s="789">
        <f t="shared" ca="1" si="596"/>
        <v>0</v>
      </c>
      <c r="Y400" s="789">
        <f t="shared" ca="1" si="597"/>
        <v>0</v>
      </c>
      <c r="Z400" s="789">
        <f t="shared" ca="1" si="598"/>
        <v>0</v>
      </c>
      <c r="AA400" s="789">
        <f t="shared" ca="1" si="599"/>
        <v>0</v>
      </c>
      <c r="AB400" s="789" t="str">
        <f t="shared" ca="1" si="600"/>
        <v/>
      </c>
      <c r="AC400" s="789" t="str">
        <f t="shared" ca="1" si="601"/>
        <v/>
      </c>
      <c r="AD400" s="789" t="str">
        <f t="shared" ca="1" si="602"/>
        <v/>
      </c>
      <c r="AE400" s="789" t="str">
        <f t="shared" ca="1" si="603"/>
        <v/>
      </c>
      <c r="AF400" s="789" t="str">
        <f t="shared" ca="1" si="604"/>
        <v/>
      </c>
      <c r="AG400" s="789" t="str">
        <f t="shared" ca="1" si="605"/>
        <v/>
      </c>
      <c r="AH400" s="789" t="str">
        <f t="shared" ca="1" si="606"/>
        <v/>
      </c>
      <c r="AI400" s="789" t="str">
        <f t="shared" ca="1" si="607"/>
        <v/>
      </c>
      <c r="AJ400" s="789" t="str">
        <f t="shared" ca="1" si="608"/>
        <v/>
      </c>
      <c r="AK400" s="789" t="str">
        <f t="shared" ca="1" si="609"/>
        <v/>
      </c>
      <c r="AL400" s="789" t="str">
        <f t="shared" ca="1" si="610"/>
        <v/>
      </c>
      <c r="AM400" s="789" t="str">
        <f t="shared" ca="1" si="611"/>
        <v/>
      </c>
      <c r="AN400" s="789" t="str">
        <f t="shared" ca="1" si="612"/>
        <v/>
      </c>
      <c r="AO400" s="789" t="str">
        <f t="shared" ca="1" si="613"/>
        <v/>
      </c>
      <c r="AP400" s="789" t="str">
        <f t="shared" ca="1" si="614"/>
        <v/>
      </c>
      <c r="AQ400" s="789" t="str">
        <f t="shared" ca="1" si="615"/>
        <v/>
      </c>
      <c r="AR400" s="789" t="str">
        <f t="shared" ca="1" si="616"/>
        <v/>
      </c>
      <c r="AS400" s="789" t="str">
        <f t="shared" ca="1" si="617"/>
        <v/>
      </c>
      <c r="AT400" s="789" t="str">
        <f t="shared" ca="1" si="618"/>
        <v/>
      </c>
      <c r="AU400" s="789" t="str">
        <f t="shared" ca="1" si="619"/>
        <v/>
      </c>
      <c r="AV400" s="789" t="str">
        <f t="shared" ca="1" si="620"/>
        <v/>
      </c>
      <c r="AW400" s="789" t="str">
        <f t="shared" ca="1" si="621"/>
        <v/>
      </c>
      <c r="AX400" s="789" t="str">
        <f t="shared" ca="1" si="622"/>
        <v/>
      </c>
      <c r="AY400" s="789" t="str">
        <f t="shared" ca="1" si="623"/>
        <v/>
      </c>
      <c r="AZ400" s="789" t="str">
        <f t="shared" ca="1" si="624"/>
        <v/>
      </c>
      <c r="BA400" s="789" t="str">
        <f t="shared" ca="1" si="625"/>
        <v/>
      </c>
      <c r="BB400" s="789" t="str">
        <f t="shared" ca="1" si="626"/>
        <v/>
      </c>
      <c r="BC400" s="789" t="str">
        <f t="shared" ca="1" si="627"/>
        <v/>
      </c>
      <c r="BD400" s="789" t="str">
        <f t="shared" ca="1" si="628"/>
        <v/>
      </c>
      <c r="BE400" s="789" t="str">
        <f t="shared" ca="1" si="629"/>
        <v/>
      </c>
      <c r="BF400" s="789" t="str">
        <f t="shared" ca="1" si="630"/>
        <v/>
      </c>
      <c r="BG400" s="789" t="str">
        <f t="shared" ca="1" si="631"/>
        <v/>
      </c>
      <c r="BH400" s="789" t="str">
        <f t="shared" ca="1" si="632"/>
        <v/>
      </c>
      <c r="BI400" s="789" t="str">
        <f t="shared" ca="1" si="633"/>
        <v/>
      </c>
      <c r="BJ400" s="789" t="str">
        <f t="shared" ca="1" si="634"/>
        <v/>
      </c>
      <c r="BK400" s="789" t="str">
        <f t="shared" ca="1" si="635"/>
        <v/>
      </c>
      <c r="BL400" s="789" t="str">
        <f t="shared" ca="1" si="636"/>
        <v/>
      </c>
      <c r="BM400" s="789" t="str">
        <f t="shared" ca="1" si="637"/>
        <v/>
      </c>
      <c r="BN400" s="789" t="str">
        <f t="shared" ca="1" si="638"/>
        <v/>
      </c>
      <c r="BO400" s="789" t="str">
        <f t="shared" ca="1" si="639"/>
        <v/>
      </c>
      <c r="BP400" s="802"/>
    </row>
    <row r="401" spans="1:68" ht="20.100000000000001" customHeight="1">
      <c r="A401" s="784">
        <v>67</v>
      </c>
      <c r="B401" s="1594"/>
      <c r="C401" s="1596"/>
      <c r="D401" s="813" t="s">
        <v>401</v>
      </c>
      <c r="E401" s="785"/>
      <c r="F401" s="810"/>
      <c r="G401" s="787" t="s">
        <v>461</v>
      </c>
      <c r="H401" s="788">
        <f t="shared" ca="1" si="593"/>
        <v>0</v>
      </c>
      <c r="I401" s="788">
        <f t="shared" ca="1" si="593"/>
        <v>0</v>
      </c>
      <c r="J401" s="788">
        <f t="shared" ca="1" si="593"/>
        <v>0</v>
      </c>
      <c r="K401" s="788">
        <f t="shared" ca="1" si="593"/>
        <v>0</v>
      </c>
      <c r="L401" s="789">
        <f t="shared" ca="1" si="594"/>
        <v>0</v>
      </c>
      <c r="M401" s="789">
        <f t="shared" ca="1" si="594"/>
        <v>0</v>
      </c>
      <c r="N401" s="789">
        <f t="shared" ca="1" si="594"/>
        <v>0</v>
      </c>
      <c r="O401" s="789">
        <f t="shared" ca="1" si="594"/>
        <v>0</v>
      </c>
      <c r="P401" s="789">
        <f ca="1">SUM(SUMIFS(OFFSET(貼付け_2024実績,$A401,12,1,199),OFFSET(貼付け_2024実績,4,9,1,199),{"横浜*","川崎*"}))</f>
        <v>0</v>
      </c>
      <c r="Q401" s="789">
        <f ca="1">SUM(SUMIFS(OFFSET(貼付け_2025実績,$A401,12,1,199),OFFSET(貼付け_2025実績,4,9,1,199),{"横浜*","川崎*"}))</f>
        <v>0</v>
      </c>
      <c r="R401" s="789">
        <f ca="1">SUM(SUMIFS(OFFSET(貼付け_2026実績,$A401,12,1,199),OFFSET(貼付け_2026実績,4,9,1,199),{"横浜*","川崎*"}))</f>
        <v>0</v>
      </c>
      <c r="S401" s="789">
        <f ca="1">SUM(SUMIFS(OFFSET(貼付け_2027実績,$A401,12,1,199),OFFSET(貼付け_2027実績,4,9,1,199),{"横浜*","川崎*"}))</f>
        <v>0</v>
      </c>
      <c r="T401" s="789">
        <f t="shared" ca="1" si="595"/>
        <v>0</v>
      </c>
      <c r="U401" s="789">
        <f t="shared" ca="1" si="595"/>
        <v>0</v>
      </c>
      <c r="V401" s="789">
        <f t="shared" ca="1" si="595"/>
        <v>0</v>
      </c>
      <c r="W401" s="789">
        <f t="shared" ca="1" si="595"/>
        <v>0</v>
      </c>
      <c r="X401" s="789">
        <f t="shared" ca="1" si="596"/>
        <v>0</v>
      </c>
      <c r="Y401" s="789">
        <f t="shared" ca="1" si="597"/>
        <v>0</v>
      </c>
      <c r="Z401" s="789">
        <f t="shared" ca="1" si="598"/>
        <v>0</v>
      </c>
      <c r="AA401" s="789">
        <f t="shared" ca="1" si="599"/>
        <v>0</v>
      </c>
      <c r="AB401" s="789" t="str">
        <f t="shared" ca="1" si="600"/>
        <v/>
      </c>
      <c r="AC401" s="789" t="str">
        <f t="shared" ca="1" si="601"/>
        <v/>
      </c>
      <c r="AD401" s="789" t="str">
        <f t="shared" ca="1" si="602"/>
        <v/>
      </c>
      <c r="AE401" s="789" t="str">
        <f t="shared" ca="1" si="603"/>
        <v/>
      </c>
      <c r="AF401" s="789" t="str">
        <f t="shared" ca="1" si="604"/>
        <v/>
      </c>
      <c r="AG401" s="789" t="str">
        <f t="shared" ca="1" si="605"/>
        <v/>
      </c>
      <c r="AH401" s="789" t="str">
        <f t="shared" ca="1" si="606"/>
        <v/>
      </c>
      <c r="AI401" s="789" t="str">
        <f t="shared" ca="1" si="607"/>
        <v/>
      </c>
      <c r="AJ401" s="789" t="str">
        <f t="shared" ca="1" si="608"/>
        <v/>
      </c>
      <c r="AK401" s="789" t="str">
        <f t="shared" ca="1" si="609"/>
        <v/>
      </c>
      <c r="AL401" s="789" t="str">
        <f t="shared" ca="1" si="610"/>
        <v/>
      </c>
      <c r="AM401" s="789" t="str">
        <f t="shared" ca="1" si="611"/>
        <v/>
      </c>
      <c r="AN401" s="789" t="str">
        <f t="shared" ca="1" si="612"/>
        <v/>
      </c>
      <c r="AO401" s="789" t="str">
        <f t="shared" ca="1" si="613"/>
        <v/>
      </c>
      <c r="AP401" s="789" t="str">
        <f t="shared" ca="1" si="614"/>
        <v/>
      </c>
      <c r="AQ401" s="789" t="str">
        <f t="shared" ca="1" si="615"/>
        <v/>
      </c>
      <c r="AR401" s="789" t="str">
        <f t="shared" ca="1" si="616"/>
        <v/>
      </c>
      <c r="AS401" s="789" t="str">
        <f t="shared" ca="1" si="617"/>
        <v/>
      </c>
      <c r="AT401" s="789" t="str">
        <f t="shared" ca="1" si="618"/>
        <v/>
      </c>
      <c r="AU401" s="789" t="str">
        <f t="shared" ca="1" si="619"/>
        <v/>
      </c>
      <c r="AV401" s="789" t="str">
        <f t="shared" ca="1" si="620"/>
        <v/>
      </c>
      <c r="AW401" s="789" t="str">
        <f t="shared" ca="1" si="621"/>
        <v/>
      </c>
      <c r="AX401" s="789" t="str">
        <f t="shared" ca="1" si="622"/>
        <v/>
      </c>
      <c r="AY401" s="789" t="str">
        <f t="shared" ca="1" si="623"/>
        <v/>
      </c>
      <c r="AZ401" s="789" t="str">
        <f t="shared" ca="1" si="624"/>
        <v/>
      </c>
      <c r="BA401" s="789" t="str">
        <f t="shared" ca="1" si="625"/>
        <v/>
      </c>
      <c r="BB401" s="789" t="str">
        <f t="shared" ca="1" si="626"/>
        <v/>
      </c>
      <c r="BC401" s="789" t="str">
        <f t="shared" ca="1" si="627"/>
        <v/>
      </c>
      <c r="BD401" s="789" t="str">
        <f t="shared" ca="1" si="628"/>
        <v/>
      </c>
      <c r="BE401" s="789" t="str">
        <f t="shared" ca="1" si="629"/>
        <v/>
      </c>
      <c r="BF401" s="789" t="str">
        <f t="shared" ca="1" si="630"/>
        <v/>
      </c>
      <c r="BG401" s="789" t="str">
        <f t="shared" ca="1" si="631"/>
        <v/>
      </c>
      <c r="BH401" s="789" t="str">
        <f t="shared" ca="1" si="632"/>
        <v/>
      </c>
      <c r="BI401" s="789" t="str">
        <f t="shared" ca="1" si="633"/>
        <v/>
      </c>
      <c r="BJ401" s="789" t="str">
        <f t="shared" ca="1" si="634"/>
        <v/>
      </c>
      <c r="BK401" s="789" t="str">
        <f t="shared" ca="1" si="635"/>
        <v/>
      </c>
      <c r="BL401" s="789" t="str">
        <f t="shared" ca="1" si="636"/>
        <v/>
      </c>
      <c r="BM401" s="789" t="str">
        <f t="shared" ca="1" si="637"/>
        <v/>
      </c>
      <c r="BN401" s="789" t="str">
        <f t="shared" ca="1" si="638"/>
        <v/>
      </c>
      <c r="BO401" s="789" t="str">
        <f t="shared" ca="1" si="639"/>
        <v/>
      </c>
      <c r="BP401" s="802"/>
    </row>
    <row r="402" spans="1:68" ht="20.100000000000001" customHeight="1">
      <c r="A402" s="784">
        <v>68</v>
      </c>
      <c r="B402" s="1594"/>
      <c r="C402" s="1596"/>
      <c r="D402" s="813" t="s">
        <v>402</v>
      </c>
      <c r="E402" s="785"/>
      <c r="F402" s="810"/>
      <c r="G402" s="787" t="s">
        <v>461</v>
      </c>
      <c r="H402" s="788">
        <f t="shared" ca="1" si="593"/>
        <v>0</v>
      </c>
      <c r="I402" s="788">
        <f t="shared" ca="1" si="593"/>
        <v>0</v>
      </c>
      <c r="J402" s="788">
        <f t="shared" ca="1" si="593"/>
        <v>0</v>
      </c>
      <c r="K402" s="788">
        <f t="shared" ca="1" si="593"/>
        <v>0</v>
      </c>
      <c r="L402" s="789">
        <f t="shared" ca="1" si="594"/>
        <v>0</v>
      </c>
      <c r="M402" s="789">
        <f t="shared" ca="1" si="594"/>
        <v>0</v>
      </c>
      <c r="N402" s="789">
        <f t="shared" ca="1" si="594"/>
        <v>0</v>
      </c>
      <c r="O402" s="789">
        <f t="shared" ca="1" si="594"/>
        <v>0</v>
      </c>
      <c r="P402" s="789">
        <f ca="1">SUM(SUMIFS(OFFSET(貼付け_2024実績,$A402,12,1,199),OFFSET(貼付け_2024実績,4,9,1,199),{"横浜*","川崎*"}))</f>
        <v>0</v>
      </c>
      <c r="Q402" s="789">
        <f ca="1">SUM(SUMIFS(OFFSET(貼付け_2025実績,$A402,12,1,199),OFFSET(貼付け_2025実績,4,9,1,199),{"横浜*","川崎*"}))</f>
        <v>0</v>
      </c>
      <c r="R402" s="789">
        <f ca="1">SUM(SUMIFS(OFFSET(貼付け_2026実績,$A402,12,1,199),OFFSET(貼付け_2026実績,4,9,1,199),{"横浜*","川崎*"}))</f>
        <v>0</v>
      </c>
      <c r="S402" s="789">
        <f ca="1">SUM(SUMIFS(OFFSET(貼付け_2027実績,$A402,12,1,199),OFFSET(貼付け_2027実績,4,9,1,199),{"横浜*","川崎*"}))</f>
        <v>0</v>
      </c>
      <c r="T402" s="789">
        <f t="shared" ca="1" si="595"/>
        <v>0</v>
      </c>
      <c r="U402" s="789">
        <f t="shared" ca="1" si="595"/>
        <v>0</v>
      </c>
      <c r="V402" s="789">
        <f t="shared" ca="1" si="595"/>
        <v>0</v>
      </c>
      <c r="W402" s="789">
        <f t="shared" ca="1" si="595"/>
        <v>0</v>
      </c>
      <c r="X402" s="789">
        <f t="shared" ca="1" si="596"/>
        <v>0</v>
      </c>
      <c r="Y402" s="789">
        <f t="shared" ca="1" si="597"/>
        <v>0</v>
      </c>
      <c r="Z402" s="789">
        <f t="shared" ca="1" si="598"/>
        <v>0</v>
      </c>
      <c r="AA402" s="789">
        <f t="shared" ca="1" si="599"/>
        <v>0</v>
      </c>
      <c r="AB402" s="789" t="str">
        <f t="shared" ca="1" si="600"/>
        <v/>
      </c>
      <c r="AC402" s="789" t="str">
        <f t="shared" ca="1" si="601"/>
        <v/>
      </c>
      <c r="AD402" s="789" t="str">
        <f t="shared" ca="1" si="602"/>
        <v/>
      </c>
      <c r="AE402" s="789" t="str">
        <f t="shared" ca="1" si="603"/>
        <v/>
      </c>
      <c r="AF402" s="789" t="str">
        <f t="shared" ca="1" si="604"/>
        <v/>
      </c>
      <c r="AG402" s="789" t="str">
        <f t="shared" ca="1" si="605"/>
        <v/>
      </c>
      <c r="AH402" s="789" t="str">
        <f t="shared" ca="1" si="606"/>
        <v/>
      </c>
      <c r="AI402" s="789" t="str">
        <f t="shared" ca="1" si="607"/>
        <v/>
      </c>
      <c r="AJ402" s="789" t="str">
        <f t="shared" ca="1" si="608"/>
        <v/>
      </c>
      <c r="AK402" s="789" t="str">
        <f t="shared" ca="1" si="609"/>
        <v/>
      </c>
      <c r="AL402" s="789" t="str">
        <f t="shared" ca="1" si="610"/>
        <v/>
      </c>
      <c r="AM402" s="789" t="str">
        <f t="shared" ca="1" si="611"/>
        <v/>
      </c>
      <c r="AN402" s="789" t="str">
        <f t="shared" ca="1" si="612"/>
        <v/>
      </c>
      <c r="AO402" s="789" t="str">
        <f t="shared" ca="1" si="613"/>
        <v/>
      </c>
      <c r="AP402" s="789" t="str">
        <f t="shared" ca="1" si="614"/>
        <v/>
      </c>
      <c r="AQ402" s="789" t="str">
        <f t="shared" ca="1" si="615"/>
        <v/>
      </c>
      <c r="AR402" s="789" t="str">
        <f t="shared" ca="1" si="616"/>
        <v/>
      </c>
      <c r="AS402" s="789" t="str">
        <f t="shared" ca="1" si="617"/>
        <v/>
      </c>
      <c r="AT402" s="789" t="str">
        <f t="shared" ca="1" si="618"/>
        <v/>
      </c>
      <c r="AU402" s="789" t="str">
        <f t="shared" ca="1" si="619"/>
        <v/>
      </c>
      <c r="AV402" s="789" t="str">
        <f t="shared" ca="1" si="620"/>
        <v/>
      </c>
      <c r="AW402" s="789" t="str">
        <f t="shared" ca="1" si="621"/>
        <v/>
      </c>
      <c r="AX402" s="789" t="str">
        <f t="shared" ca="1" si="622"/>
        <v/>
      </c>
      <c r="AY402" s="789" t="str">
        <f t="shared" ca="1" si="623"/>
        <v/>
      </c>
      <c r="AZ402" s="789" t="str">
        <f t="shared" ca="1" si="624"/>
        <v/>
      </c>
      <c r="BA402" s="789" t="str">
        <f t="shared" ca="1" si="625"/>
        <v/>
      </c>
      <c r="BB402" s="789" t="str">
        <f t="shared" ca="1" si="626"/>
        <v/>
      </c>
      <c r="BC402" s="789" t="str">
        <f t="shared" ca="1" si="627"/>
        <v/>
      </c>
      <c r="BD402" s="789" t="str">
        <f t="shared" ca="1" si="628"/>
        <v/>
      </c>
      <c r="BE402" s="789" t="str">
        <f t="shared" ca="1" si="629"/>
        <v/>
      </c>
      <c r="BF402" s="789" t="str">
        <f t="shared" ca="1" si="630"/>
        <v/>
      </c>
      <c r="BG402" s="789" t="str">
        <f t="shared" ca="1" si="631"/>
        <v/>
      </c>
      <c r="BH402" s="789" t="str">
        <f t="shared" ca="1" si="632"/>
        <v/>
      </c>
      <c r="BI402" s="789" t="str">
        <f t="shared" ca="1" si="633"/>
        <v/>
      </c>
      <c r="BJ402" s="789" t="str">
        <f t="shared" ca="1" si="634"/>
        <v/>
      </c>
      <c r="BK402" s="789" t="str">
        <f t="shared" ca="1" si="635"/>
        <v/>
      </c>
      <c r="BL402" s="789" t="str">
        <f t="shared" ca="1" si="636"/>
        <v/>
      </c>
      <c r="BM402" s="789" t="str">
        <f t="shared" ca="1" si="637"/>
        <v/>
      </c>
      <c r="BN402" s="789" t="str">
        <f t="shared" ca="1" si="638"/>
        <v/>
      </c>
      <c r="BO402" s="789" t="str">
        <f t="shared" ca="1" si="639"/>
        <v/>
      </c>
      <c r="BP402" s="802"/>
    </row>
    <row r="403" spans="1:68" ht="20.100000000000001" customHeight="1">
      <c r="A403" s="784">
        <v>69</v>
      </c>
      <c r="B403" s="1594"/>
      <c r="C403" s="1596"/>
      <c r="D403" s="813" t="s">
        <v>403</v>
      </c>
      <c r="E403" s="785"/>
      <c r="F403" s="810"/>
      <c r="G403" s="787" t="s">
        <v>461</v>
      </c>
      <c r="H403" s="788">
        <f t="shared" ca="1" si="593"/>
        <v>0</v>
      </c>
      <c r="I403" s="788">
        <f t="shared" ca="1" si="593"/>
        <v>0</v>
      </c>
      <c r="J403" s="788">
        <f t="shared" ca="1" si="593"/>
        <v>0</v>
      </c>
      <c r="K403" s="788">
        <f t="shared" ca="1" si="593"/>
        <v>0</v>
      </c>
      <c r="L403" s="789">
        <f t="shared" ca="1" si="594"/>
        <v>0</v>
      </c>
      <c r="M403" s="789">
        <f t="shared" ca="1" si="594"/>
        <v>0</v>
      </c>
      <c r="N403" s="789">
        <f t="shared" ca="1" si="594"/>
        <v>0</v>
      </c>
      <c r="O403" s="789">
        <f t="shared" ca="1" si="594"/>
        <v>0</v>
      </c>
      <c r="P403" s="789">
        <f ca="1">SUM(SUMIFS(OFFSET(貼付け_2024実績,$A403,12,1,199),OFFSET(貼付け_2024実績,4,9,1,199),{"横浜*","川崎*"}))</f>
        <v>0</v>
      </c>
      <c r="Q403" s="789">
        <f ca="1">SUM(SUMIFS(OFFSET(貼付け_2025実績,$A403,12,1,199),OFFSET(貼付け_2025実績,4,9,1,199),{"横浜*","川崎*"}))</f>
        <v>0</v>
      </c>
      <c r="R403" s="789">
        <f ca="1">SUM(SUMIFS(OFFSET(貼付け_2026実績,$A403,12,1,199),OFFSET(貼付け_2026実績,4,9,1,199),{"横浜*","川崎*"}))</f>
        <v>0</v>
      </c>
      <c r="S403" s="789">
        <f ca="1">SUM(SUMIFS(OFFSET(貼付け_2027実績,$A403,12,1,199),OFFSET(貼付け_2027実績,4,9,1,199),{"横浜*","川崎*"}))</f>
        <v>0</v>
      </c>
      <c r="T403" s="789">
        <f t="shared" ca="1" si="595"/>
        <v>0</v>
      </c>
      <c r="U403" s="789">
        <f t="shared" ca="1" si="595"/>
        <v>0</v>
      </c>
      <c r="V403" s="789">
        <f t="shared" ca="1" si="595"/>
        <v>0</v>
      </c>
      <c r="W403" s="789">
        <f t="shared" ca="1" si="595"/>
        <v>0</v>
      </c>
      <c r="X403" s="789">
        <f t="shared" ca="1" si="596"/>
        <v>0</v>
      </c>
      <c r="Y403" s="789">
        <f t="shared" ca="1" si="597"/>
        <v>0</v>
      </c>
      <c r="Z403" s="789">
        <f t="shared" ca="1" si="598"/>
        <v>0</v>
      </c>
      <c r="AA403" s="789">
        <f t="shared" ca="1" si="599"/>
        <v>0</v>
      </c>
      <c r="AB403" s="789" t="str">
        <f t="shared" ca="1" si="600"/>
        <v/>
      </c>
      <c r="AC403" s="789" t="str">
        <f t="shared" ca="1" si="601"/>
        <v/>
      </c>
      <c r="AD403" s="789" t="str">
        <f t="shared" ca="1" si="602"/>
        <v/>
      </c>
      <c r="AE403" s="789" t="str">
        <f t="shared" ca="1" si="603"/>
        <v/>
      </c>
      <c r="AF403" s="789" t="str">
        <f t="shared" ca="1" si="604"/>
        <v/>
      </c>
      <c r="AG403" s="789" t="str">
        <f t="shared" ca="1" si="605"/>
        <v/>
      </c>
      <c r="AH403" s="789" t="str">
        <f t="shared" ca="1" si="606"/>
        <v/>
      </c>
      <c r="AI403" s="789" t="str">
        <f t="shared" ca="1" si="607"/>
        <v/>
      </c>
      <c r="AJ403" s="789" t="str">
        <f t="shared" ca="1" si="608"/>
        <v/>
      </c>
      <c r="AK403" s="789" t="str">
        <f t="shared" ca="1" si="609"/>
        <v/>
      </c>
      <c r="AL403" s="789" t="str">
        <f t="shared" ca="1" si="610"/>
        <v/>
      </c>
      <c r="AM403" s="789" t="str">
        <f t="shared" ca="1" si="611"/>
        <v/>
      </c>
      <c r="AN403" s="789" t="str">
        <f t="shared" ca="1" si="612"/>
        <v/>
      </c>
      <c r="AO403" s="789" t="str">
        <f t="shared" ca="1" si="613"/>
        <v/>
      </c>
      <c r="AP403" s="789" t="str">
        <f t="shared" ca="1" si="614"/>
        <v/>
      </c>
      <c r="AQ403" s="789" t="str">
        <f t="shared" ca="1" si="615"/>
        <v/>
      </c>
      <c r="AR403" s="789" t="str">
        <f t="shared" ca="1" si="616"/>
        <v/>
      </c>
      <c r="AS403" s="789" t="str">
        <f t="shared" ca="1" si="617"/>
        <v/>
      </c>
      <c r="AT403" s="789" t="str">
        <f t="shared" ca="1" si="618"/>
        <v/>
      </c>
      <c r="AU403" s="789" t="str">
        <f t="shared" ca="1" si="619"/>
        <v/>
      </c>
      <c r="AV403" s="789" t="str">
        <f t="shared" ca="1" si="620"/>
        <v/>
      </c>
      <c r="AW403" s="789" t="str">
        <f t="shared" ca="1" si="621"/>
        <v/>
      </c>
      <c r="AX403" s="789" t="str">
        <f t="shared" ca="1" si="622"/>
        <v/>
      </c>
      <c r="AY403" s="789" t="str">
        <f t="shared" ca="1" si="623"/>
        <v/>
      </c>
      <c r="AZ403" s="789" t="str">
        <f t="shared" ca="1" si="624"/>
        <v/>
      </c>
      <c r="BA403" s="789" t="str">
        <f t="shared" ca="1" si="625"/>
        <v/>
      </c>
      <c r="BB403" s="789" t="str">
        <f t="shared" ca="1" si="626"/>
        <v/>
      </c>
      <c r="BC403" s="789" t="str">
        <f t="shared" ca="1" si="627"/>
        <v/>
      </c>
      <c r="BD403" s="789" t="str">
        <f t="shared" ca="1" si="628"/>
        <v/>
      </c>
      <c r="BE403" s="789" t="str">
        <f t="shared" ca="1" si="629"/>
        <v/>
      </c>
      <c r="BF403" s="789" t="str">
        <f t="shared" ca="1" si="630"/>
        <v/>
      </c>
      <c r="BG403" s="789" t="str">
        <f t="shared" ca="1" si="631"/>
        <v/>
      </c>
      <c r="BH403" s="789" t="str">
        <f t="shared" ca="1" si="632"/>
        <v/>
      </c>
      <c r="BI403" s="789" t="str">
        <f t="shared" ca="1" si="633"/>
        <v/>
      </c>
      <c r="BJ403" s="789" t="str">
        <f t="shared" ca="1" si="634"/>
        <v/>
      </c>
      <c r="BK403" s="789" t="str">
        <f t="shared" ca="1" si="635"/>
        <v/>
      </c>
      <c r="BL403" s="789" t="str">
        <f t="shared" ca="1" si="636"/>
        <v/>
      </c>
      <c r="BM403" s="789" t="str">
        <f t="shared" ca="1" si="637"/>
        <v/>
      </c>
      <c r="BN403" s="789" t="str">
        <f t="shared" ca="1" si="638"/>
        <v/>
      </c>
      <c r="BO403" s="789" t="str">
        <f t="shared" ca="1" si="639"/>
        <v/>
      </c>
      <c r="BP403" s="802"/>
    </row>
    <row r="404" spans="1:68" ht="20.100000000000001" customHeight="1">
      <c r="A404" s="784">
        <v>70</v>
      </c>
      <c r="B404" s="1594"/>
      <c r="C404" s="1596"/>
      <c r="D404" s="814" t="s">
        <v>788</v>
      </c>
      <c r="E404" s="792" t="str">
        <f ca="1">E66</f>
        <v/>
      </c>
      <c r="F404" s="794"/>
      <c r="G404" s="787" t="s">
        <v>461</v>
      </c>
      <c r="H404" s="788">
        <f t="shared" ca="1" si="593"/>
        <v>0</v>
      </c>
      <c r="I404" s="788">
        <f t="shared" ca="1" si="593"/>
        <v>0</v>
      </c>
      <c r="J404" s="788">
        <f t="shared" ca="1" si="593"/>
        <v>0</v>
      </c>
      <c r="K404" s="788">
        <f t="shared" ca="1" si="593"/>
        <v>0</v>
      </c>
      <c r="L404" s="789">
        <f t="shared" ca="1" si="594"/>
        <v>0</v>
      </c>
      <c r="M404" s="789">
        <f t="shared" ca="1" si="594"/>
        <v>0</v>
      </c>
      <c r="N404" s="789">
        <f t="shared" ca="1" si="594"/>
        <v>0</v>
      </c>
      <c r="O404" s="789">
        <f t="shared" ca="1" si="594"/>
        <v>0</v>
      </c>
      <c r="P404" s="789">
        <f ca="1">SUM(SUMIFS(OFFSET(貼付け_2024実績,$A404,12,1,199),OFFSET(貼付け_2024実績,4,9,1,199),{"横浜*","川崎*"}))</f>
        <v>0</v>
      </c>
      <c r="Q404" s="789">
        <f ca="1">SUM(SUMIFS(OFFSET(貼付け_2025実績,$A404,12,1,199),OFFSET(貼付け_2025実績,4,9,1,199),{"横浜*","川崎*"}))</f>
        <v>0</v>
      </c>
      <c r="R404" s="789">
        <f ca="1">SUM(SUMIFS(OFFSET(貼付け_2026実績,$A404,12,1,199),OFFSET(貼付け_2026実績,4,9,1,199),{"横浜*","川崎*"}))</f>
        <v>0</v>
      </c>
      <c r="S404" s="789">
        <f ca="1">SUM(SUMIFS(OFFSET(貼付け_2027実績,$A404,12,1,199),OFFSET(貼付け_2027実績,4,9,1,199),{"横浜*","川崎*"}))</f>
        <v>0</v>
      </c>
      <c r="T404" s="789">
        <f t="shared" ca="1" si="595"/>
        <v>0</v>
      </c>
      <c r="U404" s="789">
        <f t="shared" ca="1" si="595"/>
        <v>0</v>
      </c>
      <c r="V404" s="789">
        <f t="shared" ca="1" si="595"/>
        <v>0</v>
      </c>
      <c r="W404" s="789">
        <f t="shared" ca="1" si="595"/>
        <v>0</v>
      </c>
      <c r="X404" s="789">
        <f t="shared" ca="1" si="596"/>
        <v>0</v>
      </c>
      <c r="Y404" s="789">
        <f t="shared" ca="1" si="597"/>
        <v>0</v>
      </c>
      <c r="Z404" s="789">
        <f t="shared" ca="1" si="598"/>
        <v>0</v>
      </c>
      <c r="AA404" s="789">
        <f t="shared" ca="1" si="599"/>
        <v>0</v>
      </c>
      <c r="AB404" s="789" t="str">
        <f t="shared" ca="1" si="600"/>
        <v/>
      </c>
      <c r="AC404" s="789" t="str">
        <f t="shared" ca="1" si="601"/>
        <v/>
      </c>
      <c r="AD404" s="789" t="str">
        <f t="shared" ca="1" si="602"/>
        <v/>
      </c>
      <c r="AE404" s="789" t="str">
        <f t="shared" ca="1" si="603"/>
        <v/>
      </c>
      <c r="AF404" s="789" t="str">
        <f t="shared" ca="1" si="604"/>
        <v/>
      </c>
      <c r="AG404" s="789" t="str">
        <f t="shared" ca="1" si="605"/>
        <v/>
      </c>
      <c r="AH404" s="789" t="str">
        <f t="shared" ca="1" si="606"/>
        <v/>
      </c>
      <c r="AI404" s="789" t="str">
        <f t="shared" ca="1" si="607"/>
        <v/>
      </c>
      <c r="AJ404" s="789" t="str">
        <f t="shared" ca="1" si="608"/>
        <v/>
      </c>
      <c r="AK404" s="789" t="str">
        <f t="shared" ca="1" si="609"/>
        <v/>
      </c>
      <c r="AL404" s="789" t="str">
        <f t="shared" ca="1" si="610"/>
        <v/>
      </c>
      <c r="AM404" s="789" t="str">
        <f t="shared" ca="1" si="611"/>
        <v/>
      </c>
      <c r="AN404" s="789" t="str">
        <f t="shared" ca="1" si="612"/>
        <v/>
      </c>
      <c r="AO404" s="789" t="str">
        <f t="shared" ca="1" si="613"/>
        <v/>
      </c>
      <c r="AP404" s="789" t="str">
        <f t="shared" ca="1" si="614"/>
        <v/>
      </c>
      <c r="AQ404" s="789" t="str">
        <f t="shared" ca="1" si="615"/>
        <v/>
      </c>
      <c r="AR404" s="789" t="str">
        <f t="shared" ca="1" si="616"/>
        <v/>
      </c>
      <c r="AS404" s="789" t="str">
        <f t="shared" ca="1" si="617"/>
        <v/>
      </c>
      <c r="AT404" s="789" t="str">
        <f t="shared" ca="1" si="618"/>
        <v/>
      </c>
      <c r="AU404" s="789" t="str">
        <f t="shared" ca="1" si="619"/>
        <v/>
      </c>
      <c r="AV404" s="789" t="str">
        <f t="shared" ca="1" si="620"/>
        <v/>
      </c>
      <c r="AW404" s="789" t="str">
        <f t="shared" ca="1" si="621"/>
        <v/>
      </c>
      <c r="AX404" s="789" t="str">
        <f t="shared" ca="1" si="622"/>
        <v/>
      </c>
      <c r="AY404" s="789" t="str">
        <f t="shared" ca="1" si="623"/>
        <v/>
      </c>
      <c r="AZ404" s="789" t="str">
        <f t="shared" ca="1" si="624"/>
        <v/>
      </c>
      <c r="BA404" s="789" t="str">
        <f t="shared" ca="1" si="625"/>
        <v/>
      </c>
      <c r="BB404" s="789" t="str">
        <f t="shared" ca="1" si="626"/>
        <v/>
      </c>
      <c r="BC404" s="789" t="str">
        <f t="shared" ca="1" si="627"/>
        <v/>
      </c>
      <c r="BD404" s="789" t="str">
        <f t="shared" ca="1" si="628"/>
        <v/>
      </c>
      <c r="BE404" s="789" t="str">
        <f t="shared" ca="1" si="629"/>
        <v/>
      </c>
      <c r="BF404" s="789" t="str">
        <f t="shared" ca="1" si="630"/>
        <v/>
      </c>
      <c r="BG404" s="789" t="str">
        <f t="shared" ca="1" si="631"/>
        <v/>
      </c>
      <c r="BH404" s="789" t="str">
        <f t="shared" ca="1" si="632"/>
        <v/>
      </c>
      <c r="BI404" s="789" t="str">
        <f t="shared" ca="1" si="633"/>
        <v/>
      </c>
      <c r="BJ404" s="789" t="str">
        <f t="shared" ca="1" si="634"/>
        <v/>
      </c>
      <c r="BK404" s="789" t="str">
        <f t="shared" ca="1" si="635"/>
        <v/>
      </c>
      <c r="BL404" s="789" t="str">
        <f t="shared" ca="1" si="636"/>
        <v/>
      </c>
      <c r="BM404" s="789" t="str">
        <f t="shared" ca="1" si="637"/>
        <v/>
      </c>
      <c r="BN404" s="789" t="str">
        <f t="shared" ca="1" si="638"/>
        <v/>
      </c>
      <c r="BO404" s="789" t="str">
        <f t="shared" ca="1" si="639"/>
        <v/>
      </c>
      <c r="BP404" s="802"/>
    </row>
    <row r="405" spans="1:68" ht="20.100000000000001" customHeight="1">
      <c r="A405" s="784">
        <v>71</v>
      </c>
      <c r="B405" s="1594"/>
      <c r="C405" s="1596"/>
      <c r="D405" s="814" t="s">
        <v>789</v>
      </c>
      <c r="E405" s="792" t="str">
        <f ca="1">E67</f>
        <v/>
      </c>
      <c r="F405" s="794"/>
      <c r="G405" s="787" t="s">
        <v>461</v>
      </c>
      <c r="H405" s="788">
        <f t="shared" ca="1" si="593"/>
        <v>0</v>
      </c>
      <c r="I405" s="788">
        <f t="shared" ca="1" si="593"/>
        <v>0</v>
      </c>
      <c r="J405" s="788">
        <f t="shared" ca="1" si="593"/>
        <v>0</v>
      </c>
      <c r="K405" s="788">
        <f t="shared" ca="1" si="593"/>
        <v>0</v>
      </c>
      <c r="L405" s="789">
        <f t="shared" ca="1" si="594"/>
        <v>0</v>
      </c>
      <c r="M405" s="789">
        <f t="shared" ca="1" si="594"/>
        <v>0</v>
      </c>
      <c r="N405" s="789">
        <f t="shared" ca="1" si="594"/>
        <v>0</v>
      </c>
      <c r="O405" s="789">
        <f t="shared" ca="1" si="594"/>
        <v>0</v>
      </c>
      <c r="P405" s="789">
        <f ca="1">SUM(SUMIFS(OFFSET(貼付け_2024実績,$A405,12,1,199),OFFSET(貼付け_2024実績,4,9,1,199),{"横浜*","川崎*"}))</f>
        <v>0</v>
      </c>
      <c r="Q405" s="789">
        <f ca="1">SUM(SUMIFS(OFFSET(貼付け_2025実績,$A405,12,1,199),OFFSET(貼付け_2025実績,4,9,1,199),{"横浜*","川崎*"}))</f>
        <v>0</v>
      </c>
      <c r="R405" s="789">
        <f ca="1">SUM(SUMIFS(OFFSET(貼付け_2026実績,$A405,12,1,199),OFFSET(貼付け_2026実績,4,9,1,199),{"横浜*","川崎*"}))</f>
        <v>0</v>
      </c>
      <c r="S405" s="789">
        <f ca="1">SUM(SUMIFS(OFFSET(貼付け_2027実績,$A405,12,1,199),OFFSET(貼付け_2027実績,4,9,1,199),{"横浜*","川崎*"}))</f>
        <v>0</v>
      </c>
      <c r="T405" s="789">
        <f t="shared" ca="1" si="595"/>
        <v>0</v>
      </c>
      <c r="U405" s="789">
        <f t="shared" ca="1" si="595"/>
        <v>0</v>
      </c>
      <c r="V405" s="789">
        <f t="shared" ca="1" si="595"/>
        <v>0</v>
      </c>
      <c r="W405" s="789">
        <f t="shared" ca="1" si="595"/>
        <v>0</v>
      </c>
      <c r="X405" s="789">
        <f t="shared" ca="1" si="596"/>
        <v>0</v>
      </c>
      <c r="Y405" s="789">
        <f t="shared" ca="1" si="597"/>
        <v>0</v>
      </c>
      <c r="Z405" s="789">
        <f t="shared" ca="1" si="598"/>
        <v>0</v>
      </c>
      <c r="AA405" s="789">
        <f t="shared" ca="1" si="599"/>
        <v>0</v>
      </c>
      <c r="AB405" s="789" t="str">
        <f t="shared" ca="1" si="600"/>
        <v/>
      </c>
      <c r="AC405" s="789" t="str">
        <f t="shared" ca="1" si="601"/>
        <v/>
      </c>
      <c r="AD405" s="789" t="str">
        <f t="shared" ca="1" si="602"/>
        <v/>
      </c>
      <c r="AE405" s="789" t="str">
        <f t="shared" ca="1" si="603"/>
        <v/>
      </c>
      <c r="AF405" s="789" t="str">
        <f t="shared" ca="1" si="604"/>
        <v/>
      </c>
      <c r="AG405" s="789" t="str">
        <f t="shared" ca="1" si="605"/>
        <v/>
      </c>
      <c r="AH405" s="789" t="str">
        <f t="shared" ca="1" si="606"/>
        <v/>
      </c>
      <c r="AI405" s="789" t="str">
        <f t="shared" ca="1" si="607"/>
        <v/>
      </c>
      <c r="AJ405" s="789" t="str">
        <f t="shared" ca="1" si="608"/>
        <v/>
      </c>
      <c r="AK405" s="789" t="str">
        <f t="shared" ca="1" si="609"/>
        <v/>
      </c>
      <c r="AL405" s="789" t="str">
        <f t="shared" ca="1" si="610"/>
        <v/>
      </c>
      <c r="AM405" s="789" t="str">
        <f t="shared" ca="1" si="611"/>
        <v/>
      </c>
      <c r="AN405" s="789" t="str">
        <f t="shared" ca="1" si="612"/>
        <v/>
      </c>
      <c r="AO405" s="789" t="str">
        <f t="shared" ca="1" si="613"/>
        <v/>
      </c>
      <c r="AP405" s="789" t="str">
        <f t="shared" ca="1" si="614"/>
        <v/>
      </c>
      <c r="AQ405" s="789" t="str">
        <f t="shared" ca="1" si="615"/>
        <v/>
      </c>
      <c r="AR405" s="789" t="str">
        <f t="shared" ca="1" si="616"/>
        <v/>
      </c>
      <c r="AS405" s="789" t="str">
        <f t="shared" ca="1" si="617"/>
        <v/>
      </c>
      <c r="AT405" s="789" t="str">
        <f t="shared" ca="1" si="618"/>
        <v/>
      </c>
      <c r="AU405" s="789" t="str">
        <f t="shared" ca="1" si="619"/>
        <v/>
      </c>
      <c r="AV405" s="789" t="str">
        <f t="shared" ca="1" si="620"/>
        <v/>
      </c>
      <c r="AW405" s="789" t="str">
        <f t="shared" ca="1" si="621"/>
        <v/>
      </c>
      <c r="AX405" s="789" t="str">
        <f t="shared" ca="1" si="622"/>
        <v/>
      </c>
      <c r="AY405" s="789" t="str">
        <f t="shared" ca="1" si="623"/>
        <v/>
      </c>
      <c r="AZ405" s="789" t="str">
        <f t="shared" ca="1" si="624"/>
        <v/>
      </c>
      <c r="BA405" s="789" t="str">
        <f t="shared" ca="1" si="625"/>
        <v/>
      </c>
      <c r="BB405" s="789" t="str">
        <f t="shared" ca="1" si="626"/>
        <v/>
      </c>
      <c r="BC405" s="789" t="str">
        <f t="shared" ca="1" si="627"/>
        <v/>
      </c>
      <c r="BD405" s="789" t="str">
        <f t="shared" ca="1" si="628"/>
        <v/>
      </c>
      <c r="BE405" s="789" t="str">
        <f t="shared" ca="1" si="629"/>
        <v/>
      </c>
      <c r="BF405" s="789" t="str">
        <f t="shared" ca="1" si="630"/>
        <v/>
      </c>
      <c r="BG405" s="789" t="str">
        <f t="shared" ca="1" si="631"/>
        <v/>
      </c>
      <c r="BH405" s="789" t="str">
        <f t="shared" ca="1" si="632"/>
        <v/>
      </c>
      <c r="BI405" s="789" t="str">
        <f t="shared" ca="1" si="633"/>
        <v/>
      </c>
      <c r="BJ405" s="789" t="str">
        <f t="shared" ca="1" si="634"/>
        <v/>
      </c>
      <c r="BK405" s="789" t="str">
        <f t="shared" ca="1" si="635"/>
        <v/>
      </c>
      <c r="BL405" s="789" t="str">
        <f t="shared" ca="1" si="636"/>
        <v/>
      </c>
      <c r="BM405" s="789" t="str">
        <f t="shared" ca="1" si="637"/>
        <v/>
      </c>
      <c r="BN405" s="789" t="str">
        <f t="shared" ca="1" si="638"/>
        <v/>
      </c>
      <c r="BO405" s="789" t="str">
        <f t="shared" ca="1" si="639"/>
        <v/>
      </c>
      <c r="BP405" s="802"/>
    </row>
    <row r="406" spans="1:68" ht="20.100000000000001" hidden="1" customHeight="1" outlineLevel="1">
      <c r="A406" s="784"/>
      <c r="B406" s="1593" t="s">
        <v>422</v>
      </c>
      <c r="C406" s="894" t="s">
        <v>405</v>
      </c>
      <c r="D406" s="895"/>
      <c r="E406" s="790"/>
      <c r="F406" s="810"/>
      <c r="G406" s="787" t="s">
        <v>462</v>
      </c>
      <c r="H406" s="843"/>
      <c r="I406" s="843"/>
      <c r="J406" s="843"/>
      <c r="K406" s="843"/>
      <c r="L406" s="904"/>
      <c r="M406" s="904"/>
      <c r="N406" s="904"/>
      <c r="O406" s="904"/>
      <c r="P406" s="904"/>
      <c r="Q406" s="904"/>
      <c r="R406" s="904"/>
      <c r="S406" s="904"/>
      <c r="T406" s="904"/>
      <c r="U406" s="904"/>
      <c r="V406" s="904"/>
      <c r="W406" s="904"/>
      <c r="X406" s="904"/>
      <c r="Y406" s="904"/>
      <c r="Z406" s="904"/>
      <c r="AA406" s="904"/>
      <c r="AB406" s="904"/>
      <c r="AC406" s="904"/>
      <c r="AD406" s="904"/>
      <c r="AE406" s="904"/>
      <c r="AF406" s="904"/>
      <c r="AG406" s="904"/>
      <c r="AH406" s="904"/>
      <c r="AI406" s="904"/>
      <c r="AJ406" s="904"/>
      <c r="AK406" s="904"/>
      <c r="AL406" s="904"/>
      <c r="AM406" s="904"/>
      <c r="AN406" s="904"/>
      <c r="AO406" s="904"/>
      <c r="AP406" s="904"/>
      <c r="AQ406" s="904"/>
      <c r="AR406" s="904"/>
      <c r="AS406" s="904"/>
      <c r="AT406" s="904"/>
      <c r="AU406" s="904"/>
      <c r="AV406" s="904"/>
      <c r="AW406" s="904"/>
      <c r="AX406" s="904"/>
      <c r="AY406" s="904"/>
      <c r="AZ406" s="904"/>
      <c r="BA406" s="904"/>
      <c r="BB406" s="904"/>
      <c r="BC406" s="904"/>
      <c r="BD406" s="904"/>
      <c r="BE406" s="904"/>
      <c r="BF406" s="904"/>
      <c r="BG406" s="904"/>
      <c r="BH406" s="904"/>
      <c r="BI406" s="904"/>
      <c r="BJ406" s="904"/>
      <c r="BK406" s="904"/>
      <c r="BL406" s="904"/>
      <c r="BM406" s="904"/>
      <c r="BN406" s="904"/>
      <c r="BO406" s="904"/>
      <c r="BP406" s="802"/>
    </row>
    <row r="407" spans="1:68" ht="20.100000000000001" hidden="1" customHeight="1" outlineLevel="1">
      <c r="A407" s="784"/>
      <c r="B407" s="1594"/>
      <c r="C407" s="1596" t="s">
        <v>406</v>
      </c>
      <c r="D407" s="812" t="s">
        <v>407</v>
      </c>
      <c r="E407" s="785"/>
      <c r="F407" s="810"/>
      <c r="G407" s="787" t="s">
        <v>462</v>
      </c>
      <c r="H407" s="843"/>
      <c r="I407" s="843"/>
      <c r="J407" s="843"/>
      <c r="K407" s="843"/>
      <c r="L407" s="904"/>
      <c r="M407" s="904"/>
      <c r="N407" s="904"/>
      <c r="O407" s="904"/>
      <c r="P407" s="904"/>
      <c r="Q407" s="904"/>
      <c r="R407" s="904"/>
      <c r="S407" s="904"/>
      <c r="T407" s="904"/>
      <c r="U407" s="904"/>
      <c r="V407" s="904"/>
      <c r="W407" s="904"/>
      <c r="X407" s="904"/>
      <c r="Y407" s="904"/>
      <c r="Z407" s="904"/>
      <c r="AA407" s="904"/>
      <c r="AB407" s="904"/>
      <c r="AC407" s="904"/>
      <c r="AD407" s="904"/>
      <c r="AE407" s="904"/>
      <c r="AF407" s="904"/>
      <c r="AG407" s="904"/>
      <c r="AH407" s="904"/>
      <c r="AI407" s="904"/>
      <c r="AJ407" s="904"/>
      <c r="AK407" s="904"/>
      <c r="AL407" s="904"/>
      <c r="AM407" s="904"/>
      <c r="AN407" s="904"/>
      <c r="AO407" s="904"/>
      <c r="AP407" s="904"/>
      <c r="AQ407" s="904"/>
      <c r="AR407" s="904"/>
      <c r="AS407" s="904"/>
      <c r="AT407" s="904"/>
      <c r="AU407" s="904"/>
      <c r="AV407" s="904"/>
      <c r="AW407" s="904"/>
      <c r="AX407" s="904"/>
      <c r="AY407" s="904"/>
      <c r="AZ407" s="904"/>
      <c r="BA407" s="904"/>
      <c r="BB407" s="904"/>
      <c r="BC407" s="904"/>
      <c r="BD407" s="904"/>
      <c r="BE407" s="904"/>
      <c r="BF407" s="904"/>
      <c r="BG407" s="904"/>
      <c r="BH407" s="904"/>
      <c r="BI407" s="904"/>
      <c r="BJ407" s="904"/>
      <c r="BK407" s="904"/>
      <c r="BL407" s="904"/>
      <c r="BM407" s="904"/>
      <c r="BN407" s="904"/>
      <c r="BO407" s="904"/>
      <c r="BP407" s="802"/>
    </row>
    <row r="408" spans="1:68" ht="20.100000000000001" hidden="1" customHeight="1" outlineLevel="1">
      <c r="A408" s="784"/>
      <c r="B408" s="1594"/>
      <c r="C408" s="1596"/>
      <c r="D408" s="814" t="s">
        <v>408</v>
      </c>
      <c r="E408" s="785"/>
      <c r="F408" s="810"/>
      <c r="G408" s="787" t="s">
        <v>462</v>
      </c>
      <c r="H408" s="843"/>
      <c r="I408" s="843"/>
      <c r="J408" s="843"/>
      <c r="K408" s="843"/>
      <c r="L408" s="904"/>
      <c r="M408" s="904"/>
      <c r="N408" s="904"/>
      <c r="O408" s="904"/>
      <c r="P408" s="904"/>
      <c r="Q408" s="904"/>
      <c r="R408" s="904"/>
      <c r="S408" s="904"/>
      <c r="T408" s="904"/>
      <c r="U408" s="904"/>
      <c r="V408" s="904"/>
      <c r="W408" s="904"/>
      <c r="X408" s="904"/>
      <c r="Y408" s="904"/>
      <c r="Z408" s="904"/>
      <c r="AA408" s="904"/>
      <c r="AB408" s="904"/>
      <c r="AC408" s="904"/>
      <c r="AD408" s="904"/>
      <c r="AE408" s="904"/>
      <c r="AF408" s="904"/>
      <c r="AG408" s="904"/>
      <c r="AH408" s="904"/>
      <c r="AI408" s="904"/>
      <c r="AJ408" s="904"/>
      <c r="AK408" s="904"/>
      <c r="AL408" s="904"/>
      <c r="AM408" s="904"/>
      <c r="AN408" s="904"/>
      <c r="AO408" s="904"/>
      <c r="AP408" s="904"/>
      <c r="AQ408" s="904"/>
      <c r="AR408" s="904"/>
      <c r="AS408" s="904"/>
      <c r="AT408" s="904"/>
      <c r="AU408" s="904"/>
      <c r="AV408" s="904"/>
      <c r="AW408" s="904"/>
      <c r="AX408" s="904"/>
      <c r="AY408" s="904"/>
      <c r="AZ408" s="904"/>
      <c r="BA408" s="904"/>
      <c r="BB408" s="904"/>
      <c r="BC408" s="904"/>
      <c r="BD408" s="904"/>
      <c r="BE408" s="904"/>
      <c r="BF408" s="904"/>
      <c r="BG408" s="904"/>
      <c r="BH408" s="904"/>
      <c r="BI408" s="904"/>
      <c r="BJ408" s="904"/>
      <c r="BK408" s="904"/>
      <c r="BL408" s="904"/>
      <c r="BM408" s="904"/>
      <c r="BN408" s="904"/>
      <c r="BO408" s="904"/>
      <c r="BP408" s="802"/>
    </row>
    <row r="409" spans="1:68" ht="20.100000000000001" hidden="1" customHeight="1" outlineLevel="1">
      <c r="A409" s="784"/>
      <c r="B409" s="1594"/>
      <c r="C409" s="1596"/>
      <c r="D409" s="814" t="s">
        <v>409</v>
      </c>
      <c r="E409" s="792" t="str">
        <f ca="1">E71</f>
        <v/>
      </c>
      <c r="F409" s="794"/>
      <c r="G409" s="787" t="s">
        <v>462</v>
      </c>
      <c r="H409" s="843"/>
      <c r="I409" s="843"/>
      <c r="J409" s="843"/>
      <c r="K409" s="843"/>
      <c r="L409" s="904"/>
      <c r="M409" s="904"/>
      <c r="N409" s="904"/>
      <c r="O409" s="904"/>
      <c r="P409" s="904"/>
      <c r="Q409" s="904"/>
      <c r="R409" s="904"/>
      <c r="S409" s="904"/>
      <c r="T409" s="904"/>
      <c r="U409" s="904"/>
      <c r="V409" s="904"/>
      <c r="W409" s="904"/>
      <c r="X409" s="904"/>
      <c r="Y409" s="904"/>
      <c r="Z409" s="904"/>
      <c r="AA409" s="904"/>
      <c r="AB409" s="904"/>
      <c r="AC409" s="904"/>
      <c r="AD409" s="904"/>
      <c r="AE409" s="904"/>
      <c r="AF409" s="904"/>
      <c r="AG409" s="904"/>
      <c r="AH409" s="904"/>
      <c r="AI409" s="904"/>
      <c r="AJ409" s="904"/>
      <c r="AK409" s="904"/>
      <c r="AL409" s="904"/>
      <c r="AM409" s="904"/>
      <c r="AN409" s="904"/>
      <c r="AO409" s="904"/>
      <c r="AP409" s="904"/>
      <c r="AQ409" s="904"/>
      <c r="AR409" s="904"/>
      <c r="AS409" s="904"/>
      <c r="AT409" s="904"/>
      <c r="AU409" s="904"/>
      <c r="AV409" s="904"/>
      <c r="AW409" s="904"/>
      <c r="AX409" s="904"/>
      <c r="AY409" s="904"/>
      <c r="AZ409" s="904"/>
      <c r="BA409" s="904"/>
      <c r="BB409" s="904"/>
      <c r="BC409" s="904"/>
      <c r="BD409" s="904"/>
      <c r="BE409" s="904"/>
      <c r="BF409" s="904"/>
      <c r="BG409" s="904"/>
      <c r="BH409" s="904"/>
      <c r="BI409" s="904"/>
      <c r="BJ409" s="904"/>
      <c r="BK409" s="904"/>
      <c r="BL409" s="904"/>
      <c r="BM409" s="904"/>
      <c r="BN409" s="904"/>
      <c r="BO409" s="904"/>
      <c r="BP409" s="802"/>
    </row>
    <row r="410" spans="1:68" ht="20.100000000000001" hidden="1" customHeight="1" outlineLevel="1">
      <c r="A410" s="784"/>
      <c r="B410" s="1594"/>
      <c r="C410" s="1596"/>
      <c r="D410" s="905" t="s">
        <v>410</v>
      </c>
      <c r="E410" s="792" t="str">
        <f ca="1">E73</f>
        <v/>
      </c>
      <c r="F410" s="794"/>
      <c r="G410" s="787" t="s">
        <v>462</v>
      </c>
      <c r="H410" s="843"/>
      <c r="I410" s="843"/>
      <c r="J410" s="843"/>
      <c r="K410" s="843"/>
      <c r="L410" s="904"/>
      <c r="M410" s="904"/>
      <c r="N410" s="904"/>
      <c r="O410" s="904"/>
      <c r="P410" s="904"/>
      <c r="Q410" s="904"/>
      <c r="R410" s="904"/>
      <c r="S410" s="904"/>
      <c r="T410" s="904"/>
      <c r="U410" s="904"/>
      <c r="V410" s="904"/>
      <c r="W410" s="904"/>
      <c r="X410" s="904"/>
      <c r="Y410" s="904"/>
      <c r="Z410" s="904"/>
      <c r="AA410" s="904"/>
      <c r="AB410" s="904"/>
      <c r="AC410" s="904"/>
      <c r="AD410" s="904"/>
      <c r="AE410" s="904"/>
      <c r="AF410" s="904"/>
      <c r="AG410" s="904"/>
      <c r="AH410" s="904"/>
      <c r="AI410" s="904"/>
      <c r="AJ410" s="904"/>
      <c r="AK410" s="904"/>
      <c r="AL410" s="904"/>
      <c r="AM410" s="904"/>
      <c r="AN410" s="904"/>
      <c r="AO410" s="904"/>
      <c r="AP410" s="904"/>
      <c r="AQ410" s="904"/>
      <c r="AR410" s="904"/>
      <c r="AS410" s="904"/>
      <c r="AT410" s="904"/>
      <c r="AU410" s="904"/>
      <c r="AV410" s="904"/>
      <c r="AW410" s="904"/>
      <c r="AX410" s="904"/>
      <c r="AY410" s="904"/>
      <c r="AZ410" s="904"/>
      <c r="BA410" s="904"/>
      <c r="BB410" s="904"/>
      <c r="BC410" s="904"/>
      <c r="BD410" s="904"/>
      <c r="BE410" s="904"/>
      <c r="BF410" s="904"/>
      <c r="BG410" s="904"/>
      <c r="BH410" s="904"/>
      <c r="BI410" s="904"/>
      <c r="BJ410" s="904"/>
      <c r="BK410" s="904"/>
      <c r="BL410" s="904"/>
      <c r="BM410" s="904"/>
      <c r="BN410" s="904"/>
      <c r="BO410" s="904"/>
      <c r="BP410" s="802"/>
    </row>
    <row r="411" spans="1:68" ht="20.100000000000001" hidden="1" customHeight="1" outlineLevel="1">
      <c r="A411" s="784"/>
      <c r="B411" s="1594"/>
      <c r="C411" s="1596" t="s">
        <v>411</v>
      </c>
      <c r="D411" s="814" t="s">
        <v>791</v>
      </c>
      <c r="E411" s="785"/>
      <c r="F411" s="836"/>
      <c r="G411" s="787" t="s">
        <v>462</v>
      </c>
      <c r="H411" s="843"/>
      <c r="I411" s="843"/>
      <c r="J411" s="843"/>
      <c r="K411" s="843"/>
      <c r="L411" s="904"/>
      <c r="M411" s="904"/>
      <c r="N411" s="904"/>
      <c r="O411" s="904"/>
      <c r="P411" s="904"/>
      <c r="Q411" s="904"/>
      <c r="R411" s="904"/>
      <c r="S411" s="904"/>
      <c r="T411" s="904"/>
      <c r="U411" s="904"/>
      <c r="V411" s="904"/>
      <c r="W411" s="904"/>
      <c r="X411" s="904"/>
      <c r="Y411" s="904"/>
      <c r="Z411" s="904"/>
      <c r="AA411" s="904"/>
      <c r="AB411" s="904"/>
      <c r="AC411" s="904"/>
      <c r="AD411" s="904"/>
      <c r="AE411" s="904"/>
      <c r="AF411" s="904"/>
      <c r="AG411" s="904"/>
      <c r="AH411" s="904"/>
      <c r="AI411" s="904"/>
      <c r="AJ411" s="904"/>
      <c r="AK411" s="904"/>
      <c r="AL411" s="904"/>
      <c r="AM411" s="904"/>
      <c r="AN411" s="904"/>
      <c r="AO411" s="904"/>
      <c r="AP411" s="904"/>
      <c r="AQ411" s="904"/>
      <c r="AR411" s="904"/>
      <c r="AS411" s="904"/>
      <c r="AT411" s="904"/>
      <c r="AU411" s="904"/>
      <c r="AV411" s="904"/>
      <c r="AW411" s="904"/>
      <c r="AX411" s="904"/>
      <c r="AY411" s="904"/>
      <c r="AZ411" s="904"/>
      <c r="BA411" s="904"/>
      <c r="BB411" s="904"/>
      <c r="BC411" s="904"/>
      <c r="BD411" s="904"/>
      <c r="BE411" s="904"/>
      <c r="BF411" s="904"/>
      <c r="BG411" s="904"/>
      <c r="BH411" s="904"/>
      <c r="BI411" s="904"/>
      <c r="BJ411" s="904"/>
      <c r="BK411" s="904"/>
      <c r="BL411" s="904"/>
      <c r="BM411" s="904"/>
      <c r="BN411" s="904"/>
      <c r="BO411" s="904"/>
      <c r="BP411" s="802"/>
    </row>
    <row r="412" spans="1:68" ht="20.100000000000001" hidden="1" customHeight="1" outlineLevel="1">
      <c r="A412" s="784"/>
      <c r="B412" s="1594"/>
      <c r="C412" s="1596"/>
      <c r="D412" s="814" t="s">
        <v>792</v>
      </c>
      <c r="E412" s="785"/>
      <c r="F412" s="836"/>
      <c r="G412" s="787" t="s">
        <v>463</v>
      </c>
      <c r="H412" s="843"/>
      <c r="I412" s="843"/>
      <c r="J412" s="843"/>
      <c r="K412" s="843"/>
      <c r="L412" s="904"/>
      <c r="M412" s="904"/>
      <c r="N412" s="904"/>
      <c r="O412" s="904"/>
      <c r="P412" s="904"/>
      <c r="Q412" s="904"/>
      <c r="R412" s="904"/>
      <c r="S412" s="904"/>
      <c r="T412" s="904"/>
      <c r="U412" s="904"/>
      <c r="V412" s="904"/>
      <c r="W412" s="904"/>
      <c r="X412" s="904"/>
      <c r="Y412" s="904"/>
      <c r="Z412" s="904"/>
      <c r="AA412" s="904"/>
      <c r="AB412" s="904"/>
      <c r="AC412" s="904"/>
      <c r="AD412" s="904"/>
      <c r="AE412" s="904"/>
      <c r="AF412" s="904"/>
      <c r="AG412" s="904"/>
      <c r="AH412" s="904"/>
      <c r="AI412" s="904"/>
      <c r="AJ412" s="904"/>
      <c r="AK412" s="904"/>
      <c r="AL412" s="904"/>
      <c r="AM412" s="904"/>
      <c r="AN412" s="904"/>
      <c r="AO412" s="904"/>
      <c r="AP412" s="904"/>
      <c r="AQ412" s="904"/>
      <c r="AR412" s="904"/>
      <c r="AS412" s="904"/>
      <c r="AT412" s="904"/>
      <c r="AU412" s="904"/>
      <c r="AV412" s="904"/>
      <c r="AW412" s="904"/>
      <c r="AX412" s="904"/>
      <c r="AY412" s="904"/>
      <c r="AZ412" s="904"/>
      <c r="BA412" s="904"/>
      <c r="BB412" s="904"/>
      <c r="BC412" s="904"/>
      <c r="BD412" s="904"/>
      <c r="BE412" s="904"/>
      <c r="BF412" s="904"/>
      <c r="BG412" s="904"/>
      <c r="BH412" s="904"/>
      <c r="BI412" s="904"/>
      <c r="BJ412" s="904"/>
      <c r="BK412" s="904"/>
      <c r="BL412" s="904"/>
      <c r="BM412" s="904"/>
      <c r="BN412" s="904"/>
      <c r="BO412" s="904"/>
      <c r="BP412" s="802"/>
    </row>
    <row r="413" spans="1:68" ht="20.100000000000001" hidden="1" customHeight="1" outlineLevel="1">
      <c r="A413" s="784"/>
      <c r="B413" s="1594"/>
      <c r="C413" s="1596"/>
      <c r="D413" s="814" t="s">
        <v>793</v>
      </c>
      <c r="E413" s="785"/>
      <c r="F413" s="836"/>
      <c r="G413" s="787" t="s">
        <v>462</v>
      </c>
      <c r="H413" s="843"/>
      <c r="I413" s="843"/>
      <c r="J413" s="843"/>
      <c r="K413" s="843"/>
      <c r="L413" s="904"/>
      <c r="M413" s="904"/>
      <c r="N413" s="904"/>
      <c r="O413" s="904"/>
      <c r="P413" s="904"/>
      <c r="Q413" s="904"/>
      <c r="R413" s="904"/>
      <c r="S413" s="904"/>
      <c r="T413" s="904"/>
      <c r="U413" s="904"/>
      <c r="V413" s="904"/>
      <c r="W413" s="904"/>
      <c r="X413" s="904"/>
      <c r="Y413" s="904"/>
      <c r="Z413" s="904"/>
      <c r="AA413" s="904"/>
      <c r="AB413" s="904"/>
      <c r="AC413" s="904"/>
      <c r="AD413" s="904"/>
      <c r="AE413" s="904"/>
      <c r="AF413" s="904"/>
      <c r="AG413" s="904"/>
      <c r="AH413" s="904"/>
      <c r="AI413" s="904"/>
      <c r="AJ413" s="904"/>
      <c r="AK413" s="904"/>
      <c r="AL413" s="904"/>
      <c r="AM413" s="904"/>
      <c r="AN413" s="904"/>
      <c r="AO413" s="904"/>
      <c r="AP413" s="904"/>
      <c r="AQ413" s="904"/>
      <c r="AR413" s="904"/>
      <c r="AS413" s="904"/>
      <c r="AT413" s="904"/>
      <c r="AU413" s="904"/>
      <c r="AV413" s="904"/>
      <c r="AW413" s="904"/>
      <c r="AX413" s="904"/>
      <c r="AY413" s="904"/>
      <c r="AZ413" s="904"/>
      <c r="BA413" s="904"/>
      <c r="BB413" s="904"/>
      <c r="BC413" s="904"/>
      <c r="BD413" s="904"/>
      <c r="BE413" s="904"/>
      <c r="BF413" s="904"/>
      <c r="BG413" s="904"/>
      <c r="BH413" s="904"/>
      <c r="BI413" s="904"/>
      <c r="BJ413" s="904"/>
      <c r="BK413" s="904"/>
      <c r="BL413" s="904"/>
      <c r="BM413" s="904"/>
      <c r="BN413" s="904"/>
      <c r="BO413" s="904"/>
      <c r="BP413" s="802"/>
    </row>
    <row r="414" spans="1:68" ht="20.100000000000001" hidden="1" customHeight="1" outlineLevel="1">
      <c r="A414" s="784"/>
      <c r="B414" s="1594"/>
      <c r="C414" s="1596"/>
      <c r="D414" s="814" t="s">
        <v>794</v>
      </c>
      <c r="E414" s="785"/>
      <c r="F414" s="836"/>
      <c r="G414" s="787" t="s">
        <v>463</v>
      </c>
      <c r="H414" s="843"/>
      <c r="I414" s="843"/>
      <c r="J414" s="843"/>
      <c r="K414" s="843"/>
      <c r="L414" s="904"/>
      <c r="M414" s="904"/>
      <c r="N414" s="904"/>
      <c r="O414" s="904"/>
      <c r="P414" s="904"/>
      <c r="Q414" s="904"/>
      <c r="R414" s="904"/>
      <c r="S414" s="904"/>
      <c r="T414" s="904"/>
      <c r="U414" s="904"/>
      <c r="V414" s="904"/>
      <c r="W414" s="904"/>
      <c r="X414" s="904"/>
      <c r="Y414" s="904"/>
      <c r="Z414" s="904"/>
      <c r="AA414" s="904"/>
      <c r="AB414" s="904"/>
      <c r="AC414" s="904"/>
      <c r="AD414" s="904"/>
      <c r="AE414" s="904"/>
      <c r="AF414" s="904"/>
      <c r="AG414" s="904"/>
      <c r="AH414" s="904"/>
      <c r="AI414" s="904"/>
      <c r="AJ414" s="904"/>
      <c r="AK414" s="904"/>
      <c r="AL414" s="904"/>
      <c r="AM414" s="904"/>
      <c r="AN414" s="904"/>
      <c r="AO414" s="904"/>
      <c r="AP414" s="904"/>
      <c r="AQ414" s="904"/>
      <c r="AR414" s="904"/>
      <c r="AS414" s="904"/>
      <c r="AT414" s="904"/>
      <c r="AU414" s="904"/>
      <c r="AV414" s="904"/>
      <c r="AW414" s="904"/>
      <c r="AX414" s="904"/>
      <c r="AY414" s="904"/>
      <c r="AZ414" s="904"/>
      <c r="BA414" s="904"/>
      <c r="BB414" s="904"/>
      <c r="BC414" s="904"/>
      <c r="BD414" s="904"/>
      <c r="BE414" s="904"/>
      <c r="BF414" s="904"/>
      <c r="BG414" s="904"/>
      <c r="BH414" s="904"/>
      <c r="BI414" s="904"/>
      <c r="BJ414" s="904"/>
      <c r="BK414" s="904"/>
      <c r="BL414" s="904"/>
      <c r="BM414" s="904"/>
      <c r="BN414" s="904"/>
      <c r="BO414" s="904"/>
      <c r="BP414" s="802"/>
    </row>
    <row r="415" spans="1:68" ht="20.100000000000001" hidden="1" customHeight="1" outlineLevel="1">
      <c r="A415" s="784"/>
      <c r="B415" s="1594"/>
      <c r="C415" s="1596"/>
      <c r="D415" s="814" t="s">
        <v>795</v>
      </c>
      <c r="E415" s="785"/>
      <c r="F415" s="836"/>
      <c r="G415" s="787" t="s">
        <v>462</v>
      </c>
      <c r="H415" s="843"/>
      <c r="I415" s="843"/>
      <c r="J415" s="843"/>
      <c r="K415" s="843"/>
      <c r="L415" s="904"/>
      <c r="M415" s="904"/>
      <c r="N415" s="904"/>
      <c r="O415" s="904"/>
      <c r="P415" s="904"/>
      <c r="Q415" s="904"/>
      <c r="R415" s="904"/>
      <c r="S415" s="904"/>
      <c r="T415" s="904"/>
      <c r="U415" s="904"/>
      <c r="V415" s="904"/>
      <c r="W415" s="904"/>
      <c r="X415" s="904"/>
      <c r="Y415" s="904"/>
      <c r="Z415" s="904"/>
      <c r="AA415" s="904"/>
      <c r="AB415" s="904"/>
      <c r="AC415" s="904"/>
      <c r="AD415" s="904"/>
      <c r="AE415" s="904"/>
      <c r="AF415" s="904"/>
      <c r="AG415" s="904"/>
      <c r="AH415" s="904"/>
      <c r="AI415" s="904"/>
      <c r="AJ415" s="904"/>
      <c r="AK415" s="904"/>
      <c r="AL415" s="904"/>
      <c r="AM415" s="904"/>
      <c r="AN415" s="904"/>
      <c r="AO415" s="904"/>
      <c r="AP415" s="904"/>
      <c r="AQ415" s="904"/>
      <c r="AR415" s="904"/>
      <c r="AS415" s="904"/>
      <c r="AT415" s="904"/>
      <c r="AU415" s="904"/>
      <c r="AV415" s="904"/>
      <c r="AW415" s="904"/>
      <c r="AX415" s="904"/>
      <c r="AY415" s="904"/>
      <c r="AZ415" s="904"/>
      <c r="BA415" s="904"/>
      <c r="BB415" s="904"/>
      <c r="BC415" s="904"/>
      <c r="BD415" s="904"/>
      <c r="BE415" s="904"/>
      <c r="BF415" s="904"/>
      <c r="BG415" s="904"/>
      <c r="BH415" s="904"/>
      <c r="BI415" s="904"/>
      <c r="BJ415" s="904"/>
      <c r="BK415" s="904"/>
      <c r="BL415" s="904"/>
      <c r="BM415" s="904"/>
      <c r="BN415" s="904"/>
      <c r="BO415" s="904"/>
      <c r="BP415" s="802"/>
    </row>
    <row r="416" spans="1:68" ht="20.100000000000001" hidden="1" customHeight="1" outlineLevel="1">
      <c r="A416" s="784"/>
      <c r="B416" s="1594"/>
      <c r="C416" s="1596"/>
      <c r="D416" s="814" t="s">
        <v>796</v>
      </c>
      <c r="E416" s="785"/>
      <c r="F416" s="836"/>
      <c r="G416" s="787" t="s">
        <v>463</v>
      </c>
      <c r="H416" s="843"/>
      <c r="I416" s="843"/>
      <c r="J416" s="843"/>
      <c r="K416" s="843"/>
      <c r="L416" s="904"/>
      <c r="M416" s="904"/>
      <c r="N416" s="904"/>
      <c r="O416" s="904"/>
      <c r="P416" s="904"/>
      <c r="Q416" s="904"/>
      <c r="R416" s="904"/>
      <c r="S416" s="904"/>
      <c r="T416" s="904"/>
      <c r="U416" s="904"/>
      <c r="V416" s="904"/>
      <c r="W416" s="904"/>
      <c r="X416" s="904"/>
      <c r="Y416" s="904"/>
      <c r="Z416" s="904"/>
      <c r="AA416" s="904"/>
      <c r="AB416" s="904"/>
      <c r="AC416" s="904"/>
      <c r="AD416" s="904"/>
      <c r="AE416" s="904"/>
      <c r="AF416" s="904"/>
      <c r="AG416" s="904"/>
      <c r="AH416" s="904"/>
      <c r="AI416" s="904"/>
      <c r="AJ416" s="904"/>
      <c r="AK416" s="904"/>
      <c r="AL416" s="904"/>
      <c r="AM416" s="904"/>
      <c r="AN416" s="904"/>
      <c r="AO416" s="904"/>
      <c r="AP416" s="904"/>
      <c r="AQ416" s="904"/>
      <c r="AR416" s="904"/>
      <c r="AS416" s="904"/>
      <c r="AT416" s="904"/>
      <c r="AU416" s="904"/>
      <c r="AV416" s="904"/>
      <c r="AW416" s="904"/>
      <c r="AX416" s="904"/>
      <c r="AY416" s="904"/>
      <c r="AZ416" s="904"/>
      <c r="BA416" s="904"/>
      <c r="BB416" s="904"/>
      <c r="BC416" s="904"/>
      <c r="BD416" s="904"/>
      <c r="BE416" s="904"/>
      <c r="BF416" s="904"/>
      <c r="BG416" s="904"/>
      <c r="BH416" s="904"/>
      <c r="BI416" s="904"/>
      <c r="BJ416" s="904"/>
      <c r="BK416" s="904"/>
      <c r="BL416" s="904"/>
      <c r="BM416" s="904"/>
      <c r="BN416" s="904"/>
      <c r="BO416" s="904"/>
      <c r="BP416" s="802"/>
    </row>
    <row r="417" spans="1:68" ht="20.100000000000001" hidden="1" customHeight="1" outlineLevel="1">
      <c r="A417" s="784"/>
      <c r="B417" s="1594"/>
      <c r="C417" s="1596"/>
      <c r="D417" s="814" t="s">
        <v>797</v>
      </c>
      <c r="E417" s="785"/>
      <c r="F417" s="836"/>
      <c r="G417" s="787" t="s">
        <v>462</v>
      </c>
      <c r="H417" s="843"/>
      <c r="I417" s="843"/>
      <c r="J417" s="843"/>
      <c r="K417" s="843"/>
      <c r="L417" s="904"/>
      <c r="M417" s="904"/>
      <c r="N417" s="904"/>
      <c r="O417" s="904"/>
      <c r="P417" s="904"/>
      <c r="Q417" s="904"/>
      <c r="R417" s="904"/>
      <c r="S417" s="904"/>
      <c r="T417" s="904"/>
      <c r="U417" s="904"/>
      <c r="V417" s="904"/>
      <c r="W417" s="904"/>
      <c r="X417" s="904"/>
      <c r="Y417" s="904"/>
      <c r="Z417" s="904"/>
      <c r="AA417" s="904"/>
      <c r="AB417" s="904"/>
      <c r="AC417" s="904"/>
      <c r="AD417" s="904"/>
      <c r="AE417" s="904"/>
      <c r="AF417" s="904"/>
      <c r="AG417" s="904"/>
      <c r="AH417" s="904"/>
      <c r="AI417" s="904"/>
      <c r="AJ417" s="904"/>
      <c r="AK417" s="904"/>
      <c r="AL417" s="904"/>
      <c r="AM417" s="904"/>
      <c r="AN417" s="904"/>
      <c r="AO417" s="904"/>
      <c r="AP417" s="904"/>
      <c r="AQ417" s="904"/>
      <c r="AR417" s="904"/>
      <c r="AS417" s="904"/>
      <c r="AT417" s="904"/>
      <c r="AU417" s="904"/>
      <c r="AV417" s="904"/>
      <c r="AW417" s="904"/>
      <c r="AX417" s="904"/>
      <c r="AY417" s="904"/>
      <c r="AZ417" s="904"/>
      <c r="BA417" s="904"/>
      <c r="BB417" s="904"/>
      <c r="BC417" s="904"/>
      <c r="BD417" s="904"/>
      <c r="BE417" s="904"/>
      <c r="BF417" s="904"/>
      <c r="BG417" s="904"/>
      <c r="BH417" s="904"/>
      <c r="BI417" s="904"/>
      <c r="BJ417" s="904"/>
      <c r="BK417" s="904"/>
      <c r="BL417" s="904"/>
      <c r="BM417" s="904"/>
      <c r="BN417" s="904"/>
      <c r="BO417" s="904"/>
      <c r="BP417" s="802"/>
    </row>
    <row r="418" spans="1:68" ht="20.100000000000001" hidden="1" customHeight="1" outlineLevel="1">
      <c r="A418" s="784"/>
      <c r="B418" s="1594"/>
      <c r="C418" s="1596"/>
      <c r="D418" s="814" t="s">
        <v>798</v>
      </c>
      <c r="E418" s="785"/>
      <c r="F418" s="836"/>
      <c r="G418" s="787" t="s">
        <v>463</v>
      </c>
      <c r="H418" s="843"/>
      <c r="I418" s="843"/>
      <c r="J418" s="843"/>
      <c r="K418" s="843"/>
      <c r="L418" s="904"/>
      <c r="M418" s="904"/>
      <c r="N418" s="904"/>
      <c r="O418" s="904"/>
      <c r="P418" s="904"/>
      <c r="Q418" s="904"/>
      <c r="R418" s="904"/>
      <c r="S418" s="904"/>
      <c r="T418" s="904"/>
      <c r="U418" s="904"/>
      <c r="V418" s="904"/>
      <c r="W418" s="904"/>
      <c r="X418" s="904"/>
      <c r="Y418" s="904"/>
      <c r="Z418" s="904"/>
      <c r="AA418" s="904"/>
      <c r="AB418" s="904"/>
      <c r="AC418" s="904"/>
      <c r="AD418" s="904"/>
      <c r="AE418" s="904"/>
      <c r="AF418" s="904"/>
      <c r="AG418" s="904"/>
      <c r="AH418" s="904"/>
      <c r="AI418" s="904"/>
      <c r="AJ418" s="904"/>
      <c r="AK418" s="904"/>
      <c r="AL418" s="904"/>
      <c r="AM418" s="904"/>
      <c r="AN418" s="904"/>
      <c r="AO418" s="904"/>
      <c r="AP418" s="904"/>
      <c r="AQ418" s="904"/>
      <c r="AR418" s="904"/>
      <c r="AS418" s="904"/>
      <c r="AT418" s="904"/>
      <c r="AU418" s="904"/>
      <c r="AV418" s="904"/>
      <c r="AW418" s="904"/>
      <c r="AX418" s="904"/>
      <c r="AY418" s="904"/>
      <c r="AZ418" s="904"/>
      <c r="BA418" s="904"/>
      <c r="BB418" s="904"/>
      <c r="BC418" s="904"/>
      <c r="BD418" s="904"/>
      <c r="BE418" s="904"/>
      <c r="BF418" s="904"/>
      <c r="BG418" s="904"/>
      <c r="BH418" s="904"/>
      <c r="BI418" s="904"/>
      <c r="BJ418" s="904"/>
      <c r="BK418" s="904"/>
      <c r="BL418" s="904"/>
      <c r="BM418" s="904"/>
      <c r="BN418" s="904"/>
      <c r="BO418" s="904"/>
      <c r="BP418" s="802"/>
    </row>
    <row r="419" spans="1:68" ht="20.100000000000001" hidden="1" customHeight="1" outlineLevel="1">
      <c r="A419" s="784"/>
      <c r="B419" s="1594"/>
      <c r="C419" s="1596"/>
      <c r="D419" s="1617" t="s">
        <v>799</v>
      </c>
      <c r="E419" s="838" t="str">
        <f ca="1">E83</f>
        <v/>
      </c>
      <c r="F419" s="839"/>
      <c r="G419" s="787" t="s">
        <v>462</v>
      </c>
      <c r="H419" s="843"/>
      <c r="I419" s="843"/>
      <c r="J419" s="843"/>
      <c r="K419" s="843"/>
      <c r="L419" s="904"/>
      <c r="M419" s="904"/>
      <c r="N419" s="904"/>
      <c r="O419" s="904"/>
      <c r="P419" s="904"/>
      <c r="Q419" s="904"/>
      <c r="R419" s="904"/>
      <c r="S419" s="904"/>
      <c r="T419" s="904"/>
      <c r="U419" s="904"/>
      <c r="V419" s="904"/>
      <c r="W419" s="904"/>
      <c r="X419" s="904"/>
      <c r="Y419" s="904"/>
      <c r="Z419" s="904"/>
      <c r="AA419" s="904"/>
      <c r="AB419" s="904"/>
      <c r="AC419" s="904"/>
      <c r="AD419" s="904"/>
      <c r="AE419" s="904"/>
      <c r="AF419" s="904"/>
      <c r="AG419" s="904"/>
      <c r="AH419" s="904"/>
      <c r="AI419" s="904"/>
      <c r="AJ419" s="904"/>
      <c r="AK419" s="904"/>
      <c r="AL419" s="904"/>
      <c r="AM419" s="904"/>
      <c r="AN419" s="904"/>
      <c r="AO419" s="904"/>
      <c r="AP419" s="904"/>
      <c r="AQ419" s="904"/>
      <c r="AR419" s="904"/>
      <c r="AS419" s="904"/>
      <c r="AT419" s="904"/>
      <c r="AU419" s="904"/>
      <c r="AV419" s="904"/>
      <c r="AW419" s="904"/>
      <c r="AX419" s="904"/>
      <c r="AY419" s="904"/>
      <c r="AZ419" s="904"/>
      <c r="BA419" s="904"/>
      <c r="BB419" s="904"/>
      <c r="BC419" s="904"/>
      <c r="BD419" s="904"/>
      <c r="BE419" s="904"/>
      <c r="BF419" s="904"/>
      <c r="BG419" s="904"/>
      <c r="BH419" s="904"/>
      <c r="BI419" s="904"/>
      <c r="BJ419" s="904"/>
      <c r="BK419" s="904"/>
      <c r="BL419" s="904"/>
      <c r="BM419" s="904"/>
      <c r="BN419" s="904"/>
      <c r="BO419" s="904"/>
      <c r="BP419" s="802"/>
    </row>
    <row r="420" spans="1:68" ht="20.100000000000001" hidden="1" customHeight="1" outlineLevel="1">
      <c r="A420" s="784"/>
      <c r="B420" s="1594"/>
      <c r="C420" s="1596"/>
      <c r="D420" s="1617"/>
      <c r="E420" s="840"/>
      <c r="F420" s="841"/>
      <c r="G420" s="787" t="s">
        <v>463</v>
      </c>
      <c r="H420" s="843"/>
      <c r="I420" s="843"/>
      <c r="J420" s="843"/>
      <c r="K420" s="843"/>
      <c r="L420" s="904"/>
      <c r="M420" s="904"/>
      <c r="N420" s="904"/>
      <c r="O420" s="904"/>
      <c r="P420" s="904"/>
      <c r="Q420" s="904"/>
      <c r="R420" s="904"/>
      <c r="S420" s="904"/>
      <c r="T420" s="904"/>
      <c r="U420" s="904"/>
      <c r="V420" s="904"/>
      <c r="W420" s="904"/>
      <c r="X420" s="904"/>
      <c r="Y420" s="904"/>
      <c r="Z420" s="904"/>
      <c r="AA420" s="904"/>
      <c r="AB420" s="904"/>
      <c r="AC420" s="904"/>
      <c r="AD420" s="904"/>
      <c r="AE420" s="904"/>
      <c r="AF420" s="904"/>
      <c r="AG420" s="904"/>
      <c r="AH420" s="904"/>
      <c r="AI420" s="904"/>
      <c r="AJ420" s="904"/>
      <c r="AK420" s="904"/>
      <c r="AL420" s="904"/>
      <c r="AM420" s="904"/>
      <c r="AN420" s="904"/>
      <c r="AO420" s="904"/>
      <c r="AP420" s="904"/>
      <c r="AQ420" s="904"/>
      <c r="AR420" s="904"/>
      <c r="AS420" s="904"/>
      <c r="AT420" s="904"/>
      <c r="AU420" s="904"/>
      <c r="AV420" s="904"/>
      <c r="AW420" s="904"/>
      <c r="AX420" s="904"/>
      <c r="AY420" s="904"/>
      <c r="AZ420" s="904"/>
      <c r="BA420" s="904"/>
      <c r="BB420" s="904"/>
      <c r="BC420" s="904"/>
      <c r="BD420" s="904"/>
      <c r="BE420" s="904"/>
      <c r="BF420" s="904"/>
      <c r="BG420" s="904"/>
      <c r="BH420" s="904"/>
      <c r="BI420" s="904"/>
      <c r="BJ420" s="904"/>
      <c r="BK420" s="904"/>
      <c r="BL420" s="904"/>
      <c r="BM420" s="904"/>
      <c r="BN420" s="904"/>
      <c r="BO420" s="904"/>
      <c r="BP420" s="802"/>
    </row>
    <row r="421" spans="1:68" ht="20.100000000000001" hidden="1" customHeight="1" outlineLevel="1">
      <c r="A421" s="784"/>
      <c r="B421" s="1594"/>
      <c r="C421" s="1596"/>
      <c r="D421" s="1617" t="s">
        <v>800</v>
      </c>
      <c r="E421" s="838" t="str">
        <f ca="1">E85</f>
        <v/>
      </c>
      <c r="F421" s="839"/>
      <c r="G421" s="787" t="s">
        <v>462</v>
      </c>
      <c r="H421" s="843"/>
      <c r="I421" s="843"/>
      <c r="J421" s="843"/>
      <c r="K421" s="843"/>
      <c r="L421" s="904"/>
      <c r="M421" s="904"/>
      <c r="N421" s="904"/>
      <c r="O421" s="904"/>
      <c r="P421" s="904"/>
      <c r="Q421" s="904"/>
      <c r="R421" s="904"/>
      <c r="S421" s="904"/>
      <c r="T421" s="904"/>
      <c r="U421" s="904"/>
      <c r="V421" s="904"/>
      <c r="W421" s="904"/>
      <c r="X421" s="904"/>
      <c r="Y421" s="904"/>
      <c r="Z421" s="904"/>
      <c r="AA421" s="904"/>
      <c r="AB421" s="904"/>
      <c r="AC421" s="904"/>
      <c r="AD421" s="904"/>
      <c r="AE421" s="904"/>
      <c r="AF421" s="904"/>
      <c r="AG421" s="904"/>
      <c r="AH421" s="904"/>
      <c r="AI421" s="904"/>
      <c r="AJ421" s="904"/>
      <c r="AK421" s="904"/>
      <c r="AL421" s="904"/>
      <c r="AM421" s="904"/>
      <c r="AN421" s="904"/>
      <c r="AO421" s="904"/>
      <c r="AP421" s="904"/>
      <c r="AQ421" s="904"/>
      <c r="AR421" s="904"/>
      <c r="AS421" s="904"/>
      <c r="AT421" s="904"/>
      <c r="AU421" s="904"/>
      <c r="AV421" s="904"/>
      <c r="AW421" s="904"/>
      <c r="AX421" s="904"/>
      <c r="AY421" s="904"/>
      <c r="AZ421" s="904"/>
      <c r="BA421" s="904"/>
      <c r="BB421" s="904"/>
      <c r="BC421" s="904"/>
      <c r="BD421" s="904"/>
      <c r="BE421" s="904"/>
      <c r="BF421" s="904"/>
      <c r="BG421" s="904"/>
      <c r="BH421" s="904"/>
      <c r="BI421" s="904"/>
      <c r="BJ421" s="904"/>
      <c r="BK421" s="904"/>
      <c r="BL421" s="904"/>
      <c r="BM421" s="904"/>
      <c r="BN421" s="904"/>
      <c r="BO421" s="904"/>
      <c r="BP421" s="802"/>
    </row>
    <row r="422" spans="1:68" ht="20.100000000000001" hidden="1" customHeight="1" outlineLevel="1">
      <c r="A422" s="784"/>
      <c r="B422" s="1594"/>
      <c r="C422" s="1596"/>
      <c r="D422" s="1617"/>
      <c r="E422" s="840"/>
      <c r="F422" s="841"/>
      <c r="G422" s="787" t="s">
        <v>463</v>
      </c>
      <c r="H422" s="843"/>
      <c r="I422" s="843"/>
      <c r="J422" s="843"/>
      <c r="K422" s="843"/>
      <c r="L422" s="904"/>
      <c r="M422" s="904"/>
      <c r="N422" s="904"/>
      <c r="O422" s="904"/>
      <c r="P422" s="904"/>
      <c r="Q422" s="904"/>
      <c r="R422" s="904"/>
      <c r="S422" s="904"/>
      <c r="T422" s="904"/>
      <c r="U422" s="904"/>
      <c r="V422" s="904"/>
      <c r="W422" s="904"/>
      <c r="X422" s="904"/>
      <c r="Y422" s="904"/>
      <c r="Z422" s="904"/>
      <c r="AA422" s="904"/>
      <c r="AB422" s="904"/>
      <c r="AC422" s="904"/>
      <c r="AD422" s="904"/>
      <c r="AE422" s="904"/>
      <c r="AF422" s="904"/>
      <c r="AG422" s="904"/>
      <c r="AH422" s="904"/>
      <c r="AI422" s="904"/>
      <c r="AJ422" s="904"/>
      <c r="AK422" s="904"/>
      <c r="AL422" s="904"/>
      <c r="AM422" s="904"/>
      <c r="AN422" s="904"/>
      <c r="AO422" s="904"/>
      <c r="AP422" s="904"/>
      <c r="AQ422" s="904"/>
      <c r="AR422" s="904"/>
      <c r="AS422" s="904"/>
      <c r="AT422" s="904"/>
      <c r="AU422" s="904"/>
      <c r="AV422" s="904"/>
      <c r="AW422" s="904"/>
      <c r="AX422" s="904"/>
      <c r="AY422" s="904"/>
      <c r="AZ422" s="904"/>
      <c r="BA422" s="904"/>
      <c r="BB422" s="904"/>
      <c r="BC422" s="904"/>
      <c r="BD422" s="904"/>
      <c r="BE422" s="904"/>
      <c r="BF422" s="904"/>
      <c r="BG422" s="904"/>
      <c r="BH422" s="904"/>
      <c r="BI422" s="904"/>
      <c r="BJ422" s="904"/>
      <c r="BK422" s="904"/>
      <c r="BL422" s="904"/>
      <c r="BM422" s="904"/>
      <c r="BN422" s="904"/>
      <c r="BO422" s="904"/>
      <c r="BP422" s="802"/>
    </row>
    <row r="423" spans="1:68" ht="20.100000000000001" hidden="1" customHeight="1" outlineLevel="1">
      <c r="A423" s="784"/>
      <c r="B423" s="1594"/>
      <c r="C423" s="1596"/>
      <c r="D423" s="814" t="s">
        <v>412</v>
      </c>
      <c r="E423" s="792" t="str">
        <f ca="1">E87</f>
        <v/>
      </c>
      <c r="F423" s="786" t="s">
        <v>879</v>
      </c>
      <c r="G423" s="787" t="s">
        <v>462</v>
      </c>
      <c r="H423" s="843"/>
      <c r="I423" s="843"/>
      <c r="J423" s="843"/>
      <c r="K423" s="843"/>
      <c r="L423" s="904"/>
      <c r="M423" s="904"/>
      <c r="N423" s="904"/>
      <c r="O423" s="904"/>
      <c r="P423" s="904"/>
      <c r="Q423" s="904"/>
      <c r="R423" s="904"/>
      <c r="S423" s="904"/>
      <c r="T423" s="904"/>
      <c r="U423" s="904"/>
      <c r="V423" s="904"/>
      <c r="W423" s="904"/>
      <c r="X423" s="904"/>
      <c r="Y423" s="904"/>
      <c r="Z423" s="904"/>
      <c r="AA423" s="904"/>
      <c r="AB423" s="904"/>
      <c r="AC423" s="904"/>
      <c r="AD423" s="904"/>
      <c r="AE423" s="904"/>
      <c r="AF423" s="904"/>
      <c r="AG423" s="904"/>
      <c r="AH423" s="904"/>
      <c r="AI423" s="904"/>
      <c r="AJ423" s="904"/>
      <c r="AK423" s="904"/>
      <c r="AL423" s="904"/>
      <c r="AM423" s="904"/>
      <c r="AN423" s="904"/>
      <c r="AO423" s="904"/>
      <c r="AP423" s="904"/>
      <c r="AQ423" s="904"/>
      <c r="AR423" s="904"/>
      <c r="AS423" s="904"/>
      <c r="AT423" s="904"/>
      <c r="AU423" s="904"/>
      <c r="AV423" s="904"/>
      <c r="AW423" s="904"/>
      <c r="AX423" s="904"/>
      <c r="AY423" s="904"/>
      <c r="AZ423" s="904"/>
      <c r="BA423" s="904"/>
      <c r="BB423" s="904"/>
      <c r="BC423" s="904"/>
      <c r="BD423" s="904"/>
      <c r="BE423" s="904"/>
      <c r="BF423" s="904"/>
      <c r="BG423" s="904"/>
      <c r="BH423" s="904"/>
      <c r="BI423" s="904"/>
      <c r="BJ423" s="904"/>
      <c r="BK423" s="904"/>
      <c r="BL423" s="904"/>
      <c r="BM423" s="904"/>
      <c r="BN423" s="904"/>
      <c r="BO423" s="904"/>
      <c r="BP423" s="802"/>
    </row>
    <row r="424" spans="1:68" ht="20.100000000000001" hidden="1" customHeight="1" outlineLevel="1">
      <c r="A424" s="784"/>
      <c r="B424" s="1594"/>
      <c r="C424" s="1596"/>
      <c r="D424" s="814" t="s">
        <v>414</v>
      </c>
      <c r="E424" s="792" t="str">
        <f ca="1">E88</f>
        <v/>
      </c>
      <c r="F424" s="842" t="s">
        <v>880</v>
      </c>
      <c r="G424" s="787" t="s">
        <v>462</v>
      </c>
      <c r="H424" s="843"/>
      <c r="I424" s="843"/>
      <c r="J424" s="843"/>
      <c r="K424" s="843"/>
      <c r="L424" s="904"/>
      <c r="M424" s="904"/>
      <c r="N424" s="904"/>
      <c r="O424" s="904"/>
      <c r="P424" s="904"/>
      <c r="Q424" s="904"/>
      <c r="R424" s="904"/>
      <c r="S424" s="904"/>
      <c r="T424" s="904"/>
      <c r="U424" s="904"/>
      <c r="V424" s="904"/>
      <c r="W424" s="904"/>
      <c r="X424" s="904"/>
      <c r="Y424" s="904"/>
      <c r="Z424" s="904"/>
      <c r="AA424" s="904"/>
      <c r="AB424" s="904"/>
      <c r="AC424" s="904"/>
      <c r="AD424" s="904"/>
      <c r="AE424" s="904"/>
      <c r="AF424" s="904"/>
      <c r="AG424" s="904"/>
      <c r="AH424" s="904"/>
      <c r="AI424" s="904"/>
      <c r="AJ424" s="904"/>
      <c r="AK424" s="904"/>
      <c r="AL424" s="904"/>
      <c r="AM424" s="904"/>
      <c r="AN424" s="904"/>
      <c r="AO424" s="904"/>
      <c r="AP424" s="904"/>
      <c r="AQ424" s="904"/>
      <c r="AR424" s="904"/>
      <c r="AS424" s="904"/>
      <c r="AT424" s="904"/>
      <c r="AU424" s="904"/>
      <c r="AV424" s="904"/>
      <c r="AW424" s="904"/>
      <c r="AX424" s="904"/>
      <c r="AY424" s="904"/>
      <c r="AZ424" s="904"/>
      <c r="BA424" s="904"/>
      <c r="BB424" s="904"/>
      <c r="BC424" s="904"/>
      <c r="BD424" s="904"/>
      <c r="BE424" s="904"/>
      <c r="BF424" s="904"/>
      <c r="BG424" s="904"/>
      <c r="BH424" s="904"/>
      <c r="BI424" s="904"/>
      <c r="BJ424" s="904"/>
      <c r="BK424" s="904"/>
      <c r="BL424" s="904"/>
      <c r="BM424" s="904"/>
      <c r="BN424" s="904"/>
      <c r="BO424" s="904"/>
      <c r="BP424" s="802"/>
    </row>
    <row r="425" spans="1:68" ht="20.100000000000001" hidden="1" customHeight="1" outlineLevel="1">
      <c r="A425" s="784"/>
      <c r="B425" s="1594"/>
      <c r="C425" s="1596"/>
      <c r="D425" s="814" t="s">
        <v>416</v>
      </c>
      <c r="E425" s="792" t="str">
        <f ca="1">E89</f>
        <v/>
      </c>
      <c r="F425" s="842" t="s">
        <v>881</v>
      </c>
      <c r="G425" s="787" t="s">
        <v>462</v>
      </c>
      <c r="H425" s="843"/>
      <c r="I425" s="843"/>
      <c r="J425" s="843"/>
      <c r="K425" s="843"/>
      <c r="L425" s="904"/>
      <c r="M425" s="904"/>
      <c r="N425" s="904"/>
      <c r="O425" s="904"/>
      <c r="P425" s="904"/>
      <c r="Q425" s="904"/>
      <c r="R425" s="904"/>
      <c r="S425" s="904"/>
      <c r="T425" s="904"/>
      <c r="U425" s="904"/>
      <c r="V425" s="904"/>
      <c r="W425" s="904"/>
      <c r="X425" s="904"/>
      <c r="Y425" s="904"/>
      <c r="Z425" s="904"/>
      <c r="AA425" s="904"/>
      <c r="AB425" s="904"/>
      <c r="AC425" s="904"/>
      <c r="AD425" s="904"/>
      <c r="AE425" s="904"/>
      <c r="AF425" s="904"/>
      <c r="AG425" s="904"/>
      <c r="AH425" s="904"/>
      <c r="AI425" s="904"/>
      <c r="AJ425" s="904"/>
      <c r="AK425" s="904"/>
      <c r="AL425" s="904"/>
      <c r="AM425" s="904"/>
      <c r="AN425" s="904"/>
      <c r="AO425" s="904"/>
      <c r="AP425" s="904"/>
      <c r="AQ425" s="904"/>
      <c r="AR425" s="904"/>
      <c r="AS425" s="904"/>
      <c r="AT425" s="904"/>
      <c r="AU425" s="904"/>
      <c r="AV425" s="904"/>
      <c r="AW425" s="904"/>
      <c r="AX425" s="904"/>
      <c r="AY425" s="904"/>
      <c r="AZ425" s="904"/>
      <c r="BA425" s="904"/>
      <c r="BB425" s="904"/>
      <c r="BC425" s="904"/>
      <c r="BD425" s="904"/>
      <c r="BE425" s="904"/>
      <c r="BF425" s="904"/>
      <c r="BG425" s="904"/>
      <c r="BH425" s="904"/>
      <c r="BI425" s="904"/>
      <c r="BJ425" s="904"/>
      <c r="BK425" s="904"/>
      <c r="BL425" s="904"/>
      <c r="BM425" s="904"/>
      <c r="BN425" s="904"/>
      <c r="BO425" s="904"/>
      <c r="BP425" s="802"/>
    </row>
    <row r="426" spans="1:68" ht="20.100000000000001" hidden="1" customHeight="1" outlineLevel="1">
      <c r="A426" s="784"/>
      <c r="B426" s="1594"/>
      <c r="C426" s="1596"/>
      <c r="D426" s="814" t="s">
        <v>418</v>
      </c>
      <c r="E426" s="792" t="str">
        <f ca="1">E90</f>
        <v/>
      </c>
      <c r="F426" s="842" t="s">
        <v>882</v>
      </c>
      <c r="G426" s="787" t="s">
        <v>462</v>
      </c>
      <c r="H426" s="843"/>
      <c r="I426" s="843"/>
      <c r="J426" s="843"/>
      <c r="K426" s="843"/>
      <c r="L426" s="904"/>
      <c r="M426" s="904"/>
      <c r="N426" s="904"/>
      <c r="O426" s="904"/>
      <c r="P426" s="904"/>
      <c r="Q426" s="904"/>
      <c r="R426" s="904"/>
      <c r="S426" s="904"/>
      <c r="T426" s="904"/>
      <c r="U426" s="904"/>
      <c r="V426" s="904"/>
      <c r="W426" s="904"/>
      <c r="X426" s="904"/>
      <c r="Y426" s="904"/>
      <c r="Z426" s="904"/>
      <c r="AA426" s="904"/>
      <c r="AB426" s="904"/>
      <c r="AC426" s="904"/>
      <c r="AD426" s="904"/>
      <c r="AE426" s="904"/>
      <c r="AF426" s="904"/>
      <c r="AG426" s="904"/>
      <c r="AH426" s="904"/>
      <c r="AI426" s="904"/>
      <c r="AJ426" s="904"/>
      <c r="AK426" s="904"/>
      <c r="AL426" s="904"/>
      <c r="AM426" s="904"/>
      <c r="AN426" s="904"/>
      <c r="AO426" s="904"/>
      <c r="AP426" s="904"/>
      <c r="AQ426" s="904"/>
      <c r="AR426" s="904"/>
      <c r="AS426" s="904"/>
      <c r="AT426" s="904"/>
      <c r="AU426" s="904"/>
      <c r="AV426" s="904"/>
      <c r="AW426" s="904"/>
      <c r="AX426" s="904"/>
      <c r="AY426" s="904"/>
      <c r="AZ426" s="904"/>
      <c r="BA426" s="904"/>
      <c r="BB426" s="904"/>
      <c r="BC426" s="904"/>
      <c r="BD426" s="904"/>
      <c r="BE426" s="904"/>
      <c r="BF426" s="904"/>
      <c r="BG426" s="904"/>
      <c r="BH426" s="904"/>
      <c r="BI426" s="904"/>
      <c r="BJ426" s="904"/>
      <c r="BK426" s="904"/>
      <c r="BL426" s="904"/>
      <c r="BM426" s="904"/>
      <c r="BN426" s="904"/>
      <c r="BO426" s="904"/>
      <c r="BP426" s="802"/>
    </row>
    <row r="427" spans="1:68" ht="20.100000000000001" customHeight="1" collapsed="1">
      <c r="A427" s="783"/>
      <c r="B427" s="1596" t="s">
        <v>895</v>
      </c>
      <c r="C427" s="1596"/>
      <c r="D427" s="785" t="s">
        <v>805</v>
      </c>
      <c r="E427" s="785"/>
      <c r="F427" s="810" t="s">
        <v>886</v>
      </c>
      <c r="G427" s="787" t="s">
        <v>807</v>
      </c>
      <c r="H427" s="843"/>
      <c r="I427" s="843"/>
      <c r="J427" s="843"/>
      <c r="K427" s="843"/>
      <c r="L427" s="904"/>
      <c r="M427" s="904"/>
      <c r="N427" s="904"/>
      <c r="O427" s="904"/>
      <c r="P427" s="904"/>
      <c r="Q427" s="904"/>
      <c r="R427" s="904"/>
      <c r="S427" s="904"/>
      <c r="T427" s="904"/>
      <c r="U427" s="904"/>
      <c r="V427" s="904"/>
      <c r="W427" s="904"/>
      <c r="X427" s="904"/>
      <c r="Y427" s="904"/>
      <c r="Z427" s="904"/>
      <c r="AA427" s="904"/>
      <c r="AB427" s="904"/>
      <c r="AC427" s="904"/>
      <c r="AD427" s="904"/>
      <c r="AE427" s="904"/>
      <c r="AF427" s="904"/>
      <c r="AG427" s="904"/>
      <c r="AH427" s="904"/>
      <c r="AI427" s="904"/>
      <c r="AJ427" s="904"/>
      <c r="AK427" s="904"/>
      <c r="AL427" s="904"/>
      <c r="AM427" s="904"/>
      <c r="AN427" s="904"/>
      <c r="AO427" s="904"/>
      <c r="AP427" s="904"/>
      <c r="AQ427" s="904"/>
      <c r="AR427" s="904"/>
      <c r="AS427" s="904"/>
      <c r="AT427" s="904"/>
      <c r="AU427" s="904"/>
      <c r="AV427" s="904"/>
      <c r="AW427" s="904"/>
      <c r="AX427" s="904"/>
      <c r="AY427" s="904"/>
      <c r="AZ427" s="904"/>
      <c r="BA427" s="904"/>
      <c r="BB427" s="904"/>
      <c r="BC427" s="904"/>
      <c r="BD427" s="904"/>
      <c r="BE427" s="904"/>
      <c r="BF427" s="904"/>
      <c r="BG427" s="904"/>
      <c r="BH427" s="904"/>
      <c r="BI427" s="904"/>
      <c r="BJ427" s="904"/>
      <c r="BK427" s="904"/>
      <c r="BL427" s="904"/>
      <c r="BM427" s="904"/>
      <c r="BN427" s="904"/>
      <c r="BO427" s="904"/>
      <c r="BP427" s="802"/>
    </row>
    <row r="428" spans="1:68" ht="20.100000000000001" customHeight="1">
      <c r="A428" s="783"/>
      <c r="B428" s="1596"/>
      <c r="C428" s="1596"/>
      <c r="D428" s="785" t="s">
        <v>808</v>
      </c>
      <c r="E428" s="785"/>
      <c r="F428" s="810" t="s">
        <v>887</v>
      </c>
      <c r="G428" s="787" t="s">
        <v>807</v>
      </c>
      <c r="H428" s="843"/>
      <c r="I428" s="843"/>
      <c r="J428" s="843"/>
      <c r="K428" s="843"/>
      <c r="L428" s="845">
        <f ca="1">SUMPRODUCT(ROUND((0&amp;L395:L405)*$H395:$H405,0))</f>
        <v>0</v>
      </c>
      <c r="M428" s="845">
        <f ca="1">SUMPRODUCT(ROUND((0&amp;M395:M405)*$I395:$I405,0))</f>
        <v>0</v>
      </c>
      <c r="N428" s="845">
        <f ca="1">SUMPRODUCT(ROUND((0&amp;N395:N405)*$J395:$J405,0))</f>
        <v>0</v>
      </c>
      <c r="O428" s="845">
        <f ca="1">SUMPRODUCT(ROUND((0&amp;O395:O405)*$K395:$K405,0))</f>
        <v>0</v>
      </c>
      <c r="P428" s="845">
        <f ca="1">SUMPRODUCT(ROUND((0&amp;P395:P405)*$H395:$H405,0))</f>
        <v>0</v>
      </c>
      <c r="Q428" s="845">
        <f ca="1">SUMPRODUCT(ROUND((0&amp;Q395:Q405)*$I395:$I405,0))</f>
        <v>0</v>
      </c>
      <c r="R428" s="845">
        <f ca="1">SUMPRODUCT(ROUND((0&amp;R395:R405)*$J395:$J405,0))</f>
        <v>0</v>
      </c>
      <c r="S428" s="845">
        <f ca="1">SUMPRODUCT(ROUND((0&amp;S395:S405)*$K395:$K405,0))</f>
        <v>0</v>
      </c>
      <c r="T428" s="845">
        <f t="shared" ref="T428" ca="1" si="640">SUMPRODUCT(ROUND((0&amp;T395:T405)*$H395:$H405,0))</f>
        <v>0</v>
      </c>
      <c r="U428" s="845">
        <f t="shared" ref="U428" ca="1" si="641">SUMPRODUCT(ROUND((0&amp;U395:U405)*$I395:$I405,0))</f>
        <v>0</v>
      </c>
      <c r="V428" s="845">
        <f t="shared" ref="V428" ca="1" si="642">SUMPRODUCT(ROUND((0&amp;V395:V405)*$J395:$J405,0))</f>
        <v>0</v>
      </c>
      <c r="W428" s="845">
        <f t="shared" ref="W428" ca="1" si="643">SUMPRODUCT(ROUND((0&amp;W395:W405)*$K395:$K405,0))</f>
        <v>0</v>
      </c>
      <c r="X428" s="845">
        <f t="shared" ref="X428" ca="1" si="644">SUMPRODUCT(ROUND((0&amp;X395:X405)*$H395:$H405,0))</f>
        <v>0</v>
      </c>
      <c r="Y428" s="845">
        <f t="shared" ref="Y428" ca="1" si="645">SUMPRODUCT(ROUND((0&amp;Y395:Y405)*$I395:$I405,0))</f>
        <v>0</v>
      </c>
      <c r="Z428" s="845">
        <f t="shared" ref="Z428" ca="1" si="646">SUMPRODUCT(ROUND((0&amp;Z395:Z405)*$J395:$J405,0))</f>
        <v>0</v>
      </c>
      <c r="AA428" s="845">
        <f t="shared" ref="AA428" ca="1" si="647">SUMPRODUCT(ROUND((0&amp;AA395:AA405)*$K395:$K405,0))</f>
        <v>0</v>
      </c>
      <c r="AB428" s="845">
        <f t="shared" ref="AB428" ca="1" si="648">SUMPRODUCT(ROUND((0&amp;AB395:AB405)*$H395:$H405,0))</f>
        <v>0</v>
      </c>
      <c r="AC428" s="845">
        <f t="shared" ref="AC428" ca="1" si="649">SUMPRODUCT(ROUND((0&amp;AC395:AC405)*$I395:$I405,0))</f>
        <v>0</v>
      </c>
      <c r="AD428" s="845">
        <f t="shared" ref="AD428" ca="1" si="650">SUMPRODUCT(ROUND((0&amp;AD395:AD405)*$J395:$J405,0))</f>
        <v>0</v>
      </c>
      <c r="AE428" s="845">
        <f t="shared" ref="AE428" ca="1" si="651">SUMPRODUCT(ROUND((0&amp;AE395:AE405)*$K395:$K405,0))</f>
        <v>0</v>
      </c>
      <c r="AF428" s="845">
        <f t="shared" ref="AF428" ca="1" si="652">SUMPRODUCT(ROUND((0&amp;AF395:AF405)*$H395:$H405,0))</f>
        <v>0</v>
      </c>
      <c r="AG428" s="845">
        <f t="shared" ref="AG428" ca="1" si="653">SUMPRODUCT(ROUND((0&amp;AG395:AG405)*$I395:$I405,0))</f>
        <v>0</v>
      </c>
      <c r="AH428" s="845">
        <f t="shared" ref="AH428" ca="1" si="654">SUMPRODUCT(ROUND((0&amp;AH395:AH405)*$J395:$J405,0))</f>
        <v>0</v>
      </c>
      <c r="AI428" s="845">
        <f t="shared" ref="AI428" ca="1" si="655">SUMPRODUCT(ROUND((0&amp;AI395:AI405)*$K395:$K405,0))</f>
        <v>0</v>
      </c>
      <c r="AJ428" s="845">
        <f t="shared" ref="AJ428" ca="1" si="656">SUMPRODUCT(ROUND((0&amp;AJ395:AJ405)*$H395:$H405,0))</f>
        <v>0</v>
      </c>
      <c r="AK428" s="845">
        <f t="shared" ref="AK428" ca="1" si="657">SUMPRODUCT(ROUND((0&amp;AK395:AK405)*$I395:$I405,0))</f>
        <v>0</v>
      </c>
      <c r="AL428" s="845">
        <f t="shared" ref="AL428" ca="1" si="658">SUMPRODUCT(ROUND((0&amp;AL395:AL405)*$J395:$J405,0))</f>
        <v>0</v>
      </c>
      <c r="AM428" s="845">
        <f t="shared" ref="AM428" ca="1" si="659">SUMPRODUCT(ROUND((0&amp;AM395:AM405)*$K395:$K405,0))</f>
        <v>0</v>
      </c>
      <c r="AN428" s="845">
        <f t="shared" ref="AN428" ca="1" si="660">SUMPRODUCT(ROUND((0&amp;AN395:AN405)*$H395:$H405,0))</f>
        <v>0</v>
      </c>
      <c r="AO428" s="845">
        <f t="shared" ref="AO428" ca="1" si="661">SUMPRODUCT(ROUND((0&amp;AO395:AO405)*$I395:$I405,0))</f>
        <v>0</v>
      </c>
      <c r="AP428" s="845">
        <f t="shared" ref="AP428" ca="1" si="662">SUMPRODUCT(ROUND((0&amp;AP395:AP405)*$J395:$J405,0))</f>
        <v>0</v>
      </c>
      <c r="AQ428" s="845">
        <f t="shared" ref="AQ428" ca="1" si="663">SUMPRODUCT(ROUND((0&amp;AQ395:AQ405)*$K395:$K405,0))</f>
        <v>0</v>
      </c>
      <c r="AR428" s="845">
        <f t="shared" ref="AR428" ca="1" si="664">SUMPRODUCT(ROUND((0&amp;AR395:AR405)*$H395:$H405,0))</f>
        <v>0</v>
      </c>
      <c r="AS428" s="845">
        <f t="shared" ref="AS428" ca="1" si="665">SUMPRODUCT(ROUND((0&amp;AS395:AS405)*$I395:$I405,0))</f>
        <v>0</v>
      </c>
      <c r="AT428" s="845">
        <f t="shared" ref="AT428" ca="1" si="666">SUMPRODUCT(ROUND((0&amp;AT395:AT405)*$J395:$J405,0))</f>
        <v>0</v>
      </c>
      <c r="AU428" s="845">
        <f t="shared" ref="AU428" ca="1" si="667">SUMPRODUCT(ROUND((0&amp;AU395:AU405)*$K395:$K405,0))</f>
        <v>0</v>
      </c>
      <c r="AV428" s="845">
        <f t="shared" ref="AV428" ca="1" si="668">SUMPRODUCT(ROUND((0&amp;AV395:AV405)*$H395:$H405,0))</f>
        <v>0</v>
      </c>
      <c r="AW428" s="845">
        <f t="shared" ref="AW428" ca="1" si="669">SUMPRODUCT(ROUND((0&amp;AW395:AW405)*$I395:$I405,0))</f>
        <v>0</v>
      </c>
      <c r="AX428" s="845">
        <f t="shared" ref="AX428" ca="1" si="670">SUMPRODUCT(ROUND((0&amp;AX395:AX405)*$J395:$J405,0))</f>
        <v>0</v>
      </c>
      <c r="AY428" s="845">
        <f t="shared" ref="AY428" ca="1" si="671">SUMPRODUCT(ROUND((0&amp;AY395:AY405)*$K395:$K405,0))</f>
        <v>0</v>
      </c>
      <c r="AZ428" s="845">
        <f t="shared" ref="AZ428" ca="1" si="672">SUMPRODUCT(ROUND((0&amp;AZ395:AZ405)*$H395:$H405,0))</f>
        <v>0</v>
      </c>
      <c r="BA428" s="845">
        <f t="shared" ref="BA428" ca="1" si="673">SUMPRODUCT(ROUND((0&amp;BA395:BA405)*$I395:$I405,0))</f>
        <v>0</v>
      </c>
      <c r="BB428" s="845">
        <f t="shared" ref="BB428" ca="1" si="674">SUMPRODUCT(ROUND((0&amp;BB395:BB405)*$J395:$J405,0))</f>
        <v>0</v>
      </c>
      <c r="BC428" s="845">
        <f t="shared" ref="BC428" ca="1" si="675">SUMPRODUCT(ROUND((0&amp;BC395:BC405)*$K395:$K405,0))</f>
        <v>0</v>
      </c>
      <c r="BD428" s="845">
        <f t="shared" ref="BD428" ca="1" si="676">SUMPRODUCT(ROUND((0&amp;BD395:BD405)*$H395:$H405,0))</f>
        <v>0</v>
      </c>
      <c r="BE428" s="845">
        <f t="shared" ref="BE428" ca="1" si="677">SUMPRODUCT(ROUND((0&amp;BE395:BE405)*$I395:$I405,0))</f>
        <v>0</v>
      </c>
      <c r="BF428" s="845">
        <f t="shared" ref="BF428" ca="1" si="678">SUMPRODUCT(ROUND((0&amp;BF395:BF405)*$J395:$J405,0))</f>
        <v>0</v>
      </c>
      <c r="BG428" s="845">
        <f t="shared" ref="BG428" ca="1" si="679">SUMPRODUCT(ROUND((0&amp;BG395:BG405)*$K395:$K405,0))</f>
        <v>0</v>
      </c>
      <c r="BH428" s="845">
        <f t="shared" ref="BH428" ca="1" si="680">SUMPRODUCT(ROUND((0&amp;BH395:BH405)*$H395:$H405,0))</f>
        <v>0</v>
      </c>
      <c r="BI428" s="845">
        <f t="shared" ref="BI428" ca="1" si="681">SUMPRODUCT(ROUND((0&amp;BI395:BI405)*$I395:$I405,0))</f>
        <v>0</v>
      </c>
      <c r="BJ428" s="845">
        <f t="shared" ref="BJ428" ca="1" si="682">SUMPRODUCT(ROUND((0&amp;BJ395:BJ405)*$J395:$J405,0))</f>
        <v>0</v>
      </c>
      <c r="BK428" s="845">
        <f t="shared" ref="BK428" ca="1" si="683">SUMPRODUCT(ROUND((0&amp;BK395:BK405)*$K395:$K405,0))</f>
        <v>0</v>
      </c>
      <c r="BL428" s="845">
        <f t="shared" ref="BL428" ca="1" si="684">SUMPRODUCT(ROUND((0&amp;BL395:BL405)*$H395:$H405,0))</f>
        <v>0</v>
      </c>
      <c r="BM428" s="845">
        <f t="shared" ref="BM428" ca="1" si="685">SUMPRODUCT(ROUND((0&amp;BM395:BM405)*$I395:$I405,0))</f>
        <v>0</v>
      </c>
      <c r="BN428" s="845">
        <f t="shared" ref="BN428" ca="1" si="686">SUMPRODUCT(ROUND((0&amp;BN395:BN405)*$J395:$J405,0))</f>
        <v>0</v>
      </c>
      <c r="BO428" s="845">
        <f t="shared" ref="BO428" ca="1" si="687">SUMPRODUCT(ROUND((0&amp;BO395:BO405)*$K395:$K405,0))</f>
        <v>0</v>
      </c>
      <c r="BP428" s="802"/>
    </row>
    <row r="429" spans="1:68" ht="20.100000000000001" customHeight="1">
      <c r="A429" s="783"/>
      <c r="B429" s="1596"/>
      <c r="C429" s="1596"/>
      <c r="D429" s="785" t="s">
        <v>810</v>
      </c>
      <c r="E429" s="785" t="s">
        <v>888</v>
      </c>
      <c r="F429" s="810" t="s">
        <v>889</v>
      </c>
      <c r="G429" s="787" t="s">
        <v>807</v>
      </c>
      <c r="H429" s="843"/>
      <c r="I429" s="843"/>
      <c r="J429" s="843"/>
      <c r="K429" s="843"/>
      <c r="L429" s="904"/>
      <c r="M429" s="904"/>
      <c r="N429" s="904"/>
      <c r="O429" s="904"/>
      <c r="P429" s="904"/>
      <c r="Q429" s="904"/>
      <c r="R429" s="904"/>
      <c r="S429" s="904"/>
      <c r="T429" s="904"/>
      <c r="U429" s="904"/>
      <c r="V429" s="904"/>
      <c r="W429" s="904"/>
      <c r="X429" s="904"/>
      <c r="Y429" s="904"/>
      <c r="Z429" s="904"/>
      <c r="AA429" s="904"/>
      <c r="AB429" s="904"/>
      <c r="AC429" s="904"/>
      <c r="AD429" s="904"/>
      <c r="AE429" s="904"/>
      <c r="AF429" s="904"/>
      <c r="AG429" s="904"/>
      <c r="AH429" s="904"/>
      <c r="AI429" s="904"/>
      <c r="AJ429" s="904"/>
      <c r="AK429" s="904"/>
      <c r="AL429" s="904"/>
      <c r="AM429" s="904"/>
      <c r="AN429" s="904"/>
      <c r="AO429" s="904"/>
      <c r="AP429" s="904"/>
      <c r="AQ429" s="904"/>
      <c r="AR429" s="904"/>
      <c r="AS429" s="904"/>
      <c r="AT429" s="904"/>
      <c r="AU429" s="904"/>
      <c r="AV429" s="904"/>
      <c r="AW429" s="904"/>
      <c r="AX429" s="904"/>
      <c r="AY429" s="904"/>
      <c r="AZ429" s="904"/>
      <c r="BA429" s="904"/>
      <c r="BB429" s="904"/>
      <c r="BC429" s="904"/>
      <c r="BD429" s="904"/>
      <c r="BE429" s="904"/>
      <c r="BF429" s="904"/>
      <c r="BG429" s="904"/>
      <c r="BH429" s="904"/>
      <c r="BI429" s="904"/>
      <c r="BJ429" s="904"/>
      <c r="BK429" s="904"/>
      <c r="BL429" s="904"/>
      <c r="BM429" s="904"/>
      <c r="BN429" s="904"/>
      <c r="BO429" s="904"/>
      <c r="BP429" s="802"/>
    </row>
    <row r="430" spans="1:68" ht="20.100000000000001" customHeight="1">
      <c r="A430" s="783"/>
      <c r="B430" s="1596"/>
      <c r="C430" s="1596"/>
      <c r="D430" s="785" t="s">
        <v>813</v>
      </c>
      <c r="E430" s="785" t="s">
        <v>890</v>
      </c>
      <c r="F430" s="810" t="s">
        <v>891</v>
      </c>
      <c r="G430" s="787" t="s">
        <v>807</v>
      </c>
      <c r="H430" s="843"/>
      <c r="I430" s="843"/>
      <c r="J430" s="843"/>
      <c r="K430" s="843"/>
      <c r="L430" s="789">
        <f ca="1">L428</f>
        <v>0</v>
      </c>
      <c r="M430" s="789">
        <f t="shared" ref="M430:BO430" ca="1" si="688">M428</f>
        <v>0</v>
      </c>
      <c r="N430" s="789">
        <f t="shared" ca="1" si="688"/>
        <v>0</v>
      </c>
      <c r="O430" s="789">
        <f t="shared" ca="1" si="688"/>
        <v>0</v>
      </c>
      <c r="P430" s="789">
        <f t="shared" ca="1" si="688"/>
        <v>0</v>
      </c>
      <c r="Q430" s="789">
        <f t="shared" ca="1" si="688"/>
        <v>0</v>
      </c>
      <c r="R430" s="789">
        <f t="shared" ca="1" si="688"/>
        <v>0</v>
      </c>
      <c r="S430" s="789">
        <f t="shared" ca="1" si="688"/>
        <v>0</v>
      </c>
      <c r="T430" s="789">
        <f t="shared" ca="1" si="688"/>
        <v>0</v>
      </c>
      <c r="U430" s="789">
        <f t="shared" ca="1" si="688"/>
        <v>0</v>
      </c>
      <c r="V430" s="789">
        <f t="shared" ca="1" si="688"/>
        <v>0</v>
      </c>
      <c r="W430" s="789">
        <f t="shared" ca="1" si="688"/>
        <v>0</v>
      </c>
      <c r="X430" s="789">
        <f t="shared" ca="1" si="688"/>
        <v>0</v>
      </c>
      <c r="Y430" s="789">
        <f t="shared" ca="1" si="688"/>
        <v>0</v>
      </c>
      <c r="Z430" s="789">
        <f t="shared" ca="1" si="688"/>
        <v>0</v>
      </c>
      <c r="AA430" s="789">
        <f t="shared" ca="1" si="688"/>
        <v>0</v>
      </c>
      <c r="AB430" s="789">
        <f t="shared" ca="1" si="688"/>
        <v>0</v>
      </c>
      <c r="AC430" s="789">
        <f t="shared" ca="1" si="688"/>
        <v>0</v>
      </c>
      <c r="AD430" s="789">
        <f t="shared" ca="1" si="688"/>
        <v>0</v>
      </c>
      <c r="AE430" s="789">
        <f t="shared" ca="1" si="688"/>
        <v>0</v>
      </c>
      <c r="AF430" s="789">
        <f t="shared" ca="1" si="688"/>
        <v>0</v>
      </c>
      <c r="AG430" s="789">
        <f t="shared" ca="1" si="688"/>
        <v>0</v>
      </c>
      <c r="AH430" s="789">
        <f t="shared" ca="1" si="688"/>
        <v>0</v>
      </c>
      <c r="AI430" s="789">
        <f t="shared" ca="1" si="688"/>
        <v>0</v>
      </c>
      <c r="AJ430" s="789">
        <f t="shared" ca="1" si="688"/>
        <v>0</v>
      </c>
      <c r="AK430" s="789">
        <f t="shared" ca="1" si="688"/>
        <v>0</v>
      </c>
      <c r="AL430" s="789">
        <f t="shared" ca="1" si="688"/>
        <v>0</v>
      </c>
      <c r="AM430" s="789">
        <f t="shared" ca="1" si="688"/>
        <v>0</v>
      </c>
      <c r="AN430" s="789">
        <f t="shared" ca="1" si="688"/>
        <v>0</v>
      </c>
      <c r="AO430" s="789">
        <f t="shared" ca="1" si="688"/>
        <v>0</v>
      </c>
      <c r="AP430" s="789">
        <f t="shared" ca="1" si="688"/>
        <v>0</v>
      </c>
      <c r="AQ430" s="789">
        <f t="shared" ca="1" si="688"/>
        <v>0</v>
      </c>
      <c r="AR430" s="789">
        <f t="shared" ca="1" si="688"/>
        <v>0</v>
      </c>
      <c r="AS430" s="789">
        <f t="shared" ca="1" si="688"/>
        <v>0</v>
      </c>
      <c r="AT430" s="789">
        <f t="shared" ca="1" si="688"/>
        <v>0</v>
      </c>
      <c r="AU430" s="789">
        <f t="shared" ca="1" si="688"/>
        <v>0</v>
      </c>
      <c r="AV430" s="789">
        <f t="shared" ca="1" si="688"/>
        <v>0</v>
      </c>
      <c r="AW430" s="789">
        <f t="shared" ca="1" si="688"/>
        <v>0</v>
      </c>
      <c r="AX430" s="789">
        <f t="shared" ca="1" si="688"/>
        <v>0</v>
      </c>
      <c r="AY430" s="789">
        <f t="shared" ca="1" si="688"/>
        <v>0</v>
      </c>
      <c r="AZ430" s="789">
        <f t="shared" ca="1" si="688"/>
        <v>0</v>
      </c>
      <c r="BA430" s="789">
        <f t="shared" ca="1" si="688"/>
        <v>0</v>
      </c>
      <c r="BB430" s="789">
        <f t="shared" ca="1" si="688"/>
        <v>0</v>
      </c>
      <c r="BC430" s="789">
        <f t="shared" ca="1" si="688"/>
        <v>0</v>
      </c>
      <c r="BD430" s="789">
        <f t="shared" ca="1" si="688"/>
        <v>0</v>
      </c>
      <c r="BE430" s="789">
        <f t="shared" ca="1" si="688"/>
        <v>0</v>
      </c>
      <c r="BF430" s="789">
        <f t="shared" ca="1" si="688"/>
        <v>0</v>
      </c>
      <c r="BG430" s="789">
        <f t="shared" ca="1" si="688"/>
        <v>0</v>
      </c>
      <c r="BH430" s="789">
        <f t="shared" ca="1" si="688"/>
        <v>0</v>
      </c>
      <c r="BI430" s="789">
        <f t="shared" ca="1" si="688"/>
        <v>0</v>
      </c>
      <c r="BJ430" s="789">
        <f t="shared" ca="1" si="688"/>
        <v>0</v>
      </c>
      <c r="BK430" s="789">
        <f t="shared" ca="1" si="688"/>
        <v>0</v>
      </c>
      <c r="BL430" s="789">
        <f t="shared" ca="1" si="688"/>
        <v>0</v>
      </c>
      <c r="BM430" s="789">
        <f t="shared" ca="1" si="688"/>
        <v>0</v>
      </c>
      <c r="BN430" s="789">
        <f t="shared" ca="1" si="688"/>
        <v>0</v>
      </c>
      <c r="BO430" s="789">
        <f t="shared" ca="1" si="688"/>
        <v>0</v>
      </c>
      <c r="BP430" s="802"/>
    </row>
    <row r="431" spans="1:68" ht="20.100000000000001" customHeight="1">
      <c r="A431" s="783"/>
      <c r="B431" s="847" t="s">
        <v>896</v>
      </c>
      <c r="C431" s="848"/>
      <c r="D431" s="785"/>
      <c r="E431" s="785" t="s">
        <v>893</v>
      </c>
      <c r="F431" s="810"/>
      <c r="G431" s="787" t="s">
        <v>347</v>
      </c>
      <c r="H431" s="843"/>
      <c r="I431" s="843"/>
      <c r="J431" s="843"/>
      <c r="K431" s="843"/>
      <c r="L431" s="845">
        <f ca="1">ROUND(L430*0.0258,0)</f>
        <v>0</v>
      </c>
      <c r="M431" s="845">
        <f t="shared" ref="M431:BO431" ca="1" si="689">ROUND(M430*0.0258,0)</f>
        <v>0</v>
      </c>
      <c r="N431" s="845">
        <f t="shared" ca="1" si="689"/>
        <v>0</v>
      </c>
      <c r="O431" s="845">
        <f t="shared" ca="1" si="689"/>
        <v>0</v>
      </c>
      <c r="P431" s="845">
        <f t="shared" ca="1" si="689"/>
        <v>0</v>
      </c>
      <c r="Q431" s="845">
        <f t="shared" ca="1" si="689"/>
        <v>0</v>
      </c>
      <c r="R431" s="845">
        <f t="shared" ca="1" si="689"/>
        <v>0</v>
      </c>
      <c r="S431" s="845">
        <f t="shared" ca="1" si="689"/>
        <v>0</v>
      </c>
      <c r="T431" s="845">
        <f t="shared" ca="1" si="689"/>
        <v>0</v>
      </c>
      <c r="U431" s="845">
        <f t="shared" ca="1" si="689"/>
        <v>0</v>
      </c>
      <c r="V431" s="845">
        <f t="shared" ca="1" si="689"/>
        <v>0</v>
      </c>
      <c r="W431" s="845">
        <f t="shared" ca="1" si="689"/>
        <v>0</v>
      </c>
      <c r="X431" s="845">
        <f t="shared" ca="1" si="689"/>
        <v>0</v>
      </c>
      <c r="Y431" s="845">
        <f t="shared" ca="1" si="689"/>
        <v>0</v>
      </c>
      <c r="Z431" s="845">
        <f t="shared" ca="1" si="689"/>
        <v>0</v>
      </c>
      <c r="AA431" s="845">
        <f t="shared" ca="1" si="689"/>
        <v>0</v>
      </c>
      <c r="AB431" s="845">
        <f t="shared" ca="1" si="689"/>
        <v>0</v>
      </c>
      <c r="AC431" s="845">
        <f t="shared" ca="1" si="689"/>
        <v>0</v>
      </c>
      <c r="AD431" s="845">
        <f t="shared" ca="1" si="689"/>
        <v>0</v>
      </c>
      <c r="AE431" s="845">
        <f t="shared" ca="1" si="689"/>
        <v>0</v>
      </c>
      <c r="AF431" s="845">
        <f t="shared" ca="1" si="689"/>
        <v>0</v>
      </c>
      <c r="AG431" s="845">
        <f t="shared" ca="1" si="689"/>
        <v>0</v>
      </c>
      <c r="AH431" s="845">
        <f t="shared" ca="1" si="689"/>
        <v>0</v>
      </c>
      <c r="AI431" s="845">
        <f t="shared" ca="1" si="689"/>
        <v>0</v>
      </c>
      <c r="AJ431" s="845">
        <f t="shared" ca="1" si="689"/>
        <v>0</v>
      </c>
      <c r="AK431" s="845">
        <f t="shared" ca="1" si="689"/>
        <v>0</v>
      </c>
      <c r="AL431" s="845">
        <f t="shared" ca="1" si="689"/>
        <v>0</v>
      </c>
      <c r="AM431" s="845">
        <f t="shared" ca="1" si="689"/>
        <v>0</v>
      </c>
      <c r="AN431" s="845">
        <f t="shared" ca="1" si="689"/>
        <v>0</v>
      </c>
      <c r="AO431" s="845">
        <f t="shared" ca="1" si="689"/>
        <v>0</v>
      </c>
      <c r="AP431" s="845">
        <f t="shared" ca="1" si="689"/>
        <v>0</v>
      </c>
      <c r="AQ431" s="845">
        <f t="shared" ca="1" si="689"/>
        <v>0</v>
      </c>
      <c r="AR431" s="845">
        <f t="shared" ca="1" si="689"/>
        <v>0</v>
      </c>
      <c r="AS431" s="845">
        <f t="shared" ca="1" si="689"/>
        <v>0</v>
      </c>
      <c r="AT431" s="845">
        <f t="shared" ca="1" si="689"/>
        <v>0</v>
      </c>
      <c r="AU431" s="845">
        <f t="shared" ca="1" si="689"/>
        <v>0</v>
      </c>
      <c r="AV431" s="845">
        <f t="shared" ca="1" si="689"/>
        <v>0</v>
      </c>
      <c r="AW431" s="845">
        <f t="shared" ca="1" si="689"/>
        <v>0</v>
      </c>
      <c r="AX431" s="845">
        <f t="shared" ca="1" si="689"/>
        <v>0</v>
      </c>
      <c r="AY431" s="845">
        <f t="shared" ca="1" si="689"/>
        <v>0</v>
      </c>
      <c r="AZ431" s="845">
        <f t="shared" ca="1" si="689"/>
        <v>0</v>
      </c>
      <c r="BA431" s="845">
        <f t="shared" ca="1" si="689"/>
        <v>0</v>
      </c>
      <c r="BB431" s="845">
        <f t="shared" ca="1" si="689"/>
        <v>0</v>
      </c>
      <c r="BC431" s="845">
        <f t="shared" ca="1" si="689"/>
        <v>0</v>
      </c>
      <c r="BD431" s="845">
        <f t="shared" ca="1" si="689"/>
        <v>0</v>
      </c>
      <c r="BE431" s="845">
        <f t="shared" ca="1" si="689"/>
        <v>0</v>
      </c>
      <c r="BF431" s="845">
        <f t="shared" ca="1" si="689"/>
        <v>0</v>
      </c>
      <c r="BG431" s="845">
        <f t="shared" ca="1" si="689"/>
        <v>0</v>
      </c>
      <c r="BH431" s="845">
        <f t="shared" ca="1" si="689"/>
        <v>0</v>
      </c>
      <c r="BI431" s="845">
        <f t="shared" ca="1" si="689"/>
        <v>0</v>
      </c>
      <c r="BJ431" s="845">
        <f t="shared" ca="1" si="689"/>
        <v>0</v>
      </c>
      <c r="BK431" s="845">
        <f t="shared" ca="1" si="689"/>
        <v>0</v>
      </c>
      <c r="BL431" s="845">
        <f t="shared" ca="1" si="689"/>
        <v>0</v>
      </c>
      <c r="BM431" s="845">
        <f t="shared" ca="1" si="689"/>
        <v>0</v>
      </c>
      <c r="BN431" s="845">
        <f t="shared" ca="1" si="689"/>
        <v>0</v>
      </c>
      <c r="BO431" s="845">
        <f t="shared" ca="1" si="689"/>
        <v>0</v>
      </c>
      <c r="BP431" s="802"/>
    </row>
  </sheetData>
  <sheetProtection algorithmName="SHA-512" hashValue="DyJ9qBdHVp/sjWKz4EL1q1rzZJ9pj7nl3LeNmz0ac7+x2jrz3Zh+0lNR39KYBVdQ1EecUN7Y3+3znAKDeXYHmw==" saltValue="zikpg2kh4+VJk3Azui9j8Q==" spinCount="100000" sheet="1" formatCells="0" autoFilter="0"/>
  <mergeCells count="94">
    <mergeCell ref="D419:D420"/>
    <mergeCell ref="D421:D422"/>
    <mergeCell ref="B427:C430"/>
    <mergeCell ref="B347:B394"/>
    <mergeCell ref="C347:C375"/>
    <mergeCell ref="C376:C394"/>
    <mergeCell ref="B395:B405"/>
    <mergeCell ref="C395:C399"/>
    <mergeCell ref="C400:C405"/>
    <mergeCell ref="B406:B426"/>
    <mergeCell ref="C407:C410"/>
    <mergeCell ref="C411:C426"/>
    <mergeCell ref="D243:D244"/>
    <mergeCell ref="D245:D246"/>
    <mergeCell ref="B340:C343"/>
    <mergeCell ref="B258:B305"/>
    <mergeCell ref="C258:C286"/>
    <mergeCell ref="C287:C305"/>
    <mergeCell ref="B306:B316"/>
    <mergeCell ref="C306:C310"/>
    <mergeCell ref="C311:C316"/>
    <mergeCell ref="B317:B337"/>
    <mergeCell ref="C318:C321"/>
    <mergeCell ref="C322:C337"/>
    <mergeCell ref="D330:D331"/>
    <mergeCell ref="D332:D333"/>
    <mergeCell ref="B251:C254"/>
    <mergeCell ref="B230:B250"/>
    <mergeCell ref="B162:C168"/>
    <mergeCell ref="B171:B218"/>
    <mergeCell ref="C171:C199"/>
    <mergeCell ref="C200:C218"/>
    <mergeCell ref="B219:B229"/>
    <mergeCell ref="C219:C223"/>
    <mergeCell ref="C224:C229"/>
    <mergeCell ref="C231:C234"/>
    <mergeCell ref="C235:C250"/>
    <mergeCell ref="B158:C160"/>
    <mergeCell ref="D83:D84"/>
    <mergeCell ref="D85:D86"/>
    <mergeCell ref="B91:C94"/>
    <mergeCell ref="B96:C109"/>
    <mergeCell ref="B110:C116"/>
    <mergeCell ref="B123:B136"/>
    <mergeCell ref="C123:C131"/>
    <mergeCell ref="C132:C136"/>
    <mergeCell ref="B137:B155"/>
    <mergeCell ref="C138:C141"/>
    <mergeCell ref="C142:C155"/>
    <mergeCell ref="D150:D151"/>
    <mergeCell ref="D152:D153"/>
    <mergeCell ref="B57:B67"/>
    <mergeCell ref="C57:C61"/>
    <mergeCell ref="C62:C67"/>
    <mergeCell ref="B68:B90"/>
    <mergeCell ref="C69:C73"/>
    <mergeCell ref="C75:C90"/>
    <mergeCell ref="BE4:BG4"/>
    <mergeCell ref="BI4:BK4"/>
    <mergeCell ref="BM4:BO4"/>
    <mergeCell ref="T5:W5"/>
    <mergeCell ref="X5:AA5"/>
    <mergeCell ref="AO4:AQ4"/>
    <mergeCell ref="AS4:AU4"/>
    <mergeCell ref="AW4:AY4"/>
    <mergeCell ref="BA4:BC4"/>
    <mergeCell ref="B9:B56"/>
    <mergeCell ref="C9:C37"/>
    <mergeCell ref="C38:C56"/>
    <mergeCell ref="AG4:AI4"/>
    <mergeCell ref="AK4:AM4"/>
    <mergeCell ref="D4:E4"/>
    <mergeCell ref="L4:O4"/>
    <mergeCell ref="T4:W4"/>
    <mergeCell ref="X4:AA4"/>
    <mergeCell ref="AC4:AE4"/>
    <mergeCell ref="AV3:AX3"/>
    <mergeCell ref="AZ3:BB3"/>
    <mergeCell ref="BD3:BF3"/>
    <mergeCell ref="BH3:BJ3"/>
    <mergeCell ref="BL3:BN3"/>
    <mergeCell ref="AR3:AT3"/>
    <mergeCell ref="D2:E2"/>
    <mergeCell ref="H2:K2"/>
    <mergeCell ref="L2:O2"/>
    <mergeCell ref="P2:S2"/>
    <mergeCell ref="T2:W2"/>
    <mergeCell ref="D3:E3"/>
    <mergeCell ref="T3:W3"/>
    <mergeCell ref="X3:AA3"/>
    <mergeCell ref="AB3:AD3"/>
    <mergeCell ref="AF3:AH3"/>
    <mergeCell ref="AJ3:AL3"/>
    <mergeCell ref="AN3:AP3"/>
  </mergeCells>
  <phoneticPr fontId="4"/>
  <hyperlinks>
    <hyperlink ref="J1" location="エネ_12" display="原油換算エネ(1,2号)" xr:uid="{00000000-0004-0000-0900-000000000000}"/>
    <hyperlink ref="M1" location="エネ_3" display="原油換算エネ(3号)" xr:uid="{00000000-0004-0000-0900-000001000000}"/>
    <hyperlink ref="P1" location="外部供給エネ" display="外部供給量" xr:uid="{00000000-0004-0000-0900-000002000000}"/>
    <hyperlink ref="R1" location="販売エネ" display="販売副生エネルギー" xr:uid="{00000000-0004-0000-0900-000003000000}"/>
    <hyperlink ref="U1" location="未利用熱" display="未利用熱" xr:uid="{00000000-0004-0000-0900-000004000000}"/>
  </hyperlinks>
  <pageMargins left="0.7" right="0.7" top="0.75" bottom="0.75" header="0.3" footer="0.3"/>
  <pageSetup paperSize="9" scale="20" fitToHeight="0"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BP406"/>
  <sheetViews>
    <sheetView showGridLines="0" zoomScale="80" zoomScaleNormal="80" workbookViewId="0">
      <pane xSplit="7" ySplit="5" topLeftCell="H6" activePane="bottomRight" state="frozen"/>
      <selection activeCell="J149" sqref="J149"/>
      <selection pane="topRight" activeCell="J149" sqref="J149"/>
      <selection pane="bottomLeft" activeCell="J149" sqref="J149"/>
      <selection pane="bottomRight" activeCell="D2" sqref="D2:E2"/>
    </sheetView>
  </sheetViews>
  <sheetFormatPr defaultColWidth="10" defaultRowHeight="19.8" outlineLevelRow="1"/>
  <cols>
    <col min="1" max="1" width="5.6640625" style="747" customWidth="1"/>
    <col min="2" max="2" width="4.44140625" style="747" customWidth="1"/>
    <col min="3" max="3" width="12.88671875" style="747" customWidth="1"/>
    <col min="4" max="4" width="24" style="747" customWidth="1"/>
    <col min="5" max="5" width="31.109375" style="747" customWidth="1"/>
    <col min="6" max="6" width="4.109375" style="747" customWidth="1"/>
    <col min="7" max="7" width="8.77734375" style="747" customWidth="1"/>
    <col min="8" max="67" width="9.44140625" style="747" customWidth="1"/>
    <col min="68" max="68" width="3.33203125" style="747" customWidth="1"/>
    <col min="69" max="16384" width="10" style="747"/>
  </cols>
  <sheetData>
    <row r="1" spans="1:68" ht="39.9" customHeight="1">
      <c r="A1" s="746" t="s">
        <v>482</v>
      </c>
      <c r="C1" s="748"/>
      <c r="D1" s="748"/>
      <c r="E1" s="748"/>
      <c r="F1" s="748"/>
      <c r="G1" s="749"/>
      <c r="H1" s="750" t="s">
        <v>766</v>
      </c>
      <c r="J1" s="752" t="s">
        <v>897</v>
      </c>
      <c r="K1" s="911" t="s">
        <v>898</v>
      </c>
      <c r="L1" s="751"/>
      <c r="M1" s="911" t="s">
        <v>899</v>
      </c>
      <c r="N1" s="749"/>
      <c r="O1" s="911" t="s">
        <v>900</v>
      </c>
      <c r="P1" s="749"/>
      <c r="Q1" s="752" t="s">
        <v>901</v>
      </c>
      <c r="R1" s="911" t="s">
        <v>898</v>
      </c>
      <c r="S1" s="751"/>
      <c r="T1" s="911" t="s">
        <v>899</v>
      </c>
      <c r="U1" s="751"/>
      <c r="AB1" s="747" t="str">
        <f ca="1">参考2_エネ使用量経年!AB1</f>
        <v/>
      </c>
      <c r="AC1" s="747" t="str">
        <f ca="1">参考2_エネ使用量経年!AC1</f>
        <v/>
      </c>
      <c r="AD1" s="747" t="str">
        <f ca="1">参考2_エネ使用量経年!AD1</f>
        <v/>
      </c>
      <c r="AE1" s="747" t="str">
        <f ca="1">参考2_エネ使用量経年!AE1</f>
        <v/>
      </c>
      <c r="AF1" s="747" t="str">
        <f ca="1">参考2_エネ使用量経年!AF1</f>
        <v/>
      </c>
      <c r="AG1" s="747" t="str">
        <f ca="1">参考2_エネ使用量経年!AG1</f>
        <v/>
      </c>
      <c r="AH1" s="747" t="str">
        <f ca="1">参考2_エネ使用量経年!AH1</f>
        <v/>
      </c>
      <c r="AI1" s="747" t="str">
        <f ca="1">参考2_エネ使用量経年!AI1</f>
        <v/>
      </c>
      <c r="AJ1" s="747" t="str">
        <f ca="1">参考2_エネ使用量経年!AJ1</f>
        <v/>
      </c>
      <c r="AK1" s="747" t="str">
        <f ca="1">参考2_エネ使用量経年!AK1</f>
        <v/>
      </c>
      <c r="AL1" s="747" t="str">
        <f ca="1">参考2_エネ使用量経年!AL1</f>
        <v/>
      </c>
      <c r="AM1" s="747" t="str">
        <f ca="1">参考2_エネ使用量経年!AM1</f>
        <v/>
      </c>
      <c r="AN1" s="747" t="str">
        <f ca="1">参考2_エネ使用量経年!AN1</f>
        <v/>
      </c>
      <c r="AO1" s="747" t="str">
        <f ca="1">参考2_エネ使用量経年!AO1</f>
        <v/>
      </c>
      <c r="AP1" s="747" t="str">
        <f ca="1">参考2_エネ使用量経年!AP1</f>
        <v/>
      </c>
      <c r="AQ1" s="747" t="str">
        <f ca="1">参考2_エネ使用量経年!AQ1</f>
        <v/>
      </c>
      <c r="AR1" s="747" t="str">
        <f ca="1">参考2_エネ使用量経年!AR1</f>
        <v/>
      </c>
      <c r="AS1" s="747" t="str">
        <f ca="1">参考2_エネ使用量経年!AS1</f>
        <v/>
      </c>
      <c r="AT1" s="747" t="str">
        <f ca="1">参考2_エネ使用量経年!AT1</f>
        <v/>
      </c>
      <c r="AU1" s="747" t="str">
        <f ca="1">参考2_エネ使用量経年!AU1</f>
        <v/>
      </c>
      <c r="AV1" s="747" t="str">
        <f ca="1">参考2_エネ使用量経年!AV1</f>
        <v/>
      </c>
      <c r="AW1" s="747" t="str">
        <f ca="1">参考2_エネ使用量経年!AW1</f>
        <v/>
      </c>
      <c r="AX1" s="747" t="str">
        <f ca="1">参考2_エネ使用量経年!AX1</f>
        <v/>
      </c>
      <c r="AY1" s="747" t="str">
        <f ca="1">参考2_エネ使用量経年!AY1</f>
        <v/>
      </c>
      <c r="AZ1" s="747" t="str">
        <f ca="1">参考2_エネ使用量経年!AZ1</f>
        <v/>
      </c>
      <c r="BA1" s="747" t="str">
        <f ca="1">参考2_エネ使用量経年!BA1</f>
        <v/>
      </c>
      <c r="BB1" s="747" t="str">
        <f ca="1">参考2_エネ使用量経年!BB1</f>
        <v/>
      </c>
      <c r="BC1" s="747" t="str">
        <f ca="1">参考2_エネ使用量経年!BC1</f>
        <v/>
      </c>
      <c r="BD1" s="747" t="str">
        <f ca="1">参考2_エネ使用量経年!BD1</f>
        <v/>
      </c>
      <c r="BE1" s="747" t="str">
        <f ca="1">参考2_エネ使用量経年!BE1</f>
        <v/>
      </c>
      <c r="BF1" s="747" t="str">
        <f ca="1">参考2_エネ使用量経年!BF1</f>
        <v/>
      </c>
      <c r="BG1" s="747" t="str">
        <f ca="1">参考2_エネ使用量経年!BG1</f>
        <v/>
      </c>
      <c r="BH1" s="747" t="str">
        <f ca="1">参考2_エネ使用量経年!BH1</f>
        <v/>
      </c>
      <c r="BI1" s="747" t="str">
        <f ca="1">参考2_エネ使用量経年!BI1</f>
        <v/>
      </c>
      <c r="BJ1" s="747" t="str">
        <f ca="1">参考2_エネ使用量経年!BJ1</f>
        <v/>
      </c>
      <c r="BK1" s="747" t="str">
        <f ca="1">参考2_エネ使用量経年!BK1</f>
        <v/>
      </c>
      <c r="BL1" s="747" t="str">
        <f ca="1">参考2_エネ使用量経年!BL1</f>
        <v/>
      </c>
      <c r="BM1" s="747" t="str">
        <f ca="1">参考2_エネ使用量経年!BM1</f>
        <v/>
      </c>
      <c r="BN1" s="747" t="str">
        <f ca="1">参考2_エネ使用量経年!BN1</f>
        <v/>
      </c>
      <c r="BO1" s="747" t="str">
        <f ca="1">参考2_エネ使用量経年!BO1</f>
        <v/>
      </c>
    </row>
    <row r="2" spans="1:68" ht="20.100000000000001" customHeight="1">
      <c r="B2" s="753"/>
      <c r="C2" s="754" t="s">
        <v>772</v>
      </c>
      <c r="D2" s="1584" t="str">
        <f ca="1">参考2_エネ使用量経年!D2</f>
        <v/>
      </c>
      <c r="E2" s="1585"/>
      <c r="F2" s="750"/>
      <c r="H2" s="1586" t="s">
        <v>902</v>
      </c>
      <c r="I2" s="1587"/>
      <c r="J2" s="1587"/>
      <c r="K2" s="1588"/>
      <c r="L2" s="1589" t="s">
        <v>1274</v>
      </c>
      <c r="M2" s="1587"/>
      <c r="N2" s="1587"/>
      <c r="O2" s="1587"/>
      <c r="P2" s="1586" t="s">
        <v>773</v>
      </c>
      <c r="Q2" s="1587"/>
      <c r="R2" s="1587"/>
      <c r="S2" s="1588"/>
      <c r="T2" s="1586" t="s">
        <v>774</v>
      </c>
      <c r="U2" s="1587"/>
      <c r="V2" s="1587"/>
      <c r="W2" s="1587"/>
      <c r="X2" s="755"/>
      <c r="Y2" s="755"/>
      <c r="Z2" s="755"/>
      <c r="AA2" s="755"/>
      <c r="AB2" s="755"/>
      <c r="AC2" s="756"/>
      <c r="AD2" s="756"/>
      <c r="AE2" s="756"/>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757"/>
      <c r="BK2" s="757"/>
      <c r="BL2" s="757"/>
      <c r="BM2" s="757"/>
      <c r="BN2" s="757"/>
      <c r="BO2" s="758"/>
    </row>
    <row r="3" spans="1:68" ht="20.100000000000001" customHeight="1">
      <c r="C3" s="754" t="s">
        <v>775</v>
      </c>
      <c r="D3" s="1584" t="str">
        <f ca="1">参考2_エネ使用量経年!D3</f>
        <v/>
      </c>
      <c r="E3" s="1585"/>
      <c r="H3" s="759"/>
      <c r="I3" s="760"/>
      <c r="J3" s="761"/>
      <c r="K3" s="762"/>
      <c r="L3" s="763"/>
      <c r="M3" s="764"/>
      <c r="N3" s="764"/>
      <c r="O3" s="765"/>
      <c r="P3" s="759"/>
      <c r="Q3" s="760"/>
      <c r="R3" s="761"/>
      <c r="S3" s="762"/>
      <c r="T3" s="1590"/>
      <c r="U3" s="1591"/>
      <c r="V3" s="1591"/>
      <c r="W3" s="1592"/>
      <c r="X3" s="1590" t="s">
        <v>776</v>
      </c>
      <c r="Y3" s="1591"/>
      <c r="Z3" s="1591"/>
      <c r="AA3" s="1592"/>
      <c r="AB3" s="1630" t="s">
        <v>903</v>
      </c>
      <c r="AC3" s="1630"/>
      <c r="AD3" s="1630"/>
      <c r="AE3" s="1630"/>
      <c r="AF3" s="1630" t="s">
        <v>904</v>
      </c>
      <c r="AG3" s="1630"/>
      <c r="AH3" s="1630"/>
      <c r="AI3" s="1630"/>
      <c r="AJ3" s="1630" t="s">
        <v>905</v>
      </c>
      <c r="AK3" s="1630"/>
      <c r="AL3" s="1630"/>
      <c r="AM3" s="1630"/>
      <c r="AN3" s="1630" t="s">
        <v>906</v>
      </c>
      <c r="AO3" s="1630"/>
      <c r="AP3" s="1630"/>
      <c r="AQ3" s="1630"/>
      <c r="AR3" s="1630" t="s">
        <v>907</v>
      </c>
      <c r="AS3" s="1630"/>
      <c r="AT3" s="1630"/>
      <c r="AU3" s="1630"/>
      <c r="AV3" s="1630" t="s">
        <v>908</v>
      </c>
      <c r="AW3" s="1630"/>
      <c r="AX3" s="1630"/>
      <c r="AY3" s="1630"/>
      <c r="AZ3" s="1630" t="s">
        <v>909</v>
      </c>
      <c r="BA3" s="1630"/>
      <c r="BB3" s="1630"/>
      <c r="BC3" s="1630"/>
      <c r="BD3" s="1630" t="s">
        <v>910</v>
      </c>
      <c r="BE3" s="1630"/>
      <c r="BF3" s="1630"/>
      <c r="BG3" s="1630"/>
      <c r="BH3" s="1630" t="s">
        <v>911</v>
      </c>
      <c r="BI3" s="1630"/>
      <c r="BJ3" s="1630"/>
      <c r="BK3" s="1630"/>
      <c r="BL3" s="1630" t="s">
        <v>912</v>
      </c>
      <c r="BM3" s="1630"/>
      <c r="BN3" s="1630"/>
      <c r="BO3" s="1630"/>
    </row>
    <row r="4" spans="1:68" ht="20.100000000000001" customHeight="1">
      <c r="C4" s="754" t="s">
        <v>778</v>
      </c>
      <c r="D4" s="1601" t="str">
        <f ca="1">参考2_エネ使用量経年!D4</f>
        <v/>
      </c>
      <c r="E4" s="1602"/>
      <c r="F4" s="754"/>
      <c r="H4" s="759"/>
      <c r="I4" s="760"/>
      <c r="J4" s="761"/>
      <c r="K4" s="762"/>
      <c r="L4" s="1606"/>
      <c r="M4" s="1607"/>
      <c r="N4" s="1607"/>
      <c r="O4" s="1608"/>
      <c r="P4" s="759"/>
      <c r="Q4" s="760"/>
      <c r="R4" s="761"/>
      <c r="S4" s="762"/>
      <c r="T4" s="1606"/>
      <c r="U4" s="1607"/>
      <c r="V4" s="1607"/>
      <c r="W4" s="1608"/>
      <c r="X4" s="1609"/>
      <c r="Y4" s="1610"/>
      <c r="Z4" s="1610"/>
      <c r="AA4" s="1611"/>
      <c r="AB4" s="767" t="s">
        <v>779</v>
      </c>
      <c r="AC4" s="1598" t="str">
        <f ca="1">参考2_エネ使用量経年!AC4</f>
        <v/>
      </c>
      <c r="AD4" s="1599"/>
      <c r="AE4" s="1600"/>
      <c r="AF4" s="767" t="s">
        <v>779</v>
      </c>
      <c r="AG4" s="1598" t="str">
        <f ca="1">参考2_エネ使用量経年!AG4</f>
        <v/>
      </c>
      <c r="AH4" s="1599"/>
      <c r="AI4" s="1600"/>
      <c r="AJ4" s="767" t="s">
        <v>779</v>
      </c>
      <c r="AK4" s="1598" t="str">
        <f ca="1">参考2_エネ使用量経年!AK4</f>
        <v/>
      </c>
      <c r="AL4" s="1599"/>
      <c r="AM4" s="1600"/>
      <c r="AN4" s="767" t="s">
        <v>779</v>
      </c>
      <c r="AO4" s="1598" t="str">
        <f ca="1">参考2_エネ使用量経年!AO4</f>
        <v/>
      </c>
      <c r="AP4" s="1599"/>
      <c r="AQ4" s="1600"/>
      <c r="AR4" s="767" t="s">
        <v>779</v>
      </c>
      <c r="AS4" s="1598" t="str">
        <f ca="1">参考2_エネ使用量経年!AS4</f>
        <v/>
      </c>
      <c r="AT4" s="1599"/>
      <c r="AU4" s="1600"/>
      <c r="AV4" s="767" t="s">
        <v>779</v>
      </c>
      <c r="AW4" s="1598" t="str">
        <f ca="1">参考2_エネ使用量経年!AW4</f>
        <v/>
      </c>
      <c r="AX4" s="1599"/>
      <c r="AY4" s="1600"/>
      <c r="AZ4" s="767" t="s">
        <v>779</v>
      </c>
      <c r="BA4" s="1598" t="str">
        <f ca="1">参考2_エネ使用量経年!BA4</f>
        <v/>
      </c>
      <c r="BB4" s="1599"/>
      <c r="BC4" s="1600"/>
      <c r="BD4" s="767" t="s">
        <v>779</v>
      </c>
      <c r="BE4" s="1598" t="str">
        <f ca="1">参考2_エネ使用量経年!BE4</f>
        <v/>
      </c>
      <c r="BF4" s="1599"/>
      <c r="BG4" s="1600"/>
      <c r="BH4" s="767" t="s">
        <v>779</v>
      </c>
      <c r="BI4" s="1598" t="str">
        <f ca="1">参考2_エネ使用量経年!BI4</f>
        <v/>
      </c>
      <c r="BJ4" s="1599"/>
      <c r="BK4" s="1600"/>
      <c r="BL4" s="767" t="s">
        <v>779</v>
      </c>
      <c r="BM4" s="1598" t="str">
        <f ca="1">参考2_エネ使用量経年!BM4</f>
        <v/>
      </c>
      <c r="BN4" s="1599"/>
      <c r="BO4" s="1600"/>
    </row>
    <row r="5" spans="1:68" ht="20.100000000000001" customHeight="1">
      <c r="G5" s="777" t="s">
        <v>344</v>
      </c>
      <c r="H5" s="778">
        <v>2024</v>
      </c>
      <c r="I5" s="778">
        <v>2025</v>
      </c>
      <c r="J5" s="778">
        <v>2026</v>
      </c>
      <c r="K5" s="778">
        <v>2027</v>
      </c>
      <c r="L5" s="778">
        <v>2024</v>
      </c>
      <c r="M5" s="778">
        <v>2025</v>
      </c>
      <c r="N5" s="778">
        <v>2026</v>
      </c>
      <c r="O5" s="778">
        <v>2027</v>
      </c>
      <c r="P5" s="778">
        <v>2024</v>
      </c>
      <c r="Q5" s="778">
        <v>2025</v>
      </c>
      <c r="R5" s="778">
        <v>2026</v>
      </c>
      <c r="S5" s="778">
        <v>2027</v>
      </c>
      <c r="T5" s="778">
        <v>2024</v>
      </c>
      <c r="U5" s="778">
        <v>2025</v>
      </c>
      <c r="V5" s="778">
        <v>2026</v>
      </c>
      <c r="W5" s="778">
        <v>2027</v>
      </c>
      <c r="X5" s="778">
        <v>2024</v>
      </c>
      <c r="Y5" s="778">
        <v>2025</v>
      </c>
      <c r="Z5" s="778">
        <v>2026</v>
      </c>
      <c r="AA5" s="778">
        <v>2027</v>
      </c>
      <c r="AB5" s="778">
        <v>2024</v>
      </c>
      <c r="AC5" s="778">
        <v>2025</v>
      </c>
      <c r="AD5" s="778">
        <v>2026</v>
      </c>
      <c r="AE5" s="778">
        <v>2027</v>
      </c>
      <c r="AF5" s="778">
        <v>2024</v>
      </c>
      <c r="AG5" s="778">
        <v>2025</v>
      </c>
      <c r="AH5" s="778">
        <v>2026</v>
      </c>
      <c r="AI5" s="778">
        <v>2027</v>
      </c>
      <c r="AJ5" s="778">
        <v>2024</v>
      </c>
      <c r="AK5" s="778">
        <v>2025</v>
      </c>
      <c r="AL5" s="778">
        <v>2026</v>
      </c>
      <c r="AM5" s="778">
        <v>2027</v>
      </c>
      <c r="AN5" s="778">
        <v>2024</v>
      </c>
      <c r="AO5" s="778">
        <v>2025</v>
      </c>
      <c r="AP5" s="778">
        <v>2026</v>
      </c>
      <c r="AQ5" s="778">
        <v>2027</v>
      </c>
      <c r="AR5" s="778">
        <v>2024</v>
      </c>
      <c r="AS5" s="778">
        <v>2025</v>
      </c>
      <c r="AT5" s="778">
        <v>2026</v>
      </c>
      <c r="AU5" s="778">
        <v>2027</v>
      </c>
      <c r="AV5" s="778">
        <v>2024</v>
      </c>
      <c r="AW5" s="778">
        <v>2025</v>
      </c>
      <c r="AX5" s="778">
        <v>2026</v>
      </c>
      <c r="AY5" s="778">
        <v>2027</v>
      </c>
      <c r="AZ5" s="778">
        <v>2024</v>
      </c>
      <c r="BA5" s="778">
        <v>2025</v>
      </c>
      <c r="BB5" s="778">
        <v>2026</v>
      </c>
      <c r="BC5" s="778">
        <v>2027</v>
      </c>
      <c r="BD5" s="778">
        <v>2024</v>
      </c>
      <c r="BE5" s="778">
        <v>2025</v>
      </c>
      <c r="BF5" s="778">
        <v>2026</v>
      </c>
      <c r="BG5" s="778">
        <v>2027</v>
      </c>
      <c r="BH5" s="778">
        <v>2024</v>
      </c>
      <c r="BI5" s="778">
        <v>2025</v>
      </c>
      <c r="BJ5" s="778">
        <v>2026</v>
      </c>
      <c r="BK5" s="778">
        <v>2027</v>
      </c>
      <c r="BL5" s="778">
        <v>2024</v>
      </c>
      <c r="BM5" s="778">
        <v>2025</v>
      </c>
      <c r="BN5" s="778">
        <v>2026</v>
      </c>
      <c r="BO5" s="778">
        <v>2027</v>
      </c>
      <c r="BP5" s="779"/>
    </row>
    <row r="6" spans="1:68" ht="20.100000000000001" customHeight="1">
      <c r="A6" s="780">
        <v>1</v>
      </c>
      <c r="B6" s="780" t="s">
        <v>781</v>
      </c>
      <c r="C6" s="781"/>
      <c r="D6" s="781"/>
      <c r="E6" s="781"/>
      <c r="F6" s="781"/>
      <c r="G6" s="782"/>
      <c r="H6" s="782"/>
      <c r="I6" s="782"/>
      <c r="J6" s="782"/>
      <c r="K6" s="782"/>
      <c r="L6" s="782"/>
      <c r="M6" s="782"/>
      <c r="N6" s="782"/>
      <c r="O6" s="782"/>
      <c r="P6" s="782"/>
      <c r="Q6" s="782"/>
      <c r="R6" s="782"/>
      <c r="S6" s="782"/>
      <c r="T6" s="782"/>
      <c r="U6" s="782"/>
      <c r="V6" s="782"/>
      <c r="W6" s="782"/>
      <c r="X6" s="782"/>
      <c r="Y6" s="782"/>
      <c r="Z6" s="782"/>
      <c r="AA6" s="782"/>
      <c r="AB6" s="782"/>
      <c r="AC6" s="782"/>
      <c r="AD6" s="782"/>
      <c r="AE6" s="782"/>
      <c r="AF6" s="782"/>
      <c r="AG6" s="782"/>
      <c r="AH6" s="782"/>
      <c r="AI6" s="782"/>
      <c r="AJ6" s="782"/>
      <c r="AK6" s="782"/>
      <c r="AL6" s="782"/>
      <c r="AM6" s="782"/>
      <c r="AN6" s="782"/>
      <c r="AO6" s="782"/>
      <c r="AP6" s="782"/>
      <c r="AQ6" s="782"/>
      <c r="AR6" s="782"/>
      <c r="AS6" s="782"/>
      <c r="AT6" s="782"/>
      <c r="AU6" s="782"/>
      <c r="AV6" s="782"/>
      <c r="AW6" s="782"/>
      <c r="AX6" s="782"/>
      <c r="AY6" s="782"/>
      <c r="AZ6" s="782"/>
      <c r="BA6" s="782"/>
      <c r="BB6" s="782"/>
      <c r="BC6" s="782"/>
      <c r="BD6" s="782"/>
      <c r="BE6" s="782"/>
      <c r="BF6" s="782"/>
      <c r="BG6" s="782"/>
      <c r="BH6" s="782"/>
      <c r="BI6" s="782"/>
      <c r="BJ6" s="782"/>
      <c r="BK6" s="782"/>
      <c r="BL6" s="782"/>
      <c r="BM6" s="782"/>
      <c r="BN6" s="782"/>
      <c r="BO6" s="782"/>
    </row>
    <row r="7" spans="1:68" ht="20.100000000000001" customHeight="1">
      <c r="B7" s="912">
        <v>1</v>
      </c>
      <c r="C7" s="913" t="s">
        <v>898</v>
      </c>
      <c r="D7" s="781"/>
      <c r="E7" s="781"/>
      <c r="F7" s="781"/>
      <c r="G7" s="782"/>
      <c r="H7" s="782"/>
      <c r="I7" s="782"/>
      <c r="J7" s="782"/>
      <c r="K7" s="782"/>
      <c r="L7" s="782"/>
      <c r="M7" s="782"/>
      <c r="N7" s="782"/>
      <c r="O7" s="782"/>
      <c r="P7" s="782"/>
      <c r="Q7" s="782"/>
      <c r="R7" s="782"/>
      <c r="S7" s="782"/>
      <c r="T7" s="782"/>
      <c r="U7" s="782"/>
      <c r="V7" s="782"/>
      <c r="W7" s="782"/>
      <c r="X7" s="782"/>
      <c r="Y7" s="782"/>
      <c r="Z7" s="782"/>
      <c r="AA7" s="782"/>
      <c r="AB7" s="782"/>
      <c r="AC7" s="782"/>
      <c r="AD7" s="782"/>
      <c r="AE7" s="782"/>
      <c r="AF7" s="782"/>
      <c r="AG7" s="782"/>
      <c r="AH7" s="782"/>
      <c r="AI7" s="782"/>
      <c r="AJ7" s="782"/>
      <c r="AK7" s="782"/>
      <c r="AL7" s="782"/>
      <c r="AM7" s="782"/>
      <c r="AN7" s="782"/>
      <c r="AO7" s="782"/>
      <c r="AP7" s="782"/>
      <c r="AQ7" s="782"/>
      <c r="AR7" s="782"/>
      <c r="AS7" s="782"/>
      <c r="AT7" s="782"/>
      <c r="AU7" s="782"/>
      <c r="AV7" s="782"/>
      <c r="AW7" s="782"/>
      <c r="AX7" s="782"/>
      <c r="AY7" s="782"/>
      <c r="AZ7" s="782"/>
      <c r="BA7" s="782"/>
      <c r="BB7" s="782"/>
      <c r="BC7" s="782"/>
      <c r="BD7" s="782"/>
      <c r="BE7" s="782"/>
      <c r="BF7" s="782"/>
      <c r="BG7" s="782"/>
      <c r="BH7" s="782"/>
      <c r="BI7" s="782"/>
      <c r="BJ7" s="782"/>
      <c r="BK7" s="782"/>
      <c r="BL7" s="782"/>
      <c r="BM7" s="782"/>
      <c r="BN7" s="782"/>
      <c r="BO7" s="782"/>
    </row>
    <row r="8" spans="1:68" ht="20.100000000000001" hidden="1" customHeight="1" outlineLevel="1">
      <c r="A8" s="914">
        <v>8</v>
      </c>
      <c r="B8" s="1593" t="s">
        <v>420</v>
      </c>
      <c r="C8" s="1596" t="s">
        <v>345</v>
      </c>
      <c r="D8" s="785" t="s">
        <v>346</v>
      </c>
      <c r="E8" s="785"/>
      <c r="F8" s="786"/>
      <c r="G8" s="852" t="s">
        <v>1281</v>
      </c>
      <c r="H8" s="915">
        <f t="shared" ref="H8:H34" ca="1" si="0">IFERROR(OFFSET(貼付け_2024実績,$A8,6),"")</f>
        <v>1.9E-2</v>
      </c>
      <c r="I8" s="915">
        <f t="shared" ref="I8:I34" ca="1" si="1">IFERROR(OFFSET(貼付け_2025実績,$A8,6),"")</f>
        <v>1.9E-2</v>
      </c>
      <c r="J8" s="915">
        <f t="shared" ref="J8:J34" ca="1" si="2">IFERROR(OFFSET(貼付け_2026実績,$A8,6),"")</f>
        <v>1.9E-2</v>
      </c>
      <c r="K8" s="915">
        <f t="shared" ref="K8:K34" ca="1" si="3">IFERROR(OFFSET(貼付け_2027実績,$A8,6),"")</f>
        <v>1.9E-2</v>
      </c>
      <c r="L8" s="916">
        <f ca="1">IFERROR($H8*44/12*参考2_エネ使用量経年!L9*参考2_エネ使用量経年!$H9,"")</f>
        <v>0</v>
      </c>
      <c r="M8" s="916">
        <f ca="1">IFERROR($I8*44/12*参考2_エネ使用量経年!M9*参考2_エネ使用量経年!$I9,"")</f>
        <v>0</v>
      </c>
      <c r="N8" s="916">
        <f ca="1">IFERROR($J8*44/12*参考2_エネ使用量経年!N9*参考2_エネ使用量経年!$J9,"")</f>
        <v>0</v>
      </c>
      <c r="O8" s="916">
        <f ca="1">IFERROR($K8*44/12*参考2_エネ使用量経年!O9*参考2_エネ使用量経年!$K9,"")</f>
        <v>0</v>
      </c>
      <c r="P8" s="916">
        <f ca="1">IFERROR($H8*44/12*参考2_エネ使用量経年!P9*参考2_エネ使用量経年!$H9,"")</f>
        <v>0</v>
      </c>
      <c r="Q8" s="916">
        <f ca="1">IFERROR($I8*44/12*参考2_エネ使用量経年!Q9*参考2_エネ使用量経年!$I9,"")</f>
        <v>0</v>
      </c>
      <c r="R8" s="916">
        <f ca="1">IFERROR($J8*44/12*参考2_エネ使用量経年!R9*参考2_エネ使用量経年!$J9,"")</f>
        <v>0</v>
      </c>
      <c r="S8" s="916">
        <f ca="1">IFERROR($K8*44/12*参考2_エネ使用量経年!S9*参考2_エネ使用量経年!$K9,"")</f>
        <v>0</v>
      </c>
      <c r="T8" s="916">
        <f ca="1">IFERROR($H8*44/12*参考2_エネ使用量経年!T9*参考2_エネ使用量経年!$H9,"")</f>
        <v>0</v>
      </c>
      <c r="U8" s="916">
        <f ca="1">IFERROR($I8*44/12*参考2_エネ使用量経年!U9*参考2_エネ使用量経年!$I9,"")</f>
        <v>0</v>
      </c>
      <c r="V8" s="916">
        <f ca="1">IFERROR($J8*44/12*参考2_エネ使用量経年!V9*参考2_エネ使用量経年!$J9,"")</f>
        <v>0</v>
      </c>
      <c r="W8" s="916">
        <f ca="1">IFERROR($K8*44/12*参考2_エネ使用量経年!W9*参考2_エネ使用量経年!$K9,"")</f>
        <v>0</v>
      </c>
      <c r="X8" s="916">
        <f ca="1">IFERROR($H8*44/12*参考2_エネ使用量経年!X9*参考2_エネ使用量経年!$H9,"")</f>
        <v>0</v>
      </c>
      <c r="Y8" s="916">
        <f ca="1">IFERROR($I8*44/12*参考2_エネ使用量経年!Y9*参考2_エネ使用量経年!$I9,"")</f>
        <v>0</v>
      </c>
      <c r="Z8" s="916">
        <f ca="1">IFERROR($J8*44/12*参考2_エネ使用量経年!Z9*参考2_エネ使用量経年!$J9,"")</f>
        <v>0</v>
      </c>
      <c r="AA8" s="916">
        <f ca="1">IFERROR($K8*44/12*参考2_エネ使用量経年!AA9*参考2_エネ使用量経年!$K9,"")</f>
        <v>0</v>
      </c>
      <c r="AB8" s="916" t="str">
        <f ca="1">IFERROR($H8*44/12*参考2_エネ使用量経年!AB9*参考2_エネ使用量経年!$H9,"")</f>
        <v/>
      </c>
      <c r="AC8" s="916" t="str">
        <f ca="1">IFERROR($I8*44/12*参考2_エネ使用量経年!AC9*参考2_エネ使用量経年!$I9,"")</f>
        <v/>
      </c>
      <c r="AD8" s="916" t="str">
        <f ca="1">IFERROR($J8*44/12*参考2_エネ使用量経年!AD9*参考2_エネ使用量経年!$J9,"")</f>
        <v/>
      </c>
      <c r="AE8" s="916" t="str">
        <f ca="1">IFERROR($K8*44/12*参考2_エネ使用量経年!AE9*参考2_エネ使用量経年!$K9,"")</f>
        <v/>
      </c>
      <c r="AF8" s="916" t="str">
        <f ca="1">IFERROR($H8*44/12*参考2_エネ使用量経年!AF9*参考2_エネ使用量経年!$H9,"")</f>
        <v/>
      </c>
      <c r="AG8" s="916" t="str">
        <f ca="1">IFERROR($I8*44/12*参考2_エネ使用量経年!AG9*参考2_エネ使用量経年!$I9,"")</f>
        <v/>
      </c>
      <c r="AH8" s="916" t="str">
        <f ca="1">IFERROR($J8*44/12*参考2_エネ使用量経年!AH9*参考2_エネ使用量経年!$J9,"")</f>
        <v/>
      </c>
      <c r="AI8" s="916" t="str">
        <f ca="1">IFERROR($K8*44/12*参考2_エネ使用量経年!AI9*参考2_エネ使用量経年!$K9,"")</f>
        <v/>
      </c>
      <c r="AJ8" s="916" t="str">
        <f ca="1">IFERROR($H8*44/12*参考2_エネ使用量経年!AJ9*参考2_エネ使用量経年!$H9,"")</f>
        <v/>
      </c>
      <c r="AK8" s="916" t="str">
        <f ca="1">IFERROR($I8*44/12*参考2_エネ使用量経年!AK9*参考2_エネ使用量経年!$I9,"")</f>
        <v/>
      </c>
      <c r="AL8" s="916" t="str">
        <f ca="1">IFERROR($J8*44/12*参考2_エネ使用量経年!AL9*参考2_エネ使用量経年!$J9,"")</f>
        <v/>
      </c>
      <c r="AM8" s="916" t="str">
        <f ca="1">IFERROR($K8*44/12*参考2_エネ使用量経年!AM9*参考2_エネ使用量経年!$K9,"")</f>
        <v/>
      </c>
      <c r="AN8" s="916" t="str">
        <f ca="1">IFERROR($H8*44/12*参考2_エネ使用量経年!AN9*参考2_エネ使用量経年!$H9,"")</f>
        <v/>
      </c>
      <c r="AO8" s="916" t="str">
        <f ca="1">IFERROR($I8*44/12*参考2_エネ使用量経年!AO9*参考2_エネ使用量経年!$I9,"")</f>
        <v/>
      </c>
      <c r="AP8" s="916" t="str">
        <f ca="1">IFERROR($J8*44/12*参考2_エネ使用量経年!AP9*参考2_エネ使用量経年!$J9,"")</f>
        <v/>
      </c>
      <c r="AQ8" s="916" t="str">
        <f ca="1">IFERROR($K8*44/12*参考2_エネ使用量経年!AQ9*参考2_エネ使用量経年!$K9,"")</f>
        <v/>
      </c>
      <c r="AR8" s="916" t="str">
        <f ca="1">IFERROR($H8*44/12*参考2_エネ使用量経年!AR9*参考2_エネ使用量経年!$H9,"")</f>
        <v/>
      </c>
      <c r="AS8" s="916" t="str">
        <f ca="1">IFERROR($I8*44/12*参考2_エネ使用量経年!AS9*参考2_エネ使用量経年!$I9,"")</f>
        <v/>
      </c>
      <c r="AT8" s="916" t="str">
        <f ca="1">IFERROR($J8*44/12*参考2_エネ使用量経年!AT9*参考2_エネ使用量経年!$J9,"")</f>
        <v/>
      </c>
      <c r="AU8" s="916" t="str">
        <f ca="1">IFERROR($K8*44/12*参考2_エネ使用量経年!AU9*参考2_エネ使用量経年!$K9,"")</f>
        <v/>
      </c>
      <c r="AV8" s="916" t="str">
        <f ca="1">IFERROR($H8*44/12*参考2_エネ使用量経年!AV9*参考2_エネ使用量経年!$H9,"")</f>
        <v/>
      </c>
      <c r="AW8" s="916" t="str">
        <f ca="1">IFERROR($I8*44/12*参考2_エネ使用量経年!AW9*参考2_エネ使用量経年!$I9,"")</f>
        <v/>
      </c>
      <c r="AX8" s="916" t="str">
        <f ca="1">IFERROR($J8*44/12*参考2_エネ使用量経年!AX9*参考2_エネ使用量経年!$J9,"")</f>
        <v/>
      </c>
      <c r="AY8" s="916" t="str">
        <f ca="1">IFERROR($K8*44/12*参考2_エネ使用量経年!AY9*参考2_エネ使用量経年!$K9,"")</f>
        <v/>
      </c>
      <c r="AZ8" s="916" t="str">
        <f ca="1">IFERROR($H8*44/12*参考2_エネ使用量経年!AZ9*参考2_エネ使用量経年!$H9,"")</f>
        <v/>
      </c>
      <c r="BA8" s="916" t="str">
        <f ca="1">IFERROR($I8*44/12*参考2_エネ使用量経年!BA9*参考2_エネ使用量経年!$I9,"")</f>
        <v/>
      </c>
      <c r="BB8" s="916" t="str">
        <f ca="1">IFERROR($J8*44/12*参考2_エネ使用量経年!BB9*参考2_エネ使用量経年!$J9,"")</f>
        <v/>
      </c>
      <c r="BC8" s="916" t="str">
        <f ca="1">IFERROR($K8*44/12*参考2_エネ使用量経年!BC9*参考2_エネ使用量経年!$K9,"")</f>
        <v/>
      </c>
      <c r="BD8" s="916" t="str">
        <f ca="1">IFERROR($H8*44/12*参考2_エネ使用量経年!BD9*参考2_エネ使用量経年!$H9,"")</f>
        <v/>
      </c>
      <c r="BE8" s="916" t="str">
        <f ca="1">IFERROR($I8*44/12*参考2_エネ使用量経年!BE9*参考2_エネ使用量経年!$I9,"")</f>
        <v/>
      </c>
      <c r="BF8" s="916" t="str">
        <f ca="1">IFERROR($J8*44/12*参考2_エネ使用量経年!BF9*参考2_エネ使用量経年!$J9,"")</f>
        <v/>
      </c>
      <c r="BG8" s="916" t="str">
        <f ca="1">IFERROR($K8*44/12*参考2_エネ使用量経年!BG9*参考2_エネ使用量経年!$K9,"")</f>
        <v/>
      </c>
      <c r="BH8" s="916" t="str">
        <f ca="1">IFERROR($H8*44/12*参考2_エネ使用量経年!BH9*参考2_エネ使用量経年!$H9,"")</f>
        <v/>
      </c>
      <c r="BI8" s="916" t="str">
        <f ca="1">IFERROR($I8*44/12*参考2_エネ使用量経年!BI9*参考2_エネ使用量経年!$I9,"")</f>
        <v/>
      </c>
      <c r="BJ8" s="916" t="str">
        <f ca="1">IFERROR($J8*44/12*参考2_エネ使用量経年!BJ9*参考2_エネ使用量経年!$J9,"")</f>
        <v/>
      </c>
      <c r="BK8" s="916" t="str">
        <f ca="1">IFERROR($K8*44/12*参考2_エネ使用量経年!BK9*参考2_エネ使用量経年!$K9,"")</f>
        <v/>
      </c>
      <c r="BL8" s="916" t="str">
        <f ca="1">IFERROR($H8*44/12*参考2_エネ使用量経年!BL9*参考2_エネ使用量経年!$H9,"")</f>
        <v/>
      </c>
      <c r="BM8" s="916" t="str">
        <f ca="1">IFERROR($I8*44/12*参考2_エネ使用量経年!BM9*参考2_エネ使用量経年!$I9,"")</f>
        <v/>
      </c>
      <c r="BN8" s="916" t="str">
        <f ca="1">IFERROR($J8*44/12*参考2_エネ使用量経年!BN9*参考2_エネ使用量経年!$J9,"")</f>
        <v/>
      </c>
      <c r="BO8" s="916" t="str">
        <f ca="1">IFERROR($K8*44/12*参考2_エネ使用量経年!BO9*参考2_エネ使用量経年!$K9,"")</f>
        <v/>
      </c>
    </row>
    <row r="9" spans="1:68" ht="20.100000000000001" hidden="1" customHeight="1" outlineLevel="1">
      <c r="A9" s="914">
        <v>9</v>
      </c>
      <c r="B9" s="1594"/>
      <c r="C9" s="1596"/>
      <c r="D9" s="785" t="s">
        <v>349</v>
      </c>
      <c r="E9" s="785"/>
      <c r="F9" s="786"/>
      <c r="G9" s="852" t="s">
        <v>1281</v>
      </c>
      <c r="H9" s="915">
        <f t="shared" ca="1" si="0"/>
        <v>1.83E-2</v>
      </c>
      <c r="I9" s="915">
        <f t="shared" ca="1" si="1"/>
        <v>1.83E-2</v>
      </c>
      <c r="J9" s="915">
        <f t="shared" ca="1" si="2"/>
        <v>1.83E-2</v>
      </c>
      <c r="K9" s="915">
        <f t="shared" ca="1" si="3"/>
        <v>1.83E-2</v>
      </c>
      <c r="L9" s="916">
        <f ca="1">IFERROR($H9*44/12*参考2_エネ使用量経年!L10*参考2_エネ使用量経年!$H10,"")</f>
        <v>0</v>
      </c>
      <c r="M9" s="916">
        <f ca="1">IFERROR($I9*44/12*参考2_エネ使用量経年!M10*参考2_エネ使用量経年!$I10,"")</f>
        <v>0</v>
      </c>
      <c r="N9" s="916">
        <f ca="1">IFERROR($J9*44/12*参考2_エネ使用量経年!N10*参考2_エネ使用量経年!$J10,"")</f>
        <v>0</v>
      </c>
      <c r="O9" s="916">
        <f ca="1">IFERROR($K9*44/12*参考2_エネ使用量経年!O10*参考2_エネ使用量経年!$K10,"")</f>
        <v>0</v>
      </c>
      <c r="P9" s="916">
        <f ca="1">IFERROR($H9*44/12*参考2_エネ使用量経年!P10*参考2_エネ使用量経年!$H10,"")</f>
        <v>0</v>
      </c>
      <c r="Q9" s="916">
        <f ca="1">IFERROR($I9*44/12*参考2_エネ使用量経年!Q10*参考2_エネ使用量経年!$I10,"")</f>
        <v>0</v>
      </c>
      <c r="R9" s="916">
        <f ca="1">IFERROR($J9*44/12*参考2_エネ使用量経年!R10*参考2_エネ使用量経年!$J10,"")</f>
        <v>0</v>
      </c>
      <c r="S9" s="916">
        <f ca="1">IFERROR($K9*44/12*参考2_エネ使用量経年!S10*参考2_エネ使用量経年!$K10,"")</f>
        <v>0</v>
      </c>
      <c r="T9" s="916">
        <f ca="1">IFERROR($H9*44/12*参考2_エネ使用量経年!T10*参考2_エネ使用量経年!$H10,"")</f>
        <v>0</v>
      </c>
      <c r="U9" s="916">
        <f ca="1">IFERROR($I9*44/12*参考2_エネ使用量経年!U10*参考2_エネ使用量経年!$I10,"")</f>
        <v>0</v>
      </c>
      <c r="V9" s="916">
        <f ca="1">IFERROR($J9*44/12*参考2_エネ使用量経年!V10*参考2_エネ使用量経年!$J10,"")</f>
        <v>0</v>
      </c>
      <c r="W9" s="916">
        <f ca="1">IFERROR($K9*44/12*参考2_エネ使用量経年!W10*参考2_エネ使用量経年!$K10,"")</f>
        <v>0</v>
      </c>
      <c r="X9" s="916">
        <f ca="1">IFERROR($H9*44/12*参考2_エネ使用量経年!X10*参考2_エネ使用量経年!$H10,"")</f>
        <v>0</v>
      </c>
      <c r="Y9" s="916">
        <f ca="1">IFERROR($I9*44/12*参考2_エネ使用量経年!Y10*参考2_エネ使用量経年!$I10,"")</f>
        <v>0</v>
      </c>
      <c r="Z9" s="916">
        <f ca="1">IFERROR($J9*44/12*参考2_エネ使用量経年!Z10*参考2_エネ使用量経年!$J10,"")</f>
        <v>0</v>
      </c>
      <c r="AA9" s="916">
        <f ca="1">IFERROR($K9*44/12*参考2_エネ使用量経年!AA10*参考2_エネ使用量経年!$K10,"")</f>
        <v>0</v>
      </c>
      <c r="AB9" s="916" t="str">
        <f ca="1">IFERROR($H9*44/12*参考2_エネ使用量経年!AB10*参考2_エネ使用量経年!$H10,"")</f>
        <v/>
      </c>
      <c r="AC9" s="916" t="str">
        <f ca="1">IFERROR($I9*44/12*参考2_エネ使用量経年!AC10*参考2_エネ使用量経年!$I10,"")</f>
        <v/>
      </c>
      <c r="AD9" s="916" t="str">
        <f ca="1">IFERROR($J9*44/12*参考2_エネ使用量経年!AD10*参考2_エネ使用量経年!$J10,"")</f>
        <v/>
      </c>
      <c r="AE9" s="916" t="str">
        <f ca="1">IFERROR($K9*44/12*参考2_エネ使用量経年!AE10*参考2_エネ使用量経年!$K10,"")</f>
        <v/>
      </c>
      <c r="AF9" s="916" t="str">
        <f ca="1">IFERROR($H9*44/12*参考2_エネ使用量経年!AF10*参考2_エネ使用量経年!$H10,"")</f>
        <v/>
      </c>
      <c r="AG9" s="916" t="str">
        <f ca="1">IFERROR($I9*44/12*参考2_エネ使用量経年!AG10*参考2_エネ使用量経年!$I10,"")</f>
        <v/>
      </c>
      <c r="AH9" s="916" t="str">
        <f ca="1">IFERROR($J9*44/12*参考2_エネ使用量経年!AH10*参考2_エネ使用量経年!$J10,"")</f>
        <v/>
      </c>
      <c r="AI9" s="916" t="str">
        <f ca="1">IFERROR($K9*44/12*参考2_エネ使用量経年!AI10*参考2_エネ使用量経年!$K10,"")</f>
        <v/>
      </c>
      <c r="AJ9" s="916" t="str">
        <f ca="1">IFERROR($H9*44/12*参考2_エネ使用量経年!AJ10*参考2_エネ使用量経年!$H10,"")</f>
        <v/>
      </c>
      <c r="AK9" s="916" t="str">
        <f ca="1">IFERROR($I9*44/12*参考2_エネ使用量経年!AK10*参考2_エネ使用量経年!$I10,"")</f>
        <v/>
      </c>
      <c r="AL9" s="916" t="str">
        <f ca="1">IFERROR($J9*44/12*参考2_エネ使用量経年!AL10*参考2_エネ使用量経年!$J10,"")</f>
        <v/>
      </c>
      <c r="AM9" s="916" t="str">
        <f ca="1">IFERROR($K9*44/12*参考2_エネ使用量経年!AM10*参考2_エネ使用量経年!$K10,"")</f>
        <v/>
      </c>
      <c r="AN9" s="916" t="str">
        <f ca="1">IFERROR($H9*44/12*参考2_エネ使用量経年!AN10*参考2_エネ使用量経年!$H10,"")</f>
        <v/>
      </c>
      <c r="AO9" s="916" t="str">
        <f ca="1">IFERROR($I9*44/12*参考2_エネ使用量経年!AO10*参考2_エネ使用量経年!$I10,"")</f>
        <v/>
      </c>
      <c r="AP9" s="916" t="str">
        <f ca="1">IFERROR($J9*44/12*参考2_エネ使用量経年!AP10*参考2_エネ使用量経年!$J10,"")</f>
        <v/>
      </c>
      <c r="AQ9" s="916" t="str">
        <f ca="1">IFERROR($K9*44/12*参考2_エネ使用量経年!AQ10*参考2_エネ使用量経年!$K10,"")</f>
        <v/>
      </c>
      <c r="AR9" s="916" t="str">
        <f ca="1">IFERROR($H9*44/12*参考2_エネ使用量経年!AR10*参考2_エネ使用量経年!$H10,"")</f>
        <v/>
      </c>
      <c r="AS9" s="916" t="str">
        <f ca="1">IFERROR($I9*44/12*参考2_エネ使用量経年!AS10*参考2_エネ使用量経年!$I10,"")</f>
        <v/>
      </c>
      <c r="AT9" s="916" t="str">
        <f ca="1">IFERROR($J9*44/12*参考2_エネ使用量経年!AT10*参考2_エネ使用量経年!$J10,"")</f>
        <v/>
      </c>
      <c r="AU9" s="916" t="str">
        <f ca="1">IFERROR($K9*44/12*参考2_エネ使用量経年!AU10*参考2_エネ使用量経年!$K10,"")</f>
        <v/>
      </c>
      <c r="AV9" s="916" t="str">
        <f ca="1">IFERROR($H9*44/12*参考2_エネ使用量経年!AV10*参考2_エネ使用量経年!$H10,"")</f>
        <v/>
      </c>
      <c r="AW9" s="916" t="str">
        <f ca="1">IFERROR($I9*44/12*参考2_エネ使用量経年!AW10*参考2_エネ使用量経年!$I10,"")</f>
        <v/>
      </c>
      <c r="AX9" s="916" t="str">
        <f ca="1">IFERROR($J9*44/12*参考2_エネ使用量経年!AX10*参考2_エネ使用量経年!$J10,"")</f>
        <v/>
      </c>
      <c r="AY9" s="916" t="str">
        <f ca="1">IFERROR($K9*44/12*参考2_エネ使用量経年!AY10*参考2_エネ使用量経年!$K10,"")</f>
        <v/>
      </c>
      <c r="AZ9" s="916" t="str">
        <f ca="1">IFERROR($H9*44/12*参考2_エネ使用量経年!AZ10*参考2_エネ使用量経年!$H10,"")</f>
        <v/>
      </c>
      <c r="BA9" s="916" t="str">
        <f ca="1">IFERROR($I9*44/12*参考2_エネ使用量経年!BA10*参考2_エネ使用量経年!$I10,"")</f>
        <v/>
      </c>
      <c r="BB9" s="916" t="str">
        <f ca="1">IFERROR($J9*44/12*参考2_エネ使用量経年!BB10*参考2_エネ使用量経年!$J10,"")</f>
        <v/>
      </c>
      <c r="BC9" s="916" t="str">
        <f ca="1">IFERROR($K9*44/12*参考2_エネ使用量経年!BC10*参考2_エネ使用量経年!$K10,"")</f>
        <v/>
      </c>
      <c r="BD9" s="916" t="str">
        <f ca="1">IFERROR($H9*44/12*参考2_エネ使用量経年!BD10*参考2_エネ使用量経年!$H10,"")</f>
        <v/>
      </c>
      <c r="BE9" s="916" t="str">
        <f ca="1">IFERROR($I9*44/12*参考2_エネ使用量経年!BE10*参考2_エネ使用量経年!$I10,"")</f>
        <v/>
      </c>
      <c r="BF9" s="916" t="str">
        <f ca="1">IFERROR($J9*44/12*参考2_エネ使用量経年!BF10*参考2_エネ使用量経年!$J10,"")</f>
        <v/>
      </c>
      <c r="BG9" s="916" t="str">
        <f ca="1">IFERROR($K9*44/12*参考2_エネ使用量経年!BG10*参考2_エネ使用量経年!$K10,"")</f>
        <v/>
      </c>
      <c r="BH9" s="916" t="str">
        <f ca="1">IFERROR($H9*44/12*参考2_エネ使用量経年!BH10*参考2_エネ使用量経年!$H10,"")</f>
        <v/>
      </c>
      <c r="BI9" s="916" t="str">
        <f ca="1">IFERROR($I9*44/12*参考2_エネ使用量経年!BI10*参考2_エネ使用量経年!$I10,"")</f>
        <v/>
      </c>
      <c r="BJ9" s="916" t="str">
        <f ca="1">IFERROR($J9*44/12*参考2_エネ使用量経年!BJ10*参考2_エネ使用量経年!$J10,"")</f>
        <v/>
      </c>
      <c r="BK9" s="916" t="str">
        <f ca="1">IFERROR($K9*44/12*参考2_エネ使用量経年!BK10*参考2_エネ使用量経年!$K10,"")</f>
        <v/>
      </c>
      <c r="BL9" s="916" t="str">
        <f ca="1">IFERROR($H9*44/12*参考2_エネ使用量経年!BL10*参考2_エネ使用量経年!$H10,"")</f>
        <v/>
      </c>
      <c r="BM9" s="916" t="str">
        <f ca="1">IFERROR($I9*44/12*参考2_エネ使用量経年!BM10*参考2_エネ使用量経年!$I10,"")</f>
        <v/>
      </c>
      <c r="BN9" s="916" t="str">
        <f ca="1">IFERROR($J9*44/12*参考2_エネ使用量経年!BN10*参考2_エネ使用量経年!$J10,"")</f>
        <v/>
      </c>
      <c r="BO9" s="916" t="str">
        <f ca="1">IFERROR($K9*44/12*参考2_エネ使用量経年!BO10*参考2_エネ使用量経年!$K10,"")</f>
        <v/>
      </c>
    </row>
    <row r="10" spans="1:68" ht="20.100000000000001" hidden="1" customHeight="1" outlineLevel="1">
      <c r="A10" s="914">
        <v>10</v>
      </c>
      <c r="B10" s="1595"/>
      <c r="C10" s="1596"/>
      <c r="D10" s="785" t="s">
        <v>350</v>
      </c>
      <c r="E10" s="785"/>
      <c r="F10" s="786"/>
      <c r="G10" s="852" t="s">
        <v>1281</v>
      </c>
      <c r="H10" s="915">
        <f t="shared" ca="1" si="0"/>
        <v>1.8700000000000001E-2</v>
      </c>
      <c r="I10" s="915">
        <f t="shared" ca="1" si="1"/>
        <v>1.8700000000000001E-2</v>
      </c>
      <c r="J10" s="915">
        <f t="shared" ca="1" si="2"/>
        <v>1.8700000000000001E-2</v>
      </c>
      <c r="K10" s="915">
        <f t="shared" ca="1" si="3"/>
        <v>1.8700000000000001E-2</v>
      </c>
      <c r="L10" s="916">
        <f ca="1">IFERROR($H10*44/12*参考2_エネ使用量経年!L11*参考2_エネ使用量経年!$H11,"")</f>
        <v>0</v>
      </c>
      <c r="M10" s="916">
        <f ca="1">IFERROR($I10*44/12*参考2_エネ使用量経年!M11*参考2_エネ使用量経年!$I11,"")</f>
        <v>0</v>
      </c>
      <c r="N10" s="916">
        <f ca="1">IFERROR($J10*44/12*参考2_エネ使用量経年!N11*参考2_エネ使用量経年!$J11,"")</f>
        <v>0</v>
      </c>
      <c r="O10" s="916">
        <f ca="1">IFERROR($K10*44/12*参考2_エネ使用量経年!O11*参考2_エネ使用量経年!$K11,"")</f>
        <v>0</v>
      </c>
      <c r="P10" s="916">
        <f ca="1">IFERROR($H10*44/12*参考2_エネ使用量経年!P11*参考2_エネ使用量経年!$H11,"")</f>
        <v>0</v>
      </c>
      <c r="Q10" s="916">
        <f ca="1">IFERROR($I10*44/12*参考2_エネ使用量経年!Q11*参考2_エネ使用量経年!$I11,"")</f>
        <v>0</v>
      </c>
      <c r="R10" s="916">
        <f ca="1">IFERROR($J10*44/12*参考2_エネ使用量経年!R11*参考2_エネ使用量経年!$J11,"")</f>
        <v>0</v>
      </c>
      <c r="S10" s="916">
        <f ca="1">IFERROR($K10*44/12*参考2_エネ使用量経年!S11*参考2_エネ使用量経年!$K11,"")</f>
        <v>0</v>
      </c>
      <c r="T10" s="916">
        <f ca="1">IFERROR($H10*44/12*参考2_エネ使用量経年!T11*参考2_エネ使用量経年!$H11,"")</f>
        <v>0</v>
      </c>
      <c r="U10" s="916">
        <f ca="1">IFERROR($I10*44/12*参考2_エネ使用量経年!U11*参考2_エネ使用量経年!$I11,"")</f>
        <v>0</v>
      </c>
      <c r="V10" s="916">
        <f ca="1">IFERROR($J10*44/12*参考2_エネ使用量経年!V11*参考2_エネ使用量経年!$J11,"")</f>
        <v>0</v>
      </c>
      <c r="W10" s="916">
        <f ca="1">IFERROR($K10*44/12*参考2_エネ使用量経年!W11*参考2_エネ使用量経年!$K11,"")</f>
        <v>0</v>
      </c>
      <c r="X10" s="916">
        <f ca="1">IFERROR($H10*44/12*参考2_エネ使用量経年!X11*参考2_エネ使用量経年!$H11,"")</f>
        <v>0</v>
      </c>
      <c r="Y10" s="916">
        <f ca="1">IFERROR($I10*44/12*参考2_エネ使用量経年!Y11*参考2_エネ使用量経年!$I11,"")</f>
        <v>0</v>
      </c>
      <c r="Z10" s="916">
        <f ca="1">IFERROR($J10*44/12*参考2_エネ使用量経年!Z11*参考2_エネ使用量経年!$J11,"")</f>
        <v>0</v>
      </c>
      <c r="AA10" s="916">
        <f ca="1">IFERROR($K10*44/12*参考2_エネ使用量経年!AA11*参考2_エネ使用量経年!$K11,"")</f>
        <v>0</v>
      </c>
      <c r="AB10" s="916" t="str">
        <f ca="1">IFERROR($H10*44/12*参考2_エネ使用量経年!AB11*参考2_エネ使用量経年!$H11,"")</f>
        <v/>
      </c>
      <c r="AC10" s="916" t="str">
        <f ca="1">IFERROR($I10*44/12*参考2_エネ使用量経年!AC11*参考2_エネ使用量経年!$I11,"")</f>
        <v/>
      </c>
      <c r="AD10" s="916" t="str">
        <f ca="1">IFERROR($J10*44/12*参考2_エネ使用量経年!AD11*参考2_エネ使用量経年!$J11,"")</f>
        <v/>
      </c>
      <c r="AE10" s="916" t="str">
        <f ca="1">IFERROR($K10*44/12*参考2_エネ使用量経年!AE11*参考2_エネ使用量経年!$K11,"")</f>
        <v/>
      </c>
      <c r="AF10" s="916" t="str">
        <f ca="1">IFERROR($H10*44/12*参考2_エネ使用量経年!AF11*参考2_エネ使用量経年!$H11,"")</f>
        <v/>
      </c>
      <c r="AG10" s="916" t="str">
        <f ca="1">IFERROR($I10*44/12*参考2_エネ使用量経年!AG11*参考2_エネ使用量経年!$I11,"")</f>
        <v/>
      </c>
      <c r="AH10" s="916" t="str">
        <f ca="1">IFERROR($J10*44/12*参考2_エネ使用量経年!AH11*参考2_エネ使用量経年!$J11,"")</f>
        <v/>
      </c>
      <c r="AI10" s="916" t="str">
        <f ca="1">IFERROR($K10*44/12*参考2_エネ使用量経年!AI11*参考2_エネ使用量経年!$K11,"")</f>
        <v/>
      </c>
      <c r="AJ10" s="916" t="str">
        <f ca="1">IFERROR($H10*44/12*参考2_エネ使用量経年!AJ11*参考2_エネ使用量経年!$H11,"")</f>
        <v/>
      </c>
      <c r="AK10" s="916" t="str">
        <f ca="1">IFERROR($I10*44/12*参考2_エネ使用量経年!AK11*参考2_エネ使用量経年!$I11,"")</f>
        <v/>
      </c>
      <c r="AL10" s="916" t="str">
        <f ca="1">IFERROR($J10*44/12*参考2_エネ使用量経年!AL11*参考2_エネ使用量経年!$J11,"")</f>
        <v/>
      </c>
      <c r="AM10" s="916" t="str">
        <f ca="1">IFERROR($K10*44/12*参考2_エネ使用量経年!AM11*参考2_エネ使用量経年!$K11,"")</f>
        <v/>
      </c>
      <c r="AN10" s="916" t="str">
        <f ca="1">IFERROR($H10*44/12*参考2_エネ使用量経年!AN11*参考2_エネ使用量経年!$H11,"")</f>
        <v/>
      </c>
      <c r="AO10" s="916" t="str">
        <f ca="1">IFERROR($I10*44/12*参考2_エネ使用量経年!AO11*参考2_エネ使用量経年!$I11,"")</f>
        <v/>
      </c>
      <c r="AP10" s="916" t="str">
        <f ca="1">IFERROR($J10*44/12*参考2_エネ使用量経年!AP11*参考2_エネ使用量経年!$J11,"")</f>
        <v/>
      </c>
      <c r="AQ10" s="916" t="str">
        <f ca="1">IFERROR($K10*44/12*参考2_エネ使用量経年!AQ11*参考2_エネ使用量経年!$K11,"")</f>
        <v/>
      </c>
      <c r="AR10" s="916" t="str">
        <f ca="1">IFERROR($H10*44/12*参考2_エネ使用量経年!AR11*参考2_エネ使用量経年!$H11,"")</f>
        <v/>
      </c>
      <c r="AS10" s="916" t="str">
        <f ca="1">IFERROR($I10*44/12*参考2_エネ使用量経年!AS11*参考2_エネ使用量経年!$I11,"")</f>
        <v/>
      </c>
      <c r="AT10" s="916" t="str">
        <f ca="1">IFERROR($J10*44/12*参考2_エネ使用量経年!AT11*参考2_エネ使用量経年!$J11,"")</f>
        <v/>
      </c>
      <c r="AU10" s="916" t="str">
        <f ca="1">IFERROR($K10*44/12*参考2_エネ使用量経年!AU11*参考2_エネ使用量経年!$K11,"")</f>
        <v/>
      </c>
      <c r="AV10" s="916" t="str">
        <f ca="1">IFERROR($H10*44/12*参考2_エネ使用量経年!AV11*参考2_エネ使用量経年!$H11,"")</f>
        <v/>
      </c>
      <c r="AW10" s="916" t="str">
        <f ca="1">IFERROR($I10*44/12*参考2_エネ使用量経年!AW11*参考2_エネ使用量経年!$I11,"")</f>
        <v/>
      </c>
      <c r="AX10" s="916" t="str">
        <f ca="1">IFERROR($J10*44/12*参考2_エネ使用量経年!AX11*参考2_エネ使用量経年!$J11,"")</f>
        <v/>
      </c>
      <c r="AY10" s="916" t="str">
        <f ca="1">IFERROR($K10*44/12*参考2_エネ使用量経年!AY11*参考2_エネ使用量経年!$K11,"")</f>
        <v/>
      </c>
      <c r="AZ10" s="916" t="str">
        <f ca="1">IFERROR($H10*44/12*参考2_エネ使用量経年!AZ11*参考2_エネ使用量経年!$H11,"")</f>
        <v/>
      </c>
      <c r="BA10" s="916" t="str">
        <f ca="1">IFERROR($I10*44/12*参考2_エネ使用量経年!BA11*参考2_エネ使用量経年!$I11,"")</f>
        <v/>
      </c>
      <c r="BB10" s="916" t="str">
        <f ca="1">IFERROR($J10*44/12*参考2_エネ使用量経年!BB11*参考2_エネ使用量経年!$J11,"")</f>
        <v/>
      </c>
      <c r="BC10" s="916" t="str">
        <f ca="1">IFERROR($K10*44/12*参考2_エネ使用量経年!BC11*参考2_エネ使用量経年!$K11,"")</f>
        <v/>
      </c>
      <c r="BD10" s="916" t="str">
        <f ca="1">IFERROR($H10*44/12*参考2_エネ使用量経年!BD11*参考2_エネ使用量経年!$H11,"")</f>
        <v/>
      </c>
      <c r="BE10" s="916" t="str">
        <f ca="1">IFERROR($I10*44/12*参考2_エネ使用量経年!BE11*参考2_エネ使用量経年!$I11,"")</f>
        <v/>
      </c>
      <c r="BF10" s="916" t="str">
        <f ca="1">IFERROR($J10*44/12*参考2_エネ使用量経年!BF11*参考2_エネ使用量経年!$J11,"")</f>
        <v/>
      </c>
      <c r="BG10" s="916" t="str">
        <f ca="1">IFERROR($K10*44/12*参考2_エネ使用量経年!BG11*参考2_エネ使用量経年!$K11,"")</f>
        <v/>
      </c>
      <c r="BH10" s="916" t="str">
        <f ca="1">IFERROR($H10*44/12*参考2_エネ使用量経年!BH11*参考2_エネ使用量経年!$H11,"")</f>
        <v/>
      </c>
      <c r="BI10" s="916" t="str">
        <f ca="1">IFERROR($I10*44/12*参考2_エネ使用量経年!BI11*参考2_エネ使用量経年!$I11,"")</f>
        <v/>
      </c>
      <c r="BJ10" s="916" t="str">
        <f ca="1">IFERROR($J10*44/12*参考2_エネ使用量経年!BJ11*参考2_エネ使用量経年!$J11,"")</f>
        <v/>
      </c>
      <c r="BK10" s="916" t="str">
        <f ca="1">IFERROR($K10*44/12*参考2_エネ使用量経年!BK11*参考2_エネ使用量経年!$K11,"")</f>
        <v/>
      </c>
      <c r="BL10" s="916" t="str">
        <f ca="1">IFERROR($H10*44/12*参考2_エネ使用量経年!BL11*参考2_エネ使用量経年!$H11,"")</f>
        <v/>
      </c>
      <c r="BM10" s="916" t="str">
        <f ca="1">IFERROR($I10*44/12*参考2_エネ使用量経年!BM11*参考2_エネ使用量経年!$I11,"")</f>
        <v/>
      </c>
      <c r="BN10" s="916" t="str">
        <f ca="1">IFERROR($J10*44/12*参考2_エネ使用量経年!BN11*参考2_エネ使用量経年!$J11,"")</f>
        <v/>
      </c>
      <c r="BO10" s="916" t="str">
        <f ca="1">IFERROR($K10*44/12*参考2_エネ使用量経年!BO11*参考2_エネ使用量経年!$K11,"")</f>
        <v/>
      </c>
    </row>
    <row r="11" spans="1:68" ht="20.100000000000001" hidden="1" customHeight="1" outlineLevel="1">
      <c r="A11" s="914">
        <v>11</v>
      </c>
      <c r="B11" s="1594"/>
      <c r="C11" s="1596"/>
      <c r="D11" s="785" t="s">
        <v>351</v>
      </c>
      <c r="E11" s="785"/>
      <c r="F11" s="786"/>
      <c r="G11" s="852" t="s">
        <v>1281</v>
      </c>
      <c r="H11" s="915">
        <f t="shared" ca="1" si="0"/>
        <v>1.8599999999999998E-2</v>
      </c>
      <c r="I11" s="915">
        <f t="shared" ca="1" si="1"/>
        <v>1.8599999999999998E-2</v>
      </c>
      <c r="J11" s="915">
        <f t="shared" ca="1" si="2"/>
        <v>1.8599999999999998E-2</v>
      </c>
      <c r="K11" s="915">
        <f t="shared" ca="1" si="3"/>
        <v>1.8599999999999998E-2</v>
      </c>
      <c r="L11" s="916">
        <f ca="1">IFERROR($H11*44/12*参考2_エネ使用量経年!L12*参考2_エネ使用量経年!$H12,"")</f>
        <v>0</v>
      </c>
      <c r="M11" s="916">
        <f ca="1">IFERROR($I11*44/12*参考2_エネ使用量経年!M12*参考2_エネ使用量経年!$I12,"")</f>
        <v>0</v>
      </c>
      <c r="N11" s="916">
        <f ca="1">IFERROR($J11*44/12*参考2_エネ使用量経年!N12*参考2_エネ使用量経年!$J12,"")</f>
        <v>0</v>
      </c>
      <c r="O11" s="916">
        <f ca="1">IFERROR($K11*44/12*参考2_エネ使用量経年!O12*参考2_エネ使用量経年!$K12,"")</f>
        <v>0</v>
      </c>
      <c r="P11" s="916">
        <f ca="1">IFERROR($H11*44/12*参考2_エネ使用量経年!P12*参考2_エネ使用量経年!$H12,"")</f>
        <v>0</v>
      </c>
      <c r="Q11" s="916">
        <f ca="1">IFERROR($I11*44/12*参考2_エネ使用量経年!Q12*参考2_エネ使用量経年!$I12,"")</f>
        <v>0</v>
      </c>
      <c r="R11" s="916">
        <f ca="1">IFERROR($J11*44/12*参考2_エネ使用量経年!R12*参考2_エネ使用量経年!$J12,"")</f>
        <v>0</v>
      </c>
      <c r="S11" s="916">
        <f ca="1">IFERROR($K11*44/12*参考2_エネ使用量経年!S12*参考2_エネ使用量経年!$K12,"")</f>
        <v>0</v>
      </c>
      <c r="T11" s="916">
        <f ca="1">IFERROR($H11*44/12*参考2_エネ使用量経年!T12*参考2_エネ使用量経年!$H12,"")</f>
        <v>0</v>
      </c>
      <c r="U11" s="916">
        <f ca="1">IFERROR($I11*44/12*参考2_エネ使用量経年!U12*参考2_エネ使用量経年!$I12,"")</f>
        <v>0</v>
      </c>
      <c r="V11" s="916">
        <f ca="1">IFERROR($J11*44/12*参考2_エネ使用量経年!V12*参考2_エネ使用量経年!$J12,"")</f>
        <v>0</v>
      </c>
      <c r="W11" s="916">
        <f ca="1">IFERROR($K11*44/12*参考2_エネ使用量経年!W12*参考2_エネ使用量経年!$K12,"")</f>
        <v>0</v>
      </c>
      <c r="X11" s="916">
        <f ca="1">IFERROR($H11*44/12*参考2_エネ使用量経年!X12*参考2_エネ使用量経年!$H12,"")</f>
        <v>0</v>
      </c>
      <c r="Y11" s="916">
        <f ca="1">IFERROR($I11*44/12*参考2_エネ使用量経年!Y12*参考2_エネ使用量経年!$I12,"")</f>
        <v>0</v>
      </c>
      <c r="Z11" s="916">
        <f ca="1">IFERROR($J11*44/12*参考2_エネ使用量経年!Z12*参考2_エネ使用量経年!$J12,"")</f>
        <v>0</v>
      </c>
      <c r="AA11" s="916">
        <f ca="1">IFERROR($K11*44/12*参考2_エネ使用量経年!AA12*参考2_エネ使用量経年!$K12,"")</f>
        <v>0</v>
      </c>
      <c r="AB11" s="916" t="str">
        <f ca="1">IFERROR($H11*44/12*参考2_エネ使用量経年!AB12*参考2_エネ使用量経年!$H12,"")</f>
        <v/>
      </c>
      <c r="AC11" s="916" t="str">
        <f ca="1">IFERROR($I11*44/12*参考2_エネ使用量経年!AC12*参考2_エネ使用量経年!$I12,"")</f>
        <v/>
      </c>
      <c r="AD11" s="916" t="str">
        <f ca="1">IFERROR($J11*44/12*参考2_エネ使用量経年!AD12*参考2_エネ使用量経年!$J12,"")</f>
        <v/>
      </c>
      <c r="AE11" s="916" t="str">
        <f ca="1">IFERROR($K11*44/12*参考2_エネ使用量経年!AE12*参考2_エネ使用量経年!$K12,"")</f>
        <v/>
      </c>
      <c r="AF11" s="916" t="str">
        <f ca="1">IFERROR($H11*44/12*参考2_エネ使用量経年!AF12*参考2_エネ使用量経年!$H12,"")</f>
        <v/>
      </c>
      <c r="AG11" s="916" t="str">
        <f ca="1">IFERROR($I11*44/12*参考2_エネ使用量経年!AG12*参考2_エネ使用量経年!$I12,"")</f>
        <v/>
      </c>
      <c r="AH11" s="916" t="str">
        <f ca="1">IFERROR($J11*44/12*参考2_エネ使用量経年!AH12*参考2_エネ使用量経年!$J12,"")</f>
        <v/>
      </c>
      <c r="AI11" s="916" t="str">
        <f ca="1">IFERROR($K11*44/12*参考2_エネ使用量経年!AI12*参考2_エネ使用量経年!$K12,"")</f>
        <v/>
      </c>
      <c r="AJ11" s="916" t="str">
        <f ca="1">IFERROR($H11*44/12*参考2_エネ使用量経年!AJ12*参考2_エネ使用量経年!$H12,"")</f>
        <v/>
      </c>
      <c r="AK11" s="916" t="str">
        <f ca="1">IFERROR($I11*44/12*参考2_エネ使用量経年!AK12*参考2_エネ使用量経年!$I12,"")</f>
        <v/>
      </c>
      <c r="AL11" s="916" t="str">
        <f ca="1">IFERROR($J11*44/12*参考2_エネ使用量経年!AL12*参考2_エネ使用量経年!$J12,"")</f>
        <v/>
      </c>
      <c r="AM11" s="916" t="str">
        <f ca="1">IFERROR($K11*44/12*参考2_エネ使用量経年!AM12*参考2_エネ使用量経年!$K12,"")</f>
        <v/>
      </c>
      <c r="AN11" s="916" t="str">
        <f ca="1">IFERROR($H11*44/12*参考2_エネ使用量経年!AN12*参考2_エネ使用量経年!$H12,"")</f>
        <v/>
      </c>
      <c r="AO11" s="916" t="str">
        <f ca="1">IFERROR($I11*44/12*参考2_エネ使用量経年!AO12*参考2_エネ使用量経年!$I12,"")</f>
        <v/>
      </c>
      <c r="AP11" s="916" t="str">
        <f ca="1">IFERROR($J11*44/12*参考2_エネ使用量経年!AP12*参考2_エネ使用量経年!$J12,"")</f>
        <v/>
      </c>
      <c r="AQ11" s="916" t="str">
        <f ca="1">IFERROR($K11*44/12*参考2_エネ使用量経年!AQ12*参考2_エネ使用量経年!$K12,"")</f>
        <v/>
      </c>
      <c r="AR11" s="916" t="str">
        <f ca="1">IFERROR($H11*44/12*参考2_エネ使用量経年!AR12*参考2_エネ使用量経年!$H12,"")</f>
        <v/>
      </c>
      <c r="AS11" s="916" t="str">
        <f ca="1">IFERROR($I11*44/12*参考2_エネ使用量経年!AS12*参考2_エネ使用量経年!$I12,"")</f>
        <v/>
      </c>
      <c r="AT11" s="916" t="str">
        <f ca="1">IFERROR($J11*44/12*参考2_エネ使用量経年!AT12*参考2_エネ使用量経年!$J12,"")</f>
        <v/>
      </c>
      <c r="AU11" s="916" t="str">
        <f ca="1">IFERROR($K11*44/12*参考2_エネ使用量経年!AU12*参考2_エネ使用量経年!$K12,"")</f>
        <v/>
      </c>
      <c r="AV11" s="916" t="str">
        <f ca="1">IFERROR($H11*44/12*参考2_エネ使用量経年!AV12*参考2_エネ使用量経年!$H12,"")</f>
        <v/>
      </c>
      <c r="AW11" s="916" t="str">
        <f ca="1">IFERROR($I11*44/12*参考2_エネ使用量経年!AW12*参考2_エネ使用量経年!$I12,"")</f>
        <v/>
      </c>
      <c r="AX11" s="916" t="str">
        <f ca="1">IFERROR($J11*44/12*参考2_エネ使用量経年!AX12*参考2_エネ使用量経年!$J12,"")</f>
        <v/>
      </c>
      <c r="AY11" s="916" t="str">
        <f ca="1">IFERROR($K11*44/12*参考2_エネ使用量経年!AY12*参考2_エネ使用量経年!$K12,"")</f>
        <v/>
      </c>
      <c r="AZ11" s="916" t="str">
        <f ca="1">IFERROR($H11*44/12*参考2_エネ使用量経年!AZ12*参考2_エネ使用量経年!$H12,"")</f>
        <v/>
      </c>
      <c r="BA11" s="916" t="str">
        <f ca="1">IFERROR($I11*44/12*参考2_エネ使用量経年!BA12*参考2_エネ使用量経年!$I12,"")</f>
        <v/>
      </c>
      <c r="BB11" s="916" t="str">
        <f ca="1">IFERROR($J11*44/12*参考2_エネ使用量経年!BB12*参考2_エネ使用量経年!$J12,"")</f>
        <v/>
      </c>
      <c r="BC11" s="916" t="str">
        <f ca="1">IFERROR($K11*44/12*参考2_エネ使用量経年!BC12*参考2_エネ使用量経年!$K12,"")</f>
        <v/>
      </c>
      <c r="BD11" s="916" t="str">
        <f ca="1">IFERROR($H11*44/12*参考2_エネ使用量経年!BD12*参考2_エネ使用量経年!$H12,"")</f>
        <v/>
      </c>
      <c r="BE11" s="916" t="str">
        <f ca="1">IFERROR($I11*44/12*参考2_エネ使用量経年!BE12*参考2_エネ使用量経年!$I12,"")</f>
        <v/>
      </c>
      <c r="BF11" s="916" t="str">
        <f ca="1">IFERROR($J11*44/12*参考2_エネ使用量経年!BF12*参考2_エネ使用量経年!$J12,"")</f>
        <v/>
      </c>
      <c r="BG11" s="916" t="str">
        <f ca="1">IFERROR($K11*44/12*参考2_エネ使用量経年!BG12*参考2_エネ使用量経年!$K12,"")</f>
        <v/>
      </c>
      <c r="BH11" s="916" t="str">
        <f ca="1">IFERROR($H11*44/12*参考2_エネ使用量経年!BH12*参考2_エネ使用量経年!$H12,"")</f>
        <v/>
      </c>
      <c r="BI11" s="916" t="str">
        <f ca="1">IFERROR($I11*44/12*参考2_エネ使用量経年!BI12*参考2_エネ使用量経年!$I12,"")</f>
        <v/>
      </c>
      <c r="BJ11" s="916" t="str">
        <f ca="1">IFERROR($J11*44/12*参考2_エネ使用量経年!BJ12*参考2_エネ使用量経年!$J12,"")</f>
        <v/>
      </c>
      <c r="BK11" s="916" t="str">
        <f ca="1">IFERROR($K11*44/12*参考2_エネ使用量経年!BK12*参考2_エネ使用量経年!$K12,"")</f>
        <v/>
      </c>
      <c r="BL11" s="916" t="str">
        <f ca="1">IFERROR($H11*44/12*参考2_エネ使用量経年!BL12*参考2_エネ使用量経年!$H12,"")</f>
        <v/>
      </c>
      <c r="BM11" s="916" t="str">
        <f ca="1">IFERROR($I11*44/12*参考2_エネ使用量経年!BM12*参考2_エネ使用量経年!$I12,"")</f>
        <v/>
      </c>
      <c r="BN11" s="916" t="str">
        <f ca="1">IFERROR($J11*44/12*参考2_エネ使用量経年!BN12*参考2_エネ使用量経年!$J12,"")</f>
        <v/>
      </c>
      <c r="BO11" s="916" t="str">
        <f ca="1">IFERROR($K11*44/12*参考2_エネ使用量経年!BO12*参考2_エネ使用量経年!$K12,"")</f>
        <v/>
      </c>
    </row>
    <row r="12" spans="1:68" ht="20.100000000000001" hidden="1" customHeight="1" outlineLevel="1">
      <c r="A12" s="914">
        <v>12</v>
      </c>
      <c r="B12" s="1594"/>
      <c r="C12" s="1596"/>
      <c r="D12" s="785" t="s">
        <v>352</v>
      </c>
      <c r="E12" s="785"/>
      <c r="F12" s="786"/>
      <c r="G12" s="852" t="s">
        <v>1281</v>
      </c>
      <c r="H12" s="915">
        <f t="shared" ca="1" si="0"/>
        <v>1.8599999999999998E-2</v>
      </c>
      <c r="I12" s="915">
        <f t="shared" ca="1" si="1"/>
        <v>1.8599999999999998E-2</v>
      </c>
      <c r="J12" s="915">
        <f t="shared" ca="1" si="2"/>
        <v>1.8599999999999998E-2</v>
      </c>
      <c r="K12" s="915">
        <f t="shared" ca="1" si="3"/>
        <v>1.8599999999999998E-2</v>
      </c>
      <c r="L12" s="916">
        <f ca="1">IFERROR($H12*44/12*参考2_エネ使用量経年!L13*参考2_エネ使用量経年!$H13,"")</f>
        <v>0</v>
      </c>
      <c r="M12" s="916">
        <f ca="1">IFERROR($I12*44/12*参考2_エネ使用量経年!M13*参考2_エネ使用量経年!$I13,"")</f>
        <v>0</v>
      </c>
      <c r="N12" s="916">
        <f ca="1">IFERROR($J12*44/12*参考2_エネ使用量経年!N13*参考2_エネ使用量経年!$J13,"")</f>
        <v>0</v>
      </c>
      <c r="O12" s="916">
        <f ca="1">IFERROR($K12*44/12*参考2_エネ使用量経年!O13*参考2_エネ使用量経年!$K13,"")</f>
        <v>0</v>
      </c>
      <c r="P12" s="916">
        <f ca="1">IFERROR($H12*44/12*参考2_エネ使用量経年!P13*参考2_エネ使用量経年!$H13,"")</f>
        <v>0</v>
      </c>
      <c r="Q12" s="916">
        <f ca="1">IFERROR($I12*44/12*参考2_エネ使用量経年!Q13*参考2_エネ使用量経年!$I13,"")</f>
        <v>0</v>
      </c>
      <c r="R12" s="916">
        <f ca="1">IFERROR($J12*44/12*参考2_エネ使用量経年!R13*参考2_エネ使用量経年!$J13,"")</f>
        <v>0</v>
      </c>
      <c r="S12" s="916">
        <f ca="1">IFERROR($K12*44/12*参考2_エネ使用量経年!S13*参考2_エネ使用量経年!$K13,"")</f>
        <v>0</v>
      </c>
      <c r="T12" s="916">
        <f ca="1">IFERROR($H12*44/12*参考2_エネ使用量経年!T13*参考2_エネ使用量経年!$H13,"")</f>
        <v>0</v>
      </c>
      <c r="U12" s="916">
        <f ca="1">IFERROR($I12*44/12*参考2_エネ使用量経年!U13*参考2_エネ使用量経年!$I13,"")</f>
        <v>0</v>
      </c>
      <c r="V12" s="916">
        <f ca="1">IFERROR($J12*44/12*参考2_エネ使用量経年!V13*参考2_エネ使用量経年!$J13,"")</f>
        <v>0</v>
      </c>
      <c r="W12" s="916">
        <f ca="1">IFERROR($K12*44/12*参考2_エネ使用量経年!W13*参考2_エネ使用量経年!$K13,"")</f>
        <v>0</v>
      </c>
      <c r="X12" s="916">
        <f ca="1">IFERROR($H12*44/12*参考2_エネ使用量経年!X13*参考2_エネ使用量経年!$H13,"")</f>
        <v>0</v>
      </c>
      <c r="Y12" s="916">
        <f ca="1">IFERROR($I12*44/12*参考2_エネ使用量経年!Y13*参考2_エネ使用量経年!$I13,"")</f>
        <v>0</v>
      </c>
      <c r="Z12" s="916">
        <f ca="1">IFERROR($J12*44/12*参考2_エネ使用量経年!Z13*参考2_エネ使用量経年!$J13,"")</f>
        <v>0</v>
      </c>
      <c r="AA12" s="916">
        <f ca="1">IFERROR($K12*44/12*参考2_エネ使用量経年!AA13*参考2_エネ使用量経年!$K13,"")</f>
        <v>0</v>
      </c>
      <c r="AB12" s="916" t="str">
        <f ca="1">IFERROR($H12*44/12*参考2_エネ使用量経年!AB13*参考2_エネ使用量経年!$H13,"")</f>
        <v/>
      </c>
      <c r="AC12" s="916" t="str">
        <f ca="1">IFERROR($I12*44/12*参考2_エネ使用量経年!AC13*参考2_エネ使用量経年!$I13,"")</f>
        <v/>
      </c>
      <c r="AD12" s="916" t="str">
        <f ca="1">IFERROR($J12*44/12*参考2_エネ使用量経年!AD13*参考2_エネ使用量経年!$J13,"")</f>
        <v/>
      </c>
      <c r="AE12" s="916" t="str">
        <f ca="1">IFERROR($K12*44/12*参考2_エネ使用量経年!AE13*参考2_エネ使用量経年!$K13,"")</f>
        <v/>
      </c>
      <c r="AF12" s="916" t="str">
        <f ca="1">IFERROR($H12*44/12*参考2_エネ使用量経年!AF13*参考2_エネ使用量経年!$H13,"")</f>
        <v/>
      </c>
      <c r="AG12" s="916" t="str">
        <f ca="1">IFERROR($I12*44/12*参考2_エネ使用量経年!AG13*参考2_エネ使用量経年!$I13,"")</f>
        <v/>
      </c>
      <c r="AH12" s="916" t="str">
        <f ca="1">IFERROR($J12*44/12*参考2_エネ使用量経年!AH13*参考2_エネ使用量経年!$J13,"")</f>
        <v/>
      </c>
      <c r="AI12" s="916" t="str">
        <f ca="1">IFERROR($K12*44/12*参考2_エネ使用量経年!AI13*参考2_エネ使用量経年!$K13,"")</f>
        <v/>
      </c>
      <c r="AJ12" s="916" t="str">
        <f ca="1">IFERROR($H12*44/12*参考2_エネ使用量経年!AJ13*参考2_エネ使用量経年!$H13,"")</f>
        <v/>
      </c>
      <c r="AK12" s="916" t="str">
        <f ca="1">IFERROR($I12*44/12*参考2_エネ使用量経年!AK13*参考2_エネ使用量経年!$I13,"")</f>
        <v/>
      </c>
      <c r="AL12" s="916" t="str">
        <f ca="1">IFERROR($J12*44/12*参考2_エネ使用量経年!AL13*参考2_エネ使用量経年!$J13,"")</f>
        <v/>
      </c>
      <c r="AM12" s="916" t="str">
        <f ca="1">IFERROR($K12*44/12*参考2_エネ使用量経年!AM13*参考2_エネ使用量経年!$K13,"")</f>
        <v/>
      </c>
      <c r="AN12" s="916" t="str">
        <f ca="1">IFERROR($H12*44/12*参考2_エネ使用量経年!AN13*参考2_エネ使用量経年!$H13,"")</f>
        <v/>
      </c>
      <c r="AO12" s="916" t="str">
        <f ca="1">IFERROR($I12*44/12*参考2_エネ使用量経年!AO13*参考2_エネ使用量経年!$I13,"")</f>
        <v/>
      </c>
      <c r="AP12" s="916" t="str">
        <f ca="1">IFERROR($J12*44/12*参考2_エネ使用量経年!AP13*参考2_エネ使用量経年!$J13,"")</f>
        <v/>
      </c>
      <c r="AQ12" s="916" t="str">
        <f ca="1">IFERROR($K12*44/12*参考2_エネ使用量経年!AQ13*参考2_エネ使用量経年!$K13,"")</f>
        <v/>
      </c>
      <c r="AR12" s="916" t="str">
        <f ca="1">IFERROR($H12*44/12*参考2_エネ使用量経年!AR13*参考2_エネ使用量経年!$H13,"")</f>
        <v/>
      </c>
      <c r="AS12" s="916" t="str">
        <f ca="1">IFERROR($I12*44/12*参考2_エネ使用量経年!AS13*参考2_エネ使用量経年!$I13,"")</f>
        <v/>
      </c>
      <c r="AT12" s="916" t="str">
        <f ca="1">IFERROR($J12*44/12*参考2_エネ使用量経年!AT13*参考2_エネ使用量経年!$J13,"")</f>
        <v/>
      </c>
      <c r="AU12" s="916" t="str">
        <f ca="1">IFERROR($K12*44/12*参考2_エネ使用量経年!AU13*参考2_エネ使用量経年!$K13,"")</f>
        <v/>
      </c>
      <c r="AV12" s="916" t="str">
        <f ca="1">IFERROR($H12*44/12*参考2_エネ使用量経年!AV13*参考2_エネ使用量経年!$H13,"")</f>
        <v/>
      </c>
      <c r="AW12" s="916" t="str">
        <f ca="1">IFERROR($I12*44/12*参考2_エネ使用量経年!AW13*参考2_エネ使用量経年!$I13,"")</f>
        <v/>
      </c>
      <c r="AX12" s="916" t="str">
        <f ca="1">IFERROR($J12*44/12*参考2_エネ使用量経年!AX13*参考2_エネ使用量経年!$J13,"")</f>
        <v/>
      </c>
      <c r="AY12" s="916" t="str">
        <f ca="1">IFERROR($K12*44/12*参考2_エネ使用量経年!AY13*参考2_エネ使用量経年!$K13,"")</f>
        <v/>
      </c>
      <c r="AZ12" s="916" t="str">
        <f ca="1">IFERROR($H12*44/12*参考2_エネ使用量経年!AZ13*参考2_エネ使用量経年!$H13,"")</f>
        <v/>
      </c>
      <c r="BA12" s="916" t="str">
        <f ca="1">IFERROR($I12*44/12*参考2_エネ使用量経年!BA13*参考2_エネ使用量経年!$I13,"")</f>
        <v/>
      </c>
      <c r="BB12" s="916" t="str">
        <f ca="1">IFERROR($J12*44/12*参考2_エネ使用量経年!BB13*参考2_エネ使用量経年!$J13,"")</f>
        <v/>
      </c>
      <c r="BC12" s="916" t="str">
        <f ca="1">IFERROR($K12*44/12*参考2_エネ使用量経年!BC13*参考2_エネ使用量経年!$K13,"")</f>
        <v/>
      </c>
      <c r="BD12" s="916" t="str">
        <f ca="1">IFERROR($H12*44/12*参考2_エネ使用量経年!BD13*参考2_エネ使用量経年!$H13,"")</f>
        <v/>
      </c>
      <c r="BE12" s="916" t="str">
        <f ca="1">IFERROR($I12*44/12*参考2_エネ使用量経年!BE13*参考2_エネ使用量経年!$I13,"")</f>
        <v/>
      </c>
      <c r="BF12" s="916" t="str">
        <f ca="1">IFERROR($J12*44/12*参考2_エネ使用量経年!BF13*参考2_エネ使用量経年!$J13,"")</f>
        <v/>
      </c>
      <c r="BG12" s="916" t="str">
        <f ca="1">IFERROR($K12*44/12*参考2_エネ使用量経年!BG13*参考2_エネ使用量経年!$K13,"")</f>
        <v/>
      </c>
      <c r="BH12" s="916" t="str">
        <f ca="1">IFERROR($H12*44/12*参考2_エネ使用量経年!BH13*参考2_エネ使用量経年!$H13,"")</f>
        <v/>
      </c>
      <c r="BI12" s="916" t="str">
        <f ca="1">IFERROR($I12*44/12*参考2_エネ使用量経年!BI13*参考2_エネ使用量経年!$I13,"")</f>
        <v/>
      </c>
      <c r="BJ12" s="916" t="str">
        <f ca="1">IFERROR($J12*44/12*参考2_エネ使用量経年!BJ13*参考2_エネ使用量経年!$J13,"")</f>
        <v/>
      </c>
      <c r="BK12" s="916" t="str">
        <f ca="1">IFERROR($K12*44/12*参考2_エネ使用量経年!BK13*参考2_エネ使用量経年!$K13,"")</f>
        <v/>
      </c>
      <c r="BL12" s="916" t="str">
        <f ca="1">IFERROR($H12*44/12*参考2_エネ使用量経年!BL13*参考2_エネ使用量経年!$H13,"")</f>
        <v/>
      </c>
      <c r="BM12" s="916" t="str">
        <f ca="1">IFERROR($I12*44/12*参考2_エネ使用量経年!BM13*参考2_エネ使用量経年!$I13,"")</f>
        <v/>
      </c>
      <c r="BN12" s="916" t="str">
        <f ca="1">IFERROR($J12*44/12*参考2_エネ使用量経年!BN13*参考2_エネ使用量経年!$J13,"")</f>
        <v/>
      </c>
      <c r="BO12" s="916" t="str">
        <f ca="1">IFERROR($K12*44/12*参考2_エネ使用量経年!BO13*参考2_エネ使用量経年!$K13,"")</f>
        <v/>
      </c>
    </row>
    <row r="13" spans="1:68" ht="20.100000000000001" hidden="1" customHeight="1" outlineLevel="1">
      <c r="A13" s="914">
        <v>13</v>
      </c>
      <c r="B13" s="1595"/>
      <c r="C13" s="1596"/>
      <c r="D13" s="785" t="s">
        <v>353</v>
      </c>
      <c r="E13" s="785"/>
      <c r="F13" s="786"/>
      <c r="G13" s="852" t="s">
        <v>1281</v>
      </c>
      <c r="H13" s="915">
        <f t="shared" ca="1" si="0"/>
        <v>1.8700000000000001E-2</v>
      </c>
      <c r="I13" s="915">
        <f t="shared" ca="1" si="1"/>
        <v>1.8700000000000001E-2</v>
      </c>
      <c r="J13" s="915">
        <f t="shared" ca="1" si="2"/>
        <v>1.8700000000000001E-2</v>
      </c>
      <c r="K13" s="915">
        <f t="shared" ca="1" si="3"/>
        <v>1.8700000000000001E-2</v>
      </c>
      <c r="L13" s="916">
        <f ca="1">IFERROR($H13*44/12*参考2_エネ使用量経年!L14*参考2_エネ使用量経年!$H14,"")</f>
        <v>0</v>
      </c>
      <c r="M13" s="916">
        <f ca="1">IFERROR($I13*44/12*参考2_エネ使用量経年!M14*参考2_エネ使用量経年!$I14,"")</f>
        <v>0</v>
      </c>
      <c r="N13" s="916">
        <f ca="1">IFERROR($J13*44/12*参考2_エネ使用量経年!N14*参考2_エネ使用量経年!$J14,"")</f>
        <v>0</v>
      </c>
      <c r="O13" s="916">
        <f ca="1">IFERROR($K13*44/12*参考2_エネ使用量経年!O14*参考2_エネ使用量経年!$K14,"")</f>
        <v>0</v>
      </c>
      <c r="P13" s="916">
        <f ca="1">IFERROR($H13*44/12*参考2_エネ使用量経年!P14*参考2_エネ使用量経年!$H14,"")</f>
        <v>0</v>
      </c>
      <c r="Q13" s="916">
        <f ca="1">IFERROR($I13*44/12*参考2_エネ使用量経年!Q14*参考2_エネ使用量経年!$I14,"")</f>
        <v>0</v>
      </c>
      <c r="R13" s="916">
        <f ca="1">IFERROR($J13*44/12*参考2_エネ使用量経年!R14*参考2_エネ使用量経年!$J14,"")</f>
        <v>0</v>
      </c>
      <c r="S13" s="916">
        <f ca="1">IFERROR($K13*44/12*参考2_エネ使用量経年!S14*参考2_エネ使用量経年!$K14,"")</f>
        <v>0</v>
      </c>
      <c r="T13" s="916">
        <f ca="1">IFERROR($H13*44/12*参考2_エネ使用量経年!T14*参考2_エネ使用量経年!$H14,"")</f>
        <v>0</v>
      </c>
      <c r="U13" s="916">
        <f ca="1">IFERROR($I13*44/12*参考2_エネ使用量経年!U14*参考2_エネ使用量経年!$I14,"")</f>
        <v>0</v>
      </c>
      <c r="V13" s="916">
        <f ca="1">IFERROR($J13*44/12*参考2_エネ使用量経年!V14*参考2_エネ使用量経年!$J14,"")</f>
        <v>0</v>
      </c>
      <c r="W13" s="916">
        <f ca="1">IFERROR($K13*44/12*参考2_エネ使用量経年!W14*参考2_エネ使用量経年!$K14,"")</f>
        <v>0</v>
      </c>
      <c r="X13" s="916">
        <f ca="1">IFERROR($H13*44/12*参考2_エネ使用量経年!X14*参考2_エネ使用量経年!$H14,"")</f>
        <v>0</v>
      </c>
      <c r="Y13" s="916">
        <f ca="1">IFERROR($I13*44/12*参考2_エネ使用量経年!Y14*参考2_エネ使用量経年!$I14,"")</f>
        <v>0</v>
      </c>
      <c r="Z13" s="916">
        <f ca="1">IFERROR($J13*44/12*参考2_エネ使用量経年!Z14*参考2_エネ使用量経年!$J14,"")</f>
        <v>0</v>
      </c>
      <c r="AA13" s="916">
        <f ca="1">IFERROR($K13*44/12*参考2_エネ使用量経年!AA14*参考2_エネ使用量経年!$K14,"")</f>
        <v>0</v>
      </c>
      <c r="AB13" s="916" t="str">
        <f ca="1">IFERROR($H13*44/12*参考2_エネ使用量経年!AB14*参考2_エネ使用量経年!$H14,"")</f>
        <v/>
      </c>
      <c r="AC13" s="916" t="str">
        <f ca="1">IFERROR($I13*44/12*参考2_エネ使用量経年!AC14*参考2_エネ使用量経年!$I14,"")</f>
        <v/>
      </c>
      <c r="AD13" s="916" t="str">
        <f ca="1">IFERROR($J13*44/12*参考2_エネ使用量経年!AD14*参考2_エネ使用量経年!$J14,"")</f>
        <v/>
      </c>
      <c r="AE13" s="916" t="str">
        <f ca="1">IFERROR($K13*44/12*参考2_エネ使用量経年!AE14*参考2_エネ使用量経年!$K14,"")</f>
        <v/>
      </c>
      <c r="AF13" s="916" t="str">
        <f ca="1">IFERROR($H13*44/12*参考2_エネ使用量経年!AF14*参考2_エネ使用量経年!$H14,"")</f>
        <v/>
      </c>
      <c r="AG13" s="916" t="str">
        <f ca="1">IFERROR($I13*44/12*参考2_エネ使用量経年!AG14*参考2_エネ使用量経年!$I14,"")</f>
        <v/>
      </c>
      <c r="AH13" s="916" t="str">
        <f ca="1">IFERROR($J13*44/12*参考2_エネ使用量経年!AH14*参考2_エネ使用量経年!$J14,"")</f>
        <v/>
      </c>
      <c r="AI13" s="916" t="str">
        <f ca="1">IFERROR($K13*44/12*参考2_エネ使用量経年!AI14*参考2_エネ使用量経年!$K14,"")</f>
        <v/>
      </c>
      <c r="AJ13" s="916" t="str">
        <f ca="1">IFERROR($H13*44/12*参考2_エネ使用量経年!AJ14*参考2_エネ使用量経年!$H14,"")</f>
        <v/>
      </c>
      <c r="AK13" s="916" t="str">
        <f ca="1">IFERROR($I13*44/12*参考2_エネ使用量経年!AK14*参考2_エネ使用量経年!$I14,"")</f>
        <v/>
      </c>
      <c r="AL13" s="916" t="str">
        <f ca="1">IFERROR($J13*44/12*参考2_エネ使用量経年!AL14*参考2_エネ使用量経年!$J14,"")</f>
        <v/>
      </c>
      <c r="AM13" s="916" t="str">
        <f ca="1">IFERROR($K13*44/12*参考2_エネ使用量経年!AM14*参考2_エネ使用量経年!$K14,"")</f>
        <v/>
      </c>
      <c r="AN13" s="916" t="str">
        <f ca="1">IFERROR($H13*44/12*参考2_エネ使用量経年!AN14*参考2_エネ使用量経年!$H14,"")</f>
        <v/>
      </c>
      <c r="AO13" s="916" t="str">
        <f ca="1">IFERROR($I13*44/12*参考2_エネ使用量経年!AO14*参考2_エネ使用量経年!$I14,"")</f>
        <v/>
      </c>
      <c r="AP13" s="916" t="str">
        <f ca="1">IFERROR($J13*44/12*参考2_エネ使用量経年!AP14*参考2_エネ使用量経年!$J14,"")</f>
        <v/>
      </c>
      <c r="AQ13" s="916" t="str">
        <f ca="1">IFERROR($K13*44/12*参考2_エネ使用量経年!AQ14*参考2_エネ使用量経年!$K14,"")</f>
        <v/>
      </c>
      <c r="AR13" s="916" t="str">
        <f ca="1">IFERROR($H13*44/12*参考2_エネ使用量経年!AR14*参考2_エネ使用量経年!$H14,"")</f>
        <v/>
      </c>
      <c r="AS13" s="916" t="str">
        <f ca="1">IFERROR($I13*44/12*参考2_エネ使用量経年!AS14*参考2_エネ使用量経年!$I14,"")</f>
        <v/>
      </c>
      <c r="AT13" s="916" t="str">
        <f ca="1">IFERROR($J13*44/12*参考2_エネ使用量経年!AT14*参考2_エネ使用量経年!$J14,"")</f>
        <v/>
      </c>
      <c r="AU13" s="916" t="str">
        <f ca="1">IFERROR($K13*44/12*参考2_エネ使用量経年!AU14*参考2_エネ使用量経年!$K14,"")</f>
        <v/>
      </c>
      <c r="AV13" s="916" t="str">
        <f ca="1">IFERROR($H13*44/12*参考2_エネ使用量経年!AV14*参考2_エネ使用量経年!$H14,"")</f>
        <v/>
      </c>
      <c r="AW13" s="916" t="str">
        <f ca="1">IFERROR($I13*44/12*参考2_エネ使用量経年!AW14*参考2_エネ使用量経年!$I14,"")</f>
        <v/>
      </c>
      <c r="AX13" s="916" t="str">
        <f ca="1">IFERROR($J13*44/12*参考2_エネ使用量経年!AX14*参考2_エネ使用量経年!$J14,"")</f>
        <v/>
      </c>
      <c r="AY13" s="916" t="str">
        <f ca="1">IFERROR($K13*44/12*参考2_エネ使用量経年!AY14*参考2_エネ使用量経年!$K14,"")</f>
        <v/>
      </c>
      <c r="AZ13" s="916" t="str">
        <f ca="1">IFERROR($H13*44/12*参考2_エネ使用量経年!AZ14*参考2_エネ使用量経年!$H14,"")</f>
        <v/>
      </c>
      <c r="BA13" s="916" t="str">
        <f ca="1">IFERROR($I13*44/12*参考2_エネ使用量経年!BA14*参考2_エネ使用量経年!$I14,"")</f>
        <v/>
      </c>
      <c r="BB13" s="916" t="str">
        <f ca="1">IFERROR($J13*44/12*参考2_エネ使用量経年!BB14*参考2_エネ使用量経年!$J14,"")</f>
        <v/>
      </c>
      <c r="BC13" s="916" t="str">
        <f ca="1">IFERROR($K13*44/12*参考2_エネ使用量経年!BC14*参考2_エネ使用量経年!$K14,"")</f>
        <v/>
      </c>
      <c r="BD13" s="916" t="str">
        <f ca="1">IFERROR($H13*44/12*参考2_エネ使用量経年!BD14*参考2_エネ使用量経年!$H14,"")</f>
        <v/>
      </c>
      <c r="BE13" s="916" t="str">
        <f ca="1">IFERROR($I13*44/12*参考2_エネ使用量経年!BE14*参考2_エネ使用量経年!$I14,"")</f>
        <v/>
      </c>
      <c r="BF13" s="916" t="str">
        <f ca="1">IFERROR($J13*44/12*参考2_エネ使用量経年!BF14*参考2_エネ使用量経年!$J14,"")</f>
        <v/>
      </c>
      <c r="BG13" s="916" t="str">
        <f ca="1">IFERROR($K13*44/12*参考2_エネ使用量経年!BG14*参考2_エネ使用量経年!$K14,"")</f>
        <v/>
      </c>
      <c r="BH13" s="916" t="str">
        <f ca="1">IFERROR($H13*44/12*参考2_エネ使用量経年!BH14*参考2_エネ使用量経年!$H14,"")</f>
        <v/>
      </c>
      <c r="BI13" s="916" t="str">
        <f ca="1">IFERROR($I13*44/12*参考2_エネ使用量経年!BI14*参考2_エネ使用量経年!$I14,"")</f>
        <v/>
      </c>
      <c r="BJ13" s="916" t="str">
        <f ca="1">IFERROR($J13*44/12*参考2_エネ使用量経年!BJ14*参考2_エネ使用量経年!$J14,"")</f>
        <v/>
      </c>
      <c r="BK13" s="916" t="str">
        <f ca="1">IFERROR($K13*44/12*参考2_エネ使用量経年!BK14*参考2_エネ使用量経年!$K14,"")</f>
        <v/>
      </c>
      <c r="BL13" s="916" t="str">
        <f ca="1">IFERROR($H13*44/12*参考2_エネ使用量経年!BL14*参考2_エネ使用量経年!$H14,"")</f>
        <v/>
      </c>
      <c r="BM13" s="916" t="str">
        <f ca="1">IFERROR($I13*44/12*参考2_エネ使用量経年!BM14*参考2_エネ使用量経年!$I14,"")</f>
        <v/>
      </c>
      <c r="BN13" s="916" t="str">
        <f ca="1">IFERROR($J13*44/12*参考2_エネ使用量経年!BN14*参考2_エネ使用量経年!$J14,"")</f>
        <v/>
      </c>
      <c r="BO13" s="916" t="str">
        <f ca="1">IFERROR($K13*44/12*参考2_エネ使用量経年!BO14*参考2_エネ使用量経年!$K14,"")</f>
        <v/>
      </c>
    </row>
    <row r="14" spans="1:68" ht="20.100000000000001" hidden="1" customHeight="1" outlineLevel="1">
      <c r="A14" s="914">
        <v>14</v>
      </c>
      <c r="B14" s="1595"/>
      <c r="C14" s="1596"/>
      <c r="D14" s="785" t="s">
        <v>354</v>
      </c>
      <c r="E14" s="785"/>
      <c r="F14" s="786"/>
      <c r="G14" s="852" t="s">
        <v>1281</v>
      </c>
      <c r="H14" s="915">
        <f t="shared" ca="1" si="0"/>
        <v>1.8800000000000001E-2</v>
      </c>
      <c r="I14" s="915">
        <f t="shared" ca="1" si="1"/>
        <v>1.8800000000000001E-2</v>
      </c>
      <c r="J14" s="915">
        <f t="shared" ca="1" si="2"/>
        <v>1.8800000000000001E-2</v>
      </c>
      <c r="K14" s="915">
        <f t="shared" ca="1" si="3"/>
        <v>1.8800000000000001E-2</v>
      </c>
      <c r="L14" s="916">
        <f ca="1">IFERROR($H14*44/12*参考2_エネ使用量経年!L15*参考2_エネ使用量経年!$H15,"")</f>
        <v>0</v>
      </c>
      <c r="M14" s="916">
        <f ca="1">IFERROR($I14*44/12*参考2_エネ使用量経年!M15*参考2_エネ使用量経年!$I15,"")</f>
        <v>0</v>
      </c>
      <c r="N14" s="916">
        <f ca="1">IFERROR($J14*44/12*参考2_エネ使用量経年!N15*参考2_エネ使用量経年!$J15,"")</f>
        <v>0</v>
      </c>
      <c r="O14" s="916">
        <f ca="1">IFERROR($K14*44/12*参考2_エネ使用量経年!O15*参考2_エネ使用量経年!$K15,"")</f>
        <v>0</v>
      </c>
      <c r="P14" s="916">
        <f ca="1">IFERROR($H14*44/12*参考2_エネ使用量経年!P15*参考2_エネ使用量経年!$H15,"")</f>
        <v>0</v>
      </c>
      <c r="Q14" s="916">
        <f ca="1">IFERROR($I14*44/12*参考2_エネ使用量経年!Q15*参考2_エネ使用量経年!$I15,"")</f>
        <v>0</v>
      </c>
      <c r="R14" s="916">
        <f ca="1">IFERROR($J14*44/12*参考2_エネ使用量経年!R15*参考2_エネ使用量経年!$J15,"")</f>
        <v>0</v>
      </c>
      <c r="S14" s="916">
        <f ca="1">IFERROR($K14*44/12*参考2_エネ使用量経年!S15*参考2_エネ使用量経年!$K15,"")</f>
        <v>0</v>
      </c>
      <c r="T14" s="916">
        <f ca="1">IFERROR($H14*44/12*参考2_エネ使用量経年!T15*参考2_エネ使用量経年!$H15,"")</f>
        <v>0</v>
      </c>
      <c r="U14" s="916">
        <f ca="1">IFERROR($I14*44/12*参考2_エネ使用量経年!U15*参考2_エネ使用量経年!$I15,"")</f>
        <v>0</v>
      </c>
      <c r="V14" s="916">
        <f ca="1">IFERROR($J14*44/12*参考2_エネ使用量経年!V15*参考2_エネ使用量経年!$J15,"")</f>
        <v>0</v>
      </c>
      <c r="W14" s="916">
        <f ca="1">IFERROR($K14*44/12*参考2_エネ使用量経年!W15*参考2_エネ使用量経年!$K15,"")</f>
        <v>0</v>
      </c>
      <c r="X14" s="916">
        <f ca="1">IFERROR($H14*44/12*参考2_エネ使用量経年!X15*参考2_エネ使用量経年!$H15,"")</f>
        <v>0</v>
      </c>
      <c r="Y14" s="916">
        <f ca="1">IFERROR($I14*44/12*参考2_エネ使用量経年!Y15*参考2_エネ使用量経年!$I15,"")</f>
        <v>0</v>
      </c>
      <c r="Z14" s="916">
        <f ca="1">IFERROR($J14*44/12*参考2_エネ使用量経年!Z15*参考2_エネ使用量経年!$J15,"")</f>
        <v>0</v>
      </c>
      <c r="AA14" s="916">
        <f ca="1">IFERROR($K14*44/12*参考2_エネ使用量経年!AA15*参考2_エネ使用量経年!$K15,"")</f>
        <v>0</v>
      </c>
      <c r="AB14" s="916" t="str">
        <f ca="1">IFERROR($H14*44/12*参考2_エネ使用量経年!AB15*参考2_エネ使用量経年!$H15,"")</f>
        <v/>
      </c>
      <c r="AC14" s="916" t="str">
        <f ca="1">IFERROR($I14*44/12*参考2_エネ使用量経年!AC15*参考2_エネ使用量経年!$I15,"")</f>
        <v/>
      </c>
      <c r="AD14" s="916" t="str">
        <f ca="1">IFERROR($J14*44/12*参考2_エネ使用量経年!AD15*参考2_エネ使用量経年!$J15,"")</f>
        <v/>
      </c>
      <c r="AE14" s="916" t="str">
        <f ca="1">IFERROR($K14*44/12*参考2_エネ使用量経年!AE15*参考2_エネ使用量経年!$K15,"")</f>
        <v/>
      </c>
      <c r="AF14" s="916" t="str">
        <f ca="1">IFERROR($H14*44/12*参考2_エネ使用量経年!AF15*参考2_エネ使用量経年!$H15,"")</f>
        <v/>
      </c>
      <c r="AG14" s="916" t="str">
        <f ca="1">IFERROR($I14*44/12*参考2_エネ使用量経年!AG15*参考2_エネ使用量経年!$I15,"")</f>
        <v/>
      </c>
      <c r="AH14" s="916" t="str">
        <f ca="1">IFERROR($J14*44/12*参考2_エネ使用量経年!AH15*参考2_エネ使用量経年!$J15,"")</f>
        <v/>
      </c>
      <c r="AI14" s="916" t="str">
        <f ca="1">IFERROR($K14*44/12*参考2_エネ使用量経年!AI15*参考2_エネ使用量経年!$K15,"")</f>
        <v/>
      </c>
      <c r="AJ14" s="916" t="str">
        <f ca="1">IFERROR($H14*44/12*参考2_エネ使用量経年!AJ15*参考2_エネ使用量経年!$H15,"")</f>
        <v/>
      </c>
      <c r="AK14" s="916" t="str">
        <f ca="1">IFERROR($I14*44/12*参考2_エネ使用量経年!AK15*参考2_エネ使用量経年!$I15,"")</f>
        <v/>
      </c>
      <c r="AL14" s="916" t="str">
        <f ca="1">IFERROR($J14*44/12*参考2_エネ使用量経年!AL15*参考2_エネ使用量経年!$J15,"")</f>
        <v/>
      </c>
      <c r="AM14" s="916" t="str">
        <f ca="1">IFERROR($K14*44/12*参考2_エネ使用量経年!AM15*参考2_エネ使用量経年!$K15,"")</f>
        <v/>
      </c>
      <c r="AN14" s="916" t="str">
        <f ca="1">IFERROR($H14*44/12*参考2_エネ使用量経年!AN15*参考2_エネ使用量経年!$H15,"")</f>
        <v/>
      </c>
      <c r="AO14" s="916" t="str">
        <f ca="1">IFERROR($I14*44/12*参考2_エネ使用量経年!AO15*参考2_エネ使用量経年!$I15,"")</f>
        <v/>
      </c>
      <c r="AP14" s="916" t="str">
        <f ca="1">IFERROR($J14*44/12*参考2_エネ使用量経年!AP15*参考2_エネ使用量経年!$J15,"")</f>
        <v/>
      </c>
      <c r="AQ14" s="916" t="str">
        <f ca="1">IFERROR($K14*44/12*参考2_エネ使用量経年!AQ15*参考2_エネ使用量経年!$K15,"")</f>
        <v/>
      </c>
      <c r="AR14" s="916" t="str">
        <f ca="1">IFERROR($H14*44/12*参考2_エネ使用量経年!AR15*参考2_エネ使用量経年!$H15,"")</f>
        <v/>
      </c>
      <c r="AS14" s="916" t="str">
        <f ca="1">IFERROR($I14*44/12*参考2_エネ使用量経年!AS15*参考2_エネ使用量経年!$I15,"")</f>
        <v/>
      </c>
      <c r="AT14" s="916" t="str">
        <f ca="1">IFERROR($J14*44/12*参考2_エネ使用量経年!AT15*参考2_エネ使用量経年!$J15,"")</f>
        <v/>
      </c>
      <c r="AU14" s="916" t="str">
        <f ca="1">IFERROR($K14*44/12*参考2_エネ使用量経年!AU15*参考2_エネ使用量経年!$K15,"")</f>
        <v/>
      </c>
      <c r="AV14" s="916" t="str">
        <f ca="1">IFERROR($H14*44/12*参考2_エネ使用量経年!AV15*参考2_エネ使用量経年!$H15,"")</f>
        <v/>
      </c>
      <c r="AW14" s="916" t="str">
        <f ca="1">IFERROR($I14*44/12*参考2_エネ使用量経年!AW15*参考2_エネ使用量経年!$I15,"")</f>
        <v/>
      </c>
      <c r="AX14" s="916" t="str">
        <f ca="1">IFERROR($J14*44/12*参考2_エネ使用量経年!AX15*参考2_エネ使用量経年!$J15,"")</f>
        <v/>
      </c>
      <c r="AY14" s="916" t="str">
        <f ca="1">IFERROR($K14*44/12*参考2_エネ使用量経年!AY15*参考2_エネ使用量経年!$K15,"")</f>
        <v/>
      </c>
      <c r="AZ14" s="916" t="str">
        <f ca="1">IFERROR($H14*44/12*参考2_エネ使用量経年!AZ15*参考2_エネ使用量経年!$H15,"")</f>
        <v/>
      </c>
      <c r="BA14" s="916" t="str">
        <f ca="1">IFERROR($I14*44/12*参考2_エネ使用量経年!BA15*参考2_エネ使用量経年!$I15,"")</f>
        <v/>
      </c>
      <c r="BB14" s="916" t="str">
        <f ca="1">IFERROR($J14*44/12*参考2_エネ使用量経年!BB15*参考2_エネ使用量経年!$J15,"")</f>
        <v/>
      </c>
      <c r="BC14" s="916" t="str">
        <f ca="1">IFERROR($K14*44/12*参考2_エネ使用量経年!BC15*参考2_エネ使用量経年!$K15,"")</f>
        <v/>
      </c>
      <c r="BD14" s="916" t="str">
        <f ca="1">IFERROR($H14*44/12*参考2_エネ使用量経年!BD15*参考2_エネ使用量経年!$H15,"")</f>
        <v/>
      </c>
      <c r="BE14" s="916" t="str">
        <f ca="1">IFERROR($I14*44/12*参考2_エネ使用量経年!BE15*参考2_エネ使用量経年!$I15,"")</f>
        <v/>
      </c>
      <c r="BF14" s="916" t="str">
        <f ca="1">IFERROR($J14*44/12*参考2_エネ使用量経年!BF15*参考2_エネ使用量経年!$J15,"")</f>
        <v/>
      </c>
      <c r="BG14" s="916" t="str">
        <f ca="1">IFERROR($K14*44/12*参考2_エネ使用量経年!BG15*参考2_エネ使用量経年!$K15,"")</f>
        <v/>
      </c>
      <c r="BH14" s="916" t="str">
        <f ca="1">IFERROR($H14*44/12*参考2_エネ使用量経年!BH15*参考2_エネ使用量経年!$H15,"")</f>
        <v/>
      </c>
      <c r="BI14" s="916" t="str">
        <f ca="1">IFERROR($I14*44/12*参考2_エネ使用量経年!BI15*参考2_エネ使用量経年!$I15,"")</f>
        <v/>
      </c>
      <c r="BJ14" s="916" t="str">
        <f ca="1">IFERROR($J14*44/12*参考2_エネ使用量経年!BJ15*参考2_エネ使用量経年!$J15,"")</f>
        <v/>
      </c>
      <c r="BK14" s="916" t="str">
        <f ca="1">IFERROR($K14*44/12*参考2_エネ使用量経年!BK15*参考2_エネ使用量経年!$K15,"")</f>
        <v/>
      </c>
      <c r="BL14" s="916" t="str">
        <f ca="1">IFERROR($H14*44/12*参考2_エネ使用量経年!BL15*参考2_エネ使用量経年!$H15,"")</f>
        <v/>
      </c>
      <c r="BM14" s="916" t="str">
        <f ca="1">IFERROR($I14*44/12*参考2_エネ使用量経年!BM15*参考2_エネ使用量経年!$I15,"")</f>
        <v/>
      </c>
      <c r="BN14" s="916" t="str">
        <f ca="1">IFERROR($J14*44/12*参考2_エネ使用量経年!BN15*参考2_エネ使用量経年!$J15,"")</f>
        <v/>
      </c>
      <c r="BO14" s="916" t="str">
        <f ca="1">IFERROR($K14*44/12*参考2_エネ使用量経年!BO15*参考2_エネ使用量経年!$K15,"")</f>
        <v/>
      </c>
    </row>
    <row r="15" spans="1:68" ht="20.100000000000001" hidden="1" customHeight="1" outlineLevel="1">
      <c r="A15" s="914">
        <v>15</v>
      </c>
      <c r="B15" s="1594"/>
      <c r="C15" s="1596"/>
      <c r="D15" s="785" t="s">
        <v>355</v>
      </c>
      <c r="E15" s="785"/>
      <c r="F15" s="786"/>
      <c r="G15" s="852" t="s">
        <v>1281</v>
      </c>
      <c r="H15" s="915">
        <f t="shared" ca="1" si="0"/>
        <v>1.9300000000000001E-2</v>
      </c>
      <c r="I15" s="915">
        <f t="shared" ca="1" si="1"/>
        <v>1.9300000000000001E-2</v>
      </c>
      <c r="J15" s="915">
        <f t="shared" ca="1" si="2"/>
        <v>1.9300000000000001E-2</v>
      </c>
      <c r="K15" s="915">
        <f t="shared" ca="1" si="3"/>
        <v>1.9300000000000001E-2</v>
      </c>
      <c r="L15" s="916">
        <f ca="1">IFERROR($H15*44/12*参考2_エネ使用量経年!L16*参考2_エネ使用量経年!$H16,"")</f>
        <v>0</v>
      </c>
      <c r="M15" s="916">
        <f ca="1">IFERROR($I15*44/12*参考2_エネ使用量経年!M16*参考2_エネ使用量経年!$I16,"")</f>
        <v>0</v>
      </c>
      <c r="N15" s="916">
        <f ca="1">IFERROR($J15*44/12*参考2_エネ使用量経年!N16*参考2_エネ使用量経年!$J16,"")</f>
        <v>0</v>
      </c>
      <c r="O15" s="916">
        <f ca="1">IFERROR($K15*44/12*参考2_エネ使用量経年!O16*参考2_エネ使用量経年!$K16,"")</f>
        <v>0</v>
      </c>
      <c r="P15" s="916">
        <f ca="1">IFERROR($H15*44/12*参考2_エネ使用量経年!P16*参考2_エネ使用量経年!$H16,"")</f>
        <v>0</v>
      </c>
      <c r="Q15" s="916">
        <f ca="1">IFERROR($I15*44/12*参考2_エネ使用量経年!Q16*参考2_エネ使用量経年!$I16,"")</f>
        <v>0</v>
      </c>
      <c r="R15" s="916">
        <f ca="1">IFERROR($J15*44/12*参考2_エネ使用量経年!R16*参考2_エネ使用量経年!$J16,"")</f>
        <v>0</v>
      </c>
      <c r="S15" s="916">
        <f ca="1">IFERROR($K15*44/12*参考2_エネ使用量経年!S16*参考2_エネ使用量経年!$K16,"")</f>
        <v>0</v>
      </c>
      <c r="T15" s="916">
        <f ca="1">IFERROR($H15*44/12*参考2_エネ使用量経年!T16*参考2_エネ使用量経年!$H16,"")</f>
        <v>0</v>
      </c>
      <c r="U15" s="916">
        <f ca="1">IFERROR($I15*44/12*参考2_エネ使用量経年!U16*参考2_エネ使用量経年!$I16,"")</f>
        <v>0</v>
      </c>
      <c r="V15" s="916">
        <f ca="1">IFERROR($J15*44/12*参考2_エネ使用量経年!V16*参考2_エネ使用量経年!$J16,"")</f>
        <v>0</v>
      </c>
      <c r="W15" s="916">
        <f ca="1">IFERROR($K15*44/12*参考2_エネ使用量経年!W16*参考2_エネ使用量経年!$K16,"")</f>
        <v>0</v>
      </c>
      <c r="X15" s="916">
        <f ca="1">IFERROR($H15*44/12*参考2_エネ使用量経年!X16*参考2_エネ使用量経年!$H16,"")</f>
        <v>0</v>
      </c>
      <c r="Y15" s="916">
        <f ca="1">IFERROR($I15*44/12*参考2_エネ使用量経年!Y16*参考2_エネ使用量経年!$I16,"")</f>
        <v>0</v>
      </c>
      <c r="Z15" s="916">
        <f ca="1">IFERROR($J15*44/12*参考2_エネ使用量経年!Z16*参考2_エネ使用量経年!$J16,"")</f>
        <v>0</v>
      </c>
      <c r="AA15" s="916">
        <f ca="1">IFERROR($K15*44/12*参考2_エネ使用量経年!AA16*参考2_エネ使用量経年!$K16,"")</f>
        <v>0</v>
      </c>
      <c r="AB15" s="916" t="str">
        <f ca="1">IFERROR($H15*44/12*参考2_エネ使用量経年!AB16*参考2_エネ使用量経年!$H16,"")</f>
        <v/>
      </c>
      <c r="AC15" s="916" t="str">
        <f ca="1">IFERROR($I15*44/12*参考2_エネ使用量経年!AC16*参考2_エネ使用量経年!$I16,"")</f>
        <v/>
      </c>
      <c r="AD15" s="916" t="str">
        <f ca="1">IFERROR($J15*44/12*参考2_エネ使用量経年!AD16*参考2_エネ使用量経年!$J16,"")</f>
        <v/>
      </c>
      <c r="AE15" s="916" t="str">
        <f ca="1">IFERROR($K15*44/12*参考2_エネ使用量経年!AE16*参考2_エネ使用量経年!$K16,"")</f>
        <v/>
      </c>
      <c r="AF15" s="916" t="str">
        <f ca="1">IFERROR($H15*44/12*参考2_エネ使用量経年!AF16*参考2_エネ使用量経年!$H16,"")</f>
        <v/>
      </c>
      <c r="AG15" s="916" t="str">
        <f ca="1">IFERROR($I15*44/12*参考2_エネ使用量経年!AG16*参考2_エネ使用量経年!$I16,"")</f>
        <v/>
      </c>
      <c r="AH15" s="916" t="str">
        <f ca="1">IFERROR($J15*44/12*参考2_エネ使用量経年!AH16*参考2_エネ使用量経年!$J16,"")</f>
        <v/>
      </c>
      <c r="AI15" s="916" t="str">
        <f ca="1">IFERROR($K15*44/12*参考2_エネ使用量経年!AI16*参考2_エネ使用量経年!$K16,"")</f>
        <v/>
      </c>
      <c r="AJ15" s="916" t="str">
        <f ca="1">IFERROR($H15*44/12*参考2_エネ使用量経年!AJ16*参考2_エネ使用量経年!$H16,"")</f>
        <v/>
      </c>
      <c r="AK15" s="916" t="str">
        <f ca="1">IFERROR($I15*44/12*参考2_エネ使用量経年!AK16*参考2_エネ使用量経年!$I16,"")</f>
        <v/>
      </c>
      <c r="AL15" s="916" t="str">
        <f ca="1">IFERROR($J15*44/12*参考2_エネ使用量経年!AL16*参考2_エネ使用量経年!$J16,"")</f>
        <v/>
      </c>
      <c r="AM15" s="916" t="str">
        <f ca="1">IFERROR($K15*44/12*参考2_エネ使用量経年!AM16*参考2_エネ使用量経年!$K16,"")</f>
        <v/>
      </c>
      <c r="AN15" s="916" t="str">
        <f ca="1">IFERROR($H15*44/12*参考2_エネ使用量経年!AN16*参考2_エネ使用量経年!$H16,"")</f>
        <v/>
      </c>
      <c r="AO15" s="916" t="str">
        <f ca="1">IFERROR($I15*44/12*参考2_エネ使用量経年!AO16*参考2_エネ使用量経年!$I16,"")</f>
        <v/>
      </c>
      <c r="AP15" s="916" t="str">
        <f ca="1">IFERROR($J15*44/12*参考2_エネ使用量経年!AP16*参考2_エネ使用量経年!$J16,"")</f>
        <v/>
      </c>
      <c r="AQ15" s="916" t="str">
        <f ca="1">IFERROR($K15*44/12*参考2_エネ使用量経年!AQ16*参考2_エネ使用量経年!$K16,"")</f>
        <v/>
      </c>
      <c r="AR15" s="916" t="str">
        <f ca="1">IFERROR($H15*44/12*参考2_エネ使用量経年!AR16*参考2_エネ使用量経年!$H16,"")</f>
        <v/>
      </c>
      <c r="AS15" s="916" t="str">
        <f ca="1">IFERROR($I15*44/12*参考2_エネ使用量経年!AS16*参考2_エネ使用量経年!$I16,"")</f>
        <v/>
      </c>
      <c r="AT15" s="916" t="str">
        <f ca="1">IFERROR($J15*44/12*参考2_エネ使用量経年!AT16*参考2_エネ使用量経年!$J16,"")</f>
        <v/>
      </c>
      <c r="AU15" s="916" t="str">
        <f ca="1">IFERROR($K15*44/12*参考2_エネ使用量経年!AU16*参考2_エネ使用量経年!$K16,"")</f>
        <v/>
      </c>
      <c r="AV15" s="916" t="str">
        <f ca="1">IFERROR($H15*44/12*参考2_エネ使用量経年!AV16*参考2_エネ使用量経年!$H16,"")</f>
        <v/>
      </c>
      <c r="AW15" s="916" t="str">
        <f ca="1">IFERROR($I15*44/12*参考2_エネ使用量経年!AW16*参考2_エネ使用量経年!$I16,"")</f>
        <v/>
      </c>
      <c r="AX15" s="916" t="str">
        <f ca="1">IFERROR($J15*44/12*参考2_エネ使用量経年!AX16*参考2_エネ使用量経年!$J16,"")</f>
        <v/>
      </c>
      <c r="AY15" s="916" t="str">
        <f ca="1">IFERROR($K15*44/12*参考2_エネ使用量経年!AY16*参考2_エネ使用量経年!$K16,"")</f>
        <v/>
      </c>
      <c r="AZ15" s="916" t="str">
        <f ca="1">IFERROR($H15*44/12*参考2_エネ使用量経年!AZ16*参考2_エネ使用量経年!$H16,"")</f>
        <v/>
      </c>
      <c r="BA15" s="916" t="str">
        <f ca="1">IFERROR($I15*44/12*参考2_エネ使用量経年!BA16*参考2_エネ使用量経年!$I16,"")</f>
        <v/>
      </c>
      <c r="BB15" s="916" t="str">
        <f ca="1">IFERROR($J15*44/12*参考2_エネ使用量経年!BB16*参考2_エネ使用量経年!$J16,"")</f>
        <v/>
      </c>
      <c r="BC15" s="916" t="str">
        <f ca="1">IFERROR($K15*44/12*参考2_エネ使用量経年!BC16*参考2_エネ使用量経年!$K16,"")</f>
        <v/>
      </c>
      <c r="BD15" s="916" t="str">
        <f ca="1">IFERROR($H15*44/12*参考2_エネ使用量経年!BD16*参考2_エネ使用量経年!$H16,"")</f>
        <v/>
      </c>
      <c r="BE15" s="916" t="str">
        <f ca="1">IFERROR($I15*44/12*参考2_エネ使用量経年!BE16*参考2_エネ使用量経年!$I16,"")</f>
        <v/>
      </c>
      <c r="BF15" s="916" t="str">
        <f ca="1">IFERROR($J15*44/12*参考2_エネ使用量経年!BF16*参考2_エネ使用量経年!$J16,"")</f>
        <v/>
      </c>
      <c r="BG15" s="916" t="str">
        <f ca="1">IFERROR($K15*44/12*参考2_エネ使用量経年!BG16*参考2_エネ使用量経年!$K16,"")</f>
        <v/>
      </c>
      <c r="BH15" s="916" t="str">
        <f ca="1">IFERROR($H15*44/12*参考2_エネ使用量経年!BH16*参考2_エネ使用量経年!$H16,"")</f>
        <v/>
      </c>
      <c r="BI15" s="916" t="str">
        <f ca="1">IFERROR($I15*44/12*参考2_エネ使用量経年!BI16*参考2_エネ使用量経年!$I16,"")</f>
        <v/>
      </c>
      <c r="BJ15" s="916" t="str">
        <f ca="1">IFERROR($J15*44/12*参考2_エネ使用量経年!BJ16*参考2_エネ使用量経年!$J16,"")</f>
        <v/>
      </c>
      <c r="BK15" s="916" t="str">
        <f ca="1">IFERROR($K15*44/12*参考2_エネ使用量経年!BK16*参考2_エネ使用量経年!$K16,"")</f>
        <v/>
      </c>
      <c r="BL15" s="916" t="str">
        <f ca="1">IFERROR($H15*44/12*参考2_エネ使用量経年!BL16*参考2_エネ使用量経年!$H16,"")</f>
        <v/>
      </c>
      <c r="BM15" s="916" t="str">
        <f ca="1">IFERROR($I15*44/12*参考2_エネ使用量経年!BM16*参考2_エネ使用量経年!$I16,"")</f>
        <v/>
      </c>
      <c r="BN15" s="916" t="str">
        <f ca="1">IFERROR($J15*44/12*参考2_エネ使用量経年!BN16*参考2_エネ使用量経年!$J16,"")</f>
        <v/>
      </c>
      <c r="BO15" s="916" t="str">
        <f ca="1">IFERROR($K15*44/12*参考2_エネ使用量経年!BO16*参考2_エネ使用量経年!$K16,"")</f>
        <v/>
      </c>
    </row>
    <row r="16" spans="1:68" ht="20.100000000000001" hidden="1" customHeight="1" outlineLevel="1">
      <c r="A16" s="914">
        <v>16</v>
      </c>
      <c r="B16" s="1594"/>
      <c r="C16" s="1596"/>
      <c r="D16" s="785" t="s">
        <v>356</v>
      </c>
      <c r="E16" s="779"/>
      <c r="F16" s="786"/>
      <c r="G16" s="852" t="s">
        <v>1281</v>
      </c>
      <c r="H16" s="915">
        <f t="shared" ca="1" si="0"/>
        <v>2.0199999999999999E-2</v>
      </c>
      <c r="I16" s="915">
        <f t="shared" ca="1" si="1"/>
        <v>2.0199999999999999E-2</v>
      </c>
      <c r="J16" s="915">
        <f t="shared" ca="1" si="2"/>
        <v>2.0199999999999999E-2</v>
      </c>
      <c r="K16" s="915">
        <f t="shared" ca="1" si="3"/>
        <v>2.0199999999999999E-2</v>
      </c>
      <c r="L16" s="916">
        <f ca="1">IFERROR($H16*44/12*参考2_エネ使用量経年!L17*参考2_エネ使用量経年!$H17,"")</f>
        <v>0</v>
      </c>
      <c r="M16" s="916">
        <f ca="1">IFERROR($I16*44/12*参考2_エネ使用量経年!M17*参考2_エネ使用量経年!$I17,"")</f>
        <v>0</v>
      </c>
      <c r="N16" s="916">
        <f ca="1">IFERROR($J16*44/12*参考2_エネ使用量経年!N17*参考2_エネ使用量経年!$J17,"")</f>
        <v>0</v>
      </c>
      <c r="O16" s="916">
        <f ca="1">IFERROR($K16*44/12*参考2_エネ使用量経年!O17*参考2_エネ使用量経年!$K17,"")</f>
        <v>0</v>
      </c>
      <c r="P16" s="916">
        <f ca="1">IFERROR($H16*44/12*参考2_エネ使用量経年!P17*参考2_エネ使用量経年!$H17,"")</f>
        <v>0</v>
      </c>
      <c r="Q16" s="916">
        <f ca="1">IFERROR($I16*44/12*参考2_エネ使用量経年!Q17*参考2_エネ使用量経年!$I17,"")</f>
        <v>0</v>
      </c>
      <c r="R16" s="916">
        <f ca="1">IFERROR($J16*44/12*参考2_エネ使用量経年!R17*参考2_エネ使用量経年!$J17,"")</f>
        <v>0</v>
      </c>
      <c r="S16" s="916">
        <f ca="1">IFERROR($K16*44/12*参考2_エネ使用量経年!S17*参考2_エネ使用量経年!$K17,"")</f>
        <v>0</v>
      </c>
      <c r="T16" s="916">
        <f ca="1">IFERROR($H16*44/12*参考2_エネ使用量経年!T17*参考2_エネ使用量経年!$H17,"")</f>
        <v>0</v>
      </c>
      <c r="U16" s="916">
        <f ca="1">IFERROR($I16*44/12*参考2_エネ使用量経年!U17*参考2_エネ使用量経年!$I17,"")</f>
        <v>0</v>
      </c>
      <c r="V16" s="916">
        <f ca="1">IFERROR($J16*44/12*参考2_エネ使用量経年!V17*参考2_エネ使用量経年!$J17,"")</f>
        <v>0</v>
      </c>
      <c r="W16" s="916">
        <f ca="1">IFERROR($K16*44/12*参考2_エネ使用量経年!W17*参考2_エネ使用量経年!$K17,"")</f>
        <v>0</v>
      </c>
      <c r="X16" s="916">
        <f ca="1">IFERROR($H16*44/12*参考2_エネ使用量経年!X17*参考2_エネ使用量経年!$H17,"")</f>
        <v>0</v>
      </c>
      <c r="Y16" s="916">
        <f ca="1">IFERROR($I16*44/12*参考2_エネ使用量経年!Y17*参考2_エネ使用量経年!$I17,"")</f>
        <v>0</v>
      </c>
      <c r="Z16" s="916">
        <f ca="1">IFERROR($J16*44/12*参考2_エネ使用量経年!Z17*参考2_エネ使用量経年!$J17,"")</f>
        <v>0</v>
      </c>
      <c r="AA16" s="916">
        <f ca="1">IFERROR($K16*44/12*参考2_エネ使用量経年!AA17*参考2_エネ使用量経年!$K17,"")</f>
        <v>0</v>
      </c>
      <c r="AB16" s="916" t="str">
        <f ca="1">IFERROR($H16*44/12*参考2_エネ使用量経年!AB17*参考2_エネ使用量経年!$H17,"")</f>
        <v/>
      </c>
      <c r="AC16" s="916" t="str">
        <f ca="1">IFERROR($I16*44/12*参考2_エネ使用量経年!AC17*参考2_エネ使用量経年!$I17,"")</f>
        <v/>
      </c>
      <c r="AD16" s="916" t="str">
        <f ca="1">IFERROR($J16*44/12*参考2_エネ使用量経年!AD17*参考2_エネ使用量経年!$J17,"")</f>
        <v/>
      </c>
      <c r="AE16" s="916" t="str">
        <f ca="1">IFERROR($K16*44/12*参考2_エネ使用量経年!AE17*参考2_エネ使用量経年!$K17,"")</f>
        <v/>
      </c>
      <c r="AF16" s="916" t="str">
        <f ca="1">IFERROR($H16*44/12*参考2_エネ使用量経年!AF17*参考2_エネ使用量経年!$H17,"")</f>
        <v/>
      </c>
      <c r="AG16" s="916" t="str">
        <f ca="1">IFERROR($I16*44/12*参考2_エネ使用量経年!AG17*参考2_エネ使用量経年!$I17,"")</f>
        <v/>
      </c>
      <c r="AH16" s="916" t="str">
        <f ca="1">IFERROR($J16*44/12*参考2_エネ使用量経年!AH17*参考2_エネ使用量経年!$J17,"")</f>
        <v/>
      </c>
      <c r="AI16" s="916" t="str">
        <f ca="1">IFERROR($K16*44/12*参考2_エネ使用量経年!AI17*参考2_エネ使用量経年!$K17,"")</f>
        <v/>
      </c>
      <c r="AJ16" s="916" t="str">
        <f ca="1">IFERROR($H16*44/12*参考2_エネ使用量経年!AJ17*参考2_エネ使用量経年!$H17,"")</f>
        <v/>
      </c>
      <c r="AK16" s="916" t="str">
        <f ca="1">IFERROR($I16*44/12*参考2_エネ使用量経年!AK17*参考2_エネ使用量経年!$I17,"")</f>
        <v/>
      </c>
      <c r="AL16" s="916" t="str">
        <f ca="1">IFERROR($J16*44/12*参考2_エネ使用量経年!AL17*参考2_エネ使用量経年!$J17,"")</f>
        <v/>
      </c>
      <c r="AM16" s="916" t="str">
        <f ca="1">IFERROR($K16*44/12*参考2_エネ使用量経年!AM17*参考2_エネ使用量経年!$K17,"")</f>
        <v/>
      </c>
      <c r="AN16" s="916" t="str">
        <f ca="1">IFERROR($H16*44/12*参考2_エネ使用量経年!AN17*参考2_エネ使用量経年!$H17,"")</f>
        <v/>
      </c>
      <c r="AO16" s="916" t="str">
        <f ca="1">IFERROR($I16*44/12*参考2_エネ使用量経年!AO17*参考2_エネ使用量経年!$I17,"")</f>
        <v/>
      </c>
      <c r="AP16" s="916" t="str">
        <f ca="1">IFERROR($J16*44/12*参考2_エネ使用量経年!AP17*参考2_エネ使用量経年!$J17,"")</f>
        <v/>
      </c>
      <c r="AQ16" s="916" t="str">
        <f ca="1">IFERROR($K16*44/12*参考2_エネ使用量経年!AQ17*参考2_エネ使用量経年!$K17,"")</f>
        <v/>
      </c>
      <c r="AR16" s="916" t="str">
        <f ca="1">IFERROR($H16*44/12*参考2_エネ使用量経年!AR17*参考2_エネ使用量経年!$H17,"")</f>
        <v/>
      </c>
      <c r="AS16" s="916" t="str">
        <f ca="1">IFERROR($I16*44/12*参考2_エネ使用量経年!AS17*参考2_エネ使用量経年!$I17,"")</f>
        <v/>
      </c>
      <c r="AT16" s="916" t="str">
        <f ca="1">IFERROR($J16*44/12*参考2_エネ使用量経年!AT17*参考2_エネ使用量経年!$J17,"")</f>
        <v/>
      </c>
      <c r="AU16" s="916" t="str">
        <f ca="1">IFERROR($K16*44/12*参考2_エネ使用量経年!AU17*参考2_エネ使用量経年!$K17,"")</f>
        <v/>
      </c>
      <c r="AV16" s="916" t="str">
        <f ca="1">IFERROR($H16*44/12*参考2_エネ使用量経年!AV17*参考2_エネ使用量経年!$H17,"")</f>
        <v/>
      </c>
      <c r="AW16" s="916" t="str">
        <f ca="1">IFERROR($I16*44/12*参考2_エネ使用量経年!AW17*参考2_エネ使用量経年!$I17,"")</f>
        <v/>
      </c>
      <c r="AX16" s="916" t="str">
        <f ca="1">IFERROR($J16*44/12*参考2_エネ使用量経年!AX17*参考2_エネ使用量経年!$J17,"")</f>
        <v/>
      </c>
      <c r="AY16" s="916" t="str">
        <f ca="1">IFERROR($K16*44/12*参考2_エネ使用量経年!AY17*参考2_エネ使用量経年!$K17,"")</f>
        <v/>
      </c>
      <c r="AZ16" s="916" t="str">
        <f ca="1">IFERROR($H16*44/12*参考2_エネ使用量経年!AZ17*参考2_エネ使用量経年!$H17,"")</f>
        <v/>
      </c>
      <c r="BA16" s="916" t="str">
        <f ca="1">IFERROR($I16*44/12*参考2_エネ使用量経年!BA17*参考2_エネ使用量経年!$I17,"")</f>
        <v/>
      </c>
      <c r="BB16" s="916" t="str">
        <f ca="1">IFERROR($J16*44/12*参考2_エネ使用量経年!BB17*参考2_エネ使用量経年!$J17,"")</f>
        <v/>
      </c>
      <c r="BC16" s="916" t="str">
        <f ca="1">IFERROR($K16*44/12*参考2_エネ使用量経年!BC17*参考2_エネ使用量経年!$K17,"")</f>
        <v/>
      </c>
      <c r="BD16" s="916" t="str">
        <f ca="1">IFERROR($H16*44/12*参考2_エネ使用量経年!BD17*参考2_エネ使用量経年!$H17,"")</f>
        <v/>
      </c>
      <c r="BE16" s="916" t="str">
        <f ca="1">IFERROR($I16*44/12*参考2_エネ使用量経年!BE17*参考2_エネ使用量経年!$I17,"")</f>
        <v/>
      </c>
      <c r="BF16" s="916" t="str">
        <f ca="1">IFERROR($J16*44/12*参考2_エネ使用量経年!BF17*参考2_エネ使用量経年!$J17,"")</f>
        <v/>
      </c>
      <c r="BG16" s="916" t="str">
        <f ca="1">IFERROR($K16*44/12*参考2_エネ使用量経年!BG17*参考2_エネ使用量経年!$K17,"")</f>
        <v/>
      </c>
      <c r="BH16" s="916" t="str">
        <f ca="1">IFERROR($H16*44/12*参考2_エネ使用量経年!BH17*参考2_エネ使用量経年!$H17,"")</f>
        <v/>
      </c>
      <c r="BI16" s="916" t="str">
        <f ca="1">IFERROR($I16*44/12*参考2_エネ使用量経年!BI17*参考2_エネ使用量経年!$I17,"")</f>
        <v/>
      </c>
      <c r="BJ16" s="916" t="str">
        <f ca="1">IFERROR($J16*44/12*参考2_エネ使用量経年!BJ17*参考2_エネ使用量経年!$J17,"")</f>
        <v/>
      </c>
      <c r="BK16" s="916" t="str">
        <f ca="1">IFERROR($K16*44/12*参考2_エネ使用量経年!BK17*参考2_エネ使用量経年!$K17,"")</f>
        <v/>
      </c>
      <c r="BL16" s="916" t="str">
        <f ca="1">IFERROR($H16*44/12*参考2_エネ使用量経年!BL17*参考2_エネ使用量経年!$H17,"")</f>
        <v/>
      </c>
      <c r="BM16" s="916" t="str">
        <f ca="1">IFERROR($I16*44/12*参考2_エネ使用量経年!BM17*参考2_エネ使用量経年!$I17,"")</f>
        <v/>
      </c>
      <c r="BN16" s="916" t="str">
        <f ca="1">IFERROR($J16*44/12*参考2_エネ使用量経年!BN17*参考2_エネ使用量経年!$J17,"")</f>
        <v/>
      </c>
      <c r="BO16" s="916" t="str">
        <f ca="1">IFERROR($K16*44/12*参考2_エネ使用量経年!BO17*参考2_エネ使用量経年!$K17,"")</f>
        <v/>
      </c>
    </row>
    <row r="17" spans="1:67" ht="20.100000000000001" hidden="1" customHeight="1" outlineLevel="1">
      <c r="A17" s="914">
        <v>17</v>
      </c>
      <c r="B17" s="1594"/>
      <c r="C17" s="1596"/>
      <c r="D17" s="785" t="s">
        <v>358</v>
      </c>
      <c r="E17" s="785"/>
      <c r="F17" s="786"/>
      <c r="G17" s="852" t="s">
        <v>1281</v>
      </c>
      <c r="H17" s="915">
        <f t="shared" ca="1" si="0"/>
        <v>2.0400000000000001E-2</v>
      </c>
      <c r="I17" s="915">
        <f t="shared" ca="1" si="1"/>
        <v>2.0400000000000001E-2</v>
      </c>
      <c r="J17" s="915">
        <f t="shared" ca="1" si="2"/>
        <v>2.0400000000000001E-2</v>
      </c>
      <c r="K17" s="915">
        <f t="shared" ca="1" si="3"/>
        <v>2.0400000000000001E-2</v>
      </c>
      <c r="L17" s="916">
        <f ca="1">IFERROR($H17*44/12*参考2_エネ使用量経年!L18*参考2_エネ使用量経年!$H18,"")</f>
        <v>0</v>
      </c>
      <c r="M17" s="916">
        <f ca="1">IFERROR($I17*44/12*参考2_エネ使用量経年!M18*参考2_エネ使用量経年!$I18,"")</f>
        <v>0</v>
      </c>
      <c r="N17" s="916">
        <f ca="1">IFERROR($J17*44/12*参考2_エネ使用量経年!N18*参考2_エネ使用量経年!$J18,"")</f>
        <v>0</v>
      </c>
      <c r="O17" s="916">
        <f ca="1">IFERROR($K17*44/12*参考2_エネ使用量経年!O18*参考2_エネ使用量経年!$K18,"")</f>
        <v>0</v>
      </c>
      <c r="P17" s="916">
        <f ca="1">IFERROR($H17*44/12*参考2_エネ使用量経年!P18*参考2_エネ使用量経年!$H18,"")</f>
        <v>0</v>
      </c>
      <c r="Q17" s="916">
        <f ca="1">IFERROR($I17*44/12*参考2_エネ使用量経年!Q18*参考2_エネ使用量経年!$I18,"")</f>
        <v>0</v>
      </c>
      <c r="R17" s="916">
        <f ca="1">IFERROR($J17*44/12*参考2_エネ使用量経年!R18*参考2_エネ使用量経年!$J18,"")</f>
        <v>0</v>
      </c>
      <c r="S17" s="916">
        <f ca="1">IFERROR($K17*44/12*参考2_エネ使用量経年!S18*参考2_エネ使用量経年!$K18,"")</f>
        <v>0</v>
      </c>
      <c r="T17" s="916">
        <f ca="1">IFERROR($H17*44/12*参考2_エネ使用量経年!T18*参考2_エネ使用量経年!$H18,"")</f>
        <v>0</v>
      </c>
      <c r="U17" s="916">
        <f ca="1">IFERROR($I17*44/12*参考2_エネ使用量経年!U18*参考2_エネ使用量経年!$I18,"")</f>
        <v>0</v>
      </c>
      <c r="V17" s="916">
        <f ca="1">IFERROR($J17*44/12*参考2_エネ使用量経年!V18*参考2_エネ使用量経年!$J18,"")</f>
        <v>0</v>
      </c>
      <c r="W17" s="916">
        <f ca="1">IFERROR($K17*44/12*参考2_エネ使用量経年!W18*参考2_エネ使用量経年!$K18,"")</f>
        <v>0</v>
      </c>
      <c r="X17" s="916">
        <f ca="1">IFERROR($H17*44/12*参考2_エネ使用量経年!X18*参考2_エネ使用量経年!$H18,"")</f>
        <v>0</v>
      </c>
      <c r="Y17" s="916">
        <f ca="1">IFERROR($I17*44/12*参考2_エネ使用量経年!Y18*参考2_エネ使用量経年!$I18,"")</f>
        <v>0</v>
      </c>
      <c r="Z17" s="916">
        <f ca="1">IFERROR($J17*44/12*参考2_エネ使用量経年!Z18*参考2_エネ使用量経年!$J18,"")</f>
        <v>0</v>
      </c>
      <c r="AA17" s="916">
        <f ca="1">IFERROR($K17*44/12*参考2_エネ使用量経年!AA18*参考2_エネ使用量経年!$K18,"")</f>
        <v>0</v>
      </c>
      <c r="AB17" s="916" t="str">
        <f ca="1">IFERROR($H17*44/12*参考2_エネ使用量経年!AB18*参考2_エネ使用量経年!$H18,"")</f>
        <v/>
      </c>
      <c r="AC17" s="916" t="str">
        <f ca="1">IFERROR($I17*44/12*参考2_エネ使用量経年!AC18*参考2_エネ使用量経年!$I18,"")</f>
        <v/>
      </c>
      <c r="AD17" s="916" t="str">
        <f ca="1">IFERROR($J17*44/12*参考2_エネ使用量経年!AD18*参考2_エネ使用量経年!$J18,"")</f>
        <v/>
      </c>
      <c r="AE17" s="916" t="str">
        <f ca="1">IFERROR($K17*44/12*参考2_エネ使用量経年!AE18*参考2_エネ使用量経年!$K18,"")</f>
        <v/>
      </c>
      <c r="AF17" s="916" t="str">
        <f ca="1">IFERROR($H17*44/12*参考2_エネ使用量経年!AF18*参考2_エネ使用量経年!$H18,"")</f>
        <v/>
      </c>
      <c r="AG17" s="916" t="str">
        <f ca="1">IFERROR($I17*44/12*参考2_エネ使用量経年!AG18*参考2_エネ使用量経年!$I18,"")</f>
        <v/>
      </c>
      <c r="AH17" s="916" t="str">
        <f ca="1">IFERROR($J17*44/12*参考2_エネ使用量経年!AH18*参考2_エネ使用量経年!$J18,"")</f>
        <v/>
      </c>
      <c r="AI17" s="916" t="str">
        <f ca="1">IFERROR($K17*44/12*参考2_エネ使用量経年!AI18*参考2_エネ使用量経年!$K18,"")</f>
        <v/>
      </c>
      <c r="AJ17" s="916" t="str">
        <f ca="1">IFERROR($H17*44/12*参考2_エネ使用量経年!AJ18*参考2_エネ使用量経年!$H18,"")</f>
        <v/>
      </c>
      <c r="AK17" s="916" t="str">
        <f ca="1">IFERROR($I17*44/12*参考2_エネ使用量経年!AK18*参考2_エネ使用量経年!$I18,"")</f>
        <v/>
      </c>
      <c r="AL17" s="916" t="str">
        <f ca="1">IFERROR($J17*44/12*参考2_エネ使用量経年!AL18*参考2_エネ使用量経年!$J18,"")</f>
        <v/>
      </c>
      <c r="AM17" s="916" t="str">
        <f ca="1">IFERROR($K17*44/12*参考2_エネ使用量経年!AM18*参考2_エネ使用量経年!$K18,"")</f>
        <v/>
      </c>
      <c r="AN17" s="916" t="str">
        <f ca="1">IFERROR($H17*44/12*参考2_エネ使用量経年!AN18*参考2_エネ使用量経年!$H18,"")</f>
        <v/>
      </c>
      <c r="AO17" s="916" t="str">
        <f ca="1">IFERROR($I17*44/12*参考2_エネ使用量経年!AO18*参考2_エネ使用量経年!$I18,"")</f>
        <v/>
      </c>
      <c r="AP17" s="916" t="str">
        <f ca="1">IFERROR($J17*44/12*参考2_エネ使用量経年!AP18*参考2_エネ使用量経年!$J18,"")</f>
        <v/>
      </c>
      <c r="AQ17" s="916" t="str">
        <f ca="1">IFERROR($K17*44/12*参考2_エネ使用量経年!AQ18*参考2_エネ使用量経年!$K18,"")</f>
        <v/>
      </c>
      <c r="AR17" s="916" t="str">
        <f ca="1">IFERROR($H17*44/12*参考2_エネ使用量経年!AR18*参考2_エネ使用量経年!$H18,"")</f>
        <v/>
      </c>
      <c r="AS17" s="916" t="str">
        <f ca="1">IFERROR($I17*44/12*参考2_エネ使用量経年!AS18*参考2_エネ使用量経年!$I18,"")</f>
        <v/>
      </c>
      <c r="AT17" s="916" t="str">
        <f ca="1">IFERROR($J17*44/12*参考2_エネ使用量経年!AT18*参考2_エネ使用量経年!$J18,"")</f>
        <v/>
      </c>
      <c r="AU17" s="916" t="str">
        <f ca="1">IFERROR($K17*44/12*参考2_エネ使用量経年!AU18*参考2_エネ使用量経年!$K18,"")</f>
        <v/>
      </c>
      <c r="AV17" s="916" t="str">
        <f ca="1">IFERROR($H17*44/12*参考2_エネ使用量経年!AV18*参考2_エネ使用量経年!$H18,"")</f>
        <v/>
      </c>
      <c r="AW17" s="916" t="str">
        <f ca="1">IFERROR($I17*44/12*参考2_エネ使用量経年!AW18*参考2_エネ使用量経年!$I18,"")</f>
        <v/>
      </c>
      <c r="AX17" s="916" t="str">
        <f ca="1">IFERROR($J17*44/12*参考2_エネ使用量経年!AX18*参考2_エネ使用量経年!$J18,"")</f>
        <v/>
      </c>
      <c r="AY17" s="916" t="str">
        <f ca="1">IFERROR($K17*44/12*参考2_エネ使用量経年!AY18*参考2_エネ使用量経年!$K18,"")</f>
        <v/>
      </c>
      <c r="AZ17" s="916" t="str">
        <f ca="1">IFERROR($H17*44/12*参考2_エネ使用量経年!AZ18*参考2_エネ使用量経年!$H18,"")</f>
        <v/>
      </c>
      <c r="BA17" s="916" t="str">
        <f ca="1">IFERROR($I17*44/12*参考2_エネ使用量経年!BA18*参考2_エネ使用量経年!$I18,"")</f>
        <v/>
      </c>
      <c r="BB17" s="916" t="str">
        <f ca="1">IFERROR($J17*44/12*参考2_エネ使用量経年!BB18*参考2_エネ使用量経年!$J18,"")</f>
        <v/>
      </c>
      <c r="BC17" s="916" t="str">
        <f ca="1">IFERROR($K17*44/12*参考2_エネ使用量経年!BC18*参考2_エネ使用量経年!$K18,"")</f>
        <v/>
      </c>
      <c r="BD17" s="916" t="str">
        <f ca="1">IFERROR($H17*44/12*参考2_エネ使用量経年!BD18*参考2_エネ使用量経年!$H18,"")</f>
        <v/>
      </c>
      <c r="BE17" s="916" t="str">
        <f ca="1">IFERROR($I17*44/12*参考2_エネ使用量経年!BE18*参考2_エネ使用量経年!$I18,"")</f>
        <v/>
      </c>
      <c r="BF17" s="916" t="str">
        <f ca="1">IFERROR($J17*44/12*参考2_エネ使用量経年!BF18*参考2_エネ使用量経年!$J18,"")</f>
        <v/>
      </c>
      <c r="BG17" s="916" t="str">
        <f ca="1">IFERROR($K17*44/12*参考2_エネ使用量経年!BG18*参考2_エネ使用量経年!$K18,"")</f>
        <v/>
      </c>
      <c r="BH17" s="916" t="str">
        <f ca="1">IFERROR($H17*44/12*参考2_エネ使用量経年!BH18*参考2_エネ使用量経年!$H18,"")</f>
        <v/>
      </c>
      <c r="BI17" s="916" t="str">
        <f ca="1">IFERROR($I17*44/12*参考2_エネ使用量経年!BI18*参考2_エネ使用量経年!$I18,"")</f>
        <v/>
      </c>
      <c r="BJ17" s="916" t="str">
        <f ca="1">IFERROR($J17*44/12*参考2_エネ使用量経年!BJ18*参考2_エネ使用量経年!$J18,"")</f>
        <v/>
      </c>
      <c r="BK17" s="916" t="str">
        <f ca="1">IFERROR($K17*44/12*参考2_エネ使用量経年!BK18*参考2_エネ使用量経年!$K18,"")</f>
        <v/>
      </c>
      <c r="BL17" s="916" t="str">
        <f ca="1">IFERROR($H17*44/12*参考2_エネ使用量経年!BL18*参考2_エネ使用量経年!$H18,"")</f>
        <v/>
      </c>
      <c r="BM17" s="916" t="str">
        <f ca="1">IFERROR($I17*44/12*参考2_エネ使用量経年!BM18*参考2_エネ使用量経年!$I18,"")</f>
        <v/>
      </c>
      <c r="BN17" s="916" t="str">
        <f ca="1">IFERROR($J17*44/12*参考2_エネ使用量経年!BN18*参考2_エネ使用量経年!$J18,"")</f>
        <v/>
      </c>
      <c r="BO17" s="916" t="str">
        <f ca="1">IFERROR($K17*44/12*参考2_エネ使用量経年!BO18*参考2_エネ使用量経年!$K18,"")</f>
        <v/>
      </c>
    </row>
    <row r="18" spans="1:67" ht="20.100000000000001" hidden="1" customHeight="1" outlineLevel="1">
      <c r="A18" s="914">
        <v>18</v>
      </c>
      <c r="B18" s="1594"/>
      <c r="C18" s="1596"/>
      <c r="D18" s="785" t="s">
        <v>359</v>
      </c>
      <c r="E18" s="785"/>
      <c r="F18" s="786"/>
      <c r="G18" s="852" t="s">
        <v>1281</v>
      </c>
      <c r="H18" s="915">
        <f t="shared" ca="1" si="0"/>
        <v>2.5399999999999999E-2</v>
      </c>
      <c r="I18" s="915">
        <f t="shared" ca="1" si="1"/>
        <v>2.5399999999999999E-2</v>
      </c>
      <c r="J18" s="915">
        <f t="shared" ca="1" si="2"/>
        <v>2.5399999999999999E-2</v>
      </c>
      <c r="K18" s="915">
        <f t="shared" ca="1" si="3"/>
        <v>2.5399999999999999E-2</v>
      </c>
      <c r="L18" s="916">
        <f ca="1">IFERROR($H18*44/12*参考2_エネ使用量経年!L19*参考2_エネ使用量経年!$H19,"")</f>
        <v>0</v>
      </c>
      <c r="M18" s="916">
        <f ca="1">IFERROR($I18*44/12*参考2_エネ使用量経年!M19*参考2_エネ使用量経年!$I19,"")</f>
        <v>0</v>
      </c>
      <c r="N18" s="916">
        <f ca="1">IFERROR($J18*44/12*参考2_エネ使用量経年!N19*参考2_エネ使用量経年!$J19,"")</f>
        <v>0</v>
      </c>
      <c r="O18" s="916">
        <f ca="1">IFERROR($K18*44/12*参考2_エネ使用量経年!O19*参考2_エネ使用量経年!$K19,"")</f>
        <v>0</v>
      </c>
      <c r="P18" s="916">
        <f ca="1">IFERROR($H18*44/12*参考2_エネ使用量経年!P19*参考2_エネ使用量経年!$H19,"")</f>
        <v>0</v>
      </c>
      <c r="Q18" s="916">
        <f ca="1">IFERROR($I18*44/12*参考2_エネ使用量経年!Q19*参考2_エネ使用量経年!$I19,"")</f>
        <v>0</v>
      </c>
      <c r="R18" s="916">
        <f ca="1">IFERROR($J18*44/12*参考2_エネ使用量経年!R19*参考2_エネ使用量経年!$J19,"")</f>
        <v>0</v>
      </c>
      <c r="S18" s="916">
        <f ca="1">IFERROR($K18*44/12*参考2_エネ使用量経年!S19*参考2_エネ使用量経年!$K19,"")</f>
        <v>0</v>
      </c>
      <c r="T18" s="916">
        <f ca="1">IFERROR($H18*44/12*参考2_エネ使用量経年!T19*参考2_エネ使用量経年!$H19,"")</f>
        <v>0</v>
      </c>
      <c r="U18" s="916">
        <f ca="1">IFERROR($I18*44/12*参考2_エネ使用量経年!U19*参考2_エネ使用量経年!$I19,"")</f>
        <v>0</v>
      </c>
      <c r="V18" s="916">
        <f ca="1">IFERROR($J18*44/12*参考2_エネ使用量経年!V19*参考2_エネ使用量経年!$J19,"")</f>
        <v>0</v>
      </c>
      <c r="W18" s="916">
        <f ca="1">IFERROR($K18*44/12*参考2_エネ使用量経年!W19*参考2_エネ使用量経年!$K19,"")</f>
        <v>0</v>
      </c>
      <c r="X18" s="916">
        <f ca="1">IFERROR($H18*44/12*参考2_エネ使用量経年!X19*参考2_エネ使用量経年!$H19,"")</f>
        <v>0</v>
      </c>
      <c r="Y18" s="916">
        <f ca="1">IFERROR($I18*44/12*参考2_エネ使用量経年!Y19*参考2_エネ使用量経年!$I19,"")</f>
        <v>0</v>
      </c>
      <c r="Z18" s="916">
        <f ca="1">IFERROR($J18*44/12*参考2_エネ使用量経年!Z19*参考2_エネ使用量経年!$J19,"")</f>
        <v>0</v>
      </c>
      <c r="AA18" s="916">
        <f ca="1">IFERROR($K18*44/12*参考2_エネ使用量経年!AA19*参考2_エネ使用量経年!$K19,"")</f>
        <v>0</v>
      </c>
      <c r="AB18" s="916" t="str">
        <f ca="1">IFERROR($H18*44/12*参考2_エネ使用量経年!AB19*参考2_エネ使用量経年!$H19,"")</f>
        <v/>
      </c>
      <c r="AC18" s="916" t="str">
        <f ca="1">IFERROR($I18*44/12*参考2_エネ使用量経年!AC19*参考2_エネ使用量経年!$I19,"")</f>
        <v/>
      </c>
      <c r="AD18" s="916" t="str">
        <f ca="1">IFERROR($J18*44/12*参考2_エネ使用量経年!AD19*参考2_エネ使用量経年!$J19,"")</f>
        <v/>
      </c>
      <c r="AE18" s="916" t="str">
        <f ca="1">IFERROR($K18*44/12*参考2_エネ使用量経年!AE19*参考2_エネ使用量経年!$K19,"")</f>
        <v/>
      </c>
      <c r="AF18" s="916" t="str">
        <f ca="1">IFERROR($H18*44/12*参考2_エネ使用量経年!AF19*参考2_エネ使用量経年!$H19,"")</f>
        <v/>
      </c>
      <c r="AG18" s="916" t="str">
        <f ca="1">IFERROR($I18*44/12*参考2_エネ使用量経年!AG19*参考2_エネ使用量経年!$I19,"")</f>
        <v/>
      </c>
      <c r="AH18" s="916" t="str">
        <f ca="1">IFERROR($J18*44/12*参考2_エネ使用量経年!AH19*参考2_エネ使用量経年!$J19,"")</f>
        <v/>
      </c>
      <c r="AI18" s="916" t="str">
        <f ca="1">IFERROR($K18*44/12*参考2_エネ使用量経年!AI19*参考2_エネ使用量経年!$K19,"")</f>
        <v/>
      </c>
      <c r="AJ18" s="916" t="str">
        <f ca="1">IFERROR($H18*44/12*参考2_エネ使用量経年!AJ19*参考2_エネ使用量経年!$H19,"")</f>
        <v/>
      </c>
      <c r="AK18" s="916" t="str">
        <f ca="1">IFERROR($I18*44/12*参考2_エネ使用量経年!AK19*参考2_エネ使用量経年!$I19,"")</f>
        <v/>
      </c>
      <c r="AL18" s="916" t="str">
        <f ca="1">IFERROR($J18*44/12*参考2_エネ使用量経年!AL19*参考2_エネ使用量経年!$J19,"")</f>
        <v/>
      </c>
      <c r="AM18" s="916" t="str">
        <f ca="1">IFERROR($K18*44/12*参考2_エネ使用量経年!AM19*参考2_エネ使用量経年!$K19,"")</f>
        <v/>
      </c>
      <c r="AN18" s="916" t="str">
        <f ca="1">IFERROR($H18*44/12*参考2_エネ使用量経年!AN19*参考2_エネ使用量経年!$H19,"")</f>
        <v/>
      </c>
      <c r="AO18" s="916" t="str">
        <f ca="1">IFERROR($I18*44/12*参考2_エネ使用量経年!AO19*参考2_エネ使用量経年!$I19,"")</f>
        <v/>
      </c>
      <c r="AP18" s="916" t="str">
        <f ca="1">IFERROR($J18*44/12*参考2_エネ使用量経年!AP19*参考2_エネ使用量経年!$J19,"")</f>
        <v/>
      </c>
      <c r="AQ18" s="916" t="str">
        <f ca="1">IFERROR($K18*44/12*参考2_エネ使用量経年!AQ19*参考2_エネ使用量経年!$K19,"")</f>
        <v/>
      </c>
      <c r="AR18" s="916" t="str">
        <f ca="1">IFERROR($H18*44/12*参考2_エネ使用量経年!AR19*参考2_エネ使用量経年!$H19,"")</f>
        <v/>
      </c>
      <c r="AS18" s="916" t="str">
        <f ca="1">IFERROR($I18*44/12*参考2_エネ使用量経年!AS19*参考2_エネ使用量経年!$I19,"")</f>
        <v/>
      </c>
      <c r="AT18" s="916" t="str">
        <f ca="1">IFERROR($J18*44/12*参考2_エネ使用量経年!AT19*参考2_エネ使用量経年!$J19,"")</f>
        <v/>
      </c>
      <c r="AU18" s="916" t="str">
        <f ca="1">IFERROR($K18*44/12*参考2_エネ使用量経年!AU19*参考2_エネ使用量経年!$K19,"")</f>
        <v/>
      </c>
      <c r="AV18" s="916" t="str">
        <f ca="1">IFERROR($H18*44/12*参考2_エネ使用量経年!AV19*参考2_エネ使用量経年!$H19,"")</f>
        <v/>
      </c>
      <c r="AW18" s="916" t="str">
        <f ca="1">IFERROR($I18*44/12*参考2_エネ使用量経年!AW19*参考2_エネ使用量経年!$I19,"")</f>
        <v/>
      </c>
      <c r="AX18" s="916" t="str">
        <f ca="1">IFERROR($J18*44/12*参考2_エネ使用量経年!AX19*参考2_エネ使用量経年!$J19,"")</f>
        <v/>
      </c>
      <c r="AY18" s="916" t="str">
        <f ca="1">IFERROR($K18*44/12*参考2_エネ使用量経年!AY19*参考2_エネ使用量経年!$K19,"")</f>
        <v/>
      </c>
      <c r="AZ18" s="916" t="str">
        <f ca="1">IFERROR($H18*44/12*参考2_エネ使用量経年!AZ19*参考2_エネ使用量経年!$H19,"")</f>
        <v/>
      </c>
      <c r="BA18" s="916" t="str">
        <f ca="1">IFERROR($I18*44/12*参考2_エネ使用量経年!BA19*参考2_エネ使用量経年!$I19,"")</f>
        <v/>
      </c>
      <c r="BB18" s="916" t="str">
        <f ca="1">IFERROR($J18*44/12*参考2_エネ使用量経年!BB19*参考2_エネ使用量経年!$J19,"")</f>
        <v/>
      </c>
      <c r="BC18" s="916" t="str">
        <f ca="1">IFERROR($K18*44/12*参考2_エネ使用量経年!BC19*参考2_エネ使用量経年!$K19,"")</f>
        <v/>
      </c>
      <c r="BD18" s="916" t="str">
        <f ca="1">IFERROR($H18*44/12*参考2_エネ使用量経年!BD19*参考2_エネ使用量経年!$H19,"")</f>
        <v/>
      </c>
      <c r="BE18" s="916" t="str">
        <f ca="1">IFERROR($I18*44/12*参考2_エネ使用量経年!BE19*参考2_エネ使用量経年!$I19,"")</f>
        <v/>
      </c>
      <c r="BF18" s="916" t="str">
        <f ca="1">IFERROR($J18*44/12*参考2_エネ使用量経年!BF19*参考2_エネ使用量経年!$J19,"")</f>
        <v/>
      </c>
      <c r="BG18" s="916" t="str">
        <f ca="1">IFERROR($K18*44/12*参考2_エネ使用量経年!BG19*参考2_エネ使用量経年!$K19,"")</f>
        <v/>
      </c>
      <c r="BH18" s="916" t="str">
        <f ca="1">IFERROR($H18*44/12*参考2_エネ使用量経年!BH19*参考2_エネ使用量経年!$H19,"")</f>
        <v/>
      </c>
      <c r="BI18" s="916" t="str">
        <f ca="1">IFERROR($I18*44/12*参考2_エネ使用量経年!BI19*参考2_エネ使用量経年!$I19,"")</f>
        <v/>
      </c>
      <c r="BJ18" s="916" t="str">
        <f ca="1">IFERROR($J18*44/12*参考2_エネ使用量経年!BJ19*参考2_エネ使用量経年!$J19,"")</f>
        <v/>
      </c>
      <c r="BK18" s="916" t="str">
        <f ca="1">IFERROR($K18*44/12*参考2_エネ使用量経年!BK19*参考2_エネ使用量経年!$K19,"")</f>
        <v/>
      </c>
      <c r="BL18" s="916" t="str">
        <f ca="1">IFERROR($H18*44/12*参考2_エネ使用量経年!BL19*参考2_エネ使用量経年!$H19,"")</f>
        <v/>
      </c>
      <c r="BM18" s="916" t="str">
        <f ca="1">IFERROR($I18*44/12*参考2_エネ使用量経年!BM19*参考2_エネ使用量経年!$I19,"")</f>
        <v/>
      </c>
      <c r="BN18" s="916" t="str">
        <f ca="1">IFERROR($J18*44/12*参考2_エネ使用量経年!BN19*参考2_エネ使用量経年!$J19,"")</f>
        <v/>
      </c>
      <c r="BO18" s="916" t="str">
        <f ca="1">IFERROR($K18*44/12*参考2_エネ使用量経年!BO19*参考2_エネ使用量経年!$K19,"")</f>
        <v/>
      </c>
    </row>
    <row r="19" spans="1:67" ht="20.100000000000001" hidden="1" customHeight="1" outlineLevel="1">
      <c r="A19" s="914">
        <v>19</v>
      </c>
      <c r="B19" s="1595"/>
      <c r="C19" s="1596"/>
      <c r="D19" s="785" t="s">
        <v>360</v>
      </c>
      <c r="E19" s="785"/>
      <c r="F19" s="786"/>
      <c r="G19" s="852" t="s">
        <v>1281</v>
      </c>
      <c r="H19" s="915">
        <f t="shared" ca="1" si="0"/>
        <v>1.6299999999999999E-2</v>
      </c>
      <c r="I19" s="915">
        <f t="shared" ca="1" si="1"/>
        <v>1.6299999999999999E-2</v>
      </c>
      <c r="J19" s="915">
        <f t="shared" ca="1" si="2"/>
        <v>1.6299999999999999E-2</v>
      </c>
      <c r="K19" s="915">
        <f t="shared" ca="1" si="3"/>
        <v>1.6299999999999999E-2</v>
      </c>
      <c r="L19" s="916">
        <f ca="1">IFERROR($H19*44/12*参考2_エネ使用量経年!L20*参考2_エネ使用量経年!$H20,"")</f>
        <v>0</v>
      </c>
      <c r="M19" s="916">
        <f ca="1">IFERROR($I19*44/12*参考2_エネ使用量経年!M20*参考2_エネ使用量経年!$I20,"")</f>
        <v>0</v>
      </c>
      <c r="N19" s="916">
        <f ca="1">IFERROR($J19*44/12*参考2_エネ使用量経年!N20*参考2_エネ使用量経年!$J20,"")</f>
        <v>0</v>
      </c>
      <c r="O19" s="916">
        <f ca="1">IFERROR($K19*44/12*参考2_エネ使用量経年!O20*参考2_エネ使用量経年!$K20,"")</f>
        <v>0</v>
      </c>
      <c r="P19" s="916">
        <f ca="1">IFERROR($H19*44/12*参考2_エネ使用量経年!P20*参考2_エネ使用量経年!$H20,"")</f>
        <v>0</v>
      </c>
      <c r="Q19" s="916">
        <f ca="1">IFERROR($I19*44/12*参考2_エネ使用量経年!Q20*参考2_エネ使用量経年!$I20,"")</f>
        <v>0</v>
      </c>
      <c r="R19" s="916">
        <f ca="1">IFERROR($J19*44/12*参考2_エネ使用量経年!R20*参考2_エネ使用量経年!$J20,"")</f>
        <v>0</v>
      </c>
      <c r="S19" s="916">
        <f ca="1">IFERROR($K19*44/12*参考2_エネ使用量経年!S20*参考2_エネ使用量経年!$K20,"")</f>
        <v>0</v>
      </c>
      <c r="T19" s="916">
        <f ca="1">IFERROR($H19*44/12*参考2_エネ使用量経年!T20*参考2_エネ使用量経年!$H20,"")</f>
        <v>0</v>
      </c>
      <c r="U19" s="916">
        <f ca="1">IFERROR($I19*44/12*参考2_エネ使用量経年!U20*参考2_エネ使用量経年!$I20,"")</f>
        <v>0</v>
      </c>
      <c r="V19" s="916">
        <f ca="1">IFERROR($J19*44/12*参考2_エネ使用量経年!V20*参考2_エネ使用量経年!$J20,"")</f>
        <v>0</v>
      </c>
      <c r="W19" s="916">
        <f ca="1">IFERROR($K19*44/12*参考2_エネ使用量経年!W20*参考2_エネ使用量経年!$K20,"")</f>
        <v>0</v>
      </c>
      <c r="X19" s="916">
        <f ca="1">IFERROR($H19*44/12*参考2_エネ使用量経年!X20*参考2_エネ使用量経年!$H20,"")</f>
        <v>0</v>
      </c>
      <c r="Y19" s="916">
        <f ca="1">IFERROR($I19*44/12*参考2_エネ使用量経年!Y20*参考2_エネ使用量経年!$I20,"")</f>
        <v>0</v>
      </c>
      <c r="Z19" s="916">
        <f ca="1">IFERROR($J19*44/12*参考2_エネ使用量経年!Z20*参考2_エネ使用量経年!$J20,"")</f>
        <v>0</v>
      </c>
      <c r="AA19" s="916">
        <f ca="1">IFERROR($K19*44/12*参考2_エネ使用量経年!AA20*参考2_エネ使用量経年!$K20,"")</f>
        <v>0</v>
      </c>
      <c r="AB19" s="916" t="str">
        <f ca="1">IFERROR($H19*44/12*参考2_エネ使用量経年!AB20*参考2_エネ使用量経年!$H20,"")</f>
        <v/>
      </c>
      <c r="AC19" s="916" t="str">
        <f ca="1">IFERROR($I19*44/12*参考2_エネ使用量経年!AC20*参考2_エネ使用量経年!$I20,"")</f>
        <v/>
      </c>
      <c r="AD19" s="916" t="str">
        <f ca="1">IFERROR($J19*44/12*参考2_エネ使用量経年!AD20*参考2_エネ使用量経年!$J20,"")</f>
        <v/>
      </c>
      <c r="AE19" s="916" t="str">
        <f ca="1">IFERROR($K19*44/12*参考2_エネ使用量経年!AE20*参考2_エネ使用量経年!$K20,"")</f>
        <v/>
      </c>
      <c r="AF19" s="916" t="str">
        <f ca="1">IFERROR($H19*44/12*参考2_エネ使用量経年!AF20*参考2_エネ使用量経年!$H20,"")</f>
        <v/>
      </c>
      <c r="AG19" s="916" t="str">
        <f ca="1">IFERROR($I19*44/12*参考2_エネ使用量経年!AG20*参考2_エネ使用量経年!$I20,"")</f>
        <v/>
      </c>
      <c r="AH19" s="916" t="str">
        <f ca="1">IFERROR($J19*44/12*参考2_エネ使用量経年!AH20*参考2_エネ使用量経年!$J20,"")</f>
        <v/>
      </c>
      <c r="AI19" s="916" t="str">
        <f ca="1">IFERROR($K19*44/12*参考2_エネ使用量経年!AI20*参考2_エネ使用量経年!$K20,"")</f>
        <v/>
      </c>
      <c r="AJ19" s="916" t="str">
        <f ca="1">IFERROR($H19*44/12*参考2_エネ使用量経年!AJ20*参考2_エネ使用量経年!$H20,"")</f>
        <v/>
      </c>
      <c r="AK19" s="916" t="str">
        <f ca="1">IFERROR($I19*44/12*参考2_エネ使用量経年!AK20*参考2_エネ使用量経年!$I20,"")</f>
        <v/>
      </c>
      <c r="AL19" s="916" t="str">
        <f ca="1">IFERROR($J19*44/12*参考2_エネ使用量経年!AL20*参考2_エネ使用量経年!$J20,"")</f>
        <v/>
      </c>
      <c r="AM19" s="916" t="str">
        <f ca="1">IFERROR($K19*44/12*参考2_エネ使用量経年!AM20*参考2_エネ使用量経年!$K20,"")</f>
        <v/>
      </c>
      <c r="AN19" s="916" t="str">
        <f ca="1">IFERROR($H19*44/12*参考2_エネ使用量経年!AN20*参考2_エネ使用量経年!$H20,"")</f>
        <v/>
      </c>
      <c r="AO19" s="916" t="str">
        <f ca="1">IFERROR($I19*44/12*参考2_エネ使用量経年!AO20*参考2_エネ使用量経年!$I20,"")</f>
        <v/>
      </c>
      <c r="AP19" s="916" t="str">
        <f ca="1">IFERROR($J19*44/12*参考2_エネ使用量経年!AP20*参考2_エネ使用量経年!$J20,"")</f>
        <v/>
      </c>
      <c r="AQ19" s="916" t="str">
        <f ca="1">IFERROR($K19*44/12*参考2_エネ使用量経年!AQ20*参考2_エネ使用量経年!$K20,"")</f>
        <v/>
      </c>
      <c r="AR19" s="916" t="str">
        <f ca="1">IFERROR($H19*44/12*参考2_エネ使用量経年!AR20*参考2_エネ使用量経年!$H20,"")</f>
        <v/>
      </c>
      <c r="AS19" s="916" t="str">
        <f ca="1">IFERROR($I19*44/12*参考2_エネ使用量経年!AS20*参考2_エネ使用量経年!$I20,"")</f>
        <v/>
      </c>
      <c r="AT19" s="916" t="str">
        <f ca="1">IFERROR($J19*44/12*参考2_エネ使用量経年!AT20*参考2_エネ使用量経年!$J20,"")</f>
        <v/>
      </c>
      <c r="AU19" s="916" t="str">
        <f ca="1">IFERROR($K19*44/12*参考2_エネ使用量経年!AU20*参考2_エネ使用量経年!$K20,"")</f>
        <v/>
      </c>
      <c r="AV19" s="916" t="str">
        <f ca="1">IFERROR($H19*44/12*参考2_エネ使用量経年!AV20*参考2_エネ使用量経年!$H20,"")</f>
        <v/>
      </c>
      <c r="AW19" s="916" t="str">
        <f ca="1">IFERROR($I19*44/12*参考2_エネ使用量経年!AW20*参考2_エネ使用量経年!$I20,"")</f>
        <v/>
      </c>
      <c r="AX19" s="916" t="str">
        <f ca="1">IFERROR($J19*44/12*参考2_エネ使用量経年!AX20*参考2_エネ使用量経年!$J20,"")</f>
        <v/>
      </c>
      <c r="AY19" s="916" t="str">
        <f ca="1">IFERROR($K19*44/12*参考2_エネ使用量経年!AY20*参考2_エネ使用量経年!$K20,"")</f>
        <v/>
      </c>
      <c r="AZ19" s="916" t="str">
        <f ca="1">IFERROR($H19*44/12*参考2_エネ使用量経年!AZ20*参考2_エネ使用量経年!$H20,"")</f>
        <v/>
      </c>
      <c r="BA19" s="916" t="str">
        <f ca="1">IFERROR($I19*44/12*参考2_エネ使用量経年!BA20*参考2_エネ使用量経年!$I20,"")</f>
        <v/>
      </c>
      <c r="BB19" s="916" t="str">
        <f ca="1">IFERROR($J19*44/12*参考2_エネ使用量経年!BB20*参考2_エネ使用量経年!$J20,"")</f>
        <v/>
      </c>
      <c r="BC19" s="916" t="str">
        <f ca="1">IFERROR($K19*44/12*参考2_エネ使用量経年!BC20*参考2_エネ使用量経年!$K20,"")</f>
        <v/>
      </c>
      <c r="BD19" s="916" t="str">
        <f ca="1">IFERROR($H19*44/12*参考2_エネ使用量経年!BD20*参考2_エネ使用量経年!$H20,"")</f>
        <v/>
      </c>
      <c r="BE19" s="916" t="str">
        <f ca="1">IFERROR($I19*44/12*参考2_エネ使用量経年!BE20*参考2_エネ使用量経年!$I20,"")</f>
        <v/>
      </c>
      <c r="BF19" s="916" t="str">
        <f ca="1">IFERROR($J19*44/12*参考2_エネ使用量経年!BF20*参考2_エネ使用量経年!$J20,"")</f>
        <v/>
      </c>
      <c r="BG19" s="916" t="str">
        <f ca="1">IFERROR($K19*44/12*参考2_エネ使用量経年!BG20*参考2_エネ使用量経年!$K20,"")</f>
        <v/>
      </c>
      <c r="BH19" s="916" t="str">
        <f ca="1">IFERROR($H19*44/12*参考2_エネ使用量経年!BH20*参考2_エネ使用量経年!$H20,"")</f>
        <v/>
      </c>
      <c r="BI19" s="916" t="str">
        <f ca="1">IFERROR($I19*44/12*参考2_エネ使用量経年!BI20*参考2_エネ使用量経年!$I20,"")</f>
        <v/>
      </c>
      <c r="BJ19" s="916" t="str">
        <f ca="1">IFERROR($J19*44/12*参考2_エネ使用量経年!BJ20*参考2_エネ使用量経年!$J20,"")</f>
        <v/>
      </c>
      <c r="BK19" s="916" t="str">
        <f ca="1">IFERROR($K19*44/12*参考2_エネ使用量経年!BK20*参考2_エネ使用量経年!$K20,"")</f>
        <v/>
      </c>
      <c r="BL19" s="916" t="str">
        <f ca="1">IFERROR($H19*44/12*参考2_エネ使用量経年!BL20*参考2_エネ使用量経年!$H20,"")</f>
        <v/>
      </c>
      <c r="BM19" s="916" t="str">
        <f ca="1">IFERROR($I19*44/12*参考2_エネ使用量経年!BM20*参考2_エネ使用量経年!$I20,"")</f>
        <v/>
      </c>
      <c r="BN19" s="916" t="str">
        <f ca="1">IFERROR($J19*44/12*参考2_エネ使用量経年!BN20*参考2_エネ使用量経年!$J20,"")</f>
        <v/>
      </c>
      <c r="BO19" s="916" t="str">
        <f ca="1">IFERROR($K19*44/12*参考2_エネ使用量経年!BO20*参考2_エネ使用量経年!$K20,"")</f>
        <v/>
      </c>
    </row>
    <row r="20" spans="1:67" ht="20.100000000000001" hidden="1" customHeight="1" outlineLevel="1">
      <c r="A20" s="914">
        <v>20</v>
      </c>
      <c r="B20" s="1594"/>
      <c r="C20" s="1596"/>
      <c r="D20" s="785" t="s">
        <v>361</v>
      </c>
      <c r="E20" s="785"/>
      <c r="F20" s="786"/>
      <c r="G20" s="852" t="s">
        <v>1281</v>
      </c>
      <c r="H20" s="915">
        <f t="shared" ca="1" si="0"/>
        <v>1.44E-2</v>
      </c>
      <c r="I20" s="915">
        <f t="shared" ca="1" si="1"/>
        <v>1.44E-2</v>
      </c>
      <c r="J20" s="915">
        <f t="shared" ca="1" si="2"/>
        <v>1.44E-2</v>
      </c>
      <c r="K20" s="915">
        <f t="shared" ca="1" si="3"/>
        <v>1.44E-2</v>
      </c>
      <c r="L20" s="916">
        <f ca="1">IFERROR($H20*44/12*参考2_エネ使用量経年!L21*参考2_エネ使用量経年!$H21,"")</f>
        <v>0</v>
      </c>
      <c r="M20" s="916">
        <f ca="1">IFERROR($I20*44/12*参考2_エネ使用量経年!M21*参考2_エネ使用量経年!$I21,"")</f>
        <v>0</v>
      </c>
      <c r="N20" s="916">
        <f ca="1">IFERROR($J20*44/12*参考2_エネ使用量経年!N21*参考2_エネ使用量経年!$J21,"")</f>
        <v>0</v>
      </c>
      <c r="O20" s="916">
        <f ca="1">IFERROR($K20*44/12*参考2_エネ使用量経年!O21*参考2_エネ使用量経年!$K21,"")</f>
        <v>0</v>
      </c>
      <c r="P20" s="916">
        <f ca="1">IFERROR($H20*44/12*参考2_エネ使用量経年!P21*参考2_エネ使用量経年!$H21,"")</f>
        <v>0</v>
      </c>
      <c r="Q20" s="916">
        <f ca="1">IFERROR($I20*44/12*参考2_エネ使用量経年!Q21*参考2_エネ使用量経年!$I21,"")</f>
        <v>0</v>
      </c>
      <c r="R20" s="916">
        <f ca="1">IFERROR($J20*44/12*参考2_エネ使用量経年!R21*参考2_エネ使用量経年!$J21,"")</f>
        <v>0</v>
      </c>
      <c r="S20" s="916">
        <f ca="1">IFERROR($K20*44/12*参考2_エネ使用量経年!S21*参考2_エネ使用量経年!$K21,"")</f>
        <v>0</v>
      </c>
      <c r="T20" s="916">
        <f ca="1">IFERROR($H20*44/12*参考2_エネ使用量経年!T21*参考2_エネ使用量経年!$H21,"")</f>
        <v>0</v>
      </c>
      <c r="U20" s="916">
        <f ca="1">IFERROR($I20*44/12*参考2_エネ使用量経年!U21*参考2_エネ使用量経年!$I21,"")</f>
        <v>0</v>
      </c>
      <c r="V20" s="916">
        <f ca="1">IFERROR($J20*44/12*参考2_エネ使用量経年!V21*参考2_エネ使用量経年!$J21,"")</f>
        <v>0</v>
      </c>
      <c r="W20" s="916">
        <f ca="1">IFERROR($K20*44/12*参考2_エネ使用量経年!W21*参考2_エネ使用量経年!$K21,"")</f>
        <v>0</v>
      </c>
      <c r="X20" s="916">
        <f ca="1">IFERROR($H20*44/12*参考2_エネ使用量経年!X21*参考2_エネ使用量経年!$H21,"")</f>
        <v>0</v>
      </c>
      <c r="Y20" s="916">
        <f ca="1">IFERROR($I20*44/12*参考2_エネ使用量経年!Y21*参考2_エネ使用量経年!$I21,"")</f>
        <v>0</v>
      </c>
      <c r="Z20" s="916">
        <f ca="1">IFERROR($J20*44/12*参考2_エネ使用量経年!Z21*参考2_エネ使用量経年!$J21,"")</f>
        <v>0</v>
      </c>
      <c r="AA20" s="916">
        <f ca="1">IFERROR($K20*44/12*参考2_エネ使用量経年!AA21*参考2_エネ使用量経年!$K21,"")</f>
        <v>0</v>
      </c>
      <c r="AB20" s="916" t="str">
        <f ca="1">IFERROR($H20*44/12*参考2_エネ使用量経年!AB21*参考2_エネ使用量経年!$H21,"")</f>
        <v/>
      </c>
      <c r="AC20" s="916" t="str">
        <f ca="1">IFERROR($I20*44/12*参考2_エネ使用量経年!AC21*参考2_エネ使用量経年!$I21,"")</f>
        <v/>
      </c>
      <c r="AD20" s="916" t="str">
        <f ca="1">IFERROR($J20*44/12*参考2_エネ使用量経年!AD21*参考2_エネ使用量経年!$J21,"")</f>
        <v/>
      </c>
      <c r="AE20" s="916" t="str">
        <f ca="1">IFERROR($K20*44/12*参考2_エネ使用量経年!AE21*参考2_エネ使用量経年!$K21,"")</f>
        <v/>
      </c>
      <c r="AF20" s="916" t="str">
        <f ca="1">IFERROR($H20*44/12*参考2_エネ使用量経年!AF21*参考2_エネ使用量経年!$H21,"")</f>
        <v/>
      </c>
      <c r="AG20" s="916" t="str">
        <f ca="1">IFERROR($I20*44/12*参考2_エネ使用量経年!AG21*参考2_エネ使用量経年!$I21,"")</f>
        <v/>
      </c>
      <c r="AH20" s="916" t="str">
        <f ca="1">IFERROR($J20*44/12*参考2_エネ使用量経年!AH21*参考2_エネ使用量経年!$J21,"")</f>
        <v/>
      </c>
      <c r="AI20" s="916" t="str">
        <f ca="1">IFERROR($K20*44/12*参考2_エネ使用量経年!AI21*参考2_エネ使用量経年!$K21,"")</f>
        <v/>
      </c>
      <c r="AJ20" s="916" t="str">
        <f ca="1">IFERROR($H20*44/12*参考2_エネ使用量経年!AJ21*参考2_エネ使用量経年!$H21,"")</f>
        <v/>
      </c>
      <c r="AK20" s="916" t="str">
        <f ca="1">IFERROR($I20*44/12*参考2_エネ使用量経年!AK21*参考2_エネ使用量経年!$I21,"")</f>
        <v/>
      </c>
      <c r="AL20" s="916" t="str">
        <f ca="1">IFERROR($J20*44/12*参考2_エネ使用量経年!AL21*参考2_エネ使用量経年!$J21,"")</f>
        <v/>
      </c>
      <c r="AM20" s="916" t="str">
        <f ca="1">IFERROR($K20*44/12*参考2_エネ使用量経年!AM21*参考2_エネ使用量経年!$K21,"")</f>
        <v/>
      </c>
      <c r="AN20" s="916" t="str">
        <f ca="1">IFERROR($H20*44/12*参考2_エネ使用量経年!AN21*参考2_エネ使用量経年!$H21,"")</f>
        <v/>
      </c>
      <c r="AO20" s="916" t="str">
        <f ca="1">IFERROR($I20*44/12*参考2_エネ使用量経年!AO21*参考2_エネ使用量経年!$I21,"")</f>
        <v/>
      </c>
      <c r="AP20" s="916" t="str">
        <f ca="1">IFERROR($J20*44/12*参考2_エネ使用量経年!AP21*参考2_エネ使用量経年!$J21,"")</f>
        <v/>
      </c>
      <c r="AQ20" s="916" t="str">
        <f ca="1">IFERROR($K20*44/12*参考2_エネ使用量経年!AQ21*参考2_エネ使用量経年!$K21,"")</f>
        <v/>
      </c>
      <c r="AR20" s="916" t="str">
        <f ca="1">IFERROR($H20*44/12*参考2_エネ使用量経年!AR21*参考2_エネ使用量経年!$H21,"")</f>
        <v/>
      </c>
      <c r="AS20" s="916" t="str">
        <f ca="1">IFERROR($I20*44/12*参考2_エネ使用量経年!AS21*参考2_エネ使用量経年!$I21,"")</f>
        <v/>
      </c>
      <c r="AT20" s="916" t="str">
        <f ca="1">IFERROR($J20*44/12*参考2_エネ使用量経年!AT21*参考2_エネ使用量経年!$J21,"")</f>
        <v/>
      </c>
      <c r="AU20" s="916" t="str">
        <f ca="1">IFERROR($K20*44/12*参考2_エネ使用量経年!AU21*参考2_エネ使用量経年!$K21,"")</f>
        <v/>
      </c>
      <c r="AV20" s="916" t="str">
        <f ca="1">IFERROR($H20*44/12*参考2_エネ使用量経年!AV21*参考2_エネ使用量経年!$H21,"")</f>
        <v/>
      </c>
      <c r="AW20" s="916" t="str">
        <f ca="1">IFERROR($I20*44/12*参考2_エネ使用量経年!AW21*参考2_エネ使用量経年!$I21,"")</f>
        <v/>
      </c>
      <c r="AX20" s="916" t="str">
        <f ca="1">IFERROR($J20*44/12*参考2_エネ使用量経年!AX21*参考2_エネ使用量経年!$J21,"")</f>
        <v/>
      </c>
      <c r="AY20" s="916" t="str">
        <f ca="1">IFERROR($K20*44/12*参考2_エネ使用量経年!AY21*参考2_エネ使用量経年!$K21,"")</f>
        <v/>
      </c>
      <c r="AZ20" s="916" t="str">
        <f ca="1">IFERROR($H20*44/12*参考2_エネ使用量経年!AZ21*参考2_エネ使用量経年!$H21,"")</f>
        <v/>
      </c>
      <c r="BA20" s="916" t="str">
        <f ca="1">IFERROR($I20*44/12*参考2_エネ使用量経年!BA21*参考2_エネ使用量経年!$I21,"")</f>
        <v/>
      </c>
      <c r="BB20" s="916" t="str">
        <f ca="1">IFERROR($J20*44/12*参考2_エネ使用量経年!BB21*参考2_エネ使用量経年!$J21,"")</f>
        <v/>
      </c>
      <c r="BC20" s="916" t="str">
        <f ca="1">IFERROR($K20*44/12*参考2_エネ使用量経年!BC21*参考2_エネ使用量経年!$K21,"")</f>
        <v/>
      </c>
      <c r="BD20" s="916" t="str">
        <f ca="1">IFERROR($H20*44/12*参考2_エネ使用量経年!BD21*参考2_エネ使用量経年!$H21,"")</f>
        <v/>
      </c>
      <c r="BE20" s="916" t="str">
        <f ca="1">IFERROR($I20*44/12*参考2_エネ使用量経年!BE21*参考2_エネ使用量経年!$I21,"")</f>
        <v/>
      </c>
      <c r="BF20" s="916" t="str">
        <f ca="1">IFERROR($J20*44/12*参考2_エネ使用量経年!BF21*参考2_エネ使用量経年!$J21,"")</f>
        <v/>
      </c>
      <c r="BG20" s="916" t="str">
        <f ca="1">IFERROR($K20*44/12*参考2_エネ使用量経年!BG21*参考2_エネ使用量経年!$K21,"")</f>
        <v/>
      </c>
      <c r="BH20" s="916" t="str">
        <f ca="1">IFERROR($H20*44/12*参考2_エネ使用量経年!BH21*参考2_エネ使用量経年!$H21,"")</f>
        <v/>
      </c>
      <c r="BI20" s="916" t="str">
        <f ca="1">IFERROR($I20*44/12*参考2_エネ使用量経年!BI21*参考2_エネ使用量経年!$I21,"")</f>
        <v/>
      </c>
      <c r="BJ20" s="916" t="str">
        <f ca="1">IFERROR($J20*44/12*参考2_エネ使用量経年!BJ21*参考2_エネ使用量経年!$J21,"")</f>
        <v/>
      </c>
      <c r="BK20" s="916" t="str">
        <f ca="1">IFERROR($K20*44/12*参考2_エネ使用量経年!BK21*参考2_エネ使用量経年!$K21,"")</f>
        <v/>
      </c>
      <c r="BL20" s="916" t="str">
        <f ca="1">IFERROR($H20*44/12*参考2_エネ使用量経年!BL21*参考2_エネ使用量経年!$H21,"")</f>
        <v/>
      </c>
      <c r="BM20" s="916" t="str">
        <f ca="1">IFERROR($I20*44/12*参考2_エネ使用量経年!BM21*参考2_エネ使用量経年!$I21,"")</f>
        <v/>
      </c>
      <c r="BN20" s="916" t="str">
        <f ca="1">IFERROR($J20*44/12*参考2_エネ使用量経年!BN21*参考2_エネ使用量経年!$J21,"")</f>
        <v/>
      </c>
      <c r="BO20" s="916" t="str">
        <f ca="1">IFERROR($K20*44/12*参考2_エネ使用量経年!BO21*参考2_エネ使用量経年!$K21,"")</f>
        <v/>
      </c>
    </row>
    <row r="21" spans="1:67" ht="20.100000000000001" hidden="1" customHeight="1" outlineLevel="1">
      <c r="A21" s="914">
        <v>21</v>
      </c>
      <c r="B21" s="1595"/>
      <c r="C21" s="1596"/>
      <c r="D21" s="785" t="s">
        <v>362</v>
      </c>
      <c r="E21" s="779"/>
      <c r="F21" s="786"/>
      <c r="G21" s="852" t="s">
        <v>1281</v>
      </c>
      <c r="H21" s="915">
        <f t="shared" ca="1" si="0"/>
        <v>1.3899999999999999E-2</v>
      </c>
      <c r="I21" s="915">
        <f t="shared" ca="1" si="1"/>
        <v>1.3899999999999999E-2</v>
      </c>
      <c r="J21" s="915">
        <f t="shared" ca="1" si="2"/>
        <v>1.3899999999999999E-2</v>
      </c>
      <c r="K21" s="915">
        <f t="shared" ca="1" si="3"/>
        <v>1.3899999999999999E-2</v>
      </c>
      <c r="L21" s="916">
        <f ca="1">IFERROR($H21*44/12*参考2_エネ使用量経年!L22*参考2_エネ使用量経年!$H22,"")</f>
        <v>0</v>
      </c>
      <c r="M21" s="916">
        <f ca="1">IFERROR($I21*44/12*参考2_エネ使用量経年!M22*参考2_エネ使用量経年!$I22,"")</f>
        <v>0</v>
      </c>
      <c r="N21" s="916">
        <f ca="1">IFERROR($J21*44/12*参考2_エネ使用量経年!N22*参考2_エネ使用量経年!$J22,"")</f>
        <v>0</v>
      </c>
      <c r="O21" s="916">
        <f ca="1">IFERROR($K21*44/12*参考2_エネ使用量経年!O22*参考2_エネ使用量経年!$K22,"")</f>
        <v>0</v>
      </c>
      <c r="P21" s="916">
        <f ca="1">IFERROR($H21*44/12*参考2_エネ使用量経年!P22*参考2_エネ使用量経年!$H22,"")</f>
        <v>0</v>
      </c>
      <c r="Q21" s="916">
        <f ca="1">IFERROR($I21*44/12*参考2_エネ使用量経年!Q22*参考2_エネ使用量経年!$I22,"")</f>
        <v>0</v>
      </c>
      <c r="R21" s="916">
        <f ca="1">IFERROR($J21*44/12*参考2_エネ使用量経年!R22*参考2_エネ使用量経年!$J22,"")</f>
        <v>0</v>
      </c>
      <c r="S21" s="916">
        <f ca="1">IFERROR($K21*44/12*参考2_エネ使用量経年!S22*参考2_エネ使用量経年!$K22,"")</f>
        <v>0</v>
      </c>
      <c r="T21" s="916">
        <f ca="1">IFERROR($H21*44/12*参考2_エネ使用量経年!T22*参考2_エネ使用量経年!$H22,"")</f>
        <v>0</v>
      </c>
      <c r="U21" s="916">
        <f ca="1">IFERROR($I21*44/12*参考2_エネ使用量経年!U22*参考2_エネ使用量経年!$I22,"")</f>
        <v>0</v>
      </c>
      <c r="V21" s="916">
        <f ca="1">IFERROR($J21*44/12*参考2_エネ使用量経年!V22*参考2_エネ使用量経年!$J22,"")</f>
        <v>0</v>
      </c>
      <c r="W21" s="916">
        <f ca="1">IFERROR($K21*44/12*参考2_エネ使用量経年!W22*参考2_エネ使用量経年!$K22,"")</f>
        <v>0</v>
      </c>
      <c r="X21" s="916">
        <f ca="1">IFERROR($H21*44/12*参考2_エネ使用量経年!X22*参考2_エネ使用量経年!$H22,"")</f>
        <v>0</v>
      </c>
      <c r="Y21" s="916">
        <f ca="1">IFERROR($I21*44/12*参考2_エネ使用量経年!Y22*参考2_エネ使用量経年!$I22,"")</f>
        <v>0</v>
      </c>
      <c r="Z21" s="916">
        <f ca="1">IFERROR($J21*44/12*参考2_エネ使用量経年!Z22*参考2_エネ使用量経年!$J22,"")</f>
        <v>0</v>
      </c>
      <c r="AA21" s="916">
        <f ca="1">IFERROR($K21*44/12*参考2_エネ使用量経年!AA22*参考2_エネ使用量経年!$K22,"")</f>
        <v>0</v>
      </c>
      <c r="AB21" s="916" t="str">
        <f ca="1">IFERROR($H21*44/12*参考2_エネ使用量経年!AB22*参考2_エネ使用量経年!$H22,"")</f>
        <v/>
      </c>
      <c r="AC21" s="916" t="str">
        <f ca="1">IFERROR($I21*44/12*参考2_エネ使用量経年!AC22*参考2_エネ使用量経年!$I22,"")</f>
        <v/>
      </c>
      <c r="AD21" s="916" t="str">
        <f ca="1">IFERROR($J21*44/12*参考2_エネ使用量経年!AD22*参考2_エネ使用量経年!$J22,"")</f>
        <v/>
      </c>
      <c r="AE21" s="916" t="str">
        <f ca="1">IFERROR($K21*44/12*参考2_エネ使用量経年!AE22*参考2_エネ使用量経年!$K22,"")</f>
        <v/>
      </c>
      <c r="AF21" s="916" t="str">
        <f ca="1">IFERROR($H21*44/12*参考2_エネ使用量経年!AF22*参考2_エネ使用量経年!$H22,"")</f>
        <v/>
      </c>
      <c r="AG21" s="916" t="str">
        <f ca="1">IFERROR($I21*44/12*参考2_エネ使用量経年!AG22*参考2_エネ使用量経年!$I22,"")</f>
        <v/>
      </c>
      <c r="AH21" s="916" t="str">
        <f ca="1">IFERROR($J21*44/12*参考2_エネ使用量経年!AH22*参考2_エネ使用量経年!$J22,"")</f>
        <v/>
      </c>
      <c r="AI21" s="916" t="str">
        <f ca="1">IFERROR($K21*44/12*参考2_エネ使用量経年!AI22*参考2_エネ使用量経年!$K22,"")</f>
        <v/>
      </c>
      <c r="AJ21" s="916" t="str">
        <f ca="1">IFERROR($H21*44/12*参考2_エネ使用量経年!AJ22*参考2_エネ使用量経年!$H22,"")</f>
        <v/>
      </c>
      <c r="AK21" s="916" t="str">
        <f ca="1">IFERROR($I21*44/12*参考2_エネ使用量経年!AK22*参考2_エネ使用量経年!$I22,"")</f>
        <v/>
      </c>
      <c r="AL21" s="916" t="str">
        <f ca="1">IFERROR($J21*44/12*参考2_エネ使用量経年!AL22*参考2_エネ使用量経年!$J22,"")</f>
        <v/>
      </c>
      <c r="AM21" s="916" t="str">
        <f ca="1">IFERROR($K21*44/12*参考2_エネ使用量経年!AM22*参考2_エネ使用量経年!$K22,"")</f>
        <v/>
      </c>
      <c r="AN21" s="916" t="str">
        <f ca="1">IFERROR($H21*44/12*参考2_エネ使用量経年!AN22*参考2_エネ使用量経年!$H22,"")</f>
        <v/>
      </c>
      <c r="AO21" s="916" t="str">
        <f ca="1">IFERROR($I21*44/12*参考2_エネ使用量経年!AO22*参考2_エネ使用量経年!$I22,"")</f>
        <v/>
      </c>
      <c r="AP21" s="916" t="str">
        <f ca="1">IFERROR($J21*44/12*参考2_エネ使用量経年!AP22*参考2_エネ使用量経年!$J22,"")</f>
        <v/>
      </c>
      <c r="AQ21" s="916" t="str">
        <f ca="1">IFERROR($K21*44/12*参考2_エネ使用量経年!AQ22*参考2_エネ使用量経年!$K22,"")</f>
        <v/>
      </c>
      <c r="AR21" s="916" t="str">
        <f ca="1">IFERROR($H21*44/12*参考2_エネ使用量経年!AR22*参考2_エネ使用量経年!$H22,"")</f>
        <v/>
      </c>
      <c r="AS21" s="916" t="str">
        <f ca="1">IFERROR($I21*44/12*参考2_エネ使用量経年!AS22*参考2_エネ使用量経年!$I22,"")</f>
        <v/>
      </c>
      <c r="AT21" s="916" t="str">
        <f ca="1">IFERROR($J21*44/12*参考2_エネ使用量経年!AT22*参考2_エネ使用量経年!$J22,"")</f>
        <v/>
      </c>
      <c r="AU21" s="916" t="str">
        <f ca="1">IFERROR($K21*44/12*参考2_エネ使用量経年!AU22*参考2_エネ使用量経年!$K22,"")</f>
        <v/>
      </c>
      <c r="AV21" s="916" t="str">
        <f ca="1">IFERROR($H21*44/12*参考2_エネ使用量経年!AV22*参考2_エネ使用量経年!$H22,"")</f>
        <v/>
      </c>
      <c r="AW21" s="916" t="str">
        <f ca="1">IFERROR($I21*44/12*参考2_エネ使用量経年!AW22*参考2_エネ使用量経年!$I22,"")</f>
        <v/>
      </c>
      <c r="AX21" s="916" t="str">
        <f ca="1">IFERROR($J21*44/12*参考2_エネ使用量経年!AX22*参考2_エネ使用量経年!$J22,"")</f>
        <v/>
      </c>
      <c r="AY21" s="916" t="str">
        <f ca="1">IFERROR($K21*44/12*参考2_エネ使用量経年!AY22*参考2_エネ使用量経年!$K22,"")</f>
        <v/>
      </c>
      <c r="AZ21" s="916" t="str">
        <f ca="1">IFERROR($H21*44/12*参考2_エネ使用量経年!AZ22*参考2_エネ使用量経年!$H22,"")</f>
        <v/>
      </c>
      <c r="BA21" s="916" t="str">
        <f ca="1">IFERROR($I21*44/12*参考2_エネ使用量経年!BA22*参考2_エネ使用量経年!$I22,"")</f>
        <v/>
      </c>
      <c r="BB21" s="916" t="str">
        <f ca="1">IFERROR($J21*44/12*参考2_エネ使用量経年!BB22*参考2_エネ使用量経年!$J22,"")</f>
        <v/>
      </c>
      <c r="BC21" s="916" t="str">
        <f ca="1">IFERROR($K21*44/12*参考2_エネ使用量経年!BC22*参考2_エネ使用量経年!$K22,"")</f>
        <v/>
      </c>
      <c r="BD21" s="916" t="str">
        <f ca="1">IFERROR($H21*44/12*参考2_エネ使用量経年!BD22*参考2_エネ使用量経年!$H22,"")</f>
        <v/>
      </c>
      <c r="BE21" s="916" t="str">
        <f ca="1">IFERROR($I21*44/12*参考2_エネ使用量経年!BE22*参考2_エネ使用量経年!$I22,"")</f>
        <v/>
      </c>
      <c r="BF21" s="916" t="str">
        <f ca="1">IFERROR($J21*44/12*参考2_エネ使用量経年!BF22*参考2_エネ使用量経年!$J22,"")</f>
        <v/>
      </c>
      <c r="BG21" s="916" t="str">
        <f ca="1">IFERROR($K21*44/12*参考2_エネ使用量経年!BG22*参考2_エネ使用量経年!$K22,"")</f>
        <v/>
      </c>
      <c r="BH21" s="916" t="str">
        <f ca="1">IFERROR($H21*44/12*参考2_エネ使用量経年!BH22*参考2_エネ使用量経年!$H22,"")</f>
        <v/>
      </c>
      <c r="BI21" s="916" t="str">
        <f ca="1">IFERROR($I21*44/12*参考2_エネ使用量経年!BI22*参考2_エネ使用量経年!$I22,"")</f>
        <v/>
      </c>
      <c r="BJ21" s="916" t="str">
        <f ca="1">IFERROR($J21*44/12*参考2_エネ使用量経年!BJ22*参考2_エネ使用量経年!$J22,"")</f>
        <v/>
      </c>
      <c r="BK21" s="916" t="str">
        <f ca="1">IFERROR($K21*44/12*参考2_エネ使用量経年!BK22*参考2_エネ使用量経年!$K22,"")</f>
        <v/>
      </c>
      <c r="BL21" s="916" t="str">
        <f ca="1">IFERROR($H21*44/12*参考2_エネ使用量経年!BL22*参考2_エネ使用量経年!$H22,"")</f>
        <v/>
      </c>
      <c r="BM21" s="916" t="str">
        <f ca="1">IFERROR($I21*44/12*参考2_エネ使用量経年!BM22*参考2_エネ使用量経年!$I22,"")</f>
        <v/>
      </c>
      <c r="BN21" s="916" t="str">
        <f ca="1">IFERROR($J21*44/12*参考2_エネ使用量経年!BN22*参考2_エネ使用量経年!$J22,"")</f>
        <v/>
      </c>
      <c r="BO21" s="916" t="str">
        <f ca="1">IFERROR($K21*44/12*参考2_エネ使用量経年!BO22*参考2_エネ使用量経年!$K22,"")</f>
        <v/>
      </c>
    </row>
    <row r="22" spans="1:67" ht="20.100000000000001" hidden="1" customHeight="1" outlineLevel="1">
      <c r="A22" s="914">
        <v>22</v>
      </c>
      <c r="B22" s="1594"/>
      <c r="C22" s="1596"/>
      <c r="D22" s="785" t="s">
        <v>363</v>
      </c>
      <c r="E22" s="785"/>
      <c r="F22" s="786"/>
      <c r="G22" s="852" t="s">
        <v>1281</v>
      </c>
      <c r="H22" s="915">
        <f t="shared" ca="1" si="0"/>
        <v>1.3899999999999999E-2</v>
      </c>
      <c r="I22" s="915">
        <f t="shared" ca="1" si="1"/>
        <v>1.3899999999999999E-2</v>
      </c>
      <c r="J22" s="915">
        <f t="shared" ca="1" si="2"/>
        <v>1.3899999999999999E-2</v>
      </c>
      <c r="K22" s="915">
        <f t="shared" ca="1" si="3"/>
        <v>1.3899999999999999E-2</v>
      </c>
      <c r="L22" s="916">
        <f ca="1">IFERROR($H22*44/12*参考2_エネ使用量経年!L23*参考2_エネ使用量経年!$H23,"")</f>
        <v>0</v>
      </c>
      <c r="M22" s="916">
        <f ca="1">IFERROR($I22*44/12*参考2_エネ使用量経年!M23*参考2_エネ使用量経年!$I23,"")</f>
        <v>0</v>
      </c>
      <c r="N22" s="916">
        <f ca="1">IFERROR($J22*44/12*参考2_エネ使用量経年!N23*参考2_エネ使用量経年!$J23,"")</f>
        <v>0</v>
      </c>
      <c r="O22" s="916">
        <f ca="1">IFERROR($K22*44/12*参考2_エネ使用量経年!O23*参考2_エネ使用量経年!$K23,"")</f>
        <v>0</v>
      </c>
      <c r="P22" s="916">
        <f ca="1">IFERROR($H22*44/12*参考2_エネ使用量経年!P23*参考2_エネ使用量経年!$H23,"")</f>
        <v>0</v>
      </c>
      <c r="Q22" s="916">
        <f ca="1">IFERROR($I22*44/12*参考2_エネ使用量経年!Q23*参考2_エネ使用量経年!$I23,"")</f>
        <v>0</v>
      </c>
      <c r="R22" s="916">
        <f ca="1">IFERROR($J22*44/12*参考2_エネ使用量経年!R23*参考2_エネ使用量経年!$J23,"")</f>
        <v>0</v>
      </c>
      <c r="S22" s="916">
        <f ca="1">IFERROR($K22*44/12*参考2_エネ使用量経年!S23*参考2_エネ使用量経年!$K23,"")</f>
        <v>0</v>
      </c>
      <c r="T22" s="916">
        <f ca="1">IFERROR($H22*44/12*参考2_エネ使用量経年!T23*参考2_エネ使用量経年!$H23,"")</f>
        <v>0</v>
      </c>
      <c r="U22" s="916">
        <f ca="1">IFERROR($I22*44/12*参考2_エネ使用量経年!U23*参考2_エネ使用量経年!$I23,"")</f>
        <v>0</v>
      </c>
      <c r="V22" s="916">
        <f ca="1">IFERROR($J22*44/12*参考2_エネ使用量経年!V23*参考2_エネ使用量経年!$J23,"")</f>
        <v>0</v>
      </c>
      <c r="W22" s="916">
        <f ca="1">IFERROR($K22*44/12*参考2_エネ使用量経年!W23*参考2_エネ使用量経年!$K23,"")</f>
        <v>0</v>
      </c>
      <c r="X22" s="916">
        <f ca="1">IFERROR($H22*44/12*参考2_エネ使用量経年!X23*参考2_エネ使用量経年!$H23,"")</f>
        <v>0</v>
      </c>
      <c r="Y22" s="916">
        <f ca="1">IFERROR($I22*44/12*参考2_エネ使用量経年!Y23*参考2_エネ使用量経年!$I23,"")</f>
        <v>0</v>
      </c>
      <c r="Z22" s="916">
        <f ca="1">IFERROR($J22*44/12*参考2_エネ使用量経年!Z23*参考2_エネ使用量経年!$J23,"")</f>
        <v>0</v>
      </c>
      <c r="AA22" s="916">
        <f ca="1">IFERROR($K22*44/12*参考2_エネ使用量経年!AA23*参考2_エネ使用量経年!$K23,"")</f>
        <v>0</v>
      </c>
      <c r="AB22" s="916" t="str">
        <f ca="1">IFERROR($H22*44/12*参考2_エネ使用量経年!AB23*参考2_エネ使用量経年!$H23,"")</f>
        <v/>
      </c>
      <c r="AC22" s="916" t="str">
        <f ca="1">IFERROR($I22*44/12*参考2_エネ使用量経年!AC23*参考2_エネ使用量経年!$I23,"")</f>
        <v/>
      </c>
      <c r="AD22" s="916" t="str">
        <f ca="1">IFERROR($J22*44/12*参考2_エネ使用量経年!AD23*参考2_エネ使用量経年!$J23,"")</f>
        <v/>
      </c>
      <c r="AE22" s="916" t="str">
        <f ca="1">IFERROR($K22*44/12*参考2_エネ使用量経年!AE23*参考2_エネ使用量経年!$K23,"")</f>
        <v/>
      </c>
      <c r="AF22" s="916" t="str">
        <f ca="1">IFERROR($H22*44/12*参考2_エネ使用量経年!AF23*参考2_エネ使用量経年!$H23,"")</f>
        <v/>
      </c>
      <c r="AG22" s="916" t="str">
        <f ca="1">IFERROR($I22*44/12*参考2_エネ使用量経年!AG23*参考2_エネ使用量経年!$I23,"")</f>
        <v/>
      </c>
      <c r="AH22" s="916" t="str">
        <f ca="1">IFERROR($J22*44/12*参考2_エネ使用量経年!AH23*参考2_エネ使用量経年!$J23,"")</f>
        <v/>
      </c>
      <c r="AI22" s="916" t="str">
        <f ca="1">IFERROR($K22*44/12*参考2_エネ使用量経年!AI23*参考2_エネ使用量経年!$K23,"")</f>
        <v/>
      </c>
      <c r="AJ22" s="916" t="str">
        <f ca="1">IFERROR($H22*44/12*参考2_エネ使用量経年!AJ23*参考2_エネ使用量経年!$H23,"")</f>
        <v/>
      </c>
      <c r="AK22" s="916" t="str">
        <f ca="1">IFERROR($I22*44/12*参考2_エネ使用量経年!AK23*参考2_エネ使用量経年!$I23,"")</f>
        <v/>
      </c>
      <c r="AL22" s="916" t="str">
        <f ca="1">IFERROR($J22*44/12*参考2_エネ使用量経年!AL23*参考2_エネ使用量経年!$J23,"")</f>
        <v/>
      </c>
      <c r="AM22" s="916" t="str">
        <f ca="1">IFERROR($K22*44/12*参考2_エネ使用量経年!AM23*参考2_エネ使用量経年!$K23,"")</f>
        <v/>
      </c>
      <c r="AN22" s="916" t="str">
        <f ca="1">IFERROR($H22*44/12*参考2_エネ使用量経年!AN23*参考2_エネ使用量経年!$H23,"")</f>
        <v/>
      </c>
      <c r="AO22" s="916" t="str">
        <f ca="1">IFERROR($I22*44/12*参考2_エネ使用量経年!AO23*参考2_エネ使用量経年!$I23,"")</f>
        <v/>
      </c>
      <c r="AP22" s="916" t="str">
        <f ca="1">IFERROR($J22*44/12*参考2_エネ使用量経年!AP23*参考2_エネ使用量経年!$J23,"")</f>
        <v/>
      </c>
      <c r="AQ22" s="916" t="str">
        <f ca="1">IFERROR($K22*44/12*参考2_エネ使用量経年!AQ23*参考2_エネ使用量経年!$K23,"")</f>
        <v/>
      </c>
      <c r="AR22" s="916" t="str">
        <f ca="1">IFERROR($H22*44/12*参考2_エネ使用量経年!AR23*参考2_エネ使用量経年!$H23,"")</f>
        <v/>
      </c>
      <c r="AS22" s="916" t="str">
        <f ca="1">IFERROR($I22*44/12*参考2_エネ使用量経年!AS23*参考2_エネ使用量経年!$I23,"")</f>
        <v/>
      </c>
      <c r="AT22" s="916" t="str">
        <f ca="1">IFERROR($J22*44/12*参考2_エネ使用量経年!AT23*参考2_エネ使用量経年!$J23,"")</f>
        <v/>
      </c>
      <c r="AU22" s="916" t="str">
        <f ca="1">IFERROR($K22*44/12*参考2_エネ使用量経年!AU23*参考2_エネ使用量経年!$K23,"")</f>
        <v/>
      </c>
      <c r="AV22" s="916" t="str">
        <f ca="1">IFERROR($H22*44/12*参考2_エネ使用量経年!AV23*参考2_エネ使用量経年!$H23,"")</f>
        <v/>
      </c>
      <c r="AW22" s="916" t="str">
        <f ca="1">IFERROR($I22*44/12*参考2_エネ使用量経年!AW23*参考2_エネ使用量経年!$I23,"")</f>
        <v/>
      </c>
      <c r="AX22" s="916" t="str">
        <f ca="1">IFERROR($J22*44/12*参考2_エネ使用量経年!AX23*参考2_エネ使用量経年!$J23,"")</f>
        <v/>
      </c>
      <c r="AY22" s="916" t="str">
        <f ca="1">IFERROR($K22*44/12*参考2_エネ使用量経年!AY23*参考2_エネ使用量経年!$K23,"")</f>
        <v/>
      </c>
      <c r="AZ22" s="916" t="str">
        <f ca="1">IFERROR($H22*44/12*参考2_エネ使用量経年!AZ23*参考2_エネ使用量経年!$H23,"")</f>
        <v/>
      </c>
      <c r="BA22" s="916" t="str">
        <f ca="1">IFERROR($I22*44/12*参考2_エネ使用量経年!BA23*参考2_エネ使用量経年!$I23,"")</f>
        <v/>
      </c>
      <c r="BB22" s="916" t="str">
        <f ca="1">IFERROR($J22*44/12*参考2_エネ使用量経年!BB23*参考2_エネ使用量経年!$J23,"")</f>
        <v/>
      </c>
      <c r="BC22" s="916" t="str">
        <f ca="1">IFERROR($K22*44/12*参考2_エネ使用量経年!BC23*参考2_エネ使用量経年!$K23,"")</f>
        <v/>
      </c>
      <c r="BD22" s="916" t="str">
        <f ca="1">IFERROR($H22*44/12*参考2_エネ使用量経年!BD23*参考2_エネ使用量経年!$H23,"")</f>
        <v/>
      </c>
      <c r="BE22" s="916" t="str">
        <f ca="1">IFERROR($I22*44/12*参考2_エネ使用量経年!BE23*参考2_エネ使用量経年!$I23,"")</f>
        <v/>
      </c>
      <c r="BF22" s="916" t="str">
        <f ca="1">IFERROR($J22*44/12*参考2_エネ使用量経年!BF23*参考2_エネ使用量経年!$J23,"")</f>
        <v/>
      </c>
      <c r="BG22" s="916" t="str">
        <f ca="1">IFERROR($K22*44/12*参考2_エネ使用量経年!BG23*参考2_エネ使用量経年!$K23,"")</f>
        <v/>
      </c>
      <c r="BH22" s="916" t="str">
        <f ca="1">IFERROR($H22*44/12*参考2_エネ使用量経年!BH23*参考2_エネ使用量経年!$H23,"")</f>
        <v/>
      </c>
      <c r="BI22" s="916" t="str">
        <f ca="1">IFERROR($I22*44/12*参考2_エネ使用量経年!BI23*参考2_エネ使用量経年!$I23,"")</f>
        <v/>
      </c>
      <c r="BJ22" s="916" t="str">
        <f ca="1">IFERROR($J22*44/12*参考2_エネ使用量経年!BJ23*参考2_エネ使用量経年!$J23,"")</f>
        <v/>
      </c>
      <c r="BK22" s="916" t="str">
        <f ca="1">IFERROR($K22*44/12*参考2_エネ使用量経年!BK23*参考2_エネ使用量経年!$K23,"")</f>
        <v/>
      </c>
      <c r="BL22" s="916" t="str">
        <f ca="1">IFERROR($H22*44/12*参考2_エネ使用量経年!BL23*参考2_エネ使用量経年!$H23,"")</f>
        <v/>
      </c>
      <c r="BM22" s="916" t="str">
        <f ca="1">IFERROR($I22*44/12*参考2_エネ使用量経年!BM23*参考2_エネ使用量経年!$I23,"")</f>
        <v/>
      </c>
      <c r="BN22" s="916" t="str">
        <f ca="1">IFERROR($J22*44/12*参考2_エネ使用量経年!BN23*参考2_エネ使用量経年!$J23,"")</f>
        <v/>
      </c>
      <c r="BO22" s="916" t="str">
        <f ca="1">IFERROR($K22*44/12*参考2_エネ使用量経年!BO23*参考2_エネ使用量経年!$K23,"")</f>
        <v/>
      </c>
    </row>
    <row r="23" spans="1:67" ht="20.100000000000001" hidden="1" customHeight="1" outlineLevel="1">
      <c r="A23" s="914">
        <v>23</v>
      </c>
      <c r="B23" s="1594"/>
      <c r="C23" s="1596"/>
      <c r="D23" s="785" t="s">
        <v>364</v>
      </c>
      <c r="E23" s="785"/>
      <c r="F23" s="786"/>
      <c r="G23" s="852" t="s">
        <v>1281</v>
      </c>
      <c r="H23" s="915">
        <f t="shared" ca="1" si="0"/>
        <v>2.46E-2</v>
      </c>
      <c r="I23" s="915">
        <f t="shared" ca="1" si="1"/>
        <v>2.46E-2</v>
      </c>
      <c r="J23" s="915">
        <f t="shared" ca="1" si="2"/>
        <v>2.46E-2</v>
      </c>
      <c r="K23" s="915">
        <f t="shared" ca="1" si="3"/>
        <v>2.46E-2</v>
      </c>
      <c r="L23" s="916">
        <f ca="1">IFERROR($H23*44/12*参考2_エネ使用量経年!L24*参考2_エネ使用量経年!$H24,"")</f>
        <v>0</v>
      </c>
      <c r="M23" s="916">
        <f ca="1">IFERROR($I23*44/12*参考2_エネ使用量経年!M24*参考2_エネ使用量経年!$I24,"")</f>
        <v>0</v>
      </c>
      <c r="N23" s="916">
        <f ca="1">IFERROR($J23*44/12*参考2_エネ使用量経年!N24*参考2_エネ使用量経年!$J24,"")</f>
        <v>0</v>
      </c>
      <c r="O23" s="916">
        <f ca="1">IFERROR($K23*44/12*参考2_エネ使用量経年!O24*参考2_エネ使用量経年!$K24,"")</f>
        <v>0</v>
      </c>
      <c r="P23" s="916">
        <f ca="1">IFERROR($H23*44/12*参考2_エネ使用量経年!P24*参考2_エネ使用量経年!$H24,"")</f>
        <v>0</v>
      </c>
      <c r="Q23" s="916">
        <f ca="1">IFERROR($I23*44/12*参考2_エネ使用量経年!Q24*参考2_エネ使用量経年!$I24,"")</f>
        <v>0</v>
      </c>
      <c r="R23" s="916">
        <f ca="1">IFERROR($J23*44/12*参考2_エネ使用量経年!R24*参考2_エネ使用量経年!$J24,"")</f>
        <v>0</v>
      </c>
      <c r="S23" s="916">
        <f ca="1">IFERROR($K23*44/12*参考2_エネ使用量経年!S24*参考2_エネ使用量経年!$K24,"")</f>
        <v>0</v>
      </c>
      <c r="T23" s="916">
        <f ca="1">IFERROR($H23*44/12*参考2_エネ使用量経年!T24*参考2_エネ使用量経年!$H24,"")</f>
        <v>0</v>
      </c>
      <c r="U23" s="916">
        <f ca="1">IFERROR($I23*44/12*参考2_エネ使用量経年!U24*参考2_エネ使用量経年!$I24,"")</f>
        <v>0</v>
      </c>
      <c r="V23" s="916">
        <f ca="1">IFERROR($J23*44/12*参考2_エネ使用量経年!V24*参考2_エネ使用量経年!$J24,"")</f>
        <v>0</v>
      </c>
      <c r="W23" s="916">
        <f ca="1">IFERROR($K23*44/12*参考2_エネ使用量経年!W24*参考2_エネ使用量経年!$K24,"")</f>
        <v>0</v>
      </c>
      <c r="X23" s="916">
        <f ca="1">IFERROR($H23*44/12*参考2_エネ使用量経年!X24*参考2_エネ使用量経年!$H24,"")</f>
        <v>0</v>
      </c>
      <c r="Y23" s="916">
        <f ca="1">IFERROR($I23*44/12*参考2_エネ使用量経年!Y24*参考2_エネ使用量経年!$I24,"")</f>
        <v>0</v>
      </c>
      <c r="Z23" s="916">
        <f ca="1">IFERROR($J23*44/12*参考2_エネ使用量経年!Z24*参考2_エネ使用量経年!$J24,"")</f>
        <v>0</v>
      </c>
      <c r="AA23" s="916">
        <f ca="1">IFERROR($K23*44/12*参考2_エネ使用量経年!AA24*参考2_エネ使用量経年!$K24,"")</f>
        <v>0</v>
      </c>
      <c r="AB23" s="916" t="str">
        <f ca="1">IFERROR($H23*44/12*参考2_エネ使用量経年!AB24*参考2_エネ使用量経年!$H24,"")</f>
        <v/>
      </c>
      <c r="AC23" s="916" t="str">
        <f ca="1">IFERROR($I23*44/12*参考2_エネ使用量経年!AC24*参考2_エネ使用量経年!$I24,"")</f>
        <v/>
      </c>
      <c r="AD23" s="916" t="str">
        <f ca="1">IFERROR($J23*44/12*参考2_エネ使用量経年!AD24*参考2_エネ使用量経年!$J24,"")</f>
        <v/>
      </c>
      <c r="AE23" s="916" t="str">
        <f ca="1">IFERROR($K23*44/12*参考2_エネ使用量経年!AE24*参考2_エネ使用量経年!$K24,"")</f>
        <v/>
      </c>
      <c r="AF23" s="916" t="str">
        <f ca="1">IFERROR($H23*44/12*参考2_エネ使用量経年!AF24*参考2_エネ使用量経年!$H24,"")</f>
        <v/>
      </c>
      <c r="AG23" s="916" t="str">
        <f ca="1">IFERROR($I23*44/12*参考2_エネ使用量経年!AG24*参考2_エネ使用量経年!$I24,"")</f>
        <v/>
      </c>
      <c r="AH23" s="916" t="str">
        <f ca="1">IFERROR($J23*44/12*参考2_エネ使用量経年!AH24*参考2_エネ使用量経年!$J24,"")</f>
        <v/>
      </c>
      <c r="AI23" s="916" t="str">
        <f ca="1">IFERROR($K23*44/12*参考2_エネ使用量経年!AI24*参考2_エネ使用量経年!$K24,"")</f>
        <v/>
      </c>
      <c r="AJ23" s="916" t="str">
        <f ca="1">IFERROR($H23*44/12*参考2_エネ使用量経年!AJ24*参考2_エネ使用量経年!$H24,"")</f>
        <v/>
      </c>
      <c r="AK23" s="916" t="str">
        <f ca="1">IFERROR($I23*44/12*参考2_エネ使用量経年!AK24*参考2_エネ使用量経年!$I24,"")</f>
        <v/>
      </c>
      <c r="AL23" s="916" t="str">
        <f ca="1">IFERROR($J23*44/12*参考2_エネ使用量経年!AL24*参考2_エネ使用量経年!$J24,"")</f>
        <v/>
      </c>
      <c r="AM23" s="916" t="str">
        <f ca="1">IFERROR($K23*44/12*参考2_エネ使用量経年!AM24*参考2_エネ使用量経年!$K24,"")</f>
        <v/>
      </c>
      <c r="AN23" s="916" t="str">
        <f ca="1">IFERROR($H23*44/12*参考2_エネ使用量経年!AN24*参考2_エネ使用量経年!$H24,"")</f>
        <v/>
      </c>
      <c r="AO23" s="916" t="str">
        <f ca="1">IFERROR($I23*44/12*参考2_エネ使用量経年!AO24*参考2_エネ使用量経年!$I24,"")</f>
        <v/>
      </c>
      <c r="AP23" s="916" t="str">
        <f ca="1">IFERROR($J23*44/12*参考2_エネ使用量経年!AP24*参考2_エネ使用量経年!$J24,"")</f>
        <v/>
      </c>
      <c r="AQ23" s="916" t="str">
        <f ca="1">IFERROR($K23*44/12*参考2_エネ使用量経年!AQ24*参考2_エネ使用量経年!$K24,"")</f>
        <v/>
      </c>
      <c r="AR23" s="916" t="str">
        <f ca="1">IFERROR($H23*44/12*参考2_エネ使用量経年!AR24*参考2_エネ使用量経年!$H24,"")</f>
        <v/>
      </c>
      <c r="AS23" s="916" t="str">
        <f ca="1">IFERROR($I23*44/12*参考2_エネ使用量経年!AS24*参考2_エネ使用量経年!$I24,"")</f>
        <v/>
      </c>
      <c r="AT23" s="916" t="str">
        <f ca="1">IFERROR($J23*44/12*参考2_エネ使用量経年!AT24*参考2_エネ使用量経年!$J24,"")</f>
        <v/>
      </c>
      <c r="AU23" s="916" t="str">
        <f ca="1">IFERROR($K23*44/12*参考2_エネ使用量経年!AU24*参考2_エネ使用量経年!$K24,"")</f>
        <v/>
      </c>
      <c r="AV23" s="916" t="str">
        <f ca="1">IFERROR($H23*44/12*参考2_エネ使用量経年!AV24*参考2_エネ使用量経年!$H24,"")</f>
        <v/>
      </c>
      <c r="AW23" s="916" t="str">
        <f ca="1">IFERROR($I23*44/12*参考2_エネ使用量経年!AW24*参考2_エネ使用量経年!$I24,"")</f>
        <v/>
      </c>
      <c r="AX23" s="916" t="str">
        <f ca="1">IFERROR($J23*44/12*参考2_エネ使用量経年!AX24*参考2_エネ使用量経年!$J24,"")</f>
        <v/>
      </c>
      <c r="AY23" s="916" t="str">
        <f ca="1">IFERROR($K23*44/12*参考2_エネ使用量経年!AY24*参考2_エネ使用量経年!$K24,"")</f>
        <v/>
      </c>
      <c r="AZ23" s="916" t="str">
        <f ca="1">IFERROR($H23*44/12*参考2_エネ使用量経年!AZ24*参考2_エネ使用量経年!$H24,"")</f>
        <v/>
      </c>
      <c r="BA23" s="916" t="str">
        <f ca="1">IFERROR($I23*44/12*参考2_エネ使用量経年!BA24*参考2_エネ使用量経年!$I24,"")</f>
        <v/>
      </c>
      <c r="BB23" s="916" t="str">
        <f ca="1">IFERROR($J23*44/12*参考2_エネ使用量経年!BB24*参考2_エネ使用量経年!$J24,"")</f>
        <v/>
      </c>
      <c r="BC23" s="916" t="str">
        <f ca="1">IFERROR($K23*44/12*参考2_エネ使用量経年!BC24*参考2_エネ使用量経年!$K24,"")</f>
        <v/>
      </c>
      <c r="BD23" s="916" t="str">
        <f ca="1">IFERROR($H23*44/12*参考2_エネ使用量経年!BD24*参考2_エネ使用量経年!$H24,"")</f>
        <v/>
      </c>
      <c r="BE23" s="916" t="str">
        <f ca="1">IFERROR($I23*44/12*参考2_エネ使用量経年!BE24*参考2_エネ使用量経年!$I24,"")</f>
        <v/>
      </c>
      <c r="BF23" s="916" t="str">
        <f ca="1">IFERROR($J23*44/12*参考2_エネ使用量経年!BF24*参考2_エネ使用量経年!$J24,"")</f>
        <v/>
      </c>
      <c r="BG23" s="916" t="str">
        <f ca="1">IFERROR($K23*44/12*参考2_エネ使用量経年!BG24*参考2_エネ使用量経年!$K24,"")</f>
        <v/>
      </c>
      <c r="BH23" s="916" t="str">
        <f ca="1">IFERROR($H23*44/12*参考2_エネ使用量経年!BH24*参考2_エネ使用量経年!$H24,"")</f>
        <v/>
      </c>
      <c r="BI23" s="916" t="str">
        <f ca="1">IFERROR($I23*44/12*参考2_エネ使用量経年!BI24*参考2_エネ使用量経年!$I24,"")</f>
        <v/>
      </c>
      <c r="BJ23" s="916" t="str">
        <f ca="1">IFERROR($J23*44/12*参考2_エネ使用量経年!BJ24*参考2_エネ使用量経年!$J24,"")</f>
        <v/>
      </c>
      <c r="BK23" s="916" t="str">
        <f ca="1">IFERROR($K23*44/12*参考2_エネ使用量経年!BK24*参考2_エネ使用量経年!$K24,"")</f>
        <v/>
      </c>
      <c r="BL23" s="916" t="str">
        <f ca="1">IFERROR($H23*44/12*参考2_エネ使用量経年!BL24*参考2_エネ使用量経年!$H24,"")</f>
        <v/>
      </c>
      <c r="BM23" s="916" t="str">
        <f ca="1">IFERROR($I23*44/12*参考2_エネ使用量経年!BM24*参考2_エネ使用量経年!$I24,"")</f>
        <v/>
      </c>
      <c r="BN23" s="916" t="str">
        <f ca="1">IFERROR($J23*44/12*参考2_エネ使用量経年!BN24*参考2_エネ使用量経年!$J24,"")</f>
        <v/>
      </c>
      <c r="BO23" s="916" t="str">
        <f ca="1">IFERROR($K23*44/12*参考2_エネ使用量経年!BO24*参考2_エネ使用量経年!$K24,"")</f>
        <v/>
      </c>
    </row>
    <row r="24" spans="1:67" ht="20.100000000000001" hidden="1" customHeight="1" outlineLevel="1">
      <c r="A24" s="914">
        <v>24</v>
      </c>
      <c r="B24" s="1594"/>
      <c r="C24" s="1596"/>
      <c r="D24" s="785" t="s">
        <v>365</v>
      </c>
      <c r="E24" s="779"/>
      <c r="F24" s="786"/>
      <c r="G24" s="852" t="s">
        <v>1281</v>
      </c>
      <c r="H24" s="915">
        <f t="shared" ca="1" si="0"/>
        <v>2.4500000000000001E-2</v>
      </c>
      <c r="I24" s="915">
        <f t="shared" ca="1" si="1"/>
        <v>2.4500000000000001E-2</v>
      </c>
      <c r="J24" s="915">
        <f t="shared" ca="1" si="2"/>
        <v>2.4500000000000001E-2</v>
      </c>
      <c r="K24" s="915">
        <f t="shared" ca="1" si="3"/>
        <v>2.4500000000000001E-2</v>
      </c>
      <c r="L24" s="916">
        <f ca="1">IFERROR($H24*44/12*参考2_エネ使用量経年!L25*参考2_エネ使用量経年!$H25,"")</f>
        <v>0</v>
      </c>
      <c r="M24" s="916">
        <f ca="1">IFERROR($I24*44/12*参考2_エネ使用量経年!M25*参考2_エネ使用量経年!$I25,"")</f>
        <v>0</v>
      </c>
      <c r="N24" s="916">
        <f ca="1">IFERROR($J24*44/12*参考2_エネ使用量経年!N25*参考2_エネ使用量経年!$J25,"")</f>
        <v>0</v>
      </c>
      <c r="O24" s="916">
        <f ca="1">IFERROR($K24*44/12*参考2_エネ使用量経年!O25*参考2_エネ使用量経年!$K25,"")</f>
        <v>0</v>
      </c>
      <c r="P24" s="916">
        <f ca="1">IFERROR($H24*44/12*参考2_エネ使用量経年!P25*参考2_エネ使用量経年!$H25,"")</f>
        <v>0</v>
      </c>
      <c r="Q24" s="916">
        <f ca="1">IFERROR($I24*44/12*参考2_エネ使用量経年!Q25*参考2_エネ使用量経年!$I25,"")</f>
        <v>0</v>
      </c>
      <c r="R24" s="916">
        <f ca="1">IFERROR($J24*44/12*参考2_エネ使用量経年!R25*参考2_エネ使用量経年!$J25,"")</f>
        <v>0</v>
      </c>
      <c r="S24" s="916">
        <f ca="1">IFERROR($K24*44/12*参考2_エネ使用量経年!S25*参考2_エネ使用量経年!$K25,"")</f>
        <v>0</v>
      </c>
      <c r="T24" s="916">
        <f ca="1">IFERROR($H24*44/12*参考2_エネ使用量経年!T25*参考2_エネ使用量経年!$H25,"")</f>
        <v>0</v>
      </c>
      <c r="U24" s="916">
        <f ca="1">IFERROR($I24*44/12*参考2_エネ使用量経年!U25*参考2_エネ使用量経年!$I25,"")</f>
        <v>0</v>
      </c>
      <c r="V24" s="916">
        <f ca="1">IFERROR($J24*44/12*参考2_エネ使用量経年!V25*参考2_エネ使用量経年!$J25,"")</f>
        <v>0</v>
      </c>
      <c r="W24" s="916">
        <f ca="1">IFERROR($K24*44/12*参考2_エネ使用量経年!W25*参考2_エネ使用量経年!$K25,"")</f>
        <v>0</v>
      </c>
      <c r="X24" s="916">
        <f ca="1">IFERROR($H24*44/12*参考2_エネ使用量経年!X25*参考2_エネ使用量経年!$H25,"")</f>
        <v>0</v>
      </c>
      <c r="Y24" s="916">
        <f ca="1">IFERROR($I24*44/12*参考2_エネ使用量経年!Y25*参考2_エネ使用量経年!$I25,"")</f>
        <v>0</v>
      </c>
      <c r="Z24" s="916">
        <f ca="1">IFERROR($J24*44/12*参考2_エネ使用量経年!Z25*参考2_エネ使用量経年!$J25,"")</f>
        <v>0</v>
      </c>
      <c r="AA24" s="916">
        <f ca="1">IFERROR($K24*44/12*参考2_エネ使用量経年!AA25*参考2_エネ使用量経年!$K25,"")</f>
        <v>0</v>
      </c>
      <c r="AB24" s="916" t="str">
        <f ca="1">IFERROR($H24*44/12*参考2_エネ使用量経年!AB25*参考2_エネ使用量経年!$H25,"")</f>
        <v/>
      </c>
      <c r="AC24" s="916" t="str">
        <f ca="1">IFERROR($I24*44/12*参考2_エネ使用量経年!AC25*参考2_エネ使用量経年!$I25,"")</f>
        <v/>
      </c>
      <c r="AD24" s="916" t="str">
        <f ca="1">IFERROR($J24*44/12*参考2_エネ使用量経年!AD25*参考2_エネ使用量経年!$J25,"")</f>
        <v/>
      </c>
      <c r="AE24" s="916" t="str">
        <f ca="1">IFERROR($K24*44/12*参考2_エネ使用量経年!AE25*参考2_エネ使用量経年!$K25,"")</f>
        <v/>
      </c>
      <c r="AF24" s="916" t="str">
        <f ca="1">IFERROR($H24*44/12*参考2_エネ使用量経年!AF25*参考2_エネ使用量経年!$H25,"")</f>
        <v/>
      </c>
      <c r="AG24" s="916" t="str">
        <f ca="1">IFERROR($I24*44/12*参考2_エネ使用量経年!AG25*参考2_エネ使用量経年!$I25,"")</f>
        <v/>
      </c>
      <c r="AH24" s="916" t="str">
        <f ca="1">IFERROR($J24*44/12*参考2_エネ使用量経年!AH25*参考2_エネ使用量経年!$J25,"")</f>
        <v/>
      </c>
      <c r="AI24" s="916" t="str">
        <f ca="1">IFERROR($K24*44/12*参考2_エネ使用量経年!AI25*参考2_エネ使用量経年!$K25,"")</f>
        <v/>
      </c>
      <c r="AJ24" s="916" t="str">
        <f ca="1">IFERROR($H24*44/12*参考2_エネ使用量経年!AJ25*参考2_エネ使用量経年!$H25,"")</f>
        <v/>
      </c>
      <c r="AK24" s="916" t="str">
        <f ca="1">IFERROR($I24*44/12*参考2_エネ使用量経年!AK25*参考2_エネ使用量経年!$I25,"")</f>
        <v/>
      </c>
      <c r="AL24" s="916" t="str">
        <f ca="1">IFERROR($J24*44/12*参考2_エネ使用量経年!AL25*参考2_エネ使用量経年!$J25,"")</f>
        <v/>
      </c>
      <c r="AM24" s="916" t="str">
        <f ca="1">IFERROR($K24*44/12*参考2_エネ使用量経年!AM25*参考2_エネ使用量経年!$K25,"")</f>
        <v/>
      </c>
      <c r="AN24" s="916" t="str">
        <f ca="1">IFERROR($H24*44/12*参考2_エネ使用量経年!AN25*参考2_エネ使用量経年!$H25,"")</f>
        <v/>
      </c>
      <c r="AO24" s="916" t="str">
        <f ca="1">IFERROR($I24*44/12*参考2_エネ使用量経年!AO25*参考2_エネ使用量経年!$I25,"")</f>
        <v/>
      </c>
      <c r="AP24" s="916" t="str">
        <f ca="1">IFERROR($J24*44/12*参考2_エネ使用量経年!AP25*参考2_エネ使用量経年!$J25,"")</f>
        <v/>
      </c>
      <c r="AQ24" s="916" t="str">
        <f ca="1">IFERROR($K24*44/12*参考2_エネ使用量経年!AQ25*参考2_エネ使用量経年!$K25,"")</f>
        <v/>
      </c>
      <c r="AR24" s="916" t="str">
        <f ca="1">IFERROR($H24*44/12*参考2_エネ使用量経年!AR25*参考2_エネ使用量経年!$H25,"")</f>
        <v/>
      </c>
      <c r="AS24" s="916" t="str">
        <f ca="1">IFERROR($I24*44/12*参考2_エネ使用量経年!AS25*参考2_エネ使用量経年!$I25,"")</f>
        <v/>
      </c>
      <c r="AT24" s="916" t="str">
        <f ca="1">IFERROR($J24*44/12*参考2_エネ使用量経年!AT25*参考2_エネ使用量経年!$J25,"")</f>
        <v/>
      </c>
      <c r="AU24" s="916" t="str">
        <f ca="1">IFERROR($K24*44/12*参考2_エネ使用量経年!AU25*参考2_エネ使用量経年!$K25,"")</f>
        <v/>
      </c>
      <c r="AV24" s="916" t="str">
        <f ca="1">IFERROR($H24*44/12*参考2_エネ使用量経年!AV25*参考2_エネ使用量経年!$H25,"")</f>
        <v/>
      </c>
      <c r="AW24" s="916" t="str">
        <f ca="1">IFERROR($I24*44/12*参考2_エネ使用量経年!AW25*参考2_エネ使用量経年!$I25,"")</f>
        <v/>
      </c>
      <c r="AX24" s="916" t="str">
        <f ca="1">IFERROR($J24*44/12*参考2_エネ使用量経年!AX25*参考2_エネ使用量経年!$J25,"")</f>
        <v/>
      </c>
      <c r="AY24" s="916" t="str">
        <f ca="1">IFERROR($K24*44/12*参考2_エネ使用量経年!AY25*参考2_エネ使用量経年!$K25,"")</f>
        <v/>
      </c>
      <c r="AZ24" s="916" t="str">
        <f ca="1">IFERROR($H24*44/12*参考2_エネ使用量経年!AZ25*参考2_エネ使用量経年!$H25,"")</f>
        <v/>
      </c>
      <c r="BA24" s="916" t="str">
        <f ca="1">IFERROR($I24*44/12*参考2_エネ使用量経年!BA25*参考2_エネ使用量経年!$I25,"")</f>
        <v/>
      </c>
      <c r="BB24" s="916" t="str">
        <f ca="1">IFERROR($J24*44/12*参考2_エネ使用量経年!BB25*参考2_エネ使用量経年!$J25,"")</f>
        <v/>
      </c>
      <c r="BC24" s="916" t="str">
        <f ca="1">IFERROR($K24*44/12*参考2_エネ使用量経年!BC25*参考2_エネ使用量経年!$K25,"")</f>
        <v/>
      </c>
      <c r="BD24" s="916" t="str">
        <f ca="1">IFERROR($H24*44/12*参考2_エネ使用量経年!BD25*参考2_エネ使用量経年!$H25,"")</f>
        <v/>
      </c>
      <c r="BE24" s="916" t="str">
        <f ca="1">IFERROR($I24*44/12*参考2_エネ使用量経年!BE25*参考2_エネ使用量経年!$I25,"")</f>
        <v/>
      </c>
      <c r="BF24" s="916" t="str">
        <f ca="1">IFERROR($J24*44/12*参考2_エネ使用量経年!BF25*参考2_エネ使用量経年!$J25,"")</f>
        <v/>
      </c>
      <c r="BG24" s="916" t="str">
        <f ca="1">IFERROR($K24*44/12*参考2_エネ使用量経年!BG25*参考2_エネ使用量経年!$K25,"")</f>
        <v/>
      </c>
      <c r="BH24" s="916" t="str">
        <f ca="1">IFERROR($H24*44/12*参考2_エネ使用量経年!BH25*参考2_エネ使用量経年!$H25,"")</f>
        <v/>
      </c>
      <c r="BI24" s="916" t="str">
        <f ca="1">IFERROR($I24*44/12*参考2_エネ使用量経年!BI25*参考2_エネ使用量経年!$I25,"")</f>
        <v/>
      </c>
      <c r="BJ24" s="916" t="str">
        <f ca="1">IFERROR($J24*44/12*参考2_エネ使用量経年!BJ25*参考2_エネ使用量経年!$J25,"")</f>
        <v/>
      </c>
      <c r="BK24" s="916" t="str">
        <f ca="1">IFERROR($K24*44/12*参考2_エネ使用量経年!BK25*参考2_エネ使用量経年!$K25,"")</f>
        <v/>
      </c>
      <c r="BL24" s="916" t="str">
        <f ca="1">IFERROR($H24*44/12*参考2_エネ使用量経年!BL25*参考2_エネ使用量経年!$H25,"")</f>
        <v/>
      </c>
      <c r="BM24" s="916" t="str">
        <f ca="1">IFERROR($I24*44/12*参考2_エネ使用量経年!BM25*参考2_エネ使用量経年!$I25,"")</f>
        <v/>
      </c>
      <c r="BN24" s="916" t="str">
        <f ca="1">IFERROR($J24*44/12*参考2_エネ使用量経年!BN25*参考2_エネ使用量経年!$J25,"")</f>
        <v/>
      </c>
      <c r="BO24" s="916" t="str">
        <f ca="1">IFERROR($K24*44/12*参考2_エネ使用量経年!BO25*参考2_エネ使用量経年!$K25,"")</f>
        <v/>
      </c>
    </row>
    <row r="25" spans="1:67" ht="20.100000000000001" hidden="1" customHeight="1" outlineLevel="1">
      <c r="A25" s="914">
        <v>25</v>
      </c>
      <c r="B25" s="1594"/>
      <c r="C25" s="1596"/>
      <c r="D25" s="785" t="s">
        <v>366</v>
      </c>
      <c r="E25" s="785"/>
      <c r="F25" s="786"/>
      <c r="G25" s="852" t="s">
        <v>1281</v>
      </c>
      <c r="H25" s="915">
        <f t="shared" ca="1" si="0"/>
        <v>2.5100000000000001E-2</v>
      </c>
      <c r="I25" s="915">
        <f t="shared" ca="1" si="1"/>
        <v>2.5100000000000001E-2</v>
      </c>
      <c r="J25" s="915">
        <f t="shared" ca="1" si="2"/>
        <v>2.5100000000000001E-2</v>
      </c>
      <c r="K25" s="915">
        <f t="shared" ca="1" si="3"/>
        <v>2.5100000000000001E-2</v>
      </c>
      <c r="L25" s="916">
        <f ca="1">IFERROR($H25*44/12*参考2_エネ使用量経年!L26*参考2_エネ使用量経年!$H26,"")</f>
        <v>0</v>
      </c>
      <c r="M25" s="916">
        <f ca="1">IFERROR($I25*44/12*参考2_エネ使用量経年!M26*参考2_エネ使用量経年!$I26,"")</f>
        <v>0</v>
      </c>
      <c r="N25" s="916">
        <f ca="1">IFERROR($J25*44/12*参考2_エネ使用量経年!N26*参考2_エネ使用量経年!$J26,"")</f>
        <v>0</v>
      </c>
      <c r="O25" s="916">
        <f ca="1">IFERROR($K25*44/12*参考2_エネ使用量経年!O26*参考2_エネ使用量経年!$K26,"")</f>
        <v>0</v>
      </c>
      <c r="P25" s="916">
        <f ca="1">IFERROR($H25*44/12*参考2_エネ使用量経年!P26*参考2_エネ使用量経年!$H26,"")</f>
        <v>0</v>
      </c>
      <c r="Q25" s="916">
        <f ca="1">IFERROR($I25*44/12*参考2_エネ使用量経年!Q26*参考2_エネ使用量経年!$I26,"")</f>
        <v>0</v>
      </c>
      <c r="R25" s="916">
        <f ca="1">IFERROR($J25*44/12*参考2_エネ使用量経年!R26*参考2_エネ使用量経年!$J26,"")</f>
        <v>0</v>
      </c>
      <c r="S25" s="916">
        <f ca="1">IFERROR($K25*44/12*参考2_エネ使用量経年!S26*参考2_エネ使用量経年!$K26,"")</f>
        <v>0</v>
      </c>
      <c r="T25" s="916">
        <f ca="1">IFERROR($H25*44/12*参考2_エネ使用量経年!T26*参考2_エネ使用量経年!$H26,"")</f>
        <v>0</v>
      </c>
      <c r="U25" s="916">
        <f ca="1">IFERROR($I25*44/12*参考2_エネ使用量経年!U26*参考2_エネ使用量経年!$I26,"")</f>
        <v>0</v>
      </c>
      <c r="V25" s="916">
        <f ca="1">IFERROR($J25*44/12*参考2_エネ使用量経年!V26*参考2_エネ使用量経年!$J26,"")</f>
        <v>0</v>
      </c>
      <c r="W25" s="916">
        <f ca="1">IFERROR($K25*44/12*参考2_エネ使用量経年!W26*参考2_エネ使用量経年!$K26,"")</f>
        <v>0</v>
      </c>
      <c r="X25" s="916">
        <f ca="1">IFERROR($H25*44/12*参考2_エネ使用量経年!X26*参考2_エネ使用量経年!$H26,"")</f>
        <v>0</v>
      </c>
      <c r="Y25" s="916">
        <f ca="1">IFERROR($I25*44/12*参考2_エネ使用量経年!Y26*参考2_エネ使用量経年!$I26,"")</f>
        <v>0</v>
      </c>
      <c r="Z25" s="916">
        <f ca="1">IFERROR($J25*44/12*参考2_エネ使用量経年!Z26*参考2_エネ使用量経年!$J26,"")</f>
        <v>0</v>
      </c>
      <c r="AA25" s="916">
        <f ca="1">IFERROR($K25*44/12*参考2_エネ使用量経年!AA26*参考2_エネ使用量経年!$K26,"")</f>
        <v>0</v>
      </c>
      <c r="AB25" s="916" t="str">
        <f ca="1">IFERROR($H25*44/12*参考2_エネ使用量経年!AB26*参考2_エネ使用量経年!$H26,"")</f>
        <v/>
      </c>
      <c r="AC25" s="916" t="str">
        <f ca="1">IFERROR($I25*44/12*参考2_エネ使用量経年!AC26*参考2_エネ使用量経年!$I26,"")</f>
        <v/>
      </c>
      <c r="AD25" s="916" t="str">
        <f ca="1">IFERROR($J25*44/12*参考2_エネ使用量経年!AD26*参考2_エネ使用量経年!$J26,"")</f>
        <v/>
      </c>
      <c r="AE25" s="916" t="str">
        <f ca="1">IFERROR($K25*44/12*参考2_エネ使用量経年!AE26*参考2_エネ使用量経年!$K26,"")</f>
        <v/>
      </c>
      <c r="AF25" s="916" t="str">
        <f ca="1">IFERROR($H25*44/12*参考2_エネ使用量経年!AF26*参考2_エネ使用量経年!$H26,"")</f>
        <v/>
      </c>
      <c r="AG25" s="916" t="str">
        <f ca="1">IFERROR($I25*44/12*参考2_エネ使用量経年!AG26*参考2_エネ使用量経年!$I26,"")</f>
        <v/>
      </c>
      <c r="AH25" s="916" t="str">
        <f ca="1">IFERROR($J25*44/12*参考2_エネ使用量経年!AH26*参考2_エネ使用量経年!$J26,"")</f>
        <v/>
      </c>
      <c r="AI25" s="916" t="str">
        <f ca="1">IFERROR($K25*44/12*参考2_エネ使用量経年!AI26*参考2_エネ使用量経年!$K26,"")</f>
        <v/>
      </c>
      <c r="AJ25" s="916" t="str">
        <f ca="1">IFERROR($H25*44/12*参考2_エネ使用量経年!AJ26*参考2_エネ使用量経年!$H26,"")</f>
        <v/>
      </c>
      <c r="AK25" s="916" t="str">
        <f ca="1">IFERROR($I25*44/12*参考2_エネ使用量経年!AK26*参考2_エネ使用量経年!$I26,"")</f>
        <v/>
      </c>
      <c r="AL25" s="916" t="str">
        <f ca="1">IFERROR($J25*44/12*参考2_エネ使用量経年!AL26*参考2_エネ使用量経年!$J26,"")</f>
        <v/>
      </c>
      <c r="AM25" s="916" t="str">
        <f ca="1">IFERROR($K25*44/12*参考2_エネ使用量経年!AM26*参考2_エネ使用量経年!$K26,"")</f>
        <v/>
      </c>
      <c r="AN25" s="916" t="str">
        <f ca="1">IFERROR($H25*44/12*参考2_エネ使用量経年!AN26*参考2_エネ使用量経年!$H26,"")</f>
        <v/>
      </c>
      <c r="AO25" s="916" t="str">
        <f ca="1">IFERROR($I25*44/12*参考2_エネ使用量経年!AO26*参考2_エネ使用量経年!$I26,"")</f>
        <v/>
      </c>
      <c r="AP25" s="916" t="str">
        <f ca="1">IFERROR($J25*44/12*参考2_エネ使用量経年!AP26*参考2_エネ使用量経年!$J26,"")</f>
        <v/>
      </c>
      <c r="AQ25" s="916" t="str">
        <f ca="1">IFERROR($K25*44/12*参考2_エネ使用量経年!AQ26*参考2_エネ使用量経年!$K26,"")</f>
        <v/>
      </c>
      <c r="AR25" s="916" t="str">
        <f ca="1">IFERROR($H25*44/12*参考2_エネ使用量経年!AR26*参考2_エネ使用量経年!$H26,"")</f>
        <v/>
      </c>
      <c r="AS25" s="916" t="str">
        <f ca="1">IFERROR($I25*44/12*参考2_エネ使用量経年!AS26*参考2_エネ使用量経年!$I26,"")</f>
        <v/>
      </c>
      <c r="AT25" s="916" t="str">
        <f ca="1">IFERROR($J25*44/12*参考2_エネ使用量経年!AT26*参考2_エネ使用量経年!$J26,"")</f>
        <v/>
      </c>
      <c r="AU25" s="916" t="str">
        <f ca="1">IFERROR($K25*44/12*参考2_エネ使用量経年!AU26*参考2_エネ使用量経年!$K26,"")</f>
        <v/>
      </c>
      <c r="AV25" s="916" t="str">
        <f ca="1">IFERROR($H25*44/12*参考2_エネ使用量経年!AV26*参考2_エネ使用量経年!$H26,"")</f>
        <v/>
      </c>
      <c r="AW25" s="916" t="str">
        <f ca="1">IFERROR($I25*44/12*参考2_エネ使用量経年!AW26*参考2_エネ使用量経年!$I26,"")</f>
        <v/>
      </c>
      <c r="AX25" s="916" t="str">
        <f ca="1">IFERROR($J25*44/12*参考2_エネ使用量経年!AX26*参考2_エネ使用量経年!$J26,"")</f>
        <v/>
      </c>
      <c r="AY25" s="916" t="str">
        <f ca="1">IFERROR($K25*44/12*参考2_エネ使用量経年!AY26*参考2_エネ使用量経年!$K26,"")</f>
        <v/>
      </c>
      <c r="AZ25" s="916" t="str">
        <f ca="1">IFERROR($H25*44/12*参考2_エネ使用量経年!AZ26*参考2_エネ使用量経年!$H26,"")</f>
        <v/>
      </c>
      <c r="BA25" s="916" t="str">
        <f ca="1">IFERROR($I25*44/12*参考2_エネ使用量経年!BA26*参考2_エネ使用量経年!$I26,"")</f>
        <v/>
      </c>
      <c r="BB25" s="916" t="str">
        <f ca="1">IFERROR($J25*44/12*参考2_エネ使用量経年!BB26*参考2_エネ使用量経年!$J26,"")</f>
        <v/>
      </c>
      <c r="BC25" s="916" t="str">
        <f ca="1">IFERROR($K25*44/12*参考2_エネ使用量経年!BC26*参考2_エネ使用量経年!$K26,"")</f>
        <v/>
      </c>
      <c r="BD25" s="916" t="str">
        <f ca="1">IFERROR($H25*44/12*参考2_エネ使用量経年!BD26*参考2_エネ使用量経年!$H26,"")</f>
        <v/>
      </c>
      <c r="BE25" s="916" t="str">
        <f ca="1">IFERROR($I25*44/12*参考2_エネ使用量経年!BE26*参考2_エネ使用量経年!$I26,"")</f>
        <v/>
      </c>
      <c r="BF25" s="916" t="str">
        <f ca="1">IFERROR($J25*44/12*参考2_エネ使用量経年!BF26*参考2_エネ使用量経年!$J26,"")</f>
        <v/>
      </c>
      <c r="BG25" s="916" t="str">
        <f ca="1">IFERROR($K25*44/12*参考2_エネ使用量経年!BG26*参考2_エネ使用量経年!$K26,"")</f>
        <v/>
      </c>
      <c r="BH25" s="916" t="str">
        <f ca="1">IFERROR($H25*44/12*参考2_エネ使用量経年!BH26*参考2_エネ使用量経年!$H26,"")</f>
        <v/>
      </c>
      <c r="BI25" s="916" t="str">
        <f ca="1">IFERROR($I25*44/12*参考2_エネ使用量経年!BI26*参考2_エネ使用量経年!$I26,"")</f>
        <v/>
      </c>
      <c r="BJ25" s="916" t="str">
        <f ca="1">IFERROR($J25*44/12*参考2_エネ使用量経年!BJ26*参考2_エネ使用量経年!$J26,"")</f>
        <v/>
      </c>
      <c r="BK25" s="916" t="str">
        <f ca="1">IFERROR($K25*44/12*参考2_エネ使用量経年!BK26*参考2_エネ使用量経年!$K26,"")</f>
        <v/>
      </c>
      <c r="BL25" s="916" t="str">
        <f ca="1">IFERROR($H25*44/12*参考2_エネ使用量経年!BL26*参考2_エネ使用量経年!$H26,"")</f>
        <v/>
      </c>
      <c r="BM25" s="916" t="str">
        <f ca="1">IFERROR($I25*44/12*参考2_エネ使用量経年!BM26*参考2_エネ使用量経年!$I26,"")</f>
        <v/>
      </c>
      <c r="BN25" s="916" t="str">
        <f ca="1">IFERROR($J25*44/12*参考2_エネ使用量経年!BN26*参考2_エネ使用量経年!$J26,"")</f>
        <v/>
      </c>
      <c r="BO25" s="916" t="str">
        <f ca="1">IFERROR($K25*44/12*参考2_エネ使用量経年!BO26*参考2_エネ使用量経年!$K26,"")</f>
        <v/>
      </c>
    </row>
    <row r="26" spans="1:67" ht="20.100000000000001" hidden="1" customHeight="1" outlineLevel="1">
      <c r="A26" s="914">
        <v>26</v>
      </c>
      <c r="B26" s="1594"/>
      <c r="C26" s="1596"/>
      <c r="D26" s="785" t="s">
        <v>367</v>
      </c>
      <c r="E26" s="785"/>
      <c r="F26" s="786"/>
      <c r="G26" s="852" t="s">
        <v>1281</v>
      </c>
      <c r="H26" s="915">
        <f t="shared" ca="1" si="0"/>
        <v>2.4299999999999999E-2</v>
      </c>
      <c r="I26" s="915">
        <f t="shared" ca="1" si="1"/>
        <v>2.4299999999999999E-2</v>
      </c>
      <c r="J26" s="915">
        <f t="shared" ca="1" si="2"/>
        <v>2.4299999999999999E-2</v>
      </c>
      <c r="K26" s="915">
        <f t="shared" ca="1" si="3"/>
        <v>2.4299999999999999E-2</v>
      </c>
      <c r="L26" s="916">
        <f ca="1">IFERROR($H26*44/12*参考2_エネ使用量経年!L27*参考2_エネ使用量経年!$H27,"")</f>
        <v>0</v>
      </c>
      <c r="M26" s="916">
        <f ca="1">IFERROR($I26*44/12*参考2_エネ使用量経年!M27*参考2_エネ使用量経年!$I27,"")</f>
        <v>0</v>
      </c>
      <c r="N26" s="916">
        <f ca="1">IFERROR($J26*44/12*参考2_エネ使用量経年!N27*参考2_エネ使用量経年!$J27,"")</f>
        <v>0</v>
      </c>
      <c r="O26" s="916">
        <f ca="1">IFERROR($K26*44/12*参考2_エネ使用量経年!O27*参考2_エネ使用量経年!$K27,"")</f>
        <v>0</v>
      </c>
      <c r="P26" s="916">
        <f ca="1">IFERROR($H26*44/12*参考2_エネ使用量経年!P27*参考2_エネ使用量経年!$H27,"")</f>
        <v>0</v>
      </c>
      <c r="Q26" s="916">
        <f ca="1">IFERROR($I26*44/12*参考2_エネ使用量経年!Q27*参考2_エネ使用量経年!$I27,"")</f>
        <v>0</v>
      </c>
      <c r="R26" s="916">
        <f ca="1">IFERROR($J26*44/12*参考2_エネ使用量経年!R27*参考2_エネ使用量経年!$J27,"")</f>
        <v>0</v>
      </c>
      <c r="S26" s="916">
        <f ca="1">IFERROR($K26*44/12*参考2_エネ使用量経年!S27*参考2_エネ使用量経年!$K27,"")</f>
        <v>0</v>
      </c>
      <c r="T26" s="916">
        <f ca="1">IFERROR($H26*44/12*参考2_エネ使用量経年!T27*参考2_エネ使用量経年!$H27,"")</f>
        <v>0</v>
      </c>
      <c r="U26" s="916">
        <f ca="1">IFERROR($I26*44/12*参考2_エネ使用量経年!U27*参考2_エネ使用量経年!$I27,"")</f>
        <v>0</v>
      </c>
      <c r="V26" s="916">
        <f ca="1">IFERROR($J26*44/12*参考2_エネ使用量経年!V27*参考2_エネ使用量経年!$J27,"")</f>
        <v>0</v>
      </c>
      <c r="W26" s="916">
        <f ca="1">IFERROR($K26*44/12*参考2_エネ使用量経年!W27*参考2_エネ使用量経年!$K27,"")</f>
        <v>0</v>
      </c>
      <c r="X26" s="916">
        <f ca="1">IFERROR($H26*44/12*参考2_エネ使用量経年!X27*参考2_エネ使用量経年!$H27,"")</f>
        <v>0</v>
      </c>
      <c r="Y26" s="916">
        <f ca="1">IFERROR($I26*44/12*参考2_エネ使用量経年!Y27*参考2_エネ使用量経年!$I27,"")</f>
        <v>0</v>
      </c>
      <c r="Z26" s="916">
        <f ca="1">IFERROR($J26*44/12*参考2_エネ使用量経年!Z27*参考2_エネ使用量経年!$J27,"")</f>
        <v>0</v>
      </c>
      <c r="AA26" s="916">
        <f ca="1">IFERROR($K26*44/12*参考2_エネ使用量経年!AA27*参考2_エネ使用量経年!$K27,"")</f>
        <v>0</v>
      </c>
      <c r="AB26" s="916" t="str">
        <f ca="1">IFERROR($H26*44/12*参考2_エネ使用量経年!AB27*参考2_エネ使用量経年!$H27,"")</f>
        <v/>
      </c>
      <c r="AC26" s="916" t="str">
        <f ca="1">IFERROR($I26*44/12*参考2_エネ使用量経年!AC27*参考2_エネ使用量経年!$I27,"")</f>
        <v/>
      </c>
      <c r="AD26" s="916" t="str">
        <f ca="1">IFERROR($J26*44/12*参考2_エネ使用量経年!AD27*参考2_エネ使用量経年!$J27,"")</f>
        <v/>
      </c>
      <c r="AE26" s="916" t="str">
        <f ca="1">IFERROR($K26*44/12*参考2_エネ使用量経年!AE27*参考2_エネ使用量経年!$K27,"")</f>
        <v/>
      </c>
      <c r="AF26" s="916" t="str">
        <f ca="1">IFERROR($H26*44/12*参考2_エネ使用量経年!AF27*参考2_エネ使用量経年!$H27,"")</f>
        <v/>
      </c>
      <c r="AG26" s="916" t="str">
        <f ca="1">IFERROR($I26*44/12*参考2_エネ使用量経年!AG27*参考2_エネ使用量経年!$I27,"")</f>
        <v/>
      </c>
      <c r="AH26" s="916" t="str">
        <f ca="1">IFERROR($J26*44/12*参考2_エネ使用量経年!AH27*参考2_エネ使用量経年!$J27,"")</f>
        <v/>
      </c>
      <c r="AI26" s="916" t="str">
        <f ca="1">IFERROR($K26*44/12*参考2_エネ使用量経年!AI27*参考2_エネ使用量経年!$K27,"")</f>
        <v/>
      </c>
      <c r="AJ26" s="916" t="str">
        <f ca="1">IFERROR($H26*44/12*参考2_エネ使用量経年!AJ27*参考2_エネ使用量経年!$H27,"")</f>
        <v/>
      </c>
      <c r="AK26" s="916" t="str">
        <f ca="1">IFERROR($I26*44/12*参考2_エネ使用量経年!AK27*参考2_エネ使用量経年!$I27,"")</f>
        <v/>
      </c>
      <c r="AL26" s="916" t="str">
        <f ca="1">IFERROR($J26*44/12*参考2_エネ使用量経年!AL27*参考2_エネ使用量経年!$J27,"")</f>
        <v/>
      </c>
      <c r="AM26" s="916" t="str">
        <f ca="1">IFERROR($K26*44/12*参考2_エネ使用量経年!AM27*参考2_エネ使用量経年!$K27,"")</f>
        <v/>
      </c>
      <c r="AN26" s="916" t="str">
        <f ca="1">IFERROR($H26*44/12*参考2_エネ使用量経年!AN27*参考2_エネ使用量経年!$H27,"")</f>
        <v/>
      </c>
      <c r="AO26" s="916" t="str">
        <f ca="1">IFERROR($I26*44/12*参考2_エネ使用量経年!AO27*参考2_エネ使用量経年!$I27,"")</f>
        <v/>
      </c>
      <c r="AP26" s="916" t="str">
        <f ca="1">IFERROR($J26*44/12*参考2_エネ使用量経年!AP27*参考2_エネ使用量経年!$J27,"")</f>
        <v/>
      </c>
      <c r="AQ26" s="916" t="str">
        <f ca="1">IFERROR($K26*44/12*参考2_エネ使用量経年!AQ27*参考2_エネ使用量経年!$K27,"")</f>
        <v/>
      </c>
      <c r="AR26" s="916" t="str">
        <f ca="1">IFERROR($H26*44/12*参考2_エネ使用量経年!AR27*参考2_エネ使用量経年!$H27,"")</f>
        <v/>
      </c>
      <c r="AS26" s="916" t="str">
        <f ca="1">IFERROR($I26*44/12*参考2_エネ使用量経年!AS27*参考2_エネ使用量経年!$I27,"")</f>
        <v/>
      </c>
      <c r="AT26" s="916" t="str">
        <f ca="1">IFERROR($J26*44/12*参考2_エネ使用量経年!AT27*参考2_エネ使用量経年!$J27,"")</f>
        <v/>
      </c>
      <c r="AU26" s="916" t="str">
        <f ca="1">IFERROR($K26*44/12*参考2_エネ使用量経年!AU27*参考2_エネ使用量経年!$K27,"")</f>
        <v/>
      </c>
      <c r="AV26" s="916" t="str">
        <f ca="1">IFERROR($H26*44/12*参考2_エネ使用量経年!AV27*参考2_エネ使用量経年!$H27,"")</f>
        <v/>
      </c>
      <c r="AW26" s="916" t="str">
        <f ca="1">IFERROR($I26*44/12*参考2_エネ使用量経年!AW27*参考2_エネ使用量経年!$I27,"")</f>
        <v/>
      </c>
      <c r="AX26" s="916" t="str">
        <f ca="1">IFERROR($J26*44/12*参考2_エネ使用量経年!AX27*参考2_エネ使用量経年!$J27,"")</f>
        <v/>
      </c>
      <c r="AY26" s="916" t="str">
        <f ca="1">IFERROR($K26*44/12*参考2_エネ使用量経年!AY27*参考2_エネ使用量経年!$K27,"")</f>
        <v/>
      </c>
      <c r="AZ26" s="916" t="str">
        <f ca="1">IFERROR($H26*44/12*参考2_エネ使用量経年!AZ27*参考2_エネ使用量経年!$H27,"")</f>
        <v/>
      </c>
      <c r="BA26" s="916" t="str">
        <f ca="1">IFERROR($I26*44/12*参考2_エネ使用量経年!BA27*参考2_エネ使用量経年!$I27,"")</f>
        <v/>
      </c>
      <c r="BB26" s="916" t="str">
        <f ca="1">IFERROR($J26*44/12*参考2_エネ使用量経年!BB27*参考2_エネ使用量経年!$J27,"")</f>
        <v/>
      </c>
      <c r="BC26" s="916" t="str">
        <f ca="1">IFERROR($K26*44/12*参考2_エネ使用量経年!BC27*参考2_エネ使用量経年!$K27,"")</f>
        <v/>
      </c>
      <c r="BD26" s="916" t="str">
        <f ca="1">IFERROR($H26*44/12*参考2_エネ使用量経年!BD27*参考2_エネ使用量経年!$H27,"")</f>
        <v/>
      </c>
      <c r="BE26" s="916" t="str">
        <f ca="1">IFERROR($I26*44/12*参考2_エネ使用量経年!BE27*参考2_エネ使用量経年!$I27,"")</f>
        <v/>
      </c>
      <c r="BF26" s="916" t="str">
        <f ca="1">IFERROR($J26*44/12*参考2_エネ使用量経年!BF27*参考2_エネ使用量経年!$J27,"")</f>
        <v/>
      </c>
      <c r="BG26" s="916" t="str">
        <f ca="1">IFERROR($K26*44/12*参考2_エネ使用量経年!BG27*参考2_エネ使用量経年!$K27,"")</f>
        <v/>
      </c>
      <c r="BH26" s="916" t="str">
        <f ca="1">IFERROR($H26*44/12*参考2_エネ使用量経年!BH27*参考2_エネ使用量経年!$H27,"")</f>
        <v/>
      </c>
      <c r="BI26" s="916" t="str">
        <f ca="1">IFERROR($I26*44/12*参考2_エネ使用量経年!BI27*参考2_エネ使用量経年!$I27,"")</f>
        <v/>
      </c>
      <c r="BJ26" s="916" t="str">
        <f ca="1">IFERROR($J26*44/12*参考2_エネ使用量経年!BJ27*参考2_エネ使用量経年!$J27,"")</f>
        <v/>
      </c>
      <c r="BK26" s="916" t="str">
        <f ca="1">IFERROR($K26*44/12*参考2_エネ使用量経年!BK27*参考2_エネ使用量経年!$K27,"")</f>
        <v/>
      </c>
      <c r="BL26" s="916" t="str">
        <f ca="1">IFERROR($H26*44/12*参考2_エネ使用量経年!BL27*参考2_エネ使用量経年!$H27,"")</f>
        <v/>
      </c>
      <c r="BM26" s="916" t="str">
        <f ca="1">IFERROR($I26*44/12*参考2_エネ使用量経年!BM27*参考2_エネ使用量経年!$I27,"")</f>
        <v/>
      </c>
      <c r="BN26" s="916" t="str">
        <f ca="1">IFERROR($J26*44/12*参考2_エネ使用量経年!BN27*参考2_エネ使用量経年!$J27,"")</f>
        <v/>
      </c>
      <c r="BO26" s="916" t="str">
        <f ca="1">IFERROR($K26*44/12*参考2_エネ使用量経年!BO27*参考2_エネ使用量経年!$K27,"")</f>
        <v/>
      </c>
    </row>
    <row r="27" spans="1:67" ht="20.100000000000001" hidden="1" customHeight="1" outlineLevel="1">
      <c r="A27" s="914">
        <v>27</v>
      </c>
      <c r="B27" s="1594"/>
      <c r="C27" s="1596"/>
      <c r="D27" s="785" t="s">
        <v>368</v>
      </c>
      <c r="E27" s="785"/>
      <c r="F27" s="786"/>
      <c r="G27" s="852" t="s">
        <v>1281</v>
      </c>
      <c r="H27" s="915">
        <f t="shared" ca="1" si="0"/>
        <v>2.4199999999999999E-2</v>
      </c>
      <c r="I27" s="915">
        <f t="shared" ca="1" si="1"/>
        <v>2.4199999999999999E-2</v>
      </c>
      <c r="J27" s="915">
        <f t="shared" ca="1" si="2"/>
        <v>2.4199999999999999E-2</v>
      </c>
      <c r="K27" s="915">
        <f t="shared" ca="1" si="3"/>
        <v>2.4199999999999999E-2</v>
      </c>
      <c r="L27" s="916">
        <f ca="1">IFERROR($H27*44/12*参考2_エネ使用量経年!L28*参考2_エネ使用量経年!$H28,"")</f>
        <v>0</v>
      </c>
      <c r="M27" s="916">
        <f ca="1">IFERROR($I27*44/12*参考2_エネ使用量経年!M28*参考2_エネ使用量経年!$I28,"")</f>
        <v>0</v>
      </c>
      <c r="N27" s="916">
        <f ca="1">IFERROR($J27*44/12*参考2_エネ使用量経年!N28*参考2_エネ使用量経年!$J28,"")</f>
        <v>0</v>
      </c>
      <c r="O27" s="916">
        <f ca="1">IFERROR($K27*44/12*参考2_エネ使用量経年!O28*参考2_エネ使用量経年!$K28,"")</f>
        <v>0</v>
      </c>
      <c r="P27" s="916">
        <f ca="1">IFERROR($H27*44/12*参考2_エネ使用量経年!P28*参考2_エネ使用量経年!$H28,"")</f>
        <v>0</v>
      </c>
      <c r="Q27" s="916">
        <f ca="1">IFERROR($I27*44/12*参考2_エネ使用量経年!Q28*参考2_エネ使用量経年!$I28,"")</f>
        <v>0</v>
      </c>
      <c r="R27" s="916">
        <f ca="1">IFERROR($J27*44/12*参考2_エネ使用量経年!R28*参考2_エネ使用量経年!$J28,"")</f>
        <v>0</v>
      </c>
      <c r="S27" s="916">
        <f ca="1">IFERROR($K27*44/12*参考2_エネ使用量経年!S28*参考2_エネ使用量経年!$K28,"")</f>
        <v>0</v>
      </c>
      <c r="T27" s="916">
        <f ca="1">IFERROR($H27*44/12*参考2_エネ使用量経年!T28*参考2_エネ使用量経年!$H28,"")</f>
        <v>0</v>
      </c>
      <c r="U27" s="916">
        <f ca="1">IFERROR($I27*44/12*参考2_エネ使用量経年!U28*参考2_エネ使用量経年!$I28,"")</f>
        <v>0</v>
      </c>
      <c r="V27" s="916">
        <f ca="1">IFERROR($J27*44/12*参考2_エネ使用量経年!V28*参考2_エネ使用量経年!$J28,"")</f>
        <v>0</v>
      </c>
      <c r="W27" s="916">
        <f ca="1">IFERROR($K27*44/12*参考2_エネ使用量経年!W28*参考2_エネ使用量経年!$K28,"")</f>
        <v>0</v>
      </c>
      <c r="X27" s="916">
        <f ca="1">IFERROR($H27*44/12*参考2_エネ使用量経年!X28*参考2_エネ使用量経年!$H28,"")</f>
        <v>0</v>
      </c>
      <c r="Y27" s="916">
        <f ca="1">IFERROR($I27*44/12*参考2_エネ使用量経年!Y28*参考2_エネ使用量経年!$I28,"")</f>
        <v>0</v>
      </c>
      <c r="Z27" s="916">
        <f ca="1">IFERROR($J27*44/12*参考2_エネ使用量経年!Z28*参考2_エネ使用量経年!$J28,"")</f>
        <v>0</v>
      </c>
      <c r="AA27" s="916">
        <f ca="1">IFERROR($K27*44/12*参考2_エネ使用量経年!AA28*参考2_エネ使用量経年!$K28,"")</f>
        <v>0</v>
      </c>
      <c r="AB27" s="916" t="str">
        <f ca="1">IFERROR($H27*44/12*参考2_エネ使用量経年!AB28*参考2_エネ使用量経年!$H28,"")</f>
        <v/>
      </c>
      <c r="AC27" s="916" t="str">
        <f ca="1">IFERROR($I27*44/12*参考2_エネ使用量経年!AC28*参考2_エネ使用量経年!$I28,"")</f>
        <v/>
      </c>
      <c r="AD27" s="916" t="str">
        <f ca="1">IFERROR($J27*44/12*参考2_エネ使用量経年!AD28*参考2_エネ使用量経年!$J28,"")</f>
        <v/>
      </c>
      <c r="AE27" s="916" t="str">
        <f ca="1">IFERROR($K27*44/12*参考2_エネ使用量経年!AE28*参考2_エネ使用量経年!$K28,"")</f>
        <v/>
      </c>
      <c r="AF27" s="916" t="str">
        <f ca="1">IFERROR($H27*44/12*参考2_エネ使用量経年!AF28*参考2_エネ使用量経年!$H28,"")</f>
        <v/>
      </c>
      <c r="AG27" s="916" t="str">
        <f ca="1">IFERROR($I27*44/12*参考2_エネ使用量経年!AG28*参考2_エネ使用量経年!$I28,"")</f>
        <v/>
      </c>
      <c r="AH27" s="916" t="str">
        <f ca="1">IFERROR($J27*44/12*参考2_エネ使用量経年!AH28*参考2_エネ使用量経年!$J28,"")</f>
        <v/>
      </c>
      <c r="AI27" s="916" t="str">
        <f ca="1">IFERROR($K27*44/12*参考2_エネ使用量経年!AI28*参考2_エネ使用量経年!$K28,"")</f>
        <v/>
      </c>
      <c r="AJ27" s="916" t="str">
        <f ca="1">IFERROR($H27*44/12*参考2_エネ使用量経年!AJ28*参考2_エネ使用量経年!$H28,"")</f>
        <v/>
      </c>
      <c r="AK27" s="916" t="str">
        <f ca="1">IFERROR($I27*44/12*参考2_エネ使用量経年!AK28*参考2_エネ使用量経年!$I28,"")</f>
        <v/>
      </c>
      <c r="AL27" s="916" t="str">
        <f ca="1">IFERROR($J27*44/12*参考2_エネ使用量経年!AL28*参考2_エネ使用量経年!$J28,"")</f>
        <v/>
      </c>
      <c r="AM27" s="916" t="str">
        <f ca="1">IFERROR($K27*44/12*参考2_エネ使用量経年!AM28*参考2_エネ使用量経年!$K28,"")</f>
        <v/>
      </c>
      <c r="AN27" s="916" t="str">
        <f ca="1">IFERROR($H27*44/12*参考2_エネ使用量経年!AN28*参考2_エネ使用量経年!$H28,"")</f>
        <v/>
      </c>
      <c r="AO27" s="916" t="str">
        <f ca="1">IFERROR($I27*44/12*参考2_エネ使用量経年!AO28*参考2_エネ使用量経年!$I28,"")</f>
        <v/>
      </c>
      <c r="AP27" s="916" t="str">
        <f ca="1">IFERROR($J27*44/12*参考2_エネ使用量経年!AP28*参考2_エネ使用量経年!$J28,"")</f>
        <v/>
      </c>
      <c r="AQ27" s="916" t="str">
        <f ca="1">IFERROR($K27*44/12*参考2_エネ使用量経年!AQ28*参考2_エネ使用量経年!$K28,"")</f>
        <v/>
      </c>
      <c r="AR27" s="916" t="str">
        <f ca="1">IFERROR($H27*44/12*参考2_エネ使用量経年!AR28*参考2_エネ使用量経年!$H28,"")</f>
        <v/>
      </c>
      <c r="AS27" s="916" t="str">
        <f ca="1">IFERROR($I27*44/12*参考2_エネ使用量経年!AS28*参考2_エネ使用量経年!$I28,"")</f>
        <v/>
      </c>
      <c r="AT27" s="916" t="str">
        <f ca="1">IFERROR($J27*44/12*参考2_エネ使用量経年!AT28*参考2_エネ使用量経年!$J28,"")</f>
        <v/>
      </c>
      <c r="AU27" s="916" t="str">
        <f ca="1">IFERROR($K27*44/12*参考2_エネ使用量経年!AU28*参考2_エネ使用量経年!$K28,"")</f>
        <v/>
      </c>
      <c r="AV27" s="916" t="str">
        <f ca="1">IFERROR($H27*44/12*参考2_エネ使用量経年!AV28*参考2_エネ使用量経年!$H28,"")</f>
        <v/>
      </c>
      <c r="AW27" s="916" t="str">
        <f ca="1">IFERROR($I27*44/12*参考2_エネ使用量経年!AW28*参考2_エネ使用量経年!$I28,"")</f>
        <v/>
      </c>
      <c r="AX27" s="916" t="str">
        <f ca="1">IFERROR($J27*44/12*参考2_エネ使用量経年!AX28*参考2_エネ使用量経年!$J28,"")</f>
        <v/>
      </c>
      <c r="AY27" s="916" t="str">
        <f ca="1">IFERROR($K27*44/12*参考2_エネ使用量経年!AY28*参考2_エネ使用量経年!$K28,"")</f>
        <v/>
      </c>
      <c r="AZ27" s="916" t="str">
        <f ca="1">IFERROR($H27*44/12*参考2_エネ使用量経年!AZ28*参考2_エネ使用量経年!$H28,"")</f>
        <v/>
      </c>
      <c r="BA27" s="916" t="str">
        <f ca="1">IFERROR($I27*44/12*参考2_エネ使用量経年!BA28*参考2_エネ使用量経年!$I28,"")</f>
        <v/>
      </c>
      <c r="BB27" s="916" t="str">
        <f ca="1">IFERROR($J27*44/12*参考2_エネ使用量経年!BB28*参考2_エネ使用量経年!$J28,"")</f>
        <v/>
      </c>
      <c r="BC27" s="916" t="str">
        <f ca="1">IFERROR($K27*44/12*参考2_エネ使用量経年!BC28*参考2_エネ使用量経年!$K28,"")</f>
        <v/>
      </c>
      <c r="BD27" s="916" t="str">
        <f ca="1">IFERROR($H27*44/12*参考2_エネ使用量経年!BD28*参考2_エネ使用量経年!$H28,"")</f>
        <v/>
      </c>
      <c r="BE27" s="916" t="str">
        <f ca="1">IFERROR($I27*44/12*参考2_エネ使用量経年!BE28*参考2_エネ使用量経年!$I28,"")</f>
        <v/>
      </c>
      <c r="BF27" s="916" t="str">
        <f ca="1">IFERROR($J27*44/12*参考2_エネ使用量経年!BF28*参考2_エネ使用量経年!$J28,"")</f>
        <v/>
      </c>
      <c r="BG27" s="916" t="str">
        <f ca="1">IFERROR($K27*44/12*参考2_エネ使用量経年!BG28*参考2_エネ使用量経年!$K28,"")</f>
        <v/>
      </c>
      <c r="BH27" s="916" t="str">
        <f ca="1">IFERROR($H27*44/12*参考2_エネ使用量経年!BH28*参考2_エネ使用量経年!$H28,"")</f>
        <v/>
      </c>
      <c r="BI27" s="916" t="str">
        <f ca="1">IFERROR($I27*44/12*参考2_エネ使用量経年!BI28*参考2_エネ使用量経年!$I28,"")</f>
        <v/>
      </c>
      <c r="BJ27" s="916" t="str">
        <f ca="1">IFERROR($J27*44/12*参考2_エネ使用量経年!BJ28*参考2_エネ使用量経年!$J28,"")</f>
        <v/>
      </c>
      <c r="BK27" s="916" t="str">
        <f ca="1">IFERROR($K27*44/12*参考2_エネ使用量経年!BK28*参考2_エネ使用量経年!$K28,"")</f>
        <v/>
      </c>
      <c r="BL27" s="916" t="str">
        <f ca="1">IFERROR($H27*44/12*参考2_エネ使用量経年!BL28*参考2_エネ使用量経年!$H28,"")</f>
        <v/>
      </c>
      <c r="BM27" s="916" t="str">
        <f ca="1">IFERROR($I27*44/12*参考2_エネ使用量経年!BM28*参考2_エネ使用量経年!$I28,"")</f>
        <v/>
      </c>
      <c r="BN27" s="916" t="str">
        <f ca="1">IFERROR($J27*44/12*参考2_エネ使用量経年!BN28*参考2_エネ使用量経年!$J28,"")</f>
        <v/>
      </c>
      <c r="BO27" s="916" t="str">
        <f ca="1">IFERROR($K27*44/12*参考2_エネ使用量経年!BO28*参考2_エネ使用量経年!$K28,"")</f>
        <v/>
      </c>
    </row>
    <row r="28" spans="1:67" ht="20.100000000000001" hidden="1" customHeight="1" outlineLevel="1">
      <c r="A28" s="914">
        <v>28</v>
      </c>
      <c r="B28" s="1594"/>
      <c r="C28" s="1596"/>
      <c r="D28" s="785" t="s">
        <v>369</v>
      </c>
      <c r="E28" s="785"/>
      <c r="F28" s="786"/>
      <c r="G28" s="852" t="s">
        <v>1281</v>
      </c>
      <c r="H28" s="915">
        <f t="shared" ca="1" si="0"/>
        <v>2.5899999999999999E-2</v>
      </c>
      <c r="I28" s="915">
        <f t="shared" ca="1" si="1"/>
        <v>2.5899999999999999E-2</v>
      </c>
      <c r="J28" s="915">
        <f t="shared" ca="1" si="2"/>
        <v>2.5899999999999999E-2</v>
      </c>
      <c r="K28" s="915">
        <f t="shared" ca="1" si="3"/>
        <v>2.5899999999999999E-2</v>
      </c>
      <c r="L28" s="916">
        <f ca="1">IFERROR($H28*44/12*参考2_エネ使用量経年!L29*参考2_エネ使用量経年!$H29,"")</f>
        <v>0</v>
      </c>
      <c r="M28" s="916">
        <f ca="1">IFERROR($I28*44/12*参考2_エネ使用量経年!M29*参考2_エネ使用量経年!$I29,"")</f>
        <v>0</v>
      </c>
      <c r="N28" s="916">
        <f ca="1">IFERROR($J28*44/12*参考2_エネ使用量経年!N29*参考2_エネ使用量経年!$J29,"")</f>
        <v>0</v>
      </c>
      <c r="O28" s="916">
        <f ca="1">IFERROR($K28*44/12*参考2_エネ使用量経年!O29*参考2_エネ使用量経年!$K29,"")</f>
        <v>0</v>
      </c>
      <c r="P28" s="916">
        <f ca="1">IFERROR($H28*44/12*参考2_エネ使用量経年!P29*参考2_エネ使用量経年!$H29,"")</f>
        <v>0</v>
      </c>
      <c r="Q28" s="916">
        <f ca="1">IFERROR($I28*44/12*参考2_エネ使用量経年!Q29*参考2_エネ使用量経年!$I29,"")</f>
        <v>0</v>
      </c>
      <c r="R28" s="916">
        <f ca="1">IFERROR($J28*44/12*参考2_エネ使用量経年!R29*参考2_エネ使用量経年!$J29,"")</f>
        <v>0</v>
      </c>
      <c r="S28" s="916">
        <f ca="1">IFERROR($K28*44/12*参考2_エネ使用量経年!S29*参考2_エネ使用量経年!$K29,"")</f>
        <v>0</v>
      </c>
      <c r="T28" s="916">
        <f ca="1">IFERROR($H28*44/12*参考2_エネ使用量経年!T29*参考2_エネ使用量経年!$H29,"")</f>
        <v>0</v>
      </c>
      <c r="U28" s="916">
        <f ca="1">IFERROR($I28*44/12*参考2_エネ使用量経年!U29*参考2_エネ使用量経年!$I29,"")</f>
        <v>0</v>
      </c>
      <c r="V28" s="916">
        <f ca="1">IFERROR($J28*44/12*参考2_エネ使用量経年!V29*参考2_エネ使用量経年!$J29,"")</f>
        <v>0</v>
      </c>
      <c r="W28" s="916">
        <f ca="1">IFERROR($K28*44/12*参考2_エネ使用量経年!W29*参考2_エネ使用量経年!$K29,"")</f>
        <v>0</v>
      </c>
      <c r="X28" s="916">
        <f ca="1">IFERROR($H28*44/12*参考2_エネ使用量経年!X29*参考2_エネ使用量経年!$H29,"")</f>
        <v>0</v>
      </c>
      <c r="Y28" s="916">
        <f ca="1">IFERROR($I28*44/12*参考2_エネ使用量経年!Y29*参考2_エネ使用量経年!$I29,"")</f>
        <v>0</v>
      </c>
      <c r="Z28" s="916">
        <f ca="1">IFERROR($J28*44/12*参考2_エネ使用量経年!Z29*参考2_エネ使用量経年!$J29,"")</f>
        <v>0</v>
      </c>
      <c r="AA28" s="916">
        <f ca="1">IFERROR($K28*44/12*参考2_エネ使用量経年!AA29*参考2_エネ使用量経年!$K29,"")</f>
        <v>0</v>
      </c>
      <c r="AB28" s="916" t="str">
        <f ca="1">IFERROR($H28*44/12*参考2_エネ使用量経年!AB29*参考2_エネ使用量経年!$H29,"")</f>
        <v/>
      </c>
      <c r="AC28" s="916" t="str">
        <f ca="1">IFERROR($I28*44/12*参考2_エネ使用量経年!AC29*参考2_エネ使用量経年!$I29,"")</f>
        <v/>
      </c>
      <c r="AD28" s="916" t="str">
        <f ca="1">IFERROR($J28*44/12*参考2_エネ使用量経年!AD29*参考2_エネ使用量経年!$J29,"")</f>
        <v/>
      </c>
      <c r="AE28" s="916" t="str">
        <f ca="1">IFERROR($K28*44/12*参考2_エネ使用量経年!AE29*参考2_エネ使用量経年!$K29,"")</f>
        <v/>
      </c>
      <c r="AF28" s="916" t="str">
        <f ca="1">IFERROR($H28*44/12*参考2_エネ使用量経年!AF29*参考2_エネ使用量経年!$H29,"")</f>
        <v/>
      </c>
      <c r="AG28" s="916" t="str">
        <f ca="1">IFERROR($I28*44/12*参考2_エネ使用量経年!AG29*参考2_エネ使用量経年!$I29,"")</f>
        <v/>
      </c>
      <c r="AH28" s="916" t="str">
        <f ca="1">IFERROR($J28*44/12*参考2_エネ使用量経年!AH29*参考2_エネ使用量経年!$J29,"")</f>
        <v/>
      </c>
      <c r="AI28" s="916" t="str">
        <f ca="1">IFERROR($K28*44/12*参考2_エネ使用量経年!AI29*参考2_エネ使用量経年!$K29,"")</f>
        <v/>
      </c>
      <c r="AJ28" s="916" t="str">
        <f ca="1">IFERROR($H28*44/12*参考2_エネ使用量経年!AJ29*参考2_エネ使用量経年!$H29,"")</f>
        <v/>
      </c>
      <c r="AK28" s="916" t="str">
        <f ca="1">IFERROR($I28*44/12*参考2_エネ使用量経年!AK29*参考2_エネ使用量経年!$I29,"")</f>
        <v/>
      </c>
      <c r="AL28" s="916" t="str">
        <f ca="1">IFERROR($J28*44/12*参考2_エネ使用量経年!AL29*参考2_エネ使用量経年!$J29,"")</f>
        <v/>
      </c>
      <c r="AM28" s="916" t="str">
        <f ca="1">IFERROR($K28*44/12*参考2_エネ使用量経年!AM29*参考2_エネ使用量経年!$K29,"")</f>
        <v/>
      </c>
      <c r="AN28" s="916" t="str">
        <f ca="1">IFERROR($H28*44/12*参考2_エネ使用量経年!AN29*参考2_エネ使用量経年!$H29,"")</f>
        <v/>
      </c>
      <c r="AO28" s="916" t="str">
        <f ca="1">IFERROR($I28*44/12*参考2_エネ使用量経年!AO29*参考2_エネ使用量経年!$I29,"")</f>
        <v/>
      </c>
      <c r="AP28" s="916" t="str">
        <f ca="1">IFERROR($J28*44/12*参考2_エネ使用量経年!AP29*参考2_エネ使用量経年!$J29,"")</f>
        <v/>
      </c>
      <c r="AQ28" s="916" t="str">
        <f ca="1">IFERROR($K28*44/12*参考2_エネ使用量経年!AQ29*参考2_エネ使用量経年!$K29,"")</f>
        <v/>
      </c>
      <c r="AR28" s="916" t="str">
        <f ca="1">IFERROR($H28*44/12*参考2_エネ使用量経年!AR29*参考2_エネ使用量経年!$H29,"")</f>
        <v/>
      </c>
      <c r="AS28" s="916" t="str">
        <f ca="1">IFERROR($I28*44/12*参考2_エネ使用量経年!AS29*参考2_エネ使用量経年!$I29,"")</f>
        <v/>
      </c>
      <c r="AT28" s="916" t="str">
        <f ca="1">IFERROR($J28*44/12*参考2_エネ使用量経年!AT29*参考2_エネ使用量経年!$J29,"")</f>
        <v/>
      </c>
      <c r="AU28" s="916" t="str">
        <f ca="1">IFERROR($K28*44/12*参考2_エネ使用量経年!AU29*参考2_エネ使用量経年!$K29,"")</f>
        <v/>
      </c>
      <c r="AV28" s="916" t="str">
        <f ca="1">IFERROR($H28*44/12*参考2_エネ使用量経年!AV29*参考2_エネ使用量経年!$H29,"")</f>
        <v/>
      </c>
      <c r="AW28" s="916" t="str">
        <f ca="1">IFERROR($I28*44/12*参考2_エネ使用量経年!AW29*参考2_エネ使用量経年!$I29,"")</f>
        <v/>
      </c>
      <c r="AX28" s="916" t="str">
        <f ca="1">IFERROR($J28*44/12*参考2_エネ使用量経年!AX29*参考2_エネ使用量経年!$J29,"")</f>
        <v/>
      </c>
      <c r="AY28" s="916" t="str">
        <f ca="1">IFERROR($K28*44/12*参考2_エネ使用量経年!AY29*参考2_エネ使用量経年!$K29,"")</f>
        <v/>
      </c>
      <c r="AZ28" s="916" t="str">
        <f ca="1">IFERROR($H28*44/12*参考2_エネ使用量経年!AZ29*参考2_エネ使用量経年!$H29,"")</f>
        <v/>
      </c>
      <c r="BA28" s="916" t="str">
        <f ca="1">IFERROR($I28*44/12*参考2_エネ使用量経年!BA29*参考2_エネ使用量経年!$I29,"")</f>
        <v/>
      </c>
      <c r="BB28" s="916" t="str">
        <f ca="1">IFERROR($J28*44/12*参考2_エネ使用量経年!BB29*参考2_エネ使用量経年!$J29,"")</f>
        <v/>
      </c>
      <c r="BC28" s="916" t="str">
        <f ca="1">IFERROR($K28*44/12*参考2_エネ使用量経年!BC29*参考2_エネ使用量経年!$K29,"")</f>
        <v/>
      </c>
      <c r="BD28" s="916" t="str">
        <f ca="1">IFERROR($H28*44/12*参考2_エネ使用量経年!BD29*参考2_エネ使用量経年!$H29,"")</f>
        <v/>
      </c>
      <c r="BE28" s="916" t="str">
        <f ca="1">IFERROR($I28*44/12*参考2_エネ使用量経年!BE29*参考2_エネ使用量経年!$I29,"")</f>
        <v/>
      </c>
      <c r="BF28" s="916" t="str">
        <f ca="1">IFERROR($J28*44/12*参考2_エネ使用量経年!BF29*参考2_エネ使用量経年!$J29,"")</f>
        <v/>
      </c>
      <c r="BG28" s="916" t="str">
        <f ca="1">IFERROR($K28*44/12*参考2_エネ使用量経年!BG29*参考2_エネ使用量経年!$K29,"")</f>
        <v/>
      </c>
      <c r="BH28" s="916" t="str">
        <f ca="1">IFERROR($H28*44/12*参考2_エネ使用量経年!BH29*参考2_エネ使用量経年!$H29,"")</f>
        <v/>
      </c>
      <c r="BI28" s="916" t="str">
        <f ca="1">IFERROR($I28*44/12*参考2_エネ使用量経年!BI29*参考2_エネ使用量経年!$I29,"")</f>
        <v/>
      </c>
      <c r="BJ28" s="916" t="str">
        <f ca="1">IFERROR($J28*44/12*参考2_エネ使用量経年!BJ29*参考2_エネ使用量経年!$J29,"")</f>
        <v/>
      </c>
      <c r="BK28" s="916" t="str">
        <f ca="1">IFERROR($K28*44/12*参考2_エネ使用量経年!BK29*参考2_エネ使用量経年!$K29,"")</f>
        <v/>
      </c>
      <c r="BL28" s="916" t="str">
        <f ca="1">IFERROR($H28*44/12*参考2_エネ使用量経年!BL29*参考2_エネ使用量経年!$H29,"")</f>
        <v/>
      </c>
      <c r="BM28" s="916" t="str">
        <f ca="1">IFERROR($I28*44/12*参考2_エネ使用量経年!BM29*参考2_エネ使用量経年!$I29,"")</f>
        <v/>
      </c>
      <c r="BN28" s="916" t="str">
        <f ca="1">IFERROR($J28*44/12*参考2_エネ使用量経年!BN29*参考2_エネ使用量経年!$J29,"")</f>
        <v/>
      </c>
      <c r="BO28" s="916" t="str">
        <f ca="1">IFERROR($K28*44/12*参考2_エネ使用量経年!BO29*参考2_エネ使用量経年!$K29,"")</f>
        <v/>
      </c>
    </row>
    <row r="29" spans="1:67" ht="20.100000000000001" hidden="1" customHeight="1" outlineLevel="1">
      <c r="A29" s="914">
        <v>29</v>
      </c>
      <c r="B29" s="1594"/>
      <c r="C29" s="1596"/>
      <c r="D29" s="785" t="s">
        <v>370</v>
      </c>
      <c r="E29" s="785"/>
      <c r="F29" s="786"/>
      <c r="G29" s="852" t="s">
        <v>1281</v>
      </c>
      <c r="H29" s="915">
        <f t="shared" ca="1" si="0"/>
        <v>2.9899999999999999E-2</v>
      </c>
      <c r="I29" s="915">
        <f t="shared" ca="1" si="1"/>
        <v>2.9899999999999999E-2</v>
      </c>
      <c r="J29" s="915">
        <f t="shared" ca="1" si="2"/>
        <v>2.9899999999999999E-2</v>
      </c>
      <c r="K29" s="915">
        <f t="shared" ca="1" si="3"/>
        <v>2.9899999999999999E-2</v>
      </c>
      <c r="L29" s="916">
        <f ca="1">IFERROR($H29*44/12*参考2_エネ使用量経年!L30*参考2_エネ使用量経年!$H30,"")</f>
        <v>0</v>
      </c>
      <c r="M29" s="916">
        <f ca="1">IFERROR($I29*44/12*参考2_エネ使用量経年!M30*参考2_エネ使用量経年!$I30,"")</f>
        <v>0</v>
      </c>
      <c r="N29" s="916">
        <f ca="1">IFERROR($J29*44/12*参考2_エネ使用量経年!N30*参考2_エネ使用量経年!$J30,"")</f>
        <v>0</v>
      </c>
      <c r="O29" s="916">
        <f ca="1">IFERROR($K29*44/12*参考2_エネ使用量経年!O30*参考2_エネ使用量経年!$K30,"")</f>
        <v>0</v>
      </c>
      <c r="P29" s="916">
        <f ca="1">IFERROR($H29*44/12*参考2_エネ使用量経年!P30*参考2_エネ使用量経年!$H30,"")</f>
        <v>0</v>
      </c>
      <c r="Q29" s="916">
        <f ca="1">IFERROR($I29*44/12*参考2_エネ使用量経年!Q30*参考2_エネ使用量経年!$I30,"")</f>
        <v>0</v>
      </c>
      <c r="R29" s="916">
        <f ca="1">IFERROR($J29*44/12*参考2_エネ使用量経年!R30*参考2_エネ使用量経年!$J30,"")</f>
        <v>0</v>
      </c>
      <c r="S29" s="916">
        <f ca="1">IFERROR($K29*44/12*参考2_エネ使用量経年!S30*参考2_エネ使用量経年!$K30,"")</f>
        <v>0</v>
      </c>
      <c r="T29" s="916">
        <f ca="1">IFERROR($H29*44/12*参考2_エネ使用量経年!T30*参考2_エネ使用量経年!$H30,"")</f>
        <v>0</v>
      </c>
      <c r="U29" s="916">
        <f ca="1">IFERROR($I29*44/12*参考2_エネ使用量経年!U30*参考2_エネ使用量経年!$I30,"")</f>
        <v>0</v>
      </c>
      <c r="V29" s="916">
        <f ca="1">IFERROR($J29*44/12*参考2_エネ使用量経年!V30*参考2_エネ使用量経年!$J30,"")</f>
        <v>0</v>
      </c>
      <c r="W29" s="916">
        <f ca="1">IFERROR($K29*44/12*参考2_エネ使用量経年!W30*参考2_エネ使用量経年!$K30,"")</f>
        <v>0</v>
      </c>
      <c r="X29" s="916">
        <f ca="1">IFERROR($H29*44/12*参考2_エネ使用量経年!X30*参考2_エネ使用量経年!$H30,"")</f>
        <v>0</v>
      </c>
      <c r="Y29" s="916">
        <f ca="1">IFERROR($I29*44/12*参考2_エネ使用量経年!Y30*参考2_エネ使用量経年!$I30,"")</f>
        <v>0</v>
      </c>
      <c r="Z29" s="916">
        <f ca="1">IFERROR($J29*44/12*参考2_エネ使用量経年!Z30*参考2_エネ使用量経年!$J30,"")</f>
        <v>0</v>
      </c>
      <c r="AA29" s="916">
        <f ca="1">IFERROR($K29*44/12*参考2_エネ使用量経年!AA30*参考2_エネ使用量経年!$K30,"")</f>
        <v>0</v>
      </c>
      <c r="AB29" s="916" t="str">
        <f ca="1">IFERROR($H29*44/12*参考2_エネ使用量経年!AB30*参考2_エネ使用量経年!$H30,"")</f>
        <v/>
      </c>
      <c r="AC29" s="916" t="str">
        <f ca="1">IFERROR($I29*44/12*参考2_エネ使用量経年!AC30*参考2_エネ使用量経年!$I30,"")</f>
        <v/>
      </c>
      <c r="AD29" s="916" t="str">
        <f ca="1">IFERROR($J29*44/12*参考2_エネ使用量経年!AD30*参考2_エネ使用量経年!$J30,"")</f>
        <v/>
      </c>
      <c r="AE29" s="916" t="str">
        <f ca="1">IFERROR($K29*44/12*参考2_エネ使用量経年!AE30*参考2_エネ使用量経年!$K30,"")</f>
        <v/>
      </c>
      <c r="AF29" s="916" t="str">
        <f ca="1">IFERROR($H29*44/12*参考2_エネ使用量経年!AF30*参考2_エネ使用量経年!$H30,"")</f>
        <v/>
      </c>
      <c r="AG29" s="916" t="str">
        <f ca="1">IFERROR($I29*44/12*参考2_エネ使用量経年!AG30*参考2_エネ使用量経年!$I30,"")</f>
        <v/>
      </c>
      <c r="AH29" s="916" t="str">
        <f ca="1">IFERROR($J29*44/12*参考2_エネ使用量経年!AH30*参考2_エネ使用量経年!$J30,"")</f>
        <v/>
      </c>
      <c r="AI29" s="916" t="str">
        <f ca="1">IFERROR($K29*44/12*参考2_エネ使用量経年!AI30*参考2_エネ使用量経年!$K30,"")</f>
        <v/>
      </c>
      <c r="AJ29" s="916" t="str">
        <f ca="1">IFERROR($H29*44/12*参考2_エネ使用量経年!AJ30*参考2_エネ使用量経年!$H30,"")</f>
        <v/>
      </c>
      <c r="AK29" s="916" t="str">
        <f ca="1">IFERROR($I29*44/12*参考2_エネ使用量経年!AK30*参考2_エネ使用量経年!$I30,"")</f>
        <v/>
      </c>
      <c r="AL29" s="916" t="str">
        <f ca="1">IFERROR($J29*44/12*参考2_エネ使用量経年!AL30*参考2_エネ使用量経年!$J30,"")</f>
        <v/>
      </c>
      <c r="AM29" s="916" t="str">
        <f ca="1">IFERROR($K29*44/12*参考2_エネ使用量経年!AM30*参考2_エネ使用量経年!$K30,"")</f>
        <v/>
      </c>
      <c r="AN29" s="916" t="str">
        <f ca="1">IFERROR($H29*44/12*参考2_エネ使用量経年!AN30*参考2_エネ使用量経年!$H30,"")</f>
        <v/>
      </c>
      <c r="AO29" s="916" t="str">
        <f ca="1">IFERROR($I29*44/12*参考2_エネ使用量経年!AO30*参考2_エネ使用量経年!$I30,"")</f>
        <v/>
      </c>
      <c r="AP29" s="916" t="str">
        <f ca="1">IFERROR($J29*44/12*参考2_エネ使用量経年!AP30*参考2_エネ使用量経年!$J30,"")</f>
        <v/>
      </c>
      <c r="AQ29" s="916" t="str">
        <f ca="1">IFERROR($K29*44/12*参考2_エネ使用量経年!AQ30*参考2_エネ使用量経年!$K30,"")</f>
        <v/>
      </c>
      <c r="AR29" s="916" t="str">
        <f ca="1">IFERROR($H29*44/12*参考2_エネ使用量経年!AR30*参考2_エネ使用量経年!$H30,"")</f>
        <v/>
      </c>
      <c r="AS29" s="916" t="str">
        <f ca="1">IFERROR($I29*44/12*参考2_エネ使用量経年!AS30*参考2_エネ使用量経年!$I30,"")</f>
        <v/>
      </c>
      <c r="AT29" s="916" t="str">
        <f ca="1">IFERROR($J29*44/12*参考2_エネ使用量経年!AT30*参考2_エネ使用量経年!$J30,"")</f>
        <v/>
      </c>
      <c r="AU29" s="916" t="str">
        <f ca="1">IFERROR($K29*44/12*参考2_エネ使用量経年!AU30*参考2_エネ使用量経年!$K30,"")</f>
        <v/>
      </c>
      <c r="AV29" s="916" t="str">
        <f ca="1">IFERROR($H29*44/12*参考2_エネ使用量経年!AV30*参考2_エネ使用量経年!$H30,"")</f>
        <v/>
      </c>
      <c r="AW29" s="916" t="str">
        <f ca="1">IFERROR($I29*44/12*参考2_エネ使用量経年!AW30*参考2_エネ使用量経年!$I30,"")</f>
        <v/>
      </c>
      <c r="AX29" s="916" t="str">
        <f ca="1">IFERROR($J29*44/12*参考2_エネ使用量経年!AX30*参考2_エネ使用量経年!$J30,"")</f>
        <v/>
      </c>
      <c r="AY29" s="916" t="str">
        <f ca="1">IFERROR($K29*44/12*参考2_エネ使用量経年!AY30*参考2_エネ使用量経年!$K30,"")</f>
        <v/>
      </c>
      <c r="AZ29" s="916" t="str">
        <f ca="1">IFERROR($H29*44/12*参考2_エネ使用量経年!AZ30*参考2_エネ使用量経年!$H30,"")</f>
        <v/>
      </c>
      <c r="BA29" s="916" t="str">
        <f ca="1">IFERROR($I29*44/12*参考2_エネ使用量経年!BA30*参考2_エネ使用量経年!$I30,"")</f>
        <v/>
      </c>
      <c r="BB29" s="916" t="str">
        <f ca="1">IFERROR($J29*44/12*参考2_エネ使用量経年!BB30*参考2_エネ使用量経年!$J30,"")</f>
        <v/>
      </c>
      <c r="BC29" s="916" t="str">
        <f ca="1">IFERROR($K29*44/12*参考2_エネ使用量経年!BC30*参考2_エネ使用量経年!$K30,"")</f>
        <v/>
      </c>
      <c r="BD29" s="916" t="str">
        <f ca="1">IFERROR($H29*44/12*参考2_エネ使用量経年!BD30*参考2_エネ使用量経年!$H30,"")</f>
        <v/>
      </c>
      <c r="BE29" s="916" t="str">
        <f ca="1">IFERROR($I29*44/12*参考2_エネ使用量経年!BE30*参考2_エネ使用量経年!$I30,"")</f>
        <v/>
      </c>
      <c r="BF29" s="916" t="str">
        <f ca="1">IFERROR($J29*44/12*参考2_エネ使用量経年!BF30*参考2_エネ使用量経年!$J30,"")</f>
        <v/>
      </c>
      <c r="BG29" s="916" t="str">
        <f ca="1">IFERROR($K29*44/12*参考2_エネ使用量経年!BG30*参考2_エネ使用量経年!$K30,"")</f>
        <v/>
      </c>
      <c r="BH29" s="916" t="str">
        <f ca="1">IFERROR($H29*44/12*参考2_エネ使用量経年!BH30*参考2_エネ使用量経年!$H30,"")</f>
        <v/>
      </c>
      <c r="BI29" s="916" t="str">
        <f ca="1">IFERROR($I29*44/12*参考2_エネ使用量経年!BI30*参考2_エネ使用量経年!$I30,"")</f>
        <v/>
      </c>
      <c r="BJ29" s="916" t="str">
        <f ca="1">IFERROR($J29*44/12*参考2_エネ使用量経年!BJ30*参考2_エネ使用量経年!$J30,"")</f>
        <v/>
      </c>
      <c r="BK29" s="916" t="str">
        <f ca="1">IFERROR($K29*44/12*参考2_エネ使用量経年!BK30*参考2_エネ使用量経年!$K30,"")</f>
        <v/>
      </c>
      <c r="BL29" s="916" t="str">
        <f ca="1">IFERROR($H29*44/12*参考2_エネ使用量経年!BL30*参考2_エネ使用量経年!$H30,"")</f>
        <v/>
      </c>
      <c r="BM29" s="916" t="str">
        <f ca="1">IFERROR($I29*44/12*参考2_エネ使用量経年!BM30*参考2_エネ使用量経年!$I30,"")</f>
        <v/>
      </c>
      <c r="BN29" s="916" t="str">
        <f ca="1">IFERROR($J29*44/12*参考2_エネ使用量経年!BN30*参考2_エネ使用量経年!$J30,"")</f>
        <v/>
      </c>
      <c r="BO29" s="916" t="str">
        <f ca="1">IFERROR($K29*44/12*参考2_エネ使用量経年!BO30*参考2_エネ使用量経年!$K30,"")</f>
        <v/>
      </c>
    </row>
    <row r="30" spans="1:67" ht="20.100000000000001" hidden="1" customHeight="1" outlineLevel="1">
      <c r="A30" s="914">
        <v>30</v>
      </c>
      <c r="B30" s="1594"/>
      <c r="C30" s="1596"/>
      <c r="D30" s="785" t="s">
        <v>371</v>
      </c>
      <c r="E30" s="779"/>
      <c r="F30" s="786"/>
      <c r="G30" s="852" t="s">
        <v>1281</v>
      </c>
      <c r="H30" s="915">
        <f t="shared" ca="1" si="0"/>
        <v>2.0899999999999998E-2</v>
      </c>
      <c r="I30" s="915">
        <f t="shared" ca="1" si="1"/>
        <v>2.0899999999999998E-2</v>
      </c>
      <c r="J30" s="915">
        <f t="shared" ca="1" si="2"/>
        <v>2.0899999999999998E-2</v>
      </c>
      <c r="K30" s="915">
        <f t="shared" ca="1" si="3"/>
        <v>2.0899999999999998E-2</v>
      </c>
      <c r="L30" s="916">
        <f ca="1">IFERROR($H30*44/12*参考2_エネ使用量経年!L31*参考2_エネ使用量経年!$H31,"")</f>
        <v>0</v>
      </c>
      <c r="M30" s="916">
        <f ca="1">IFERROR($I30*44/12*参考2_エネ使用量経年!M31*参考2_エネ使用量経年!$I31,"")</f>
        <v>0</v>
      </c>
      <c r="N30" s="916">
        <f ca="1">IFERROR($J30*44/12*参考2_エネ使用量経年!N31*参考2_エネ使用量経年!$J31,"")</f>
        <v>0</v>
      </c>
      <c r="O30" s="916">
        <f ca="1">IFERROR($K30*44/12*参考2_エネ使用量経年!O31*参考2_エネ使用量経年!$K31,"")</f>
        <v>0</v>
      </c>
      <c r="P30" s="916">
        <f ca="1">IFERROR($H30*44/12*参考2_エネ使用量経年!P31*参考2_エネ使用量経年!$H31,"")</f>
        <v>0</v>
      </c>
      <c r="Q30" s="916">
        <f ca="1">IFERROR($I30*44/12*参考2_エネ使用量経年!Q31*参考2_エネ使用量経年!$I31,"")</f>
        <v>0</v>
      </c>
      <c r="R30" s="916">
        <f ca="1">IFERROR($J30*44/12*参考2_エネ使用量経年!R31*参考2_エネ使用量経年!$J31,"")</f>
        <v>0</v>
      </c>
      <c r="S30" s="916">
        <f ca="1">IFERROR($K30*44/12*参考2_エネ使用量経年!S31*参考2_エネ使用量経年!$K31,"")</f>
        <v>0</v>
      </c>
      <c r="T30" s="916">
        <f ca="1">IFERROR($H30*44/12*参考2_エネ使用量経年!T31*参考2_エネ使用量経年!$H31,"")</f>
        <v>0</v>
      </c>
      <c r="U30" s="916">
        <f ca="1">IFERROR($I30*44/12*参考2_エネ使用量経年!U31*参考2_エネ使用量経年!$I31,"")</f>
        <v>0</v>
      </c>
      <c r="V30" s="916">
        <f ca="1">IFERROR($J30*44/12*参考2_エネ使用量経年!V31*参考2_エネ使用量経年!$J31,"")</f>
        <v>0</v>
      </c>
      <c r="W30" s="916">
        <f ca="1">IFERROR($K30*44/12*参考2_エネ使用量経年!W31*参考2_エネ使用量経年!$K31,"")</f>
        <v>0</v>
      </c>
      <c r="X30" s="916">
        <f ca="1">IFERROR($H30*44/12*参考2_エネ使用量経年!X31*参考2_エネ使用量経年!$H31,"")</f>
        <v>0</v>
      </c>
      <c r="Y30" s="916">
        <f ca="1">IFERROR($I30*44/12*参考2_エネ使用量経年!Y31*参考2_エネ使用量経年!$I31,"")</f>
        <v>0</v>
      </c>
      <c r="Z30" s="916">
        <f ca="1">IFERROR($J30*44/12*参考2_エネ使用量経年!Z31*参考2_エネ使用量経年!$J31,"")</f>
        <v>0</v>
      </c>
      <c r="AA30" s="916">
        <f ca="1">IFERROR($K30*44/12*参考2_エネ使用量経年!AA31*参考2_エネ使用量経年!$K31,"")</f>
        <v>0</v>
      </c>
      <c r="AB30" s="916" t="str">
        <f ca="1">IFERROR($H30*44/12*参考2_エネ使用量経年!AB31*参考2_エネ使用量経年!$H31,"")</f>
        <v/>
      </c>
      <c r="AC30" s="916" t="str">
        <f ca="1">IFERROR($I30*44/12*参考2_エネ使用量経年!AC31*参考2_エネ使用量経年!$I31,"")</f>
        <v/>
      </c>
      <c r="AD30" s="916" t="str">
        <f ca="1">IFERROR($J30*44/12*参考2_エネ使用量経年!AD31*参考2_エネ使用量経年!$J31,"")</f>
        <v/>
      </c>
      <c r="AE30" s="916" t="str">
        <f ca="1">IFERROR($K30*44/12*参考2_エネ使用量経年!AE31*参考2_エネ使用量経年!$K31,"")</f>
        <v/>
      </c>
      <c r="AF30" s="916" t="str">
        <f ca="1">IFERROR($H30*44/12*参考2_エネ使用量経年!AF31*参考2_エネ使用量経年!$H31,"")</f>
        <v/>
      </c>
      <c r="AG30" s="916" t="str">
        <f ca="1">IFERROR($I30*44/12*参考2_エネ使用量経年!AG31*参考2_エネ使用量経年!$I31,"")</f>
        <v/>
      </c>
      <c r="AH30" s="916" t="str">
        <f ca="1">IFERROR($J30*44/12*参考2_エネ使用量経年!AH31*参考2_エネ使用量経年!$J31,"")</f>
        <v/>
      </c>
      <c r="AI30" s="916" t="str">
        <f ca="1">IFERROR($K30*44/12*参考2_エネ使用量経年!AI31*参考2_エネ使用量経年!$K31,"")</f>
        <v/>
      </c>
      <c r="AJ30" s="916" t="str">
        <f ca="1">IFERROR($H30*44/12*参考2_エネ使用量経年!AJ31*参考2_エネ使用量経年!$H31,"")</f>
        <v/>
      </c>
      <c r="AK30" s="916" t="str">
        <f ca="1">IFERROR($I30*44/12*参考2_エネ使用量経年!AK31*参考2_エネ使用量経年!$I31,"")</f>
        <v/>
      </c>
      <c r="AL30" s="916" t="str">
        <f ca="1">IFERROR($J30*44/12*参考2_エネ使用量経年!AL31*参考2_エネ使用量経年!$J31,"")</f>
        <v/>
      </c>
      <c r="AM30" s="916" t="str">
        <f ca="1">IFERROR($K30*44/12*参考2_エネ使用量経年!AM31*参考2_エネ使用量経年!$K31,"")</f>
        <v/>
      </c>
      <c r="AN30" s="916" t="str">
        <f ca="1">IFERROR($H30*44/12*参考2_エネ使用量経年!AN31*参考2_エネ使用量経年!$H31,"")</f>
        <v/>
      </c>
      <c r="AO30" s="916" t="str">
        <f ca="1">IFERROR($I30*44/12*参考2_エネ使用量経年!AO31*参考2_エネ使用量経年!$I31,"")</f>
        <v/>
      </c>
      <c r="AP30" s="916" t="str">
        <f ca="1">IFERROR($J30*44/12*参考2_エネ使用量経年!AP31*参考2_エネ使用量経年!$J31,"")</f>
        <v/>
      </c>
      <c r="AQ30" s="916" t="str">
        <f ca="1">IFERROR($K30*44/12*参考2_エネ使用量経年!AQ31*参考2_エネ使用量経年!$K31,"")</f>
        <v/>
      </c>
      <c r="AR30" s="916" t="str">
        <f ca="1">IFERROR($H30*44/12*参考2_エネ使用量経年!AR31*参考2_エネ使用量経年!$H31,"")</f>
        <v/>
      </c>
      <c r="AS30" s="916" t="str">
        <f ca="1">IFERROR($I30*44/12*参考2_エネ使用量経年!AS31*参考2_エネ使用量経年!$I31,"")</f>
        <v/>
      </c>
      <c r="AT30" s="916" t="str">
        <f ca="1">IFERROR($J30*44/12*参考2_エネ使用量経年!AT31*参考2_エネ使用量経年!$J31,"")</f>
        <v/>
      </c>
      <c r="AU30" s="916" t="str">
        <f ca="1">IFERROR($K30*44/12*参考2_エネ使用量経年!AU31*参考2_エネ使用量経年!$K31,"")</f>
        <v/>
      </c>
      <c r="AV30" s="916" t="str">
        <f ca="1">IFERROR($H30*44/12*参考2_エネ使用量経年!AV31*参考2_エネ使用量経年!$H31,"")</f>
        <v/>
      </c>
      <c r="AW30" s="916" t="str">
        <f ca="1">IFERROR($I30*44/12*参考2_エネ使用量経年!AW31*参考2_エネ使用量経年!$I31,"")</f>
        <v/>
      </c>
      <c r="AX30" s="916" t="str">
        <f ca="1">IFERROR($J30*44/12*参考2_エネ使用量経年!AX31*参考2_エネ使用量経年!$J31,"")</f>
        <v/>
      </c>
      <c r="AY30" s="916" t="str">
        <f ca="1">IFERROR($K30*44/12*参考2_エネ使用量経年!AY31*参考2_エネ使用量経年!$K31,"")</f>
        <v/>
      </c>
      <c r="AZ30" s="916" t="str">
        <f ca="1">IFERROR($H30*44/12*参考2_エネ使用量経年!AZ31*参考2_エネ使用量経年!$H31,"")</f>
        <v/>
      </c>
      <c r="BA30" s="916" t="str">
        <f ca="1">IFERROR($I30*44/12*参考2_エネ使用量経年!BA31*参考2_エネ使用量経年!$I31,"")</f>
        <v/>
      </c>
      <c r="BB30" s="916" t="str">
        <f ca="1">IFERROR($J30*44/12*参考2_エネ使用量経年!BB31*参考2_エネ使用量経年!$J31,"")</f>
        <v/>
      </c>
      <c r="BC30" s="916" t="str">
        <f ca="1">IFERROR($K30*44/12*参考2_エネ使用量経年!BC31*参考2_エネ使用量経年!$K31,"")</f>
        <v/>
      </c>
      <c r="BD30" s="916" t="str">
        <f ca="1">IFERROR($H30*44/12*参考2_エネ使用量経年!BD31*参考2_エネ使用量経年!$H31,"")</f>
        <v/>
      </c>
      <c r="BE30" s="916" t="str">
        <f ca="1">IFERROR($I30*44/12*参考2_エネ使用量経年!BE31*参考2_エネ使用量経年!$I31,"")</f>
        <v/>
      </c>
      <c r="BF30" s="916" t="str">
        <f ca="1">IFERROR($J30*44/12*参考2_エネ使用量経年!BF31*参考2_エネ使用量経年!$J31,"")</f>
        <v/>
      </c>
      <c r="BG30" s="916" t="str">
        <f ca="1">IFERROR($K30*44/12*参考2_エネ使用量経年!BG31*参考2_エネ使用量経年!$K31,"")</f>
        <v/>
      </c>
      <c r="BH30" s="916" t="str">
        <f ca="1">IFERROR($H30*44/12*参考2_エネ使用量経年!BH31*参考2_エネ使用量経年!$H31,"")</f>
        <v/>
      </c>
      <c r="BI30" s="916" t="str">
        <f ca="1">IFERROR($I30*44/12*参考2_エネ使用量経年!BI31*参考2_エネ使用量経年!$I31,"")</f>
        <v/>
      </c>
      <c r="BJ30" s="916" t="str">
        <f ca="1">IFERROR($J30*44/12*参考2_エネ使用量経年!BJ31*参考2_エネ使用量経年!$J31,"")</f>
        <v/>
      </c>
      <c r="BK30" s="916" t="str">
        <f ca="1">IFERROR($K30*44/12*参考2_エネ使用量経年!BK31*参考2_エネ使用量経年!$K31,"")</f>
        <v/>
      </c>
      <c r="BL30" s="916" t="str">
        <f ca="1">IFERROR($H30*44/12*参考2_エネ使用量経年!BL31*参考2_エネ使用量経年!$H31,"")</f>
        <v/>
      </c>
      <c r="BM30" s="916" t="str">
        <f ca="1">IFERROR($I30*44/12*参考2_エネ使用量経年!BM31*参考2_エネ使用量経年!$I31,"")</f>
        <v/>
      </c>
      <c r="BN30" s="916" t="str">
        <f ca="1">IFERROR($J30*44/12*参考2_エネ使用量経年!BN31*参考2_エネ使用量経年!$J31,"")</f>
        <v/>
      </c>
      <c r="BO30" s="916" t="str">
        <f ca="1">IFERROR($K30*44/12*参考2_エネ使用量経年!BO31*参考2_エネ使用量経年!$K31,"")</f>
        <v/>
      </c>
    </row>
    <row r="31" spans="1:67" ht="20.100000000000001" hidden="1" customHeight="1" outlineLevel="1">
      <c r="A31" s="914">
        <v>31</v>
      </c>
      <c r="B31" s="1594"/>
      <c r="C31" s="1596"/>
      <c r="D31" s="785" t="s">
        <v>372</v>
      </c>
      <c r="E31" s="785"/>
      <c r="F31" s="786"/>
      <c r="G31" s="852" t="s">
        <v>1281</v>
      </c>
      <c r="H31" s="915">
        <f t="shared" ca="1" si="0"/>
        <v>1.09E-2</v>
      </c>
      <c r="I31" s="915">
        <f t="shared" ca="1" si="1"/>
        <v>1.09E-2</v>
      </c>
      <c r="J31" s="915">
        <f t="shared" ca="1" si="2"/>
        <v>1.09E-2</v>
      </c>
      <c r="K31" s="915">
        <f t="shared" ca="1" si="3"/>
        <v>1.09E-2</v>
      </c>
      <c r="L31" s="916">
        <f ca="1">IFERROR($H31*44/12*参考2_エネ使用量経年!L32*参考2_エネ使用量経年!$H32,"")</f>
        <v>0</v>
      </c>
      <c r="M31" s="916">
        <f ca="1">IFERROR($I31*44/12*参考2_エネ使用量経年!M32*参考2_エネ使用量経年!$I32,"")</f>
        <v>0</v>
      </c>
      <c r="N31" s="916">
        <f ca="1">IFERROR($J31*44/12*参考2_エネ使用量経年!N32*参考2_エネ使用量経年!$J32,"")</f>
        <v>0</v>
      </c>
      <c r="O31" s="916">
        <f ca="1">IFERROR($K31*44/12*参考2_エネ使用量経年!O32*参考2_エネ使用量経年!$K32,"")</f>
        <v>0</v>
      </c>
      <c r="P31" s="916">
        <f ca="1">IFERROR($H31*44/12*参考2_エネ使用量経年!P32*参考2_エネ使用量経年!$H32,"")</f>
        <v>0</v>
      </c>
      <c r="Q31" s="916">
        <f ca="1">IFERROR($I31*44/12*参考2_エネ使用量経年!Q32*参考2_エネ使用量経年!$I32,"")</f>
        <v>0</v>
      </c>
      <c r="R31" s="916">
        <f ca="1">IFERROR($J31*44/12*参考2_エネ使用量経年!R32*参考2_エネ使用量経年!$J32,"")</f>
        <v>0</v>
      </c>
      <c r="S31" s="916">
        <f ca="1">IFERROR($K31*44/12*参考2_エネ使用量経年!S32*参考2_エネ使用量経年!$K32,"")</f>
        <v>0</v>
      </c>
      <c r="T31" s="916">
        <f ca="1">IFERROR($H31*44/12*参考2_エネ使用量経年!T32*参考2_エネ使用量経年!$H32,"")</f>
        <v>0</v>
      </c>
      <c r="U31" s="916">
        <f ca="1">IFERROR($I31*44/12*参考2_エネ使用量経年!U32*参考2_エネ使用量経年!$I32,"")</f>
        <v>0</v>
      </c>
      <c r="V31" s="916">
        <f ca="1">IFERROR($J31*44/12*参考2_エネ使用量経年!V32*参考2_エネ使用量経年!$J32,"")</f>
        <v>0</v>
      </c>
      <c r="W31" s="916">
        <f ca="1">IFERROR($K31*44/12*参考2_エネ使用量経年!W32*参考2_エネ使用量経年!$K32,"")</f>
        <v>0</v>
      </c>
      <c r="X31" s="916">
        <f ca="1">IFERROR($H31*44/12*参考2_エネ使用量経年!X32*参考2_エネ使用量経年!$H32,"")</f>
        <v>0</v>
      </c>
      <c r="Y31" s="916">
        <f ca="1">IFERROR($I31*44/12*参考2_エネ使用量経年!Y32*参考2_エネ使用量経年!$I32,"")</f>
        <v>0</v>
      </c>
      <c r="Z31" s="916">
        <f ca="1">IFERROR($J31*44/12*参考2_エネ使用量経年!Z32*参考2_エネ使用量経年!$J32,"")</f>
        <v>0</v>
      </c>
      <c r="AA31" s="916">
        <f ca="1">IFERROR($K31*44/12*参考2_エネ使用量経年!AA32*参考2_エネ使用量経年!$K32,"")</f>
        <v>0</v>
      </c>
      <c r="AB31" s="916" t="str">
        <f ca="1">IFERROR($H31*44/12*参考2_エネ使用量経年!AB32*参考2_エネ使用量経年!$H32,"")</f>
        <v/>
      </c>
      <c r="AC31" s="916" t="str">
        <f ca="1">IFERROR($I31*44/12*参考2_エネ使用量経年!AC32*参考2_エネ使用量経年!$I32,"")</f>
        <v/>
      </c>
      <c r="AD31" s="916" t="str">
        <f ca="1">IFERROR($J31*44/12*参考2_エネ使用量経年!AD32*参考2_エネ使用量経年!$J32,"")</f>
        <v/>
      </c>
      <c r="AE31" s="916" t="str">
        <f ca="1">IFERROR($K31*44/12*参考2_エネ使用量経年!AE32*参考2_エネ使用量経年!$K32,"")</f>
        <v/>
      </c>
      <c r="AF31" s="916" t="str">
        <f ca="1">IFERROR($H31*44/12*参考2_エネ使用量経年!AF32*参考2_エネ使用量経年!$H32,"")</f>
        <v/>
      </c>
      <c r="AG31" s="916" t="str">
        <f ca="1">IFERROR($I31*44/12*参考2_エネ使用量経年!AG32*参考2_エネ使用量経年!$I32,"")</f>
        <v/>
      </c>
      <c r="AH31" s="916" t="str">
        <f ca="1">IFERROR($J31*44/12*参考2_エネ使用量経年!AH32*参考2_エネ使用量経年!$J32,"")</f>
        <v/>
      </c>
      <c r="AI31" s="916" t="str">
        <f ca="1">IFERROR($K31*44/12*参考2_エネ使用量経年!AI32*参考2_エネ使用量経年!$K32,"")</f>
        <v/>
      </c>
      <c r="AJ31" s="916" t="str">
        <f ca="1">IFERROR($H31*44/12*参考2_エネ使用量経年!AJ32*参考2_エネ使用量経年!$H32,"")</f>
        <v/>
      </c>
      <c r="AK31" s="916" t="str">
        <f ca="1">IFERROR($I31*44/12*参考2_エネ使用量経年!AK32*参考2_エネ使用量経年!$I32,"")</f>
        <v/>
      </c>
      <c r="AL31" s="916" t="str">
        <f ca="1">IFERROR($J31*44/12*参考2_エネ使用量経年!AL32*参考2_エネ使用量経年!$J32,"")</f>
        <v/>
      </c>
      <c r="AM31" s="916" t="str">
        <f ca="1">IFERROR($K31*44/12*参考2_エネ使用量経年!AM32*参考2_エネ使用量経年!$K32,"")</f>
        <v/>
      </c>
      <c r="AN31" s="916" t="str">
        <f ca="1">IFERROR($H31*44/12*参考2_エネ使用量経年!AN32*参考2_エネ使用量経年!$H32,"")</f>
        <v/>
      </c>
      <c r="AO31" s="916" t="str">
        <f ca="1">IFERROR($I31*44/12*参考2_エネ使用量経年!AO32*参考2_エネ使用量経年!$I32,"")</f>
        <v/>
      </c>
      <c r="AP31" s="916" t="str">
        <f ca="1">IFERROR($J31*44/12*参考2_エネ使用量経年!AP32*参考2_エネ使用量経年!$J32,"")</f>
        <v/>
      </c>
      <c r="AQ31" s="916" t="str">
        <f ca="1">IFERROR($K31*44/12*参考2_エネ使用量経年!AQ32*参考2_エネ使用量経年!$K32,"")</f>
        <v/>
      </c>
      <c r="AR31" s="916" t="str">
        <f ca="1">IFERROR($H31*44/12*参考2_エネ使用量経年!AR32*参考2_エネ使用量経年!$H32,"")</f>
        <v/>
      </c>
      <c r="AS31" s="916" t="str">
        <f ca="1">IFERROR($I31*44/12*参考2_エネ使用量経年!AS32*参考2_エネ使用量経年!$I32,"")</f>
        <v/>
      </c>
      <c r="AT31" s="916" t="str">
        <f ca="1">IFERROR($J31*44/12*参考2_エネ使用量経年!AT32*参考2_エネ使用量経年!$J32,"")</f>
        <v/>
      </c>
      <c r="AU31" s="916" t="str">
        <f ca="1">IFERROR($K31*44/12*参考2_エネ使用量経年!AU32*参考2_エネ使用量経年!$K32,"")</f>
        <v/>
      </c>
      <c r="AV31" s="916" t="str">
        <f ca="1">IFERROR($H31*44/12*参考2_エネ使用量経年!AV32*参考2_エネ使用量経年!$H32,"")</f>
        <v/>
      </c>
      <c r="AW31" s="916" t="str">
        <f ca="1">IFERROR($I31*44/12*参考2_エネ使用量経年!AW32*参考2_エネ使用量経年!$I32,"")</f>
        <v/>
      </c>
      <c r="AX31" s="916" t="str">
        <f ca="1">IFERROR($J31*44/12*参考2_エネ使用量経年!AX32*参考2_エネ使用量経年!$J32,"")</f>
        <v/>
      </c>
      <c r="AY31" s="916" t="str">
        <f ca="1">IFERROR($K31*44/12*参考2_エネ使用量経年!AY32*参考2_エネ使用量経年!$K32,"")</f>
        <v/>
      </c>
      <c r="AZ31" s="916" t="str">
        <f ca="1">IFERROR($H31*44/12*参考2_エネ使用量経年!AZ32*参考2_エネ使用量経年!$H32,"")</f>
        <v/>
      </c>
      <c r="BA31" s="916" t="str">
        <f ca="1">IFERROR($I31*44/12*参考2_エネ使用量経年!BA32*参考2_エネ使用量経年!$I32,"")</f>
        <v/>
      </c>
      <c r="BB31" s="916" t="str">
        <f ca="1">IFERROR($J31*44/12*参考2_エネ使用量経年!BB32*参考2_エネ使用量経年!$J32,"")</f>
        <v/>
      </c>
      <c r="BC31" s="916" t="str">
        <f ca="1">IFERROR($K31*44/12*参考2_エネ使用量経年!BC32*参考2_エネ使用量経年!$K32,"")</f>
        <v/>
      </c>
      <c r="BD31" s="916" t="str">
        <f ca="1">IFERROR($H31*44/12*参考2_エネ使用量経年!BD32*参考2_エネ使用量経年!$H32,"")</f>
        <v/>
      </c>
      <c r="BE31" s="916" t="str">
        <f ca="1">IFERROR($I31*44/12*参考2_エネ使用量経年!BE32*参考2_エネ使用量経年!$I32,"")</f>
        <v/>
      </c>
      <c r="BF31" s="916" t="str">
        <f ca="1">IFERROR($J31*44/12*参考2_エネ使用量経年!BF32*参考2_エネ使用量経年!$J32,"")</f>
        <v/>
      </c>
      <c r="BG31" s="916" t="str">
        <f ca="1">IFERROR($K31*44/12*参考2_エネ使用量経年!BG32*参考2_エネ使用量経年!$K32,"")</f>
        <v/>
      </c>
      <c r="BH31" s="916" t="str">
        <f ca="1">IFERROR($H31*44/12*参考2_エネ使用量経年!BH32*参考2_エネ使用量経年!$H32,"")</f>
        <v/>
      </c>
      <c r="BI31" s="916" t="str">
        <f ca="1">IFERROR($I31*44/12*参考2_エネ使用量経年!BI32*参考2_エネ使用量経年!$I32,"")</f>
        <v/>
      </c>
      <c r="BJ31" s="916" t="str">
        <f ca="1">IFERROR($J31*44/12*参考2_エネ使用量経年!BJ32*参考2_エネ使用量経年!$J32,"")</f>
        <v/>
      </c>
      <c r="BK31" s="916" t="str">
        <f ca="1">IFERROR($K31*44/12*参考2_エネ使用量経年!BK32*参考2_エネ使用量経年!$K32,"")</f>
        <v/>
      </c>
      <c r="BL31" s="916" t="str">
        <f ca="1">IFERROR($H31*44/12*参考2_エネ使用量経年!BL32*参考2_エネ使用量経年!$H32,"")</f>
        <v/>
      </c>
      <c r="BM31" s="916" t="str">
        <f ca="1">IFERROR($I31*44/12*参考2_エネ使用量経年!BM32*参考2_エネ使用量経年!$I32,"")</f>
        <v/>
      </c>
      <c r="BN31" s="916" t="str">
        <f ca="1">IFERROR($J31*44/12*参考2_エネ使用量経年!BN32*参考2_エネ使用量経年!$J32,"")</f>
        <v/>
      </c>
      <c r="BO31" s="916" t="str">
        <f ca="1">IFERROR($K31*44/12*参考2_エネ使用量経年!BO32*参考2_エネ使用量経年!$K32,"")</f>
        <v/>
      </c>
    </row>
    <row r="32" spans="1:67" ht="20.100000000000001" hidden="1" customHeight="1" outlineLevel="1">
      <c r="A32" s="914">
        <v>32</v>
      </c>
      <c r="B32" s="1594"/>
      <c r="C32" s="1596"/>
      <c r="D32" s="785" t="s">
        <v>373</v>
      </c>
      <c r="E32" s="785"/>
      <c r="F32" s="786"/>
      <c r="G32" s="852" t="s">
        <v>1281</v>
      </c>
      <c r="H32" s="915">
        <f t="shared" ca="1" si="0"/>
        <v>2.64E-2</v>
      </c>
      <c r="I32" s="915">
        <f t="shared" ca="1" si="1"/>
        <v>2.64E-2</v>
      </c>
      <c r="J32" s="915">
        <f t="shared" ca="1" si="2"/>
        <v>2.64E-2</v>
      </c>
      <c r="K32" s="915">
        <f t="shared" ca="1" si="3"/>
        <v>2.64E-2</v>
      </c>
      <c r="L32" s="916">
        <f ca="1">IFERROR($H32*44/12*参考2_エネ使用量経年!L33*参考2_エネ使用量経年!$H33,"")</f>
        <v>0</v>
      </c>
      <c r="M32" s="916">
        <f ca="1">IFERROR($I32*44/12*参考2_エネ使用量経年!M33*参考2_エネ使用量経年!$I33,"")</f>
        <v>0</v>
      </c>
      <c r="N32" s="916">
        <f ca="1">IFERROR($J32*44/12*参考2_エネ使用量経年!N33*参考2_エネ使用量経年!$J33,"")</f>
        <v>0</v>
      </c>
      <c r="O32" s="916">
        <f ca="1">IFERROR($K32*44/12*参考2_エネ使用量経年!O33*参考2_エネ使用量経年!$K33,"")</f>
        <v>0</v>
      </c>
      <c r="P32" s="916">
        <f ca="1">IFERROR($H32*44/12*参考2_エネ使用量経年!P33*参考2_エネ使用量経年!$H33,"")</f>
        <v>0</v>
      </c>
      <c r="Q32" s="916">
        <f ca="1">IFERROR($I32*44/12*参考2_エネ使用量経年!Q33*参考2_エネ使用量経年!$I33,"")</f>
        <v>0</v>
      </c>
      <c r="R32" s="916">
        <f ca="1">IFERROR($J32*44/12*参考2_エネ使用量経年!R33*参考2_エネ使用量経年!$J33,"")</f>
        <v>0</v>
      </c>
      <c r="S32" s="916">
        <f ca="1">IFERROR($K32*44/12*参考2_エネ使用量経年!S33*参考2_エネ使用量経年!$K33,"")</f>
        <v>0</v>
      </c>
      <c r="T32" s="916">
        <f ca="1">IFERROR($H32*44/12*参考2_エネ使用量経年!T33*参考2_エネ使用量経年!$H33,"")</f>
        <v>0</v>
      </c>
      <c r="U32" s="916">
        <f ca="1">IFERROR($I32*44/12*参考2_エネ使用量経年!U33*参考2_エネ使用量経年!$I33,"")</f>
        <v>0</v>
      </c>
      <c r="V32" s="916">
        <f ca="1">IFERROR($J32*44/12*参考2_エネ使用量経年!V33*参考2_エネ使用量経年!$J33,"")</f>
        <v>0</v>
      </c>
      <c r="W32" s="916">
        <f ca="1">IFERROR($K32*44/12*参考2_エネ使用量経年!W33*参考2_エネ使用量経年!$K33,"")</f>
        <v>0</v>
      </c>
      <c r="X32" s="916">
        <f ca="1">IFERROR($H32*44/12*参考2_エネ使用量経年!X33*参考2_エネ使用量経年!$H33,"")</f>
        <v>0</v>
      </c>
      <c r="Y32" s="916">
        <f ca="1">IFERROR($I32*44/12*参考2_エネ使用量経年!Y33*参考2_エネ使用量経年!$I33,"")</f>
        <v>0</v>
      </c>
      <c r="Z32" s="916">
        <f ca="1">IFERROR($J32*44/12*参考2_エネ使用量経年!Z33*参考2_エネ使用量経年!$J33,"")</f>
        <v>0</v>
      </c>
      <c r="AA32" s="916">
        <f ca="1">IFERROR($K32*44/12*参考2_エネ使用量経年!AA33*参考2_エネ使用量経年!$K33,"")</f>
        <v>0</v>
      </c>
      <c r="AB32" s="916" t="str">
        <f ca="1">IFERROR($H32*44/12*参考2_エネ使用量経年!AB33*参考2_エネ使用量経年!$H33,"")</f>
        <v/>
      </c>
      <c r="AC32" s="916" t="str">
        <f ca="1">IFERROR($I32*44/12*参考2_エネ使用量経年!AC33*参考2_エネ使用量経年!$I33,"")</f>
        <v/>
      </c>
      <c r="AD32" s="916" t="str">
        <f ca="1">IFERROR($J32*44/12*参考2_エネ使用量経年!AD33*参考2_エネ使用量経年!$J33,"")</f>
        <v/>
      </c>
      <c r="AE32" s="916" t="str">
        <f ca="1">IFERROR($K32*44/12*参考2_エネ使用量経年!AE33*参考2_エネ使用量経年!$K33,"")</f>
        <v/>
      </c>
      <c r="AF32" s="916" t="str">
        <f ca="1">IFERROR($H32*44/12*参考2_エネ使用量経年!AF33*参考2_エネ使用量経年!$H33,"")</f>
        <v/>
      </c>
      <c r="AG32" s="916" t="str">
        <f ca="1">IFERROR($I32*44/12*参考2_エネ使用量経年!AG33*参考2_エネ使用量経年!$I33,"")</f>
        <v/>
      </c>
      <c r="AH32" s="916" t="str">
        <f ca="1">IFERROR($J32*44/12*参考2_エネ使用量経年!AH33*参考2_エネ使用量経年!$J33,"")</f>
        <v/>
      </c>
      <c r="AI32" s="916" t="str">
        <f ca="1">IFERROR($K32*44/12*参考2_エネ使用量経年!AI33*参考2_エネ使用量経年!$K33,"")</f>
        <v/>
      </c>
      <c r="AJ32" s="916" t="str">
        <f ca="1">IFERROR($H32*44/12*参考2_エネ使用量経年!AJ33*参考2_エネ使用量経年!$H33,"")</f>
        <v/>
      </c>
      <c r="AK32" s="916" t="str">
        <f ca="1">IFERROR($I32*44/12*参考2_エネ使用量経年!AK33*参考2_エネ使用量経年!$I33,"")</f>
        <v/>
      </c>
      <c r="AL32" s="916" t="str">
        <f ca="1">IFERROR($J32*44/12*参考2_エネ使用量経年!AL33*参考2_エネ使用量経年!$J33,"")</f>
        <v/>
      </c>
      <c r="AM32" s="916" t="str">
        <f ca="1">IFERROR($K32*44/12*参考2_エネ使用量経年!AM33*参考2_エネ使用量経年!$K33,"")</f>
        <v/>
      </c>
      <c r="AN32" s="916" t="str">
        <f ca="1">IFERROR($H32*44/12*参考2_エネ使用量経年!AN33*参考2_エネ使用量経年!$H33,"")</f>
        <v/>
      </c>
      <c r="AO32" s="916" t="str">
        <f ca="1">IFERROR($I32*44/12*参考2_エネ使用量経年!AO33*参考2_エネ使用量経年!$I33,"")</f>
        <v/>
      </c>
      <c r="AP32" s="916" t="str">
        <f ca="1">IFERROR($J32*44/12*参考2_エネ使用量経年!AP33*参考2_エネ使用量経年!$J33,"")</f>
        <v/>
      </c>
      <c r="AQ32" s="916" t="str">
        <f ca="1">IFERROR($K32*44/12*参考2_エネ使用量経年!AQ33*参考2_エネ使用量経年!$K33,"")</f>
        <v/>
      </c>
      <c r="AR32" s="916" t="str">
        <f ca="1">IFERROR($H32*44/12*参考2_エネ使用量経年!AR33*参考2_エネ使用量経年!$H33,"")</f>
        <v/>
      </c>
      <c r="AS32" s="916" t="str">
        <f ca="1">IFERROR($I32*44/12*参考2_エネ使用量経年!AS33*参考2_エネ使用量経年!$I33,"")</f>
        <v/>
      </c>
      <c r="AT32" s="916" t="str">
        <f ca="1">IFERROR($J32*44/12*参考2_エネ使用量経年!AT33*参考2_エネ使用量経年!$J33,"")</f>
        <v/>
      </c>
      <c r="AU32" s="916" t="str">
        <f ca="1">IFERROR($K32*44/12*参考2_エネ使用量経年!AU33*参考2_エネ使用量経年!$K33,"")</f>
        <v/>
      </c>
      <c r="AV32" s="916" t="str">
        <f ca="1">IFERROR($H32*44/12*参考2_エネ使用量経年!AV33*参考2_エネ使用量経年!$H33,"")</f>
        <v/>
      </c>
      <c r="AW32" s="916" t="str">
        <f ca="1">IFERROR($I32*44/12*参考2_エネ使用量経年!AW33*参考2_エネ使用量経年!$I33,"")</f>
        <v/>
      </c>
      <c r="AX32" s="916" t="str">
        <f ca="1">IFERROR($J32*44/12*参考2_エネ使用量経年!AX33*参考2_エネ使用量経年!$J33,"")</f>
        <v/>
      </c>
      <c r="AY32" s="916" t="str">
        <f ca="1">IFERROR($K32*44/12*参考2_エネ使用量経年!AY33*参考2_エネ使用量経年!$K33,"")</f>
        <v/>
      </c>
      <c r="AZ32" s="916" t="str">
        <f ca="1">IFERROR($H32*44/12*参考2_エネ使用量経年!AZ33*参考2_エネ使用量経年!$H33,"")</f>
        <v/>
      </c>
      <c r="BA32" s="916" t="str">
        <f ca="1">IFERROR($I32*44/12*参考2_エネ使用量経年!BA33*参考2_エネ使用量経年!$I33,"")</f>
        <v/>
      </c>
      <c r="BB32" s="916" t="str">
        <f ca="1">IFERROR($J32*44/12*参考2_エネ使用量経年!BB33*参考2_エネ使用量経年!$J33,"")</f>
        <v/>
      </c>
      <c r="BC32" s="916" t="str">
        <f ca="1">IFERROR($K32*44/12*参考2_エネ使用量経年!BC33*参考2_エネ使用量経年!$K33,"")</f>
        <v/>
      </c>
      <c r="BD32" s="916" t="str">
        <f ca="1">IFERROR($H32*44/12*参考2_エネ使用量経年!BD33*参考2_エネ使用量経年!$H33,"")</f>
        <v/>
      </c>
      <c r="BE32" s="916" t="str">
        <f ca="1">IFERROR($I32*44/12*参考2_エネ使用量経年!BE33*参考2_エネ使用量経年!$I33,"")</f>
        <v/>
      </c>
      <c r="BF32" s="916" t="str">
        <f ca="1">IFERROR($J32*44/12*参考2_エネ使用量経年!BF33*参考2_エネ使用量経年!$J33,"")</f>
        <v/>
      </c>
      <c r="BG32" s="916" t="str">
        <f ca="1">IFERROR($K32*44/12*参考2_エネ使用量経年!BG33*参考2_エネ使用量経年!$K33,"")</f>
        <v/>
      </c>
      <c r="BH32" s="916" t="str">
        <f ca="1">IFERROR($H32*44/12*参考2_エネ使用量経年!BH33*参考2_エネ使用量経年!$H33,"")</f>
        <v/>
      </c>
      <c r="BI32" s="916" t="str">
        <f ca="1">IFERROR($I32*44/12*参考2_エネ使用量経年!BI33*参考2_エネ使用量経年!$I33,"")</f>
        <v/>
      </c>
      <c r="BJ32" s="916" t="str">
        <f ca="1">IFERROR($J32*44/12*参考2_エネ使用量経年!BJ33*参考2_エネ使用量経年!$J33,"")</f>
        <v/>
      </c>
      <c r="BK32" s="916" t="str">
        <f ca="1">IFERROR($K32*44/12*参考2_エネ使用量経年!BK33*参考2_エネ使用量経年!$K33,"")</f>
        <v/>
      </c>
      <c r="BL32" s="916" t="str">
        <f ca="1">IFERROR($H32*44/12*参考2_エネ使用量経年!BL33*参考2_エネ使用量経年!$H33,"")</f>
        <v/>
      </c>
      <c r="BM32" s="916" t="str">
        <f ca="1">IFERROR($I32*44/12*参考2_エネ使用量経年!BM33*参考2_エネ使用量経年!$I33,"")</f>
        <v/>
      </c>
      <c r="BN32" s="916" t="str">
        <f ca="1">IFERROR($J32*44/12*参考2_エネ使用量経年!BN33*参考2_エネ使用量経年!$J33,"")</f>
        <v/>
      </c>
      <c r="BO32" s="916" t="str">
        <f ca="1">IFERROR($K32*44/12*参考2_エネ使用量経年!BO33*参考2_エネ使用量経年!$K33,"")</f>
        <v/>
      </c>
    </row>
    <row r="33" spans="1:67" ht="20.100000000000001" hidden="1" customHeight="1" outlineLevel="1">
      <c r="A33" s="914">
        <v>33</v>
      </c>
      <c r="B33" s="1594"/>
      <c r="C33" s="1596"/>
      <c r="D33" s="785" t="s">
        <v>374</v>
      </c>
      <c r="E33" s="785"/>
      <c r="F33" s="786"/>
      <c r="G33" s="852" t="s">
        <v>1281</v>
      </c>
      <c r="H33" s="915">
        <f t="shared" ca="1" si="0"/>
        <v>2.64E-2</v>
      </c>
      <c r="I33" s="915">
        <f t="shared" ca="1" si="1"/>
        <v>2.64E-2</v>
      </c>
      <c r="J33" s="915">
        <f t="shared" ca="1" si="2"/>
        <v>2.64E-2</v>
      </c>
      <c r="K33" s="915">
        <f t="shared" ca="1" si="3"/>
        <v>2.64E-2</v>
      </c>
      <c r="L33" s="916">
        <f ca="1">IFERROR($H33*44/12*参考2_エネ使用量経年!L34*参考2_エネ使用量経年!$H34,"")</f>
        <v>0</v>
      </c>
      <c r="M33" s="916">
        <f ca="1">IFERROR($I33*44/12*参考2_エネ使用量経年!M34*参考2_エネ使用量経年!$I34,"")</f>
        <v>0</v>
      </c>
      <c r="N33" s="916">
        <f ca="1">IFERROR($J33*44/12*参考2_エネ使用量経年!N34*参考2_エネ使用量経年!$J34,"")</f>
        <v>0</v>
      </c>
      <c r="O33" s="916">
        <f ca="1">IFERROR($K33*44/12*参考2_エネ使用量経年!O34*参考2_エネ使用量経年!$K34,"")</f>
        <v>0</v>
      </c>
      <c r="P33" s="916">
        <f ca="1">IFERROR($H33*44/12*参考2_エネ使用量経年!P34*参考2_エネ使用量経年!$H34,"")</f>
        <v>0</v>
      </c>
      <c r="Q33" s="916">
        <f ca="1">IFERROR($I33*44/12*参考2_エネ使用量経年!Q34*参考2_エネ使用量経年!$I34,"")</f>
        <v>0</v>
      </c>
      <c r="R33" s="916">
        <f ca="1">IFERROR($J33*44/12*参考2_エネ使用量経年!R34*参考2_エネ使用量経年!$J34,"")</f>
        <v>0</v>
      </c>
      <c r="S33" s="916">
        <f ca="1">IFERROR($K33*44/12*参考2_エネ使用量経年!S34*参考2_エネ使用量経年!$K34,"")</f>
        <v>0</v>
      </c>
      <c r="T33" s="916">
        <f ca="1">IFERROR($H33*44/12*参考2_エネ使用量経年!T34*参考2_エネ使用量経年!$H34,"")</f>
        <v>0</v>
      </c>
      <c r="U33" s="916">
        <f ca="1">IFERROR($I33*44/12*参考2_エネ使用量経年!U34*参考2_エネ使用量経年!$I34,"")</f>
        <v>0</v>
      </c>
      <c r="V33" s="916">
        <f ca="1">IFERROR($J33*44/12*参考2_エネ使用量経年!V34*参考2_エネ使用量経年!$J34,"")</f>
        <v>0</v>
      </c>
      <c r="W33" s="916">
        <f ca="1">IFERROR($K33*44/12*参考2_エネ使用量経年!W34*参考2_エネ使用量経年!$K34,"")</f>
        <v>0</v>
      </c>
      <c r="X33" s="916">
        <f ca="1">IFERROR($H33*44/12*参考2_エネ使用量経年!X34*参考2_エネ使用量経年!$H34,"")</f>
        <v>0</v>
      </c>
      <c r="Y33" s="916">
        <f ca="1">IFERROR($I33*44/12*参考2_エネ使用量経年!Y34*参考2_エネ使用量経年!$I34,"")</f>
        <v>0</v>
      </c>
      <c r="Z33" s="916">
        <f ca="1">IFERROR($J33*44/12*参考2_エネ使用量経年!Z34*参考2_エネ使用量経年!$J34,"")</f>
        <v>0</v>
      </c>
      <c r="AA33" s="916">
        <f ca="1">IFERROR($K33*44/12*参考2_エネ使用量経年!AA34*参考2_エネ使用量経年!$K34,"")</f>
        <v>0</v>
      </c>
      <c r="AB33" s="916" t="str">
        <f ca="1">IFERROR($H33*44/12*参考2_エネ使用量経年!AB34*参考2_エネ使用量経年!$H34,"")</f>
        <v/>
      </c>
      <c r="AC33" s="916" t="str">
        <f ca="1">IFERROR($I33*44/12*参考2_エネ使用量経年!AC34*参考2_エネ使用量経年!$I34,"")</f>
        <v/>
      </c>
      <c r="AD33" s="916" t="str">
        <f ca="1">IFERROR($J33*44/12*参考2_エネ使用量経年!AD34*参考2_エネ使用量経年!$J34,"")</f>
        <v/>
      </c>
      <c r="AE33" s="916" t="str">
        <f ca="1">IFERROR($K33*44/12*参考2_エネ使用量経年!AE34*参考2_エネ使用量経年!$K34,"")</f>
        <v/>
      </c>
      <c r="AF33" s="916" t="str">
        <f ca="1">IFERROR($H33*44/12*参考2_エネ使用量経年!AF34*参考2_エネ使用量経年!$H34,"")</f>
        <v/>
      </c>
      <c r="AG33" s="916" t="str">
        <f ca="1">IFERROR($I33*44/12*参考2_エネ使用量経年!AG34*参考2_エネ使用量経年!$I34,"")</f>
        <v/>
      </c>
      <c r="AH33" s="916" t="str">
        <f ca="1">IFERROR($J33*44/12*参考2_エネ使用量経年!AH34*参考2_エネ使用量経年!$J34,"")</f>
        <v/>
      </c>
      <c r="AI33" s="916" t="str">
        <f ca="1">IFERROR($K33*44/12*参考2_エネ使用量経年!AI34*参考2_エネ使用量経年!$K34,"")</f>
        <v/>
      </c>
      <c r="AJ33" s="916" t="str">
        <f ca="1">IFERROR($H33*44/12*参考2_エネ使用量経年!AJ34*参考2_エネ使用量経年!$H34,"")</f>
        <v/>
      </c>
      <c r="AK33" s="916" t="str">
        <f ca="1">IFERROR($I33*44/12*参考2_エネ使用量経年!AK34*参考2_エネ使用量経年!$I34,"")</f>
        <v/>
      </c>
      <c r="AL33" s="916" t="str">
        <f ca="1">IFERROR($J33*44/12*参考2_エネ使用量経年!AL34*参考2_エネ使用量経年!$J34,"")</f>
        <v/>
      </c>
      <c r="AM33" s="916" t="str">
        <f ca="1">IFERROR($K33*44/12*参考2_エネ使用量経年!AM34*参考2_エネ使用量経年!$K34,"")</f>
        <v/>
      </c>
      <c r="AN33" s="916" t="str">
        <f ca="1">IFERROR($H33*44/12*参考2_エネ使用量経年!AN34*参考2_エネ使用量経年!$H34,"")</f>
        <v/>
      </c>
      <c r="AO33" s="916" t="str">
        <f ca="1">IFERROR($I33*44/12*参考2_エネ使用量経年!AO34*参考2_エネ使用量経年!$I34,"")</f>
        <v/>
      </c>
      <c r="AP33" s="916" t="str">
        <f ca="1">IFERROR($J33*44/12*参考2_エネ使用量経年!AP34*参考2_エネ使用量経年!$J34,"")</f>
        <v/>
      </c>
      <c r="AQ33" s="916" t="str">
        <f ca="1">IFERROR($K33*44/12*参考2_エネ使用量経年!AQ34*参考2_エネ使用量経年!$K34,"")</f>
        <v/>
      </c>
      <c r="AR33" s="916" t="str">
        <f ca="1">IFERROR($H33*44/12*参考2_エネ使用量経年!AR34*参考2_エネ使用量経年!$H34,"")</f>
        <v/>
      </c>
      <c r="AS33" s="916" t="str">
        <f ca="1">IFERROR($I33*44/12*参考2_エネ使用量経年!AS34*参考2_エネ使用量経年!$I34,"")</f>
        <v/>
      </c>
      <c r="AT33" s="916" t="str">
        <f ca="1">IFERROR($J33*44/12*参考2_エネ使用量経年!AT34*参考2_エネ使用量経年!$J34,"")</f>
        <v/>
      </c>
      <c r="AU33" s="916" t="str">
        <f ca="1">IFERROR($K33*44/12*参考2_エネ使用量経年!AU34*参考2_エネ使用量経年!$K34,"")</f>
        <v/>
      </c>
      <c r="AV33" s="916" t="str">
        <f ca="1">IFERROR($H33*44/12*参考2_エネ使用量経年!AV34*参考2_エネ使用量経年!$H34,"")</f>
        <v/>
      </c>
      <c r="AW33" s="916" t="str">
        <f ca="1">IFERROR($I33*44/12*参考2_エネ使用量経年!AW34*参考2_エネ使用量経年!$I34,"")</f>
        <v/>
      </c>
      <c r="AX33" s="916" t="str">
        <f ca="1">IFERROR($J33*44/12*参考2_エネ使用量経年!AX34*参考2_エネ使用量経年!$J34,"")</f>
        <v/>
      </c>
      <c r="AY33" s="916" t="str">
        <f ca="1">IFERROR($K33*44/12*参考2_エネ使用量経年!AY34*参考2_エネ使用量経年!$K34,"")</f>
        <v/>
      </c>
      <c r="AZ33" s="916" t="str">
        <f ca="1">IFERROR($H33*44/12*参考2_エネ使用量経年!AZ34*参考2_エネ使用量経年!$H34,"")</f>
        <v/>
      </c>
      <c r="BA33" s="916" t="str">
        <f ca="1">IFERROR($I33*44/12*参考2_エネ使用量経年!BA34*参考2_エネ使用量経年!$I34,"")</f>
        <v/>
      </c>
      <c r="BB33" s="916" t="str">
        <f ca="1">IFERROR($J33*44/12*参考2_エネ使用量経年!BB34*参考2_エネ使用量経年!$J34,"")</f>
        <v/>
      </c>
      <c r="BC33" s="916" t="str">
        <f ca="1">IFERROR($K33*44/12*参考2_エネ使用量経年!BC34*参考2_エネ使用量経年!$K34,"")</f>
        <v/>
      </c>
      <c r="BD33" s="916" t="str">
        <f ca="1">IFERROR($H33*44/12*参考2_エネ使用量経年!BD34*参考2_エネ使用量経年!$H34,"")</f>
        <v/>
      </c>
      <c r="BE33" s="916" t="str">
        <f ca="1">IFERROR($I33*44/12*参考2_エネ使用量経年!BE34*参考2_エネ使用量経年!$I34,"")</f>
        <v/>
      </c>
      <c r="BF33" s="916" t="str">
        <f ca="1">IFERROR($J33*44/12*参考2_エネ使用量経年!BF34*参考2_エネ使用量経年!$J34,"")</f>
        <v/>
      </c>
      <c r="BG33" s="916" t="str">
        <f ca="1">IFERROR($K33*44/12*参考2_エネ使用量経年!BG34*参考2_エネ使用量経年!$K34,"")</f>
        <v/>
      </c>
      <c r="BH33" s="916" t="str">
        <f ca="1">IFERROR($H33*44/12*参考2_エネ使用量経年!BH34*参考2_エネ使用量経年!$H34,"")</f>
        <v/>
      </c>
      <c r="BI33" s="916" t="str">
        <f ca="1">IFERROR($I33*44/12*参考2_エネ使用量経年!BI34*参考2_エネ使用量経年!$I34,"")</f>
        <v/>
      </c>
      <c r="BJ33" s="916" t="str">
        <f ca="1">IFERROR($J33*44/12*参考2_エネ使用量経年!BJ34*参考2_エネ使用量経年!$J34,"")</f>
        <v/>
      </c>
      <c r="BK33" s="916" t="str">
        <f ca="1">IFERROR($K33*44/12*参考2_エネ使用量経年!BK34*参考2_エネ使用量経年!$K34,"")</f>
        <v/>
      </c>
      <c r="BL33" s="916" t="str">
        <f ca="1">IFERROR($H33*44/12*参考2_エネ使用量経年!BL34*参考2_エネ使用量経年!$H34,"")</f>
        <v/>
      </c>
      <c r="BM33" s="916" t="str">
        <f ca="1">IFERROR($I33*44/12*参考2_エネ使用量経年!BM34*参考2_エネ使用量経年!$I34,"")</f>
        <v/>
      </c>
      <c r="BN33" s="916" t="str">
        <f ca="1">IFERROR($J33*44/12*参考2_エネ使用量経年!BN34*参考2_エネ使用量経年!$J34,"")</f>
        <v/>
      </c>
      <c r="BO33" s="916" t="str">
        <f ca="1">IFERROR($K33*44/12*参考2_エネ使用量経年!BO34*参考2_エネ使用量経年!$K34,"")</f>
        <v/>
      </c>
    </row>
    <row r="34" spans="1:67" ht="20.100000000000001" hidden="1" customHeight="1" outlineLevel="1">
      <c r="A34" s="914">
        <v>34</v>
      </c>
      <c r="B34" s="1594"/>
      <c r="C34" s="1596"/>
      <c r="D34" s="785" t="s">
        <v>375</v>
      </c>
      <c r="E34" s="785"/>
      <c r="F34" s="786"/>
      <c r="G34" s="852" t="s">
        <v>1281</v>
      </c>
      <c r="H34" s="915">
        <f t="shared" ca="1" si="0"/>
        <v>4.2000000000000003E-2</v>
      </c>
      <c r="I34" s="915">
        <f t="shared" ca="1" si="1"/>
        <v>4.2000000000000003E-2</v>
      </c>
      <c r="J34" s="915">
        <f t="shared" ca="1" si="2"/>
        <v>4.2000000000000003E-2</v>
      </c>
      <c r="K34" s="915">
        <f t="shared" ca="1" si="3"/>
        <v>4.2000000000000003E-2</v>
      </c>
      <c r="L34" s="916">
        <f ca="1">IFERROR($H34*44/12*参考2_エネ使用量経年!L35*参考2_エネ使用量経年!$H35,"")</f>
        <v>0</v>
      </c>
      <c r="M34" s="916">
        <f ca="1">IFERROR($I34*44/12*参考2_エネ使用量経年!M35*参考2_エネ使用量経年!$I35,"")</f>
        <v>0</v>
      </c>
      <c r="N34" s="916">
        <f ca="1">IFERROR($J34*44/12*参考2_エネ使用量経年!N35*参考2_エネ使用量経年!$J35,"")</f>
        <v>0</v>
      </c>
      <c r="O34" s="916">
        <f ca="1">IFERROR($K34*44/12*参考2_エネ使用量経年!O35*参考2_エネ使用量経年!$K35,"")</f>
        <v>0</v>
      </c>
      <c r="P34" s="916">
        <f ca="1">IFERROR($H34*44/12*参考2_エネ使用量経年!P35*参考2_エネ使用量経年!$H35,"")</f>
        <v>0</v>
      </c>
      <c r="Q34" s="916">
        <f ca="1">IFERROR($I34*44/12*参考2_エネ使用量経年!Q35*参考2_エネ使用量経年!$I35,"")</f>
        <v>0</v>
      </c>
      <c r="R34" s="916">
        <f ca="1">IFERROR($J34*44/12*参考2_エネ使用量経年!R35*参考2_エネ使用量経年!$J35,"")</f>
        <v>0</v>
      </c>
      <c r="S34" s="916">
        <f ca="1">IFERROR($K34*44/12*参考2_エネ使用量経年!S35*参考2_エネ使用量経年!$K35,"")</f>
        <v>0</v>
      </c>
      <c r="T34" s="916">
        <f ca="1">IFERROR($H34*44/12*参考2_エネ使用量経年!T35*参考2_エネ使用量経年!$H35,"")</f>
        <v>0</v>
      </c>
      <c r="U34" s="916">
        <f ca="1">IFERROR($I34*44/12*参考2_エネ使用量経年!U35*参考2_エネ使用量経年!$I35,"")</f>
        <v>0</v>
      </c>
      <c r="V34" s="916">
        <f ca="1">IFERROR($J34*44/12*参考2_エネ使用量経年!V35*参考2_エネ使用量経年!$J35,"")</f>
        <v>0</v>
      </c>
      <c r="W34" s="916">
        <f ca="1">IFERROR($K34*44/12*参考2_エネ使用量経年!W35*参考2_エネ使用量経年!$K35,"")</f>
        <v>0</v>
      </c>
      <c r="X34" s="916">
        <f ca="1">IFERROR($H34*44/12*参考2_エネ使用量経年!X35*参考2_エネ使用量経年!$H35,"")</f>
        <v>0</v>
      </c>
      <c r="Y34" s="916">
        <f ca="1">IFERROR($I34*44/12*参考2_エネ使用量経年!Y35*参考2_エネ使用量経年!$I35,"")</f>
        <v>0</v>
      </c>
      <c r="Z34" s="916">
        <f ca="1">IFERROR($J34*44/12*参考2_エネ使用量経年!Z35*参考2_エネ使用量経年!$J35,"")</f>
        <v>0</v>
      </c>
      <c r="AA34" s="916">
        <f ca="1">IFERROR($K34*44/12*参考2_エネ使用量経年!AA35*参考2_エネ使用量経年!$K35,"")</f>
        <v>0</v>
      </c>
      <c r="AB34" s="916" t="str">
        <f ca="1">IFERROR($H34*44/12*参考2_エネ使用量経年!AB35*参考2_エネ使用量経年!$H35,"")</f>
        <v/>
      </c>
      <c r="AC34" s="916" t="str">
        <f ca="1">IFERROR($I34*44/12*参考2_エネ使用量経年!AC35*参考2_エネ使用量経年!$I35,"")</f>
        <v/>
      </c>
      <c r="AD34" s="916" t="str">
        <f ca="1">IFERROR($J34*44/12*参考2_エネ使用量経年!AD35*参考2_エネ使用量経年!$J35,"")</f>
        <v/>
      </c>
      <c r="AE34" s="916" t="str">
        <f ca="1">IFERROR($K34*44/12*参考2_エネ使用量経年!AE35*参考2_エネ使用量経年!$K35,"")</f>
        <v/>
      </c>
      <c r="AF34" s="916" t="str">
        <f ca="1">IFERROR($H34*44/12*参考2_エネ使用量経年!AF35*参考2_エネ使用量経年!$H35,"")</f>
        <v/>
      </c>
      <c r="AG34" s="916" t="str">
        <f ca="1">IFERROR($I34*44/12*参考2_エネ使用量経年!AG35*参考2_エネ使用量経年!$I35,"")</f>
        <v/>
      </c>
      <c r="AH34" s="916" t="str">
        <f ca="1">IFERROR($J34*44/12*参考2_エネ使用量経年!AH35*参考2_エネ使用量経年!$J35,"")</f>
        <v/>
      </c>
      <c r="AI34" s="916" t="str">
        <f ca="1">IFERROR($K34*44/12*参考2_エネ使用量経年!AI35*参考2_エネ使用量経年!$K35,"")</f>
        <v/>
      </c>
      <c r="AJ34" s="916" t="str">
        <f ca="1">IFERROR($H34*44/12*参考2_エネ使用量経年!AJ35*参考2_エネ使用量経年!$H35,"")</f>
        <v/>
      </c>
      <c r="AK34" s="916" t="str">
        <f ca="1">IFERROR($I34*44/12*参考2_エネ使用量経年!AK35*参考2_エネ使用量経年!$I35,"")</f>
        <v/>
      </c>
      <c r="AL34" s="916" t="str">
        <f ca="1">IFERROR($J34*44/12*参考2_エネ使用量経年!AL35*参考2_エネ使用量経年!$J35,"")</f>
        <v/>
      </c>
      <c r="AM34" s="916" t="str">
        <f ca="1">IFERROR($K34*44/12*参考2_エネ使用量経年!AM35*参考2_エネ使用量経年!$K35,"")</f>
        <v/>
      </c>
      <c r="AN34" s="916" t="str">
        <f ca="1">IFERROR($H34*44/12*参考2_エネ使用量経年!AN35*参考2_エネ使用量経年!$H35,"")</f>
        <v/>
      </c>
      <c r="AO34" s="916" t="str">
        <f ca="1">IFERROR($I34*44/12*参考2_エネ使用量経年!AO35*参考2_エネ使用量経年!$I35,"")</f>
        <v/>
      </c>
      <c r="AP34" s="916" t="str">
        <f ca="1">IFERROR($J34*44/12*参考2_エネ使用量経年!AP35*参考2_エネ使用量経年!$J35,"")</f>
        <v/>
      </c>
      <c r="AQ34" s="916" t="str">
        <f ca="1">IFERROR($K34*44/12*参考2_エネ使用量経年!AQ35*参考2_エネ使用量経年!$K35,"")</f>
        <v/>
      </c>
      <c r="AR34" s="916" t="str">
        <f ca="1">IFERROR($H34*44/12*参考2_エネ使用量経年!AR35*参考2_エネ使用量経年!$H35,"")</f>
        <v/>
      </c>
      <c r="AS34" s="916" t="str">
        <f ca="1">IFERROR($I34*44/12*参考2_エネ使用量経年!AS35*参考2_エネ使用量経年!$I35,"")</f>
        <v/>
      </c>
      <c r="AT34" s="916" t="str">
        <f ca="1">IFERROR($J34*44/12*参考2_エネ使用量経年!AT35*参考2_エネ使用量経年!$J35,"")</f>
        <v/>
      </c>
      <c r="AU34" s="916" t="str">
        <f ca="1">IFERROR($K34*44/12*参考2_エネ使用量経年!AU35*参考2_エネ使用量経年!$K35,"")</f>
        <v/>
      </c>
      <c r="AV34" s="916" t="str">
        <f ca="1">IFERROR($H34*44/12*参考2_エネ使用量経年!AV35*参考2_エネ使用量経年!$H35,"")</f>
        <v/>
      </c>
      <c r="AW34" s="916" t="str">
        <f ca="1">IFERROR($I34*44/12*参考2_エネ使用量経年!AW35*参考2_エネ使用量経年!$I35,"")</f>
        <v/>
      </c>
      <c r="AX34" s="916" t="str">
        <f ca="1">IFERROR($J34*44/12*参考2_エネ使用量経年!AX35*参考2_エネ使用量経年!$J35,"")</f>
        <v/>
      </c>
      <c r="AY34" s="916" t="str">
        <f ca="1">IFERROR($K34*44/12*参考2_エネ使用量経年!AY35*参考2_エネ使用量経年!$K35,"")</f>
        <v/>
      </c>
      <c r="AZ34" s="916" t="str">
        <f ca="1">IFERROR($H34*44/12*参考2_エネ使用量経年!AZ35*参考2_エネ使用量経年!$H35,"")</f>
        <v/>
      </c>
      <c r="BA34" s="916" t="str">
        <f ca="1">IFERROR($I34*44/12*参考2_エネ使用量経年!BA35*参考2_エネ使用量経年!$I35,"")</f>
        <v/>
      </c>
      <c r="BB34" s="916" t="str">
        <f ca="1">IFERROR($J34*44/12*参考2_エネ使用量経年!BB35*参考2_エネ使用量経年!$J35,"")</f>
        <v/>
      </c>
      <c r="BC34" s="916" t="str">
        <f ca="1">IFERROR($K34*44/12*参考2_エネ使用量経年!BC35*参考2_エネ使用量経年!$K35,"")</f>
        <v/>
      </c>
      <c r="BD34" s="916" t="str">
        <f ca="1">IFERROR($H34*44/12*参考2_エネ使用量経年!BD35*参考2_エネ使用量経年!$H35,"")</f>
        <v/>
      </c>
      <c r="BE34" s="916" t="str">
        <f ca="1">IFERROR($I34*44/12*参考2_エネ使用量経年!BE35*参考2_エネ使用量経年!$I35,"")</f>
        <v/>
      </c>
      <c r="BF34" s="916" t="str">
        <f ca="1">IFERROR($J34*44/12*参考2_エネ使用量経年!BF35*参考2_エネ使用量経年!$J35,"")</f>
        <v/>
      </c>
      <c r="BG34" s="916" t="str">
        <f ca="1">IFERROR($K34*44/12*参考2_エネ使用量経年!BG35*参考2_エネ使用量経年!$K35,"")</f>
        <v/>
      </c>
      <c r="BH34" s="916" t="str">
        <f ca="1">IFERROR($H34*44/12*参考2_エネ使用量経年!BH35*参考2_エネ使用量経年!$H35,"")</f>
        <v/>
      </c>
      <c r="BI34" s="916" t="str">
        <f ca="1">IFERROR($I34*44/12*参考2_エネ使用量経年!BI35*参考2_エネ使用量経年!$I35,"")</f>
        <v/>
      </c>
      <c r="BJ34" s="916" t="str">
        <f ca="1">IFERROR($J34*44/12*参考2_エネ使用量経年!BJ35*参考2_エネ使用量経年!$J35,"")</f>
        <v/>
      </c>
      <c r="BK34" s="916" t="str">
        <f ca="1">IFERROR($K34*44/12*参考2_エネ使用量経年!BK35*参考2_エネ使用量経年!$K35,"")</f>
        <v/>
      </c>
      <c r="BL34" s="916" t="str">
        <f ca="1">IFERROR($H34*44/12*参考2_エネ使用量経年!BL35*参考2_エネ使用量経年!$H35,"")</f>
        <v/>
      </c>
      <c r="BM34" s="916" t="str">
        <f ca="1">IFERROR($I34*44/12*参考2_エネ使用量経年!BM35*参考2_エネ使用量経年!$I35,"")</f>
        <v/>
      </c>
      <c r="BN34" s="916" t="str">
        <f ca="1">IFERROR($J34*44/12*参考2_エネ使用量経年!BN35*参考2_エネ使用量経年!$J35,"")</f>
        <v/>
      </c>
      <c r="BO34" s="916" t="str">
        <f ca="1">IFERROR($K34*44/12*参考2_エネ使用量経年!BO35*参考2_エネ使用量経年!$K35,"")</f>
        <v/>
      </c>
    </row>
    <row r="35" spans="1:67" ht="20.100000000000001" hidden="1" customHeight="1" outlineLevel="1">
      <c r="A35" s="914">
        <v>7</v>
      </c>
      <c r="B35" s="1595"/>
      <c r="C35" s="1596"/>
      <c r="D35" s="785" t="s">
        <v>782</v>
      </c>
      <c r="E35" s="790"/>
      <c r="F35" s="786"/>
      <c r="G35" s="852" t="s">
        <v>1281</v>
      </c>
      <c r="H35" s="917"/>
      <c r="I35" s="917"/>
      <c r="J35" s="917"/>
      <c r="K35" s="917"/>
      <c r="L35" s="918">
        <f ca="1">SUM(SUMIFS(OFFSET(A1_集計2024,$A35,9,1,200),OFFSET(貼付け_2024実績,4,9,1,200),{"横浜*","川崎*","県域*","エネルギー管理指定工場等*"}))</f>
        <v>0</v>
      </c>
      <c r="M35" s="918">
        <f ca="1">SUM(SUMIFS(OFFSET(A1_集計2025,$A35,9,1,200),OFFSET(貼付け_2025実績,4,9,1,200),{"横浜*","川崎*","県域*","エネルギー管理指定工場等*"}))</f>
        <v>0</v>
      </c>
      <c r="N35" s="918">
        <f ca="1">SUM(SUMIFS(OFFSET(A1_集計2026,$A35,9,1,200),OFFSET(貼付け_2026実績,4,9,1,200),{"横浜*","川崎*","県域*","エネルギー管理指定工場等*"}))</f>
        <v>0</v>
      </c>
      <c r="O35" s="918">
        <f ca="1">SUM(SUMIFS(OFFSET(A1_集計2027,$A35,9,1,200),OFFSET(貼付け_2027実績,4,9,1,200),{"横浜*","川崎*","県域*","エネルギー管理指定工場等*"}))</f>
        <v>0</v>
      </c>
      <c r="P35" s="916">
        <f ca="1">SUM(SUMIFS(OFFSET(A1_集計2024,$A35,9,1,200),OFFSET(貼付け_2024実績,4,9,1,200),{"横浜*","川崎*"}))</f>
        <v>0</v>
      </c>
      <c r="Q35" s="916">
        <f ca="1">SUM(SUMIFS(OFFSET(A1_集計2025,$A35,9,1,200),OFFSET(貼付け_2025実績,4,9,1,200),{"横浜*","川崎*"}))</f>
        <v>0</v>
      </c>
      <c r="R35" s="916">
        <f ca="1">SUM(SUMIFS(OFFSET(A1_集計2026,$A35,9,1,200),OFFSET(貼付け_2026実績,4,9,1,200),{"横浜*","川崎*"}))</f>
        <v>0</v>
      </c>
      <c r="S35" s="916">
        <f ca="1">SUM(SUMIFS(OFFSET(A1_集計2027,$A35,9,1,200),OFFSET(貼付け_2027実績,4,9,1,200),{"横浜*","川崎*"}))</f>
        <v>0</v>
      </c>
      <c r="T35" s="916">
        <f ca="1">SUM(SUMIFS(OFFSET(A1_集計2024,$A35,9,1,200),OFFSET(貼付け_2024実績,4,9,1,200),{"県域*","エネルギー管理指定工場等*"}))</f>
        <v>0</v>
      </c>
      <c r="U35" s="916">
        <f ca="1">SUM(SUMIFS(OFFSET(A1_集計2025,$A35,9,1,200),OFFSET(貼付け_2025実績,4,9,1,200),{"県域*","エネルギー管理指定工場等*"}))</f>
        <v>0</v>
      </c>
      <c r="V35" s="916">
        <f ca="1">SUM(SUMIFS(OFFSET(A1_集計2026,$A35,9,1,200),OFFSET(貼付け_2026実績,4,9,1,200),{"県域*","エネルギー管理指定工場等*"}))</f>
        <v>0</v>
      </c>
      <c r="W35" s="916">
        <f ca="1">SUM(SUMIFS(OFFSET(A1_集計2027,$A35,9,1,200),OFFSET(貼付け_2027実績,4,9,1,200),{"県域*","エネルギー管理指定工場等*"}))</f>
        <v>0</v>
      </c>
      <c r="X35" s="916">
        <f ca="1">SUMIFS(OFFSET(A1_集計2024,$A35,9,1,200),OFFSET(貼付け_2024実績,4,9,1,200),"県域*")</f>
        <v>0</v>
      </c>
      <c r="Y35" s="916">
        <f ca="1">SUMIFS(OFFSET(A1_集計2025,$A35,9,1,200),OFFSET(貼付け_2025実績,4,9,1,200),"県域*")</f>
        <v>0</v>
      </c>
      <c r="Z35" s="916">
        <f ca="1">SUMIFS(OFFSET(A1_集計2026,$A35,9,1,200),OFFSET(貼付け_2026実績,4,9,1,200),"県域*")</f>
        <v>0</v>
      </c>
      <c r="AA35" s="916">
        <f ca="1">SUMIFS(OFFSET(A1_集計2027,$A35,9,1,200),OFFSET(貼付け_2027実績,4,9,1,200),"県域*")</f>
        <v>0</v>
      </c>
      <c r="AB35" s="916" t="str">
        <f ca="1">IFERROR(OFFSET(A1_集計2024,$A35,AB$1),"")</f>
        <v/>
      </c>
      <c r="AC35" s="916" t="str">
        <f ca="1">IFERROR(OFFSET(A1_集計2025,$A35,AC$1),"")</f>
        <v/>
      </c>
      <c r="AD35" s="916" t="str">
        <f ca="1">IFERROR(OFFSET(A1_集計2026,$A35,AD$1),"")</f>
        <v/>
      </c>
      <c r="AE35" s="916" t="str">
        <f ca="1">IFERROR(OFFSET(A1_集計2027,$A35,AE$1),"")</f>
        <v/>
      </c>
      <c r="AF35" s="916" t="str">
        <f ca="1">IFERROR(OFFSET(A1_集計2024,$A35,AF$1),"")</f>
        <v/>
      </c>
      <c r="AG35" s="916" t="str">
        <f ca="1">IFERROR(OFFSET(A1_集計2025,$A35,AG$1),"")</f>
        <v/>
      </c>
      <c r="AH35" s="916" t="str">
        <f ca="1">IFERROR(OFFSET(A1_集計2026,$A35,AH$1),"")</f>
        <v/>
      </c>
      <c r="AI35" s="916" t="str">
        <f ca="1">IFERROR(OFFSET(A1_集計2027,$A35,AI$1),"")</f>
        <v/>
      </c>
      <c r="AJ35" s="916" t="str">
        <f ca="1">IFERROR(OFFSET(A1_集計2024,$A35,AJ$1),"")</f>
        <v/>
      </c>
      <c r="AK35" s="916" t="str">
        <f ca="1">IFERROR(OFFSET(A1_集計2025,$A35,AK$1),"")</f>
        <v/>
      </c>
      <c r="AL35" s="916" t="str">
        <f ca="1">IFERROR(OFFSET(A1_集計2026,$A35,AL$1),"")</f>
        <v/>
      </c>
      <c r="AM35" s="916" t="str">
        <f ca="1">IFERROR(OFFSET(A1_集計2027,$A35,AM$1),"")</f>
        <v/>
      </c>
      <c r="AN35" s="916" t="str">
        <f ca="1">IFERROR(OFFSET(A1_集計2024,$A35,AN$1),"")</f>
        <v/>
      </c>
      <c r="AO35" s="916" t="str">
        <f ca="1">IFERROR(OFFSET(A1_集計2025,$A35,AO$1),"")</f>
        <v/>
      </c>
      <c r="AP35" s="916" t="str">
        <f ca="1">IFERROR(OFFSET(A1_集計2026,$A35,AP$1),"")</f>
        <v/>
      </c>
      <c r="AQ35" s="916" t="str">
        <f ca="1">IFERROR(OFFSET(A1_集計2027,$A35,AQ$1),"")</f>
        <v/>
      </c>
      <c r="AR35" s="916" t="str">
        <f ca="1">IFERROR(OFFSET(A1_集計2024,$A35,AR$1),"")</f>
        <v/>
      </c>
      <c r="AS35" s="916" t="str">
        <f ca="1">IFERROR(OFFSET(A1_集計2025,$A35,AS$1),"")</f>
        <v/>
      </c>
      <c r="AT35" s="916" t="str">
        <f ca="1">IFERROR(OFFSET(A1_集計2026,$A35,AT$1),"")</f>
        <v/>
      </c>
      <c r="AU35" s="916" t="str">
        <f ca="1">IFERROR(OFFSET(A1_集計2027,$A35,AU$1),"")</f>
        <v/>
      </c>
      <c r="AV35" s="916" t="str">
        <f ca="1">IFERROR(OFFSET(A1_集計2024,$A35,AV$1),"")</f>
        <v/>
      </c>
      <c r="AW35" s="916" t="str">
        <f ca="1">IFERROR(OFFSET(A1_集計2025,$A35,AW$1),"")</f>
        <v/>
      </c>
      <c r="AX35" s="916" t="str">
        <f ca="1">IFERROR(OFFSET(A1_集計2026,$A35,AX$1),"")</f>
        <v/>
      </c>
      <c r="AY35" s="916" t="str">
        <f ca="1">IFERROR(OFFSET(A1_集計2027,$A35,AY$1),"")</f>
        <v/>
      </c>
      <c r="AZ35" s="916" t="str">
        <f ca="1">IFERROR(OFFSET(A1_集計2024,$A35,AZ$1),"")</f>
        <v/>
      </c>
      <c r="BA35" s="916" t="str">
        <f ca="1">IFERROR(OFFSET(A1_集計2025,$A35,BA$1),"")</f>
        <v/>
      </c>
      <c r="BB35" s="916" t="str">
        <f ca="1">IFERROR(OFFSET(A1_集計2026,$A35,BB$1),"")</f>
        <v/>
      </c>
      <c r="BC35" s="916" t="str">
        <f ca="1">IFERROR(OFFSET(A1_集計2027,$A35,BC$1),"")</f>
        <v/>
      </c>
      <c r="BD35" s="916" t="str">
        <f ca="1">IFERROR(OFFSET(A1_集計2024,$A35,BD$1),"")</f>
        <v/>
      </c>
      <c r="BE35" s="916" t="str">
        <f ca="1">IFERROR(OFFSET(A1_集計2025,$A35,BE$1),"")</f>
        <v/>
      </c>
      <c r="BF35" s="916" t="str">
        <f ca="1">IFERROR(OFFSET(A1_集計2026,$A35,BF$1),"")</f>
        <v/>
      </c>
      <c r="BG35" s="916" t="str">
        <f ca="1">IFERROR(OFFSET(A1_集計2027,$A35,BG$1),"")</f>
        <v/>
      </c>
      <c r="BH35" s="916" t="str">
        <f ca="1">IFERROR(OFFSET(A1_集計2024,$A35,BH$1),"")</f>
        <v/>
      </c>
      <c r="BI35" s="916" t="str">
        <f ca="1">IFERROR(OFFSET(A1_集計2025,$A35,BI$1),"")</f>
        <v/>
      </c>
      <c r="BJ35" s="916" t="str">
        <f ca="1">IFERROR(OFFSET(A1_集計2026,$A35,BJ$1),"")</f>
        <v/>
      </c>
      <c r="BK35" s="916" t="str">
        <f ca="1">IFERROR(OFFSET(A1_集計2027,$A35,BK$1),"")</f>
        <v/>
      </c>
      <c r="BL35" s="916" t="str">
        <f ca="1">IFERROR(OFFSET(A1_集計2024,$A35,BL$1),"")</f>
        <v/>
      </c>
      <c r="BM35" s="916" t="str">
        <f ca="1">IFERROR(OFFSET(A1_集計2025,$A35,BM$1),"")</f>
        <v/>
      </c>
      <c r="BN35" s="916" t="str">
        <f ca="1">IFERROR(OFFSET(A1_集計2026,$A35,BN$1),"")</f>
        <v/>
      </c>
      <c r="BO35" s="916" t="str">
        <f ca="1">IFERROR(OFFSET(A1_集計2027,$A35,BO$1),"")</f>
        <v/>
      </c>
    </row>
    <row r="36" spans="1:67" ht="20.100000000000001" hidden="1" customHeight="1" outlineLevel="1">
      <c r="A36" s="914">
        <v>36</v>
      </c>
      <c r="B36" s="1594"/>
      <c r="C36" s="1596"/>
      <c r="D36" s="785" t="s">
        <v>376</v>
      </c>
      <c r="E36" s="792" t="str">
        <f ca="1">参考2_エネ使用量経年!E37</f>
        <v/>
      </c>
      <c r="F36" s="786"/>
      <c r="G36" s="852" t="s">
        <v>1281</v>
      </c>
      <c r="H36" s="915">
        <f t="shared" ref="H36:H56" ca="1" si="4">IFERROR(OFFSET(貼付け_2024実績,$A36,6),"")</f>
        <v>0</v>
      </c>
      <c r="I36" s="915">
        <f t="shared" ref="I36:I56" ca="1" si="5">IFERROR(OFFSET(貼付け_2025実績,$A36,6),"")</f>
        <v>0</v>
      </c>
      <c r="J36" s="915">
        <f t="shared" ref="J36:J56" ca="1" si="6">IFERROR(OFFSET(貼付け_2026実績,$A36,6),"")</f>
        <v>0</v>
      </c>
      <c r="K36" s="915">
        <f t="shared" ref="K36:K56" ca="1" si="7">IFERROR(OFFSET(貼付け_2027実績,$A36,6),"")</f>
        <v>0</v>
      </c>
      <c r="L36" s="916">
        <f ca="1">IFERROR($H36*44/12*参考2_エネ使用量経年!L37*参考2_エネ使用量経年!$H37,"")</f>
        <v>0</v>
      </c>
      <c r="M36" s="916">
        <f ca="1">IFERROR($I36*44/12*参考2_エネ使用量経年!M37*参考2_エネ使用量経年!$I37,"")</f>
        <v>0</v>
      </c>
      <c r="N36" s="916">
        <f ca="1">IFERROR($J36*44/12*参考2_エネ使用量経年!N37*参考2_エネ使用量経年!$J37,"")</f>
        <v>0</v>
      </c>
      <c r="O36" s="916">
        <f ca="1">IFERROR($K36*44/12*参考2_エネ使用量経年!O37*参考2_エネ使用量経年!$K37,"")</f>
        <v>0</v>
      </c>
      <c r="P36" s="916">
        <f ca="1">IFERROR($H36*44/12*参考2_エネ使用量経年!P37*参考2_エネ使用量経年!$H37,"")</f>
        <v>0</v>
      </c>
      <c r="Q36" s="916">
        <f ca="1">IFERROR($I36*44/12*参考2_エネ使用量経年!Q37*参考2_エネ使用量経年!$I37,"")</f>
        <v>0</v>
      </c>
      <c r="R36" s="916">
        <f ca="1">IFERROR($J36*44/12*参考2_エネ使用量経年!R37*参考2_エネ使用量経年!$J37,"")</f>
        <v>0</v>
      </c>
      <c r="S36" s="916">
        <f ca="1">IFERROR($K36*44/12*参考2_エネ使用量経年!S37*参考2_エネ使用量経年!$K37,"")</f>
        <v>0</v>
      </c>
      <c r="T36" s="916">
        <f ca="1">IFERROR($H36*44/12*参考2_エネ使用量経年!T37*参考2_エネ使用量経年!$H37,"")</f>
        <v>0</v>
      </c>
      <c r="U36" s="916">
        <f ca="1">IFERROR($I36*44/12*参考2_エネ使用量経年!U37*参考2_エネ使用量経年!$I37,"")</f>
        <v>0</v>
      </c>
      <c r="V36" s="916">
        <f ca="1">IFERROR($J36*44/12*参考2_エネ使用量経年!V37*参考2_エネ使用量経年!$J37,"")</f>
        <v>0</v>
      </c>
      <c r="W36" s="916">
        <f ca="1">IFERROR($K36*44/12*参考2_エネ使用量経年!W37*参考2_エネ使用量経年!$K37,"")</f>
        <v>0</v>
      </c>
      <c r="X36" s="916">
        <f ca="1">IFERROR($H36*44/12*参考2_エネ使用量経年!X37*参考2_エネ使用量経年!$H37,"")</f>
        <v>0</v>
      </c>
      <c r="Y36" s="916">
        <f ca="1">IFERROR($I36*44/12*参考2_エネ使用量経年!Y37*参考2_エネ使用量経年!$I37,"")</f>
        <v>0</v>
      </c>
      <c r="Z36" s="916">
        <f ca="1">IFERROR($J36*44/12*参考2_エネ使用量経年!Z37*参考2_エネ使用量経年!$J37,"")</f>
        <v>0</v>
      </c>
      <c r="AA36" s="916">
        <f ca="1">IFERROR($K36*44/12*参考2_エネ使用量経年!AA37*参考2_エネ使用量経年!$K37,"")</f>
        <v>0</v>
      </c>
      <c r="AB36" s="916" t="str">
        <f ca="1">IFERROR($H36*44/12*参考2_エネ使用量経年!AB37*参考2_エネ使用量経年!$H37,"")</f>
        <v/>
      </c>
      <c r="AC36" s="916" t="str">
        <f ca="1">IFERROR($I36*44/12*参考2_エネ使用量経年!AC37*参考2_エネ使用量経年!$I37,"")</f>
        <v/>
      </c>
      <c r="AD36" s="916" t="str">
        <f ca="1">IFERROR($J36*44/12*参考2_エネ使用量経年!AD37*参考2_エネ使用量経年!$J37,"")</f>
        <v/>
      </c>
      <c r="AE36" s="916" t="str">
        <f ca="1">IFERROR($K36*44/12*参考2_エネ使用量経年!AE37*参考2_エネ使用量経年!$K37,"")</f>
        <v/>
      </c>
      <c r="AF36" s="916" t="str">
        <f ca="1">IFERROR($H36*44/12*参考2_エネ使用量経年!AF37*参考2_エネ使用量経年!$H37,"")</f>
        <v/>
      </c>
      <c r="AG36" s="916" t="str">
        <f ca="1">IFERROR($I36*44/12*参考2_エネ使用量経年!AG37*参考2_エネ使用量経年!$I37,"")</f>
        <v/>
      </c>
      <c r="AH36" s="916" t="str">
        <f ca="1">IFERROR($J36*44/12*参考2_エネ使用量経年!AH37*参考2_エネ使用量経年!$J37,"")</f>
        <v/>
      </c>
      <c r="AI36" s="916" t="str">
        <f ca="1">IFERROR($K36*44/12*参考2_エネ使用量経年!AI37*参考2_エネ使用量経年!$K37,"")</f>
        <v/>
      </c>
      <c r="AJ36" s="916" t="str">
        <f ca="1">IFERROR($H36*44/12*参考2_エネ使用量経年!AJ37*参考2_エネ使用量経年!$H37,"")</f>
        <v/>
      </c>
      <c r="AK36" s="916" t="str">
        <f ca="1">IFERROR($I36*44/12*参考2_エネ使用量経年!AK37*参考2_エネ使用量経年!$I37,"")</f>
        <v/>
      </c>
      <c r="AL36" s="916" t="str">
        <f ca="1">IFERROR($J36*44/12*参考2_エネ使用量経年!AL37*参考2_エネ使用量経年!$J37,"")</f>
        <v/>
      </c>
      <c r="AM36" s="916" t="str">
        <f ca="1">IFERROR($K36*44/12*参考2_エネ使用量経年!AM37*参考2_エネ使用量経年!$K37,"")</f>
        <v/>
      </c>
      <c r="AN36" s="916" t="str">
        <f ca="1">IFERROR($H36*44/12*参考2_エネ使用量経年!AN37*参考2_エネ使用量経年!$H37,"")</f>
        <v/>
      </c>
      <c r="AO36" s="916" t="str">
        <f ca="1">IFERROR($I36*44/12*参考2_エネ使用量経年!AO37*参考2_エネ使用量経年!$I37,"")</f>
        <v/>
      </c>
      <c r="AP36" s="916" t="str">
        <f ca="1">IFERROR($J36*44/12*参考2_エネ使用量経年!AP37*参考2_エネ使用量経年!$J37,"")</f>
        <v/>
      </c>
      <c r="AQ36" s="916" t="str">
        <f ca="1">IFERROR($K36*44/12*参考2_エネ使用量経年!AQ37*参考2_エネ使用量経年!$K37,"")</f>
        <v/>
      </c>
      <c r="AR36" s="916" t="str">
        <f ca="1">IFERROR($H36*44/12*参考2_エネ使用量経年!AR37*参考2_エネ使用量経年!$H37,"")</f>
        <v/>
      </c>
      <c r="AS36" s="916" t="str">
        <f ca="1">IFERROR($I36*44/12*参考2_エネ使用量経年!AS37*参考2_エネ使用量経年!$I37,"")</f>
        <v/>
      </c>
      <c r="AT36" s="916" t="str">
        <f ca="1">IFERROR($J36*44/12*参考2_エネ使用量経年!AT37*参考2_エネ使用量経年!$J37,"")</f>
        <v/>
      </c>
      <c r="AU36" s="916" t="str">
        <f ca="1">IFERROR($K36*44/12*参考2_エネ使用量経年!AU37*参考2_エネ使用量経年!$K37,"")</f>
        <v/>
      </c>
      <c r="AV36" s="916" t="str">
        <f ca="1">IFERROR($H36*44/12*参考2_エネ使用量経年!AV37*参考2_エネ使用量経年!$H37,"")</f>
        <v/>
      </c>
      <c r="AW36" s="916" t="str">
        <f ca="1">IFERROR($I36*44/12*参考2_エネ使用量経年!AW37*参考2_エネ使用量経年!$I37,"")</f>
        <v/>
      </c>
      <c r="AX36" s="916" t="str">
        <f ca="1">IFERROR($J36*44/12*参考2_エネ使用量経年!AX37*参考2_エネ使用量経年!$J37,"")</f>
        <v/>
      </c>
      <c r="AY36" s="916" t="str">
        <f ca="1">IFERROR($K36*44/12*参考2_エネ使用量経年!AY37*参考2_エネ使用量経年!$K37,"")</f>
        <v/>
      </c>
      <c r="AZ36" s="916" t="str">
        <f ca="1">IFERROR($H36*44/12*参考2_エネ使用量経年!AZ37*参考2_エネ使用量経年!$H37,"")</f>
        <v/>
      </c>
      <c r="BA36" s="916" t="str">
        <f ca="1">IFERROR($I36*44/12*参考2_エネ使用量経年!BA37*参考2_エネ使用量経年!$I37,"")</f>
        <v/>
      </c>
      <c r="BB36" s="916" t="str">
        <f ca="1">IFERROR($J36*44/12*参考2_エネ使用量経年!BB37*参考2_エネ使用量経年!$J37,"")</f>
        <v/>
      </c>
      <c r="BC36" s="916" t="str">
        <f ca="1">IFERROR($K36*44/12*参考2_エネ使用量経年!BC37*参考2_エネ使用量経年!$K37,"")</f>
        <v/>
      </c>
      <c r="BD36" s="916" t="str">
        <f ca="1">IFERROR($H36*44/12*参考2_エネ使用量経年!BD37*参考2_エネ使用量経年!$H37,"")</f>
        <v/>
      </c>
      <c r="BE36" s="916" t="str">
        <f ca="1">IFERROR($I36*44/12*参考2_エネ使用量経年!BE37*参考2_エネ使用量経年!$I37,"")</f>
        <v/>
      </c>
      <c r="BF36" s="916" t="str">
        <f ca="1">IFERROR($J36*44/12*参考2_エネ使用量経年!BF37*参考2_エネ使用量経年!$J37,"")</f>
        <v/>
      </c>
      <c r="BG36" s="916" t="str">
        <f ca="1">IFERROR($K36*44/12*参考2_エネ使用量経年!BG37*参考2_エネ使用量経年!$K37,"")</f>
        <v/>
      </c>
      <c r="BH36" s="916" t="str">
        <f ca="1">IFERROR($H36*44/12*参考2_エネ使用量経年!BH37*参考2_エネ使用量経年!$H37,"")</f>
        <v/>
      </c>
      <c r="BI36" s="916" t="str">
        <f ca="1">IFERROR($I36*44/12*参考2_エネ使用量経年!BI37*参考2_エネ使用量経年!$I37,"")</f>
        <v/>
      </c>
      <c r="BJ36" s="916" t="str">
        <f ca="1">IFERROR($J36*44/12*参考2_エネ使用量経年!BJ37*参考2_エネ使用量経年!$J37,"")</f>
        <v/>
      </c>
      <c r="BK36" s="916" t="str">
        <f ca="1">IFERROR($K36*44/12*参考2_エネ使用量経年!BK37*参考2_エネ使用量経年!$K37,"")</f>
        <v/>
      </c>
      <c r="BL36" s="916" t="str">
        <f ca="1">IFERROR($H36*44/12*参考2_エネ使用量経年!BL37*参考2_エネ使用量経年!$H37,"")</f>
        <v/>
      </c>
      <c r="BM36" s="916" t="str">
        <f ca="1">IFERROR($I36*44/12*参考2_エネ使用量経年!BM37*参考2_エネ使用量経年!$I37,"")</f>
        <v/>
      </c>
      <c r="BN36" s="916" t="str">
        <f ca="1">IFERROR($J36*44/12*参考2_エネ使用量経年!BN37*参考2_エネ使用量経年!$J37,"")</f>
        <v/>
      </c>
      <c r="BO36" s="916" t="str">
        <f ca="1">IFERROR($K36*44/12*参考2_エネ使用量経年!BO37*参考2_エネ使用量経年!$K37,"")</f>
        <v/>
      </c>
    </row>
    <row r="37" spans="1:67" ht="20.100000000000001" hidden="1" customHeight="1" outlineLevel="1">
      <c r="A37" s="914">
        <v>37</v>
      </c>
      <c r="B37" s="1594"/>
      <c r="C37" s="1596" t="s">
        <v>377</v>
      </c>
      <c r="D37" s="793" t="s">
        <v>378</v>
      </c>
      <c r="E37" s="785"/>
      <c r="F37" s="786"/>
      <c r="G37" s="852" t="s">
        <v>1281</v>
      </c>
      <c r="H37" s="915">
        <f t="shared" ca="1" si="4"/>
        <v>0</v>
      </c>
      <c r="I37" s="915">
        <f t="shared" ca="1" si="5"/>
        <v>0</v>
      </c>
      <c r="J37" s="915">
        <f t="shared" ca="1" si="6"/>
        <v>0</v>
      </c>
      <c r="K37" s="915">
        <f t="shared" ca="1" si="7"/>
        <v>0</v>
      </c>
      <c r="L37" s="916">
        <f ca="1">IFERROR($H37*44/12*参考2_エネ使用量経年!L38*参考2_エネ使用量経年!$H38,"")</f>
        <v>0</v>
      </c>
      <c r="M37" s="916">
        <f ca="1">IFERROR($I37*44/12*参考2_エネ使用量経年!M38*参考2_エネ使用量経年!$I38,"")</f>
        <v>0</v>
      </c>
      <c r="N37" s="916">
        <f ca="1">IFERROR($J37*44/12*参考2_エネ使用量経年!N38*参考2_エネ使用量経年!$J38,"")</f>
        <v>0</v>
      </c>
      <c r="O37" s="916">
        <f ca="1">IFERROR($K37*44/12*参考2_エネ使用量経年!O38*参考2_エネ使用量経年!$K38,"")</f>
        <v>0</v>
      </c>
      <c r="P37" s="916">
        <f ca="1">IFERROR($H37*44/12*参考2_エネ使用量経年!P38*参考2_エネ使用量経年!$H38,"")</f>
        <v>0</v>
      </c>
      <c r="Q37" s="916">
        <f ca="1">IFERROR($I37*44/12*参考2_エネ使用量経年!Q38*参考2_エネ使用量経年!$I38,"")</f>
        <v>0</v>
      </c>
      <c r="R37" s="916">
        <f ca="1">IFERROR($J37*44/12*参考2_エネ使用量経年!R38*参考2_エネ使用量経年!$J38,"")</f>
        <v>0</v>
      </c>
      <c r="S37" s="916">
        <f ca="1">IFERROR($K37*44/12*参考2_エネ使用量経年!S38*参考2_エネ使用量経年!$K38,"")</f>
        <v>0</v>
      </c>
      <c r="T37" s="916">
        <f ca="1">IFERROR($H37*44/12*参考2_エネ使用量経年!T38*参考2_エネ使用量経年!$H38,"")</f>
        <v>0</v>
      </c>
      <c r="U37" s="916">
        <f ca="1">IFERROR($I37*44/12*参考2_エネ使用量経年!U38*参考2_エネ使用量経年!$I38,"")</f>
        <v>0</v>
      </c>
      <c r="V37" s="916">
        <f ca="1">IFERROR($J37*44/12*参考2_エネ使用量経年!V38*参考2_エネ使用量経年!$J38,"")</f>
        <v>0</v>
      </c>
      <c r="W37" s="916">
        <f ca="1">IFERROR($K37*44/12*参考2_エネ使用量経年!W38*参考2_エネ使用量経年!$K38,"")</f>
        <v>0</v>
      </c>
      <c r="X37" s="916">
        <f ca="1">IFERROR($H37*44/12*参考2_エネ使用量経年!X38*参考2_エネ使用量経年!$H38,"")</f>
        <v>0</v>
      </c>
      <c r="Y37" s="916">
        <f ca="1">IFERROR($I37*44/12*参考2_エネ使用量経年!Y38*参考2_エネ使用量経年!$I38,"")</f>
        <v>0</v>
      </c>
      <c r="Z37" s="916">
        <f ca="1">IFERROR($J37*44/12*参考2_エネ使用量経年!Z38*参考2_エネ使用量経年!$J38,"")</f>
        <v>0</v>
      </c>
      <c r="AA37" s="916">
        <f ca="1">IFERROR($K37*44/12*参考2_エネ使用量経年!AA38*参考2_エネ使用量経年!$K38,"")</f>
        <v>0</v>
      </c>
      <c r="AB37" s="916" t="str">
        <f ca="1">IFERROR($H37*44/12*参考2_エネ使用量経年!AB38*参考2_エネ使用量経年!$H38,"")</f>
        <v/>
      </c>
      <c r="AC37" s="916" t="str">
        <f ca="1">IFERROR($I37*44/12*参考2_エネ使用量経年!AC38*参考2_エネ使用量経年!$I38,"")</f>
        <v/>
      </c>
      <c r="AD37" s="916" t="str">
        <f ca="1">IFERROR($J37*44/12*参考2_エネ使用量経年!AD38*参考2_エネ使用量経年!$J38,"")</f>
        <v/>
      </c>
      <c r="AE37" s="916" t="str">
        <f ca="1">IFERROR($K37*44/12*参考2_エネ使用量経年!AE38*参考2_エネ使用量経年!$K38,"")</f>
        <v/>
      </c>
      <c r="AF37" s="916" t="str">
        <f ca="1">IFERROR($H37*44/12*参考2_エネ使用量経年!AF38*参考2_エネ使用量経年!$H38,"")</f>
        <v/>
      </c>
      <c r="AG37" s="916" t="str">
        <f ca="1">IFERROR($I37*44/12*参考2_エネ使用量経年!AG38*参考2_エネ使用量経年!$I38,"")</f>
        <v/>
      </c>
      <c r="AH37" s="916" t="str">
        <f ca="1">IFERROR($J37*44/12*参考2_エネ使用量経年!AH38*参考2_エネ使用量経年!$J38,"")</f>
        <v/>
      </c>
      <c r="AI37" s="916" t="str">
        <f ca="1">IFERROR($K37*44/12*参考2_エネ使用量経年!AI38*参考2_エネ使用量経年!$K38,"")</f>
        <v/>
      </c>
      <c r="AJ37" s="916" t="str">
        <f ca="1">IFERROR($H37*44/12*参考2_エネ使用量経年!AJ38*参考2_エネ使用量経年!$H38,"")</f>
        <v/>
      </c>
      <c r="AK37" s="916" t="str">
        <f ca="1">IFERROR($I37*44/12*参考2_エネ使用量経年!AK38*参考2_エネ使用量経年!$I38,"")</f>
        <v/>
      </c>
      <c r="AL37" s="916" t="str">
        <f ca="1">IFERROR($J37*44/12*参考2_エネ使用量経年!AL38*参考2_エネ使用量経年!$J38,"")</f>
        <v/>
      </c>
      <c r="AM37" s="916" t="str">
        <f ca="1">IFERROR($K37*44/12*参考2_エネ使用量経年!AM38*参考2_エネ使用量経年!$K38,"")</f>
        <v/>
      </c>
      <c r="AN37" s="916" t="str">
        <f ca="1">IFERROR($H37*44/12*参考2_エネ使用量経年!AN38*参考2_エネ使用量経年!$H38,"")</f>
        <v/>
      </c>
      <c r="AO37" s="916" t="str">
        <f ca="1">IFERROR($I37*44/12*参考2_エネ使用量経年!AO38*参考2_エネ使用量経年!$I38,"")</f>
        <v/>
      </c>
      <c r="AP37" s="916" t="str">
        <f ca="1">IFERROR($J37*44/12*参考2_エネ使用量経年!AP38*参考2_エネ使用量経年!$J38,"")</f>
        <v/>
      </c>
      <c r="AQ37" s="916" t="str">
        <f ca="1">IFERROR($K37*44/12*参考2_エネ使用量経年!AQ38*参考2_エネ使用量経年!$K38,"")</f>
        <v/>
      </c>
      <c r="AR37" s="916" t="str">
        <f ca="1">IFERROR($H37*44/12*参考2_エネ使用量経年!AR38*参考2_エネ使用量経年!$H38,"")</f>
        <v/>
      </c>
      <c r="AS37" s="916" t="str">
        <f ca="1">IFERROR($I37*44/12*参考2_エネ使用量経年!AS38*参考2_エネ使用量経年!$I38,"")</f>
        <v/>
      </c>
      <c r="AT37" s="916" t="str">
        <f ca="1">IFERROR($J37*44/12*参考2_エネ使用量経年!AT38*参考2_エネ使用量経年!$J38,"")</f>
        <v/>
      </c>
      <c r="AU37" s="916" t="str">
        <f ca="1">IFERROR($K37*44/12*参考2_エネ使用量経年!AU38*参考2_エネ使用量経年!$K38,"")</f>
        <v/>
      </c>
      <c r="AV37" s="916" t="str">
        <f ca="1">IFERROR($H37*44/12*参考2_エネ使用量経年!AV38*参考2_エネ使用量経年!$H38,"")</f>
        <v/>
      </c>
      <c r="AW37" s="916" t="str">
        <f ca="1">IFERROR($I37*44/12*参考2_エネ使用量経年!AW38*参考2_エネ使用量経年!$I38,"")</f>
        <v/>
      </c>
      <c r="AX37" s="916" t="str">
        <f ca="1">IFERROR($J37*44/12*参考2_エネ使用量経年!AX38*参考2_エネ使用量経年!$J38,"")</f>
        <v/>
      </c>
      <c r="AY37" s="916" t="str">
        <f ca="1">IFERROR($K37*44/12*参考2_エネ使用量経年!AY38*参考2_エネ使用量経年!$K38,"")</f>
        <v/>
      </c>
      <c r="AZ37" s="916" t="str">
        <f ca="1">IFERROR($H37*44/12*参考2_エネ使用量経年!AZ38*参考2_エネ使用量経年!$H38,"")</f>
        <v/>
      </c>
      <c r="BA37" s="916" t="str">
        <f ca="1">IFERROR($I37*44/12*参考2_エネ使用量経年!BA38*参考2_エネ使用量経年!$I38,"")</f>
        <v/>
      </c>
      <c r="BB37" s="916" t="str">
        <f ca="1">IFERROR($J37*44/12*参考2_エネ使用量経年!BB38*参考2_エネ使用量経年!$J38,"")</f>
        <v/>
      </c>
      <c r="BC37" s="916" t="str">
        <f ca="1">IFERROR($K37*44/12*参考2_エネ使用量経年!BC38*参考2_エネ使用量経年!$K38,"")</f>
        <v/>
      </c>
      <c r="BD37" s="916" t="str">
        <f ca="1">IFERROR($H37*44/12*参考2_エネ使用量経年!BD38*参考2_エネ使用量経年!$H38,"")</f>
        <v/>
      </c>
      <c r="BE37" s="916" t="str">
        <f ca="1">IFERROR($I37*44/12*参考2_エネ使用量経年!BE38*参考2_エネ使用量経年!$I38,"")</f>
        <v/>
      </c>
      <c r="BF37" s="916" t="str">
        <f ca="1">IFERROR($J37*44/12*参考2_エネ使用量経年!BF38*参考2_エネ使用量経年!$J38,"")</f>
        <v/>
      </c>
      <c r="BG37" s="916" t="str">
        <f ca="1">IFERROR($K37*44/12*参考2_エネ使用量経年!BG38*参考2_エネ使用量経年!$K38,"")</f>
        <v/>
      </c>
      <c r="BH37" s="916" t="str">
        <f ca="1">IFERROR($H37*44/12*参考2_エネ使用量経年!BH38*参考2_エネ使用量経年!$H38,"")</f>
        <v/>
      </c>
      <c r="BI37" s="916" t="str">
        <f ca="1">IFERROR($I37*44/12*参考2_エネ使用量経年!BI38*参考2_エネ使用量経年!$I38,"")</f>
        <v/>
      </c>
      <c r="BJ37" s="916" t="str">
        <f ca="1">IFERROR($J37*44/12*参考2_エネ使用量経年!BJ38*参考2_エネ使用量経年!$J38,"")</f>
        <v/>
      </c>
      <c r="BK37" s="916" t="str">
        <f ca="1">IFERROR($K37*44/12*参考2_エネ使用量経年!BK38*参考2_エネ使用量経年!$K38,"")</f>
        <v/>
      </c>
      <c r="BL37" s="916" t="str">
        <f ca="1">IFERROR($H37*44/12*参考2_エネ使用量経年!BL38*参考2_エネ使用量経年!$H38,"")</f>
        <v/>
      </c>
      <c r="BM37" s="916" t="str">
        <f ca="1">IFERROR($I37*44/12*参考2_エネ使用量経年!BM38*参考2_エネ使用量経年!$I38,"")</f>
        <v/>
      </c>
      <c r="BN37" s="916" t="str">
        <f ca="1">IFERROR($J37*44/12*参考2_エネ使用量経年!BN38*参考2_エネ使用量経年!$J38,"")</f>
        <v/>
      </c>
      <c r="BO37" s="916" t="str">
        <f ca="1">IFERROR($K37*44/12*参考2_エネ使用量経年!BO38*参考2_エネ使用量経年!$K38,"")</f>
        <v/>
      </c>
    </row>
    <row r="38" spans="1:67" ht="20.100000000000001" hidden="1" customHeight="1" outlineLevel="1">
      <c r="A38" s="914">
        <v>38</v>
      </c>
      <c r="B38" s="1594"/>
      <c r="C38" s="1596"/>
      <c r="D38" s="793" t="s">
        <v>379</v>
      </c>
      <c r="E38" s="785"/>
      <c r="F38" s="786"/>
      <c r="G38" s="852" t="s">
        <v>1281</v>
      </c>
      <c r="H38" s="915">
        <f t="shared" ca="1" si="4"/>
        <v>0</v>
      </c>
      <c r="I38" s="915">
        <f t="shared" ca="1" si="5"/>
        <v>0</v>
      </c>
      <c r="J38" s="915">
        <f t="shared" ca="1" si="6"/>
        <v>0</v>
      </c>
      <c r="K38" s="915">
        <f t="shared" ca="1" si="7"/>
        <v>0</v>
      </c>
      <c r="L38" s="916">
        <f ca="1">IFERROR($H38*44/12*参考2_エネ使用量経年!L39*参考2_エネ使用量経年!$H39,"")</f>
        <v>0</v>
      </c>
      <c r="M38" s="916">
        <f ca="1">IFERROR($I38*44/12*参考2_エネ使用量経年!M39*参考2_エネ使用量経年!$I39,"")</f>
        <v>0</v>
      </c>
      <c r="N38" s="916">
        <f ca="1">IFERROR($J38*44/12*参考2_エネ使用量経年!N39*参考2_エネ使用量経年!$J39,"")</f>
        <v>0</v>
      </c>
      <c r="O38" s="916">
        <f ca="1">IFERROR($K38*44/12*参考2_エネ使用量経年!O39*参考2_エネ使用量経年!$K39,"")</f>
        <v>0</v>
      </c>
      <c r="P38" s="916">
        <f ca="1">IFERROR($H38*44/12*参考2_エネ使用量経年!P39*参考2_エネ使用量経年!$H39,"")</f>
        <v>0</v>
      </c>
      <c r="Q38" s="916">
        <f ca="1">IFERROR($I38*44/12*参考2_エネ使用量経年!Q39*参考2_エネ使用量経年!$I39,"")</f>
        <v>0</v>
      </c>
      <c r="R38" s="916">
        <f ca="1">IFERROR($J38*44/12*参考2_エネ使用量経年!R39*参考2_エネ使用量経年!$J39,"")</f>
        <v>0</v>
      </c>
      <c r="S38" s="916">
        <f ca="1">IFERROR($K38*44/12*参考2_エネ使用量経年!S39*参考2_エネ使用量経年!$K39,"")</f>
        <v>0</v>
      </c>
      <c r="T38" s="916">
        <f ca="1">IFERROR($H38*44/12*参考2_エネ使用量経年!T39*参考2_エネ使用量経年!$H39,"")</f>
        <v>0</v>
      </c>
      <c r="U38" s="916">
        <f ca="1">IFERROR($I38*44/12*参考2_エネ使用量経年!U39*参考2_エネ使用量経年!$I39,"")</f>
        <v>0</v>
      </c>
      <c r="V38" s="916">
        <f ca="1">IFERROR($J38*44/12*参考2_エネ使用量経年!V39*参考2_エネ使用量経年!$J39,"")</f>
        <v>0</v>
      </c>
      <c r="W38" s="916">
        <f ca="1">IFERROR($K38*44/12*参考2_エネ使用量経年!W39*参考2_エネ使用量経年!$K39,"")</f>
        <v>0</v>
      </c>
      <c r="X38" s="916">
        <f ca="1">IFERROR($H38*44/12*参考2_エネ使用量経年!X39*参考2_エネ使用量経年!$H39,"")</f>
        <v>0</v>
      </c>
      <c r="Y38" s="916">
        <f ca="1">IFERROR($I38*44/12*参考2_エネ使用量経年!Y39*参考2_エネ使用量経年!$I39,"")</f>
        <v>0</v>
      </c>
      <c r="Z38" s="916">
        <f ca="1">IFERROR($J38*44/12*参考2_エネ使用量経年!Z39*参考2_エネ使用量経年!$J39,"")</f>
        <v>0</v>
      </c>
      <c r="AA38" s="916">
        <f ca="1">IFERROR($K38*44/12*参考2_エネ使用量経年!AA39*参考2_エネ使用量経年!$K39,"")</f>
        <v>0</v>
      </c>
      <c r="AB38" s="916" t="str">
        <f ca="1">IFERROR($H38*44/12*参考2_エネ使用量経年!AB39*参考2_エネ使用量経年!$H39,"")</f>
        <v/>
      </c>
      <c r="AC38" s="916" t="str">
        <f ca="1">IFERROR($I38*44/12*参考2_エネ使用量経年!AC39*参考2_エネ使用量経年!$I39,"")</f>
        <v/>
      </c>
      <c r="AD38" s="916" t="str">
        <f ca="1">IFERROR($J38*44/12*参考2_エネ使用量経年!AD39*参考2_エネ使用量経年!$J39,"")</f>
        <v/>
      </c>
      <c r="AE38" s="916" t="str">
        <f ca="1">IFERROR($K38*44/12*参考2_エネ使用量経年!AE39*参考2_エネ使用量経年!$K39,"")</f>
        <v/>
      </c>
      <c r="AF38" s="916" t="str">
        <f ca="1">IFERROR($H38*44/12*参考2_エネ使用量経年!AF39*参考2_エネ使用量経年!$H39,"")</f>
        <v/>
      </c>
      <c r="AG38" s="916" t="str">
        <f ca="1">IFERROR($I38*44/12*参考2_エネ使用量経年!AG39*参考2_エネ使用量経年!$I39,"")</f>
        <v/>
      </c>
      <c r="AH38" s="916" t="str">
        <f ca="1">IFERROR($J38*44/12*参考2_エネ使用量経年!AH39*参考2_エネ使用量経年!$J39,"")</f>
        <v/>
      </c>
      <c r="AI38" s="916" t="str">
        <f ca="1">IFERROR($K38*44/12*参考2_エネ使用量経年!AI39*参考2_エネ使用量経年!$K39,"")</f>
        <v/>
      </c>
      <c r="AJ38" s="916" t="str">
        <f ca="1">IFERROR($H38*44/12*参考2_エネ使用量経年!AJ39*参考2_エネ使用量経年!$H39,"")</f>
        <v/>
      </c>
      <c r="AK38" s="916" t="str">
        <f ca="1">IFERROR($I38*44/12*参考2_エネ使用量経年!AK39*参考2_エネ使用量経年!$I39,"")</f>
        <v/>
      </c>
      <c r="AL38" s="916" t="str">
        <f ca="1">IFERROR($J38*44/12*参考2_エネ使用量経年!AL39*参考2_エネ使用量経年!$J39,"")</f>
        <v/>
      </c>
      <c r="AM38" s="916" t="str">
        <f ca="1">IFERROR($K38*44/12*参考2_エネ使用量経年!AM39*参考2_エネ使用量経年!$K39,"")</f>
        <v/>
      </c>
      <c r="AN38" s="916" t="str">
        <f ca="1">IFERROR($H38*44/12*参考2_エネ使用量経年!AN39*参考2_エネ使用量経年!$H39,"")</f>
        <v/>
      </c>
      <c r="AO38" s="916" t="str">
        <f ca="1">IFERROR($I38*44/12*参考2_エネ使用量経年!AO39*参考2_エネ使用量経年!$I39,"")</f>
        <v/>
      </c>
      <c r="AP38" s="916" t="str">
        <f ca="1">IFERROR($J38*44/12*参考2_エネ使用量経年!AP39*参考2_エネ使用量経年!$J39,"")</f>
        <v/>
      </c>
      <c r="AQ38" s="916" t="str">
        <f ca="1">IFERROR($K38*44/12*参考2_エネ使用量経年!AQ39*参考2_エネ使用量経年!$K39,"")</f>
        <v/>
      </c>
      <c r="AR38" s="916" t="str">
        <f ca="1">IFERROR($H38*44/12*参考2_エネ使用量経年!AR39*参考2_エネ使用量経年!$H39,"")</f>
        <v/>
      </c>
      <c r="AS38" s="916" t="str">
        <f ca="1">IFERROR($I38*44/12*参考2_エネ使用量経年!AS39*参考2_エネ使用量経年!$I39,"")</f>
        <v/>
      </c>
      <c r="AT38" s="916" t="str">
        <f ca="1">IFERROR($J38*44/12*参考2_エネ使用量経年!AT39*参考2_エネ使用量経年!$J39,"")</f>
        <v/>
      </c>
      <c r="AU38" s="916" t="str">
        <f ca="1">IFERROR($K38*44/12*参考2_エネ使用量経年!AU39*参考2_エネ使用量経年!$K39,"")</f>
        <v/>
      </c>
      <c r="AV38" s="916" t="str">
        <f ca="1">IFERROR($H38*44/12*参考2_エネ使用量経年!AV39*参考2_エネ使用量経年!$H39,"")</f>
        <v/>
      </c>
      <c r="AW38" s="916" t="str">
        <f ca="1">IFERROR($I38*44/12*参考2_エネ使用量経年!AW39*参考2_エネ使用量経年!$I39,"")</f>
        <v/>
      </c>
      <c r="AX38" s="916" t="str">
        <f ca="1">IFERROR($J38*44/12*参考2_エネ使用量経年!AX39*参考2_エネ使用量経年!$J39,"")</f>
        <v/>
      </c>
      <c r="AY38" s="916" t="str">
        <f ca="1">IFERROR($K38*44/12*参考2_エネ使用量経年!AY39*参考2_エネ使用量経年!$K39,"")</f>
        <v/>
      </c>
      <c r="AZ38" s="916" t="str">
        <f ca="1">IFERROR($H38*44/12*参考2_エネ使用量経年!AZ39*参考2_エネ使用量経年!$H39,"")</f>
        <v/>
      </c>
      <c r="BA38" s="916" t="str">
        <f ca="1">IFERROR($I38*44/12*参考2_エネ使用量経年!BA39*参考2_エネ使用量経年!$I39,"")</f>
        <v/>
      </c>
      <c r="BB38" s="916" t="str">
        <f ca="1">IFERROR($J38*44/12*参考2_エネ使用量経年!BB39*参考2_エネ使用量経年!$J39,"")</f>
        <v/>
      </c>
      <c r="BC38" s="916" t="str">
        <f ca="1">IFERROR($K38*44/12*参考2_エネ使用量経年!BC39*参考2_エネ使用量経年!$K39,"")</f>
        <v/>
      </c>
      <c r="BD38" s="916" t="str">
        <f ca="1">IFERROR($H38*44/12*参考2_エネ使用量経年!BD39*参考2_エネ使用量経年!$H39,"")</f>
        <v/>
      </c>
      <c r="BE38" s="916" t="str">
        <f ca="1">IFERROR($I38*44/12*参考2_エネ使用量経年!BE39*参考2_エネ使用量経年!$I39,"")</f>
        <v/>
      </c>
      <c r="BF38" s="916" t="str">
        <f ca="1">IFERROR($J38*44/12*参考2_エネ使用量経年!BF39*参考2_エネ使用量経年!$J39,"")</f>
        <v/>
      </c>
      <c r="BG38" s="916" t="str">
        <f ca="1">IFERROR($K38*44/12*参考2_エネ使用量経年!BG39*参考2_エネ使用量経年!$K39,"")</f>
        <v/>
      </c>
      <c r="BH38" s="916" t="str">
        <f ca="1">IFERROR($H38*44/12*参考2_エネ使用量経年!BH39*参考2_エネ使用量経年!$H39,"")</f>
        <v/>
      </c>
      <c r="BI38" s="916" t="str">
        <f ca="1">IFERROR($I38*44/12*参考2_エネ使用量経年!BI39*参考2_エネ使用量経年!$I39,"")</f>
        <v/>
      </c>
      <c r="BJ38" s="916" t="str">
        <f ca="1">IFERROR($J38*44/12*参考2_エネ使用量経年!BJ39*参考2_エネ使用量経年!$J39,"")</f>
        <v/>
      </c>
      <c r="BK38" s="916" t="str">
        <f ca="1">IFERROR($K38*44/12*参考2_エネ使用量経年!BK39*参考2_エネ使用量経年!$K39,"")</f>
        <v/>
      </c>
      <c r="BL38" s="916" t="str">
        <f ca="1">IFERROR($H38*44/12*参考2_エネ使用量経年!BL39*参考2_エネ使用量経年!$H39,"")</f>
        <v/>
      </c>
      <c r="BM38" s="916" t="str">
        <f ca="1">IFERROR($I38*44/12*参考2_エネ使用量経年!BM39*参考2_エネ使用量経年!$I39,"")</f>
        <v/>
      </c>
      <c r="BN38" s="916" t="str">
        <f ca="1">IFERROR($J38*44/12*参考2_エネ使用量経年!BN39*参考2_エネ使用量経年!$J39,"")</f>
        <v/>
      </c>
      <c r="BO38" s="916" t="str">
        <f ca="1">IFERROR($K38*44/12*参考2_エネ使用量経年!BO39*参考2_エネ使用量経年!$K39,"")</f>
        <v/>
      </c>
    </row>
    <row r="39" spans="1:67" ht="20.100000000000001" hidden="1" customHeight="1" outlineLevel="1">
      <c r="A39" s="914">
        <v>39</v>
      </c>
      <c r="B39" s="1594"/>
      <c r="C39" s="1596"/>
      <c r="D39" s="793" t="s">
        <v>380</v>
      </c>
      <c r="E39" s="779"/>
      <c r="F39" s="786"/>
      <c r="G39" s="852" t="s">
        <v>1281</v>
      </c>
      <c r="H39" s="915">
        <f t="shared" ca="1" si="4"/>
        <v>0</v>
      </c>
      <c r="I39" s="915">
        <f t="shared" ca="1" si="5"/>
        <v>0</v>
      </c>
      <c r="J39" s="915">
        <f t="shared" ca="1" si="6"/>
        <v>0</v>
      </c>
      <c r="K39" s="915">
        <f t="shared" ca="1" si="7"/>
        <v>0</v>
      </c>
      <c r="L39" s="916">
        <f ca="1">IFERROR($H39*44/12*参考2_エネ使用量経年!L40*参考2_エネ使用量経年!$H40,"")</f>
        <v>0</v>
      </c>
      <c r="M39" s="916">
        <f ca="1">IFERROR($I39*44/12*参考2_エネ使用量経年!M40*参考2_エネ使用量経年!$I40,"")</f>
        <v>0</v>
      </c>
      <c r="N39" s="916">
        <f ca="1">IFERROR($J39*44/12*参考2_エネ使用量経年!N40*参考2_エネ使用量経年!$J40,"")</f>
        <v>0</v>
      </c>
      <c r="O39" s="916">
        <f ca="1">IFERROR($K39*44/12*参考2_エネ使用量経年!O40*参考2_エネ使用量経年!$K40,"")</f>
        <v>0</v>
      </c>
      <c r="P39" s="916">
        <f ca="1">IFERROR($H39*44/12*参考2_エネ使用量経年!P40*参考2_エネ使用量経年!$H40,"")</f>
        <v>0</v>
      </c>
      <c r="Q39" s="916">
        <f ca="1">IFERROR($I39*44/12*参考2_エネ使用量経年!Q40*参考2_エネ使用量経年!$I40,"")</f>
        <v>0</v>
      </c>
      <c r="R39" s="916">
        <f ca="1">IFERROR($J39*44/12*参考2_エネ使用量経年!R40*参考2_エネ使用量経年!$J40,"")</f>
        <v>0</v>
      </c>
      <c r="S39" s="916">
        <f ca="1">IFERROR($K39*44/12*参考2_エネ使用量経年!S40*参考2_エネ使用量経年!$K40,"")</f>
        <v>0</v>
      </c>
      <c r="T39" s="916">
        <f ca="1">IFERROR($H39*44/12*参考2_エネ使用量経年!T40*参考2_エネ使用量経年!$H40,"")</f>
        <v>0</v>
      </c>
      <c r="U39" s="916">
        <f ca="1">IFERROR($I39*44/12*参考2_エネ使用量経年!U40*参考2_エネ使用量経年!$I40,"")</f>
        <v>0</v>
      </c>
      <c r="V39" s="916">
        <f ca="1">IFERROR($J39*44/12*参考2_エネ使用量経年!V40*参考2_エネ使用量経年!$J40,"")</f>
        <v>0</v>
      </c>
      <c r="W39" s="916">
        <f ca="1">IFERROR($K39*44/12*参考2_エネ使用量経年!W40*参考2_エネ使用量経年!$K40,"")</f>
        <v>0</v>
      </c>
      <c r="X39" s="916">
        <f ca="1">IFERROR($H39*44/12*参考2_エネ使用量経年!X40*参考2_エネ使用量経年!$H40,"")</f>
        <v>0</v>
      </c>
      <c r="Y39" s="916">
        <f ca="1">IFERROR($I39*44/12*参考2_エネ使用量経年!Y40*参考2_エネ使用量経年!$I40,"")</f>
        <v>0</v>
      </c>
      <c r="Z39" s="916">
        <f ca="1">IFERROR($J39*44/12*参考2_エネ使用量経年!Z40*参考2_エネ使用量経年!$J40,"")</f>
        <v>0</v>
      </c>
      <c r="AA39" s="916">
        <f ca="1">IFERROR($K39*44/12*参考2_エネ使用量経年!AA40*参考2_エネ使用量経年!$K40,"")</f>
        <v>0</v>
      </c>
      <c r="AB39" s="916" t="str">
        <f ca="1">IFERROR($H39*44/12*参考2_エネ使用量経年!AB40*参考2_エネ使用量経年!$H40,"")</f>
        <v/>
      </c>
      <c r="AC39" s="916" t="str">
        <f ca="1">IFERROR($I39*44/12*参考2_エネ使用量経年!AC40*参考2_エネ使用量経年!$I40,"")</f>
        <v/>
      </c>
      <c r="AD39" s="916" t="str">
        <f ca="1">IFERROR($J39*44/12*参考2_エネ使用量経年!AD40*参考2_エネ使用量経年!$J40,"")</f>
        <v/>
      </c>
      <c r="AE39" s="916" t="str">
        <f ca="1">IFERROR($K39*44/12*参考2_エネ使用量経年!AE40*参考2_エネ使用量経年!$K40,"")</f>
        <v/>
      </c>
      <c r="AF39" s="916" t="str">
        <f ca="1">IFERROR($H39*44/12*参考2_エネ使用量経年!AF40*参考2_エネ使用量経年!$H40,"")</f>
        <v/>
      </c>
      <c r="AG39" s="916" t="str">
        <f ca="1">IFERROR($I39*44/12*参考2_エネ使用量経年!AG40*参考2_エネ使用量経年!$I40,"")</f>
        <v/>
      </c>
      <c r="AH39" s="916" t="str">
        <f ca="1">IFERROR($J39*44/12*参考2_エネ使用量経年!AH40*参考2_エネ使用量経年!$J40,"")</f>
        <v/>
      </c>
      <c r="AI39" s="916" t="str">
        <f ca="1">IFERROR($K39*44/12*参考2_エネ使用量経年!AI40*参考2_エネ使用量経年!$K40,"")</f>
        <v/>
      </c>
      <c r="AJ39" s="916" t="str">
        <f ca="1">IFERROR($H39*44/12*参考2_エネ使用量経年!AJ40*参考2_エネ使用量経年!$H40,"")</f>
        <v/>
      </c>
      <c r="AK39" s="916" t="str">
        <f ca="1">IFERROR($I39*44/12*参考2_エネ使用量経年!AK40*参考2_エネ使用量経年!$I40,"")</f>
        <v/>
      </c>
      <c r="AL39" s="916" t="str">
        <f ca="1">IFERROR($J39*44/12*参考2_エネ使用量経年!AL40*参考2_エネ使用量経年!$J40,"")</f>
        <v/>
      </c>
      <c r="AM39" s="916" t="str">
        <f ca="1">IFERROR($K39*44/12*参考2_エネ使用量経年!AM40*参考2_エネ使用量経年!$K40,"")</f>
        <v/>
      </c>
      <c r="AN39" s="916" t="str">
        <f ca="1">IFERROR($H39*44/12*参考2_エネ使用量経年!AN40*参考2_エネ使用量経年!$H40,"")</f>
        <v/>
      </c>
      <c r="AO39" s="916" t="str">
        <f ca="1">IFERROR($I39*44/12*参考2_エネ使用量経年!AO40*参考2_エネ使用量経年!$I40,"")</f>
        <v/>
      </c>
      <c r="AP39" s="916" t="str">
        <f ca="1">IFERROR($J39*44/12*参考2_エネ使用量経年!AP40*参考2_エネ使用量経年!$J40,"")</f>
        <v/>
      </c>
      <c r="AQ39" s="916" t="str">
        <f ca="1">IFERROR($K39*44/12*参考2_エネ使用量経年!AQ40*参考2_エネ使用量経年!$K40,"")</f>
        <v/>
      </c>
      <c r="AR39" s="916" t="str">
        <f ca="1">IFERROR($H39*44/12*参考2_エネ使用量経年!AR40*参考2_エネ使用量経年!$H40,"")</f>
        <v/>
      </c>
      <c r="AS39" s="916" t="str">
        <f ca="1">IFERROR($I39*44/12*参考2_エネ使用量経年!AS40*参考2_エネ使用量経年!$I40,"")</f>
        <v/>
      </c>
      <c r="AT39" s="916" t="str">
        <f ca="1">IFERROR($J39*44/12*参考2_エネ使用量経年!AT40*参考2_エネ使用量経年!$J40,"")</f>
        <v/>
      </c>
      <c r="AU39" s="916" t="str">
        <f ca="1">IFERROR($K39*44/12*参考2_エネ使用量経年!AU40*参考2_エネ使用量経年!$K40,"")</f>
        <v/>
      </c>
      <c r="AV39" s="916" t="str">
        <f ca="1">IFERROR($H39*44/12*参考2_エネ使用量経年!AV40*参考2_エネ使用量経年!$H40,"")</f>
        <v/>
      </c>
      <c r="AW39" s="916" t="str">
        <f ca="1">IFERROR($I39*44/12*参考2_エネ使用量経年!AW40*参考2_エネ使用量経年!$I40,"")</f>
        <v/>
      </c>
      <c r="AX39" s="916" t="str">
        <f ca="1">IFERROR($J39*44/12*参考2_エネ使用量経年!AX40*参考2_エネ使用量経年!$J40,"")</f>
        <v/>
      </c>
      <c r="AY39" s="916" t="str">
        <f ca="1">IFERROR($K39*44/12*参考2_エネ使用量経年!AY40*参考2_エネ使用量経年!$K40,"")</f>
        <v/>
      </c>
      <c r="AZ39" s="916" t="str">
        <f ca="1">IFERROR($H39*44/12*参考2_エネ使用量経年!AZ40*参考2_エネ使用量経年!$H40,"")</f>
        <v/>
      </c>
      <c r="BA39" s="916" t="str">
        <f ca="1">IFERROR($I39*44/12*参考2_エネ使用量経年!BA40*参考2_エネ使用量経年!$I40,"")</f>
        <v/>
      </c>
      <c r="BB39" s="916" t="str">
        <f ca="1">IFERROR($J39*44/12*参考2_エネ使用量経年!BB40*参考2_エネ使用量経年!$J40,"")</f>
        <v/>
      </c>
      <c r="BC39" s="916" t="str">
        <f ca="1">IFERROR($K39*44/12*参考2_エネ使用量経年!BC40*参考2_エネ使用量経年!$K40,"")</f>
        <v/>
      </c>
      <c r="BD39" s="916" t="str">
        <f ca="1">IFERROR($H39*44/12*参考2_エネ使用量経年!BD40*参考2_エネ使用量経年!$H40,"")</f>
        <v/>
      </c>
      <c r="BE39" s="916" t="str">
        <f ca="1">IFERROR($I39*44/12*参考2_エネ使用量経年!BE40*参考2_エネ使用量経年!$I40,"")</f>
        <v/>
      </c>
      <c r="BF39" s="916" t="str">
        <f ca="1">IFERROR($J39*44/12*参考2_エネ使用量経年!BF40*参考2_エネ使用量経年!$J40,"")</f>
        <v/>
      </c>
      <c r="BG39" s="916" t="str">
        <f ca="1">IFERROR($K39*44/12*参考2_エネ使用量経年!BG40*参考2_エネ使用量経年!$K40,"")</f>
        <v/>
      </c>
      <c r="BH39" s="916" t="str">
        <f ca="1">IFERROR($H39*44/12*参考2_エネ使用量経年!BH40*参考2_エネ使用量経年!$H40,"")</f>
        <v/>
      </c>
      <c r="BI39" s="916" t="str">
        <f ca="1">IFERROR($I39*44/12*参考2_エネ使用量経年!BI40*参考2_エネ使用量経年!$I40,"")</f>
        <v/>
      </c>
      <c r="BJ39" s="916" t="str">
        <f ca="1">IFERROR($J39*44/12*参考2_エネ使用量経年!BJ40*参考2_エネ使用量経年!$J40,"")</f>
        <v/>
      </c>
      <c r="BK39" s="916" t="str">
        <f ca="1">IFERROR($K39*44/12*参考2_エネ使用量経年!BK40*参考2_エネ使用量経年!$K40,"")</f>
        <v/>
      </c>
      <c r="BL39" s="916" t="str">
        <f ca="1">IFERROR($H39*44/12*参考2_エネ使用量経年!BL40*参考2_エネ使用量経年!$H40,"")</f>
        <v/>
      </c>
      <c r="BM39" s="916" t="str">
        <f ca="1">IFERROR($I39*44/12*参考2_エネ使用量経年!BM40*参考2_エネ使用量経年!$I40,"")</f>
        <v/>
      </c>
      <c r="BN39" s="916" t="str">
        <f ca="1">IFERROR($J39*44/12*参考2_エネ使用量経年!BN40*参考2_エネ使用量経年!$J40,"")</f>
        <v/>
      </c>
      <c r="BO39" s="916" t="str">
        <f ca="1">IFERROR($K39*44/12*参考2_エネ使用量経年!BO40*参考2_エネ使用量経年!$K40,"")</f>
        <v/>
      </c>
    </row>
    <row r="40" spans="1:67" ht="20.100000000000001" hidden="1" customHeight="1" outlineLevel="1">
      <c r="A40" s="914">
        <v>40</v>
      </c>
      <c r="B40" s="1594"/>
      <c r="C40" s="1596"/>
      <c r="D40" s="785" t="s">
        <v>381</v>
      </c>
      <c r="E40" s="785"/>
      <c r="F40" s="786"/>
      <c r="G40" s="852" t="s">
        <v>1281</v>
      </c>
      <c r="H40" s="915">
        <f t="shared" ca="1" si="4"/>
        <v>0</v>
      </c>
      <c r="I40" s="915">
        <f t="shared" ca="1" si="5"/>
        <v>0</v>
      </c>
      <c r="J40" s="915">
        <f t="shared" ca="1" si="6"/>
        <v>0</v>
      </c>
      <c r="K40" s="915">
        <f t="shared" ca="1" si="7"/>
        <v>0</v>
      </c>
      <c r="L40" s="916">
        <f ca="1">IFERROR($H40*44/12*参考2_エネ使用量経年!L41*参考2_エネ使用量経年!$H41,"")</f>
        <v>0</v>
      </c>
      <c r="M40" s="916">
        <f ca="1">IFERROR($I40*44/12*参考2_エネ使用量経年!M41*参考2_エネ使用量経年!$I41,"")</f>
        <v>0</v>
      </c>
      <c r="N40" s="916">
        <f ca="1">IFERROR($J40*44/12*参考2_エネ使用量経年!N41*参考2_エネ使用量経年!$J41,"")</f>
        <v>0</v>
      </c>
      <c r="O40" s="916">
        <f ca="1">IFERROR($K40*44/12*参考2_エネ使用量経年!O41*参考2_エネ使用量経年!$K41,"")</f>
        <v>0</v>
      </c>
      <c r="P40" s="916">
        <f ca="1">IFERROR($H40*44/12*参考2_エネ使用量経年!P41*参考2_エネ使用量経年!$H41,"")</f>
        <v>0</v>
      </c>
      <c r="Q40" s="916">
        <f ca="1">IFERROR($I40*44/12*参考2_エネ使用量経年!Q41*参考2_エネ使用量経年!$I41,"")</f>
        <v>0</v>
      </c>
      <c r="R40" s="916">
        <f ca="1">IFERROR($J40*44/12*参考2_エネ使用量経年!R41*参考2_エネ使用量経年!$J41,"")</f>
        <v>0</v>
      </c>
      <c r="S40" s="916">
        <f ca="1">IFERROR($K40*44/12*参考2_エネ使用量経年!S41*参考2_エネ使用量経年!$K41,"")</f>
        <v>0</v>
      </c>
      <c r="T40" s="916">
        <f ca="1">IFERROR($H40*44/12*参考2_エネ使用量経年!T41*参考2_エネ使用量経年!$H41,"")</f>
        <v>0</v>
      </c>
      <c r="U40" s="916">
        <f ca="1">IFERROR($I40*44/12*参考2_エネ使用量経年!U41*参考2_エネ使用量経年!$I41,"")</f>
        <v>0</v>
      </c>
      <c r="V40" s="916">
        <f ca="1">IFERROR($J40*44/12*参考2_エネ使用量経年!V41*参考2_エネ使用量経年!$J41,"")</f>
        <v>0</v>
      </c>
      <c r="W40" s="916">
        <f ca="1">IFERROR($K40*44/12*参考2_エネ使用量経年!W41*参考2_エネ使用量経年!$K41,"")</f>
        <v>0</v>
      </c>
      <c r="X40" s="916">
        <f ca="1">IFERROR($H40*44/12*参考2_エネ使用量経年!X41*参考2_エネ使用量経年!$H41,"")</f>
        <v>0</v>
      </c>
      <c r="Y40" s="916">
        <f ca="1">IFERROR($I40*44/12*参考2_エネ使用量経年!Y41*参考2_エネ使用量経年!$I41,"")</f>
        <v>0</v>
      </c>
      <c r="Z40" s="916">
        <f ca="1">IFERROR($J40*44/12*参考2_エネ使用量経年!Z41*参考2_エネ使用量経年!$J41,"")</f>
        <v>0</v>
      </c>
      <c r="AA40" s="916">
        <f ca="1">IFERROR($K40*44/12*参考2_エネ使用量経年!AA41*参考2_エネ使用量経年!$K41,"")</f>
        <v>0</v>
      </c>
      <c r="AB40" s="916" t="str">
        <f ca="1">IFERROR($H40*44/12*参考2_エネ使用量経年!AB41*参考2_エネ使用量経年!$H41,"")</f>
        <v/>
      </c>
      <c r="AC40" s="916" t="str">
        <f ca="1">IFERROR($I40*44/12*参考2_エネ使用量経年!AC41*参考2_エネ使用量経年!$I41,"")</f>
        <v/>
      </c>
      <c r="AD40" s="916" t="str">
        <f ca="1">IFERROR($J40*44/12*参考2_エネ使用量経年!AD41*参考2_エネ使用量経年!$J41,"")</f>
        <v/>
      </c>
      <c r="AE40" s="916" t="str">
        <f ca="1">IFERROR($K40*44/12*参考2_エネ使用量経年!AE41*参考2_エネ使用量経年!$K41,"")</f>
        <v/>
      </c>
      <c r="AF40" s="916" t="str">
        <f ca="1">IFERROR($H40*44/12*参考2_エネ使用量経年!AF41*参考2_エネ使用量経年!$H41,"")</f>
        <v/>
      </c>
      <c r="AG40" s="916" t="str">
        <f ca="1">IFERROR($I40*44/12*参考2_エネ使用量経年!AG41*参考2_エネ使用量経年!$I41,"")</f>
        <v/>
      </c>
      <c r="AH40" s="916" t="str">
        <f ca="1">IFERROR($J40*44/12*参考2_エネ使用量経年!AH41*参考2_エネ使用量経年!$J41,"")</f>
        <v/>
      </c>
      <c r="AI40" s="916" t="str">
        <f ca="1">IFERROR($K40*44/12*参考2_エネ使用量経年!AI41*参考2_エネ使用量経年!$K41,"")</f>
        <v/>
      </c>
      <c r="AJ40" s="916" t="str">
        <f ca="1">IFERROR($H40*44/12*参考2_エネ使用量経年!AJ41*参考2_エネ使用量経年!$H41,"")</f>
        <v/>
      </c>
      <c r="AK40" s="916" t="str">
        <f ca="1">IFERROR($I40*44/12*参考2_エネ使用量経年!AK41*参考2_エネ使用量経年!$I41,"")</f>
        <v/>
      </c>
      <c r="AL40" s="916" t="str">
        <f ca="1">IFERROR($J40*44/12*参考2_エネ使用量経年!AL41*参考2_エネ使用量経年!$J41,"")</f>
        <v/>
      </c>
      <c r="AM40" s="916" t="str">
        <f ca="1">IFERROR($K40*44/12*参考2_エネ使用量経年!AM41*参考2_エネ使用量経年!$K41,"")</f>
        <v/>
      </c>
      <c r="AN40" s="916" t="str">
        <f ca="1">IFERROR($H40*44/12*参考2_エネ使用量経年!AN41*参考2_エネ使用量経年!$H41,"")</f>
        <v/>
      </c>
      <c r="AO40" s="916" t="str">
        <f ca="1">IFERROR($I40*44/12*参考2_エネ使用量経年!AO41*参考2_エネ使用量経年!$I41,"")</f>
        <v/>
      </c>
      <c r="AP40" s="916" t="str">
        <f ca="1">IFERROR($J40*44/12*参考2_エネ使用量経年!AP41*参考2_エネ使用量経年!$J41,"")</f>
        <v/>
      </c>
      <c r="AQ40" s="916" t="str">
        <f ca="1">IFERROR($K40*44/12*参考2_エネ使用量経年!AQ41*参考2_エネ使用量経年!$K41,"")</f>
        <v/>
      </c>
      <c r="AR40" s="916" t="str">
        <f ca="1">IFERROR($H40*44/12*参考2_エネ使用量経年!AR41*参考2_エネ使用量経年!$H41,"")</f>
        <v/>
      </c>
      <c r="AS40" s="916" t="str">
        <f ca="1">IFERROR($I40*44/12*参考2_エネ使用量経年!AS41*参考2_エネ使用量経年!$I41,"")</f>
        <v/>
      </c>
      <c r="AT40" s="916" t="str">
        <f ca="1">IFERROR($J40*44/12*参考2_エネ使用量経年!AT41*参考2_エネ使用量経年!$J41,"")</f>
        <v/>
      </c>
      <c r="AU40" s="916" t="str">
        <f ca="1">IFERROR($K40*44/12*参考2_エネ使用量経年!AU41*参考2_エネ使用量経年!$K41,"")</f>
        <v/>
      </c>
      <c r="AV40" s="916" t="str">
        <f ca="1">IFERROR($H40*44/12*参考2_エネ使用量経年!AV41*参考2_エネ使用量経年!$H41,"")</f>
        <v/>
      </c>
      <c r="AW40" s="916" t="str">
        <f ca="1">IFERROR($I40*44/12*参考2_エネ使用量経年!AW41*参考2_エネ使用量経年!$I41,"")</f>
        <v/>
      </c>
      <c r="AX40" s="916" t="str">
        <f ca="1">IFERROR($J40*44/12*参考2_エネ使用量経年!AX41*参考2_エネ使用量経年!$J41,"")</f>
        <v/>
      </c>
      <c r="AY40" s="916" t="str">
        <f ca="1">IFERROR($K40*44/12*参考2_エネ使用量経年!AY41*参考2_エネ使用量経年!$K41,"")</f>
        <v/>
      </c>
      <c r="AZ40" s="916" t="str">
        <f ca="1">IFERROR($H40*44/12*参考2_エネ使用量経年!AZ41*参考2_エネ使用量経年!$H41,"")</f>
        <v/>
      </c>
      <c r="BA40" s="916" t="str">
        <f ca="1">IFERROR($I40*44/12*参考2_エネ使用量経年!BA41*参考2_エネ使用量経年!$I41,"")</f>
        <v/>
      </c>
      <c r="BB40" s="916" t="str">
        <f ca="1">IFERROR($J40*44/12*参考2_エネ使用量経年!BB41*参考2_エネ使用量経年!$J41,"")</f>
        <v/>
      </c>
      <c r="BC40" s="916" t="str">
        <f ca="1">IFERROR($K40*44/12*参考2_エネ使用量経年!BC41*参考2_エネ使用量経年!$K41,"")</f>
        <v/>
      </c>
      <c r="BD40" s="916" t="str">
        <f ca="1">IFERROR($H40*44/12*参考2_エネ使用量経年!BD41*参考2_エネ使用量経年!$H41,"")</f>
        <v/>
      </c>
      <c r="BE40" s="916" t="str">
        <f ca="1">IFERROR($I40*44/12*参考2_エネ使用量経年!BE41*参考2_エネ使用量経年!$I41,"")</f>
        <v/>
      </c>
      <c r="BF40" s="916" t="str">
        <f ca="1">IFERROR($J40*44/12*参考2_エネ使用量経年!BF41*参考2_エネ使用量経年!$J41,"")</f>
        <v/>
      </c>
      <c r="BG40" s="916" t="str">
        <f ca="1">IFERROR($K40*44/12*参考2_エネ使用量経年!BG41*参考2_エネ使用量経年!$K41,"")</f>
        <v/>
      </c>
      <c r="BH40" s="916" t="str">
        <f ca="1">IFERROR($H40*44/12*参考2_エネ使用量経年!BH41*参考2_エネ使用量経年!$H41,"")</f>
        <v/>
      </c>
      <c r="BI40" s="916" t="str">
        <f ca="1">IFERROR($I40*44/12*参考2_エネ使用量経年!BI41*参考2_エネ使用量経年!$I41,"")</f>
        <v/>
      </c>
      <c r="BJ40" s="916" t="str">
        <f ca="1">IFERROR($J40*44/12*参考2_エネ使用量経年!BJ41*参考2_エネ使用量経年!$J41,"")</f>
        <v/>
      </c>
      <c r="BK40" s="916" t="str">
        <f ca="1">IFERROR($K40*44/12*参考2_エネ使用量経年!BK41*参考2_エネ使用量経年!$K41,"")</f>
        <v/>
      </c>
      <c r="BL40" s="916" t="str">
        <f ca="1">IFERROR($H40*44/12*参考2_エネ使用量経年!BL41*参考2_エネ使用量経年!$H41,"")</f>
        <v/>
      </c>
      <c r="BM40" s="916" t="str">
        <f ca="1">IFERROR($I40*44/12*参考2_エネ使用量経年!BM41*参考2_エネ使用量経年!$I41,"")</f>
        <v/>
      </c>
      <c r="BN40" s="916" t="str">
        <f ca="1">IFERROR($J40*44/12*参考2_エネ使用量経年!BN41*参考2_エネ使用量経年!$J41,"")</f>
        <v/>
      </c>
      <c r="BO40" s="916" t="str">
        <f ca="1">IFERROR($K40*44/12*参考2_エネ使用量経年!BO41*参考2_エネ使用量経年!$K41,"")</f>
        <v/>
      </c>
    </row>
    <row r="41" spans="1:67" ht="20.100000000000001" hidden="1" customHeight="1" outlineLevel="1">
      <c r="A41" s="914">
        <v>41</v>
      </c>
      <c r="B41" s="1594"/>
      <c r="C41" s="1596"/>
      <c r="D41" s="785" t="s">
        <v>382</v>
      </c>
      <c r="E41" s="785"/>
      <c r="F41" s="786"/>
      <c r="G41" s="852" t="s">
        <v>1281</v>
      </c>
      <c r="H41" s="915">
        <f t="shared" ca="1" si="4"/>
        <v>0</v>
      </c>
      <c r="I41" s="915">
        <f t="shared" ca="1" si="5"/>
        <v>0</v>
      </c>
      <c r="J41" s="915">
        <f t="shared" ca="1" si="6"/>
        <v>0</v>
      </c>
      <c r="K41" s="915">
        <f t="shared" ca="1" si="7"/>
        <v>0</v>
      </c>
      <c r="L41" s="916">
        <f ca="1">IFERROR($H41*44/12*参考2_エネ使用量経年!L42*参考2_エネ使用量経年!$H42,"")</f>
        <v>0</v>
      </c>
      <c r="M41" s="916">
        <f ca="1">IFERROR($I41*44/12*参考2_エネ使用量経年!M42*参考2_エネ使用量経年!$I42,"")</f>
        <v>0</v>
      </c>
      <c r="N41" s="916">
        <f ca="1">IFERROR($J41*44/12*参考2_エネ使用量経年!N42*参考2_エネ使用量経年!$J42,"")</f>
        <v>0</v>
      </c>
      <c r="O41" s="916">
        <f ca="1">IFERROR($K41*44/12*参考2_エネ使用量経年!O42*参考2_エネ使用量経年!$K42,"")</f>
        <v>0</v>
      </c>
      <c r="P41" s="916">
        <f ca="1">IFERROR($H41*44/12*参考2_エネ使用量経年!P42*参考2_エネ使用量経年!$H42,"")</f>
        <v>0</v>
      </c>
      <c r="Q41" s="916">
        <f ca="1">IFERROR($I41*44/12*参考2_エネ使用量経年!Q42*参考2_エネ使用量経年!$I42,"")</f>
        <v>0</v>
      </c>
      <c r="R41" s="916">
        <f ca="1">IFERROR($J41*44/12*参考2_エネ使用量経年!R42*参考2_エネ使用量経年!$J42,"")</f>
        <v>0</v>
      </c>
      <c r="S41" s="916">
        <f ca="1">IFERROR($K41*44/12*参考2_エネ使用量経年!S42*参考2_エネ使用量経年!$K42,"")</f>
        <v>0</v>
      </c>
      <c r="T41" s="916">
        <f ca="1">IFERROR($H41*44/12*参考2_エネ使用量経年!T42*参考2_エネ使用量経年!$H42,"")</f>
        <v>0</v>
      </c>
      <c r="U41" s="916">
        <f ca="1">IFERROR($I41*44/12*参考2_エネ使用量経年!U42*参考2_エネ使用量経年!$I42,"")</f>
        <v>0</v>
      </c>
      <c r="V41" s="916">
        <f ca="1">IFERROR($J41*44/12*参考2_エネ使用量経年!V42*参考2_エネ使用量経年!$J42,"")</f>
        <v>0</v>
      </c>
      <c r="W41" s="916">
        <f ca="1">IFERROR($K41*44/12*参考2_エネ使用量経年!W42*参考2_エネ使用量経年!$K42,"")</f>
        <v>0</v>
      </c>
      <c r="X41" s="916">
        <f ca="1">IFERROR($H41*44/12*参考2_エネ使用量経年!X42*参考2_エネ使用量経年!$H42,"")</f>
        <v>0</v>
      </c>
      <c r="Y41" s="916">
        <f ca="1">IFERROR($I41*44/12*参考2_エネ使用量経年!Y42*参考2_エネ使用量経年!$I42,"")</f>
        <v>0</v>
      </c>
      <c r="Z41" s="916">
        <f ca="1">IFERROR($J41*44/12*参考2_エネ使用量経年!Z42*参考2_エネ使用量経年!$J42,"")</f>
        <v>0</v>
      </c>
      <c r="AA41" s="916">
        <f ca="1">IFERROR($K41*44/12*参考2_エネ使用量経年!AA42*参考2_エネ使用量経年!$K42,"")</f>
        <v>0</v>
      </c>
      <c r="AB41" s="916" t="str">
        <f ca="1">IFERROR($H41*44/12*参考2_エネ使用量経年!AB42*参考2_エネ使用量経年!$H42,"")</f>
        <v/>
      </c>
      <c r="AC41" s="916" t="str">
        <f ca="1">IFERROR($I41*44/12*参考2_エネ使用量経年!AC42*参考2_エネ使用量経年!$I42,"")</f>
        <v/>
      </c>
      <c r="AD41" s="916" t="str">
        <f ca="1">IFERROR($J41*44/12*参考2_エネ使用量経年!AD42*参考2_エネ使用量経年!$J42,"")</f>
        <v/>
      </c>
      <c r="AE41" s="916" t="str">
        <f ca="1">IFERROR($K41*44/12*参考2_エネ使用量経年!AE42*参考2_エネ使用量経年!$K42,"")</f>
        <v/>
      </c>
      <c r="AF41" s="916" t="str">
        <f ca="1">IFERROR($H41*44/12*参考2_エネ使用量経年!AF42*参考2_エネ使用量経年!$H42,"")</f>
        <v/>
      </c>
      <c r="AG41" s="916" t="str">
        <f ca="1">IFERROR($I41*44/12*参考2_エネ使用量経年!AG42*参考2_エネ使用量経年!$I42,"")</f>
        <v/>
      </c>
      <c r="AH41" s="916" t="str">
        <f ca="1">IFERROR($J41*44/12*参考2_エネ使用量経年!AH42*参考2_エネ使用量経年!$J42,"")</f>
        <v/>
      </c>
      <c r="AI41" s="916" t="str">
        <f ca="1">IFERROR($K41*44/12*参考2_エネ使用量経年!AI42*参考2_エネ使用量経年!$K42,"")</f>
        <v/>
      </c>
      <c r="AJ41" s="916" t="str">
        <f ca="1">IFERROR($H41*44/12*参考2_エネ使用量経年!AJ42*参考2_エネ使用量経年!$H42,"")</f>
        <v/>
      </c>
      <c r="AK41" s="916" t="str">
        <f ca="1">IFERROR($I41*44/12*参考2_エネ使用量経年!AK42*参考2_エネ使用量経年!$I42,"")</f>
        <v/>
      </c>
      <c r="AL41" s="916" t="str">
        <f ca="1">IFERROR($J41*44/12*参考2_エネ使用量経年!AL42*参考2_エネ使用量経年!$J42,"")</f>
        <v/>
      </c>
      <c r="AM41" s="916" t="str">
        <f ca="1">IFERROR($K41*44/12*参考2_エネ使用量経年!AM42*参考2_エネ使用量経年!$K42,"")</f>
        <v/>
      </c>
      <c r="AN41" s="916" t="str">
        <f ca="1">IFERROR($H41*44/12*参考2_エネ使用量経年!AN42*参考2_エネ使用量経年!$H42,"")</f>
        <v/>
      </c>
      <c r="AO41" s="916" t="str">
        <f ca="1">IFERROR($I41*44/12*参考2_エネ使用量経年!AO42*参考2_エネ使用量経年!$I42,"")</f>
        <v/>
      </c>
      <c r="AP41" s="916" t="str">
        <f ca="1">IFERROR($J41*44/12*参考2_エネ使用量経年!AP42*参考2_エネ使用量経年!$J42,"")</f>
        <v/>
      </c>
      <c r="AQ41" s="916" t="str">
        <f ca="1">IFERROR($K41*44/12*参考2_エネ使用量経年!AQ42*参考2_エネ使用量経年!$K42,"")</f>
        <v/>
      </c>
      <c r="AR41" s="916" t="str">
        <f ca="1">IFERROR($H41*44/12*参考2_エネ使用量経年!AR42*参考2_エネ使用量経年!$H42,"")</f>
        <v/>
      </c>
      <c r="AS41" s="916" t="str">
        <f ca="1">IFERROR($I41*44/12*参考2_エネ使用量経年!AS42*参考2_エネ使用量経年!$I42,"")</f>
        <v/>
      </c>
      <c r="AT41" s="916" t="str">
        <f ca="1">IFERROR($J41*44/12*参考2_エネ使用量経年!AT42*参考2_エネ使用量経年!$J42,"")</f>
        <v/>
      </c>
      <c r="AU41" s="916" t="str">
        <f ca="1">IFERROR($K41*44/12*参考2_エネ使用量経年!AU42*参考2_エネ使用量経年!$K42,"")</f>
        <v/>
      </c>
      <c r="AV41" s="916" t="str">
        <f ca="1">IFERROR($H41*44/12*参考2_エネ使用量経年!AV42*参考2_エネ使用量経年!$H42,"")</f>
        <v/>
      </c>
      <c r="AW41" s="916" t="str">
        <f ca="1">IFERROR($I41*44/12*参考2_エネ使用量経年!AW42*参考2_エネ使用量経年!$I42,"")</f>
        <v/>
      </c>
      <c r="AX41" s="916" t="str">
        <f ca="1">IFERROR($J41*44/12*参考2_エネ使用量経年!AX42*参考2_エネ使用量経年!$J42,"")</f>
        <v/>
      </c>
      <c r="AY41" s="916" t="str">
        <f ca="1">IFERROR($K41*44/12*参考2_エネ使用量経年!AY42*参考2_エネ使用量経年!$K42,"")</f>
        <v/>
      </c>
      <c r="AZ41" s="916" t="str">
        <f ca="1">IFERROR($H41*44/12*参考2_エネ使用量経年!AZ42*参考2_エネ使用量経年!$H42,"")</f>
        <v/>
      </c>
      <c r="BA41" s="916" t="str">
        <f ca="1">IFERROR($I41*44/12*参考2_エネ使用量経年!BA42*参考2_エネ使用量経年!$I42,"")</f>
        <v/>
      </c>
      <c r="BB41" s="916" t="str">
        <f ca="1">IFERROR($J41*44/12*参考2_エネ使用量経年!BB42*参考2_エネ使用量経年!$J42,"")</f>
        <v/>
      </c>
      <c r="BC41" s="916" t="str">
        <f ca="1">IFERROR($K41*44/12*参考2_エネ使用量経年!BC42*参考2_エネ使用量経年!$K42,"")</f>
        <v/>
      </c>
      <c r="BD41" s="916" t="str">
        <f ca="1">IFERROR($H41*44/12*参考2_エネ使用量経年!BD42*参考2_エネ使用量経年!$H42,"")</f>
        <v/>
      </c>
      <c r="BE41" s="916" t="str">
        <f ca="1">IFERROR($I41*44/12*参考2_エネ使用量経年!BE42*参考2_エネ使用量経年!$I42,"")</f>
        <v/>
      </c>
      <c r="BF41" s="916" t="str">
        <f ca="1">IFERROR($J41*44/12*参考2_エネ使用量経年!BF42*参考2_エネ使用量経年!$J42,"")</f>
        <v/>
      </c>
      <c r="BG41" s="916" t="str">
        <f ca="1">IFERROR($K41*44/12*参考2_エネ使用量経年!BG42*参考2_エネ使用量経年!$K42,"")</f>
        <v/>
      </c>
      <c r="BH41" s="916" t="str">
        <f ca="1">IFERROR($H41*44/12*参考2_エネ使用量経年!BH42*参考2_エネ使用量経年!$H42,"")</f>
        <v/>
      </c>
      <c r="BI41" s="916" t="str">
        <f ca="1">IFERROR($I41*44/12*参考2_エネ使用量経年!BI42*参考2_エネ使用量経年!$I42,"")</f>
        <v/>
      </c>
      <c r="BJ41" s="916" t="str">
        <f ca="1">IFERROR($J41*44/12*参考2_エネ使用量経年!BJ42*参考2_エネ使用量経年!$J42,"")</f>
        <v/>
      </c>
      <c r="BK41" s="916" t="str">
        <f ca="1">IFERROR($K41*44/12*参考2_エネ使用量経年!BK42*参考2_エネ使用量経年!$K42,"")</f>
        <v/>
      </c>
      <c r="BL41" s="916" t="str">
        <f ca="1">IFERROR($H41*44/12*参考2_エネ使用量経年!BL42*参考2_エネ使用量経年!$H42,"")</f>
        <v/>
      </c>
      <c r="BM41" s="916" t="str">
        <f ca="1">IFERROR($I41*44/12*参考2_エネ使用量経年!BM42*参考2_エネ使用量経年!$I42,"")</f>
        <v/>
      </c>
      <c r="BN41" s="916" t="str">
        <f ca="1">IFERROR($J41*44/12*参考2_エネ使用量経年!BN42*参考2_エネ使用量経年!$J42,"")</f>
        <v/>
      </c>
      <c r="BO41" s="916" t="str">
        <f ca="1">IFERROR($K41*44/12*参考2_エネ使用量経年!BO42*参考2_エネ使用量経年!$K42,"")</f>
        <v/>
      </c>
    </row>
    <row r="42" spans="1:67" ht="20.100000000000001" hidden="1" customHeight="1" outlineLevel="1">
      <c r="A42" s="914">
        <v>42</v>
      </c>
      <c r="B42" s="1594"/>
      <c r="C42" s="1596"/>
      <c r="D42" s="785" t="s">
        <v>383</v>
      </c>
      <c r="E42" s="785"/>
      <c r="F42" s="786"/>
      <c r="G42" s="852" t="s">
        <v>1281</v>
      </c>
      <c r="H42" s="915">
        <f t="shared" ca="1" si="4"/>
        <v>0</v>
      </c>
      <c r="I42" s="915">
        <f t="shared" ca="1" si="5"/>
        <v>0</v>
      </c>
      <c r="J42" s="915">
        <f t="shared" ca="1" si="6"/>
        <v>0</v>
      </c>
      <c r="K42" s="915">
        <f t="shared" ca="1" si="7"/>
        <v>0</v>
      </c>
      <c r="L42" s="916">
        <f ca="1">IFERROR($H42*44/12*参考2_エネ使用量経年!L43*参考2_エネ使用量経年!$H43,"")</f>
        <v>0</v>
      </c>
      <c r="M42" s="916">
        <f ca="1">IFERROR($I42*44/12*参考2_エネ使用量経年!M43*参考2_エネ使用量経年!$I43,"")</f>
        <v>0</v>
      </c>
      <c r="N42" s="916">
        <f ca="1">IFERROR($J42*44/12*参考2_エネ使用量経年!N43*参考2_エネ使用量経年!$J43,"")</f>
        <v>0</v>
      </c>
      <c r="O42" s="916">
        <f ca="1">IFERROR($K42*44/12*参考2_エネ使用量経年!O43*参考2_エネ使用量経年!$K43,"")</f>
        <v>0</v>
      </c>
      <c r="P42" s="916">
        <f ca="1">IFERROR($H42*44/12*参考2_エネ使用量経年!P43*参考2_エネ使用量経年!$H43,"")</f>
        <v>0</v>
      </c>
      <c r="Q42" s="916">
        <f ca="1">IFERROR($I42*44/12*参考2_エネ使用量経年!Q43*参考2_エネ使用量経年!$I43,"")</f>
        <v>0</v>
      </c>
      <c r="R42" s="916">
        <f ca="1">IFERROR($J42*44/12*参考2_エネ使用量経年!R43*参考2_エネ使用量経年!$J43,"")</f>
        <v>0</v>
      </c>
      <c r="S42" s="916">
        <f ca="1">IFERROR($K42*44/12*参考2_エネ使用量経年!S43*参考2_エネ使用量経年!$K43,"")</f>
        <v>0</v>
      </c>
      <c r="T42" s="916">
        <f ca="1">IFERROR($H42*44/12*参考2_エネ使用量経年!T43*参考2_エネ使用量経年!$H43,"")</f>
        <v>0</v>
      </c>
      <c r="U42" s="916">
        <f ca="1">IFERROR($I42*44/12*参考2_エネ使用量経年!U43*参考2_エネ使用量経年!$I43,"")</f>
        <v>0</v>
      </c>
      <c r="V42" s="916">
        <f ca="1">IFERROR($J42*44/12*参考2_エネ使用量経年!V43*参考2_エネ使用量経年!$J43,"")</f>
        <v>0</v>
      </c>
      <c r="W42" s="916">
        <f ca="1">IFERROR($K42*44/12*参考2_エネ使用量経年!W43*参考2_エネ使用量経年!$K43,"")</f>
        <v>0</v>
      </c>
      <c r="X42" s="916">
        <f ca="1">IFERROR($H42*44/12*参考2_エネ使用量経年!X43*参考2_エネ使用量経年!$H43,"")</f>
        <v>0</v>
      </c>
      <c r="Y42" s="916">
        <f ca="1">IFERROR($I42*44/12*参考2_エネ使用量経年!Y43*参考2_エネ使用量経年!$I43,"")</f>
        <v>0</v>
      </c>
      <c r="Z42" s="916">
        <f ca="1">IFERROR($J42*44/12*参考2_エネ使用量経年!Z43*参考2_エネ使用量経年!$J43,"")</f>
        <v>0</v>
      </c>
      <c r="AA42" s="916">
        <f ca="1">IFERROR($K42*44/12*参考2_エネ使用量経年!AA43*参考2_エネ使用量経年!$K43,"")</f>
        <v>0</v>
      </c>
      <c r="AB42" s="916" t="str">
        <f ca="1">IFERROR($H42*44/12*参考2_エネ使用量経年!AB43*参考2_エネ使用量経年!$H43,"")</f>
        <v/>
      </c>
      <c r="AC42" s="916" t="str">
        <f ca="1">IFERROR($I42*44/12*参考2_エネ使用量経年!AC43*参考2_エネ使用量経年!$I43,"")</f>
        <v/>
      </c>
      <c r="AD42" s="916" t="str">
        <f ca="1">IFERROR($J42*44/12*参考2_エネ使用量経年!AD43*参考2_エネ使用量経年!$J43,"")</f>
        <v/>
      </c>
      <c r="AE42" s="916" t="str">
        <f ca="1">IFERROR($K42*44/12*参考2_エネ使用量経年!AE43*参考2_エネ使用量経年!$K43,"")</f>
        <v/>
      </c>
      <c r="AF42" s="916" t="str">
        <f ca="1">IFERROR($H42*44/12*参考2_エネ使用量経年!AF43*参考2_エネ使用量経年!$H43,"")</f>
        <v/>
      </c>
      <c r="AG42" s="916" t="str">
        <f ca="1">IFERROR($I42*44/12*参考2_エネ使用量経年!AG43*参考2_エネ使用量経年!$I43,"")</f>
        <v/>
      </c>
      <c r="AH42" s="916" t="str">
        <f ca="1">IFERROR($J42*44/12*参考2_エネ使用量経年!AH43*参考2_エネ使用量経年!$J43,"")</f>
        <v/>
      </c>
      <c r="AI42" s="916" t="str">
        <f ca="1">IFERROR($K42*44/12*参考2_エネ使用量経年!AI43*参考2_エネ使用量経年!$K43,"")</f>
        <v/>
      </c>
      <c r="AJ42" s="916" t="str">
        <f ca="1">IFERROR($H42*44/12*参考2_エネ使用量経年!AJ43*参考2_エネ使用量経年!$H43,"")</f>
        <v/>
      </c>
      <c r="AK42" s="916" t="str">
        <f ca="1">IFERROR($I42*44/12*参考2_エネ使用量経年!AK43*参考2_エネ使用量経年!$I43,"")</f>
        <v/>
      </c>
      <c r="AL42" s="916" t="str">
        <f ca="1">IFERROR($J42*44/12*参考2_エネ使用量経年!AL43*参考2_エネ使用量経年!$J43,"")</f>
        <v/>
      </c>
      <c r="AM42" s="916" t="str">
        <f ca="1">IFERROR($K42*44/12*参考2_エネ使用量経年!AM43*参考2_エネ使用量経年!$K43,"")</f>
        <v/>
      </c>
      <c r="AN42" s="916" t="str">
        <f ca="1">IFERROR($H42*44/12*参考2_エネ使用量経年!AN43*参考2_エネ使用量経年!$H43,"")</f>
        <v/>
      </c>
      <c r="AO42" s="916" t="str">
        <f ca="1">IFERROR($I42*44/12*参考2_エネ使用量経年!AO43*参考2_エネ使用量経年!$I43,"")</f>
        <v/>
      </c>
      <c r="AP42" s="916" t="str">
        <f ca="1">IFERROR($J42*44/12*参考2_エネ使用量経年!AP43*参考2_エネ使用量経年!$J43,"")</f>
        <v/>
      </c>
      <c r="AQ42" s="916" t="str">
        <f ca="1">IFERROR($K42*44/12*参考2_エネ使用量経年!AQ43*参考2_エネ使用量経年!$K43,"")</f>
        <v/>
      </c>
      <c r="AR42" s="916" t="str">
        <f ca="1">IFERROR($H42*44/12*参考2_エネ使用量経年!AR43*参考2_エネ使用量経年!$H43,"")</f>
        <v/>
      </c>
      <c r="AS42" s="916" t="str">
        <f ca="1">IFERROR($I42*44/12*参考2_エネ使用量経年!AS43*参考2_エネ使用量経年!$I43,"")</f>
        <v/>
      </c>
      <c r="AT42" s="916" t="str">
        <f ca="1">IFERROR($J42*44/12*参考2_エネ使用量経年!AT43*参考2_エネ使用量経年!$J43,"")</f>
        <v/>
      </c>
      <c r="AU42" s="916" t="str">
        <f ca="1">IFERROR($K42*44/12*参考2_エネ使用量経年!AU43*参考2_エネ使用量経年!$K43,"")</f>
        <v/>
      </c>
      <c r="AV42" s="916" t="str">
        <f ca="1">IFERROR($H42*44/12*参考2_エネ使用量経年!AV43*参考2_エネ使用量経年!$H43,"")</f>
        <v/>
      </c>
      <c r="AW42" s="916" t="str">
        <f ca="1">IFERROR($I42*44/12*参考2_エネ使用量経年!AW43*参考2_エネ使用量経年!$I43,"")</f>
        <v/>
      </c>
      <c r="AX42" s="916" t="str">
        <f ca="1">IFERROR($J42*44/12*参考2_エネ使用量経年!AX43*参考2_エネ使用量経年!$J43,"")</f>
        <v/>
      </c>
      <c r="AY42" s="916" t="str">
        <f ca="1">IFERROR($K42*44/12*参考2_エネ使用量経年!AY43*参考2_エネ使用量経年!$K43,"")</f>
        <v/>
      </c>
      <c r="AZ42" s="916" t="str">
        <f ca="1">IFERROR($H42*44/12*参考2_エネ使用量経年!AZ43*参考2_エネ使用量経年!$H43,"")</f>
        <v/>
      </c>
      <c r="BA42" s="916" t="str">
        <f ca="1">IFERROR($I42*44/12*参考2_エネ使用量経年!BA43*参考2_エネ使用量経年!$I43,"")</f>
        <v/>
      </c>
      <c r="BB42" s="916" t="str">
        <f ca="1">IFERROR($J42*44/12*参考2_エネ使用量経年!BB43*参考2_エネ使用量経年!$J43,"")</f>
        <v/>
      </c>
      <c r="BC42" s="916" t="str">
        <f ca="1">IFERROR($K42*44/12*参考2_エネ使用量経年!BC43*参考2_エネ使用量経年!$K43,"")</f>
        <v/>
      </c>
      <c r="BD42" s="916" t="str">
        <f ca="1">IFERROR($H42*44/12*参考2_エネ使用量経年!BD43*参考2_エネ使用量経年!$H43,"")</f>
        <v/>
      </c>
      <c r="BE42" s="916" t="str">
        <f ca="1">IFERROR($I42*44/12*参考2_エネ使用量経年!BE43*参考2_エネ使用量経年!$I43,"")</f>
        <v/>
      </c>
      <c r="BF42" s="916" t="str">
        <f ca="1">IFERROR($J42*44/12*参考2_エネ使用量経年!BF43*参考2_エネ使用量経年!$J43,"")</f>
        <v/>
      </c>
      <c r="BG42" s="916" t="str">
        <f ca="1">IFERROR($K42*44/12*参考2_エネ使用量経年!BG43*参考2_エネ使用量経年!$K43,"")</f>
        <v/>
      </c>
      <c r="BH42" s="916" t="str">
        <f ca="1">IFERROR($H42*44/12*参考2_エネ使用量経年!BH43*参考2_エネ使用量経年!$H43,"")</f>
        <v/>
      </c>
      <c r="BI42" s="916" t="str">
        <f ca="1">IFERROR($I42*44/12*参考2_エネ使用量経年!BI43*参考2_エネ使用量経年!$I43,"")</f>
        <v/>
      </c>
      <c r="BJ42" s="916" t="str">
        <f ca="1">IFERROR($J42*44/12*参考2_エネ使用量経年!BJ43*参考2_エネ使用量経年!$J43,"")</f>
        <v/>
      </c>
      <c r="BK42" s="916" t="str">
        <f ca="1">IFERROR($K42*44/12*参考2_エネ使用量経年!BK43*参考2_エネ使用量経年!$K43,"")</f>
        <v/>
      </c>
      <c r="BL42" s="916" t="str">
        <f ca="1">IFERROR($H42*44/12*参考2_エネ使用量経年!BL43*参考2_エネ使用量経年!$H43,"")</f>
        <v/>
      </c>
      <c r="BM42" s="916" t="str">
        <f ca="1">IFERROR($I42*44/12*参考2_エネ使用量経年!BM43*参考2_エネ使用量経年!$I43,"")</f>
        <v/>
      </c>
      <c r="BN42" s="916" t="str">
        <f ca="1">IFERROR($J42*44/12*参考2_エネ使用量経年!BN43*参考2_エネ使用量経年!$J43,"")</f>
        <v/>
      </c>
      <c r="BO42" s="916" t="str">
        <f ca="1">IFERROR($K42*44/12*参考2_エネ使用量経年!BO43*参考2_エネ使用量経年!$K43,"")</f>
        <v/>
      </c>
    </row>
    <row r="43" spans="1:67" ht="20.100000000000001" hidden="1" customHeight="1" outlineLevel="1">
      <c r="A43" s="914">
        <v>43</v>
      </c>
      <c r="B43" s="1594"/>
      <c r="C43" s="1596"/>
      <c r="D43" s="785" t="s">
        <v>384</v>
      </c>
      <c r="E43" s="792" t="str">
        <f ca="1">参考2_エネ使用量経年!E44</f>
        <v/>
      </c>
      <c r="F43" s="794"/>
      <c r="G43" s="852" t="s">
        <v>1281</v>
      </c>
      <c r="H43" s="915">
        <f t="shared" ca="1" si="4"/>
        <v>0</v>
      </c>
      <c r="I43" s="915">
        <f t="shared" ca="1" si="5"/>
        <v>0</v>
      </c>
      <c r="J43" s="915">
        <f t="shared" ca="1" si="6"/>
        <v>0</v>
      </c>
      <c r="K43" s="915">
        <f t="shared" ca="1" si="7"/>
        <v>0</v>
      </c>
      <c r="L43" s="916">
        <f ca="1">IFERROR($H43*44/12*参考2_エネ使用量経年!L44*参考2_エネ使用量経年!$H44,"")</f>
        <v>0</v>
      </c>
      <c r="M43" s="916">
        <f ca="1">IFERROR($I43*44/12*参考2_エネ使用量経年!M44*参考2_エネ使用量経年!$I44,"")</f>
        <v>0</v>
      </c>
      <c r="N43" s="916">
        <f ca="1">IFERROR($J43*44/12*参考2_エネ使用量経年!N44*参考2_エネ使用量経年!$J44,"")</f>
        <v>0</v>
      </c>
      <c r="O43" s="916">
        <f ca="1">IFERROR($K43*44/12*参考2_エネ使用量経年!O44*参考2_エネ使用量経年!$K44,"")</f>
        <v>0</v>
      </c>
      <c r="P43" s="916">
        <f ca="1">IFERROR($H43*44/12*参考2_エネ使用量経年!P44*参考2_エネ使用量経年!$H44,"")</f>
        <v>0</v>
      </c>
      <c r="Q43" s="916">
        <f ca="1">IFERROR($I43*44/12*参考2_エネ使用量経年!Q44*参考2_エネ使用量経年!$I44,"")</f>
        <v>0</v>
      </c>
      <c r="R43" s="916">
        <f ca="1">IFERROR($J43*44/12*参考2_エネ使用量経年!R44*参考2_エネ使用量経年!$J44,"")</f>
        <v>0</v>
      </c>
      <c r="S43" s="916">
        <f ca="1">IFERROR($K43*44/12*参考2_エネ使用量経年!S44*参考2_エネ使用量経年!$K44,"")</f>
        <v>0</v>
      </c>
      <c r="T43" s="916">
        <f ca="1">IFERROR($H43*44/12*参考2_エネ使用量経年!T44*参考2_エネ使用量経年!$H44,"")</f>
        <v>0</v>
      </c>
      <c r="U43" s="916">
        <f ca="1">IFERROR($I43*44/12*参考2_エネ使用量経年!U44*参考2_エネ使用量経年!$I44,"")</f>
        <v>0</v>
      </c>
      <c r="V43" s="916">
        <f ca="1">IFERROR($J43*44/12*参考2_エネ使用量経年!V44*参考2_エネ使用量経年!$J44,"")</f>
        <v>0</v>
      </c>
      <c r="W43" s="916">
        <f ca="1">IFERROR($K43*44/12*参考2_エネ使用量経年!W44*参考2_エネ使用量経年!$K44,"")</f>
        <v>0</v>
      </c>
      <c r="X43" s="916">
        <f ca="1">IFERROR($H43*44/12*参考2_エネ使用量経年!X44*参考2_エネ使用量経年!$H44,"")</f>
        <v>0</v>
      </c>
      <c r="Y43" s="916">
        <f ca="1">IFERROR($I43*44/12*参考2_エネ使用量経年!Y44*参考2_エネ使用量経年!$I44,"")</f>
        <v>0</v>
      </c>
      <c r="Z43" s="916">
        <f ca="1">IFERROR($J43*44/12*参考2_エネ使用量経年!Z44*参考2_エネ使用量経年!$J44,"")</f>
        <v>0</v>
      </c>
      <c r="AA43" s="916">
        <f ca="1">IFERROR($K43*44/12*参考2_エネ使用量経年!AA44*参考2_エネ使用量経年!$K44,"")</f>
        <v>0</v>
      </c>
      <c r="AB43" s="916" t="str">
        <f ca="1">IFERROR($H43*44/12*参考2_エネ使用量経年!AB44*参考2_エネ使用量経年!$H44,"")</f>
        <v/>
      </c>
      <c r="AC43" s="916" t="str">
        <f ca="1">IFERROR($I43*44/12*参考2_エネ使用量経年!AC44*参考2_エネ使用量経年!$I44,"")</f>
        <v/>
      </c>
      <c r="AD43" s="916" t="str">
        <f ca="1">IFERROR($J43*44/12*参考2_エネ使用量経年!AD44*参考2_エネ使用量経年!$J44,"")</f>
        <v/>
      </c>
      <c r="AE43" s="916" t="str">
        <f ca="1">IFERROR($K43*44/12*参考2_エネ使用量経年!AE44*参考2_エネ使用量経年!$K44,"")</f>
        <v/>
      </c>
      <c r="AF43" s="916" t="str">
        <f ca="1">IFERROR($H43*44/12*参考2_エネ使用量経年!AF44*参考2_エネ使用量経年!$H44,"")</f>
        <v/>
      </c>
      <c r="AG43" s="916" t="str">
        <f ca="1">IFERROR($I43*44/12*参考2_エネ使用量経年!AG44*参考2_エネ使用量経年!$I44,"")</f>
        <v/>
      </c>
      <c r="AH43" s="916" t="str">
        <f ca="1">IFERROR($J43*44/12*参考2_エネ使用量経年!AH44*参考2_エネ使用量経年!$J44,"")</f>
        <v/>
      </c>
      <c r="AI43" s="916" t="str">
        <f ca="1">IFERROR($K43*44/12*参考2_エネ使用量経年!AI44*参考2_エネ使用量経年!$K44,"")</f>
        <v/>
      </c>
      <c r="AJ43" s="916" t="str">
        <f ca="1">IFERROR($H43*44/12*参考2_エネ使用量経年!AJ44*参考2_エネ使用量経年!$H44,"")</f>
        <v/>
      </c>
      <c r="AK43" s="916" t="str">
        <f ca="1">IFERROR($I43*44/12*参考2_エネ使用量経年!AK44*参考2_エネ使用量経年!$I44,"")</f>
        <v/>
      </c>
      <c r="AL43" s="916" t="str">
        <f ca="1">IFERROR($J43*44/12*参考2_エネ使用量経年!AL44*参考2_エネ使用量経年!$J44,"")</f>
        <v/>
      </c>
      <c r="AM43" s="916" t="str">
        <f ca="1">IFERROR($K43*44/12*参考2_エネ使用量経年!AM44*参考2_エネ使用量経年!$K44,"")</f>
        <v/>
      </c>
      <c r="AN43" s="916" t="str">
        <f ca="1">IFERROR($H43*44/12*参考2_エネ使用量経年!AN44*参考2_エネ使用量経年!$H44,"")</f>
        <v/>
      </c>
      <c r="AO43" s="916" t="str">
        <f ca="1">IFERROR($I43*44/12*参考2_エネ使用量経年!AO44*参考2_エネ使用量経年!$I44,"")</f>
        <v/>
      </c>
      <c r="AP43" s="916" t="str">
        <f ca="1">IFERROR($J43*44/12*参考2_エネ使用量経年!AP44*参考2_エネ使用量経年!$J44,"")</f>
        <v/>
      </c>
      <c r="AQ43" s="916" t="str">
        <f ca="1">IFERROR($K43*44/12*参考2_エネ使用量経年!AQ44*参考2_エネ使用量経年!$K44,"")</f>
        <v/>
      </c>
      <c r="AR43" s="916" t="str">
        <f ca="1">IFERROR($H43*44/12*参考2_エネ使用量経年!AR44*参考2_エネ使用量経年!$H44,"")</f>
        <v/>
      </c>
      <c r="AS43" s="916" t="str">
        <f ca="1">IFERROR($I43*44/12*参考2_エネ使用量経年!AS44*参考2_エネ使用量経年!$I44,"")</f>
        <v/>
      </c>
      <c r="AT43" s="916" t="str">
        <f ca="1">IFERROR($J43*44/12*参考2_エネ使用量経年!AT44*参考2_エネ使用量経年!$J44,"")</f>
        <v/>
      </c>
      <c r="AU43" s="916" t="str">
        <f ca="1">IFERROR($K43*44/12*参考2_エネ使用量経年!AU44*参考2_エネ使用量経年!$K44,"")</f>
        <v/>
      </c>
      <c r="AV43" s="916" t="str">
        <f ca="1">IFERROR($H43*44/12*参考2_エネ使用量経年!AV44*参考2_エネ使用量経年!$H44,"")</f>
        <v/>
      </c>
      <c r="AW43" s="916" t="str">
        <f ca="1">IFERROR($I43*44/12*参考2_エネ使用量経年!AW44*参考2_エネ使用量経年!$I44,"")</f>
        <v/>
      </c>
      <c r="AX43" s="916" t="str">
        <f ca="1">IFERROR($J43*44/12*参考2_エネ使用量経年!AX44*参考2_エネ使用量経年!$J44,"")</f>
        <v/>
      </c>
      <c r="AY43" s="916" t="str">
        <f ca="1">IFERROR($K43*44/12*参考2_エネ使用量経年!AY44*参考2_エネ使用量経年!$K44,"")</f>
        <v/>
      </c>
      <c r="AZ43" s="916" t="str">
        <f ca="1">IFERROR($H43*44/12*参考2_エネ使用量経年!AZ44*参考2_エネ使用量経年!$H44,"")</f>
        <v/>
      </c>
      <c r="BA43" s="916" t="str">
        <f ca="1">IFERROR($I43*44/12*参考2_エネ使用量経年!BA44*参考2_エネ使用量経年!$I44,"")</f>
        <v/>
      </c>
      <c r="BB43" s="916" t="str">
        <f ca="1">IFERROR($J43*44/12*参考2_エネ使用量経年!BB44*参考2_エネ使用量経年!$J44,"")</f>
        <v/>
      </c>
      <c r="BC43" s="916" t="str">
        <f ca="1">IFERROR($K43*44/12*参考2_エネ使用量経年!BC44*参考2_エネ使用量経年!$K44,"")</f>
        <v/>
      </c>
      <c r="BD43" s="916" t="str">
        <f ca="1">IFERROR($H43*44/12*参考2_エネ使用量経年!BD44*参考2_エネ使用量経年!$H44,"")</f>
        <v/>
      </c>
      <c r="BE43" s="916" t="str">
        <f ca="1">IFERROR($I43*44/12*参考2_エネ使用量経年!BE44*参考2_エネ使用量経年!$I44,"")</f>
        <v/>
      </c>
      <c r="BF43" s="916" t="str">
        <f ca="1">IFERROR($J43*44/12*参考2_エネ使用量経年!BF44*参考2_エネ使用量経年!$J44,"")</f>
        <v/>
      </c>
      <c r="BG43" s="916" t="str">
        <f ca="1">IFERROR($K43*44/12*参考2_エネ使用量経年!BG44*参考2_エネ使用量経年!$K44,"")</f>
        <v/>
      </c>
      <c r="BH43" s="916" t="str">
        <f ca="1">IFERROR($H43*44/12*参考2_エネ使用量経年!BH44*参考2_エネ使用量経年!$H44,"")</f>
        <v/>
      </c>
      <c r="BI43" s="916" t="str">
        <f ca="1">IFERROR($I43*44/12*参考2_エネ使用量経年!BI44*参考2_エネ使用量経年!$I44,"")</f>
        <v/>
      </c>
      <c r="BJ43" s="916" t="str">
        <f ca="1">IFERROR($J43*44/12*参考2_エネ使用量経年!BJ44*参考2_エネ使用量経年!$J44,"")</f>
        <v/>
      </c>
      <c r="BK43" s="916" t="str">
        <f ca="1">IFERROR($K43*44/12*参考2_エネ使用量経年!BK44*参考2_エネ使用量経年!$K44,"")</f>
        <v/>
      </c>
      <c r="BL43" s="916" t="str">
        <f ca="1">IFERROR($H43*44/12*参考2_エネ使用量経年!BL44*参考2_エネ使用量経年!$H44,"")</f>
        <v/>
      </c>
      <c r="BM43" s="916" t="str">
        <f ca="1">IFERROR($I43*44/12*参考2_エネ使用量経年!BM44*参考2_エネ使用量経年!$I44,"")</f>
        <v/>
      </c>
      <c r="BN43" s="916" t="str">
        <f ca="1">IFERROR($J43*44/12*参考2_エネ使用量経年!BN44*参考2_エネ使用量経年!$J44,"")</f>
        <v/>
      </c>
      <c r="BO43" s="916" t="str">
        <f ca="1">IFERROR($K43*44/12*参考2_エネ使用量経年!BO44*参考2_エネ使用量経年!$K44,"")</f>
        <v/>
      </c>
    </row>
    <row r="44" spans="1:67" ht="20.100000000000001" hidden="1" customHeight="1" outlineLevel="1">
      <c r="A44" s="914">
        <v>44</v>
      </c>
      <c r="B44" s="1594"/>
      <c r="C44" s="1596"/>
      <c r="D44" s="793" t="s">
        <v>385</v>
      </c>
      <c r="E44" s="785"/>
      <c r="F44" s="786"/>
      <c r="G44" s="852" t="s">
        <v>1281</v>
      </c>
      <c r="H44" s="915">
        <f t="shared" ca="1" si="4"/>
        <v>1.6199999999999999E-2</v>
      </c>
      <c r="I44" s="915">
        <f t="shared" ca="1" si="5"/>
        <v>1.6199999999999999E-2</v>
      </c>
      <c r="J44" s="915">
        <f t="shared" ca="1" si="6"/>
        <v>1.6199999999999999E-2</v>
      </c>
      <c r="K44" s="915">
        <f t="shared" ca="1" si="7"/>
        <v>1.6199999999999999E-2</v>
      </c>
      <c r="L44" s="916">
        <f ca="1">IFERROR($H44*44/12*参考2_エネ使用量経年!L45*参考2_エネ使用量経年!$H45,"")</f>
        <v>0</v>
      </c>
      <c r="M44" s="916">
        <f ca="1">IFERROR($I44*44/12*参考2_エネ使用量経年!M45*参考2_エネ使用量経年!$I45,"")</f>
        <v>0</v>
      </c>
      <c r="N44" s="916">
        <f ca="1">IFERROR($J44*44/12*参考2_エネ使用量経年!N45*参考2_エネ使用量経年!$J45,"")</f>
        <v>0</v>
      </c>
      <c r="O44" s="916">
        <f ca="1">IFERROR($K44*44/12*参考2_エネ使用量経年!O45*参考2_エネ使用量経年!$K45,"")</f>
        <v>0</v>
      </c>
      <c r="P44" s="916">
        <f ca="1">IFERROR($H44*44/12*参考2_エネ使用量経年!P45*参考2_エネ使用量経年!$H45,"")</f>
        <v>0</v>
      </c>
      <c r="Q44" s="916">
        <f ca="1">IFERROR($I44*44/12*参考2_エネ使用量経年!Q45*参考2_エネ使用量経年!$I45,"")</f>
        <v>0</v>
      </c>
      <c r="R44" s="916">
        <f ca="1">IFERROR($J44*44/12*参考2_エネ使用量経年!R45*参考2_エネ使用量経年!$J45,"")</f>
        <v>0</v>
      </c>
      <c r="S44" s="916">
        <f ca="1">IFERROR($K44*44/12*参考2_エネ使用量経年!S45*参考2_エネ使用量経年!$K45,"")</f>
        <v>0</v>
      </c>
      <c r="T44" s="916">
        <f ca="1">IFERROR($H44*44/12*参考2_エネ使用量経年!T45*参考2_エネ使用量経年!$H45,"")</f>
        <v>0</v>
      </c>
      <c r="U44" s="916">
        <f ca="1">IFERROR($I44*44/12*参考2_エネ使用量経年!U45*参考2_エネ使用量経年!$I45,"")</f>
        <v>0</v>
      </c>
      <c r="V44" s="916">
        <f ca="1">IFERROR($J44*44/12*参考2_エネ使用量経年!V45*参考2_エネ使用量経年!$J45,"")</f>
        <v>0</v>
      </c>
      <c r="W44" s="916">
        <f ca="1">IFERROR($K44*44/12*参考2_エネ使用量経年!W45*参考2_エネ使用量経年!$K45,"")</f>
        <v>0</v>
      </c>
      <c r="X44" s="916">
        <f ca="1">IFERROR($H44*44/12*参考2_エネ使用量経年!X45*参考2_エネ使用量経年!$H45,"")</f>
        <v>0</v>
      </c>
      <c r="Y44" s="916">
        <f ca="1">IFERROR($I44*44/12*参考2_エネ使用量経年!Y45*参考2_エネ使用量経年!$I45,"")</f>
        <v>0</v>
      </c>
      <c r="Z44" s="916">
        <f ca="1">IFERROR($J44*44/12*参考2_エネ使用量経年!Z45*参考2_エネ使用量経年!$J45,"")</f>
        <v>0</v>
      </c>
      <c r="AA44" s="916">
        <f ca="1">IFERROR($K44*44/12*参考2_エネ使用量経年!AA45*参考2_エネ使用量経年!$K45,"")</f>
        <v>0</v>
      </c>
      <c r="AB44" s="916" t="str">
        <f ca="1">IFERROR($H44*44/12*参考2_エネ使用量経年!AB45*参考2_エネ使用量経年!$H45,"")</f>
        <v/>
      </c>
      <c r="AC44" s="916" t="str">
        <f ca="1">IFERROR($I44*44/12*参考2_エネ使用量経年!AC45*参考2_エネ使用量経年!$I45,"")</f>
        <v/>
      </c>
      <c r="AD44" s="916" t="str">
        <f ca="1">IFERROR($J44*44/12*参考2_エネ使用量経年!AD45*参考2_エネ使用量経年!$J45,"")</f>
        <v/>
      </c>
      <c r="AE44" s="916" t="str">
        <f ca="1">IFERROR($K44*44/12*参考2_エネ使用量経年!AE45*参考2_エネ使用量経年!$K45,"")</f>
        <v/>
      </c>
      <c r="AF44" s="916" t="str">
        <f ca="1">IFERROR($H44*44/12*参考2_エネ使用量経年!AF45*参考2_エネ使用量経年!$H45,"")</f>
        <v/>
      </c>
      <c r="AG44" s="916" t="str">
        <f ca="1">IFERROR($I44*44/12*参考2_エネ使用量経年!AG45*参考2_エネ使用量経年!$I45,"")</f>
        <v/>
      </c>
      <c r="AH44" s="916" t="str">
        <f ca="1">IFERROR($J44*44/12*参考2_エネ使用量経年!AH45*参考2_エネ使用量経年!$J45,"")</f>
        <v/>
      </c>
      <c r="AI44" s="916" t="str">
        <f ca="1">IFERROR($K44*44/12*参考2_エネ使用量経年!AI45*参考2_エネ使用量経年!$K45,"")</f>
        <v/>
      </c>
      <c r="AJ44" s="916" t="str">
        <f ca="1">IFERROR($H44*44/12*参考2_エネ使用量経年!AJ45*参考2_エネ使用量経年!$H45,"")</f>
        <v/>
      </c>
      <c r="AK44" s="916" t="str">
        <f ca="1">IFERROR($I44*44/12*参考2_エネ使用量経年!AK45*参考2_エネ使用量経年!$I45,"")</f>
        <v/>
      </c>
      <c r="AL44" s="916" t="str">
        <f ca="1">IFERROR($J44*44/12*参考2_エネ使用量経年!AL45*参考2_エネ使用量経年!$J45,"")</f>
        <v/>
      </c>
      <c r="AM44" s="916" t="str">
        <f ca="1">IFERROR($K44*44/12*参考2_エネ使用量経年!AM45*参考2_エネ使用量経年!$K45,"")</f>
        <v/>
      </c>
      <c r="AN44" s="916" t="str">
        <f ca="1">IFERROR($H44*44/12*参考2_エネ使用量経年!AN45*参考2_エネ使用量経年!$H45,"")</f>
        <v/>
      </c>
      <c r="AO44" s="916" t="str">
        <f ca="1">IFERROR($I44*44/12*参考2_エネ使用量経年!AO45*参考2_エネ使用量経年!$I45,"")</f>
        <v/>
      </c>
      <c r="AP44" s="916" t="str">
        <f ca="1">IFERROR($J44*44/12*参考2_エネ使用量経年!AP45*参考2_エネ使用量経年!$J45,"")</f>
        <v/>
      </c>
      <c r="AQ44" s="916" t="str">
        <f ca="1">IFERROR($K44*44/12*参考2_エネ使用量経年!AQ45*参考2_エネ使用量経年!$K45,"")</f>
        <v/>
      </c>
      <c r="AR44" s="916" t="str">
        <f ca="1">IFERROR($H44*44/12*参考2_エネ使用量経年!AR45*参考2_エネ使用量経年!$H45,"")</f>
        <v/>
      </c>
      <c r="AS44" s="916" t="str">
        <f ca="1">IFERROR($I44*44/12*参考2_エネ使用量経年!AS45*参考2_エネ使用量経年!$I45,"")</f>
        <v/>
      </c>
      <c r="AT44" s="916" t="str">
        <f ca="1">IFERROR($J44*44/12*参考2_エネ使用量経年!AT45*参考2_エネ使用量経年!$J45,"")</f>
        <v/>
      </c>
      <c r="AU44" s="916" t="str">
        <f ca="1">IFERROR($K44*44/12*参考2_エネ使用量経年!AU45*参考2_エネ使用量経年!$K45,"")</f>
        <v/>
      </c>
      <c r="AV44" s="916" t="str">
        <f ca="1">IFERROR($H44*44/12*参考2_エネ使用量経年!AV45*参考2_エネ使用量経年!$H45,"")</f>
        <v/>
      </c>
      <c r="AW44" s="916" t="str">
        <f ca="1">IFERROR($I44*44/12*参考2_エネ使用量経年!AW45*参考2_エネ使用量経年!$I45,"")</f>
        <v/>
      </c>
      <c r="AX44" s="916" t="str">
        <f ca="1">IFERROR($J44*44/12*参考2_エネ使用量経年!AX45*参考2_エネ使用量経年!$J45,"")</f>
        <v/>
      </c>
      <c r="AY44" s="916" t="str">
        <f ca="1">IFERROR($K44*44/12*参考2_エネ使用量経年!AY45*参考2_エネ使用量経年!$K45,"")</f>
        <v/>
      </c>
      <c r="AZ44" s="916" t="str">
        <f ca="1">IFERROR($H44*44/12*参考2_エネ使用量経年!AZ45*参考2_エネ使用量経年!$H45,"")</f>
        <v/>
      </c>
      <c r="BA44" s="916" t="str">
        <f ca="1">IFERROR($I44*44/12*参考2_エネ使用量経年!BA45*参考2_エネ使用量経年!$I45,"")</f>
        <v/>
      </c>
      <c r="BB44" s="916" t="str">
        <f ca="1">IFERROR($J44*44/12*参考2_エネ使用量経年!BB45*参考2_エネ使用量経年!$J45,"")</f>
        <v/>
      </c>
      <c r="BC44" s="916" t="str">
        <f ca="1">IFERROR($K44*44/12*参考2_エネ使用量経年!BC45*参考2_エネ使用量経年!$K45,"")</f>
        <v/>
      </c>
      <c r="BD44" s="916" t="str">
        <f ca="1">IFERROR($H44*44/12*参考2_エネ使用量経年!BD45*参考2_エネ使用量経年!$H45,"")</f>
        <v/>
      </c>
      <c r="BE44" s="916" t="str">
        <f ca="1">IFERROR($I44*44/12*参考2_エネ使用量経年!BE45*参考2_エネ使用量経年!$I45,"")</f>
        <v/>
      </c>
      <c r="BF44" s="916" t="str">
        <f ca="1">IFERROR($J44*44/12*参考2_エネ使用量経年!BF45*参考2_エネ使用量経年!$J45,"")</f>
        <v/>
      </c>
      <c r="BG44" s="916" t="str">
        <f ca="1">IFERROR($K44*44/12*参考2_エネ使用量経年!BG45*参考2_エネ使用量経年!$K45,"")</f>
        <v/>
      </c>
      <c r="BH44" s="916" t="str">
        <f ca="1">IFERROR($H44*44/12*参考2_エネ使用量経年!BH45*参考2_エネ使用量経年!$H45,"")</f>
        <v/>
      </c>
      <c r="BI44" s="916" t="str">
        <f ca="1">IFERROR($I44*44/12*参考2_エネ使用量経年!BI45*参考2_エネ使用量経年!$I45,"")</f>
        <v/>
      </c>
      <c r="BJ44" s="916" t="str">
        <f ca="1">IFERROR($J44*44/12*参考2_エネ使用量経年!BJ45*参考2_エネ使用量経年!$J45,"")</f>
        <v/>
      </c>
      <c r="BK44" s="916" t="str">
        <f ca="1">IFERROR($K44*44/12*参考2_エネ使用量経年!BK45*参考2_エネ使用量経年!$K45,"")</f>
        <v/>
      </c>
      <c r="BL44" s="916" t="str">
        <f ca="1">IFERROR($H44*44/12*参考2_エネ使用量経年!BL45*参考2_エネ使用量経年!$H45,"")</f>
        <v/>
      </c>
      <c r="BM44" s="916" t="str">
        <f ca="1">IFERROR($I44*44/12*参考2_エネ使用量経年!BM45*参考2_エネ使用量経年!$I45,"")</f>
        <v/>
      </c>
      <c r="BN44" s="916" t="str">
        <f ca="1">IFERROR($J44*44/12*参考2_エネ使用量経年!BN45*参考2_エネ使用量経年!$J45,"")</f>
        <v/>
      </c>
      <c r="BO44" s="916" t="str">
        <f ca="1">IFERROR($K44*44/12*参考2_エネ使用量経年!BO45*参考2_エネ使用量経年!$K45,"")</f>
        <v/>
      </c>
    </row>
    <row r="45" spans="1:67" ht="20.100000000000001" hidden="1" customHeight="1" outlineLevel="1">
      <c r="A45" s="914">
        <v>45</v>
      </c>
      <c r="B45" s="1594"/>
      <c r="C45" s="1596"/>
      <c r="D45" s="793" t="s">
        <v>386</v>
      </c>
      <c r="E45" s="795"/>
      <c r="F45" s="786"/>
      <c r="G45" s="852" t="s">
        <v>1281</v>
      </c>
      <c r="H45" s="915">
        <f t="shared" ca="1" si="4"/>
        <v>1.66E-2</v>
      </c>
      <c r="I45" s="915">
        <f t="shared" ca="1" si="5"/>
        <v>1.66E-2</v>
      </c>
      <c r="J45" s="915">
        <f t="shared" ca="1" si="6"/>
        <v>1.66E-2</v>
      </c>
      <c r="K45" s="915">
        <f t="shared" ca="1" si="7"/>
        <v>1.66E-2</v>
      </c>
      <c r="L45" s="916">
        <f ca="1">IFERROR($H45*44/12*参考2_エネ使用量経年!L46*参考2_エネ使用量経年!$H46,"")</f>
        <v>0</v>
      </c>
      <c r="M45" s="916">
        <f ca="1">IFERROR($I45*44/12*参考2_エネ使用量経年!M46*参考2_エネ使用量経年!$I46,"")</f>
        <v>0</v>
      </c>
      <c r="N45" s="916">
        <f ca="1">IFERROR($J45*44/12*参考2_エネ使用量経年!N46*参考2_エネ使用量経年!$J46,"")</f>
        <v>0</v>
      </c>
      <c r="O45" s="916">
        <f ca="1">IFERROR($K45*44/12*参考2_エネ使用量経年!O46*参考2_エネ使用量経年!$K46,"")</f>
        <v>0</v>
      </c>
      <c r="P45" s="916">
        <f ca="1">IFERROR($H45*44/12*参考2_エネ使用量経年!P46*参考2_エネ使用量経年!$H46,"")</f>
        <v>0</v>
      </c>
      <c r="Q45" s="916">
        <f ca="1">IFERROR($I45*44/12*参考2_エネ使用量経年!Q46*参考2_エネ使用量経年!$I46,"")</f>
        <v>0</v>
      </c>
      <c r="R45" s="916">
        <f ca="1">IFERROR($J45*44/12*参考2_エネ使用量経年!R46*参考2_エネ使用量経年!$J46,"")</f>
        <v>0</v>
      </c>
      <c r="S45" s="916">
        <f ca="1">IFERROR($K45*44/12*参考2_エネ使用量経年!S46*参考2_エネ使用量経年!$K46,"")</f>
        <v>0</v>
      </c>
      <c r="T45" s="916">
        <f ca="1">IFERROR($H45*44/12*参考2_エネ使用量経年!T46*参考2_エネ使用量経年!$H46,"")</f>
        <v>0</v>
      </c>
      <c r="U45" s="916">
        <f ca="1">IFERROR($I45*44/12*参考2_エネ使用量経年!U46*参考2_エネ使用量経年!$I46,"")</f>
        <v>0</v>
      </c>
      <c r="V45" s="916">
        <f ca="1">IFERROR($J45*44/12*参考2_エネ使用量経年!V46*参考2_エネ使用量経年!$J46,"")</f>
        <v>0</v>
      </c>
      <c r="W45" s="916">
        <f ca="1">IFERROR($K45*44/12*参考2_エネ使用量経年!W46*参考2_エネ使用量経年!$K46,"")</f>
        <v>0</v>
      </c>
      <c r="X45" s="916">
        <f ca="1">IFERROR($H45*44/12*参考2_エネ使用量経年!X46*参考2_エネ使用量経年!$H46,"")</f>
        <v>0</v>
      </c>
      <c r="Y45" s="916">
        <f ca="1">IFERROR($I45*44/12*参考2_エネ使用量経年!Y46*参考2_エネ使用量経年!$I46,"")</f>
        <v>0</v>
      </c>
      <c r="Z45" s="916">
        <f ca="1">IFERROR($J45*44/12*参考2_エネ使用量経年!Z46*参考2_エネ使用量経年!$J46,"")</f>
        <v>0</v>
      </c>
      <c r="AA45" s="916">
        <f ca="1">IFERROR($K45*44/12*参考2_エネ使用量経年!AA46*参考2_エネ使用量経年!$K46,"")</f>
        <v>0</v>
      </c>
      <c r="AB45" s="916" t="str">
        <f ca="1">IFERROR($H45*44/12*参考2_エネ使用量経年!AB46*参考2_エネ使用量経年!$H46,"")</f>
        <v/>
      </c>
      <c r="AC45" s="916" t="str">
        <f ca="1">IFERROR($I45*44/12*参考2_エネ使用量経年!AC46*参考2_エネ使用量経年!$I46,"")</f>
        <v/>
      </c>
      <c r="AD45" s="916" t="str">
        <f ca="1">IFERROR($J45*44/12*参考2_エネ使用量経年!AD46*参考2_エネ使用量経年!$J46,"")</f>
        <v/>
      </c>
      <c r="AE45" s="916" t="str">
        <f ca="1">IFERROR($K45*44/12*参考2_エネ使用量経年!AE46*参考2_エネ使用量経年!$K46,"")</f>
        <v/>
      </c>
      <c r="AF45" s="916" t="str">
        <f ca="1">IFERROR($H45*44/12*参考2_エネ使用量経年!AF46*参考2_エネ使用量経年!$H46,"")</f>
        <v/>
      </c>
      <c r="AG45" s="916" t="str">
        <f ca="1">IFERROR($I45*44/12*参考2_エネ使用量経年!AG46*参考2_エネ使用量経年!$I46,"")</f>
        <v/>
      </c>
      <c r="AH45" s="916" t="str">
        <f ca="1">IFERROR($J45*44/12*参考2_エネ使用量経年!AH46*参考2_エネ使用量経年!$J46,"")</f>
        <v/>
      </c>
      <c r="AI45" s="916" t="str">
        <f ca="1">IFERROR($K45*44/12*参考2_エネ使用量経年!AI46*参考2_エネ使用量経年!$K46,"")</f>
        <v/>
      </c>
      <c r="AJ45" s="916" t="str">
        <f ca="1">IFERROR($H45*44/12*参考2_エネ使用量経年!AJ46*参考2_エネ使用量経年!$H46,"")</f>
        <v/>
      </c>
      <c r="AK45" s="916" t="str">
        <f ca="1">IFERROR($I45*44/12*参考2_エネ使用量経年!AK46*参考2_エネ使用量経年!$I46,"")</f>
        <v/>
      </c>
      <c r="AL45" s="916" t="str">
        <f ca="1">IFERROR($J45*44/12*参考2_エネ使用量経年!AL46*参考2_エネ使用量経年!$J46,"")</f>
        <v/>
      </c>
      <c r="AM45" s="916" t="str">
        <f ca="1">IFERROR($K45*44/12*参考2_エネ使用量経年!AM46*参考2_エネ使用量経年!$K46,"")</f>
        <v/>
      </c>
      <c r="AN45" s="916" t="str">
        <f ca="1">IFERROR($H45*44/12*参考2_エネ使用量経年!AN46*参考2_エネ使用量経年!$H46,"")</f>
        <v/>
      </c>
      <c r="AO45" s="916" t="str">
        <f ca="1">IFERROR($I45*44/12*参考2_エネ使用量経年!AO46*参考2_エネ使用量経年!$I46,"")</f>
        <v/>
      </c>
      <c r="AP45" s="916" t="str">
        <f ca="1">IFERROR($J45*44/12*参考2_エネ使用量経年!AP46*参考2_エネ使用量経年!$J46,"")</f>
        <v/>
      </c>
      <c r="AQ45" s="916" t="str">
        <f ca="1">IFERROR($K45*44/12*参考2_エネ使用量経年!AQ46*参考2_エネ使用量経年!$K46,"")</f>
        <v/>
      </c>
      <c r="AR45" s="916" t="str">
        <f ca="1">IFERROR($H45*44/12*参考2_エネ使用量経年!AR46*参考2_エネ使用量経年!$H46,"")</f>
        <v/>
      </c>
      <c r="AS45" s="916" t="str">
        <f ca="1">IFERROR($I45*44/12*参考2_エネ使用量経年!AS46*参考2_エネ使用量経年!$I46,"")</f>
        <v/>
      </c>
      <c r="AT45" s="916" t="str">
        <f ca="1">IFERROR($J45*44/12*参考2_エネ使用量経年!AT46*参考2_エネ使用量経年!$J46,"")</f>
        <v/>
      </c>
      <c r="AU45" s="916" t="str">
        <f ca="1">IFERROR($K45*44/12*参考2_エネ使用量経年!AU46*参考2_エネ使用量経年!$K46,"")</f>
        <v/>
      </c>
      <c r="AV45" s="916" t="str">
        <f ca="1">IFERROR($H45*44/12*参考2_エネ使用量経年!AV46*参考2_エネ使用量経年!$H46,"")</f>
        <v/>
      </c>
      <c r="AW45" s="916" t="str">
        <f ca="1">IFERROR($I45*44/12*参考2_エネ使用量経年!AW46*参考2_エネ使用量経年!$I46,"")</f>
        <v/>
      </c>
      <c r="AX45" s="916" t="str">
        <f ca="1">IFERROR($J45*44/12*参考2_エネ使用量経年!AX46*参考2_エネ使用量経年!$J46,"")</f>
        <v/>
      </c>
      <c r="AY45" s="916" t="str">
        <f ca="1">IFERROR($K45*44/12*参考2_エネ使用量経年!AY46*参考2_エネ使用量経年!$K46,"")</f>
        <v/>
      </c>
      <c r="AZ45" s="916" t="str">
        <f ca="1">IFERROR($H45*44/12*参考2_エネ使用量経年!AZ46*参考2_エネ使用量経年!$H46,"")</f>
        <v/>
      </c>
      <c r="BA45" s="916" t="str">
        <f ca="1">IFERROR($I45*44/12*参考2_エネ使用量経年!BA46*参考2_エネ使用量経年!$I46,"")</f>
        <v/>
      </c>
      <c r="BB45" s="916" t="str">
        <f ca="1">IFERROR($J45*44/12*参考2_エネ使用量経年!BB46*参考2_エネ使用量経年!$J46,"")</f>
        <v/>
      </c>
      <c r="BC45" s="916" t="str">
        <f ca="1">IFERROR($K45*44/12*参考2_エネ使用量経年!BC46*参考2_エネ使用量経年!$K46,"")</f>
        <v/>
      </c>
      <c r="BD45" s="916" t="str">
        <f ca="1">IFERROR($H45*44/12*参考2_エネ使用量経年!BD46*参考2_エネ使用量経年!$H46,"")</f>
        <v/>
      </c>
      <c r="BE45" s="916" t="str">
        <f ca="1">IFERROR($I45*44/12*参考2_エネ使用量経年!BE46*参考2_エネ使用量経年!$I46,"")</f>
        <v/>
      </c>
      <c r="BF45" s="916" t="str">
        <f ca="1">IFERROR($J45*44/12*参考2_エネ使用量経年!BF46*参考2_エネ使用量経年!$J46,"")</f>
        <v/>
      </c>
      <c r="BG45" s="916" t="str">
        <f ca="1">IFERROR($K45*44/12*参考2_エネ使用量経年!BG46*参考2_エネ使用量経年!$K46,"")</f>
        <v/>
      </c>
      <c r="BH45" s="916" t="str">
        <f ca="1">IFERROR($H45*44/12*参考2_エネ使用量経年!BH46*参考2_エネ使用量経年!$H46,"")</f>
        <v/>
      </c>
      <c r="BI45" s="916" t="str">
        <f ca="1">IFERROR($I45*44/12*参考2_エネ使用量経年!BI46*参考2_エネ使用量経年!$I46,"")</f>
        <v/>
      </c>
      <c r="BJ45" s="916" t="str">
        <f ca="1">IFERROR($J45*44/12*参考2_エネ使用量経年!BJ46*参考2_エネ使用量経年!$J46,"")</f>
        <v/>
      </c>
      <c r="BK45" s="916" t="str">
        <f ca="1">IFERROR($K45*44/12*参考2_エネ使用量経年!BK46*参考2_エネ使用量経年!$K46,"")</f>
        <v/>
      </c>
      <c r="BL45" s="916" t="str">
        <f ca="1">IFERROR($H45*44/12*参考2_エネ使用量経年!BL46*参考2_エネ使用量経年!$H46,"")</f>
        <v/>
      </c>
      <c r="BM45" s="916" t="str">
        <f ca="1">IFERROR($I45*44/12*参考2_エネ使用量経年!BM46*参考2_エネ使用量経年!$I46,"")</f>
        <v/>
      </c>
      <c r="BN45" s="916" t="str">
        <f ca="1">IFERROR($J45*44/12*参考2_エネ使用量経年!BN46*参考2_エネ使用量経年!$J46,"")</f>
        <v/>
      </c>
      <c r="BO45" s="916" t="str">
        <f ca="1">IFERROR($K45*44/12*参考2_エネ使用量経年!BO46*参考2_エネ使用量経年!$K46,"")</f>
        <v/>
      </c>
    </row>
    <row r="46" spans="1:67" ht="20.100000000000001" hidden="1" customHeight="1" outlineLevel="1">
      <c r="A46" s="914">
        <v>46</v>
      </c>
      <c r="B46" s="1594"/>
      <c r="C46" s="1596"/>
      <c r="D46" s="793" t="s">
        <v>387</v>
      </c>
      <c r="E46" s="779"/>
      <c r="F46" s="786"/>
      <c r="G46" s="852" t="s">
        <v>1281</v>
      </c>
      <c r="H46" s="915">
        <f t="shared" ca="1" si="4"/>
        <v>1.35E-2</v>
      </c>
      <c r="I46" s="915">
        <f t="shared" ca="1" si="5"/>
        <v>1.35E-2</v>
      </c>
      <c r="J46" s="915">
        <f t="shared" ca="1" si="6"/>
        <v>1.35E-2</v>
      </c>
      <c r="K46" s="915">
        <f t="shared" ca="1" si="7"/>
        <v>1.35E-2</v>
      </c>
      <c r="L46" s="916">
        <f ca="1">IFERROR($H46*44/12*参考2_エネ使用量経年!L47*参考2_エネ使用量経年!$H47,"")</f>
        <v>0</v>
      </c>
      <c r="M46" s="916">
        <f ca="1">IFERROR($I46*44/12*参考2_エネ使用量経年!M47*参考2_エネ使用量経年!$I47,"")</f>
        <v>0</v>
      </c>
      <c r="N46" s="916">
        <f ca="1">IFERROR($J46*44/12*参考2_エネ使用量経年!N47*参考2_エネ使用量経年!$J47,"")</f>
        <v>0</v>
      </c>
      <c r="O46" s="916">
        <f ca="1">IFERROR($K46*44/12*参考2_エネ使用量経年!O47*参考2_エネ使用量経年!$K47,"")</f>
        <v>0</v>
      </c>
      <c r="P46" s="916">
        <f ca="1">IFERROR($H46*44/12*参考2_エネ使用量経年!P47*参考2_エネ使用量経年!$H47,"")</f>
        <v>0</v>
      </c>
      <c r="Q46" s="916">
        <f ca="1">IFERROR($I46*44/12*参考2_エネ使用量経年!Q47*参考2_エネ使用量経年!$I47,"")</f>
        <v>0</v>
      </c>
      <c r="R46" s="916">
        <f ca="1">IFERROR($J46*44/12*参考2_エネ使用量経年!R47*参考2_エネ使用量経年!$J47,"")</f>
        <v>0</v>
      </c>
      <c r="S46" s="916">
        <f ca="1">IFERROR($K46*44/12*参考2_エネ使用量経年!S47*参考2_エネ使用量経年!$K47,"")</f>
        <v>0</v>
      </c>
      <c r="T46" s="916">
        <f ca="1">IFERROR($H46*44/12*参考2_エネ使用量経年!T47*参考2_エネ使用量経年!$H47,"")</f>
        <v>0</v>
      </c>
      <c r="U46" s="916">
        <f ca="1">IFERROR($I46*44/12*参考2_エネ使用量経年!U47*参考2_エネ使用量経年!$I47,"")</f>
        <v>0</v>
      </c>
      <c r="V46" s="916">
        <f ca="1">IFERROR($J46*44/12*参考2_エネ使用量経年!V47*参考2_エネ使用量経年!$J47,"")</f>
        <v>0</v>
      </c>
      <c r="W46" s="916">
        <f ca="1">IFERROR($K46*44/12*参考2_エネ使用量経年!W47*参考2_エネ使用量経年!$K47,"")</f>
        <v>0</v>
      </c>
      <c r="X46" s="916">
        <f ca="1">IFERROR($H46*44/12*参考2_エネ使用量経年!X47*参考2_エネ使用量経年!$H47,"")</f>
        <v>0</v>
      </c>
      <c r="Y46" s="916">
        <f ca="1">IFERROR($I46*44/12*参考2_エネ使用量経年!Y47*参考2_エネ使用量経年!$I47,"")</f>
        <v>0</v>
      </c>
      <c r="Z46" s="916">
        <f ca="1">IFERROR($J46*44/12*参考2_エネ使用量経年!Z47*参考2_エネ使用量経年!$J47,"")</f>
        <v>0</v>
      </c>
      <c r="AA46" s="916">
        <f ca="1">IFERROR($K46*44/12*参考2_エネ使用量経年!AA47*参考2_エネ使用量経年!$K47,"")</f>
        <v>0</v>
      </c>
      <c r="AB46" s="916" t="str">
        <f ca="1">IFERROR($H46*44/12*参考2_エネ使用量経年!AB47*参考2_エネ使用量経年!$H47,"")</f>
        <v/>
      </c>
      <c r="AC46" s="916" t="str">
        <f ca="1">IFERROR($I46*44/12*参考2_エネ使用量経年!AC47*参考2_エネ使用量経年!$I47,"")</f>
        <v/>
      </c>
      <c r="AD46" s="916" t="str">
        <f ca="1">IFERROR($J46*44/12*参考2_エネ使用量経年!AD47*参考2_エネ使用量経年!$J47,"")</f>
        <v/>
      </c>
      <c r="AE46" s="916" t="str">
        <f ca="1">IFERROR($K46*44/12*参考2_エネ使用量経年!AE47*参考2_エネ使用量経年!$K47,"")</f>
        <v/>
      </c>
      <c r="AF46" s="916" t="str">
        <f ca="1">IFERROR($H46*44/12*参考2_エネ使用量経年!AF47*参考2_エネ使用量経年!$H47,"")</f>
        <v/>
      </c>
      <c r="AG46" s="916" t="str">
        <f ca="1">IFERROR($I46*44/12*参考2_エネ使用量経年!AG47*参考2_エネ使用量経年!$I47,"")</f>
        <v/>
      </c>
      <c r="AH46" s="916" t="str">
        <f ca="1">IFERROR($J46*44/12*参考2_エネ使用量経年!AH47*参考2_エネ使用量経年!$J47,"")</f>
        <v/>
      </c>
      <c r="AI46" s="916" t="str">
        <f ca="1">IFERROR($K46*44/12*参考2_エネ使用量経年!AI47*参考2_エネ使用量経年!$K47,"")</f>
        <v/>
      </c>
      <c r="AJ46" s="916" t="str">
        <f ca="1">IFERROR($H46*44/12*参考2_エネ使用量経年!AJ47*参考2_エネ使用量経年!$H47,"")</f>
        <v/>
      </c>
      <c r="AK46" s="916" t="str">
        <f ca="1">IFERROR($I46*44/12*参考2_エネ使用量経年!AK47*参考2_エネ使用量経年!$I47,"")</f>
        <v/>
      </c>
      <c r="AL46" s="916" t="str">
        <f ca="1">IFERROR($J46*44/12*参考2_エネ使用量経年!AL47*参考2_エネ使用量経年!$J47,"")</f>
        <v/>
      </c>
      <c r="AM46" s="916" t="str">
        <f ca="1">IFERROR($K46*44/12*参考2_エネ使用量経年!AM47*参考2_エネ使用量経年!$K47,"")</f>
        <v/>
      </c>
      <c r="AN46" s="916" t="str">
        <f ca="1">IFERROR($H46*44/12*参考2_エネ使用量経年!AN47*参考2_エネ使用量経年!$H47,"")</f>
        <v/>
      </c>
      <c r="AO46" s="916" t="str">
        <f ca="1">IFERROR($I46*44/12*参考2_エネ使用量経年!AO47*参考2_エネ使用量経年!$I47,"")</f>
        <v/>
      </c>
      <c r="AP46" s="916" t="str">
        <f ca="1">IFERROR($J46*44/12*参考2_エネ使用量経年!AP47*参考2_エネ使用量経年!$J47,"")</f>
        <v/>
      </c>
      <c r="AQ46" s="916" t="str">
        <f ca="1">IFERROR($K46*44/12*参考2_エネ使用量経年!AQ47*参考2_エネ使用量経年!$K47,"")</f>
        <v/>
      </c>
      <c r="AR46" s="916" t="str">
        <f ca="1">IFERROR($H46*44/12*参考2_エネ使用量経年!AR47*参考2_エネ使用量経年!$H47,"")</f>
        <v/>
      </c>
      <c r="AS46" s="916" t="str">
        <f ca="1">IFERROR($I46*44/12*参考2_エネ使用量経年!AS47*参考2_エネ使用量経年!$I47,"")</f>
        <v/>
      </c>
      <c r="AT46" s="916" t="str">
        <f ca="1">IFERROR($J46*44/12*参考2_エネ使用量経年!AT47*参考2_エネ使用量経年!$J47,"")</f>
        <v/>
      </c>
      <c r="AU46" s="916" t="str">
        <f ca="1">IFERROR($K46*44/12*参考2_エネ使用量経年!AU47*参考2_エネ使用量経年!$K47,"")</f>
        <v/>
      </c>
      <c r="AV46" s="916" t="str">
        <f ca="1">IFERROR($H46*44/12*参考2_エネ使用量経年!AV47*参考2_エネ使用量経年!$H47,"")</f>
        <v/>
      </c>
      <c r="AW46" s="916" t="str">
        <f ca="1">IFERROR($I46*44/12*参考2_エネ使用量経年!AW47*参考2_エネ使用量経年!$I47,"")</f>
        <v/>
      </c>
      <c r="AX46" s="916" t="str">
        <f ca="1">IFERROR($J46*44/12*参考2_エネ使用量経年!AX47*参考2_エネ使用量経年!$J47,"")</f>
        <v/>
      </c>
      <c r="AY46" s="916" t="str">
        <f ca="1">IFERROR($K46*44/12*参考2_エネ使用量経年!AY47*参考2_エネ使用量経年!$K47,"")</f>
        <v/>
      </c>
      <c r="AZ46" s="916" t="str">
        <f ca="1">IFERROR($H46*44/12*参考2_エネ使用量経年!AZ47*参考2_エネ使用量経年!$H47,"")</f>
        <v/>
      </c>
      <c r="BA46" s="916" t="str">
        <f ca="1">IFERROR($I46*44/12*参考2_エネ使用量経年!BA47*参考2_エネ使用量経年!$I47,"")</f>
        <v/>
      </c>
      <c r="BB46" s="916" t="str">
        <f ca="1">IFERROR($J46*44/12*参考2_エネ使用量経年!BB47*参考2_エネ使用量経年!$J47,"")</f>
        <v/>
      </c>
      <c r="BC46" s="916" t="str">
        <f ca="1">IFERROR($K46*44/12*参考2_エネ使用量経年!BC47*参考2_エネ使用量経年!$K47,"")</f>
        <v/>
      </c>
      <c r="BD46" s="916" t="str">
        <f ca="1">IFERROR($H46*44/12*参考2_エネ使用量経年!BD47*参考2_エネ使用量経年!$H47,"")</f>
        <v/>
      </c>
      <c r="BE46" s="916" t="str">
        <f ca="1">IFERROR($I46*44/12*参考2_エネ使用量経年!BE47*参考2_エネ使用量経年!$I47,"")</f>
        <v/>
      </c>
      <c r="BF46" s="916" t="str">
        <f ca="1">IFERROR($J46*44/12*参考2_エネ使用量経年!BF47*参考2_エネ使用量経年!$J47,"")</f>
        <v/>
      </c>
      <c r="BG46" s="916" t="str">
        <f ca="1">IFERROR($K46*44/12*参考2_エネ使用量経年!BG47*参考2_エネ使用量経年!$K47,"")</f>
        <v/>
      </c>
      <c r="BH46" s="916" t="str">
        <f ca="1">IFERROR($H46*44/12*参考2_エネ使用量経年!BH47*参考2_エネ使用量経年!$H47,"")</f>
        <v/>
      </c>
      <c r="BI46" s="916" t="str">
        <f ca="1">IFERROR($I46*44/12*参考2_エネ使用量経年!BI47*参考2_エネ使用量経年!$I47,"")</f>
        <v/>
      </c>
      <c r="BJ46" s="916" t="str">
        <f ca="1">IFERROR($J46*44/12*参考2_エネ使用量経年!BJ47*参考2_エネ使用量経年!$J47,"")</f>
        <v/>
      </c>
      <c r="BK46" s="916" t="str">
        <f ca="1">IFERROR($K46*44/12*参考2_エネ使用量経年!BK47*参考2_エネ使用量経年!$K47,"")</f>
        <v/>
      </c>
      <c r="BL46" s="916" t="str">
        <f ca="1">IFERROR($H46*44/12*参考2_エネ使用量経年!BL47*参考2_エネ使用量経年!$H47,"")</f>
        <v/>
      </c>
      <c r="BM46" s="916" t="str">
        <f ca="1">IFERROR($I46*44/12*参考2_エネ使用量経年!BM47*参考2_エネ使用量経年!$I47,"")</f>
        <v/>
      </c>
      <c r="BN46" s="916" t="str">
        <f ca="1">IFERROR($J46*44/12*参考2_エネ使用量経年!BN47*参考2_エネ使用量経年!$J47,"")</f>
        <v/>
      </c>
      <c r="BO46" s="916" t="str">
        <f ca="1">IFERROR($K46*44/12*参考2_エネ使用量経年!BO47*参考2_エネ使用量経年!$K47,"")</f>
        <v/>
      </c>
    </row>
    <row r="47" spans="1:67" ht="20.100000000000001" hidden="1" customHeight="1" outlineLevel="1">
      <c r="A47" s="914">
        <v>47</v>
      </c>
      <c r="B47" s="1595"/>
      <c r="C47" s="1596"/>
      <c r="D47" s="793" t="s">
        <v>388</v>
      </c>
      <c r="E47" s="785"/>
      <c r="F47" s="786"/>
      <c r="G47" s="852" t="s">
        <v>1281</v>
      </c>
      <c r="H47" s="915">
        <f t="shared" ca="1" si="4"/>
        <v>2.5700000000000001E-2</v>
      </c>
      <c r="I47" s="915">
        <f t="shared" ca="1" si="5"/>
        <v>2.5700000000000001E-2</v>
      </c>
      <c r="J47" s="915">
        <f t="shared" ca="1" si="6"/>
        <v>2.5700000000000001E-2</v>
      </c>
      <c r="K47" s="915">
        <f t="shared" ca="1" si="7"/>
        <v>2.5700000000000001E-2</v>
      </c>
      <c r="L47" s="916">
        <f ca="1">IFERROR($H47*44/12*参考2_エネ使用量経年!L48*参考2_エネ使用量経年!$H48,"")</f>
        <v>0</v>
      </c>
      <c r="M47" s="916">
        <f ca="1">IFERROR($I47*44/12*参考2_エネ使用量経年!M48*参考2_エネ使用量経年!$I48,"")</f>
        <v>0</v>
      </c>
      <c r="N47" s="916">
        <f ca="1">IFERROR($J47*44/12*参考2_エネ使用量経年!N48*参考2_エネ使用量経年!$J48,"")</f>
        <v>0</v>
      </c>
      <c r="O47" s="916">
        <f ca="1">IFERROR($K47*44/12*参考2_エネ使用量経年!O48*参考2_エネ使用量経年!$K48,"")</f>
        <v>0</v>
      </c>
      <c r="P47" s="916">
        <f ca="1">IFERROR($H47*44/12*参考2_エネ使用量経年!P48*参考2_エネ使用量経年!$H48,"")</f>
        <v>0</v>
      </c>
      <c r="Q47" s="916">
        <f ca="1">IFERROR($I47*44/12*参考2_エネ使用量経年!Q48*参考2_エネ使用量経年!$I48,"")</f>
        <v>0</v>
      </c>
      <c r="R47" s="916">
        <f ca="1">IFERROR($J47*44/12*参考2_エネ使用量経年!R48*参考2_エネ使用量経年!$J48,"")</f>
        <v>0</v>
      </c>
      <c r="S47" s="916">
        <f ca="1">IFERROR($K47*44/12*参考2_エネ使用量経年!S48*参考2_エネ使用量経年!$K48,"")</f>
        <v>0</v>
      </c>
      <c r="T47" s="916">
        <f ca="1">IFERROR($H47*44/12*参考2_エネ使用量経年!T48*参考2_エネ使用量経年!$H48,"")</f>
        <v>0</v>
      </c>
      <c r="U47" s="916">
        <f ca="1">IFERROR($I47*44/12*参考2_エネ使用量経年!U48*参考2_エネ使用量経年!$I48,"")</f>
        <v>0</v>
      </c>
      <c r="V47" s="916">
        <f ca="1">IFERROR($J47*44/12*参考2_エネ使用量経年!V48*参考2_エネ使用量経年!$J48,"")</f>
        <v>0</v>
      </c>
      <c r="W47" s="916">
        <f ca="1">IFERROR($K47*44/12*参考2_エネ使用量経年!W48*参考2_エネ使用量経年!$K48,"")</f>
        <v>0</v>
      </c>
      <c r="X47" s="916">
        <f ca="1">IFERROR($H47*44/12*参考2_エネ使用量経年!X48*参考2_エネ使用量経年!$H48,"")</f>
        <v>0</v>
      </c>
      <c r="Y47" s="916">
        <f ca="1">IFERROR($I47*44/12*参考2_エネ使用量経年!Y48*参考2_エネ使用量経年!$I48,"")</f>
        <v>0</v>
      </c>
      <c r="Z47" s="916">
        <f ca="1">IFERROR($J47*44/12*参考2_エネ使用量経年!Z48*参考2_エネ使用量経年!$J48,"")</f>
        <v>0</v>
      </c>
      <c r="AA47" s="916">
        <f ca="1">IFERROR($K47*44/12*参考2_エネ使用量経年!AA48*参考2_エネ使用量経年!$K48,"")</f>
        <v>0</v>
      </c>
      <c r="AB47" s="916" t="str">
        <f ca="1">IFERROR($H47*44/12*参考2_エネ使用量経年!AB48*参考2_エネ使用量経年!$H48,"")</f>
        <v/>
      </c>
      <c r="AC47" s="916" t="str">
        <f ca="1">IFERROR($I47*44/12*参考2_エネ使用量経年!AC48*参考2_エネ使用量経年!$I48,"")</f>
        <v/>
      </c>
      <c r="AD47" s="916" t="str">
        <f ca="1">IFERROR($J47*44/12*参考2_エネ使用量経年!AD48*参考2_エネ使用量経年!$J48,"")</f>
        <v/>
      </c>
      <c r="AE47" s="916" t="str">
        <f ca="1">IFERROR($K47*44/12*参考2_エネ使用量経年!AE48*参考2_エネ使用量経年!$K48,"")</f>
        <v/>
      </c>
      <c r="AF47" s="916" t="str">
        <f ca="1">IFERROR($H47*44/12*参考2_エネ使用量経年!AF48*参考2_エネ使用量経年!$H48,"")</f>
        <v/>
      </c>
      <c r="AG47" s="916" t="str">
        <f ca="1">IFERROR($I47*44/12*参考2_エネ使用量経年!AG48*参考2_エネ使用量経年!$I48,"")</f>
        <v/>
      </c>
      <c r="AH47" s="916" t="str">
        <f ca="1">IFERROR($J47*44/12*参考2_エネ使用量経年!AH48*参考2_エネ使用量経年!$J48,"")</f>
        <v/>
      </c>
      <c r="AI47" s="916" t="str">
        <f ca="1">IFERROR($K47*44/12*参考2_エネ使用量経年!AI48*参考2_エネ使用量経年!$K48,"")</f>
        <v/>
      </c>
      <c r="AJ47" s="916" t="str">
        <f ca="1">IFERROR($H47*44/12*参考2_エネ使用量経年!AJ48*参考2_エネ使用量経年!$H48,"")</f>
        <v/>
      </c>
      <c r="AK47" s="916" t="str">
        <f ca="1">IFERROR($I47*44/12*参考2_エネ使用量経年!AK48*参考2_エネ使用量経年!$I48,"")</f>
        <v/>
      </c>
      <c r="AL47" s="916" t="str">
        <f ca="1">IFERROR($J47*44/12*参考2_エネ使用量経年!AL48*参考2_エネ使用量経年!$J48,"")</f>
        <v/>
      </c>
      <c r="AM47" s="916" t="str">
        <f ca="1">IFERROR($K47*44/12*参考2_エネ使用量経年!AM48*参考2_エネ使用量経年!$K48,"")</f>
        <v/>
      </c>
      <c r="AN47" s="916" t="str">
        <f ca="1">IFERROR($H47*44/12*参考2_エネ使用量経年!AN48*参考2_エネ使用量経年!$H48,"")</f>
        <v/>
      </c>
      <c r="AO47" s="916" t="str">
        <f ca="1">IFERROR($I47*44/12*参考2_エネ使用量経年!AO48*参考2_エネ使用量経年!$I48,"")</f>
        <v/>
      </c>
      <c r="AP47" s="916" t="str">
        <f ca="1">IFERROR($J47*44/12*参考2_エネ使用量経年!AP48*参考2_エネ使用量経年!$J48,"")</f>
        <v/>
      </c>
      <c r="AQ47" s="916" t="str">
        <f ca="1">IFERROR($K47*44/12*参考2_エネ使用量経年!AQ48*参考2_エネ使用量経年!$K48,"")</f>
        <v/>
      </c>
      <c r="AR47" s="916" t="str">
        <f ca="1">IFERROR($H47*44/12*参考2_エネ使用量経年!AR48*参考2_エネ使用量経年!$H48,"")</f>
        <v/>
      </c>
      <c r="AS47" s="916" t="str">
        <f ca="1">IFERROR($I47*44/12*参考2_エネ使用量経年!AS48*参考2_エネ使用量経年!$I48,"")</f>
        <v/>
      </c>
      <c r="AT47" s="916" t="str">
        <f ca="1">IFERROR($J47*44/12*参考2_エネ使用量経年!AT48*参考2_エネ使用量経年!$J48,"")</f>
        <v/>
      </c>
      <c r="AU47" s="916" t="str">
        <f ca="1">IFERROR($K47*44/12*参考2_エネ使用量経年!AU48*参考2_エネ使用量経年!$K48,"")</f>
        <v/>
      </c>
      <c r="AV47" s="916" t="str">
        <f ca="1">IFERROR($H47*44/12*参考2_エネ使用量経年!AV48*参考2_エネ使用量経年!$H48,"")</f>
        <v/>
      </c>
      <c r="AW47" s="916" t="str">
        <f ca="1">IFERROR($I47*44/12*参考2_エネ使用量経年!AW48*参考2_エネ使用量経年!$I48,"")</f>
        <v/>
      </c>
      <c r="AX47" s="916" t="str">
        <f ca="1">IFERROR($J47*44/12*参考2_エネ使用量経年!AX48*参考2_エネ使用量経年!$J48,"")</f>
        <v/>
      </c>
      <c r="AY47" s="916" t="str">
        <f ca="1">IFERROR($K47*44/12*参考2_エネ使用量経年!AY48*参考2_エネ使用量経年!$K48,"")</f>
        <v/>
      </c>
      <c r="AZ47" s="916" t="str">
        <f ca="1">IFERROR($H47*44/12*参考2_エネ使用量経年!AZ48*参考2_エネ使用量経年!$H48,"")</f>
        <v/>
      </c>
      <c r="BA47" s="916" t="str">
        <f ca="1">IFERROR($I47*44/12*参考2_エネ使用量経年!BA48*参考2_エネ使用量経年!$I48,"")</f>
        <v/>
      </c>
      <c r="BB47" s="916" t="str">
        <f ca="1">IFERROR($J47*44/12*参考2_エネ使用量経年!BB48*参考2_エネ使用量経年!$J48,"")</f>
        <v/>
      </c>
      <c r="BC47" s="916" t="str">
        <f ca="1">IFERROR($K47*44/12*参考2_エネ使用量経年!BC48*参考2_エネ使用量経年!$K48,"")</f>
        <v/>
      </c>
      <c r="BD47" s="916" t="str">
        <f ca="1">IFERROR($H47*44/12*参考2_エネ使用量経年!BD48*参考2_エネ使用量経年!$H48,"")</f>
        <v/>
      </c>
      <c r="BE47" s="916" t="str">
        <f ca="1">IFERROR($I47*44/12*参考2_エネ使用量経年!BE48*参考2_エネ使用量経年!$I48,"")</f>
        <v/>
      </c>
      <c r="BF47" s="916" t="str">
        <f ca="1">IFERROR($J47*44/12*参考2_エネ使用量経年!BF48*参考2_エネ使用量経年!$J48,"")</f>
        <v/>
      </c>
      <c r="BG47" s="916" t="str">
        <f ca="1">IFERROR($K47*44/12*参考2_エネ使用量経年!BG48*参考2_エネ使用量経年!$K48,"")</f>
        <v/>
      </c>
      <c r="BH47" s="916" t="str">
        <f ca="1">IFERROR($H47*44/12*参考2_エネ使用量経年!BH48*参考2_エネ使用量経年!$H48,"")</f>
        <v/>
      </c>
      <c r="BI47" s="916" t="str">
        <f ca="1">IFERROR($I47*44/12*参考2_エネ使用量経年!BI48*参考2_エネ使用量経年!$I48,"")</f>
        <v/>
      </c>
      <c r="BJ47" s="916" t="str">
        <f ca="1">IFERROR($J47*44/12*参考2_エネ使用量経年!BJ48*参考2_エネ使用量経年!$J48,"")</f>
        <v/>
      </c>
      <c r="BK47" s="916" t="str">
        <f ca="1">IFERROR($K47*44/12*参考2_エネ使用量経年!BK48*参考2_エネ使用量経年!$K48,"")</f>
        <v/>
      </c>
      <c r="BL47" s="916" t="str">
        <f ca="1">IFERROR($H47*44/12*参考2_エネ使用量経年!BL48*参考2_エネ使用量経年!$H48,"")</f>
        <v/>
      </c>
      <c r="BM47" s="916" t="str">
        <f ca="1">IFERROR($I47*44/12*参考2_エネ使用量経年!BM48*参考2_エネ使用量経年!$I48,"")</f>
        <v/>
      </c>
      <c r="BN47" s="916" t="str">
        <f ca="1">IFERROR($J47*44/12*参考2_エネ使用量経年!BN48*参考2_エネ使用量経年!$J48,"")</f>
        <v/>
      </c>
      <c r="BO47" s="916" t="str">
        <f ca="1">IFERROR($K47*44/12*参考2_エネ使用量経年!BO48*参考2_エネ使用量経年!$K48,"")</f>
        <v/>
      </c>
    </row>
    <row r="48" spans="1:67" ht="20.100000000000001" hidden="1" customHeight="1" outlineLevel="1">
      <c r="A48" s="914">
        <v>48</v>
      </c>
      <c r="B48" s="1595"/>
      <c r="C48" s="1596"/>
      <c r="D48" s="793" t="s">
        <v>389</v>
      </c>
      <c r="E48" s="785"/>
      <c r="F48" s="786"/>
      <c r="G48" s="852" t="s">
        <v>1281</v>
      </c>
      <c r="H48" s="915">
        <f t="shared" ca="1" si="4"/>
        <v>2.3900000000000001E-2</v>
      </c>
      <c r="I48" s="915">
        <f t="shared" ca="1" si="5"/>
        <v>2.3900000000000001E-2</v>
      </c>
      <c r="J48" s="915">
        <f t="shared" ca="1" si="6"/>
        <v>2.3900000000000001E-2</v>
      </c>
      <c r="K48" s="915">
        <f t="shared" ca="1" si="7"/>
        <v>2.3900000000000001E-2</v>
      </c>
      <c r="L48" s="916">
        <f ca="1">IFERROR($H48*44/12*参考2_エネ使用量経年!L49*参考2_エネ使用量経年!$H49,"")</f>
        <v>0</v>
      </c>
      <c r="M48" s="916">
        <f ca="1">IFERROR($I48*44/12*参考2_エネ使用量経年!M49*参考2_エネ使用量経年!$I49,"")</f>
        <v>0</v>
      </c>
      <c r="N48" s="916">
        <f ca="1">IFERROR($J48*44/12*参考2_エネ使用量経年!N49*参考2_エネ使用量経年!$J49,"")</f>
        <v>0</v>
      </c>
      <c r="O48" s="916">
        <f ca="1">IFERROR($K48*44/12*参考2_エネ使用量経年!O49*参考2_エネ使用量経年!$K49,"")</f>
        <v>0</v>
      </c>
      <c r="P48" s="916">
        <f ca="1">IFERROR($H48*44/12*参考2_エネ使用量経年!P49*参考2_エネ使用量経年!$H49,"")</f>
        <v>0</v>
      </c>
      <c r="Q48" s="916">
        <f ca="1">IFERROR($I48*44/12*参考2_エネ使用量経年!Q49*参考2_エネ使用量経年!$I49,"")</f>
        <v>0</v>
      </c>
      <c r="R48" s="916">
        <f ca="1">IFERROR($J48*44/12*参考2_エネ使用量経年!R49*参考2_エネ使用量経年!$J49,"")</f>
        <v>0</v>
      </c>
      <c r="S48" s="916">
        <f ca="1">IFERROR($K48*44/12*参考2_エネ使用量経年!S49*参考2_エネ使用量経年!$K49,"")</f>
        <v>0</v>
      </c>
      <c r="T48" s="916">
        <f ca="1">IFERROR($H48*44/12*参考2_エネ使用量経年!T49*参考2_エネ使用量経年!$H49,"")</f>
        <v>0</v>
      </c>
      <c r="U48" s="916">
        <f ca="1">IFERROR($I48*44/12*参考2_エネ使用量経年!U49*参考2_エネ使用量経年!$I49,"")</f>
        <v>0</v>
      </c>
      <c r="V48" s="916">
        <f ca="1">IFERROR($J48*44/12*参考2_エネ使用量経年!V49*参考2_エネ使用量経年!$J49,"")</f>
        <v>0</v>
      </c>
      <c r="W48" s="916">
        <f ca="1">IFERROR($K48*44/12*参考2_エネ使用量経年!W49*参考2_エネ使用量経年!$K49,"")</f>
        <v>0</v>
      </c>
      <c r="X48" s="916">
        <f ca="1">IFERROR($H48*44/12*参考2_エネ使用量経年!X49*参考2_エネ使用量経年!$H49,"")</f>
        <v>0</v>
      </c>
      <c r="Y48" s="916">
        <f ca="1">IFERROR($I48*44/12*参考2_エネ使用量経年!Y49*参考2_エネ使用量経年!$I49,"")</f>
        <v>0</v>
      </c>
      <c r="Z48" s="916">
        <f ca="1">IFERROR($J48*44/12*参考2_エネ使用量経年!Z49*参考2_エネ使用量経年!$J49,"")</f>
        <v>0</v>
      </c>
      <c r="AA48" s="916">
        <f ca="1">IFERROR($K48*44/12*参考2_エネ使用量経年!AA49*参考2_エネ使用量経年!$K49,"")</f>
        <v>0</v>
      </c>
      <c r="AB48" s="916" t="str">
        <f ca="1">IFERROR($H48*44/12*参考2_エネ使用量経年!AB49*参考2_エネ使用量経年!$H49,"")</f>
        <v/>
      </c>
      <c r="AC48" s="916" t="str">
        <f ca="1">IFERROR($I48*44/12*参考2_エネ使用量経年!AC49*参考2_エネ使用量経年!$I49,"")</f>
        <v/>
      </c>
      <c r="AD48" s="916" t="str">
        <f ca="1">IFERROR($J48*44/12*参考2_エネ使用量経年!AD49*参考2_エネ使用量経年!$J49,"")</f>
        <v/>
      </c>
      <c r="AE48" s="916" t="str">
        <f ca="1">IFERROR($K48*44/12*参考2_エネ使用量経年!AE49*参考2_エネ使用量経年!$K49,"")</f>
        <v/>
      </c>
      <c r="AF48" s="916" t="str">
        <f ca="1">IFERROR($H48*44/12*参考2_エネ使用量経年!AF49*参考2_エネ使用量経年!$H49,"")</f>
        <v/>
      </c>
      <c r="AG48" s="916" t="str">
        <f ca="1">IFERROR($I48*44/12*参考2_エネ使用量経年!AG49*参考2_エネ使用量経年!$I49,"")</f>
        <v/>
      </c>
      <c r="AH48" s="916" t="str">
        <f ca="1">IFERROR($J48*44/12*参考2_エネ使用量経年!AH49*参考2_エネ使用量経年!$J49,"")</f>
        <v/>
      </c>
      <c r="AI48" s="916" t="str">
        <f ca="1">IFERROR($K48*44/12*参考2_エネ使用量経年!AI49*参考2_エネ使用量経年!$K49,"")</f>
        <v/>
      </c>
      <c r="AJ48" s="916" t="str">
        <f ca="1">IFERROR($H48*44/12*参考2_エネ使用量経年!AJ49*参考2_エネ使用量経年!$H49,"")</f>
        <v/>
      </c>
      <c r="AK48" s="916" t="str">
        <f ca="1">IFERROR($I48*44/12*参考2_エネ使用量経年!AK49*参考2_エネ使用量経年!$I49,"")</f>
        <v/>
      </c>
      <c r="AL48" s="916" t="str">
        <f ca="1">IFERROR($J48*44/12*参考2_エネ使用量経年!AL49*参考2_エネ使用量経年!$J49,"")</f>
        <v/>
      </c>
      <c r="AM48" s="916" t="str">
        <f ca="1">IFERROR($K48*44/12*参考2_エネ使用量経年!AM49*参考2_エネ使用量経年!$K49,"")</f>
        <v/>
      </c>
      <c r="AN48" s="916" t="str">
        <f ca="1">IFERROR($H48*44/12*参考2_エネ使用量経年!AN49*参考2_エネ使用量経年!$H49,"")</f>
        <v/>
      </c>
      <c r="AO48" s="916" t="str">
        <f ca="1">IFERROR($I48*44/12*参考2_エネ使用量経年!AO49*参考2_エネ使用量経年!$I49,"")</f>
        <v/>
      </c>
      <c r="AP48" s="916" t="str">
        <f ca="1">IFERROR($J48*44/12*参考2_エネ使用量経年!AP49*参考2_エネ使用量経年!$J49,"")</f>
        <v/>
      </c>
      <c r="AQ48" s="916" t="str">
        <f ca="1">IFERROR($K48*44/12*参考2_エネ使用量経年!AQ49*参考2_エネ使用量経年!$K49,"")</f>
        <v/>
      </c>
      <c r="AR48" s="916" t="str">
        <f ca="1">IFERROR($H48*44/12*参考2_エネ使用量経年!AR49*参考2_エネ使用量経年!$H49,"")</f>
        <v/>
      </c>
      <c r="AS48" s="916" t="str">
        <f ca="1">IFERROR($I48*44/12*参考2_エネ使用量経年!AS49*参考2_エネ使用量経年!$I49,"")</f>
        <v/>
      </c>
      <c r="AT48" s="916" t="str">
        <f ca="1">IFERROR($J48*44/12*参考2_エネ使用量経年!AT49*参考2_エネ使用量経年!$J49,"")</f>
        <v/>
      </c>
      <c r="AU48" s="916" t="str">
        <f ca="1">IFERROR($K48*44/12*参考2_エネ使用量経年!AU49*参考2_エネ使用量経年!$K49,"")</f>
        <v/>
      </c>
      <c r="AV48" s="916" t="str">
        <f ca="1">IFERROR($H48*44/12*参考2_エネ使用量経年!AV49*参考2_エネ使用量経年!$H49,"")</f>
        <v/>
      </c>
      <c r="AW48" s="916" t="str">
        <f ca="1">IFERROR($I48*44/12*参考2_エネ使用量経年!AW49*参考2_エネ使用量経年!$I49,"")</f>
        <v/>
      </c>
      <c r="AX48" s="916" t="str">
        <f ca="1">IFERROR($J48*44/12*参考2_エネ使用量経年!AX49*参考2_エネ使用量経年!$J49,"")</f>
        <v/>
      </c>
      <c r="AY48" s="916" t="str">
        <f ca="1">IFERROR($K48*44/12*参考2_エネ使用量経年!AY49*参考2_エネ使用量経年!$K49,"")</f>
        <v/>
      </c>
      <c r="AZ48" s="916" t="str">
        <f ca="1">IFERROR($H48*44/12*参考2_エネ使用量経年!AZ49*参考2_エネ使用量経年!$H49,"")</f>
        <v/>
      </c>
      <c r="BA48" s="916" t="str">
        <f ca="1">IFERROR($I48*44/12*参考2_エネ使用量経年!BA49*参考2_エネ使用量経年!$I49,"")</f>
        <v/>
      </c>
      <c r="BB48" s="916" t="str">
        <f ca="1">IFERROR($J48*44/12*参考2_エネ使用量経年!BB49*参考2_エネ使用量経年!$J49,"")</f>
        <v/>
      </c>
      <c r="BC48" s="916" t="str">
        <f ca="1">IFERROR($K48*44/12*参考2_エネ使用量経年!BC49*参考2_エネ使用量経年!$K49,"")</f>
        <v/>
      </c>
      <c r="BD48" s="916" t="str">
        <f ca="1">IFERROR($H48*44/12*参考2_エネ使用量経年!BD49*参考2_エネ使用量経年!$H49,"")</f>
        <v/>
      </c>
      <c r="BE48" s="916" t="str">
        <f ca="1">IFERROR($I48*44/12*参考2_エネ使用量経年!BE49*参考2_エネ使用量経年!$I49,"")</f>
        <v/>
      </c>
      <c r="BF48" s="916" t="str">
        <f ca="1">IFERROR($J48*44/12*参考2_エネ使用量経年!BF49*参考2_エネ使用量経年!$J49,"")</f>
        <v/>
      </c>
      <c r="BG48" s="916" t="str">
        <f ca="1">IFERROR($K48*44/12*参考2_エネ使用量経年!BG49*参考2_エネ使用量経年!$K49,"")</f>
        <v/>
      </c>
      <c r="BH48" s="916" t="str">
        <f ca="1">IFERROR($H48*44/12*参考2_エネ使用量経年!BH49*参考2_エネ使用量経年!$H49,"")</f>
        <v/>
      </c>
      <c r="BI48" s="916" t="str">
        <f ca="1">IFERROR($I48*44/12*参考2_エネ使用量経年!BI49*参考2_エネ使用量経年!$I49,"")</f>
        <v/>
      </c>
      <c r="BJ48" s="916" t="str">
        <f ca="1">IFERROR($J48*44/12*参考2_エネ使用量経年!BJ49*参考2_エネ使用量経年!$J49,"")</f>
        <v/>
      </c>
      <c r="BK48" s="916" t="str">
        <f ca="1">IFERROR($K48*44/12*参考2_エネ使用量経年!BK49*参考2_エネ使用量経年!$K49,"")</f>
        <v/>
      </c>
      <c r="BL48" s="916" t="str">
        <f ca="1">IFERROR($H48*44/12*参考2_エネ使用量経年!BL49*参考2_エネ使用量経年!$H49,"")</f>
        <v/>
      </c>
      <c r="BM48" s="916" t="str">
        <f ca="1">IFERROR($I48*44/12*参考2_エネ使用量経年!BM49*参考2_エネ使用量経年!$I49,"")</f>
        <v/>
      </c>
      <c r="BN48" s="916" t="str">
        <f ca="1">IFERROR($J48*44/12*参考2_エネ使用量経年!BN49*参考2_エネ使用量経年!$J49,"")</f>
        <v/>
      </c>
      <c r="BO48" s="916" t="str">
        <f ca="1">IFERROR($K48*44/12*参考2_エネ使用量経年!BO49*参考2_エネ使用量経年!$K49,"")</f>
        <v/>
      </c>
    </row>
    <row r="49" spans="1:68" ht="20.100000000000001" hidden="1" customHeight="1" outlineLevel="1">
      <c r="A49" s="914">
        <v>49</v>
      </c>
      <c r="B49" s="1595"/>
      <c r="C49" s="1596"/>
      <c r="D49" s="793" t="s">
        <v>390</v>
      </c>
      <c r="E49" s="785"/>
      <c r="F49" s="786"/>
      <c r="G49" s="852" t="s">
        <v>1281</v>
      </c>
      <c r="H49" s="915">
        <f t="shared" ca="1" si="4"/>
        <v>1.7899999999999999E-2</v>
      </c>
      <c r="I49" s="915">
        <f t="shared" ca="1" si="5"/>
        <v>1.7899999999999999E-2</v>
      </c>
      <c r="J49" s="915">
        <f t="shared" ca="1" si="6"/>
        <v>1.7899999999999999E-2</v>
      </c>
      <c r="K49" s="915">
        <f t="shared" ca="1" si="7"/>
        <v>1.7899999999999999E-2</v>
      </c>
      <c r="L49" s="916">
        <f ca="1">IFERROR($H49*44/12*参考2_エネ使用量経年!L50*参考2_エネ使用量経年!$H50,"")</f>
        <v>0</v>
      </c>
      <c r="M49" s="916">
        <f ca="1">IFERROR($I49*44/12*参考2_エネ使用量経年!M50*参考2_エネ使用量経年!$I50,"")</f>
        <v>0</v>
      </c>
      <c r="N49" s="916">
        <f ca="1">IFERROR($J49*44/12*参考2_エネ使用量経年!N50*参考2_エネ使用量経年!$J50,"")</f>
        <v>0</v>
      </c>
      <c r="O49" s="916">
        <f ca="1">IFERROR($K49*44/12*参考2_エネ使用量経年!O50*参考2_エネ使用量経年!$K50,"")</f>
        <v>0</v>
      </c>
      <c r="P49" s="916">
        <f ca="1">IFERROR($H49*44/12*参考2_エネ使用量経年!P50*参考2_エネ使用量経年!$H50,"")</f>
        <v>0</v>
      </c>
      <c r="Q49" s="916">
        <f ca="1">IFERROR($I49*44/12*参考2_エネ使用量経年!Q50*参考2_エネ使用量経年!$I50,"")</f>
        <v>0</v>
      </c>
      <c r="R49" s="916">
        <f ca="1">IFERROR($J49*44/12*参考2_エネ使用量経年!R50*参考2_エネ使用量経年!$J50,"")</f>
        <v>0</v>
      </c>
      <c r="S49" s="916">
        <f ca="1">IFERROR($K49*44/12*参考2_エネ使用量経年!S50*参考2_エネ使用量経年!$K50,"")</f>
        <v>0</v>
      </c>
      <c r="T49" s="916">
        <f ca="1">IFERROR($H49*44/12*参考2_エネ使用量経年!T50*参考2_エネ使用量経年!$H50,"")</f>
        <v>0</v>
      </c>
      <c r="U49" s="916">
        <f ca="1">IFERROR($I49*44/12*参考2_エネ使用量経年!U50*参考2_エネ使用量経年!$I50,"")</f>
        <v>0</v>
      </c>
      <c r="V49" s="916">
        <f ca="1">IFERROR($J49*44/12*参考2_エネ使用量経年!V50*参考2_エネ使用量経年!$J50,"")</f>
        <v>0</v>
      </c>
      <c r="W49" s="916">
        <f ca="1">IFERROR($K49*44/12*参考2_エネ使用量経年!W50*参考2_エネ使用量経年!$K50,"")</f>
        <v>0</v>
      </c>
      <c r="X49" s="916">
        <f ca="1">IFERROR($H49*44/12*参考2_エネ使用量経年!X50*参考2_エネ使用量経年!$H50,"")</f>
        <v>0</v>
      </c>
      <c r="Y49" s="916">
        <f ca="1">IFERROR($I49*44/12*参考2_エネ使用量経年!Y50*参考2_エネ使用量経年!$I50,"")</f>
        <v>0</v>
      </c>
      <c r="Z49" s="916">
        <f ca="1">IFERROR($J49*44/12*参考2_エネ使用量経年!Z50*参考2_エネ使用量経年!$J50,"")</f>
        <v>0</v>
      </c>
      <c r="AA49" s="916">
        <f ca="1">IFERROR($K49*44/12*参考2_エネ使用量経年!AA50*参考2_エネ使用量経年!$K50,"")</f>
        <v>0</v>
      </c>
      <c r="AB49" s="916" t="str">
        <f ca="1">IFERROR($H49*44/12*参考2_エネ使用量経年!AB50*参考2_エネ使用量経年!$H50,"")</f>
        <v/>
      </c>
      <c r="AC49" s="916" t="str">
        <f ca="1">IFERROR($I49*44/12*参考2_エネ使用量経年!AC50*参考2_エネ使用量経年!$I50,"")</f>
        <v/>
      </c>
      <c r="AD49" s="916" t="str">
        <f ca="1">IFERROR($J49*44/12*参考2_エネ使用量経年!AD50*参考2_エネ使用量経年!$J50,"")</f>
        <v/>
      </c>
      <c r="AE49" s="916" t="str">
        <f ca="1">IFERROR($K49*44/12*参考2_エネ使用量経年!AE50*参考2_エネ使用量経年!$K50,"")</f>
        <v/>
      </c>
      <c r="AF49" s="916" t="str">
        <f ca="1">IFERROR($H49*44/12*参考2_エネ使用量経年!AF50*参考2_エネ使用量経年!$H50,"")</f>
        <v/>
      </c>
      <c r="AG49" s="916" t="str">
        <f ca="1">IFERROR($I49*44/12*参考2_エネ使用量経年!AG50*参考2_エネ使用量経年!$I50,"")</f>
        <v/>
      </c>
      <c r="AH49" s="916" t="str">
        <f ca="1">IFERROR($J49*44/12*参考2_エネ使用量経年!AH50*参考2_エネ使用量経年!$J50,"")</f>
        <v/>
      </c>
      <c r="AI49" s="916" t="str">
        <f ca="1">IFERROR($K49*44/12*参考2_エネ使用量経年!AI50*参考2_エネ使用量経年!$K50,"")</f>
        <v/>
      </c>
      <c r="AJ49" s="916" t="str">
        <f ca="1">IFERROR($H49*44/12*参考2_エネ使用量経年!AJ50*参考2_エネ使用量経年!$H50,"")</f>
        <v/>
      </c>
      <c r="AK49" s="916" t="str">
        <f ca="1">IFERROR($I49*44/12*参考2_エネ使用量経年!AK50*参考2_エネ使用量経年!$I50,"")</f>
        <v/>
      </c>
      <c r="AL49" s="916" t="str">
        <f ca="1">IFERROR($J49*44/12*参考2_エネ使用量経年!AL50*参考2_エネ使用量経年!$J50,"")</f>
        <v/>
      </c>
      <c r="AM49" s="916" t="str">
        <f ca="1">IFERROR($K49*44/12*参考2_エネ使用量経年!AM50*参考2_エネ使用量経年!$K50,"")</f>
        <v/>
      </c>
      <c r="AN49" s="916" t="str">
        <f ca="1">IFERROR($H49*44/12*参考2_エネ使用量経年!AN50*参考2_エネ使用量経年!$H50,"")</f>
        <v/>
      </c>
      <c r="AO49" s="916" t="str">
        <f ca="1">IFERROR($I49*44/12*参考2_エネ使用量経年!AO50*参考2_エネ使用量経年!$I50,"")</f>
        <v/>
      </c>
      <c r="AP49" s="916" t="str">
        <f ca="1">IFERROR($J49*44/12*参考2_エネ使用量経年!AP50*参考2_エネ使用量経年!$J50,"")</f>
        <v/>
      </c>
      <c r="AQ49" s="916" t="str">
        <f ca="1">IFERROR($K49*44/12*参考2_エネ使用量経年!AQ50*参考2_エネ使用量経年!$K50,"")</f>
        <v/>
      </c>
      <c r="AR49" s="916" t="str">
        <f ca="1">IFERROR($H49*44/12*参考2_エネ使用量経年!AR50*参考2_エネ使用量経年!$H50,"")</f>
        <v/>
      </c>
      <c r="AS49" s="916" t="str">
        <f ca="1">IFERROR($I49*44/12*参考2_エネ使用量経年!AS50*参考2_エネ使用量経年!$I50,"")</f>
        <v/>
      </c>
      <c r="AT49" s="916" t="str">
        <f ca="1">IFERROR($J49*44/12*参考2_エネ使用量経年!AT50*参考2_エネ使用量経年!$J50,"")</f>
        <v/>
      </c>
      <c r="AU49" s="916" t="str">
        <f ca="1">IFERROR($K49*44/12*参考2_エネ使用量経年!AU50*参考2_エネ使用量経年!$K50,"")</f>
        <v/>
      </c>
      <c r="AV49" s="916" t="str">
        <f ca="1">IFERROR($H49*44/12*参考2_エネ使用量経年!AV50*参考2_エネ使用量経年!$H50,"")</f>
        <v/>
      </c>
      <c r="AW49" s="916" t="str">
        <f ca="1">IFERROR($I49*44/12*参考2_エネ使用量経年!AW50*参考2_エネ使用量経年!$I50,"")</f>
        <v/>
      </c>
      <c r="AX49" s="916" t="str">
        <f ca="1">IFERROR($J49*44/12*参考2_エネ使用量経年!AX50*参考2_エネ使用量経年!$J50,"")</f>
        <v/>
      </c>
      <c r="AY49" s="916" t="str">
        <f ca="1">IFERROR($K49*44/12*参考2_エネ使用量経年!AY50*参考2_エネ使用量経年!$K50,"")</f>
        <v/>
      </c>
      <c r="AZ49" s="916" t="str">
        <f ca="1">IFERROR($H49*44/12*参考2_エネ使用量経年!AZ50*参考2_エネ使用量経年!$H50,"")</f>
        <v/>
      </c>
      <c r="BA49" s="916" t="str">
        <f ca="1">IFERROR($I49*44/12*参考2_エネ使用量経年!BA50*参考2_エネ使用量経年!$I50,"")</f>
        <v/>
      </c>
      <c r="BB49" s="916" t="str">
        <f ca="1">IFERROR($J49*44/12*参考2_エネ使用量経年!BB50*参考2_エネ使用量経年!$J50,"")</f>
        <v/>
      </c>
      <c r="BC49" s="916" t="str">
        <f ca="1">IFERROR($K49*44/12*参考2_エネ使用量経年!BC50*参考2_エネ使用量経年!$K50,"")</f>
        <v/>
      </c>
      <c r="BD49" s="916" t="str">
        <f ca="1">IFERROR($H49*44/12*参考2_エネ使用量経年!BD50*参考2_エネ使用量経年!$H50,"")</f>
        <v/>
      </c>
      <c r="BE49" s="916" t="str">
        <f ca="1">IFERROR($I49*44/12*参考2_エネ使用量経年!BE50*参考2_エネ使用量経年!$I50,"")</f>
        <v/>
      </c>
      <c r="BF49" s="916" t="str">
        <f ca="1">IFERROR($J49*44/12*参考2_エネ使用量経年!BF50*参考2_エネ使用量経年!$J50,"")</f>
        <v/>
      </c>
      <c r="BG49" s="916" t="str">
        <f ca="1">IFERROR($K49*44/12*参考2_エネ使用量経年!BG50*参考2_エネ使用量経年!$K50,"")</f>
        <v/>
      </c>
      <c r="BH49" s="916" t="str">
        <f ca="1">IFERROR($H49*44/12*参考2_エネ使用量経年!BH50*参考2_エネ使用量経年!$H50,"")</f>
        <v/>
      </c>
      <c r="BI49" s="916" t="str">
        <f ca="1">IFERROR($I49*44/12*参考2_エネ使用量経年!BI50*参考2_エネ使用量経年!$I50,"")</f>
        <v/>
      </c>
      <c r="BJ49" s="916" t="str">
        <f ca="1">IFERROR($J49*44/12*参考2_エネ使用量経年!BJ50*参考2_エネ使用量経年!$J50,"")</f>
        <v/>
      </c>
      <c r="BK49" s="916" t="str">
        <f ca="1">IFERROR($K49*44/12*参考2_エネ使用量経年!BK50*参考2_エネ使用量経年!$K50,"")</f>
        <v/>
      </c>
      <c r="BL49" s="916" t="str">
        <f ca="1">IFERROR($H49*44/12*参考2_エネ使用量経年!BL50*参考2_エネ使用量経年!$H50,"")</f>
        <v/>
      </c>
      <c r="BM49" s="916" t="str">
        <f ca="1">IFERROR($I49*44/12*参考2_エネ使用量経年!BM50*参考2_エネ使用量経年!$I50,"")</f>
        <v/>
      </c>
      <c r="BN49" s="916" t="str">
        <f ca="1">IFERROR($J49*44/12*参考2_エネ使用量経年!BN50*参考2_エネ使用量経年!$J50,"")</f>
        <v/>
      </c>
      <c r="BO49" s="916" t="str">
        <f ca="1">IFERROR($K49*44/12*参考2_エネ使用量経年!BO50*参考2_エネ使用量経年!$K50,"")</f>
        <v/>
      </c>
    </row>
    <row r="50" spans="1:68" ht="20.100000000000001" hidden="1" customHeight="1" outlineLevel="1">
      <c r="A50" s="914">
        <v>50</v>
      </c>
      <c r="B50" s="1594"/>
      <c r="C50" s="1596"/>
      <c r="D50" s="785" t="s">
        <v>391</v>
      </c>
      <c r="E50" s="785"/>
      <c r="F50" s="786"/>
      <c r="G50" s="852" t="s">
        <v>1281</v>
      </c>
      <c r="H50" s="915">
        <f t="shared" ca="1" si="4"/>
        <v>0</v>
      </c>
      <c r="I50" s="915">
        <f t="shared" ca="1" si="5"/>
        <v>0</v>
      </c>
      <c r="J50" s="915">
        <f t="shared" ca="1" si="6"/>
        <v>0</v>
      </c>
      <c r="K50" s="915">
        <f t="shared" ca="1" si="7"/>
        <v>0</v>
      </c>
      <c r="L50" s="916">
        <f ca="1">IFERROR($H50*44/12*参考2_エネ使用量経年!L51*参考2_エネ使用量経年!$H51,"")</f>
        <v>0</v>
      </c>
      <c r="M50" s="916">
        <f ca="1">IFERROR($I50*44/12*参考2_エネ使用量経年!M51*参考2_エネ使用量経年!$I51,"")</f>
        <v>0</v>
      </c>
      <c r="N50" s="916">
        <f ca="1">IFERROR($J50*44/12*参考2_エネ使用量経年!N51*参考2_エネ使用量経年!$J51,"")</f>
        <v>0</v>
      </c>
      <c r="O50" s="916">
        <f ca="1">IFERROR($K50*44/12*参考2_エネ使用量経年!O51*参考2_エネ使用量経年!$K51,"")</f>
        <v>0</v>
      </c>
      <c r="P50" s="916">
        <f ca="1">IFERROR($H50*44/12*参考2_エネ使用量経年!P51*参考2_エネ使用量経年!$H51,"")</f>
        <v>0</v>
      </c>
      <c r="Q50" s="916">
        <f ca="1">IFERROR($I50*44/12*参考2_エネ使用量経年!Q51*参考2_エネ使用量経年!$I51,"")</f>
        <v>0</v>
      </c>
      <c r="R50" s="916">
        <f ca="1">IFERROR($J50*44/12*参考2_エネ使用量経年!R51*参考2_エネ使用量経年!$J51,"")</f>
        <v>0</v>
      </c>
      <c r="S50" s="916">
        <f ca="1">IFERROR($K50*44/12*参考2_エネ使用量経年!S51*参考2_エネ使用量経年!$K51,"")</f>
        <v>0</v>
      </c>
      <c r="T50" s="916">
        <f ca="1">IFERROR($H50*44/12*参考2_エネ使用量経年!T51*参考2_エネ使用量経年!$H51,"")</f>
        <v>0</v>
      </c>
      <c r="U50" s="916">
        <f ca="1">IFERROR($I50*44/12*参考2_エネ使用量経年!U51*参考2_エネ使用量経年!$I51,"")</f>
        <v>0</v>
      </c>
      <c r="V50" s="916">
        <f ca="1">IFERROR($J50*44/12*参考2_エネ使用量経年!V51*参考2_エネ使用量経年!$J51,"")</f>
        <v>0</v>
      </c>
      <c r="W50" s="916">
        <f ca="1">IFERROR($K50*44/12*参考2_エネ使用量経年!W51*参考2_エネ使用量経年!$K51,"")</f>
        <v>0</v>
      </c>
      <c r="X50" s="916">
        <f ca="1">IFERROR($H50*44/12*参考2_エネ使用量経年!X51*参考2_エネ使用量経年!$H51,"")</f>
        <v>0</v>
      </c>
      <c r="Y50" s="916">
        <f ca="1">IFERROR($I50*44/12*参考2_エネ使用量経年!Y51*参考2_エネ使用量経年!$I51,"")</f>
        <v>0</v>
      </c>
      <c r="Z50" s="916">
        <f ca="1">IFERROR($J50*44/12*参考2_エネ使用量経年!Z51*参考2_エネ使用量経年!$J51,"")</f>
        <v>0</v>
      </c>
      <c r="AA50" s="916">
        <f ca="1">IFERROR($K50*44/12*参考2_エネ使用量経年!AA51*参考2_エネ使用量経年!$K51,"")</f>
        <v>0</v>
      </c>
      <c r="AB50" s="916" t="str">
        <f ca="1">IFERROR($H50*44/12*参考2_エネ使用量経年!AB51*参考2_エネ使用量経年!$H51,"")</f>
        <v/>
      </c>
      <c r="AC50" s="916" t="str">
        <f ca="1">IFERROR($I50*44/12*参考2_エネ使用量経年!AC51*参考2_エネ使用量経年!$I51,"")</f>
        <v/>
      </c>
      <c r="AD50" s="916" t="str">
        <f ca="1">IFERROR($J50*44/12*参考2_エネ使用量経年!AD51*参考2_エネ使用量経年!$J51,"")</f>
        <v/>
      </c>
      <c r="AE50" s="916" t="str">
        <f ca="1">IFERROR($K50*44/12*参考2_エネ使用量経年!AE51*参考2_エネ使用量経年!$K51,"")</f>
        <v/>
      </c>
      <c r="AF50" s="916" t="str">
        <f ca="1">IFERROR($H50*44/12*参考2_エネ使用量経年!AF51*参考2_エネ使用量経年!$H51,"")</f>
        <v/>
      </c>
      <c r="AG50" s="916" t="str">
        <f ca="1">IFERROR($I50*44/12*参考2_エネ使用量経年!AG51*参考2_エネ使用量経年!$I51,"")</f>
        <v/>
      </c>
      <c r="AH50" s="916" t="str">
        <f ca="1">IFERROR($J50*44/12*参考2_エネ使用量経年!AH51*参考2_エネ使用量経年!$J51,"")</f>
        <v/>
      </c>
      <c r="AI50" s="916" t="str">
        <f ca="1">IFERROR($K50*44/12*参考2_エネ使用量経年!AI51*参考2_エネ使用量経年!$K51,"")</f>
        <v/>
      </c>
      <c r="AJ50" s="916" t="str">
        <f ca="1">IFERROR($H50*44/12*参考2_エネ使用量経年!AJ51*参考2_エネ使用量経年!$H51,"")</f>
        <v/>
      </c>
      <c r="AK50" s="916" t="str">
        <f ca="1">IFERROR($I50*44/12*参考2_エネ使用量経年!AK51*参考2_エネ使用量経年!$I51,"")</f>
        <v/>
      </c>
      <c r="AL50" s="916" t="str">
        <f ca="1">IFERROR($J50*44/12*参考2_エネ使用量経年!AL51*参考2_エネ使用量経年!$J51,"")</f>
        <v/>
      </c>
      <c r="AM50" s="916" t="str">
        <f ca="1">IFERROR($K50*44/12*参考2_エネ使用量経年!AM51*参考2_エネ使用量経年!$K51,"")</f>
        <v/>
      </c>
      <c r="AN50" s="916" t="str">
        <f ca="1">IFERROR($H50*44/12*参考2_エネ使用量経年!AN51*参考2_エネ使用量経年!$H51,"")</f>
        <v/>
      </c>
      <c r="AO50" s="916" t="str">
        <f ca="1">IFERROR($I50*44/12*参考2_エネ使用量経年!AO51*参考2_エネ使用量経年!$I51,"")</f>
        <v/>
      </c>
      <c r="AP50" s="916" t="str">
        <f ca="1">IFERROR($J50*44/12*参考2_エネ使用量経年!AP51*参考2_エネ使用量経年!$J51,"")</f>
        <v/>
      </c>
      <c r="AQ50" s="916" t="str">
        <f ca="1">IFERROR($K50*44/12*参考2_エネ使用量経年!AQ51*参考2_エネ使用量経年!$K51,"")</f>
        <v/>
      </c>
      <c r="AR50" s="916" t="str">
        <f ca="1">IFERROR($H50*44/12*参考2_エネ使用量経年!AR51*参考2_エネ使用量経年!$H51,"")</f>
        <v/>
      </c>
      <c r="AS50" s="916" t="str">
        <f ca="1">IFERROR($I50*44/12*参考2_エネ使用量経年!AS51*参考2_エネ使用量経年!$I51,"")</f>
        <v/>
      </c>
      <c r="AT50" s="916" t="str">
        <f ca="1">IFERROR($J50*44/12*参考2_エネ使用量経年!AT51*参考2_エネ使用量経年!$J51,"")</f>
        <v/>
      </c>
      <c r="AU50" s="916" t="str">
        <f ca="1">IFERROR($K50*44/12*参考2_エネ使用量経年!AU51*参考2_エネ使用量経年!$K51,"")</f>
        <v/>
      </c>
      <c r="AV50" s="916" t="str">
        <f ca="1">IFERROR($H50*44/12*参考2_エネ使用量経年!AV51*参考2_エネ使用量経年!$H51,"")</f>
        <v/>
      </c>
      <c r="AW50" s="916" t="str">
        <f ca="1">IFERROR($I50*44/12*参考2_エネ使用量経年!AW51*参考2_エネ使用量経年!$I51,"")</f>
        <v/>
      </c>
      <c r="AX50" s="916" t="str">
        <f ca="1">IFERROR($J50*44/12*参考2_エネ使用量経年!AX51*参考2_エネ使用量経年!$J51,"")</f>
        <v/>
      </c>
      <c r="AY50" s="916" t="str">
        <f ca="1">IFERROR($K50*44/12*参考2_エネ使用量経年!AY51*参考2_エネ使用量経年!$K51,"")</f>
        <v/>
      </c>
      <c r="AZ50" s="916" t="str">
        <f ca="1">IFERROR($H50*44/12*参考2_エネ使用量経年!AZ51*参考2_エネ使用量経年!$H51,"")</f>
        <v/>
      </c>
      <c r="BA50" s="916" t="str">
        <f ca="1">IFERROR($I50*44/12*参考2_エネ使用量経年!BA51*参考2_エネ使用量経年!$I51,"")</f>
        <v/>
      </c>
      <c r="BB50" s="916" t="str">
        <f ca="1">IFERROR($J50*44/12*参考2_エネ使用量経年!BB51*参考2_エネ使用量経年!$J51,"")</f>
        <v/>
      </c>
      <c r="BC50" s="916" t="str">
        <f ca="1">IFERROR($K50*44/12*参考2_エネ使用量経年!BC51*参考2_エネ使用量経年!$K51,"")</f>
        <v/>
      </c>
      <c r="BD50" s="916" t="str">
        <f ca="1">IFERROR($H50*44/12*参考2_エネ使用量経年!BD51*参考2_エネ使用量経年!$H51,"")</f>
        <v/>
      </c>
      <c r="BE50" s="916" t="str">
        <f ca="1">IFERROR($I50*44/12*参考2_エネ使用量経年!BE51*参考2_エネ使用量経年!$I51,"")</f>
        <v/>
      </c>
      <c r="BF50" s="916" t="str">
        <f ca="1">IFERROR($J50*44/12*参考2_エネ使用量経年!BF51*参考2_エネ使用量経年!$J51,"")</f>
        <v/>
      </c>
      <c r="BG50" s="916" t="str">
        <f ca="1">IFERROR($K50*44/12*参考2_エネ使用量経年!BG51*参考2_エネ使用量経年!$K51,"")</f>
        <v/>
      </c>
      <c r="BH50" s="916" t="str">
        <f ca="1">IFERROR($H50*44/12*参考2_エネ使用量経年!BH51*参考2_エネ使用量経年!$H51,"")</f>
        <v/>
      </c>
      <c r="BI50" s="916" t="str">
        <f ca="1">IFERROR($I50*44/12*参考2_エネ使用量経年!BI51*参考2_エネ使用量経年!$I51,"")</f>
        <v/>
      </c>
      <c r="BJ50" s="916" t="str">
        <f ca="1">IFERROR($J50*44/12*参考2_エネ使用量経年!BJ51*参考2_エネ使用量経年!$J51,"")</f>
        <v/>
      </c>
      <c r="BK50" s="916" t="str">
        <f ca="1">IFERROR($K50*44/12*参考2_エネ使用量経年!BK51*参考2_エネ使用量経年!$K51,"")</f>
        <v/>
      </c>
      <c r="BL50" s="916" t="str">
        <f ca="1">IFERROR($H50*44/12*参考2_エネ使用量経年!BL51*参考2_エネ使用量経年!$H51,"")</f>
        <v/>
      </c>
      <c r="BM50" s="916" t="str">
        <f ca="1">IFERROR($I50*44/12*参考2_エネ使用量経年!BM51*参考2_エネ使用量経年!$I51,"")</f>
        <v/>
      </c>
      <c r="BN50" s="916" t="str">
        <f ca="1">IFERROR($J50*44/12*参考2_エネ使用量経年!BN51*参考2_エネ使用量経年!$J51,"")</f>
        <v/>
      </c>
      <c r="BO50" s="916" t="str">
        <f ca="1">IFERROR($K50*44/12*参考2_エネ使用量経年!BO51*参考2_エネ使用量経年!$K51,"")</f>
        <v/>
      </c>
    </row>
    <row r="51" spans="1:68" ht="20.100000000000001" hidden="1" customHeight="1" outlineLevel="1">
      <c r="A51" s="914">
        <v>51</v>
      </c>
      <c r="B51" s="1594"/>
      <c r="C51" s="1596"/>
      <c r="D51" s="785" t="s">
        <v>392</v>
      </c>
      <c r="E51" s="785"/>
      <c r="F51" s="786"/>
      <c r="G51" s="852" t="s">
        <v>1281</v>
      </c>
      <c r="H51" s="915">
        <f t="shared" ca="1" si="4"/>
        <v>0</v>
      </c>
      <c r="I51" s="915">
        <f t="shared" ca="1" si="5"/>
        <v>0</v>
      </c>
      <c r="J51" s="915">
        <f t="shared" ca="1" si="6"/>
        <v>0</v>
      </c>
      <c r="K51" s="915">
        <f t="shared" ca="1" si="7"/>
        <v>0</v>
      </c>
      <c r="L51" s="916">
        <f ca="1">IFERROR($H51*44/12*参考2_エネ使用量経年!L52*参考2_エネ使用量経年!$H52,"")</f>
        <v>0</v>
      </c>
      <c r="M51" s="916">
        <f ca="1">IFERROR($I51*44/12*参考2_エネ使用量経年!M52*参考2_エネ使用量経年!$I52,"")</f>
        <v>0</v>
      </c>
      <c r="N51" s="916">
        <f ca="1">IFERROR($J51*44/12*参考2_エネ使用量経年!N52*参考2_エネ使用量経年!$J52,"")</f>
        <v>0</v>
      </c>
      <c r="O51" s="916">
        <f ca="1">IFERROR($K51*44/12*参考2_エネ使用量経年!O52*参考2_エネ使用量経年!$K52,"")</f>
        <v>0</v>
      </c>
      <c r="P51" s="916">
        <f ca="1">IFERROR($H51*44/12*参考2_エネ使用量経年!P52*参考2_エネ使用量経年!$H52,"")</f>
        <v>0</v>
      </c>
      <c r="Q51" s="916">
        <f ca="1">IFERROR($I51*44/12*参考2_エネ使用量経年!Q52*参考2_エネ使用量経年!$I52,"")</f>
        <v>0</v>
      </c>
      <c r="R51" s="916">
        <f ca="1">IFERROR($J51*44/12*参考2_エネ使用量経年!R52*参考2_エネ使用量経年!$J52,"")</f>
        <v>0</v>
      </c>
      <c r="S51" s="916">
        <f ca="1">IFERROR($K51*44/12*参考2_エネ使用量経年!S52*参考2_エネ使用量経年!$K52,"")</f>
        <v>0</v>
      </c>
      <c r="T51" s="916">
        <f ca="1">IFERROR($H51*44/12*参考2_エネ使用量経年!T52*参考2_エネ使用量経年!$H52,"")</f>
        <v>0</v>
      </c>
      <c r="U51" s="916">
        <f ca="1">IFERROR($I51*44/12*参考2_エネ使用量経年!U52*参考2_エネ使用量経年!$I52,"")</f>
        <v>0</v>
      </c>
      <c r="V51" s="916">
        <f ca="1">IFERROR($J51*44/12*参考2_エネ使用量経年!V52*参考2_エネ使用量経年!$J52,"")</f>
        <v>0</v>
      </c>
      <c r="W51" s="916">
        <f ca="1">IFERROR($K51*44/12*参考2_エネ使用量経年!W52*参考2_エネ使用量経年!$K52,"")</f>
        <v>0</v>
      </c>
      <c r="X51" s="916">
        <f ca="1">IFERROR($H51*44/12*参考2_エネ使用量経年!X52*参考2_エネ使用量経年!$H52,"")</f>
        <v>0</v>
      </c>
      <c r="Y51" s="916">
        <f ca="1">IFERROR($I51*44/12*参考2_エネ使用量経年!Y52*参考2_エネ使用量経年!$I52,"")</f>
        <v>0</v>
      </c>
      <c r="Z51" s="916">
        <f ca="1">IFERROR($J51*44/12*参考2_エネ使用量経年!Z52*参考2_エネ使用量経年!$J52,"")</f>
        <v>0</v>
      </c>
      <c r="AA51" s="916">
        <f ca="1">IFERROR($K51*44/12*参考2_エネ使用量経年!AA52*参考2_エネ使用量経年!$K52,"")</f>
        <v>0</v>
      </c>
      <c r="AB51" s="916" t="str">
        <f ca="1">IFERROR($H51*44/12*参考2_エネ使用量経年!AB52*参考2_エネ使用量経年!$H52,"")</f>
        <v/>
      </c>
      <c r="AC51" s="916" t="str">
        <f ca="1">IFERROR($I51*44/12*参考2_エネ使用量経年!AC52*参考2_エネ使用量経年!$I52,"")</f>
        <v/>
      </c>
      <c r="AD51" s="916" t="str">
        <f ca="1">IFERROR($J51*44/12*参考2_エネ使用量経年!AD52*参考2_エネ使用量経年!$J52,"")</f>
        <v/>
      </c>
      <c r="AE51" s="916" t="str">
        <f ca="1">IFERROR($K51*44/12*参考2_エネ使用量経年!AE52*参考2_エネ使用量経年!$K52,"")</f>
        <v/>
      </c>
      <c r="AF51" s="916" t="str">
        <f ca="1">IFERROR($H51*44/12*参考2_エネ使用量経年!AF52*参考2_エネ使用量経年!$H52,"")</f>
        <v/>
      </c>
      <c r="AG51" s="916" t="str">
        <f ca="1">IFERROR($I51*44/12*参考2_エネ使用量経年!AG52*参考2_エネ使用量経年!$I52,"")</f>
        <v/>
      </c>
      <c r="AH51" s="916" t="str">
        <f ca="1">IFERROR($J51*44/12*参考2_エネ使用量経年!AH52*参考2_エネ使用量経年!$J52,"")</f>
        <v/>
      </c>
      <c r="AI51" s="916" t="str">
        <f ca="1">IFERROR($K51*44/12*参考2_エネ使用量経年!AI52*参考2_エネ使用量経年!$K52,"")</f>
        <v/>
      </c>
      <c r="AJ51" s="916" t="str">
        <f ca="1">IFERROR($H51*44/12*参考2_エネ使用量経年!AJ52*参考2_エネ使用量経年!$H52,"")</f>
        <v/>
      </c>
      <c r="AK51" s="916" t="str">
        <f ca="1">IFERROR($I51*44/12*参考2_エネ使用量経年!AK52*参考2_エネ使用量経年!$I52,"")</f>
        <v/>
      </c>
      <c r="AL51" s="916" t="str">
        <f ca="1">IFERROR($J51*44/12*参考2_エネ使用量経年!AL52*参考2_エネ使用量経年!$J52,"")</f>
        <v/>
      </c>
      <c r="AM51" s="916" t="str">
        <f ca="1">IFERROR($K51*44/12*参考2_エネ使用量経年!AM52*参考2_エネ使用量経年!$K52,"")</f>
        <v/>
      </c>
      <c r="AN51" s="916" t="str">
        <f ca="1">IFERROR($H51*44/12*参考2_エネ使用量経年!AN52*参考2_エネ使用量経年!$H52,"")</f>
        <v/>
      </c>
      <c r="AO51" s="916" t="str">
        <f ca="1">IFERROR($I51*44/12*参考2_エネ使用量経年!AO52*参考2_エネ使用量経年!$I52,"")</f>
        <v/>
      </c>
      <c r="AP51" s="916" t="str">
        <f ca="1">IFERROR($J51*44/12*参考2_エネ使用量経年!AP52*参考2_エネ使用量経年!$J52,"")</f>
        <v/>
      </c>
      <c r="AQ51" s="916" t="str">
        <f ca="1">IFERROR($K51*44/12*参考2_エネ使用量経年!AQ52*参考2_エネ使用量経年!$K52,"")</f>
        <v/>
      </c>
      <c r="AR51" s="916" t="str">
        <f ca="1">IFERROR($H51*44/12*参考2_エネ使用量経年!AR52*参考2_エネ使用量経年!$H52,"")</f>
        <v/>
      </c>
      <c r="AS51" s="916" t="str">
        <f ca="1">IFERROR($I51*44/12*参考2_エネ使用量経年!AS52*参考2_エネ使用量経年!$I52,"")</f>
        <v/>
      </c>
      <c r="AT51" s="916" t="str">
        <f ca="1">IFERROR($J51*44/12*参考2_エネ使用量経年!AT52*参考2_エネ使用量経年!$J52,"")</f>
        <v/>
      </c>
      <c r="AU51" s="916" t="str">
        <f ca="1">IFERROR($K51*44/12*参考2_エネ使用量経年!AU52*参考2_エネ使用量経年!$K52,"")</f>
        <v/>
      </c>
      <c r="AV51" s="916" t="str">
        <f ca="1">IFERROR($H51*44/12*参考2_エネ使用量経年!AV52*参考2_エネ使用量経年!$H52,"")</f>
        <v/>
      </c>
      <c r="AW51" s="916" t="str">
        <f ca="1">IFERROR($I51*44/12*参考2_エネ使用量経年!AW52*参考2_エネ使用量経年!$I52,"")</f>
        <v/>
      </c>
      <c r="AX51" s="916" t="str">
        <f ca="1">IFERROR($J51*44/12*参考2_エネ使用量経年!AX52*参考2_エネ使用量経年!$J52,"")</f>
        <v/>
      </c>
      <c r="AY51" s="916" t="str">
        <f ca="1">IFERROR($K51*44/12*参考2_エネ使用量経年!AY52*参考2_エネ使用量経年!$K52,"")</f>
        <v/>
      </c>
      <c r="AZ51" s="916" t="str">
        <f ca="1">IFERROR($H51*44/12*参考2_エネ使用量経年!AZ52*参考2_エネ使用量経年!$H52,"")</f>
        <v/>
      </c>
      <c r="BA51" s="916" t="str">
        <f ca="1">IFERROR($I51*44/12*参考2_エネ使用量経年!BA52*参考2_エネ使用量経年!$I52,"")</f>
        <v/>
      </c>
      <c r="BB51" s="916" t="str">
        <f ca="1">IFERROR($J51*44/12*参考2_エネ使用量経年!BB52*参考2_エネ使用量経年!$J52,"")</f>
        <v/>
      </c>
      <c r="BC51" s="916" t="str">
        <f ca="1">IFERROR($K51*44/12*参考2_エネ使用量経年!BC52*参考2_エネ使用量経年!$K52,"")</f>
        <v/>
      </c>
      <c r="BD51" s="916" t="str">
        <f ca="1">IFERROR($H51*44/12*参考2_エネ使用量経年!BD52*参考2_エネ使用量経年!$H52,"")</f>
        <v/>
      </c>
      <c r="BE51" s="916" t="str">
        <f ca="1">IFERROR($I51*44/12*参考2_エネ使用量経年!BE52*参考2_エネ使用量経年!$I52,"")</f>
        <v/>
      </c>
      <c r="BF51" s="916" t="str">
        <f ca="1">IFERROR($J51*44/12*参考2_エネ使用量経年!BF52*参考2_エネ使用量経年!$J52,"")</f>
        <v/>
      </c>
      <c r="BG51" s="916" t="str">
        <f ca="1">IFERROR($K51*44/12*参考2_エネ使用量経年!BG52*参考2_エネ使用量経年!$K52,"")</f>
        <v/>
      </c>
      <c r="BH51" s="916" t="str">
        <f ca="1">IFERROR($H51*44/12*参考2_エネ使用量経年!BH52*参考2_エネ使用量経年!$H52,"")</f>
        <v/>
      </c>
      <c r="BI51" s="916" t="str">
        <f ca="1">IFERROR($I51*44/12*参考2_エネ使用量経年!BI52*参考2_エネ使用量経年!$I52,"")</f>
        <v/>
      </c>
      <c r="BJ51" s="916" t="str">
        <f ca="1">IFERROR($J51*44/12*参考2_エネ使用量経年!BJ52*参考2_エネ使用量経年!$J52,"")</f>
        <v/>
      </c>
      <c r="BK51" s="916" t="str">
        <f ca="1">IFERROR($K51*44/12*参考2_エネ使用量経年!BK52*参考2_エネ使用量経年!$K52,"")</f>
        <v/>
      </c>
      <c r="BL51" s="916" t="str">
        <f ca="1">IFERROR($H51*44/12*参考2_エネ使用量経年!BL52*参考2_エネ使用量経年!$H52,"")</f>
        <v/>
      </c>
      <c r="BM51" s="916" t="str">
        <f ca="1">IFERROR($I51*44/12*参考2_エネ使用量経年!BM52*参考2_エネ使用量経年!$I52,"")</f>
        <v/>
      </c>
      <c r="BN51" s="916" t="str">
        <f ca="1">IFERROR($J51*44/12*参考2_エネ使用量経年!BN52*参考2_エネ使用量経年!$J52,"")</f>
        <v/>
      </c>
      <c r="BO51" s="916" t="str">
        <f ca="1">IFERROR($K51*44/12*参考2_エネ使用量経年!BO52*参考2_エネ使用量経年!$K52,"")</f>
        <v/>
      </c>
    </row>
    <row r="52" spans="1:68" ht="20.100000000000001" hidden="1" customHeight="1" outlineLevel="1">
      <c r="A52" s="914">
        <v>52</v>
      </c>
      <c r="B52" s="1594"/>
      <c r="C52" s="1596"/>
      <c r="D52" s="785" t="s">
        <v>393</v>
      </c>
      <c r="E52" s="785"/>
      <c r="F52" s="786"/>
      <c r="G52" s="852" t="s">
        <v>1281</v>
      </c>
      <c r="H52" s="915">
        <f t="shared" ca="1" si="4"/>
        <v>0</v>
      </c>
      <c r="I52" s="915">
        <f t="shared" ca="1" si="5"/>
        <v>0</v>
      </c>
      <c r="J52" s="915">
        <f t="shared" ca="1" si="6"/>
        <v>0</v>
      </c>
      <c r="K52" s="915">
        <f t="shared" ca="1" si="7"/>
        <v>0</v>
      </c>
      <c r="L52" s="916">
        <f ca="1">IFERROR($H52*44/12*参考2_エネ使用量経年!L53*参考2_エネ使用量経年!$H53,"")</f>
        <v>0</v>
      </c>
      <c r="M52" s="916">
        <f ca="1">IFERROR($I52*44/12*参考2_エネ使用量経年!M53*参考2_エネ使用量経年!$I53,"")</f>
        <v>0</v>
      </c>
      <c r="N52" s="916">
        <f ca="1">IFERROR($J52*44/12*参考2_エネ使用量経年!N53*参考2_エネ使用量経年!$J53,"")</f>
        <v>0</v>
      </c>
      <c r="O52" s="916">
        <f ca="1">IFERROR($K52*44/12*参考2_エネ使用量経年!O53*参考2_エネ使用量経年!$K53,"")</f>
        <v>0</v>
      </c>
      <c r="P52" s="916">
        <f ca="1">IFERROR($H52*44/12*参考2_エネ使用量経年!P53*参考2_エネ使用量経年!$H53,"")</f>
        <v>0</v>
      </c>
      <c r="Q52" s="916">
        <f ca="1">IFERROR($I52*44/12*参考2_エネ使用量経年!Q53*参考2_エネ使用量経年!$I53,"")</f>
        <v>0</v>
      </c>
      <c r="R52" s="916">
        <f ca="1">IFERROR($J52*44/12*参考2_エネ使用量経年!R53*参考2_エネ使用量経年!$J53,"")</f>
        <v>0</v>
      </c>
      <c r="S52" s="916">
        <f ca="1">IFERROR($K52*44/12*参考2_エネ使用量経年!S53*参考2_エネ使用量経年!$K53,"")</f>
        <v>0</v>
      </c>
      <c r="T52" s="916">
        <f ca="1">IFERROR($H52*44/12*参考2_エネ使用量経年!T53*参考2_エネ使用量経年!$H53,"")</f>
        <v>0</v>
      </c>
      <c r="U52" s="916">
        <f ca="1">IFERROR($I52*44/12*参考2_エネ使用量経年!U53*参考2_エネ使用量経年!$I53,"")</f>
        <v>0</v>
      </c>
      <c r="V52" s="916">
        <f ca="1">IFERROR($J52*44/12*参考2_エネ使用量経年!V53*参考2_エネ使用量経年!$J53,"")</f>
        <v>0</v>
      </c>
      <c r="W52" s="916">
        <f ca="1">IFERROR($K52*44/12*参考2_エネ使用量経年!W53*参考2_エネ使用量経年!$K53,"")</f>
        <v>0</v>
      </c>
      <c r="X52" s="916">
        <f ca="1">IFERROR($H52*44/12*参考2_エネ使用量経年!X53*参考2_エネ使用量経年!$H53,"")</f>
        <v>0</v>
      </c>
      <c r="Y52" s="916">
        <f ca="1">IFERROR($I52*44/12*参考2_エネ使用量経年!Y53*参考2_エネ使用量経年!$I53,"")</f>
        <v>0</v>
      </c>
      <c r="Z52" s="916">
        <f ca="1">IFERROR($J52*44/12*参考2_エネ使用量経年!Z53*参考2_エネ使用量経年!$J53,"")</f>
        <v>0</v>
      </c>
      <c r="AA52" s="916">
        <f ca="1">IFERROR($K52*44/12*参考2_エネ使用量経年!AA53*参考2_エネ使用量経年!$K53,"")</f>
        <v>0</v>
      </c>
      <c r="AB52" s="916" t="str">
        <f ca="1">IFERROR($H52*44/12*参考2_エネ使用量経年!AB53*参考2_エネ使用量経年!$H53,"")</f>
        <v/>
      </c>
      <c r="AC52" s="916" t="str">
        <f ca="1">IFERROR($I52*44/12*参考2_エネ使用量経年!AC53*参考2_エネ使用量経年!$I53,"")</f>
        <v/>
      </c>
      <c r="AD52" s="916" t="str">
        <f ca="1">IFERROR($J52*44/12*参考2_エネ使用量経年!AD53*参考2_エネ使用量経年!$J53,"")</f>
        <v/>
      </c>
      <c r="AE52" s="916" t="str">
        <f ca="1">IFERROR($K52*44/12*参考2_エネ使用量経年!AE53*参考2_エネ使用量経年!$K53,"")</f>
        <v/>
      </c>
      <c r="AF52" s="916" t="str">
        <f ca="1">IFERROR($H52*44/12*参考2_エネ使用量経年!AF53*参考2_エネ使用量経年!$H53,"")</f>
        <v/>
      </c>
      <c r="AG52" s="916" t="str">
        <f ca="1">IFERROR($I52*44/12*参考2_エネ使用量経年!AG53*参考2_エネ使用量経年!$I53,"")</f>
        <v/>
      </c>
      <c r="AH52" s="916" t="str">
        <f ca="1">IFERROR($J52*44/12*参考2_エネ使用量経年!AH53*参考2_エネ使用量経年!$J53,"")</f>
        <v/>
      </c>
      <c r="AI52" s="916" t="str">
        <f ca="1">IFERROR($K52*44/12*参考2_エネ使用量経年!AI53*参考2_エネ使用量経年!$K53,"")</f>
        <v/>
      </c>
      <c r="AJ52" s="916" t="str">
        <f ca="1">IFERROR($H52*44/12*参考2_エネ使用量経年!AJ53*参考2_エネ使用量経年!$H53,"")</f>
        <v/>
      </c>
      <c r="AK52" s="916" t="str">
        <f ca="1">IFERROR($I52*44/12*参考2_エネ使用量経年!AK53*参考2_エネ使用量経年!$I53,"")</f>
        <v/>
      </c>
      <c r="AL52" s="916" t="str">
        <f ca="1">IFERROR($J52*44/12*参考2_エネ使用量経年!AL53*参考2_エネ使用量経年!$J53,"")</f>
        <v/>
      </c>
      <c r="AM52" s="916" t="str">
        <f ca="1">IFERROR($K52*44/12*参考2_エネ使用量経年!AM53*参考2_エネ使用量経年!$K53,"")</f>
        <v/>
      </c>
      <c r="AN52" s="916" t="str">
        <f ca="1">IFERROR($H52*44/12*参考2_エネ使用量経年!AN53*参考2_エネ使用量経年!$H53,"")</f>
        <v/>
      </c>
      <c r="AO52" s="916" t="str">
        <f ca="1">IFERROR($I52*44/12*参考2_エネ使用量経年!AO53*参考2_エネ使用量経年!$I53,"")</f>
        <v/>
      </c>
      <c r="AP52" s="916" t="str">
        <f ca="1">IFERROR($J52*44/12*参考2_エネ使用量経年!AP53*参考2_エネ使用量経年!$J53,"")</f>
        <v/>
      </c>
      <c r="AQ52" s="916" t="str">
        <f ca="1">IFERROR($K52*44/12*参考2_エネ使用量経年!AQ53*参考2_エネ使用量経年!$K53,"")</f>
        <v/>
      </c>
      <c r="AR52" s="916" t="str">
        <f ca="1">IFERROR($H52*44/12*参考2_エネ使用量経年!AR53*参考2_エネ使用量経年!$H53,"")</f>
        <v/>
      </c>
      <c r="AS52" s="916" t="str">
        <f ca="1">IFERROR($I52*44/12*参考2_エネ使用量経年!AS53*参考2_エネ使用量経年!$I53,"")</f>
        <v/>
      </c>
      <c r="AT52" s="916" t="str">
        <f ca="1">IFERROR($J52*44/12*参考2_エネ使用量経年!AT53*参考2_エネ使用量経年!$J53,"")</f>
        <v/>
      </c>
      <c r="AU52" s="916" t="str">
        <f ca="1">IFERROR($K52*44/12*参考2_エネ使用量経年!AU53*参考2_エネ使用量経年!$K53,"")</f>
        <v/>
      </c>
      <c r="AV52" s="916" t="str">
        <f ca="1">IFERROR($H52*44/12*参考2_エネ使用量経年!AV53*参考2_エネ使用量経年!$H53,"")</f>
        <v/>
      </c>
      <c r="AW52" s="916" t="str">
        <f ca="1">IFERROR($I52*44/12*参考2_エネ使用量経年!AW53*参考2_エネ使用量経年!$I53,"")</f>
        <v/>
      </c>
      <c r="AX52" s="916" t="str">
        <f ca="1">IFERROR($J52*44/12*参考2_エネ使用量経年!AX53*参考2_エネ使用量経年!$J53,"")</f>
        <v/>
      </c>
      <c r="AY52" s="916" t="str">
        <f ca="1">IFERROR($K52*44/12*参考2_エネ使用量経年!AY53*参考2_エネ使用量経年!$K53,"")</f>
        <v/>
      </c>
      <c r="AZ52" s="916" t="str">
        <f ca="1">IFERROR($H52*44/12*参考2_エネ使用量経年!AZ53*参考2_エネ使用量経年!$H53,"")</f>
        <v/>
      </c>
      <c r="BA52" s="916" t="str">
        <f ca="1">IFERROR($I52*44/12*参考2_エネ使用量経年!BA53*参考2_エネ使用量経年!$I53,"")</f>
        <v/>
      </c>
      <c r="BB52" s="916" t="str">
        <f ca="1">IFERROR($J52*44/12*参考2_エネ使用量経年!BB53*参考2_エネ使用量経年!$J53,"")</f>
        <v/>
      </c>
      <c r="BC52" s="916" t="str">
        <f ca="1">IFERROR($K52*44/12*参考2_エネ使用量経年!BC53*参考2_エネ使用量経年!$K53,"")</f>
        <v/>
      </c>
      <c r="BD52" s="916" t="str">
        <f ca="1">IFERROR($H52*44/12*参考2_エネ使用量経年!BD53*参考2_エネ使用量経年!$H53,"")</f>
        <v/>
      </c>
      <c r="BE52" s="916" t="str">
        <f ca="1">IFERROR($I52*44/12*参考2_エネ使用量経年!BE53*参考2_エネ使用量経年!$I53,"")</f>
        <v/>
      </c>
      <c r="BF52" s="916" t="str">
        <f ca="1">IFERROR($J52*44/12*参考2_エネ使用量経年!BF53*参考2_エネ使用量経年!$J53,"")</f>
        <v/>
      </c>
      <c r="BG52" s="916" t="str">
        <f ca="1">IFERROR($K52*44/12*参考2_エネ使用量経年!BG53*参考2_エネ使用量経年!$K53,"")</f>
        <v/>
      </c>
      <c r="BH52" s="916" t="str">
        <f ca="1">IFERROR($H52*44/12*参考2_エネ使用量経年!BH53*参考2_エネ使用量経年!$H53,"")</f>
        <v/>
      </c>
      <c r="BI52" s="916" t="str">
        <f ca="1">IFERROR($I52*44/12*参考2_エネ使用量経年!BI53*参考2_エネ使用量経年!$I53,"")</f>
        <v/>
      </c>
      <c r="BJ52" s="916" t="str">
        <f ca="1">IFERROR($J52*44/12*参考2_エネ使用量経年!BJ53*参考2_エネ使用量経年!$J53,"")</f>
        <v/>
      </c>
      <c r="BK52" s="916" t="str">
        <f ca="1">IFERROR($K52*44/12*参考2_エネ使用量経年!BK53*参考2_エネ使用量経年!$K53,"")</f>
        <v/>
      </c>
      <c r="BL52" s="916" t="str">
        <f ca="1">IFERROR($H52*44/12*参考2_エネ使用量経年!BL53*参考2_エネ使用量経年!$H53,"")</f>
        <v/>
      </c>
      <c r="BM52" s="916" t="str">
        <f ca="1">IFERROR($I52*44/12*参考2_エネ使用量経年!BM53*参考2_エネ使用量経年!$I53,"")</f>
        <v/>
      </c>
      <c r="BN52" s="916" t="str">
        <f ca="1">IFERROR($J52*44/12*参考2_エネ使用量経年!BN53*参考2_エネ使用量経年!$J53,"")</f>
        <v/>
      </c>
      <c r="BO52" s="916" t="str">
        <f ca="1">IFERROR($K52*44/12*参考2_エネ使用量経年!BO53*参考2_エネ使用量経年!$K53,"")</f>
        <v/>
      </c>
    </row>
    <row r="53" spans="1:68" ht="20.100000000000001" hidden="1" customHeight="1" outlineLevel="1">
      <c r="A53" s="914">
        <v>53</v>
      </c>
      <c r="B53" s="1594"/>
      <c r="C53" s="1596"/>
      <c r="D53" s="785" t="s">
        <v>394</v>
      </c>
      <c r="E53" s="785"/>
      <c r="F53" s="786"/>
      <c r="G53" s="852" t="s">
        <v>1281</v>
      </c>
      <c r="H53" s="915">
        <f t="shared" ca="1" si="4"/>
        <v>0</v>
      </c>
      <c r="I53" s="915">
        <f t="shared" ca="1" si="5"/>
        <v>0</v>
      </c>
      <c r="J53" s="915">
        <f t="shared" ca="1" si="6"/>
        <v>0</v>
      </c>
      <c r="K53" s="915">
        <f t="shared" ca="1" si="7"/>
        <v>0</v>
      </c>
      <c r="L53" s="916">
        <f ca="1">IFERROR($H53*44/12*参考2_エネ使用量経年!L54*参考2_エネ使用量経年!$H54,"")</f>
        <v>0</v>
      </c>
      <c r="M53" s="916">
        <f ca="1">IFERROR($I53*44/12*参考2_エネ使用量経年!M54*参考2_エネ使用量経年!$I54,"")</f>
        <v>0</v>
      </c>
      <c r="N53" s="916">
        <f ca="1">IFERROR($J53*44/12*参考2_エネ使用量経年!N54*参考2_エネ使用量経年!$J54,"")</f>
        <v>0</v>
      </c>
      <c r="O53" s="916">
        <f ca="1">IFERROR($K53*44/12*参考2_エネ使用量経年!O54*参考2_エネ使用量経年!$K54,"")</f>
        <v>0</v>
      </c>
      <c r="P53" s="916">
        <f ca="1">IFERROR($H53*44/12*参考2_エネ使用量経年!P54*参考2_エネ使用量経年!$H54,"")</f>
        <v>0</v>
      </c>
      <c r="Q53" s="916">
        <f ca="1">IFERROR($I53*44/12*参考2_エネ使用量経年!Q54*参考2_エネ使用量経年!$I54,"")</f>
        <v>0</v>
      </c>
      <c r="R53" s="916">
        <f ca="1">IFERROR($J53*44/12*参考2_エネ使用量経年!R54*参考2_エネ使用量経年!$J54,"")</f>
        <v>0</v>
      </c>
      <c r="S53" s="916">
        <f ca="1">IFERROR($K53*44/12*参考2_エネ使用量経年!S54*参考2_エネ使用量経年!$K54,"")</f>
        <v>0</v>
      </c>
      <c r="T53" s="916">
        <f ca="1">IFERROR($H53*44/12*参考2_エネ使用量経年!T54*参考2_エネ使用量経年!$H54,"")</f>
        <v>0</v>
      </c>
      <c r="U53" s="916">
        <f ca="1">IFERROR($I53*44/12*参考2_エネ使用量経年!U54*参考2_エネ使用量経年!$I54,"")</f>
        <v>0</v>
      </c>
      <c r="V53" s="916">
        <f ca="1">IFERROR($J53*44/12*参考2_エネ使用量経年!V54*参考2_エネ使用量経年!$J54,"")</f>
        <v>0</v>
      </c>
      <c r="W53" s="916">
        <f ca="1">IFERROR($K53*44/12*参考2_エネ使用量経年!W54*参考2_エネ使用量経年!$K54,"")</f>
        <v>0</v>
      </c>
      <c r="X53" s="916">
        <f ca="1">IFERROR($H53*44/12*参考2_エネ使用量経年!X54*参考2_エネ使用量経年!$H54,"")</f>
        <v>0</v>
      </c>
      <c r="Y53" s="916">
        <f ca="1">IFERROR($I53*44/12*参考2_エネ使用量経年!Y54*参考2_エネ使用量経年!$I54,"")</f>
        <v>0</v>
      </c>
      <c r="Z53" s="916">
        <f ca="1">IFERROR($J53*44/12*参考2_エネ使用量経年!Z54*参考2_エネ使用量経年!$J54,"")</f>
        <v>0</v>
      </c>
      <c r="AA53" s="916">
        <f ca="1">IFERROR($K53*44/12*参考2_エネ使用量経年!AA54*参考2_エネ使用量経年!$K54,"")</f>
        <v>0</v>
      </c>
      <c r="AB53" s="916" t="str">
        <f ca="1">IFERROR($H53*44/12*参考2_エネ使用量経年!AB54*参考2_エネ使用量経年!$H54,"")</f>
        <v/>
      </c>
      <c r="AC53" s="916" t="str">
        <f ca="1">IFERROR($I53*44/12*参考2_エネ使用量経年!AC54*参考2_エネ使用量経年!$I54,"")</f>
        <v/>
      </c>
      <c r="AD53" s="916" t="str">
        <f ca="1">IFERROR($J53*44/12*参考2_エネ使用量経年!AD54*参考2_エネ使用量経年!$J54,"")</f>
        <v/>
      </c>
      <c r="AE53" s="916" t="str">
        <f ca="1">IFERROR($K53*44/12*参考2_エネ使用量経年!AE54*参考2_エネ使用量経年!$K54,"")</f>
        <v/>
      </c>
      <c r="AF53" s="916" t="str">
        <f ca="1">IFERROR($H53*44/12*参考2_エネ使用量経年!AF54*参考2_エネ使用量経年!$H54,"")</f>
        <v/>
      </c>
      <c r="AG53" s="916" t="str">
        <f ca="1">IFERROR($I53*44/12*参考2_エネ使用量経年!AG54*参考2_エネ使用量経年!$I54,"")</f>
        <v/>
      </c>
      <c r="AH53" s="916" t="str">
        <f ca="1">IFERROR($J53*44/12*参考2_エネ使用量経年!AH54*参考2_エネ使用量経年!$J54,"")</f>
        <v/>
      </c>
      <c r="AI53" s="916" t="str">
        <f ca="1">IFERROR($K53*44/12*参考2_エネ使用量経年!AI54*参考2_エネ使用量経年!$K54,"")</f>
        <v/>
      </c>
      <c r="AJ53" s="916" t="str">
        <f ca="1">IFERROR($H53*44/12*参考2_エネ使用量経年!AJ54*参考2_エネ使用量経年!$H54,"")</f>
        <v/>
      </c>
      <c r="AK53" s="916" t="str">
        <f ca="1">IFERROR($I53*44/12*参考2_エネ使用量経年!AK54*参考2_エネ使用量経年!$I54,"")</f>
        <v/>
      </c>
      <c r="AL53" s="916" t="str">
        <f ca="1">IFERROR($J53*44/12*参考2_エネ使用量経年!AL54*参考2_エネ使用量経年!$J54,"")</f>
        <v/>
      </c>
      <c r="AM53" s="916" t="str">
        <f ca="1">IFERROR($K53*44/12*参考2_エネ使用量経年!AM54*参考2_エネ使用量経年!$K54,"")</f>
        <v/>
      </c>
      <c r="AN53" s="916" t="str">
        <f ca="1">IFERROR($H53*44/12*参考2_エネ使用量経年!AN54*参考2_エネ使用量経年!$H54,"")</f>
        <v/>
      </c>
      <c r="AO53" s="916" t="str">
        <f ca="1">IFERROR($I53*44/12*参考2_エネ使用量経年!AO54*参考2_エネ使用量経年!$I54,"")</f>
        <v/>
      </c>
      <c r="AP53" s="916" t="str">
        <f ca="1">IFERROR($J53*44/12*参考2_エネ使用量経年!AP54*参考2_エネ使用量経年!$J54,"")</f>
        <v/>
      </c>
      <c r="AQ53" s="916" t="str">
        <f ca="1">IFERROR($K53*44/12*参考2_エネ使用量経年!AQ54*参考2_エネ使用量経年!$K54,"")</f>
        <v/>
      </c>
      <c r="AR53" s="916" t="str">
        <f ca="1">IFERROR($H53*44/12*参考2_エネ使用量経年!AR54*参考2_エネ使用量経年!$H54,"")</f>
        <v/>
      </c>
      <c r="AS53" s="916" t="str">
        <f ca="1">IFERROR($I53*44/12*参考2_エネ使用量経年!AS54*参考2_エネ使用量経年!$I54,"")</f>
        <v/>
      </c>
      <c r="AT53" s="916" t="str">
        <f ca="1">IFERROR($J53*44/12*参考2_エネ使用量経年!AT54*参考2_エネ使用量経年!$J54,"")</f>
        <v/>
      </c>
      <c r="AU53" s="916" t="str">
        <f ca="1">IFERROR($K53*44/12*参考2_エネ使用量経年!AU54*参考2_エネ使用量経年!$K54,"")</f>
        <v/>
      </c>
      <c r="AV53" s="916" t="str">
        <f ca="1">IFERROR($H53*44/12*参考2_エネ使用量経年!AV54*参考2_エネ使用量経年!$H54,"")</f>
        <v/>
      </c>
      <c r="AW53" s="916" t="str">
        <f ca="1">IFERROR($I53*44/12*参考2_エネ使用量経年!AW54*参考2_エネ使用量経年!$I54,"")</f>
        <v/>
      </c>
      <c r="AX53" s="916" t="str">
        <f ca="1">IFERROR($J53*44/12*参考2_エネ使用量経年!AX54*参考2_エネ使用量経年!$J54,"")</f>
        <v/>
      </c>
      <c r="AY53" s="916" t="str">
        <f ca="1">IFERROR($K53*44/12*参考2_エネ使用量経年!AY54*参考2_エネ使用量経年!$K54,"")</f>
        <v/>
      </c>
      <c r="AZ53" s="916" t="str">
        <f ca="1">IFERROR($H53*44/12*参考2_エネ使用量経年!AZ54*参考2_エネ使用量経年!$H54,"")</f>
        <v/>
      </c>
      <c r="BA53" s="916" t="str">
        <f ca="1">IFERROR($I53*44/12*参考2_エネ使用量経年!BA54*参考2_エネ使用量経年!$I54,"")</f>
        <v/>
      </c>
      <c r="BB53" s="916" t="str">
        <f ca="1">IFERROR($J53*44/12*参考2_エネ使用量経年!BB54*参考2_エネ使用量経年!$J54,"")</f>
        <v/>
      </c>
      <c r="BC53" s="916" t="str">
        <f ca="1">IFERROR($K53*44/12*参考2_エネ使用量経年!BC54*参考2_エネ使用量経年!$K54,"")</f>
        <v/>
      </c>
      <c r="BD53" s="916" t="str">
        <f ca="1">IFERROR($H53*44/12*参考2_エネ使用量経年!BD54*参考2_エネ使用量経年!$H54,"")</f>
        <v/>
      </c>
      <c r="BE53" s="916" t="str">
        <f ca="1">IFERROR($I53*44/12*参考2_エネ使用量経年!BE54*参考2_エネ使用量経年!$I54,"")</f>
        <v/>
      </c>
      <c r="BF53" s="916" t="str">
        <f ca="1">IFERROR($J53*44/12*参考2_エネ使用量経年!BF54*参考2_エネ使用量経年!$J54,"")</f>
        <v/>
      </c>
      <c r="BG53" s="916" t="str">
        <f ca="1">IFERROR($K53*44/12*参考2_エネ使用量経年!BG54*参考2_エネ使用量経年!$K54,"")</f>
        <v/>
      </c>
      <c r="BH53" s="916" t="str">
        <f ca="1">IFERROR($H53*44/12*参考2_エネ使用量経年!BH54*参考2_エネ使用量経年!$H54,"")</f>
        <v/>
      </c>
      <c r="BI53" s="916" t="str">
        <f ca="1">IFERROR($I53*44/12*参考2_エネ使用量経年!BI54*参考2_エネ使用量経年!$I54,"")</f>
        <v/>
      </c>
      <c r="BJ53" s="916" t="str">
        <f ca="1">IFERROR($J53*44/12*参考2_エネ使用量経年!BJ54*参考2_エネ使用量経年!$J54,"")</f>
        <v/>
      </c>
      <c r="BK53" s="916" t="str">
        <f ca="1">IFERROR($K53*44/12*参考2_エネ使用量経年!BK54*参考2_エネ使用量経年!$K54,"")</f>
        <v/>
      </c>
      <c r="BL53" s="916" t="str">
        <f ca="1">IFERROR($H53*44/12*参考2_エネ使用量経年!BL54*参考2_エネ使用量経年!$H54,"")</f>
        <v/>
      </c>
      <c r="BM53" s="916" t="str">
        <f ca="1">IFERROR($I53*44/12*参考2_エネ使用量経年!BM54*参考2_エネ使用量経年!$I54,"")</f>
        <v/>
      </c>
      <c r="BN53" s="916" t="str">
        <f ca="1">IFERROR($J53*44/12*参考2_エネ使用量経年!BN54*参考2_エネ使用量経年!$J54,"")</f>
        <v/>
      </c>
      <c r="BO53" s="916" t="str">
        <f ca="1">IFERROR($K53*44/12*参考2_エネ使用量経年!BO54*参考2_エネ使用量経年!$K54,"")</f>
        <v/>
      </c>
    </row>
    <row r="54" spans="1:68" ht="20.100000000000001" hidden="1" customHeight="1" outlineLevel="1">
      <c r="A54" s="914">
        <v>54</v>
      </c>
      <c r="B54" s="1594"/>
      <c r="C54" s="1596"/>
      <c r="D54" s="785" t="s">
        <v>783</v>
      </c>
      <c r="E54" s="792" t="str">
        <f ca="1">参考2_エネ使用量経年!E55</f>
        <v/>
      </c>
      <c r="F54" s="794"/>
      <c r="G54" s="852" t="s">
        <v>1281</v>
      </c>
      <c r="H54" s="915">
        <f t="shared" ca="1" si="4"/>
        <v>0</v>
      </c>
      <c r="I54" s="915">
        <f t="shared" ca="1" si="5"/>
        <v>0</v>
      </c>
      <c r="J54" s="915">
        <f t="shared" ca="1" si="6"/>
        <v>0</v>
      </c>
      <c r="K54" s="915">
        <f t="shared" ca="1" si="7"/>
        <v>0</v>
      </c>
      <c r="L54" s="916">
        <f ca="1">IFERROR($H54*44/12*参考2_エネ使用量経年!L55*参考2_エネ使用量経年!$H55,"")</f>
        <v>0</v>
      </c>
      <c r="M54" s="916">
        <f ca="1">IFERROR($I54*44/12*参考2_エネ使用量経年!M55*参考2_エネ使用量経年!$I55,"")</f>
        <v>0</v>
      </c>
      <c r="N54" s="916">
        <f ca="1">IFERROR($J54*44/12*参考2_エネ使用量経年!N55*参考2_エネ使用量経年!$J55,"")</f>
        <v>0</v>
      </c>
      <c r="O54" s="916">
        <f ca="1">IFERROR($K54*44/12*参考2_エネ使用量経年!O55*参考2_エネ使用量経年!$K55,"")</f>
        <v>0</v>
      </c>
      <c r="P54" s="916">
        <f ca="1">IFERROR($H54*44/12*参考2_エネ使用量経年!P55*参考2_エネ使用量経年!$H55,"")</f>
        <v>0</v>
      </c>
      <c r="Q54" s="916">
        <f ca="1">IFERROR($I54*44/12*参考2_エネ使用量経年!Q55*参考2_エネ使用量経年!$I55,"")</f>
        <v>0</v>
      </c>
      <c r="R54" s="916">
        <f ca="1">IFERROR($J54*44/12*参考2_エネ使用量経年!R55*参考2_エネ使用量経年!$J55,"")</f>
        <v>0</v>
      </c>
      <c r="S54" s="916">
        <f ca="1">IFERROR($K54*44/12*参考2_エネ使用量経年!S55*参考2_エネ使用量経年!$K55,"")</f>
        <v>0</v>
      </c>
      <c r="T54" s="916">
        <f ca="1">IFERROR($H54*44/12*参考2_エネ使用量経年!T55*参考2_エネ使用量経年!$H55,"")</f>
        <v>0</v>
      </c>
      <c r="U54" s="916">
        <f ca="1">IFERROR($I54*44/12*参考2_エネ使用量経年!U55*参考2_エネ使用量経年!$I55,"")</f>
        <v>0</v>
      </c>
      <c r="V54" s="916">
        <f ca="1">IFERROR($J54*44/12*参考2_エネ使用量経年!V55*参考2_エネ使用量経年!$J55,"")</f>
        <v>0</v>
      </c>
      <c r="W54" s="916">
        <f ca="1">IFERROR($K54*44/12*参考2_エネ使用量経年!W55*参考2_エネ使用量経年!$K55,"")</f>
        <v>0</v>
      </c>
      <c r="X54" s="916">
        <f ca="1">IFERROR($H54*44/12*参考2_エネ使用量経年!X55*参考2_エネ使用量経年!$H55,"")</f>
        <v>0</v>
      </c>
      <c r="Y54" s="916">
        <f ca="1">IFERROR($I54*44/12*参考2_エネ使用量経年!Y55*参考2_エネ使用量経年!$I55,"")</f>
        <v>0</v>
      </c>
      <c r="Z54" s="916">
        <f ca="1">IFERROR($J54*44/12*参考2_エネ使用量経年!Z55*参考2_エネ使用量経年!$J55,"")</f>
        <v>0</v>
      </c>
      <c r="AA54" s="916">
        <f ca="1">IFERROR($K54*44/12*参考2_エネ使用量経年!AA55*参考2_エネ使用量経年!$K55,"")</f>
        <v>0</v>
      </c>
      <c r="AB54" s="916" t="str">
        <f ca="1">IFERROR($H54*44/12*参考2_エネ使用量経年!AB55*参考2_エネ使用量経年!$H55,"")</f>
        <v/>
      </c>
      <c r="AC54" s="916" t="str">
        <f ca="1">IFERROR($I54*44/12*参考2_エネ使用量経年!AC55*参考2_エネ使用量経年!$I55,"")</f>
        <v/>
      </c>
      <c r="AD54" s="916" t="str">
        <f ca="1">IFERROR($J54*44/12*参考2_エネ使用量経年!AD55*参考2_エネ使用量経年!$J55,"")</f>
        <v/>
      </c>
      <c r="AE54" s="916" t="str">
        <f ca="1">IFERROR($K54*44/12*参考2_エネ使用量経年!AE55*参考2_エネ使用量経年!$K55,"")</f>
        <v/>
      </c>
      <c r="AF54" s="916" t="str">
        <f ca="1">IFERROR($H54*44/12*参考2_エネ使用量経年!AF55*参考2_エネ使用量経年!$H55,"")</f>
        <v/>
      </c>
      <c r="AG54" s="916" t="str">
        <f ca="1">IFERROR($I54*44/12*参考2_エネ使用量経年!AG55*参考2_エネ使用量経年!$I55,"")</f>
        <v/>
      </c>
      <c r="AH54" s="916" t="str">
        <f ca="1">IFERROR($J54*44/12*参考2_エネ使用量経年!AH55*参考2_エネ使用量経年!$J55,"")</f>
        <v/>
      </c>
      <c r="AI54" s="916" t="str">
        <f ca="1">IFERROR($K54*44/12*参考2_エネ使用量経年!AI55*参考2_エネ使用量経年!$K55,"")</f>
        <v/>
      </c>
      <c r="AJ54" s="916" t="str">
        <f ca="1">IFERROR($H54*44/12*参考2_エネ使用量経年!AJ55*参考2_エネ使用量経年!$H55,"")</f>
        <v/>
      </c>
      <c r="AK54" s="916" t="str">
        <f ca="1">IFERROR($I54*44/12*参考2_エネ使用量経年!AK55*参考2_エネ使用量経年!$I55,"")</f>
        <v/>
      </c>
      <c r="AL54" s="916" t="str">
        <f ca="1">IFERROR($J54*44/12*参考2_エネ使用量経年!AL55*参考2_エネ使用量経年!$J55,"")</f>
        <v/>
      </c>
      <c r="AM54" s="916" t="str">
        <f ca="1">IFERROR($K54*44/12*参考2_エネ使用量経年!AM55*参考2_エネ使用量経年!$K55,"")</f>
        <v/>
      </c>
      <c r="AN54" s="916" t="str">
        <f ca="1">IFERROR($H54*44/12*参考2_エネ使用量経年!AN55*参考2_エネ使用量経年!$H55,"")</f>
        <v/>
      </c>
      <c r="AO54" s="916" t="str">
        <f ca="1">IFERROR($I54*44/12*参考2_エネ使用量経年!AO55*参考2_エネ使用量経年!$I55,"")</f>
        <v/>
      </c>
      <c r="AP54" s="916" t="str">
        <f ca="1">IFERROR($J54*44/12*参考2_エネ使用量経年!AP55*参考2_エネ使用量経年!$J55,"")</f>
        <v/>
      </c>
      <c r="AQ54" s="916" t="str">
        <f ca="1">IFERROR($K54*44/12*参考2_エネ使用量経年!AQ55*参考2_エネ使用量経年!$K55,"")</f>
        <v/>
      </c>
      <c r="AR54" s="916" t="str">
        <f ca="1">IFERROR($H54*44/12*参考2_エネ使用量経年!AR55*参考2_エネ使用量経年!$H55,"")</f>
        <v/>
      </c>
      <c r="AS54" s="916" t="str">
        <f ca="1">IFERROR($I54*44/12*参考2_エネ使用量経年!AS55*参考2_エネ使用量経年!$I55,"")</f>
        <v/>
      </c>
      <c r="AT54" s="916" t="str">
        <f ca="1">IFERROR($J54*44/12*参考2_エネ使用量経年!AT55*参考2_エネ使用量経年!$J55,"")</f>
        <v/>
      </c>
      <c r="AU54" s="916" t="str">
        <f ca="1">IFERROR($K54*44/12*参考2_エネ使用量経年!AU55*参考2_エネ使用量経年!$K55,"")</f>
        <v/>
      </c>
      <c r="AV54" s="916" t="str">
        <f ca="1">IFERROR($H54*44/12*参考2_エネ使用量経年!AV55*参考2_エネ使用量経年!$H55,"")</f>
        <v/>
      </c>
      <c r="AW54" s="916" t="str">
        <f ca="1">IFERROR($I54*44/12*参考2_エネ使用量経年!AW55*参考2_エネ使用量経年!$I55,"")</f>
        <v/>
      </c>
      <c r="AX54" s="916" t="str">
        <f ca="1">IFERROR($J54*44/12*参考2_エネ使用量経年!AX55*参考2_エネ使用量経年!$J55,"")</f>
        <v/>
      </c>
      <c r="AY54" s="916" t="str">
        <f ca="1">IFERROR($K54*44/12*参考2_エネ使用量経年!AY55*参考2_エネ使用量経年!$K55,"")</f>
        <v/>
      </c>
      <c r="AZ54" s="916" t="str">
        <f ca="1">IFERROR($H54*44/12*参考2_エネ使用量経年!AZ55*参考2_エネ使用量経年!$H55,"")</f>
        <v/>
      </c>
      <c r="BA54" s="916" t="str">
        <f ca="1">IFERROR($I54*44/12*参考2_エネ使用量経年!BA55*参考2_エネ使用量経年!$I55,"")</f>
        <v/>
      </c>
      <c r="BB54" s="916" t="str">
        <f ca="1">IFERROR($J54*44/12*参考2_エネ使用量経年!BB55*参考2_エネ使用量経年!$J55,"")</f>
        <v/>
      </c>
      <c r="BC54" s="916" t="str">
        <f ca="1">IFERROR($K54*44/12*参考2_エネ使用量経年!BC55*参考2_エネ使用量経年!$K55,"")</f>
        <v/>
      </c>
      <c r="BD54" s="916" t="str">
        <f ca="1">IFERROR($H54*44/12*参考2_エネ使用量経年!BD55*参考2_エネ使用量経年!$H55,"")</f>
        <v/>
      </c>
      <c r="BE54" s="916" t="str">
        <f ca="1">IFERROR($I54*44/12*参考2_エネ使用量経年!BE55*参考2_エネ使用量経年!$I55,"")</f>
        <v/>
      </c>
      <c r="BF54" s="916" t="str">
        <f ca="1">IFERROR($J54*44/12*参考2_エネ使用量経年!BF55*参考2_エネ使用量経年!$J55,"")</f>
        <v/>
      </c>
      <c r="BG54" s="916" t="str">
        <f ca="1">IFERROR($K54*44/12*参考2_エネ使用量経年!BG55*参考2_エネ使用量経年!$K55,"")</f>
        <v/>
      </c>
      <c r="BH54" s="916" t="str">
        <f ca="1">IFERROR($H54*44/12*参考2_エネ使用量経年!BH55*参考2_エネ使用量経年!$H55,"")</f>
        <v/>
      </c>
      <c r="BI54" s="916" t="str">
        <f ca="1">IFERROR($I54*44/12*参考2_エネ使用量経年!BI55*参考2_エネ使用量経年!$I55,"")</f>
        <v/>
      </c>
      <c r="BJ54" s="916" t="str">
        <f ca="1">IFERROR($J54*44/12*参考2_エネ使用量経年!BJ55*参考2_エネ使用量経年!$J55,"")</f>
        <v/>
      </c>
      <c r="BK54" s="916" t="str">
        <f ca="1">IFERROR($K54*44/12*参考2_エネ使用量経年!BK55*参考2_エネ使用量経年!$K55,"")</f>
        <v/>
      </c>
      <c r="BL54" s="916" t="str">
        <f ca="1">IFERROR($H54*44/12*参考2_エネ使用量経年!BL55*参考2_エネ使用量経年!$H55,"")</f>
        <v/>
      </c>
      <c r="BM54" s="916" t="str">
        <f ca="1">IFERROR($I54*44/12*参考2_エネ使用量経年!BM55*参考2_エネ使用量経年!$I55,"")</f>
        <v/>
      </c>
      <c r="BN54" s="916" t="str">
        <f ca="1">IFERROR($J54*44/12*参考2_エネ使用量経年!BN55*参考2_エネ使用量経年!$J55,"")</f>
        <v/>
      </c>
      <c r="BO54" s="916" t="str">
        <f ca="1">IFERROR($K54*44/12*参考2_エネ使用量経年!BO55*参考2_エネ使用量経年!$K55,"")</f>
        <v/>
      </c>
    </row>
    <row r="55" spans="1:68" ht="20.100000000000001" hidden="1" customHeight="1" outlineLevel="1">
      <c r="A55" s="914">
        <v>55</v>
      </c>
      <c r="B55" s="1594"/>
      <c r="C55" s="1596"/>
      <c r="D55" s="785" t="s">
        <v>784</v>
      </c>
      <c r="E55" s="792" t="str">
        <f ca="1">参考2_エネ使用量経年!E56</f>
        <v/>
      </c>
      <c r="F55" s="794"/>
      <c r="G55" s="852" t="s">
        <v>1281</v>
      </c>
      <c r="H55" s="915">
        <f t="shared" ca="1" si="4"/>
        <v>0</v>
      </c>
      <c r="I55" s="915">
        <f t="shared" ca="1" si="5"/>
        <v>0</v>
      </c>
      <c r="J55" s="915">
        <f t="shared" ca="1" si="6"/>
        <v>0</v>
      </c>
      <c r="K55" s="915">
        <f t="shared" ca="1" si="7"/>
        <v>0</v>
      </c>
      <c r="L55" s="916">
        <f ca="1">IFERROR($H55*44/12*参考2_エネ使用量経年!L56*参考2_エネ使用量経年!$H56,"")</f>
        <v>0</v>
      </c>
      <c r="M55" s="916">
        <f ca="1">IFERROR($I55*44/12*参考2_エネ使用量経年!M56*参考2_エネ使用量経年!$I56,"")</f>
        <v>0</v>
      </c>
      <c r="N55" s="916">
        <f ca="1">IFERROR($J55*44/12*参考2_エネ使用量経年!N56*参考2_エネ使用量経年!$J56,"")</f>
        <v>0</v>
      </c>
      <c r="O55" s="916">
        <f ca="1">IFERROR($K55*44/12*参考2_エネ使用量経年!O56*参考2_エネ使用量経年!$K56,"")</f>
        <v>0</v>
      </c>
      <c r="P55" s="916">
        <f ca="1">IFERROR($H55*44/12*参考2_エネ使用量経年!P56*参考2_エネ使用量経年!$H56,"")</f>
        <v>0</v>
      </c>
      <c r="Q55" s="916">
        <f ca="1">IFERROR($I55*44/12*参考2_エネ使用量経年!Q56*参考2_エネ使用量経年!$I56,"")</f>
        <v>0</v>
      </c>
      <c r="R55" s="916">
        <f ca="1">IFERROR($J55*44/12*参考2_エネ使用量経年!R56*参考2_エネ使用量経年!$J56,"")</f>
        <v>0</v>
      </c>
      <c r="S55" s="916">
        <f ca="1">IFERROR($K55*44/12*参考2_エネ使用量経年!S56*参考2_エネ使用量経年!$K56,"")</f>
        <v>0</v>
      </c>
      <c r="T55" s="916">
        <f ca="1">IFERROR($H55*44/12*参考2_エネ使用量経年!T56*参考2_エネ使用量経年!$H56,"")</f>
        <v>0</v>
      </c>
      <c r="U55" s="916">
        <f ca="1">IFERROR($I55*44/12*参考2_エネ使用量経年!U56*参考2_エネ使用量経年!$I56,"")</f>
        <v>0</v>
      </c>
      <c r="V55" s="916">
        <f ca="1">IFERROR($J55*44/12*参考2_エネ使用量経年!V56*参考2_エネ使用量経年!$J56,"")</f>
        <v>0</v>
      </c>
      <c r="W55" s="916">
        <f ca="1">IFERROR($K55*44/12*参考2_エネ使用量経年!W56*参考2_エネ使用量経年!$K56,"")</f>
        <v>0</v>
      </c>
      <c r="X55" s="916">
        <f ca="1">IFERROR($H55*44/12*参考2_エネ使用量経年!X56*参考2_エネ使用量経年!$H56,"")</f>
        <v>0</v>
      </c>
      <c r="Y55" s="916">
        <f ca="1">IFERROR($I55*44/12*参考2_エネ使用量経年!Y56*参考2_エネ使用量経年!$I56,"")</f>
        <v>0</v>
      </c>
      <c r="Z55" s="916">
        <f ca="1">IFERROR($J55*44/12*参考2_エネ使用量経年!Z56*参考2_エネ使用量経年!$J56,"")</f>
        <v>0</v>
      </c>
      <c r="AA55" s="916">
        <f ca="1">IFERROR($K55*44/12*参考2_エネ使用量経年!AA56*参考2_エネ使用量経年!$K56,"")</f>
        <v>0</v>
      </c>
      <c r="AB55" s="916" t="str">
        <f ca="1">IFERROR($H55*44/12*参考2_エネ使用量経年!AB56*参考2_エネ使用量経年!$H56,"")</f>
        <v/>
      </c>
      <c r="AC55" s="916" t="str">
        <f ca="1">IFERROR($I55*44/12*参考2_エネ使用量経年!AC56*参考2_エネ使用量経年!$I56,"")</f>
        <v/>
      </c>
      <c r="AD55" s="916" t="str">
        <f ca="1">IFERROR($J55*44/12*参考2_エネ使用量経年!AD56*参考2_エネ使用量経年!$J56,"")</f>
        <v/>
      </c>
      <c r="AE55" s="916" t="str">
        <f ca="1">IFERROR($K55*44/12*参考2_エネ使用量経年!AE56*参考2_エネ使用量経年!$K56,"")</f>
        <v/>
      </c>
      <c r="AF55" s="916" t="str">
        <f ca="1">IFERROR($H55*44/12*参考2_エネ使用量経年!AF56*参考2_エネ使用量経年!$H56,"")</f>
        <v/>
      </c>
      <c r="AG55" s="916" t="str">
        <f ca="1">IFERROR($I55*44/12*参考2_エネ使用量経年!AG56*参考2_エネ使用量経年!$I56,"")</f>
        <v/>
      </c>
      <c r="AH55" s="916" t="str">
        <f ca="1">IFERROR($J55*44/12*参考2_エネ使用量経年!AH56*参考2_エネ使用量経年!$J56,"")</f>
        <v/>
      </c>
      <c r="AI55" s="916" t="str">
        <f ca="1">IFERROR($K55*44/12*参考2_エネ使用量経年!AI56*参考2_エネ使用量経年!$K56,"")</f>
        <v/>
      </c>
      <c r="AJ55" s="916" t="str">
        <f ca="1">IFERROR($H55*44/12*参考2_エネ使用量経年!AJ56*参考2_エネ使用量経年!$H56,"")</f>
        <v/>
      </c>
      <c r="AK55" s="916" t="str">
        <f ca="1">IFERROR($I55*44/12*参考2_エネ使用量経年!AK56*参考2_エネ使用量経年!$I56,"")</f>
        <v/>
      </c>
      <c r="AL55" s="916" t="str">
        <f ca="1">IFERROR($J55*44/12*参考2_エネ使用量経年!AL56*参考2_エネ使用量経年!$J56,"")</f>
        <v/>
      </c>
      <c r="AM55" s="916" t="str">
        <f ca="1">IFERROR($K55*44/12*参考2_エネ使用量経年!AM56*参考2_エネ使用量経年!$K56,"")</f>
        <v/>
      </c>
      <c r="AN55" s="916" t="str">
        <f ca="1">IFERROR($H55*44/12*参考2_エネ使用量経年!AN56*参考2_エネ使用量経年!$H56,"")</f>
        <v/>
      </c>
      <c r="AO55" s="916" t="str">
        <f ca="1">IFERROR($I55*44/12*参考2_エネ使用量経年!AO56*参考2_エネ使用量経年!$I56,"")</f>
        <v/>
      </c>
      <c r="AP55" s="916" t="str">
        <f ca="1">IFERROR($J55*44/12*参考2_エネ使用量経年!AP56*参考2_エネ使用量経年!$J56,"")</f>
        <v/>
      </c>
      <c r="AQ55" s="916" t="str">
        <f ca="1">IFERROR($K55*44/12*参考2_エネ使用量経年!AQ56*参考2_エネ使用量経年!$K56,"")</f>
        <v/>
      </c>
      <c r="AR55" s="916" t="str">
        <f ca="1">IFERROR($H55*44/12*参考2_エネ使用量経年!AR56*参考2_エネ使用量経年!$H56,"")</f>
        <v/>
      </c>
      <c r="AS55" s="916" t="str">
        <f ca="1">IFERROR($I55*44/12*参考2_エネ使用量経年!AS56*参考2_エネ使用量経年!$I56,"")</f>
        <v/>
      </c>
      <c r="AT55" s="916" t="str">
        <f ca="1">IFERROR($J55*44/12*参考2_エネ使用量経年!AT56*参考2_エネ使用量経年!$J56,"")</f>
        <v/>
      </c>
      <c r="AU55" s="916" t="str">
        <f ca="1">IFERROR($K55*44/12*参考2_エネ使用量経年!AU56*参考2_エネ使用量経年!$K56,"")</f>
        <v/>
      </c>
      <c r="AV55" s="916" t="str">
        <f ca="1">IFERROR($H55*44/12*参考2_エネ使用量経年!AV56*参考2_エネ使用量経年!$H56,"")</f>
        <v/>
      </c>
      <c r="AW55" s="916" t="str">
        <f ca="1">IFERROR($I55*44/12*参考2_エネ使用量経年!AW56*参考2_エネ使用量経年!$I56,"")</f>
        <v/>
      </c>
      <c r="AX55" s="916" t="str">
        <f ca="1">IFERROR($J55*44/12*参考2_エネ使用量経年!AX56*参考2_エネ使用量経年!$J56,"")</f>
        <v/>
      </c>
      <c r="AY55" s="916" t="str">
        <f ca="1">IFERROR($K55*44/12*参考2_エネ使用量経年!AY56*参考2_エネ使用量経年!$K56,"")</f>
        <v/>
      </c>
      <c r="AZ55" s="916" t="str">
        <f ca="1">IFERROR($H55*44/12*参考2_エネ使用量経年!AZ56*参考2_エネ使用量経年!$H56,"")</f>
        <v/>
      </c>
      <c r="BA55" s="916" t="str">
        <f ca="1">IFERROR($I55*44/12*参考2_エネ使用量経年!BA56*参考2_エネ使用量経年!$I56,"")</f>
        <v/>
      </c>
      <c r="BB55" s="916" t="str">
        <f ca="1">IFERROR($J55*44/12*参考2_エネ使用量経年!BB56*参考2_エネ使用量経年!$J56,"")</f>
        <v/>
      </c>
      <c r="BC55" s="916" t="str">
        <f ca="1">IFERROR($K55*44/12*参考2_エネ使用量経年!BC56*参考2_エネ使用量経年!$K56,"")</f>
        <v/>
      </c>
      <c r="BD55" s="916" t="str">
        <f ca="1">IFERROR($H55*44/12*参考2_エネ使用量経年!BD56*参考2_エネ使用量経年!$H56,"")</f>
        <v/>
      </c>
      <c r="BE55" s="916" t="str">
        <f ca="1">IFERROR($I55*44/12*参考2_エネ使用量経年!BE56*参考2_エネ使用量経年!$I56,"")</f>
        <v/>
      </c>
      <c r="BF55" s="916" t="str">
        <f ca="1">IFERROR($J55*44/12*参考2_エネ使用量経年!BF56*参考2_エネ使用量経年!$J56,"")</f>
        <v/>
      </c>
      <c r="BG55" s="916" t="str">
        <f ca="1">IFERROR($K55*44/12*参考2_エネ使用量経年!BG56*参考2_エネ使用量経年!$K56,"")</f>
        <v/>
      </c>
      <c r="BH55" s="916" t="str">
        <f ca="1">IFERROR($H55*44/12*参考2_エネ使用量経年!BH56*参考2_エネ使用量経年!$H56,"")</f>
        <v/>
      </c>
      <c r="BI55" s="916" t="str">
        <f ca="1">IFERROR($I55*44/12*参考2_エネ使用量経年!BI56*参考2_エネ使用量経年!$I56,"")</f>
        <v/>
      </c>
      <c r="BJ55" s="916" t="str">
        <f ca="1">IFERROR($J55*44/12*参考2_エネ使用量経年!BJ56*参考2_エネ使用量経年!$J56,"")</f>
        <v/>
      </c>
      <c r="BK55" s="916" t="str">
        <f ca="1">IFERROR($K55*44/12*参考2_エネ使用量経年!BK56*参考2_エネ使用量経年!$K56,"")</f>
        <v/>
      </c>
      <c r="BL55" s="916" t="str">
        <f ca="1">IFERROR($H55*44/12*参考2_エネ使用量経年!BL56*参考2_エネ使用量経年!$H56,"")</f>
        <v/>
      </c>
      <c r="BM55" s="916" t="str">
        <f ca="1">IFERROR($I55*44/12*参考2_エネ使用量経年!BM56*参考2_エネ使用量経年!$I56,"")</f>
        <v/>
      </c>
      <c r="BN55" s="916" t="str">
        <f ca="1">IFERROR($J55*44/12*参考2_エネ使用量経年!BN56*参考2_エネ使用量経年!$J56,"")</f>
        <v/>
      </c>
      <c r="BO55" s="916" t="str">
        <f ca="1">IFERROR($K55*44/12*参考2_エネ使用量経年!BO56*参考2_エネ使用量経年!$K56,"")</f>
        <v/>
      </c>
      <c r="BP55" s="802"/>
    </row>
    <row r="56" spans="1:68" ht="20.100000000000001" hidden="1" customHeight="1" outlineLevel="1">
      <c r="A56" s="914">
        <v>56</v>
      </c>
      <c r="B56" s="1593" t="s">
        <v>421</v>
      </c>
      <c r="C56" s="1596" t="s">
        <v>396</v>
      </c>
      <c r="D56" s="785" t="s">
        <v>397</v>
      </c>
      <c r="E56" s="790"/>
      <c r="F56" s="810"/>
      <c r="G56" s="852" t="s">
        <v>1281</v>
      </c>
      <c r="H56" s="915">
        <f t="shared" ca="1" si="4"/>
        <v>6.54E-2</v>
      </c>
      <c r="I56" s="915">
        <f t="shared" ca="1" si="5"/>
        <v>6.54E-2</v>
      </c>
      <c r="J56" s="915">
        <f t="shared" ca="1" si="6"/>
        <v>6.54E-2</v>
      </c>
      <c r="K56" s="915">
        <f t="shared" ca="1" si="7"/>
        <v>6.54E-2</v>
      </c>
      <c r="L56" s="916">
        <f ca="1">IFERROR($H56*参考2_エネ使用量経年!L57,"")</f>
        <v>0</v>
      </c>
      <c r="M56" s="916">
        <f ca="1">IFERROR($I56*参考2_エネ使用量経年!M57,"")</f>
        <v>0</v>
      </c>
      <c r="N56" s="916">
        <f ca="1">IFERROR($J56*参考2_エネ使用量経年!N57,"")</f>
        <v>0</v>
      </c>
      <c r="O56" s="916">
        <f ca="1">IFERROR($K56*参考2_エネ使用量経年!O57,"")</f>
        <v>0</v>
      </c>
      <c r="P56" s="916">
        <f ca="1">IFERROR($H56*参考2_エネ使用量経年!P57,"")</f>
        <v>0</v>
      </c>
      <c r="Q56" s="916">
        <f ca="1">IFERROR($I56*参考2_エネ使用量経年!Q57,"")</f>
        <v>0</v>
      </c>
      <c r="R56" s="916">
        <f ca="1">IFERROR($J56*参考2_エネ使用量経年!R57,"")</f>
        <v>0</v>
      </c>
      <c r="S56" s="916">
        <f ca="1">IFERROR($K56*参考2_エネ使用量経年!S57,"")</f>
        <v>0</v>
      </c>
      <c r="T56" s="916">
        <f ca="1">IFERROR($H56*参考2_エネ使用量経年!T57,"")</f>
        <v>0</v>
      </c>
      <c r="U56" s="916">
        <f ca="1">IFERROR($I56*参考2_エネ使用量経年!U57,"")</f>
        <v>0</v>
      </c>
      <c r="V56" s="916">
        <f ca="1">IFERROR($J56*参考2_エネ使用量経年!V57,"")</f>
        <v>0</v>
      </c>
      <c r="W56" s="916">
        <f ca="1">IFERROR($K56*参考2_エネ使用量経年!W57,"")</f>
        <v>0</v>
      </c>
      <c r="X56" s="916">
        <f ca="1">IFERROR($H56*参考2_エネ使用量経年!X57,"")</f>
        <v>0</v>
      </c>
      <c r="Y56" s="916">
        <f ca="1">IFERROR($I56*参考2_エネ使用量経年!Y57,"")</f>
        <v>0</v>
      </c>
      <c r="Z56" s="916">
        <f ca="1">IFERROR($J56*参考2_エネ使用量経年!Z57,"")</f>
        <v>0</v>
      </c>
      <c r="AA56" s="916">
        <f ca="1">IFERROR($K56*参考2_エネ使用量経年!AA57,"")</f>
        <v>0</v>
      </c>
      <c r="AB56" s="916" t="str">
        <f ca="1">IFERROR($H56*参考2_エネ使用量経年!AB57,"")</f>
        <v/>
      </c>
      <c r="AC56" s="916" t="str">
        <f ca="1">IFERROR($I56*参考2_エネ使用量経年!AC57,"")</f>
        <v/>
      </c>
      <c r="AD56" s="916" t="str">
        <f ca="1">IFERROR($J56*参考2_エネ使用量経年!AD57,"")</f>
        <v/>
      </c>
      <c r="AE56" s="916" t="str">
        <f ca="1">IFERROR($K56*参考2_エネ使用量経年!AE57,"")</f>
        <v/>
      </c>
      <c r="AF56" s="916" t="str">
        <f ca="1">IFERROR($H56*参考2_エネ使用量経年!AF57,"")</f>
        <v/>
      </c>
      <c r="AG56" s="916" t="str">
        <f ca="1">IFERROR($I56*参考2_エネ使用量経年!AG57,"")</f>
        <v/>
      </c>
      <c r="AH56" s="916" t="str">
        <f ca="1">IFERROR($J56*参考2_エネ使用量経年!AH57,"")</f>
        <v/>
      </c>
      <c r="AI56" s="916" t="str">
        <f ca="1">IFERROR($K56*参考2_エネ使用量経年!AI57,"")</f>
        <v/>
      </c>
      <c r="AJ56" s="916" t="str">
        <f ca="1">IFERROR($H56*参考2_エネ使用量経年!AJ57,"")</f>
        <v/>
      </c>
      <c r="AK56" s="916" t="str">
        <f ca="1">IFERROR($I56*参考2_エネ使用量経年!AK57,"")</f>
        <v/>
      </c>
      <c r="AL56" s="916" t="str">
        <f ca="1">IFERROR($J56*参考2_エネ使用量経年!AL57,"")</f>
        <v/>
      </c>
      <c r="AM56" s="916" t="str">
        <f ca="1">IFERROR($K56*参考2_エネ使用量経年!AM57,"")</f>
        <v/>
      </c>
      <c r="AN56" s="916" t="str">
        <f ca="1">IFERROR($H56*参考2_エネ使用量経年!AN57,"")</f>
        <v/>
      </c>
      <c r="AO56" s="916" t="str">
        <f ca="1">IFERROR($I56*参考2_エネ使用量経年!AO57,"")</f>
        <v/>
      </c>
      <c r="AP56" s="916" t="str">
        <f ca="1">IFERROR($J56*参考2_エネ使用量経年!AP57,"")</f>
        <v/>
      </c>
      <c r="AQ56" s="916" t="str">
        <f ca="1">IFERROR($K56*参考2_エネ使用量経年!AQ57,"")</f>
        <v/>
      </c>
      <c r="AR56" s="916" t="str">
        <f ca="1">IFERROR($H56*参考2_エネ使用量経年!AR57,"")</f>
        <v/>
      </c>
      <c r="AS56" s="916" t="str">
        <f ca="1">IFERROR($I56*参考2_エネ使用量経年!AS57,"")</f>
        <v/>
      </c>
      <c r="AT56" s="916" t="str">
        <f ca="1">IFERROR($J56*参考2_エネ使用量経年!AT57,"")</f>
        <v/>
      </c>
      <c r="AU56" s="916" t="str">
        <f ca="1">IFERROR($K56*参考2_エネ使用量経年!AU57,"")</f>
        <v/>
      </c>
      <c r="AV56" s="916" t="str">
        <f ca="1">IFERROR($H56*参考2_エネ使用量経年!AV57,"")</f>
        <v/>
      </c>
      <c r="AW56" s="916" t="str">
        <f ca="1">IFERROR($I56*参考2_エネ使用量経年!AW57,"")</f>
        <v/>
      </c>
      <c r="AX56" s="916" t="str">
        <f ca="1">IFERROR($J56*参考2_エネ使用量経年!AX57,"")</f>
        <v/>
      </c>
      <c r="AY56" s="916" t="str">
        <f ca="1">IFERROR($K56*参考2_エネ使用量経年!AY57,"")</f>
        <v/>
      </c>
      <c r="AZ56" s="916" t="str">
        <f ca="1">IFERROR($H56*参考2_エネ使用量経年!AZ57,"")</f>
        <v/>
      </c>
      <c r="BA56" s="916" t="str">
        <f ca="1">IFERROR($I56*参考2_エネ使用量経年!BA57,"")</f>
        <v/>
      </c>
      <c r="BB56" s="916" t="str">
        <f ca="1">IFERROR($J56*参考2_エネ使用量経年!BB57,"")</f>
        <v/>
      </c>
      <c r="BC56" s="916" t="str">
        <f ca="1">IFERROR($K56*参考2_エネ使用量経年!BC57,"")</f>
        <v/>
      </c>
      <c r="BD56" s="916" t="str">
        <f ca="1">IFERROR($H56*参考2_エネ使用量経年!BD57,"")</f>
        <v/>
      </c>
      <c r="BE56" s="916" t="str">
        <f ca="1">IFERROR($I56*参考2_エネ使用量経年!BE57,"")</f>
        <v/>
      </c>
      <c r="BF56" s="916" t="str">
        <f ca="1">IFERROR($J56*参考2_エネ使用量経年!BF57,"")</f>
        <v/>
      </c>
      <c r="BG56" s="916" t="str">
        <f ca="1">IFERROR($K56*参考2_エネ使用量経年!BG57,"")</f>
        <v/>
      </c>
      <c r="BH56" s="916" t="str">
        <f ca="1">IFERROR($H56*参考2_エネ使用量経年!BH57,"")</f>
        <v/>
      </c>
      <c r="BI56" s="916" t="str">
        <f ca="1">IFERROR($I56*参考2_エネ使用量経年!BI57,"")</f>
        <v/>
      </c>
      <c r="BJ56" s="916" t="str">
        <f ca="1">IFERROR($J56*参考2_エネ使用量経年!BJ57,"")</f>
        <v/>
      </c>
      <c r="BK56" s="916" t="str">
        <f ca="1">IFERROR($K56*参考2_エネ使用量経年!BK57,"")</f>
        <v/>
      </c>
      <c r="BL56" s="916" t="str">
        <f ca="1">IFERROR($H56*参考2_エネ使用量経年!BL57,"")</f>
        <v/>
      </c>
      <c r="BM56" s="916" t="str">
        <f ca="1">IFERROR($I56*参考2_エネ使用量経年!BM57,"")</f>
        <v/>
      </c>
      <c r="BN56" s="916" t="str">
        <f ca="1">IFERROR($J56*参考2_エネ使用量経年!BN57,"")</f>
        <v/>
      </c>
      <c r="BO56" s="916" t="str">
        <f ca="1">IFERROR($K56*参考2_エネ使用量経年!BO57,"")</f>
        <v/>
      </c>
      <c r="BP56" s="802"/>
    </row>
    <row r="57" spans="1:68" ht="20.100000000000001" hidden="1" customHeight="1" outlineLevel="1">
      <c r="A57" s="914">
        <v>9</v>
      </c>
      <c r="B57" s="1594"/>
      <c r="C57" s="1596"/>
      <c r="D57" s="785" t="s">
        <v>785</v>
      </c>
      <c r="E57" s="790"/>
      <c r="F57" s="810"/>
      <c r="G57" s="852" t="s">
        <v>1281</v>
      </c>
      <c r="H57" s="917"/>
      <c r="I57" s="917"/>
      <c r="J57" s="917"/>
      <c r="K57" s="917"/>
      <c r="L57" s="918">
        <f ca="1">SUM(SUMIFS(OFFSET(A1_集計2024,$A57,9,1,200),OFFSET(貼付け_2024実績,4,9,1,200),{"横浜*","川崎*","県域*","エネルギー管理指定工場等*"}))</f>
        <v>0</v>
      </c>
      <c r="M57" s="918">
        <f ca="1">SUM(SUMIFS(OFFSET(A1_集計2025,$A57,9,1,200),OFFSET(貼付け_2025実績,4,9,1,200),{"横浜*","川崎*","県域*","エネルギー管理指定工場等*"}))</f>
        <v>0</v>
      </c>
      <c r="N57" s="918">
        <f ca="1">SUM(SUMIFS(OFFSET(A1_集計2026,$A57,9,1,200),OFFSET(貼付け_2026実績,4,9,1,200),{"横浜*","川崎*","県域*","エネルギー管理指定工場等*"}))</f>
        <v>0</v>
      </c>
      <c r="O57" s="918">
        <f ca="1">SUM(SUMIFS(OFFSET(A1_集計2027,$A57,9,1,200),OFFSET(貼付け_2027実績,4,9,1,200),{"横浜*","川崎*","県域*","エネルギー管理指定工場等*"}))</f>
        <v>0</v>
      </c>
      <c r="P57" s="916">
        <f ca="1">SUM(SUMIFS(OFFSET(A1_集計2024,$A57,9,1,200),OFFSET(貼付け_2024実績,4,9,1,200),{"横浜*","川崎*"}))</f>
        <v>0</v>
      </c>
      <c r="Q57" s="916">
        <f ca="1">SUM(SUMIFS(OFFSET(A1_集計2025,$A57,9,1,200),OFFSET(貼付け_2025実績,4,9,1,200),{"横浜*","川崎*"}))</f>
        <v>0</v>
      </c>
      <c r="R57" s="916">
        <f ca="1">SUM(SUMIFS(OFFSET(A1_集計2026,$A57,9,1,200),OFFSET(貼付け_2026実績,4,9,1,200),{"横浜*","川崎*"}))</f>
        <v>0</v>
      </c>
      <c r="S57" s="916">
        <f ca="1">SUM(SUMIFS(OFFSET(A1_集計2027,$A57,9,1,200),OFFSET(貼付け_2027実績,4,9,1,200),{"横浜*","川崎*"}))</f>
        <v>0</v>
      </c>
      <c r="T57" s="916">
        <f ca="1">SUM(SUMIFS(OFFSET(A1_集計2024,$A57,9,1,200),OFFSET(貼付け_2024実績,4,9,1,200),{"県域*","エネルギー管理指定工場等*"}))</f>
        <v>0</v>
      </c>
      <c r="U57" s="916">
        <f ca="1">SUM(SUMIFS(OFFSET(A1_集計2025,$A57,9,1,200),OFFSET(貼付け_2025実績,4,9,1,200),{"県域*","エネルギー管理指定工場等*"}))</f>
        <v>0</v>
      </c>
      <c r="V57" s="916">
        <f ca="1">SUM(SUMIFS(OFFSET(A1_集計2026,$A57,9,1,200),OFFSET(貼付け_2026実績,4,9,1,200),{"県域*","エネルギー管理指定工場等*"}))</f>
        <v>0</v>
      </c>
      <c r="W57" s="916">
        <f ca="1">SUM(SUMIFS(OFFSET(A1_集計2027,$A57,9,1,200),OFFSET(貼付け_2027実績,4,9,1,200),{"県域*","エネルギー管理指定工場等*"}))</f>
        <v>0</v>
      </c>
      <c r="X57" s="916">
        <f ca="1">SUMIFS(OFFSET(A1_集計2024,$A57,9,1,200),OFFSET(貼付け_2024実績,4,9,1,200),"県域*")</f>
        <v>0</v>
      </c>
      <c r="Y57" s="916">
        <f ca="1">SUMIFS(OFFSET(A1_集計2025,$A57,9,1,200),OFFSET(貼付け_2025実績,4,9,1,200),"県域*")</f>
        <v>0</v>
      </c>
      <c r="Z57" s="916">
        <f ca="1">SUMIFS(OFFSET(A1_集計2026,$A57,9,1,200),OFFSET(貼付け_2026実績,4,9,1,200),"県域*")</f>
        <v>0</v>
      </c>
      <c r="AA57" s="916">
        <f ca="1">SUMIFS(OFFSET(A1_集計2027,$A57,9,1,200),OFFSET(貼付け_2027実績,4,9,1,200),"県域*")</f>
        <v>0</v>
      </c>
      <c r="AB57" s="916" t="str">
        <f ca="1">IFERROR(OFFSET(A1_集計2024,$A57,AB$1),"")</f>
        <v/>
      </c>
      <c r="AC57" s="916" t="str">
        <f ca="1">IFERROR(OFFSET(A1_集計2025,$A57,AC$1),"")</f>
        <v/>
      </c>
      <c r="AD57" s="916" t="str">
        <f ca="1">IFERROR(OFFSET(A1_集計2026,$A57,AD$1),"")</f>
        <v/>
      </c>
      <c r="AE57" s="916" t="str">
        <f ca="1">IFERROR(OFFSET(A1_集計2027,$A57,AE$1),"")</f>
        <v/>
      </c>
      <c r="AF57" s="916" t="str">
        <f ca="1">IFERROR(OFFSET(A1_集計2024,$A57,AF$1),"")</f>
        <v/>
      </c>
      <c r="AG57" s="916" t="str">
        <f ca="1">IFERROR(OFFSET(A1_集計2025,$A57,AG$1),"")</f>
        <v/>
      </c>
      <c r="AH57" s="916" t="str">
        <f ca="1">IFERROR(OFFSET(A1_集計2026,$A57,AH$1),"")</f>
        <v/>
      </c>
      <c r="AI57" s="916" t="str">
        <f ca="1">IFERROR(OFFSET(A1_集計2027,$A57,AI$1),"")</f>
        <v/>
      </c>
      <c r="AJ57" s="916" t="str">
        <f ca="1">IFERROR(OFFSET(A1_集計2024,$A57,AJ$1),"")</f>
        <v/>
      </c>
      <c r="AK57" s="916" t="str">
        <f ca="1">IFERROR(OFFSET(A1_集計2025,$A57,AK$1),"")</f>
        <v/>
      </c>
      <c r="AL57" s="916" t="str">
        <f ca="1">IFERROR(OFFSET(A1_集計2026,$A57,AL$1),"")</f>
        <v/>
      </c>
      <c r="AM57" s="916" t="str">
        <f ca="1">IFERROR(OFFSET(A1_集計2027,$A57,AM$1),"")</f>
        <v/>
      </c>
      <c r="AN57" s="916" t="str">
        <f ca="1">IFERROR(OFFSET(A1_集計2024,$A57,AN$1),"")</f>
        <v/>
      </c>
      <c r="AO57" s="916" t="str">
        <f ca="1">IFERROR(OFFSET(A1_集計2025,$A57,AO$1),"")</f>
        <v/>
      </c>
      <c r="AP57" s="916" t="str">
        <f ca="1">IFERROR(OFFSET(A1_集計2026,$A57,AP$1),"")</f>
        <v/>
      </c>
      <c r="AQ57" s="916" t="str">
        <f ca="1">IFERROR(OFFSET(A1_集計2027,$A57,AQ$1),"")</f>
        <v/>
      </c>
      <c r="AR57" s="916" t="str">
        <f ca="1">IFERROR(OFFSET(A1_集計2024,$A57,AR$1),"")</f>
        <v/>
      </c>
      <c r="AS57" s="916" t="str">
        <f ca="1">IFERROR(OFFSET(A1_集計2025,$A57,AS$1),"")</f>
        <v/>
      </c>
      <c r="AT57" s="916" t="str">
        <f ca="1">IFERROR(OFFSET(A1_集計2026,$A57,AT$1),"")</f>
        <v/>
      </c>
      <c r="AU57" s="916" t="str">
        <f ca="1">IFERROR(OFFSET(A1_集計2027,$A57,AU$1),"")</f>
        <v/>
      </c>
      <c r="AV57" s="916" t="str">
        <f ca="1">IFERROR(OFFSET(A1_集計2024,$A57,AV$1),"")</f>
        <v/>
      </c>
      <c r="AW57" s="916" t="str">
        <f ca="1">IFERROR(OFFSET(A1_集計2025,$A57,AW$1),"")</f>
        <v/>
      </c>
      <c r="AX57" s="916" t="str">
        <f ca="1">IFERROR(OFFSET(A1_集計2026,$A57,AX$1),"")</f>
        <v/>
      </c>
      <c r="AY57" s="916" t="str">
        <f ca="1">IFERROR(OFFSET(A1_集計2027,$A57,AY$1),"")</f>
        <v/>
      </c>
      <c r="AZ57" s="916" t="str">
        <f ca="1">IFERROR(OFFSET(A1_集計2024,$A57,AZ$1),"")</f>
        <v/>
      </c>
      <c r="BA57" s="916" t="str">
        <f ca="1">IFERROR(OFFSET(A1_集計2025,$A57,BA$1),"")</f>
        <v/>
      </c>
      <c r="BB57" s="916" t="str">
        <f ca="1">IFERROR(OFFSET(A1_集計2026,$A57,BB$1),"")</f>
        <v/>
      </c>
      <c r="BC57" s="916" t="str">
        <f ca="1">IFERROR(OFFSET(A1_集計2027,$A57,BC$1),"")</f>
        <v/>
      </c>
      <c r="BD57" s="916" t="str">
        <f ca="1">IFERROR(OFFSET(A1_集計2024,$A57,BD$1),"")</f>
        <v/>
      </c>
      <c r="BE57" s="916" t="str">
        <f ca="1">IFERROR(OFFSET(A1_集計2025,$A57,BE$1),"")</f>
        <v/>
      </c>
      <c r="BF57" s="916" t="str">
        <f ca="1">IFERROR(OFFSET(A1_集計2026,$A57,BF$1),"")</f>
        <v/>
      </c>
      <c r="BG57" s="916" t="str">
        <f ca="1">IFERROR(OFFSET(A1_集計2027,$A57,BG$1),"")</f>
        <v/>
      </c>
      <c r="BH57" s="916" t="str">
        <f ca="1">IFERROR(OFFSET(A1_集計2024,$A57,BH$1),"")</f>
        <v/>
      </c>
      <c r="BI57" s="916" t="str">
        <f ca="1">IFERROR(OFFSET(A1_集計2025,$A57,BI$1),"")</f>
        <v/>
      </c>
      <c r="BJ57" s="916" t="str">
        <f ca="1">IFERROR(OFFSET(A1_集計2026,$A57,BJ$1),"")</f>
        <v/>
      </c>
      <c r="BK57" s="916" t="str">
        <f ca="1">IFERROR(OFFSET(A1_集計2027,$A57,BK$1),"")</f>
        <v/>
      </c>
      <c r="BL57" s="916" t="str">
        <f ca="1">IFERROR(OFFSET(A1_集計2024,$A57,BL$1),"")</f>
        <v/>
      </c>
      <c r="BM57" s="916" t="str">
        <f ca="1">IFERROR(OFFSET(A1_集計2025,$A57,BM$1),"")</f>
        <v/>
      </c>
      <c r="BN57" s="916" t="str">
        <f ca="1">IFERROR(OFFSET(A1_集計2026,$A57,BN$1),"")</f>
        <v/>
      </c>
      <c r="BO57" s="916" t="str">
        <f ca="1">IFERROR(OFFSET(A1_集計2027,$A57,BO$1),"")</f>
        <v/>
      </c>
      <c r="BP57" s="802"/>
    </row>
    <row r="58" spans="1:68" ht="20.100000000000001" hidden="1" customHeight="1" outlineLevel="1">
      <c r="A58" s="914">
        <v>11</v>
      </c>
      <c r="B58" s="1594"/>
      <c r="C58" s="1596"/>
      <c r="D58" s="785" t="s">
        <v>786</v>
      </c>
      <c r="E58" s="790"/>
      <c r="F58" s="810"/>
      <c r="G58" s="852" t="s">
        <v>1281</v>
      </c>
      <c r="H58" s="917"/>
      <c r="I58" s="917"/>
      <c r="J58" s="917"/>
      <c r="K58" s="917"/>
      <c r="L58" s="918">
        <f ca="1">SUM(SUMIFS(OFFSET(A1_集計2024,$A58,9,1,200),OFFSET(貼付け_2024実績,4,9,1,200),{"横浜*","川崎*","県域*","エネルギー管理指定工場等*"}))</f>
        <v>0</v>
      </c>
      <c r="M58" s="918">
        <f ca="1">SUM(SUMIFS(OFFSET(A1_集計2025,$A58,9,1,200),OFFSET(貼付け_2025実績,4,9,1,200),{"横浜*","川崎*","県域*","エネルギー管理指定工場等*"}))</f>
        <v>0</v>
      </c>
      <c r="N58" s="918">
        <f ca="1">SUM(SUMIFS(OFFSET(A1_集計2026,$A58,9,1,200),OFFSET(貼付け_2026実績,4,9,1,200),{"横浜*","川崎*","県域*","エネルギー管理指定工場等*"}))</f>
        <v>0</v>
      </c>
      <c r="O58" s="918">
        <f ca="1">SUM(SUMIFS(OFFSET(A1_集計2027,$A58,9,1,200),OFFSET(貼付け_2027実績,4,9,1,200),{"横浜*","川崎*","県域*","エネルギー管理指定工場等*"}))</f>
        <v>0</v>
      </c>
      <c r="P58" s="916">
        <f ca="1">SUM(SUMIFS(OFFSET(A1_集計2024,$A58,9,1,200),OFFSET(貼付け_2024実績,4,9,1,200),{"横浜*","川崎*"}))</f>
        <v>0</v>
      </c>
      <c r="Q58" s="916">
        <f ca="1">SUM(SUMIFS(OFFSET(A1_集計2025,$A58,9,1,200),OFFSET(貼付け_2025実績,4,9,1,200),{"横浜*","川崎*"}))</f>
        <v>0</v>
      </c>
      <c r="R58" s="916">
        <f ca="1">SUM(SUMIFS(OFFSET(A1_集計2026,$A58,9,1,200),OFFSET(貼付け_2026実績,4,9,1,200),{"横浜*","川崎*"}))</f>
        <v>0</v>
      </c>
      <c r="S58" s="916">
        <f ca="1">SUM(SUMIFS(OFFSET(A1_集計2027,$A58,9,1,200),OFFSET(貼付け_2027実績,4,9,1,200),{"横浜*","川崎*"}))</f>
        <v>0</v>
      </c>
      <c r="T58" s="916">
        <f ca="1">SUM(SUMIFS(OFFSET(A1_集計2024,$A58,9,1,200),OFFSET(貼付け_2024実績,4,9,1,200),{"県域*","エネルギー管理指定工場等*"}))</f>
        <v>0</v>
      </c>
      <c r="U58" s="916">
        <f ca="1">SUM(SUMIFS(OFFSET(A1_集計2025,$A58,9,1,200),OFFSET(貼付け_2025実績,4,9,1,200),{"県域*","エネルギー管理指定工場等*"}))</f>
        <v>0</v>
      </c>
      <c r="V58" s="916">
        <f ca="1">SUM(SUMIFS(OFFSET(A1_集計2026,$A58,9,1,200),OFFSET(貼付け_2026実績,4,9,1,200),{"県域*","エネルギー管理指定工場等*"}))</f>
        <v>0</v>
      </c>
      <c r="W58" s="916">
        <f ca="1">SUM(SUMIFS(OFFSET(A1_集計2027,$A58,9,1,200),OFFSET(貼付け_2027実績,4,9,1,200),{"県域*","エネルギー管理指定工場等*"}))</f>
        <v>0</v>
      </c>
      <c r="X58" s="916">
        <f ca="1">SUMIFS(OFFSET(A1_集計2024,$A58,9,1,200),OFFSET(貼付け_2024実績,4,9,1,200),"県域*")</f>
        <v>0</v>
      </c>
      <c r="Y58" s="916">
        <f ca="1">SUMIFS(OFFSET(A1_集計2025,$A58,9,1,200),OFFSET(貼付け_2025実績,4,9,1,200),"県域*")</f>
        <v>0</v>
      </c>
      <c r="Z58" s="916">
        <f ca="1">SUMIFS(OFFSET(A1_集計2026,$A58,9,1,200),OFFSET(貼付け_2026実績,4,9,1,200),"県域*")</f>
        <v>0</v>
      </c>
      <c r="AA58" s="916">
        <f ca="1">SUMIFS(OFFSET(A1_集計2027,$A58,9,1,200),OFFSET(貼付け_2027実績,4,9,1,200),"県域*")</f>
        <v>0</v>
      </c>
      <c r="AB58" s="916" t="str">
        <f ca="1">IFERROR(OFFSET(A1_集計2024,$A58,AB$1),"")</f>
        <v/>
      </c>
      <c r="AC58" s="916" t="str">
        <f ca="1">IFERROR(OFFSET(A1_集計2025,$A58,AC$1),"")</f>
        <v/>
      </c>
      <c r="AD58" s="916" t="str">
        <f ca="1">IFERROR(OFFSET(A1_集計2026,$A58,AD$1),"")</f>
        <v/>
      </c>
      <c r="AE58" s="916" t="str">
        <f ca="1">IFERROR(OFFSET(A1_集計2027,$A58,AE$1),"")</f>
        <v/>
      </c>
      <c r="AF58" s="916" t="str">
        <f ca="1">IFERROR(OFFSET(A1_集計2024,$A58,AF$1),"")</f>
        <v/>
      </c>
      <c r="AG58" s="916" t="str">
        <f ca="1">IFERROR(OFFSET(A1_集計2025,$A58,AG$1),"")</f>
        <v/>
      </c>
      <c r="AH58" s="916" t="str">
        <f ca="1">IFERROR(OFFSET(A1_集計2026,$A58,AH$1),"")</f>
        <v/>
      </c>
      <c r="AI58" s="916" t="str">
        <f ca="1">IFERROR(OFFSET(A1_集計2027,$A58,AI$1),"")</f>
        <v/>
      </c>
      <c r="AJ58" s="916" t="str">
        <f ca="1">IFERROR(OFFSET(A1_集計2024,$A58,AJ$1),"")</f>
        <v/>
      </c>
      <c r="AK58" s="916" t="str">
        <f ca="1">IFERROR(OFFSET(A1_集計2025,$A58,AK$1),"")</f>
        <v/>
      </c>
      <c r="AL58" s="916" t="str">
        <f ca="1">IFERROR(OFFSET(A1_集計2026,$A58,AL$1),"")</f>
        <v/>
      </c>
      <c r="AM58" s="916" t="str">
        <f ca="1">IFERROR(OFFSET(A1_集計2027,$A58,AM$1),"")</f>
        <v/>
      </c>
      <c r="AN58" s="916" t="str">
        <f ca="1">IFERROR(OFFSET(A1_集計2024,$A58,AN$1),"")</f>
        <v/>
      </c>
      <c r="AO58" s="916" t="str">
        <f ca="1">IFERROR(OFFSET(A1_集計2025,$A58,AO$1),"")</f>
        <v/>
      </c>
      <c r="AP58" s="916" t="str">
        <f ca="1">IFERROR(OFFSET(A1_集計2026,$A58,AP$1),"")</f>
        <v/>
      </c>
      <c r="AQ58" s="916" t="str">
        <f ca="1">IFERROR(OFFSET(A1_集計2027,$A58,AQ$1),"")</f>
        <v/>
      </c>
      <c r="AR58" s="916" t="str">
        <f ca="1">IFERROR(OFFSET(A1_集計2024,$A58,AR$1),"")</f>
        <v/>
      </c>
      <c r="AS58" s="916" t="str">
        <f ca="1">IFERROR(OFFSET(A1_集計2025,$A58,AS$1),"")</f>
        <v/>
      </c>
      <c r="AT58" s="916" t="str">
        <f ca="1">IFERROR(OFFSET(A1_集計2026,$A58,AT$1),"")</f>
        <v/>
      </c>
      <c r="AU58" s="916" t="str">
        <f ca="1">IFERROR(OFFSET(A1_集計2027,$A58,AU$1),"")</f>
        <v/>
      </c>
      <c r="AV58" s="916" t="str">
        <f ca="1">IFERROR(OFFSET(A1_集計2024,$A58,AV$1),"")</f>
        <v/>
      </c>
      <c r="AW58" s="916" t="str">
        <f ca="1">IFERROR(OFFSET(A1_集計2025,$A58,AW$1),"")</f>
        <v/>
      </c>
      <c r="AX58" s="916" t="str">
        <f ca="1">IFERROR(OFFSET(A1_集計2026,$A58,AX$1),"")</f>
        <v/>
      </c>
      <c r="AY58" s="916" t="str">
        <f ca="1">IFERROR(OFFSET(A1_集計2027,$A58,AY$1),"")</f>
        <v/>
      </c>
      <c r="AZ58" s="916" t="str">
        <f ca="1">IFERROR(OFFSET(A1_集計2024,$A58,AZ$1),"")</f>
        <v/>
      </c>
      <c r="BA58" s="916" t="str">
        <f ca="1">IFERROR(OFFSET(A1_集計2025,$A58,BA$1),"")</f>
        <v/>
      </c>
      <c r="BB58" s="916" t="str">
        <f ca="1">IFERROR(OFFSET(A1_集計2026,$A58,BB$1),"")</f>
        <v/>
      </c>
      <c r="BC58" s="916" t="str">
        <f ca="1">IFERROR(OFFSET(A1_集計2027,$A58,BC$1),"")</f>
        <v/>
      </c>
      <c r="BD58" s="916" t="str">
        <f ca="1">IFERROR(OFFSET(A1_集計2024,$A58,BD$1),"")</f>
        <v/>
      </c>
      <c r="BE58" s="916" t="str">
        <f ca="1">IFERROR(OFFSET(A1_集計2025,$A58,BE$1),"")</f>
        <v/>
      </c>
      <c r="BF58" s="916" t="str">
        <f ca="1">IFERROR(OFFSET(A1_集計2026,$A58,BF$1),"")</f>
        <v/>
      </c>
      <c r="BG58" s="916" t="str">
        <f ca="1">IFERROR(OFFSET(A1_集計2027,$A58,BG$1),"")</f>
        <v/>
      </c>
      <c r="BH58" s="916" t="str">
        <f ca="1">IFERROR(OFFSET(A1_集計2024,$A58,BH$1),"")</f>
        <v/>
      </c>
      <c r="BI58" s="916" t="str">
        <f ca="1">IFERROR(OFFSET(A1_集計2025,$A58,BI$1),"")</f>
        <v/>
      </c>
      <c r="BJ58" s="916" t="str">
        <f ca="1">IFERROR(OFFSET(A1_集計2026,$A58,BJ$1),"")</f>
        <v/>
      </c>
      <c r="BK58" s="916" t="str">
        <f ca="1">IFERROR(OFFSET(A1_集計2027,$A58,BK$1),"")</f>
        <v/>
      </c>
      <c r="BL58" s="916" t="str">
        <f ca="1">IFERROR(OFFSET(A1_集計2024,$A58,BL$1),"")</f>
        <v/>
      </c>
      <c r="BM58" s="916" t="str">
        <f ca="1">IFERROR(OFFSET(A1_集計2025,$A58,BM$1),"")</f>
        <v/>
      </c>
      <c r="BN58" s="916" t="str">
        <f ca="1">IFERROR(OFFSET(A1_集計2026,$A58,BN$1),"")</f>
        <v/>
      </c>
      <c r="BO58" s="916" t="str">
        <f ca="1">IFERROR(OFFSET(A1_集計2027,$A58,BO$1),"")</f>
        <v/>
      </c>
      <c r="BP58" s="802"/>
    </row>
    <row r="59" spans="1:68" ht="20.100000000000001" hidden="1" customHeight="1" outlineLevel="1">
      <c r="A59" s="914">
        <v>13</v>
      </c>
      <c r="B59" s="1594"/>
      <c r="C59" s="1596"/>
      <c r="D59" s="785" t="s">
        <v>787</v>
      </c>
      <c r="E59" s="790"/>
      <c r="F59" s="810"/>
      <c r="G59" s="852" t="s">
        <v>1281</v>
      </c>
      <c r="H59" s="917"/>
      <c r="I59" s="917"/>
      <c r="J59" s="917"/>
      <c r="K59" s="917"/>
      <c r="L59" s="918">
        <f ca="1">SUM(SUMIFS(OFFSET(A1_集計2024,$A59,9,1,200),OFFSET(貼付け_2024実績,4,9,1,200),{"横浜*","川崎*","県域*","エネルギー管理指定工場等*"}))</f>
        <v>0</v>
      </c>
      <c r="M59" s="918">
        <f ca="1">SUM(SUMIFS(OFFSET(A1_集計2025,$A59,9,1,200),OFFSET(貼付け_2025実績,4,9,1,200),{"横浜*","川崎*","県域*","エネルギー管理指定工場等*"}))</f>
        <v>0</v>
      </c>
      <c r="N59" s="918">
        <f ca="1">SUM(SUMIFS(OFFSET(A1_集計2026,$A59,9,1,200),OFFSET(貼付け_2026実績,4,9,1,200),{"横浜*","川崎*","県域*","エネルギー管理指定工場等*"}))</f>
        <v>0</v>
      </c>
      <c r="O59" s="918">
        <f ca="1">SUM(SUMIFS(OFFSET(A1_集計2027,$A59,9,1,200),OFFSET(貼付け_2027実績,4,9,1,200),{"横浜*","川崎*","県域*","エネルギー管理指定工場等*"}))</f>
        <v>0</v>
      </c>
      <c r="P59" s="916">
        <f ca="1">SUM(SUMIFS(OFFSET(A1_集計2024,$A59,9,1,200),OFFSET(貼付け_2024実績,4,9,1,200),{"横浜*","川崎*"}))</f>
        <v>0</v>
      </c>
      <c r="Q59" s="916">
        <f ca="1">SUM(SUMIFS(OFFSET(A1_集計2025,$A59,9,1,200),OFFSET(貼付け_2025実績,4,9,1,200),{"横浜*","川崎*"}))</f>
        <v>0</v>
      </c>
      <c r="R59" s="916">
        <f ca="1">SUM(SUMIFS(OFFSET(A1_集計2026,$A59,9,1,200),OFFSET(貼付け_2026実績,4,9,1,200),{"横浜*","川崎*"}))</f>
        <v>0</v>
      </c>
      <c r="S59" s="916">
        <f ca="1">SUM(SUMIFS(OFFSET(A1_集計2027,$A59,9,1,200),OFFSET(貼付け_2027実績,4,9,1,200),{"横浜*","川崎*"}))</f>
        <v>0</v>
      </c>
      <c r="T59" s="916">
        <f ca="1">SUM(SUMIFS(OFFSET(A1_集計2024,$A59,9,1,200),OFFSET(貼付け_2024実績,4,9,1,200),{"県域*","エネルギー管理指定工場等*"}))</f>
        <v>0</v>
      </c>
      <c r="U59" s="916">
        <f ca="1">SUM(SUMIFS(OFFSET(A1_集計2025,$A59,9,1,200),OFFSET(貼付け_2025実績,4,9,1,200),{"県域*","エネルギー管理指定工場等*"}))</f>
        <v>0</v>
      </c>
      <c r="V59" s="916">
        <f ca="1">SUM(SUMIFS(OFFSET(A1_集計2026,$A59,9,1,200),OFFSET(貼付け_2026実績,4,9,1,200),{"県域*","エネルギー管理指定工場等*"}))</f>
        <v>0</v>
      </c>
      <c r="W59" s="916">
        <f ca="1">SUM(SUMIFS(OFFSET(A1_集計2027,$A59,9,1,200),OFFSET(貼付け_2027実績,4,9,1,200),{"県域*","エネルギー管理指定工場等*"}))</f>
        <v>0</v>
      </c>
      <c r="X59" s="916">
        <f ca="1">SUMIFS(OFFSET(A1_集計2024,$A59,9,1,200),OFFSET(貼付け_2024実績,4,9,1,200),"県域*")</f>
        <v>0</v>
      </c>
      <c r="Y59" s="916">
        <f ca="1">SUMIFS(OFFSET(A1_集計2025,$A59,9,1,200),OFFSET(貼付け_2025実績,4,9,1,200),"県域*")</f>
        <v>0</v>
      </c>
      <c r="Z59" s="916">
        <f ca="1">SUMIFS(OFFSET(A1_集計2026,$A59,9,1,200),OFFSET(貼付け_2026実績,4,9,1,200),"県域*")</f>
        <v>0</v>
      </c>
      <c r="AA59" s="916">
        <f ca="1">SUMIFS(OFFSET(A1_集計2027,$A59,9,1,200),OFFSET(貼付け_2027実績,4,9,1,200),"県域*")</f>
        <v>0</v>
      </c>
      <c r="AB59" s="916" t="str">
        <f ca="1">IFERROR(OFFSET(A1_集計2024,$A59,AB$1),"")</f>
        <v/>
      </c>
      <c r="AC59" s="916" t="str">
        <f ca="1">IFERROR(OFFSET(A1_集計2025,$A59,AC$1),"")</f>
        <v/>
      </c>
      <c r="AD59" s="916" t="str">
        <f ca="1">IFERROR(OFFSET(A1_集計2026,$A59,AD$1),"")</f>
        <v/>
      </c>
      <c r="AE59" s="916" t="str">
        <f ca="1">IFERROR(OFFSET(A1_集計2027,$A59,AE$1),"")</f>
        <v/>
      </c>
      <c r="AF59" s="916" t="str">
        <f ca="1">IFERROR(OFFSET(A1_集計2024,$A59,AF$1),"")</f>
        <v/>
      </c>
      <c r="AG59" s="916" t="str">
        <f ca="1">IFERROR(OFFSET(A1_集計2025,$A59,AG$1),"")</f>
        <v/>
      </c>
      <c r="AH59" s="916" t="str">
        <f ca="1">IFERROR(OFFSET(A1_集計2026,$A59,AH$1),"")</f>
        <v/>
      </c>
      <c r="AI59" s="916" t="str">
        <f ca="1">IFERROR(OFFSET(A1_集計2027,$A59,AI$1),"")</f>
        <v/>
      </c>
      <c r="AJ59" s="916" t="str">
        <f ca="1">IFERROR(OFFSET(A1_集計2024,$A59,AJ$1),"")</f>
        <v/>
      </c>
      <c r="AK59" s="916" t="str">
        <f ca="1">IFERROR(OFFSET(A1_集計2025,$A59,AK$1),"")</f>
        <v/>
      </c>
      <c r="AL59" s="916" t="str">
        <f ca="1">IFERROR(OFFSET(A1_集計2026,$A59,AL$1),"")</f>
        <v/>
      </c>
      <c r="AM59" s="916" t="str">
        <f ca="1">IFERROR(OFFSET(A1_集計2027,$A59,AM$1),"")</f>
        <v/>
      </c>
      <c r="AN59" s="916" t="str">
        <f ca="1">IFERROR(OFFSET(A1_集計2024,$A59,AN$1),"")</f>
        <v/>
      </c>
      <c r="AO59" s="916" t="str">
        <f ca="1">IFERROR(OFFSET(A1_集計2025,$A59,AO$1),"")</f>
        <v/>
      </c>
      <c r="AP59" s="916" t="str">
        <f ca="1">IFERROR(OFFSET(A1_集計2026,$A59,AP$1),"")</f>
        <v/>
      </c>
      <c r="AQ59" s="916" t="str">
        <f ca="1">IFERROR(OFFSET(A1_集計2027,$A59,AQ$1),"")</f>
        <v/>
      </c>
      <c r="AR59" s="916" t="str">
        <f ca="1">IFERROR(OFFSET(A1_集計2024,$A59,AR$1),"")</f>
        <v/>
      </c>
      <c r="AS59" s="916" t="str">
        <f ca="1">IFERROR(OFFSET(A1_集計2025,$A59,AS$1),"")</f>
        <v/>
      </c>
      <c r="AT59" s="916" t="str">
        <f ca="1">IFERROR(OFFSET(A1_集計2026,$A59,AT$1),"")</f>
        <v/>
      </c>
      <c r="AU59" s="916" t="str">
        <f ca="1">IFERROR(OFFSET(A1_集計2027,$A59,AU$1),"")</f>
        <v/>
      </c>
      <c r="AV59" s="916" t="str">
        <f ca="1">IFERROR(OFFSET(A1_集計2024,$A59,AV$1),"")</f>
        <v/>
      </c>
      <c r="AW59" s="916" t="str">
        <f ca="1">IFERROR(OFFSET(A1_集計2025,$A59,AW$1),"")</f>
        <v/>
      </c>
      <c r="AX59" s="916" t="str">
        <f ca="1">IFERROR(OFFSET(A1_集計2026,$A59,AX$1),"")</f>
        <v/>
      </c>
      <c r="AY59" s="916" t="str">
        <f ca="1">IFERROR(OFFSET(A1_集計2027,$A59,AY$1),"")</f>
        <v/>
      </c>
      <c r="AZ59" s="916" t="str">
        <f ca="1">IFERROR(OFFSET(A1_集計2024,$A59,AZ$1),"")</f>
        <v/>
      </c>
      <c r="BA59" s="916" t="str">
        <f ca="1">IFERROR(OFFSET(A1_集計2025,$A59,BA$1),"")</f>
        <v/>
      </c>
      <c r="BB59" s="916" t="str">
        <f ca="1">IFERROR(OFFSET(A1_集計2026,$A59,BB$1),"")</f>
        <v/>
      </c>
      <c r="BC59" s="916" t="str">
        <f ca="1">IFERROR(OFFSET(A1_集計2027,$A59,BC$1),"")</f>
        <v/>
      </c>
      <c r="BD59" s="916" t="str">
        <f ca="1">IFERROR(OFFSET(A1_集計2024,$A59,BD$1),"")</f>
        <v/>
      </c>
      <c r="BE59" s="916" t="str">
        <f ca="1">IFERROR(OFFSET(A1_集計2025,$A59,BE$1),"")</f>
        <v/>
      </c>
      <c r="BF59" s="916" t="str">
        <f ca="1">IFERROR(OFFSET(A1_集計2026,$A59,BF$1),"")</f>
        <v/>
      </c>
      <c r="BG59" s="916" t="str">
        <f ca="1">IFERROR(OFFSET(A1_集計2027,$A59,BG$1),"")</f>
        <v/>
      </c>
      <c r="BH59" s="916" t="str">
        <f ca="1">IFERROR(OFFSET(A1_集計2024,$A59,BH$1),"")</f>
        <v/>
      </c>
      <c r="BI59" s="916" t="str">
        <f ca="1">IFERROR(OFFSET(A1_集計2025,$A59,BI$1),"")</f>
        <v/>
      </c>
      <c r="BJ59" s="916" t="str">
        <f ca="1">IFERROR(OFFSET(A1_集計2026,$A59,BJ$1),"")</f>
        <v/>
      </c>
      <c r="BK59" s="916" t="str">
        <f ca="1">IFERROR(OFFSET(A1_集計2027,$A59,BK$1),"")</f>
        <v/>
      </c>
      <c r="BL59" s="916" t="str">
        <f ca="1">IFERROR(OFFSET(A1_集計2024,$A59,BL$1),"")</f>
        <v/>
      </c>
      <c r="BM59" s="916" t="str">
        <f ca="1">IFERROR(OFFSET(A1_集計2025,$A59,BM$1),"")</f>
        <v/>
      </c>
      <c r="BN59" s="916" t="str">
        <f ca="1">IFERROR(OFFSET(A1_集計2026,$A59,BN$1),"")</f>
        <v/>
      </c>
      <c r="BO59" s="916" t="str">
        <f ca="1">IFERROR(OFFSET(A1_集計2027,$A59,BO$1),"")</f>
        <v/>
      </c>
      <c r="BP59" s="802"/>
    </row>
    <row r="60" spans="1:68" ht="20.100000000000001" hidden="1" customHeight="1" outlineLevel="1">
      <c r="A60" s="914">
        <v>64</v>
      </c>
      <c r="B60" s="1594"/>
      <c r="C60" s="1596"/>
      <c r="D60" s="812" t="s">
        <v>398</v>
      </c>
      <c r="E60" s="792" t="str">
        <f ca="1">参考2_エネ使用量経年!E61</f>
        <v/>
      </c>
      <c r="F60" s="794"/>
      <c r="G60" s="852" t="s">
        <v>1281</v>
      </c>
      <c r="H60" s="915">
        <f ca="1">IFERROR(OFFSET(貼付け_2024実績,$A60,6),"")</f>
        <v>0</v>
      </c>
      <c r="I60" s="915">
        <f ca="1">IFERROR(OFFSET(貼付け_2025実績,$A60,6),"")</f>
        <v>0</v>
      </c>
      <c r="J60" s="915">
        <f ca="1">IFERROR(OFFSET(貼付け_2026実績,$A60,6),"")</f>
        <v>0</v>
      </c>
      <c r="K60" s="915">
        <f ca="1">IFERROR(OFFSET(貼付け_2027実績,$A60,6),"")</f>
        <v>0</v>
      </c>
      <c r="L60" s="916">
        <f ca="1">IFERROR($H60*参考2_エネ使用量経年!L61,"")</f>
        <v>0</v>
      </c>
      <c r="M60" s="916">
        <f ca="1">IFERROR($I60*参考2_エネ使用量経年!M61,"")</f>
        <v>0</v>
      </c>
      <c r="N60" s="916">
        <f ca="1">IFERROR($J60*参考2_エネ使用量経年!N61,"")</f>
        <v>0</v>
      </c>
      <c r="O60" s="916">
        <f ca="1">IFERROR($K60*参考2_エネ使用量経年!O61,"")</f>
        <v>0</v>
      </c>
      <c r="P60" s="916">
        <f ca="1">IFERROR($H60*参考2_エネ使用量経年!P61,"")</f>
        <v>0</v>
      </c>
      <c r="Q60" s="916">
        <f ca="1">IFERROR($I60*参考2_エネ使用量経年!Q61,"")</f>
        <v>0</v>
      </c>
      <c r="R60" s="916">
        <f ca="1">IFERROR($J60*参考2_エネ使用量経年!R61,"")</f>
        <v>0</v>
      </c>
      <c r="S60" s="916">
        <f ca="1">IFERROR($K60*参考2_エネ使用量経年!S61,"")</f>
        <v>0</v>
      </c>
      <c r="T60" s="916">
        <f ca="1">IFERROR($H60*参考2_エネ使用量経年!T61,"")</f>
        <v>0</v>
      </c>
      <c r="U60" s="916">
        <f ca="1">IFERROR($I60*参考2_エネ使用量経年!U61,"")</f>
        <v>0</v>
      </c>
      <c r="V60" s="916">
        <f ca="1">IFERROR($J60*参考2_エネ使用量経年!V61,"")</f>
        <v>0</v>
      </c>
      <c r="W60" s="916">
        <f ca="1">IFERROR($K60*参考2_エネ使用量経年!W61,"")</f>
        <v>0</v>
      </c>
      <c r="X60" s="916">
        <f ca="1">IFERROR($H60*参考2_エネ使用量経年!X61,"")</f>
        <v>0</v>
      </c>
      <c r="Y60" s="916">
        <f ca="1">IFERROR($I60*参考2_エネ使用量経年!Y61,"")</f>
        <v>0</v>
      </c>
      <c r="Z60" s="916">
        <f ca="1">IFERROR($J60*参考2_エネ使用量経年!Z61,"")</f>
        <v>0</v>
      </c>
      <c r="AA60" s="916">
        <f ca="1">IFERROR($K60*参考2_エネ使用量経年!AA61,"")</f>
        <v>0</v>
      </c>
      <c r="AB60" s="916" t="str">
        <f ca="1">IFERROR($H60*参考2_エネ使用量経年!AB61,"")</f>
        <v/>
      </c>
      <c r="AC60" s="916" t="str">
        <f ca="1">IFERROR($I60*参考2_エネ使用量経年!AC61,"")</f>
        <v/>
      </c>
      <c r="AD60" s="916" t="str">
        <f ca="1">IFERROR($J60*参考2_エネ使用量経年!AD61,"")</f>
        <v/>
      </c>
      <c r="AE60" s="916" t="str">
        <f ca="1">IFERROR($K60*参考2_エネ使用量経年!AE61,"")</f>
        <v/>
      </c>
      <c r="AF60" s="916" t="str">
        <f ca="1">IFERROR($H60*参考2_エネ使用量経年!AF61,"")</f>
        <v/>
      </c>
      <c r="AG60" s="916" t="str">
        <f ca="1">IFERROR($I60*参考2_エネ使用量経年!AG61,"")</f>
        <v/>
      </c>
      <c r="AH60" s="916" t="str">
        <f ca="1">IFERROR($J60*参考2_エネ使用量経年!AH61,"")</f>
        <v/>
      </c>
      <c r="AI60" s="916" t="str">
        <f ca="1">IFERROR($K60*参考2_エネ使用量経年!AI61,"")</f>
        <v/>
      </c>
      <c r="AJ60" s="916" t="str">
        <f ca="1">IFERROR($H60*参考2_エネ使用量経年!AJ61,"")</f>
        <v/>
      </c>
      <c r="AK60" s="916" t="str">
        <f ca="1">IFERROR($I60*参考2_エネ使用量経年!AK61,"")</f>
        <v/>
      </c>
      <c r="AL60" s="916" t="str">
        <f ca="1">IFERROR($J60*参考2_エネ使用量経年!AL61,"")</f>
        <v/>
      </c>
      <c r="AM60" s="916" t="str">
        <f ca="1">IFERROR($K60*参考2_エネ使用量経年!AM61,"")</f>
        <v/>
      </c>
      <c r="AN60" s="916" t="str">
        <f ca="1">IFERROR($H60*参考2_エネ使用量経年!AN61,"")</f>
        <v/>
      </c>
      <c r="AO60" s="916" t="str">
        <f ca="1">IFERROR($I60*参考2_エネ使用量経年!AO61,"")</f>
        <v/>
      </c>
      <c r="AP60" s="916" t="str">
        <f ca="1">IFERROR($J60*参考2_エネ使用量経年!AP61,"")</f>
        <v/>
      </c>
      <c r="AQ60" s="916" t="str">
        <f ca="1">IFERROR($K60*参考2_エネ使用量経年!AQ61,"")</f>
        <v/>
      </c>
      <c r="AR60" s="916" t="str">
        <f ca="1">IFERROR($H60*参考2_エネ使用量経年!AR61,"")</f>
        <v/>
      </c>
      <c r="AS60" s="916" t="str">
        <f ca="1">IFERROR($I60*参考2_エネ使用量経年!AS61,"")</f>
        <v/>
      </c>
      <c r="AT60" s="916" t="str">
        <f ca="1">IFERROR($J60*参考2_エネ使用量経年!AT61,"")</f>
        <v/>
      </c>
      <c r="AU60" s="916" t="str">
        <f ca="1">IFERROR($K60*参考2_エネ使用量経年!AU61,"")</f>
        <v/>
      </c>
      <c r="AV60" s="916" t="str">
        <f ca="1">IFERROR($H60*参考2_エネ使用量経年!AV61,"")</f>
        <v/>
      </c>
      <c r="AW60" s="916" t="str">
        <f ca="1">IFERROR($I60*参考2_エネ使用量経年!AW61,"")</f>
        <v/>
      </c>
      <c r="AX60" s="916" t="str">
        <f ca="1">IFERROR($J60*参考2_エネ使用量経年!AX61,"")</f>
        <v/>
      </c>
      <c r="AY60" s="916" t="str">
        <f ca="1">IFERROR($K60*参考2_エネ使用量経年!AY61,"")</f>
        <v/>
      </c>
      <c r="AZ60" s="916" t="str">
        <f ca="1">IFERROR($H60*参考2_エネ使用量経年!AZ61,"")</f>
        <v/>
      </c>
      <c r="BA60" s="916" t="str">
        <f ca="1">IFERROR($I60*参考2_エネ使用量経年!BA61,"")</f>
        <v/>
      </c>
      <c r="BB60" s="916" t="str">
        <f ca="1">IFERROR($J60*参考2_エネ使用量経年!BB61,"")</f>
        <v/>
      </c>
      <c r="BC60" s="916" t="str">
        <f ca="1">IFERROR($K60*参考2_エネ使用量経年!BC61,"")</f>
        <v/>
      </c>
      <c r="BD60" s="916" t="str">
        <f ca="1">IFERROR($H60*参考2_エネ使用量経年!BD61,"")</f>
        <v/>
      </c>
      <c r="BE60" s="916" t="str">
        <f ca="1">IFERROR($I60*参考2_エネ使用量経年!BE61,"")</f>
        <v/>
      </c>
      <c r="BF60" s="916" t="str">
        <f ca="1">IFERROR($J60*参考2_エネ使用量経年!BF61,"")</f>
        <v/>
      </c>
      <c r="BG60" s="916" t="str">
        <f ca="1">IFERROR($K60*参考2_エネ使用量経年!BG61,"")</f>
        <v/>
      </c>
      <c r="BH60" s="916" t="str">
        <f ca="1">IFERROR($H60*参考2_エネ使用量経年!BH61,"")</f>
        <v/>
      </c>
      <c r="BI60" s="916" t="str">
        <f ca="1">IFERROR($I60*参考2_エネ使用量経年!BI61,"")</f>
        <v/>
      </c>
      <c r="BJ60" s="916" t="str">
        <f ca="1">IFERROR($J60*参考2_エネ使用量経年!BJ61,"")</f>
        <v/>
      </c>
      <c r="BK60" s="916" t="str">
        <f ca="1">IFERROR($K60*参考2_エネ使用量経年!BK61,"")</f>
        <v/>
      </c>
      <c r="BL60" s="916" t="str">
        <f ca="1">IFERROR($H60*参考2_エネ使用量経年!BL61,"")</f>
        <v/>
      </c>
      <c r="BM60" s="916" t="str">
        <f ca="1">IFERROR($I60*参考2_エネ使用量経年!BM61,"")</f>
        <v/>
      </c>
      <c r="BN60" s="916" t="str">
        <f ca="1">IFERROR($J60*参考2_エネ使用量経年!BN61,"")</f>
        <v/>
      </c>
      <c r="BO60" s="916" t="str">
        <f ca="1">IFERROR($K60*参考2_エネ使用量経年!BO61,"")</f>
        <v/>
      </c>
      <c r="BP60" s="802"/>
    </row>
    <row r="61" spans="1:68" ht="20.100000000000001" hidden="1" customHeight="1" outlineLevel="1">
      <c r="A61" s="914">
        <v>66</v>
      </c>
      <c r="B61" s="1594"/>
      <c r="C61" s="1596" t="s">
        <v>399</v>
      </c>
      <c r="D61" s="919" t="s">
        <v>400</v>
      </c>
      <c r="E61" s="920"/>
      <c r="F61" s="810"/>
      <c r="G61" s="852" t="s">
        <v>1281</v>
      </c>
      <c r="H61" s="921"/>
      <c r="I61" s="921"/>
      <c r="J61" s="921"/>
      <c r="K61" s="921"/>
      <c r="L61" s="922"/>
      <c r="M61" s="922"/>
      <c r="N61" s="922"/>
      <c r="O61" s="922"/>
      <c r="P61" s="922"/>
      <c r="Q61" s="922"/>
      <c r="R61" s="922"/>
      <c r="S61" s="922"/>
      <c r="T61" s="922"/>
      <c r="U61" s="922"/>
      <c r="V61" s="922"/>
      <c r="W61" s="922"/>
      <c r="X61" s="922"/>
      <c r="Y61" s="922"/>
      <c r="Z61" s="922"/>
      <c r="AA61" s="922"/>
      <c r="AB61" s="922"/>
      <c r="AC61" s="922"/>
      <c r="AD61" s="922"/>
      <c r="AE61" s="922"/>
      <c r="AF61" s="922"/>
      <c r="AG61" s="922"/>
      <c r="AH61" s="922"/>
      <c r="AI61" s="922"/>
      <c r="AJ61" s="922"/>
      <c r="AK61" s="922"/>
      <c r="AL61" s="922"/>
      <c r="AM61" s="922"/>
      <c r="AN61" s="922"/>
      <c r="AO61" s="922"/>
      <c r="AP61" s="922"/>
      <c r="AQ61" s="922"/>
      <c r="AR61" s="922"/>
      <c r="AS61" s="922"/>
      <c r="AT61" s="922"/>
      <c r="AU61" s="922"/>
      <c r="AV61" s="922"/>
      <c r="AW61" s="922"/>
      <c r="AX61" s="922"/>
      <c r="AY61" s="922"/>
      <c r="AZ61" s="922"/>
      <c r="BA61" s="922"/>
      <c r="BB61" s="922"/>
      <c r="BC61" s="922"/>
      <c r="BD61" s="922"/>
      <c r="BE61" s="922"/>
      <c r="BF61" s="922"/>
      <c r="BG61" s="922"/>
      <c r="BH61" s="922"/>
      <c r="BI61" s="922"/>
      <c r="BJ61" s="922"/>
      <c r="BK61" s="922"/>
      <c r="BL61" s="922"/>
      <c r="BM61" s="922"/>
      <c r="BN61" s="922"/>
      <c r="BO61" s="922"/>
      <c r="BP61" s="802"/>
    </row>
    <row r="62" spans="1:68" ht="20.100000000000001" hidden="1" customHeight="1" outlineLevel="1">
      <c r="A62" s="914">
        <v>67</v>
      </c>
      <c r="B62" s="1594"/>
      <c r="C62" s="1596"/>
      <c r="D62" s="919" t="s">
        <v>401</v>
      </c>
      <c r="E62" s="920"/>
      <c r="F62" s="810"/>
      <c r="G62" s="852" t="s">
        <v>1281</v>
      </c>
      <c r="H62" s="921"/>
      <c r="I62" s="921"/>
      <c r="J62" s="921"/>
      <c r="K62" s="921"/>
      <c r="L62" s="922"/>
      <c r="M62" s="922"/>
      <c r="N62" s="922"/>
      <c r="O62" s="922"/>
      <c r="P62" s="922"/>
      <c r="Q62" s="922"/>
      <c r="R62" s="922"/>
      <c r="S62" s="922"/>
      <c r="T62" s="922"/>
      <c r="U62" s="922"/>
      <c r="V62" s="922"/>
      <c r="W62" s="922"/>
      <c r="X62" s="922"/>
      <c r="Y62" s="922"/>
      <c r="Z62" s="922"/>
      <c r="AA62" s="922"/>
      <c r="AB62" s="922"/>
      <c r="AC62" s="922"/>
      <c r="AD62" s="922"/>
      <c r="AE62" s="922"/>
      <c r="AF62" s="922"/>
      <c r="AG62" s="922"/>
      <c r="AH62" s="922"/>
      <c r="AI62" s="922"/>
      <c r="AJ62" s="922"/>
      <c r="AK62" s="922"/>
      <c r="AL62" s="922"/>
      <c r="AM62" s="922"/>
      <c r="AN62" s="922"/>
      <c r="AO62" s="922"/>
      <c r="AP62" s="922"/>
      <c r="AQ62" s="922"/>
      <c r="AR62" s="922"/>
      <c r="AS62" s="922"/>
      <c r="AT62" s="922"/>
      <c r="AU62" s="922"/>
      <c r="AV62" s="922"/>
      <c r="AW62" s="922"/>
      <c r="AX62" s="922"/>
      <c r="AY62" s="922"/>
      <c r="AZ62" s="922"/>
      <c r="BA62" s="922"/>
      <c r="BB62" s="922"/>
      <c r="BC62" s="922"/>
      <c r="BD62" s="922"/>
      <c r="BE62" s="922"/>
      <c r="BF62" s="922"/>
      <c r="BG62" s="922"/>
      <c r="BH62" s="922"/>
      <c r="BI62" s="922"/>
      <c r="BJ62" s="922"/>
      <c r="BK62" s="922"/>
      <c r="BL62" s="922"/>
      <c r="BM62" s="922"/>
      <c r="BN62" s="922"/>
      <c r="BO62" s="922"/>
      <c r="BP62" s="802"/>
    </row>
    <row r="63" spans="1:68" ht="20.100000000000001" hidden="1" customHeight="1" outlineLevel="1">
      <c r="A63" s="914">
        <v>68</v>
      </c>
      <c r="B63" s="1594"/>
      <c r="C63" s="1596"/>
      <c r="D63" s="919" t="s">
        <v>402</v>
      </c>
      <c r="E63" s="920"/>
      <c r="F63" s="810"/>
      <c r="G63" s="852" t="s">
        <v>1281</v>
      </c>
      <c r="H63" s="921"/>
      <c r="I63" s="921"/>
      <c r="J63" s="921"/>
      <c r="K63" s="921"/>
      <c r="L63" s="922"/>
      <c r="M63" s="922"/>
      <c r="N63" s="922"/>
      <c r="O63" s="922"/>
      <c r="P63" s="922"/>
      <c r="Q63" s="922"/>
      <c r="R63" s="922"/>
      <c r="S63" s="922"/>
      <c r="T63" s="922"/>
      <c r="U63" s="922"/>
      <c r="V63" s="922"/>
      <c r="W63" s="922"/>
      <c r="X63" s="922"/>
      <c r="Y63" s="922"/>
      <c r="Z63" s="922"/>
      <c r="AA63" s="922"/>
      <c r="AB63" s="922"/>
      <c r="AC63" s="922"/>
      <c r="AD63" s="922"/>
      <c r="AE63" s="922"/>
      <c r="AF63" s="922"/>
      <c r="AG63" s="922"/>
      <c r="AH63" s="922"/>
      <c r="AI63" s="922"/>
      <c r="AJ63" s="922"/>
      <c r="AK63" s="922"/>
      <c r="AL63" s="922"/>
      <c r="AM63" s="922"/>
      <c r="AN63" s="922"/>
      <c r="AO63" s="922"/>
      <c r="AP63" s="922"/>
      <c r="AQ63" s="922"/>
      <c r="AR63" s="922"/>
      <c r="AS63" s="922"/>
      <c r="AT63" s="922"/>
      <c r="AU63" s="922"/>
      <c r="AV63" s="922"/>
      <c r="AW63" s="922"/>
      <c r="AX63" s="922"/>
      <c r="AY63" s="922"/>
      <c r="AZ63" s="922"/>
      <c r="BA63" s="922"/>
      <c r="BB63" s="922"/>
      <c r="BC63" s="922"/>
      <c r="BD63" s="922"/>
      <c r="BE63" s="922"/>
      <c r="BF63" s="922"/>
      <c r="BG63" s="922"/>
      <c r="BH63" s="922"/>
      <c r="BI63" s="922"/>
      <c r="BJ63" s="922"/>
      <c r="BK63" s="922"/>
      <c r="BL63" s="922"/>
      <c r="BM63" s="922"/>
      <c r="BN63" s="922"/>
      <c r="BO63" s="922"/>
      <c r="BP63" s="802"/>
    </row>
    <row r="64" spans="1:68" ht="20.100000000000001" hidden="1" customHeight="1" outlineLevel="1">
      <c r="A64" s="914">
        <v>69</v>
      </c>
      <c r="B64" s="1594"/>
      <c r="C64" s="1596"/>
      <c r="D64" s="919" t="s">
        <v>403</v>
      </c>
      <c r="E64" s="920"/>
      <c r="F64" s="810"/>
      <c r="G64" s="852" t="s">
        <v>1281</v>
      </c>
      <c r="H64" s="921"/>
      <c r="I64" s="921"/>
      <c r="J64" s="921"/>
      <c r="K64" s="921"/>
      <c r="L64" s="922"/>
      <c r="M64" s="922"/>
      <c r="N64" s="922"/>
      <c r="O64" s="922"/>
      <c r="P64" s="922"/>
      <c r="Q64" s="922"/>
      <c r="R64" s="922"/>
      <c r="S64" s="922"/>
      <c r="T64" s="922"/>
      <c r="U64" s="922"/>
      <c r="V64" s="922"/>
      <c r="W64" s="922"/>
      <c r="X64" s="922"/>
      <c r="Y64" s="922"/>
      <c r="Z64" s="922"/>
      <c r="AA64" s="922"/>
      <c r="AB64" s="922"/>
      <c r="AC64" s="922"/>
      <c r="AD64" s="922"/>
      <c r="AE64" s="922"/>
      <c r="AF64" s="922"/>
      <c r="AG64" s="922"/>
      <c r="AH64" s="922"/>
      <c r="AI64" s="922"/>
      <c r="AJ64" s="922"/>
      <c r="AK64" s="922"/>
      <c r="AL64" s="922"/>
      <c r="AM64" s="922"/>
      <c r="AN64" s="922"/>
      <c r="AO64" s="922"/>
      <c r="AP64" s="922"/>
      <c r="AQ64" s="922"/>
      <c r="AR64" s="922"/>
      <c r="AS64" s="922"/>
      <c r="AT64" s="922"/>
      <c r="AU64" s="922"/>
      <c r="AV64" s="922"/>
      <c r="AW64" s="922"/>
      <c r="AX64" s="922"/>
      <c r="AY64" s="922"/>
      <c r="AZ64" s="922"/>
      <c r="BA64" s="922"/>
      <c r="BB64" s="922"/>
      <c r="BC64" s="922"/>
      <c r="BD64" s="922"/>
      <c r="BE64" s="922"/>
      <c r="BF64" s="922"/>
      <c r="BG64" s="922"/>
      <c r="BH64" s="922"/>
      <c r="BI64" s="922"/>
      <c r="BJ64" s="922"/>
      <c r="BK64" s="922"/>
      <c r="BL64" s="922"/>
      <c r="BM64" s="922"/>
      <c r="BN64" s="922"/>
      <c r="BO64" s="922"/>
      <c r="BP64" s="802"/>
    </row>
    <row r="65" spans="1:68" ht="20.100000000000001" hidden="1" customHeight="1" outlineLevel="1">
      <c r="A65" s="914">
        <v>70</v>
      </c>
      <c r="B65" s="1594"/>
      <c r="C65" s="1596"/>
      <c r="D65" s="814" t="s">
        <v>788</v>
      </c>
      <c r="E65" s="792" t="str">
        <f ca="1">参考2_エネ使用量経年!E66</f>
        <v/>
      </c>
      <c r="F65" s="794"/>
      <c r="G65" s="852" t="s">
        <v>1281</v>
      </c>
      <c r="H65" s="915">
        <f ca="1">IFERROR(OFFSET(貼付け_2024実績,$A65,6),"")</f>
        <v>0</v>
      </c>
      <c r="I65" s="915">
        <f ca="1">IFERROR(OFFSET(貼付け_2025実績,$A65,6),"")</f>
        <v>0</v>
      </c>
      <c r="J65" s="915">
        <f ca="1">IFERROR(OFFSET(貼付け_2026実績,$A65,6),"")</f>
        <v>0</v>
      </c>
      <c r="K65" s="915">
        <f ca="1">IFERROR(OFFSET(貼付け_2027実績,$A65,6),"")</f>
        <v>0</v>
      </c>
      <c r="L65" s="916">
        <f ca="1">IFERROR($H65*参考2_エネ使用量経年!L66,"")</f>
        <v>0</v>
      </c>
      <c r="M65" s="916">
        <f ca="1">IFERROR($I65*参考2_エネ使用量経年!M66,"")</f>
        <v>0</v>
      </c>
      <c r="N65" s="916">
        <f ca="1">IFERROR($J65*参考2_エネ使用量経年!N66,"")</f>
        <v>0</v>
      </c>
      <c r="O65" s="916">
        <f ca="1">IFERROR($K65*参考2_エネ使用量経年!O66,"")</f>
        <v>0</v>
      </c>
      <c r="P65" s="916">
        <f ca="1">IFERROR($H65*参考2_エネ使用量経年!P66,"")</f>
        <v>0</v>
      </c>
      <c r="Q65" s="916">
        <f ca="1">IFERROR($I65*参考2_エネ使用量経年!Q66,"")</f>
        <v>0</v>
      </c>
      <c r="R65" s="916">
        <f ca="1">IFERROR($J65*参考2_エネ使用量経年!R66,"")</f>
        <v>0</v>
      </c>
      <c r="S65" s="916">
        <f ca="1">IFERROR($K65*参考2_エネ使用量経年!S66,"")</f>
        <v>0</v>
      </c>
      <c r="T65" s="916">
        <f ca="1">IFERROR($H65*参考2_エネ使用量経年!T66,"")</f>
        <v>0</v>
      </c>
      <c r="U65" s="916">
        <f ca="1">IFERROR($I65*参考2_エネ使用量経年!U66,"")</f>
        <v>0</v>
      </c>
      <c r="V65" s="916">
        <f ca="1">IFERROR($J65*参考2_エネ使用量経年!V66,"")</f>
        <v>0</v>
      </c>
      <c r="W65" s="916">
        <f ca="1">IFERROR($K65*参考2_エネ使用量経年!W66,"")</f>
        <v>0</v>
      </c>
      <c r="X65" s="916">
        <f ca="1">IFERROR($H65*参考2_エネ使用量経年!X66,"")</f>
        <v>0</v>
      </c>
      <c r="Y65" s="916">
        <f ca="1">IFERROR($I65*参考2_エネ使用量経年!Y66,"")</f>
        <v>0</v>
      </c>
      <c r="Z65" s="916">
        <f ca="1">IFERROR($J65*参考2_エネ使用量経年!Z66,"")</f>
        <v>0</v>
      </c>
      <c r="AA65" s="916">
        <f ca="1">IFERROR($K65*参考2_エネ使用量経年!AA66,"")</f>
        <v>0</v>
      </c>
      <c r="AB65" s="916" t="str">
        <f ca="1">IFERROR($H65*参考2_エネ使用量経年!AB66,"")</f>
        <v/>
      </c>
      <c r="AC65" s="916" t="str">
        <f ca="1">IFERROR($I65*参考2_エネ使用量経年!AC66,"")</f>
        <v/>
      </c>
      <c r="AD65" s="916" t="str">
        <f ca="1">IFERROR($J65*参考2_エネ使用量経年!AD66,"")</f>
        <v/>
      </c>
      <c r="AE65" s="916" t="str">
        <f ca="1">IFERROR($K65*参考2_エネ使用量経年!AE66,"")</f>
        <v/>
      </c>
      <c r="AF65" s="916" t="str">
        <f ca="1">IFERROR($H65*参考2_エネ使用量経年!AF66,"")</f>
        <v/>
      </c>
      <c r="AG65" s="916" t="str">
        <f ca="1">IFERROR($I65*参考2_エネ使用量経年!AG66,"")</f>
        <v/>
      </c>
      <c r="AH65" s="916" t="str">
        <f ca="1">IFERROR($J65*参考2_エネ使用量経年!AH66,"")</f>
        <v/>
      </c>
      <c r="AI65" s="916" t="str">
        <f ca="1">IFERROR($K65*参考2_エネ使用量経年!AI66,"")</f>
        <v/>
      </c>
      <c r="AJ65" s="916" t="str">
        <f ca="1">IFERROR($H65*参考2_エネ使用量経年!AJ66,"")</f>
        <v/>
      </c>
      <c r="AK65" s="916" t="str">
        <f ca="1">IFERROR($I65*参考2_エネ使用量経年!AK66,"")</f>
        <v/>
      </c>
      <c r="AL65" s="916" t="str">
        <f ca="1">IFERROR($J65*参考2_エネ使用量経年!AL66,"")</f>
        <v/>
      </c>
      <c r="AM65" s="916" t="str">
        <f ca="1">IFERROR($K65*参考2_エネ使用量経年!AM66,"")</f>
        <v/>
      </c>
      <c r="AN65" s="916" t="str">
        <f ca="1">IFERROR($H65*参考2_エネ使用量経年!AN66,"")</f>
        <v/>
      </c>
      <c r="AO65" s="916" t="str">
        <f ca="1">IFERROR($I65*参考2_エネ使用量経年!AO66,"")</f>
        <v/>
      </c>
      <c r="AP65" s="916" t="str">
        <f ca="1">IFERROR($J65*参考2_エネ使用量経年!AP66,"")</f>
        <v/>
      </c>
      <c r="AQ65" s="916" t="str">
        <f ca="1">IFERROR($K65*参考2_エネ使用量経年!AQ66,"")</f>
        <v/>
      </c>
      <c r="AR65" s="916" t="str">
        <f ca="1">IFERROR($H65*参考2_エネ使用量経年!AR66,"")</f>
        <v/>
      </c>
      <c r="AS65" s="916" t="str">
        <f ca="1">IFERROR($I65*参考2_エネ使用量経年!AS66,"")</f>
        <v/>
      </c>
      <c r="AT65" s="916" t="str">
        <f ca="1">IFERROR($J65*参考2_エネ使用量経年!AT66,"")</f>
        <v/>
      </c>
      <c r="AU65" s="916" t="str">
        <f ca="1">IFERROR($K65*参考2_エネ使用量経年!AU66,"")</f>
        <v/>
      </c>
      <c r="AV65" s="916" t="str">
        <f ca="1">IFERROR($H65*参考2_エネ使用量経年!AV66,"")</f>
        <v/>
      </c>
      <c r="AW65" s="916" t="str">
        <f ca="1">IFERROR($I65*参考2_エネ使用量経年!AW66,"")</f>
        <v/>
      </c>
      <c r="AX65" s="916" t="str">
        <f ca="1">IFERROR($J65*参考2_エネ使用量経年!AX66,"")</f>
        <v/>
      </c>
      <c r="AY65" s="916" t="str">
        <f ca="1">IFERROR($K65*参考2_エネ使用量経年!AY66,"")</f>
        <v/>
      </c>
      <c r="AZ65" s="916" t="str">
        <f ca="1">IFERROR($H65*参考2_エネ使用量経年!AZ66,"")</f>
        <v/>
      </c>
      <c r="BA65" s="916" t="str">
        <f ca="1">IFERROR($I65*参考2_エネ使用量経年!BA66,"")</f>
        <v/>
      </c>
      <c r="BB65" s="916" t="str">
        <f ca="1">IFERROR($J65*参考2_エネ使用量経年!BB66,"")</f>
        <v/>
      </c>
      <c r="BC65" s="916" t="str">
        <f ca="1">IFERROR($K65*参考2_エネ使用量経年!BC66,"")</f>
        <v/>
      </c>
      <c r="BD65" s="916" t="str">
        <f ca="1">IFERROR($H65*参考2_エネ使用量経年!BD66,"")</f>
        <v/>
      </c>
      <c r="BE65" s="916" t="str">
        <f ca="1">IFERROR($I65*参考2_エネ使用量経年!BE66,"")</f>
        <v/>
      </c>
      <c r="BF65" s="916" t="str">
        <f ca="1">IFERROR($J65*参考2_エネ使用量経年!BF66,"")</f>
        <v/>
      </c>
      <c r="BG65" s="916" t="str">
        <f ca="1">IFERROR($K65*参考2_エネ使用量経年!BG66,"")</f>
        <v/>
      </c>
      <c r="BH65" s="916" t="str">
        <f ca="1">IFERROR($H65*参考2_エネ使用量経年!BH66,"")</f>
        <v/>
      </c>
      <c r="BI65" s="916" t="str">
        <f ca="1">IFERROR($I65*参考2_エネ使用量経年!BI66,"")</f>
        <v/>
      </c>
      <c r="BJ65" s="916" t="str">
        <f ca="1">IFERROR($J65*参考2_エネ使用量経年!BJ66,"")</f>
        <v/>
      </c>
      <c r="BK65" s="916" t="str">
        <f ca="1">IFERROR($K65*参考2_エネ使用量経年!BK66,"")</f>
        <v/>
      </c>
      <c r="BL65" s="916" t="str">
        <f ca="1">IFERROR($H65*参考2_エネ使用量経年!BL66,"")</f>
        <v/>
      </c>
      <c r="BM65" s="916" t="str">
        <f ca="1">IFERROR($I65*参考2_エネ使用量経年!BM66,"")</f>
        <v/>
      </c>
      <c r="BN65" s="916" t="str">
        <f ca="1">IFERROR($J65*参考2_エネ使用量経年!BN66,"")</f>
        <v/>
      </c>
      <c r="BO65" s="916" t="str">
        <f ca="1">IFERROR($K65*参考2_エネ使用量経年!BO66,"")</f>
        <v/>
      </c>
      <c r="BP65" s="802"/>
    </row>
    <row r="66" spans="1:68" ht="20.100000000000001" hidden="1" customHeight="1" outlineLevel="1">
      <c r="A66" s="914">
        <v>71</v>
      </c>
      <c r="B66" s="1594"/>
      <c r="C66" s="1596"/>
      <c r="D66" s="814" t="s">
        <v>789</v>
      </c>
      <c r="E66" s="792" t="str">
        <f ca="1">参考2_エネ使用量経年!E67</f>
        <v/>
      </c>
      <c r="F66" s="794"/>
      <c r="G66" s="852" t="s">
        <v>1281</v>
      </c>
      <c r="H66" s="915">
        <f ca="1">IFERROR(OFFSET(貼付け_2024実績,$A66,6),"")</f>
        <v>0</v>
      </c>
      <c r="I66" s="915">
        <f ca="1">IFERROR(OFFSET(貼付け_2025実績,$A66,6),"")</f>
        <v>0</v>
      </c>
      <c r="J66" s="915">
        <f ca="1">IFERROR(OFFSET(貼付け_2026実績,$A66,6),"")</f>
        <v>0</v>
      </c>
      <c r="K66" s="915">
        <f ca="1">IFERROR(OFFSET(貼付け_2027実績,$A66,6),"")</f>
        <v>0</v>
      </c>
      <c r="L66" s="916">
        <f ca="1">IFERROR($H66*参考2_エネ使用量経年!L67,"")</f>
        <v>0</v>
      </c>
      <c r="M66" s="916">
        <f ca="1">IFERROR($I66*参考2_エネ使用量経年!M67,"")</f>
        <v>0</v>
      </c>
      <c r="N66" s="916">
        <f ca="1">IFERROR($J66*参考2_エネ使用量経年!N67,"")</f>
        <v>0</v>
      </c>
      <c r="O66" s="916">
        <f ca="1">IFERROR($K66*参考2_エネ使用量経年!O67,"")</f>
        <v>0</v>
      </c>
      <c r="P66" s="916">
        <f ca="1">IFERROR($H66*参考2_エネ使用量経年!P67,"")</f>
        <v>0</v>
      </c>
      <c r="Q66" s="916">
        <f ca="1">IFERROR($I66*参考2_エネ使用量経年!Q67,"")</f>
        <v>0</v>
      </c>
      <c r="R66" s="916">
        <f ca="1">IFERROR($J66*参考2_エネ使用量経年!R67,"")</f>
        <v>0</v>
      </c>
      <c r="S66" s="916">
        <f ca="1">IFERROR($K66*参考2_エネ使用量経年!S67,"")</f>
        <v>0</v>
      </c>
      <c r="T66" s="916">
        <f ca="1">IFERROR($H66*参考2_エネ使用量経年!T67,"")</f>
        <v>0</v>
      </c>
      <c r="U66" s="916">
        <f ca="1">IFERROR($I66*参考2_エネ使用量経年!U67,"")</f>
        <v>0</v>
      </c>
      <c r="V66" s="916">
        <f ca="1">IFERROR($J66*参考2_エネ使用量経年!V67,"")</f>
        <v>0</v>
      </c>
      <c r="W66" s="916">
        <f ca="1">IFERROR($K66*参考2_エネ使用量経年!W67,"")</f>
        <v>0</v>
      </c>
      <c r="X66" s="916">
        <f ca="1">IFERROR($H66*参考2_エネ使用量経年!X67,"")</f>
        <v>0</v>
      </c>
      <c r="Y66" s="916">
        <f ca="1">IFERROR($I66*参考2_エネ使用量経年!Y67,"")</f>
        <v>0</v>
      </c>
      <c r="Z66" s="916">
        <f ca="1">IFERROR($J66*参考2_エネ使用量経年!Z67,"")</f>
        <v>0</v>
      </c>
      <c r="AA66" s="916">
        <f ca="1">IFERROR($K66*参考2_エネ使用量経年!AA67,"")</f>
        <v>0</v>
      </c>
      <c r="AB66" s="916" t="str">
        <f ca="1">IFERROR($H66*参考2_エネ使用量経年!AB67,"")</f>
        <v/>
      </c>
      <c r="AC66" s="916" t="str">
        <f ca="1">IFERROR($I66*参考2_エネ使用量経年!AC67,"")</f>
        <v/>
      </c>
      <c r="AD66" s="916" t="str">
        <f ca="1">IFERROR($J66*参考2_エネ使用量経年!AD67,"")</f>
        <v/>
      </c>
      <c r="AE66" s="916" t="str">
        <f ca="1">IFERROR($K66*参考2_エネ使用量経年!AE67,"")</f>
        <v/>
      </c>
      <c r="AF66" s="916" t="str">
        <f ca="1">IFERROR($H66*参考2_エネ使用量経年!AF67,"")</f>
        <v/>
      </c>
      <c r="AG66" s="916" t="str">
        <f ca="1">IFERROR($I66*参考2_エネ使用量経年!AG67,"")</f>
        <v/>
      </c>
      <c r="AH66" s="916" t="str">
        <f ca="1">IFERROR($J66*参考2_エネ使用量経年!AH67,"")</f>
        <v/>
      </c>
      <c r="AI66" s="916" t="str">
        <f ca="1">IFERROR($K66*参考2_エネ使用量経年!AI67,"")</f>
        <v/>
      </c>
      <c r="AJ66" s="916" t="str">
        <f ca="1">IFERROR($H66*参考2_エネ使用量経年!AJ67,"")</f>
        <v/>
      </c>
      <c r="AK66" s="916" t="str">
        <f ca="1">IFERROR($I66*参考2_エネ使用量経年!AK67,"")</f>
        <v/>
      </c>
      <c r="AL66" s="916" t="str">
        <f ca="1">IFERROR($J66*参考2_エネ使用量経年!AL67,"")</f>
        <v/>
      </c>
      <c r="AM66" s="916" t="str">
        <f ca="1">IFERROR($K66*参考2_エネ使用量経年!AM67,"")</f>
        <v/>
      </c>
      <c r="AN66" s="916" t="str">
        <f ca="1">IFERROR($H66*参考2_エネ使用量経年!AN67,"")</f>
        <v/>
      </c>
      <c r="AO66" s="916" t="str">
        <f ca="1">IFERROR($I66*参考2_エネ使用量経年!AO67,"")</f>
        <v/>
      </c>
      <c r="AP66" s="916" t="str">
        <f ca="1">IFERROR($J66*参考2_エネ使用量経年!AP67,"")</f>
        <v/>
      </c>
      <c r="AQ66" s="916" t="str">
        <f ca="1">IFERROR($K66*参考2_エネ使用量経年!AQ67,"")</f>
        <v/>
      </c>
      <c r="AR66" s="916" t="str">
        <f ca="1">IFERROR($H66*参考2_エネ使用量経年!AR67,"")</f>
        <v/>
      </c>
      <c r="AS66" s="916" t="str">
        <f ca="1">IFERROR($I66*参考2_エネ使用量経年!AS67,"")</f>
        <v/>
      </c>
      <c r="AT66" s="916" t="str">
        <f ca="1">IFERROR($J66*参考2_エネ使用量経年!AT67,"")</f>
        <v/>
      </c>
      <c r="AU66" s="916" t="str">
        <f ca="1">IFERROR($K66*参考2_エネ使用量経年!AU67,"")</f>
        <v/>
      </c>
      <c r="AV66" s="916" t="str">
        <f ca="1">IFERROR($H66*参考2_エネ使用量経年!AV67,"")</f>
        <v/>
      </c>
      <c r="AW66" s="916" t="str">
        <f ca="1">IFERROR($I66*参考2_エネ使用量経年!AW67,"")</f>
        <v/>
      </c>
      <c r="AX66" s="916" t="str">
        <f ca="1">IFERROR($J66*参考2_エネ使用量経年!AX67,"")</f>
        <v/>
      </c>
      <c r="AY66" s="916" t="str">
        <f ca="1">IFERROR($K66*参考2_エネ使用量経年!AY67,"")</f>
        <v/>
      </c>
      <c r="AZ66" s="916" t="str">
        <f ca="1">IFERROR($H66*参考2_エネ使用量経年!AZ67,"")</f>
        <v/>
      </c>
      <c r="BA66" s="916" t="str">
        <f ca="1">IFERROR($I66*参考2_エネ使用量経年!BA67,"")</f>
        <v/>
      </c>
      <c r="BB66" s="916" t="str">
        <f ca="1">IFERROR($J66*参考2_エネ使用量経年!BB67,"")</f>
        <v/>
      </c>
      <c r="BC66" s="916" t="str">
        <f ca="1">IFERROR($K66*参考2_エネ使用量経年!BC67,"")</f>
        <v/>
      </c>
      <c r="BD66" s="916" t="str">
        <f ca="1">IFERROR($H66*参考2_エネ使用量経年!BD67,"")</f>
        <v/>
      </c>
      <c r="BE66" s="916" t="str">
        <f ca="1">IFERROR($I66*参考2_エネ使用量経年!BE67,"")</f>
        <v/>
      </c>
      <c r="BF66" s="916" t="str">
        <f ca="1">IFERROR($J66*参考2_エネ使用量経年!BF67,"")</f>
        <v/>
      </c>
      <c r="BG66" s="916" t="str">
        <f ca="1">IFERROR($K66*参考2_エネ使用量経年!BG67,"")</f>
        <v/>
      </c>
      <c r="BH66" s="916" t="str">
        <f ca="1">IFERROR($H66*参考2_エネ使用量経年!BH67,"")</f>
        <v/>
      </c>
      <c r="BI66" s="916" t="str">
        <f ca="1">IFERROR($I66*参考2_エネ使用量経年!BI67,"")</f>
        <v/>
      </c>
      <c r="BJ66" s="916" t="str">
        <f ca="1">IFERROR($J66*参考2_エネ使用量経年!BJ67,"")</f>
        <v/>
      </c>
      <c r="BK66" s="916" t="str">
        <f ca="1">IFERROR($K66*参考2_エネ使用量経年!BK67,"")</f>
        <v/>
      </c>
      <c r="BL66" s="916" t="str">
        <f ca="1">IFERROR($H66*参考2_エネ使用量経年!BL67,"")</f>
        <v/>
      </c>
      <c r="BM66" s="916" t="str">
        <f ca="1">IFERROR($I66*参考2_エネ使用量経年!BM67,"")</f>
        <v/>
      </c>
      <c r="BN66" s="916" t="str">
        <f ca="1">IFERROR($J66*参考2_エネ使用量経年!BN67,"")</f>
        <v/>
      </c>
      <c r="BO66" s="916" t="str">
        <f ca="1">IFERROR($K66*参考2_エネ使用量経年!BO67,"")</f>
        <v/>
      </c>
      <c r="BP66" s="802"/>
    </row>
    <row r="67" spans="1:68" ht="20.100000000000001" hidden="1" customHeight="1" outlineLevel="1">
      <c r="A67" s="914">
        <v>15</v>
      </c>
      <c r="B67" s="1593" t="s">
        <v>422</v>
      </c>
      <c r="C67" s="894" t="s">
        <v>405</v>
      </c>
      <c r="D67" s="895"/>
      <c r="E67" s="790"/>
      <c r="F67" s="810"/>
      <c r="G67" s="852" t="s">
        <v>1281</v>
      </c>
      <c r="H67" s="917"/>
      <c r="I67" s="917"/>
      <c r="J67" s="917"/>
      <c r="K67" s="917"/>
      <c r="L67" s="918">
        <f ca="1">SUM(SUMIFS(OFFSET(A1_集計2024,$A67,9,1,200),OFFSET(貼付け_2024実績,4,9,1,200),{"横浜*","川崎*","県域*","エネルギー管理指定工場等*"}))</f>
        <v>0</v>
      </c>
      <c r="M67" s="918">
        <f ca="1">SUM(SUMIFS(OFFSET(A1_集計2025,$A67,9,1,200),OFFSET(貼付け_2025実績,4,9,1,200),{"横浜*","川崎*","県域*","エネルギー管理指定工場等*"}))</f>
        <v>0</v>
      </c>
      <c r="N67" s="918">
        <f ca="1">SUM(SUMIFS(OFFSET(A1_集計2026,$A67,9,1,200),OFFSET(貼付け_2026実績,4,9,1,200),{"横浜*","川崎*","県域*","エネルギー管理指定工場等*"}))</f>
        <v>0</v>
      </c>
      <c r="O67" s="918">
        <f ca="1">SUM(SUMIFS(OFFSET(A1_集計2027,$A67,9,1,200),OFFSET(貼付け_2027実績,4,9,1,200),{"横浜*","川崎*","県域*","エネルギー管理指定工場等*"}))</f>
        <v>0</v>
      </c>
      <c r="P67" s="916">
        <f ca="1">SUM(SUMIFS(OFFSET(A1_集計2024,$A67,9,1,200),OFFSET(貼付け_2024実績,4,9,1,200),{"横浜*","川崎*"}))</f>
        <v>0</v>
      </c>
      <c r="Q67" s="916">
        <f ca="1">SUM(SUMIFS(OFFSET(A1_集計2025,$A67,9,1,200),OFFSET(貼付け_2025実績,4,9,1,200),{"横浜*","川崎*"}))</f>
        <v>0</v>
      </c>
      <c r="R67" s="916">
        <f ca="1">SUM(SUMIFS(OFFSET(A1_集計2026,$A67,9,1,200),OFFSET(貼付け_2026実績,4,9,1,200),{"横浜*","川崎*"}))</f>
        <v>0</v>
      </c>
      <c r="S67" s="916">
        <f ca="1">SUM(SUMIFS(OFFSET(A1_集計2027,$A67,9,1,200),OFFSET(貼付け_2027実績,4,9,1,200),{"横浜*","川崎*"}))</f>
        <v>0</v>
      </c>
      <c r="T67" s="916">
        <f ca="1">SUM(SUMIFS(OFFSET(A1_集計2024,$A67,9,1,200),OFFSET(貼付け_2024実績,4,9,1,200),{"県域*","エネルギー管理指定工場等*"}))</f>
        <v>0</v>
      </c>
      <c r="U67" s="916">
        <f ca="1">SUM(SUMIFS(OFFSET(A1_集計2025,$A67,9,1,200),OFFSET(貼付け_2025実績,4,9,1,200),{"県域*","エネルギー管理指定工場等*"}))</f>
        <v>0</v>
      </c>
      <c r="V67" s="916">
        <f ca="1">SUM(SUMIFS(OFFSET(A1_集計2026,$A67,9,1,200),OFFSET(貼付け_2026実績,4,9,1,200),{"県域*","エネルギー管理指定工場等*"}))</f>
        <v>0</v>
      </c>
      <c r="W67" s="916">
        <f ca="1">SUM(SUMIFS(OFFSET(A1_集計2027,$A67,9,1,200),OFFSET(貼付け_2027実績,4,9,1,200),{"県域*","エネルギー管理指定工場等*"}))</f>
        <v>0</v>
      </c>
      <c r="X67" s="916">
        <f ca="1">SUMIFS(OFFSET(A1_集計2024,$A67,9,1,200),OFFSET(貼付け_2024実績,4,9,1,200),"県域*")</f>
        <v>0</v>
      </c>
      <c r="Y67" s="916">
        <f ca="1">SUMIFS(OFFSET(A1_集計2025,$A67,9,1,200),OFFSET(貼付け_2025実績,4,9,1,200),"県域*")</f>
        <v>0</v>
      </c>
      <c r="Z67" s="916">
        <f ca="1">SUMIFS(OFFSET(A1_集計2026,$A67,9,1,200),OFFSET(貼付け_2026実績,4,9,1,200),"県域*")</f>
        <v>0</v>
      </c>
      <c r="AA67" s="916">
        <f ca="1">SUMIFS(OFFSET(A1_集計2027,$A67,9,1,200),OFFSET(貼付け_2027実績,4,9,1,200),"県域*")</f>
        <v>0</v>
      </c>
      <c r="AB67" s="916" t="str">
        <f ca="1">IFERROR(OFFSET(A1_集計2024,$A67,AB$1),"")</f>
        <v/>
      </c>
      <c r="AC67" s="916" t="str">
        <f ca="1">IFERROR(OFFSET(A1_集計2025,$A67,AC$1),"")</f>
        <v/>
      </c>
      <c r="AD67" s="916" t="str">
        <f ca="1">IFERROR(OFFSET(A1_集計2026,$A67,AD$1),"")</f>
        <v/>
      </c>
      <c r="AE67" s="916" t="str">
        <f ca="1">IFERROR(OFFSET(A1_集計2027,$A67,AE$1),"")</f>
        <v/>
      </c>
      <c r="AF67" s="916" t="str">
        <f ca="1">IFERROR(OFFSET(A1_集計2024,$A67,AF$1),"")</f>
        <v/>
      </c>
      <c r="AG67" s="916" t="str">
        <f ca="1">IFERROR(OFFSET(A1_集計2025,$A67,AG$1),"")</f>
        <v/>
      </c>
      <c r="AH67" s="916" t="str">
        <f ca="1">IFERROR(OFFSET(A1_集計2026,$A67,AH$1),"")</f>
        <v/>
      </c>
      <c r="AI67" s="916" t="str">
        <f ca="1">IFERROR(OFFSET(A1_集計2027,$A67,AI$1),"")</f>
        <v/>
      </c>
      <c r="AJ67" s="916" t="str">
        <f ca="1">IFERROR(OFFSET(A1_集計2024,$A67,AJ$1),"")</f>
        <v/>
      </c>
      <c r="AK67" s="916" t="str">
        <f ca="1">IFERROR(OFFSET(A1_集計2025,$A67,AK$1),"")</f>
        <v/>
      </c>
      <c r="AL67" s="916" t="str">
        <f ca="1">IFERROR(OFFSET(A1_集計2026,$A67,AL$1),"")</f>
        <v/>
      </c>
      <c r="AM67" s="916" t="str">
        <f ca="1">IFERROR(OFFSET(A1_集計2027,$A67,AM$1),"")</f>
        <v/>
      </c>
      <c r="AN67" s="916" t="str">
        <f ca="1">IFERROR(OFFSET(A1_集計2024,$A67,AN$1),"")</f>
        <v/>
      </c>
      <c r="AO67" s="916" t="str">
        <f ca="1">IFERROR(OFFSET(A1_集計2025,$A67,AO$1),"")</f>
        <v/>
      </c>
      <c r="AP67" s="916" t="str">
        <f ca="1">IFERROR(OFFSET(A1_集計2026,$A67,AP$1),"")</f>
        <v/>
      </c>
      <c r="AQ67" s="916" t="str">
        <f ca="1">IFERROR(OFFSET(A1_集計2027,$A67,AQ$1),"")</f>
        <v/>
      </c>
      <c r="AR67" s="916" t="str">
        <f ca="1">IFERROR(OFFSET(A1_集計2024,$A67,AR$1),"")</f>
        <v/>
      </c>
      <c r="AS67" s="916" t="str">
        <f ca="1">IFERROR(OFFSET(A1_集計2025,$A67,AS$1),"")</f>
        <v/>
      </c>
      <c r="AT67" s="916" t="str">
        <f ca="1">IFERROR(OFFSET(A1_集計2026,$A67,AT$1),"")</f>
        <v/>
      </c>
      <c r="AU67" s="916" t="str">
        <f ca="1">IFERROR(OFFSET(A1_集計2027,$A67,AU$1),"")</f>
        <v/>
      </c>
      <c r="AV67" s="916" t="str">
        <f ca="1">IFERROR(OFFSET(A1_集計2024,$A67,AV$1),"")</f>
        <v/>
      </c>
      <c r="AW67" s="916" t="str">
        <f ca="1">IFERROR(OFFSET(A1_集計2025,$A67,AW$1),"")</f>
        <v/>
      </c>
      <c r="AX67" s="916" t="str">
        <f ca="1">IFERROR(OFFSET(A1_集計2026,$A67,AX$1),"")</f>
        <v/>
      </c>
      <c r="AY67" s="916" t="str">
        <f ca="1">IFERROR(OFFSET(A1_集計2027,$A67,AY$1),"")</f>
        <v/>
      </c>
      <c r="AZ67" s="916" t="str">
        <f ca="1">IFERROR(OFFSET(A1_集計2024,$A67,AZ$1),"")</f>
        <v/>
      </c>
      <c r="BA67" s="916" t="str">
        <f ca="1">IFERROR(OFFSET(A1_集計2025,$A67,BA$1),"")</f>
        <v/>
      </c>
      <c r="BB67" s="916" t="str">
        <f ca="1">IFERROR(OFFSET(A1_集計2026,$A67,BB$1),"")</f>
        <v/>
      </c>
      <c r="BC67" s="916" t="str">
        <f ca="1">IFERROR(OFFSET(A1_集計2027,$A67,BC$1),"")</f>
        <v/>
      </c>
      <c r="BD67" s="916" t="str">
        <f ca="1">IFERROR(OFFSET(A1_集計2024,$A67,BD$1),"")</f>
        <v/>
      </c>
      <c r="BE67" s="916" t="str">
        <f ca="1">IFERROR(OFFSET(A1_集計2025,$A67,BE$1),"")</f>
        <v/>
      </c>
      <c r="BF67" s="916" t="str">
        <f ca="1">IFERROR(OFFSET(A1_集計2026,$A67,BF$1),"")</f>
        <v/>
      </c>
      <c r="BG67" s="916" t="str">
        <f ca="1">IFERROR(OFFSET(A1_集計2027,$A67,BG$1),"")</f>
        <v/>
      </c>
      <c r="BH67" s="916" t="str">
        <f ca="1">IFERROR(OFFSET(A1_集計2024,$A67,BH$1),"")</f>
        <v/>
      </c>
      <c r="BI67" s="916" t="str">
        <f ca="1">IFERROR(OFFSET(A1_集計2025,$A67,BI$1),"")</f>
        <v/>
      </c>
      <c r="BJ67" s="916" t="str">
        <f ca="1">IFERROR(OFFSET(A1_集計2026,$A67,BJ$1),"")</f>
        <v/>
      </c>
      <c r="BK67" s="916" t="str">
        <f ca="1">IFERROR(OFFSET(A1_集計2027,$A67,BK$1),"")</f>
        <v/>
      </c>
      <c r="BL67" s="916" t="str">
        <f ca="1">IFERROR(OFFSET(A1_集計2024,$A67,BL$1),"")</f>
        <v/>
      </c>
      <c r="BM67" s="916" t="str">
        <f ca="1">IFERROR(OFFSET(A1_集計2025,$A67,BM$1),"")</f>
        <v/>
      </c>
      <c r="BN67" s="916" t="str">
        <f ca="1">IFERROR(OFFSET(A1_集計2026,$A67,BN$1),"")</f>
        <v/>
      </c>
      <c r="BO67" s="916" t="str">
        <f ca="1">IFERROR(OFFSET(A1_集計2027,$A67,BO$1),"")</f>
        <v/>
      </c>
      <c r="BP67" s="802"/>
    </row>
    <row r="68" spans="1:68" ht="20.100000000000001" hidden="1" customHeight="1" outlineLevel="1">
      <c r="A68" s="914">
        <v>74</v>
      </c>
      <c r="B68" s="1594"/>
      <c r="C68" s="1596" t="s">
        <v>406</v>
      </c>
      <c r="D68" s="812" t="s">
        <v>407</v>
      </c>
      <c r="E68" s="785"/>
      <c r="F68" s="810"/>
      <c r="G68" s="852" t="s">
        <v>1281</v>
      </c>
      <c r="H68" s="915">
        <f ca="1">IFERROR(OFFSET(貼付け_2024実績,$A68,6),"")</f>
        <v>0</v>
      </c>
      <c r="I68" s="915">
        <f ca="1">IFERROR(OFFSET(貼付け_2025実績,$A68,6),"")</f>
        <v>0</v>
      </c>
      <c r="J68" s="915">
        <f ca="1">IFERROR(OFFSET(貼付け_2026実績,$A68,6),"")</f>
        <v>0</v>
      </c>
      <c r="K68" s="915">
        <f ca="1">IFERROR(OFFSET(貼付け_2027実績,$A68,6),"")</f>
        <v>0</v>
      </c>
      <c r="L68" s="916">
        <f ca="1">IFERROR($H68*参考2_エネ使用量経年!L69*1000,"")</f>
        <v>0</v>
      </c>
      <c r="M68" s="916">
        <f ca="1">IFERROR($I68*参考2_エネ使用量経年!M69*1000,"")</f>
        <v>0</v>
      </c>
      <c r="N68" s="916">
        <f ca="1">IFERROR($J68*参考2_エネ使用量経年!N69*1000,"")</f>
        <v>0</v>
      </c>
      <c r="O68" s="916">
        <f ca="1">IFERROR($K68*参考2_エネ使用量経年!O69*1000,"")</f>
        <v>0</v>
      </c>
      <c r="P68" s="916">
        <f ca="1">IFERROR($H68*参考2_エネ使用量経年!P69*1000,"")</f>
        <v>0</v>
      </c>
      <c r="Q68" s="916">
        <f ca="1">IFERROR($I68*参考2_エネ使用量経年!Q69*1000,"")</f>
        <v>0</v>
      </c>
      <c r="R68" s="916">
        <f ca="1">IFERROR($J68*参考2_エネ使用量経年!R69*1000,"")</f>
        <v>0</v>
      </c>
      <c r="S68" s="916">
        <f ca="1">IFERROR($K68*参考2_エネ使用量経年!S69*1000,"")</f>
        <v>0</v>
      </c>
      <c r="T68" s="916">
        <f ca="1">IFERROR($H68*参考2_エネ使用量経年!T69*1000,"")</f>
        <v>0</v>
      </c>
      <c r="U68" s="916">
        <f ca="1">IFERROR($I68*参考2_エネ使用量経年!U69*1000,"")</f>
        <v>0</v>
      </c>
      <c r="V68" s="916">
        <f ca="1">IFERROR($J68*参考2_エネ使用量経年!V69*1000,"")</f>
        <v>0</v>
      </c>
      <c r="W68" s="916">
        <f ca="1">IFERROR($K68*参考2_エネ使用量経年!W69*1000,"")</f>
        <v>0</v>
      </c>
      <c r="X68" s="916">
        <f ca="1">IFERROR($H68*参考2_エネ使用量経年!X69*1000,"")</f>
        <v>0</v>
      </c>
      <c r="Y68" s="916">
        <f ca="1">IFERROR($I68*参考2_エネ使用量経年!Y69*1000,"")</f>
        <v>0</v>
      </c>
      <c r="Z68" s="916">
        <f ca="1">IFERROR($J68*参考2_エネ使用量経年!Z69*1000,"")</f>
        <v>0</v>
      </c>
      <c r="AA68" s="916">
        <f ca="1">IFERROR($K68*参考2_エネ使用量経年!AA69*1000,"")</f>
        <v>0</v>
      </c>
      <c r="AB68" s="916" t="str">
        <f ca="1">IFERROR($H68*参考2_エネ使用量経年!AB69*1000,"")</f>
        <v/>
      </c>
      <c r="AC68" s="916" t="str">
        <f ca="1">IFERROR($I68*参考2_エネ使用量経年!AC69*1000,"")</f>
        <v/>
      </c>
      <c r="AD68" s="916" t="str">
        <f ca="1">IFERROR($J68*参考2_エネ使用量経年!AD69*1000,"")</f>
        <v/>
      </c>
      <c r="AE68" s="916" t="str">
        <f ca="1">IFERROR($K68*参考2_エネ使用量経年!AE69*1000,"")</f>
        <v/>
      </c>
      <c r="AF68" s="916" t="str">
        <f ca="1">IFERROR($H68*参考2_エネ使用量経年!AF69*1000,"")</f>
        <v/>
      </c>
      <c r="AG68" s="916" t="str">
        <f ca="1">IFERROR($I68*参考2_エネ使用量経年!AG69*1000,"")</f>
        <v/>
      </c>
      <c r="AH68" s="916" t="str">
        <f ca="1">IFERROR($J68*参考2_エネ使用量経年!AH69*1000,"")</f>
        <v/>
      </c>
      <c r="AI68" s="916" t="str">
        <f ca="1">IFERROR($K68*参考2_エネ使用量経年!AI69*1000,"")</f>
        <v/>
      </c>
      <c r="AJ68" s="916" t="str">
        <f ca="1">IFERROR($H68*参考2_エネ使用量経年!AJ69*1000,"")</f>
        <v/>
      </c>
      <c r="AK68" s="916" t="str">
        <f ca="1">IFERROR($I68*参考2_エネ使用量経年!AK69*1000,"")</f>
        <v/>
      </c>
      <c r="AL68" s="916" t="str">
        <f ca="1">IFERROR($J68*参考2_エネ使用量経年!AL69*1000,"")</f>
        <v/>
      </c>
      <c r="AM68" s="916" t="str">
        <f ca="1">IFERROR($K68*参考2_エネ使用量経年!AM69*1000,"")</f>
        <v/>
      </c>
      <c r="AN68" s="916" t="str">
        <f ca="1">IFERROR($H68*参考2_エネ使用量経年!AN69*1000,"")</f>
        <v/>
      </c>
      <c r="AO68" s="916" t="str">
        <f ca="1">IFERROR($I68*参考2_エネ使用量経年!AO69*1000,"")</f>
        <v/>
      </c>
      <c r="AP68" s="916" t="str">
        <f ca="1">IFERROR($J68*参考2_エネ使用量経年!AP69*1000,"")</f>
        <v/>
      </c>
      <c r="AQ68" s="916" t="str">
        <f ca="1">IFERROR($K68*参考2_エネ使用量経年!AQ69*1000,"")</f>
        <v/>
      </c>
      <c r="AR68" s="916" t="str">
        <f ca="1">IFERROR($H68*参考2_エネ使用量経年!AR69*1000,"")</f>
        <v/>
      </c>
      <c r="AS68" s="916" t="str">
        <f ca="1">IFERROR($I68*参考2_エネ使用量経年!AS69*1000,"")</f>
        <v/>
      </c>
      <c r="AT68" s="916" t="str">
        <f ca="1">IFERROR($J68*参考2_エネ使用量経年!AT69*1000,"")</f>
        <v/>
      </c>
      <c r="AU68" s="916" t="str">
        <f ca="1">IFERROR($K68*参考2_エネ使用量経年!AU69*1000,"")</f>
        <v/>
      </c>
      <c r="AV68" s="916" t="str">
        <f ca="1">IFERROR($H68*参考2_エネ使用量経年!AV69*1000,"")</f>
        <v/>
      </c>
      <c r="AW68" s="916" t="str">
        <f ca="1">IFERROR($I68*参考2_エネ使用量経年!AW69*1000,"")</f>
        <v/>
      </c>
      <c r="AX68" s="916" t="str">
        <f ca="1">IFERROR($J68*参考2_エネ使用量経年!AX69*1000,"")</f>
        <v/>
      </c>
      <c r="AY68" s="916" t="str">
        <f ca="1">IFERROR($K68*参考2_エネ使用量経年!AY69*1000,"")</f>
        <v/>
      </c>
      <c r="AZ68" s="916" t="str">
        <f ca="1">IFERROR($H68*参考2_エネ使用量経年!AZ69*1000,"")</f>
        <v/>
      </c>
      <c r="BA68" s="916" t="str">
        <f ca="1">IFERROR($I68*参考2_エネ使用量経年!BA69*1000,"")</f>
        <v/>
      </c>
      <c r="BB68" s="916" t="str">
        <f ca="1">IFERROR($J68*参考2_エネ使用量経年!BB69*1000,"")</f>
        <v/>
      </c>
      <c r="BC68" s="916" t="str">
        <f ca="1">IFERROR($K68*参考2_エネ使用量経年!BC69*1000,"")</f>
        <v/>
      </c>
      <c r="BD68" s="916" t="str">
        <f ca="1">IFERROR($H68*参考2_エネ使用量経年!BD69*1000,"")</f>
        <v/>
      </c>
      <c r="BE68" s="916" t="str">
        <f ca="1">IFERROR($I68*参考2_エネ使用量経年!BE69*1000,"")</f>
        <v/>
      </c>
      <c r="BF68" s="916" t="str">
        <f ca="1">IFERROR($J68*参考2_エネ使用量経年!BF69*1000,"")</f>
        <v/>
      </c>
      <c r="BG68" s="916" t="str">
        <f ca="1">IFERROR($K68*参考2_エネ使用量経年!BG69*1000,"")</f>
        <v/>
      </c>
      <c r="BH68" s="916" t="str">
        <f ca="1">IFERROR($H68*参考2_エネ使用量経年!BH69*1000,"")</f>
        <v/>
      </c>
      <c r="BI68" s="916" t="str">
        <f ca="1">IFERROR($I68*参考2_エネ使用量経年!BI69*1000,"")</f>
        <v/>
      </c>
      <c r="BJ68" s="916" t="str">
        <f ca="1">IFERROR($J68*参考2_エネ使用量経年!BJ69*1000,"")</f>
        <v/>
      </c>
      <c r="BK68" s="916" t="str">
        <f ca="1">IFERROR($K68*参考2_エネ使用量経年!BK69*1000,"")</f>
        <v/>
      </c>
      <c r="BL68" s="916" t="str">
        <f ca="1">IFERROR($H68*参考2_エネ使用量経年!BL69*1000,"")</f>
        <v/>
      </c>
      <c r="BM68" s="916" t="str">
        <f ca="1">IFERROR($I68*参考2_エネ使用量経年!BM69*1000,"")</f>
        <v/>
      </c>
      <c r="BN68" s="916" t="str">
        <f ca="1">IFERROR($J68*参考2_エネ使用量経年!BN69*1000,"")</f>
        <v/>
      </c>
      <c r="BO68" s="916" t="str">
        <f ca="1">IFERROR($K68*参考2_エネ使用量経年!BO69*1000,"")</f>
        <v/>
      </c>
      <c r="BP68" s="802"/>
    </row>
    <row r="69" spans="1:68" ht="20.100000000000001" hidden="1" customHeight="1" outlineLevel="1">
      <c r="A69" s="914">
        <v>76</v>
      </c>
      <c r="B69" s="1594"/>
      <c r="C69" s="1596"/>
      <c r="D69" s="814" t="s">
        <v>408</v>
      </c>
      <c r="E69" s="785"/>
      <c r="F69" s="810"/>
      <c r="G69" s="852" t="s">
        <v>1281</v>
      </c>
      <c r="H69" s="915">
        <f ca="1">IFERROR(OFFSET(貼付け_2024実績,$A69,6),"")</f>
        <v>0</v>
      </c>
      <c r="I69" s="915">
        <f ca="1">IFERROR(OFFSET(貼付け_2025実績,$A69,6),"")</f>
        <v>0</v>
      </c>
      <c r="J69" s="915">
        <f ca="1">IFERROR(OFFSET(貼付け_2026実績,$A69,6),"")</f>
        <v>0</v>
      </c>
      <c r="K69" s="915">
        <f ca="1">IFERROR(OFFSET(貼付け_2027実績,$A69,6),"")</f>
        <v>0</v>
      </c>
      <c r="L69" s="916">
        <f ca="1">IFERROR($H69*参考2_エネ使用量経年!L70*1000,"")</f>
        <v>0</v>
      </c>
      <c r="M69" s="916">
        <f ca="1">IFERROR($I69*参考2_エネ使用量経年!M70*1000,"")</f>
        <v>0</v>
      </c>
      <c r="N69" s="916">
        <f ca="1">IFERROR($J69*参考2_エネ使用量経年!N70*1000,"")</f>
        <v>0</v>
      </c>
      <c r="O69" s="916">
        <f ca="1">IFERROR($K69*参考2_エネ使用量経年!O70*1000,"")</f>
        <v>0</v>
      </c>
      <c r="P69" s="916">
        <f ca="1">IFERROR($H69*参考2_エネ使用量経年!P70*1000,"")</f>
        <v>0</v>
      </c>
      <c r="Q69" s="916">
        <f ca="1">IFERROR($I69*参考2_エネ使用量経年!Q70*1000,"")</f>
        <v>0</v>
      </c>
      <c r="R69" s="916">
        <f ca="1">IFERROR($J69*参考2_エネ使用量経年!R70*1000,"")</f>
        <v>0</v>
      </c>
      <c r="S69" s="916">
        <f ca="1">IFERROR($K69*参考2_エネ使用量経年!S70*1000,"")</f>
        <v>0</v>
      </c>
      <c r="T69" s="916">
        <f ca="1">IFERROR($H69*参考2_エネ使用量経年!T70*1000,"")</f>
        <v>0</v>
      </c>
      <c r="U69" s="916">
        <f ca="1">IFERROR($I69*参考2_エネ使用量経年!U70*1000,"")</f>
        <v>0</v>
      </c>
      <c r="V69" s="916">
        <f ca="1">IFERROR($J69*参考2_エネ使用量経年!V70*1000,"")</f>
        <v>0</v>
      </c>
      <c r="W69" s="916">
        <f ca="1">IFERROR($K69*参考2_エネ使用量経年!W70*1000,"")</f>
        <v>0</v>
      </c>
      <c r="X69" s="916">
        <f ca="1">IFERROR($H69*参考2_エネ使用量経年!X70*1000,"")</f>
        <v>0</v>
      </c>
      <c r="Y69" s="916">
        <f ca="1">IFERROR($I69*参考2_エネ使用量経年!Y70*1000,"")</f>
        <v>0</v>
      </c>
      <c r="Z69" s="916">
        <f ca="1">IFERROR($J69*参考2_エネ使用量経年!Z70*1000,"")</f>
        <v>0</v>
      </c>
      <c r="AA69" s="916">
        <f ca="1">IFERROR($K69*参考2_エネ使用量経年!AA70*1000,"")</f>
        <v>0</v>
      </c>
      <c r="AB69" s="916" t="str">
        <f ca="1">IFERROR($H69*参考2_エネ使用量経年!AB70*1000,"")</f>
        <v/>
      </c>
      <c r="AC69" s="916" t="str">
        <f ca="1">IFERROR($I69*参考2_エネ使用量経年!AC70*1000,"")</f>
        <v/>
      </c>
      <c r="AD69" s="916" t="str">
        <f ca="1">IFERROR($J69*参考2_エネ使用量経年!AD70*1000,"")</f>
        <v/>
      </c>
      <c r="AE69" s="916" t="str">
        <f ca="1">IFERROR($K69*参考2_エネ使用量経年!AE70*1000,"")</f>
        <v/>
      </c>
      <c r="AF69" s="916" t="str">
        <f ca="1">IFERROR($H69*参考2_エネ使用量経年!AF70*1000,"")</f>
        <v/>
      </c>
      <c r="AG69" s="916" t="str">
        <f ca="1">IFERROR($I69*参考2_エネ使用量経年!AG70*1000,"")</f>
        <v/>
      </c>
      <c r="AH69" s="916" t="str">
        <f ca="1">IFERROR($J69*参考2_エネ使用量経年!AH70*1000,"")</f>
        <v/>
      </c>
      <c r="AI69" s="916" t="str">
        <f ca="1">IFERROR($K69*参考2_エネ使用量経年!AI70*1000,"")</f>
        <v/>
      </c>
      <c r="AJ69" s="916" t="str">
        <f ca="1">IFERROR($H69*参考2_エネ使用量経年!AJ70*1000,"")</f>
        <v/>
      </c>
      <c r="AK69" s="916" t="str">
        <f ca="1">IFERROR($I69*参考2_エネ使用量経年!AK70*1000,"")</f>
        <v/>
      </c>
      <c r="AL69" s="916" t="str">
        <f ca="1">IFERROR($J69*参考2_エネ使用量経年!AL70*1000,"")</f>
        <v/>
      </c>
      <c r="AM69" s="916" t="str">
        <f ca="1">IFERROR($K69*参考2_エネ使用量経年!AM70*1000,"")</f>
        <v/>
      </c>
      <c r="AN69" s="916" t="str">
        <f ca="1">IFERROR($H69*参考2_エネ使用量経年!AN70*1000,"")</f>
        <v/>
      </c>
      <c r="AO69" s="916" t="str">
        <f ca="1">IFERROR($I69*参考2_エネ使用量経年!AO70*1000,"")</f>
        <v/>
      </c>
      <c r="AP69" s="916" t="str">
        <f ca="1">IFERROR($J69*参考2_エネ使用量経年!AP70*1000,"")</f>
        <v/>
      </c>
      <c r="AQ69" s="916" t="str">
        <f ca="1">IFERROR($K69*参考2_エネ使用量経年!AQ70*1000,"")</f>
        <v/>
      </c>
      <c r="AR69" s="916" t="str">
        <f ca="1">IFERROR($H69*参考2_エネ使用量経年!AR70*1000,"")</f>
        <v/>
      </c>
      <c r="AS69" s="916" t="str">
        <f ca="1">IFERROR($I69*参考2_エネ使用量経年!AS70*1000,"")</f>
        <v/>
      </c>
      <c r="AT69" s="916" t="str">
        <f ca="1">IFERROR($J69*参考2_エネ使用量経年!AT70*1000,"")</f>
        <v/>
      </c>
      <c r="AU69" s="916" t="str">
        <f ca="1">IFERROR($K69*参考2_エネ使用量経年!AU70*1000,"")</f>
        <v/>
      </c>
      <c r="AV69" s="916" t="str">
        <f ca="1">IFERROR($H69*参考2_エネ使用量経年!AV70*1000,"")</f>
        <v/>
      </c>
      <c r="AW69" s="916" t="str">
        <f ca="1">IFERROR($I69*参考2_エネ使用量経年!AW70*1000,"")</f>
        <v/>
      </c>
      <c r="AX69" s="916" t="str">
        <f ca="1">IFERROR($J69*参考2_エネ使用量経年!AX70*1000,"")</f>
        <v/>
      </c>
      <c r="AY69" s="916" t="str">
        <f ca="1">IFERROR($K69*参考2_エネ使用量経年!AY70*1000,"")</f>
        <v/>
      </c>
      <c r="AZ69" s="916" t="str">
        <f ca="1">IFERROR($H69*参考2_エネ使用量経年!AZ70*1000,"")</f>
        <v/>
      </c>
      <c r="BA69" s="916" t="str">
        <f ca="1">IFERROR($I69*参考2_エネ使用量経年!BA70*1000,"")</f>
        <v/>
      </c>
      <c r="BB69" s="916" t="str">
        <f ca="1">IFERROR($J69*参考2_エネ使用量経年!BB70*1000,"")</f>
        <v/>
      </c>
      <c r="BC69" s="916" t="str">
        <f ca="1">IFERROR($K69*参考2_エネ使用量経年!BC70*1000,"")</f>
        <v/>
      </c>
      <c r="BD69" s="916" t="str">
        <f ca="1">IFERROR($H69*参考2_エネ使用量経年!BD70*1000,"")</f>
        <v/>
      </c>
      <c r="BE69" s="916" t="str">
        <f ca="1">IFERROR($I69*参考2_エネ使用量経年!BE70*1000,"")</f>
        <v/>
      </c>
      <c r="BF69" s="916" t="str">
        <f ca="1">IFERROR($J69*参考2_エネ使用量経年!BF70*1000,"")</f>
        <v/>
      </c>
      <c r="BG69" s="916" t="str">
        <f ca="1">IFERROR($K69*参考2_エネ使用量経年!BG70*1000,"")</f>
        <v/>
      </c>
      <c r="BH69" s="916" t="str">
        <f ca="1">IFERROR($H69*参考2_エネ使用量経年!BH70*1000,"")</f>
        <v/>
      </c>
      <c r="BI69" s="916" t="str">
        <f ca="1">IFERROR($I69*参考2_エネ使用量経年!BI70*1000,"")</f>
        <v/>
      </c>
      <c r="BJ69" s="916" t="str">
        <f ca="1">IFERROR($J69*参考2_エネ使用量経年!BJ70*1000,"")</f>
        <v/>
      </c>
      <c r="BK69" s="916" t="str">
        <f ca="1">IFERROR($K69*参考2_エネ使用量経年!BK70*1000,"")</f>
        <v/>
      </c>
      <c r="BL69" s="916" t="str">
        <f ca="1">IFERROR($H69*参考2_エネ使用量経年!BL70*1000,"")</f>
        <v/>
      </c>
      <c r="BM69" s="916" t="str">
        <f ca="1">IFERROR($I69*参考2_エネ使用量経年!BM70*1000,"")</f>
        <v/>
      </c>
      <c r="BN69" s="916" t="str">
        <f ca="1">IFERROR($J69*参考2_エネ使用量経年!BN70*1000,"")</f>
        <v/>
      </c>
      <c r="BO69" s="916" t="str">
        <f ca="1">IFERROR($K69*参考2_エネ使用量経年!BO70*1000,"")</f>
        <v/>
      </c>
      <c r="BP69" s="802"/>
    </row>
    <row r="70" spans="1:68" ht="20.100000000000001" hidden="1" customHeight="1" outlineLevel="1">
      <c r="A70" s="914">
        <v>77</v>
      </c>
      <c r="B70" s="1594"/>
      <c r="C70" s="1596"/>
      <c r="D70" s="814" t="s">
        <v>409</v>
      </c>
      <c r="E70" s="792" t="str">
        <f ca="1">参考2_エネ使用量経年!E71</f>
        <v/>
      </c>
      <c r="F70" s="794"/>
      <c r="G70" s="852" t="s">
        <v>1281</v>
      </c>
      <c r="H70" s="915">
        <f ca="1">IFERROR(OFFSET(貼付け_2024実績,$A70,6),"")</f>
        <v>0</v>
      </c>
      <c r="I70" s="915">
        <f ca="1">IFERROR(OFFSET(貼付け_2025実績,$A70,6),"")</f>
        <v>0</v>
      </c>
      <c r="J70" s="915">
        <f ca="1">IFERROR(OFFSET(貼付け_2026実績,$A70,6),"")</f>
        <v>0</v>
      </c>
      <c r="K70" s="915">
        <f ca="1">IFERROR(OFFSET(貼付け_2027実績,$A70,6),"")</f>
        <v>0</v>
      </c>
      <c r="L70" s="916">
        <f ca="1">IFERROR($H70*参考2_エネ使用量経年!L71*1000,"")</f>
        <v>0</v>
      </c>
      <c r="M70" s="916">
        <f ca="1">IFERROR($I70*参考2_エネ使用量経年!M71*1000,"")</f>
        <v>0</v>
      </c>
      <c r="N70" s="916">
        <f ca="1">IFERROR($J70*参考2_エネ使用量経年!N71*1000,"")</f>
        <v>0</v>
      </c>
      <c r="O70" s="916">
        <f ca="1">IFERROR($K70*参考2_エネ使用量経年!O71*1000,"")</f>
        <v>0</v>
      </c>
      <c r="P70" s="916">
        <f ca="1">IFERROR($H70*参考2_エネ使用量経年!P71*1000,"")</f>
        <v>0</v>
      </c>
      <c r="Q70" s="916">
        <f ca="1">IFERROR($I70*参考2_エネ使用量経年!Q71*1000,"")</f>
        <v>0</v>
      </c>
      <c r="R70" s="916">
        <f ca="1">IFERROR($J70*参考2_エネ使用量経年!R71*1000,"")</f>
        <v>0</v>
      </c>
      <c r="S70" s="916">
        <f ca="1">IFERROR($K70*参考2_エネ使用量経年!S71*1000,"")</f>
        <v>0</v>
      </c>
      <c r="T70" s="916">
        <f ca="1">IFERROR($H70*参考2_エネ使用量経年!T71*1000,"")</f>
        <v>0</v>
      </c>
      <c r="U70" s="916">
        <f ca="1">IFERROR($I70*参考2_エネ使用量経年!U71*1000,"")</f>
        <v>0</v>
      </c>
      <c r="V70" s="916">
        <f ca="1">IFERROR($J70*参考2_エネ使用量経年!V71*1000,"")</f>
        <v>0</v>
      </c>
      <c r="W70" s="916">
        <f ca="1">IFERROR($K70*参考2_エネ使用量経年!W71*1000,"")</f>
        <v>0</v>
      </c>
      <c r="X70" s="916">
        <f ca="1">IFERROR($H70*参考2_エネ使用量経年!X71*1000,"")</f>
        <v>0</v>
      </c>
      <c r="Y70" s="916">
        <f ca="1">IFERROR($I70*参考2_エネ使用量経年!Y71*1000,"")</f>
        <v>0</v>
      </c>
      <c r="Z70" s="916">
        <f ca="1">IFERROR($J70*参考2_エネ使用量経年!Z71*1000,"")</f>
        <v>0</v>
      </c>
      <c r="AA70" s="916">
        <f ca="1">IFERROR($K70*参考2_エネ使用量経年!AA71*1000,"")</f>
        <v>0</v>
      </c>
      <c r="AB70" s="916" t="str">
        <f ca="1">IFERROR($H70*参考2_エネ使用量経年!AB71*1000,"")</f>
        <v/>
      </c>
      <c r="AC70" s="916" t="str">
        <f ca="1">IFERROR($I70*参考2_エネ使用量経年!AC71*1000,"")</f>
        <v/>
      </c>
      <c r="AD70" s="916" t="str">
        <f ca="1">IFERROR($J70*参考2_エネ使用量経年!AD71*1000,"")</f>
        <v/>
      </c>
      <c r="AE70" s="916" t="str">
        <f ca="1">IFERROR($K70*参考2_エネ使用量経年!AE71*1000,"")</f>
        <v/>
      </c>
      <c r="AF70" s="916" t="str">
        <f ca="1">IFERROR($H70*参考2_エネ使用量経年!AF71*1000,"")</f>
        <v/>
      </c>
      <c r="AG70" s="916" t="str">
        <f ca="1">IFERROR($I70*参考2_エネ使用量経年!AG71*1000,"")</f>
        <v/>
      </c>
      <c r="AH70" s="916" t="str">
        <f ca="1">IFERROR($J70*参考2_エネ使用量経年!AH71*1000,"")</f>
        <v/>
      </c>
      <c r="AI70" s="916" t="str">
        <f ca="1">IFERROR($K70*参考2_エネ使用量経年!AI71*1000,"")</f>
        <v/>
      </c>
      <c r="AJ70" s="916" t="str">
        <f ca="1">IFERROR($H70*参考2_エネ使用量経年!AJ71*1000,"")</f>
        <v/>
      </c>
      <c r="AK70" s="916" t="str">
        <f ca="1">IFERROR($I70*参考2_エネ使用量経年!AK71*1000,"")</f>
        <v/>
      </c>
      <c r="AL70" s="916" t="str">
        <f ca="1">IFERROR($J70*参考2_エネ使用量経年!AL71*1000,"")</f>
        <v/>
      </c>
      <c r="AM70" s="916" t="str">
        <f ca="1">IFERROR($K70*参考2_エネ使用量経年!AM71*1000,"")</f>
        <v/>
      </c>
      <c r="AN70" s="916" t="str">
        <f ca="1">IFERROR($H70*参考2_エネ使用量経年!AN71*1000,"")</f>
        <v/>
      </c>
      <c r="AO70" s="916" t="str">
        <f ca="1">IFERROR($I70*参考2_エネ使用量経年!AO71*1000,"")</f>
        <v/>
      </c>
      <c r="AP70" s="916" t="str">
        <f ca="1">IFERROR($J70*参考2_エネ使用量経年!AP71*1000,"")</f>
        <v/>
      </c>
      <c r="AQ70" s="916" t="str">
        <f ca="1">IFERROR($K70*参考2_エネ使用量経年!AQ71*1000,"")</f>
        <v/>
      </c>
      <c r="AR70" s="916" t="str">
        <f ca="1">IFERROR($H70*参考2_エネ使用量経年!AR71*1000,"")</f>
        <v/>
      </c>
      <c r="AS70" s="916" t="str">
        <f ca="1">IFERROR($I70*参考2_エネ使用量経年!AS71*1000,"")</f>
        <v/>
      </c>
      <c r="AT70" s="916" t="str">
        <f ca="1">IFERROR($J70*参考2_エネ使用量経年!AT71*1000,"")</f>
        <v/>
      </c>
      <c r="AU70" s="916" t="str">
        <f ca="1">IFERROR($K70*参考2_エネ使用量経年!AU71*1000,"")</f>
        <v/>
      </c>
      <c r="AV70" s="916" t="str">
        <f ca="1">IFERROR($H70*参考2_エネ使用量経年!AV71*1000,"")</f>
        <v/>
      </c>
      <c r="AW70" s="916" t="str">
        <f ca="1">IFERROR($I70*参考2_エネ使用量経年!AW71*1000,"")</f>
        <v/>
      </c>
      <c r="AX70" s="916" t="str">
        <f ca="1">IFERROR($J70*参考2_エネ使用量経年!AX71*1000,"")</f>
        <v/>
      </c>
      <c r="AY70" s="916" t="str">
        <f ca="1">IFERROR($K70*参考2_エネ使用量経年!AY71*1000,"")</f>
        <v/>
      </c>
      <c r="AZ70" s="916" t="str">
        <f ca="1">IFERROR($H70*参考2_エネ使用量経年!AZ71*1000,"")</f>
        <v/>
      </c>
      <c r="BA70" s="916" t="str">
        <f ca="1">IFERROR($I70*参考2_エネ使用量経年!BA71*1000,"")</f>
        <v/>
      </c>
      <c r="BB70" s="916" t="str">
        <f ca="1">IFERROR($J70*参考2_エネ使用量経年!BB71*1000,"")</f>
        <v/>
      </c>
      <c r="BC70" s="916" t="str">
        <f ca="1">IFERROR($K70*参考2_エネ使用量経年!BC71*1000,"")</f>
        <v/>
      </c>
      <c r="BD70" s="916" t="str">
        <f ca="1">IFERROR($H70*参考2_エネ使用量経年!BD71*1000,"")</f>
        <v/>
      </c>
      <c r="BE70" s="916" t="str">
        <f ca="1">IFERROR($I70*参考2_エネ使用量経年!BE71*1000,"")</f>
        <v/>
      </c>
      <c r="BF70" s="916" t="str">
        <f ca="1">IFERROR($J70*参考2_エネ使用量経年!BF71*1000,"")</f>
        <v/>
      </c>
      <c r="BG70" s="916" t="str">
        <f ca="1">IFERROR($K70*参考2_エネ使用量経年!BG71*1000,"")</f>
        <v/>
      </c>
      <c r="BH70" s="916" t="str">
        <f ca="1">IFERROR($H70*参考2_エネ使用量経年!BH71*1000,"")</f>
        <v/>
      </c>
      <c r="BI70" s="916" t="str">
        <f ca="1">IFERROR($I70*参考2_エネ使用量経年!BI71*1000,"")</f>
        <v/>
      </c>
      <c r="BJ70" s="916" t="str">
        <f ca="1">IFERROR($J70*参考2_エネ使用量経年!BJ71*1000,"")</f>
        <v/>
      </c>
      <c r="BK70" s="916" t="str">
        <f ca="1">IFERROR($K70*参考2_エネ使用量経年!BK71*1000,"")</f>
        <v/>
      </c>
      <c r="BL70" s="916" t="str">
        <f ca="1">IFERROR($H70*参考2_エネ使用量経年!BL71*1000,"")</f>
        <v/>
      </c>
      <c r="BM70" s="916" t="str">
        <f ca="1">IFERROR($I70*参考2_エネ使用量経年!BM71*1000,"")</f>
        <v/>
      </c>
      <c r="BN70" s="916" t="str">
        <f ca="1">IFERROR($J70*参考2_エネ使用量経年!BN71*1000,"")</f>
        <v/>
      </c>
      <c r="BO70" s="916" t="str">
        <f ca="1">IFERROR($K70*参考2_エネ使用量経年!BO71*1000,"")</f>
        <v/>
      </c>
      <c r="BP70" s="802"/>
    </row>
    <row r="71" spans="1:68" ht="20.100000000000001" hidden="1" customHeight="1" outlineLevel="1">
      <c r="A71" s="914">
        <v>80</v>
      </c>
      <c r="B71" s="1594"/>
      <c r="C71" s="1596"/>
      <c r="D71" s="905" t="s">
        <v>410</v>
      </c>
      <c r="E71" s="792" t="str">
        <f ca="1">参考2_エネ使用量経年!E73</f>
        <v/>
      </c>
      <c r="F71" s="794"/>
      <c r="G71" s="852" t="s">
        <v>1281</v>
      </c>
      <c r="H71" s="915">
        <f ca="1">IFERROR(OFFSET(貼付け_2024実績,$A71,6),"")</f>
        <v>0</v>
      </c>
      <c r="I71" s="915">
        <f ca="1">IFERROR(OFFSET(貼付け_2025実績,$A71,6),"")</f>
        <v>0</v>
      </c>
      <c r="J71" s="915">
        <f ca="1">IFERROR(OFFSET(貼付け_2026実績,$A71,6),"")</f>
        <v>0</v>
      </c>
      <c r="K71" s="915">
        <f ca="1">IFERROR(OFFSET(貼付け_2027実績,$A71,6),"")</f>
        <v>0</v>
      </c>
      <c r="L71" s="916">
        <f ca="1">IFERROR($H71*参考2_エネ使用量経年!L73*1000,"")</f>
        <v>0</v>
      </c>
      <c r="M71" s="916">
        <f ca="1">IFERROR($I71*参考2_エネ使用量経年!M73*1000,"")</f>
        <v>0</v>
      </c>
      <c r="N71" s="916">
        <f ca="1">IFERROR($J71*参考2_エネ使用量経年!N73*1000,"")</f>
        <v>0</v>
      </c>
      <c r="O71" s="916">
        <f ca="1">IFERROR($K71*参考2_エネ使用量経年!O73*1000,"")</f>
        <v>0</v>
      </c>
      <c r="P71" s="916">
        <f ca="1">IFERROR($H71*参考2_エネ使用量経年!P73*1000,"")</f>
        <v>0</v>
      </c>
      <c r="Q71" s="916">
        <f ca="1">IFERROR($I71*参考2_エネ使用量経年!Q73*1000,"")</f>
        <v>0</v>
      </c>
      <c r="R71" s="916">
        <f ca="1">IFERROR($J71*参考2_エネ使用量経年!R73*1000,"")</f>
        <v>0</v>
      </c>
      <c r="S71" s="916">
        <f ca="1">IFERROR($K71*参考2_エネ使用量経年!S73*1000,"")</f>
        <v>0</v>
      </c>
      <c r="T71" s="916">
        <f ca="1">IFERROR($H71*参考2_エネ使用量経年!T73*1000,"")</f>
        <v>0</v>
      </c>
      <c r="U71" s="916">
        <f ca="1">IFERROR($I71*参考2_エネ使用量経年!U73*1000,"")</f>
        <v>0</v>
      </c>
      <c r="V71" s="916">
        <f ca="1">IFERROR($J71*参考2_エネ使用量経年!V73*1000,"")</f>
        <v>0</v>
      </c>
      <c r="W71" s="916">
        <f ca="1">IFERROR($K71*参考2_エネ使用量経年!W73*1000,"")</f>
        <v>0</v>
      </c>
      <c r="X71" s="916">
        <f ca="1">IFERROR($H71*参考2_エネ使用量経年!X73*1000,"")</f>
        <v>0</v>
      </c>
      <c r="Y71" s="916">
        <f ca="1">IFERROR($I71*参考2_エネ使用量経年!Y73*1000,"")</f>
        <v>0</v>
      </c>
      <c r="Z71" s="916">
        <f ca="1">IFERROR($J71*参考2_エネ使用量経年!Z73*1000,"")</f>
        <v>0</v>
      </c>
      <c r="AA71" s="916">
        <f ca="1">IFERROR($K71*参考2_エネ使用量経年!AA73*1000,"")</f>
        <v>0</v>
      </c>
      <c r="AB71" s="916" t="str">
        <f ca="1">IFERROR($H71*参考2_エネ使用量経年!AB73*1000,"")</f>
        <v/>
      </c>
      <c r="AC71" s="916" t="str">
        <f ca="1">IFERROR($I71*参考2_エネ使用量経年!AC73*1000,"")</f>
        <v/>
      </c>
      <c r="AD71" s="916" t="str">
        <f ca="1">IFERROR($J71*参考2_エネ使用量経年!AD73*1000,"")</f>
        <v/>
      </c>
      <c r="AE71" s="916" t="str">
        <f ca="1">IFERROR($K71*参考2_エネ使用量経年!AE73*1000,"")</f>
        <v/>
      </c>
      <c r="AF71" s="916" t="str">
        <f ca="1">IFERROR($H71*参考2_エネ使用量経年!AF73*1000,"")</f>
        <v/>
      </c>
      <c r="AG71" s="916" t="str">
        <f ca="1">IFERROR($I71*参考2_エネ使用量経年!AG73*1000,"")</f>
        <v/>
      </c>
      <c r="AH71" s="916" t="str">
        <f ca="1">IFERROR($J71*参考2_エネ使用量経年!AH73*1000,"")</f>
        <v/>
      </c>
      <c r="AI71" s="916" t="str">
        <f ca="1">IFERROR($K71*参考2_エネ使用量経年!AI73*1000,"")</f>
        <v/>
      </c>
      <c r="AJ71" s="916" t="str">
        <f ca="1">IFERROR($H71*参考2_エネ使用量経年!AJ73*1000,"")</f>
        <v/>
      </c>
      <c r="AK71" s="916" t="str">
        <f ca="1">IFERROR($I71*参考2_エネ使用量経年!AK73*1000,"")</f>
        <v/>
      </c>
      <c r="AL71" s="916" t="str">
        <f ca="1">IFERROR($J71*参考2_エネ使用量経年!AL73*1000,"")</f>
        <v/>
      </c>
      <c r="AM71" s="916" t="str">
        <f ca="1">IFERROR($K71*参考2_エネ使用量経年!AM73*1000,"")</f>
        <v/>
      </c>
      <c r="AN71" s="916" t="str">
        <f ca="1">IFERROR($H71*参考2_エネ使用量経年!AN73*1000,"")</f>
        <v/>
      </c>
      <c r="AO71" s="916" t="str">
        <f ca="1">IFERROR($I71*参考2_エネ使用量経年!AO73*1000,"")</f>
        <v/>
      </c>
      <c r="AP71" s="916" t="str">
        <f ca="1">IFERROR($J71*参考2_エネ使用量経年!AP73*1000,"")</f>
        <v/>
      </c>
      <c r="AQ71" s="916" t="str">
        <f ca="1">IFERROR($K71*参考2_エネ使用量経年!AQ73*1000,"")</f>
        <v/>
      </c>
      <c r="AR71" s="916" t="str">
        <f ca="1">IFERROR($H71*参考2_エネ使用量経年!AR73*1000,"")</f>
        <v/>
      </c>
      <c r="AS71" s="916" t="str">
        <f ca="1">IFERROR($I71*参考2_エネ使用量経年!AS73*1000,"")</f>
        <v/>
      </c>
      <c r="AT71" s="916" t="str">
        <f ca="1">IFERROR($J71*参考2_エネ使用量経年!AT73*1000,"")</f>
        <v/>
      </c>
      <c r="AU71" s="916" t="str">
        <f ca="1">IFERROR($K71*参考2_エネ使用量経年!AU73*1000,"")</f>
        <v/>
      </c>
      <c r="AV71" s="916" t="str">
        <f ca="1">IFERROR($H71*参考2_エネ使用量経年!AV73*1000,"")</f>
        <v/>
      </c>
      <c r="AW71" s="916" t="str">
        <f ca="1">IFERROR($I71*参考2_エネ使用量経年!AW73*1000,"")</f>
        <v/>
      </c>
      <c r="AX71" s="916" t="str">
        <f ca="1">IFERROR($J71*参考2_エネ使用量経年!AX73*1000,"")</f>
        <v/>
      </c>
      <c r="AY71" s="916" t="str">
        <f ca="1">IFERROR($K71*参考2_エネ使用量経年!AY73*1000,"")</f>
        <v/>
      </c>
      <c r="AZ71" s="916" t="str">
        <f ca="1">IFERROR($H71*参考2_エネ使用量経年!AZ73*1000,"")</f>
        <v/>
      </c>
      <c r="BA71" s="916" t="str">
        <f ca="1">IFERROR($I71*参考2_エネ使用量経年!BA73*1000,"")</f>
        <v/>
      </c>
      <c r="BB71" s="916" t="str">
        <f ca="1">IFERROR($J71*参考2_エネ使用量経年!BB73*1000,"")</f>
        <v/>
      </c>
      <c r="BC71" s="916" t="str">
        <f ca="1">IFERROR($K71*参考2_エネ使用量経年!BC73*1000,"")</f>
        <v/>
      </c>
      <c r="BD71" s="916" t="str">
        <f ca="1">IFERROR($H71*参考2_エネ使用量経年!BD73*1000,"")</f>
        <v/>
      </c>
      <c r="BE71" s="916" t="str">
        <f ca="1">IFERROR($I71*参考2_エネ使用量経年!BE73*1000,"")</f>
        <v/>
      </c>
      <c r="BF71" s="916" t="str">
        <f ca="1">IFERROR($J71*参考2_エネ使用量経年!BF73*1000,"")</f>
        <v/>
      </c>
      <c r="BG71" s="916" t="str">
        <f ca="1">IFERROR($K71*参考2_エネ使用量経年!BG73*1000,"")</f>
        <v/>
      </c>
      <c r="BH71" s="916" t="str">
        <f ca="1">IFERROR($H71*参考2_エネ使用量経年!BH73*1000,"")</f>
        <v/>
      </c>
      <c r="BI71" s="916" t="str">
        <f ca="1">IFERROR($I71*参考2_エネ使用量経年!BI73*1000,"")</f>
        <v/>
      </c>
      <c r="BJ71" s="916" t="str">
        <f ca="1">IFERROR($J71*参考2_エネ使用量経年!BJ73*1000,"")</f>
        <v/>
      </c>
      <c r="BK71" s="916" t="str">
        <f ca="1">IFERROR($K71*参考2_エネ使用量経年!BK73*1000,"")</f>
        <v/>
      </c>
      <c r="BL71" s="916" t="str">
        <f ca="1">IFERROR($H71*参考2_エネ使用量経年!BL73*1000,"")</f>
        <v/>
      </c>
      <c r="BM71" s="916" t="str">
        <f ca="1">IFERROR($I71*参考2_エネ使用量経年!BM73*1000,"")</f>
        <v/>
      </c>
      <c r="BN71" s="916" t="str">
        <f ca="1">IFERROR($J71*参考2_エネ使用量経年!BN73*1000,"")</f>
        <v/>
      </c>
      <c r="BO71" s="916" t="str">
        <f ca="1">IFERROR($K71*参考2_エネ使用量経年!BO73*1000,"")</f>
        <v/>
      </c>
      <c r="BP71" s="802"/>
    </row>
    <row r="72" spans="1:68" ht="20.100000000000001" hidden="1" customHeight="1" outlineLevel="1">
      <c r="A72" s="914"/>
      <c r="B72" s="1594"/>
      <c r="C72" s="1645" t="s">
        <v>411</v>
      </c>
      <c r="D72" s="923" t="s">
        <v>791</v>
      </c>
      <c r="E72" s="920"/>
      <c r="F72" s="836"/>
      <c r="G72" s="852" t="s">
        <v>1281</v>
      </c>
      <c r="H72" s="921"/>
      <c r="I72" s="921"/>
      <c r="J72" s="921"/>
      <c r="K72" s="921"/>
      <c r="L72" s="921"/>
      <c r="M72" s="921"/>
      <c r="N72" s="921"/>
      <c r="O72" s="921"/>
      <c r="P72" s="921"/>
      <c r="Q72" s="921"/>
      <c r="R72" s="921"/>
      <c r="S72" s="921"/>
      <c r="T72" s="921"/>
      <c r="U72" s="921"/>
      <c r="V72" s="921"/>
      <c r="W72" s="921"/>
      <c r="X72" s="921"/>
      <c r="Y72" s="921"/>
      <c r="Z72" s="921"/>
      <c r="AA72" s="921"/>
      <c r="AB72" s="921"/>
      <c r="AC72" s="921"/>
      <c r="AD72" s="921"/>
      <c r="AE72" s="921"/>
      <c r="AF72" s="921"/>
      <c r="AG72" s="921"/>
      <c r="AH72" s="921"/>
      <c r="AI72" s="921"/>
      <c r="AJ72" s="921"/>
      <c r="AK72" s="921"/>
      <c r="AL72" s="921"/>
      <c r="AM72" s="921"/>
      <c r="AN72" s="921"/>
      <c r="AO72" s="921"/>
      <c r="AP72" s="921"/>
      <c r="AQ72" s="921"/>
      <c r="AR72" s="921"/>
      <c r="AS72" s="921"/>
      <c r="AT72" s="921"/>
      <c r="AU72" s="921"/>
      <c r="AV72" s="921"/>
      <c r="AW72" s="921"/>
      <c r="AX72" s="921"/>
      <c r="AY72" s="921"/>
      <c r="AZ72" s="921"/>
      <c r="BA72" s="921"/>
      <c r="BB72" s="921"/>
      <c r="BC72" s="921"/>
      <c r="BD72" s="921"/>
      <c r="BE72" s="921"/>
      <c r="BF72" s="921"/>
      <c r="BG72" s="921"/>
      <c r="BH72" s="921"/>
      <c r="BI72" s="921"/>
      <c r="BJ72" s="921"/>
      <c r="BK72" s="921"/>
      <c r="BL72" s="921"/>
      <c r="BM72" s="921"/>
      <c r="BN72" s="921"/>
      <c r="BO72" s="921"/>
      <c r="BP72" s="802"/>
    </row>
    <row r="73" spans="1:68" ht="20.100000000000001" hidden="1" customHeight="1" outlineLevel="1">
      <c r="A73" s="914"/>
      <c r="B73" s="1594"/>
      <c r="C73" s="1646"/>
      <c r="D73" s="923" t="s">
        <v>792</v>
      </c>
      <c r="E73" s="920"/>
      <c r="F73" s="836"/>
      <c r="G73" s="852" t="s">
        <v>1281</v>
      </c>
      <c r="H73" s="921"/>
      <c r="I73" s="921"/>
      <c r="J73" s="921"/>
      <c r="K73" s="921"/>
      <c r="L73" s="921"/>
      <c r="M73" s="921"/>
      <c r="N73" s="921"/>
      <c r="O73" s="921"/>
      <c r="P73" s="921"/>
      <c r="Q73" s="921"/>
      <c r="R73" s="921"/>
      <c r="S73" s="921"/>
      <c r="T73" s="921"/>
      <c r="U73" s="921"/>
      <c r="V73" s="921"/>
      <c r="W73" s="921"/>
      <c r="X73" s="921"/>
      <c r="Y73" s="921"/>
      <c r="Z73" s="921"/>
      <c r="AA73" s="921"/>
      <c r="AB73" s="921"/>
      <c r="AC73" s="921"/>
      <c r="AD73" s="921"/>
      <c r="AE73" s="921"/>
      <c r="AF73" s="921"/>
      <c r="AG73" s="921"/>
      <c r="AH73" s="921"/>
      <c r="AI73" s="921"/>
      <c r="AJ73" s="921"/>
      <c r="AK73" s="921"/>
      <c r="AL73" s="921"/>
      <c r="AM73" s="921"/>
      <c r="AN73" s="921"/>
      <c r="AO73" s="921"/>
      <c r="AP73" s="921"/>
      <c r="AQ73" s="921"/>
      <c r="AR73" s="921"/>
      <c r="AS73" s="921"/>
      <c r="AT73" s="921"/>
      <c r="AU73" s="921"/>
      <c r="AV73" s="921"/>
      <c r="AW73" s="921"/>
      <c r="AX73" s="921"/>
      <c r="AY73" s="921"/>
      <c r="AZ73" s="921"/>
      <c r="BA73" s="921"/>
      <c r="BB73" s="921"/>
      <c r="BC73" s="921"/>
      <c r="BD73" s="921"/>
      <c r="BE73" s="921"/>
      <c r="BF73" s="921"/>
      <c r="BG73" s="921"/>
      <c r="BH73" s="921"/>
      <c r="BI73" s="921"/>
      <c r="BJ73" s="921"/>
      <c r="BK73" s="921"/>
      <c r="BL73" s="921"/>
      <c r="BM73" s="921"/>
      <c r="BN73" s="921"/>
      <c r="BO73" s="921"/>
      <c r="BP73" s="802"/>
    </row>
    <row r="74" spans="1:68" ht="20.100000000000001" hidden="1" customHeight="1" outlineLevel="1">
      <c r="A74" s="914"/>
      <c r="B74" s="1594"/>
      <c r="C74" s="1646"/>
      <c r="D74" s="923" t="s">
        <v>793</v>
      </c>
      <c r="E74" s="920"/>
      <c r="F74" s="836"/>
      <c r="G74" s="852" t="s">
        <v>1281</v>
      </c>
      <c r="H74" s="921"/>
      <c r="I74" s="921"/>
      <c r="J74" s="921"/>
      <c r="K74" s="921"/>
      <c r="L74" s="921"/>
      <c r="M74" s="921"/>
      <c r="N74" s="921"/>
      <c r="O74" s="921"/>
      <c r="P74" s="921"/>
      <c r="Q74" s="921"/>
      <c r="R74" s="921"/>
      <c r="S74" s="921"/>
      <c r="T74" s="921"/>
      <c r="U74" s="921"/>
      <c r="V74" s="921"/>
      <c r="W74" s="921"/>
      <c r="X74" s="921"/>
      <c r="Y74" s="921"/>
      <c r="Z74" s="921"/>
      <c r="AA74" s="921"/>
      <c r="AB74" s="921"/>
      <c r="AC74" s="921"/>
      <c r="AD74" s="921"/>
      <c r="AE74" s="921"/>
      <c r="AF74" s="921"/>
      <c r="AG74" s="921"/>
      <c r="AH74" s="921"/>
      <c r="AI74" s="921"/>
      <c r="AJ74" s="921"/>
      <c r="AK74" s="921"/>
      <c r="AL74" s="921"/>
      <c r="AM74" s="921"/>
      <c r="AN74" s="921"/>
      <c r="AO74" s="921"/>
      <c r="AP74" s="921"/>
      <c r="AQ74" s="921"/>
      <c r="AR74" s="921"/>
      <c r="AS74" s="921"/>
      <c r="AT74" s="921"/>
      <c r="AU74" s="921"/>
      <c r="AV74" s="921"/>
      <c r="AW74" s="921"/>
      <c r="AX74" s="921"/>
      <c r="AY74" s="921"/>
      <c r="AZ74" s="921"/>
      <c r="BA74" s="921"/>
      <c r="BB74" s="921"/>
      <c r="BC74" s="921"/>
      <c r="BD74" s="921"/>
      <c r="BE74" s="921"/>
      <c r="BF74" s="921"/>
      <c r="BG74" s="921"/>
      <c r="BH74" s="921"/>
      <c r="BI74" s="921"/>
      <c r="BJ74" s="921"/>
      <c r="BK74" s="921"/>
      <c r="BL74" s="921"/>
      <c r="BM74" s="921"/>
      <c r="BN74" s="921"/>
      <c r="BO74" s="921"/>
      <c r="BP74" s="802"/>
    </row>
    <row r="75" spans="1:68" ht="20.100000000000001" hidden="1" customHeight="1" outlineLevel="1">
      <c r="A75" s="914"/>
      <c r="B75" s="1594"/>
      <c r="C75" s="1646"/>
      <c r="D75" s="923" t="s">
        <v>794</v>
      </c>
      <c r="E75" s="920"/>
      <c r="F75" s="836"/>
      <c r="G75" s="852" t="s">
        <v>1281</v>
      </c>
      <c r="H75" s="921"/>
      <c r="I75" s="921"/>
      <c r="J75" s="921"/>
      <c r="K75" s="921"/>
      <c r="L75" s="921"/>
      <c r="M75" s="921"/>
      <c r="N75" s="921"/>
      <c r="O75" s="921"/>
      <c r="P75" s="921"/>
      <c r="Q75" s="921"/>
      <c r="R75" s="921"/>
      <c r="S75" s="921"/>
      <c r="T75" s="921"/>
      <c r="U75" s="921"/>
      <c r="V75" s="921"/>
      <c r="W75" s="921"/>
      <c r="X75" s="921"/>
      <c r="Y75" s="921"/>
      <c r="Z75" s="921"/>
      <c r="AA75" s="921"/>
      <c r="AB75" s="921"/>
      <c r="AC75" s="921"/>
      <c r="AD75" s="921"/>
      <c r="AE75" s="921"/>
      <c r="AF75" s="921"/>
      <c r="AG75" s="921"/>
      <c r="AH75" s="921"/>
      <c r="AI75" s="921"/>
      <c r="AJ75" s="921"/>
      <c r="AK75" s="921"/>
      <c r="AL75" s="921"/>
      <c r="AM75" s="921"/>
      <c r="AN75" s="921"/>
      <c r="AO75" s="921"/>
      <c r="AP75" s="921"/>
      <c r="AQ75" s="921"/>
      <c r="AR75" s="921"/>
      <c r="AS75" s="921"/>
      <c r="AT75" s="921"/>
      <c r="AU75" s="921"/>
      <c r="AV75" s="921"/>
      <c r="AW75" s="921"/>
      <c r="AX75" s="921"/>
      <c r="AY75" s="921"/>
      <c r="AZ75" s="921"/>
      <c r="BA75" s="921"/>
      <c r="BB75" s="921"/>
      <c r="BC75" s="921"/>
      <c r="BD75" s="921"/>
      <c r="BE75" s="921"/>
      <c r="BF75" s="921"/>
      <c r="BG75" s="921"/>
      <c r="BH75" s="921"/>
      <c r="BI75" s="921"/>
      <c r="BJ75" s="921"/>
      <c r="BK75" s="921"/>
      <c r="BL75" s="921"/>
      <c r="BM75" s="921"/>
      <c r="BN75" s="921"/>
      <c r="BO75" s="921"/>
      <c r="BP75" s="802"/>
    </row>
    <row r="76" spans="1:68" ht="20.100000000000001" hidden="1" customHeight="1" outlineLevel="1">
      <c r="A76" s="914"/>
      <c r="B76" s="1594"/>
      <c r="C76" s="1646"/>
      <c r="D76" s="923" t="s">
        <v>795</v>
      </c>
      <c r="E76" s="920"/>
      <c r="F76" s="836"/>
      <c r="G76" s="852" t="s">
        <v>1281</v>
      </c>
      <c r="H76" s="921"/>
      <c r="I76" s="921"/>
      <c r="J76" s="921"/>
      <c r="K76" s="921"/>
      <c r="L76" s="921"/>
      <c r="M76" s="921"/>
      <c r="N76" s="921"/>
      <c r="O76" s="921"/>
      <c r="P76" s="921"/>
      <c r="Q76" s="921"/>
      <c r="R76" s="921"/>
      <c r="S76" s="921"/>
      <c r="T76" s="921"/>
      <c r="U76" s="921"/>
      <c r="V76" s="921"/>
      <c r="W76" s="921"/>
      <c r="X76" s="921"/>
      <c r="Y76" s="921"/>
      <c r="Z76" s="921"/>
      <c r="AA76" s="921"/>
      <c r="AB76" s="921"/>
      <c r="AC76" s="921"/>
      <c r="AD76" s="921"/>
      <c r="AE76" s="921"/>
      <c r="AF76" s="921"/>
      <c r="AG76" s="921"/>
      <c r="AH76" s="921"/>
      <c r="AI76" s="921"/>
      <c r="AJ76" s="921"/>
      <c r="AK76" s="921"/>
      <c r="AL76" s="921"/>
      <c r="AM76" s="921"/>
      <c r="AN76" s="921"/>
      <c r="AO76" s="921"/>
      <c r="AP76" s="921"/>
      <c r="AQ76" s="921"/>
      <c r="AR76" s="921"/>
      <c r="AS76" s="921"/>
      <c r="AT76" s="921"/>
      <c r="AU76" s="921"/>
      <c r="AV76" s="921"/>
      <c r="AW76" s="921"/>
      <c r="AX76" s="921"/>
      <c r="AY76" s="921"/>
      <c r="AZ76" s="921"/>
      <c r="BA76" s="921"/>
      <c r="BB76" s="921"/>
      <c r="BC76" s="921"/>
      <c r="BD76" s="921"/>
      <c r="BE76" s="921"/>
      <c r="BF76" s="921"/>
      <c r="BG76" s="921"/>
      <c r="BH76" s="921"/>
      <c r="BI76" s="921"/>
      <c r="BJ76" s="921"/>
      <c r="BK76" s="921"/>
      <c r="BL76" s="921"/>
      <c r="BM76" s="921"/>
      <c r="BN76" s="921"/>
      <c r="BO76" s="921"/>
      <c r="BP76" s="802"/>
    </row>
    <row r="77" spans="1:68" ht="20.100000000000001" hidden="1" customHeight="1" outlineLevel="1">
      <c r="A77" s="914"/>
      <c r="B77" s="1594"/>
      <c r="C77" s="1646"/>
      <c r="D77" s="923" t="s">
        <v>796</v>
      </c>
      <c r="E77" s="920"/>
      <c r="F77" s="836"/>
      <c r="G77" s="852" t="s">
        <v>1281</v>
      </c>
      <c r="H77" s="921"/>
      <c r="I77" s="921"/>
      <c r="J77" s="921"/>
      <c r="K77" s="921"/>
      <c r="L77" s="921"/>
      <c r="M77" s="921"/>
      <c r="N77" s="921"/>
      <c r="O77" s="921"/>
      <c r="P77" s="921"/>
      <c r="Q77" s="921"/>
      <c r="R77" s="921"/>
      <c r="S77" s="921"/>
      <c r="T77" s="921"/>
      <c r="U77" s="921"/>
      <c r="V77" s="921"/>
      <c r="W77" s="921"/>
      <c r="X77" s="921"/>
      <c r="Y77" s="921"/>
      <c r="Z77" s="921"/>
      <c r="AA77" s="921"/>
      <c r="AB77" s="921"/>
      <c r="AC77" s="921"/>
      <c r="AD77" s="921"/>
      <c r="AE77" s="921"/>
      <c r="AF77" s="921"/>
      <c r="AG77" s="921"/>
      <c r="AH77" s="921"/>
      <c r="AI77" s="921"/>
      <c r="AJ77" s="921"/>
      <c r="AK77" s="921"/>
      <c r="AL77" s="921"/>
      <c r="AM77" s="921"/>
      <c r="AN77" s="921"/>
      <c r="AO77" s="921"/>
      <c r="AP77" s="921"/>
      <c r="AQ77" s="921"/>
      <c r="AR77" s="921"/>
      <c r="AS77" s="921"/>
      <c r="AT77" s="921"/>
      <c r="AU77" s="921"/>
      <c r="AV77" s="921"/>
      <c r="AW77" s="921"/>
      <c r="AX77" s="921"/>
      <c r="AY77" s="921"/>
      <c r="AZ77" s="921"/>
      <c r="BA77" s="921"/>
      <c r="BB77" s="921"/>
      <c r="BC77" s="921"/>
      <c r="BD77" s="921"/>
      <c r="BE77" s="921"/>
      <c r="BF77" s="921"/>
      <c r="BG77" s="921"/>
      <c r="BH77" s="921"/>
      <c r="BI77" s="921"/>
      <c r="BJ77" s="921"/>
      <c r="BK77" s="921"/>
      <c r="BL77" s="921"/>
      <c r="BM77" s="921"/>
      <c r="BN77" s="921"/>
      <c r="BO77" s="921"/>
      <c r="BP77" s="802"/>
    </row>
    <row r="78" spans="1:68" ht="20.100000000000001" hidden="1" customHeight="1" outlineLevel="1">
      <c r="A78" s="914"/>
      <c r="B78" s="1594"/>
      <c r="C78" s="1646"/>
      <c r="D78" s="923" t="s">
        <v>797</v>
      </c>
      <c r="E78" s="920"/>
      <c r="F78" s="836"/>
      <c r="G78" s="852" t="s">
        <v>1281</v>
      </c>
      <c r="H78" s="921"/>
      <c r="I78" s="921"/>
      <c r="J78" s="921"/>
      <c r="K78" s="921"/>
      <c r="L78" s="921"/>
      <c r="M78" s="921"/>
      <c r="N78" s="921"/>
      <c r="O78" s="921"/>
      <c r="P78" s="921"/>
      <c r="Q78" s="921"/>
      <c r="R78" s="921"/>
      <c r="S78" s="921"/>
      <c r="T78" s="921"/>
      <c r="U78" s="921"/>
      <c r="V78" s="921"/>
      <c r="W78" s="921"/>
      <c r="X78" s="921"/>
      <c r="Y78" s="921"/>
      <c r="Z78" s="921"/>
      <c r="AA78" s="921"/>
      <c r="AB78" s="921"/>
      <c r="AC78" s="921"/>
      <c r="AD78" s="921"/>
      <c r="AE78" s="921"/>
      <c r="AF78" s="921"/>
      <c r="AG78" s="921"/>
      <c r="AH78" s="921"/>
      <c r="AI78" s="921"/>
      <c r="AJ78" s="921"/>
      <c r="AK78" s="921"/>
      <c r="AL78" s="921"/>
      <c r="AM78" s="921"/>
      <c r="AN78" s="921"/>
      <c r="AO78" s="921"/>
      <c r="AP78" s="921"/>
      <c r="AQ78" s="921"/>
      <c r="AR78" s="921"/>
      <c r="AS78" s="921"/>
      <c r="AT78" s="921"/>
      <c r="AU78" s="921"/>
      <c r="AV78" s="921"/>
      <c r="AW78" s="921"/>
      <c r="AX78" s="921"/>
      <c r="AY78" s="921"/>
      <c r="AZ78" s="921"/>
      <c r="BA78" s="921"/>
      <c r="BB78" s="921"/>
      <c r="BC78" s="921"/>
      <c r="BD78" s="921"/>
      <c r="BE78" s="921"/>
      <c r="BF78" s="921"/>
      <c r="BG78" s="921"/>
      <c r="BH78" s="921"/>
      <c r="BI78" s="921"/>
      <c r="BJ78" s="921"/>
      <c r="BK78" s="921"/>
      <c r="BL78" s="921"/>
      <c r="BM78" s="921"/>
      <c r="BN78" s="921"/>
      <c r="BO78" s="921"/>
      <c r="BP78" s="802"/>
    </row>
    <row r="79" spans="1:68" ht="20.100000000000001" hidden="1" customHeight="1" outlineLevel="1">
      <c r="A79" s="914"/>
      <c r="B79" s="1594"/>
      <c r="C79" s="1646"/>
      <c r="D79" s="923" t="s">
        <v>798</v>
      </c>
      <c r="E79" s="920"/>
      <c r="F79" s="836"/>
      <c r="G79" s="852" t="s">
        <v>1281</v>
      </c>
      <c r="H79" s="921"/>
      <c r="I79" s="921"/>
      <c r="J79" s="921"/>
      <c r="K79" s="921"/>
      <c r="L79" s="921"/>
      <c r="M79" s="921"/>
      <c r="N79" s="921"/>
      <c r="O79" s="921"/>
      <c r="P79" s="921"/>
      <c r="Q79" s="921"/>
      <c r="R79" s="921"/>
      <c r="S79" s="921"/>
      <c r="T79" s="921"/>
      <c r="U79" s="921"/>
      <c r="V79" s="921"/>
      <c r="W79" s="921"/>
      <c r="X79" s="921"/>
      <c r="Y79" s="921"/>
      <c r="Z79" s="921"/>
      <c r="AA79" s="921"/>
      <c r="AB79" s="921"/>
      <c r="AC79" s="921"/>
      <c r="AD79" s="921"/>
      <c r="AE79" s="921"/>
      <c r="AF79" s="921"/>
      <c r="AG79" s="921"/>
      <c r="AH79" s="921"/>
      <c r="AI79" s="921"/>
      <c r="AJ79" s="921"/>
      <c r="AK79" s="921"/>
      <c r="AL79" s="921"/>
      <c r="AM79" s="921"/>
      <c r="AN79" s="921"/>
      <c r="AO79" s="921"/>
      <c r="AP79" s="921"/>
      <c r="AQ79" s="921"/>
      <c r="AR79" s="921"/>
      <c r="AS79" s="921"/>
      <c r="AT79" s="921"/>
      <c r="AU79" s="921"/>
      <c r="AV79" s="921"/>
      <c r="AW79" s="921"/>
      <c r="AX79" s="921"/>
      <c r="AY79" s="921"/>
      <c r="AZ79" s="921"/>
      <c r="BA79" s="921"/>
      <c r="BB79" s="921"/>
      <c r="BC79" s="921"/>
      <c r="BD79" s="921"/>
      <c r="BE79" s="921"/>
      <c r="BF79" s="921"/>
      <c r="BG79" s="921"/>
      <c r="BH79" s="921"/>
      <c r="BI79" s="921"/>
      <c r="BJ79" s="921"/>
      <c r="BK79" s="921"/>
      <c r="BL79" s="921"/>
      <c r="BM79" s="921"/>
      <c r="BN79" s="921"/>
      <c r="BO79" s="921"/>
      <c r="BP79" s="802"/>
    </row>
    <row r="80" spans="1:68" ht="20.100000000000001" hidden="1" customHeight="1" outlineLevel="1">
      <c r="A80" s="914"/>
      <c r="B80" s="1594"/>
      <c r="C80" s="1646"/>
      <c r="D80" s="1631" t="s">
        <v>799</v>
      </c>
      <c r="E80" s="924"/>
      <c r="F80" s="839"/>
      <c r="G80" s="852" t="s">
        <v>1281</v>
      </c>
      <c r="H80" s="921"/>
      <c r="I80" s="921"/>
      <c r="J80" s="921"/>
      <c r="K80" s="921"/>
      <c r="L80" s="921"/>
      <c r="M80" s="921"/>
      <c r="N80" s="921"/>
      <c r="O80" s="921"/>
      <c r="P80" s="921"/>
      <c r="Q80" s="921"/>
      <c r="R80" s="921"/>
      <c r="S80" s="921"/>
      <c r="T80" s="921"/>
      <c r="U80" s="921"/>
      <c r="V80" s="921"/>
      <c r="W80" s="921"/>
      <c r="X80" s="921"/>
      <c r="Y80" s="921"/>
      <c r="Z80" s="921"/>
      <c r="AA80" s="921"/>
      <c r="AB80" s="921"/>
      <c r="AC80" s="921"/>
      <c r="AD80" s="921"/>
      <c r="AE80" s="921"/>
      <c r="AF80" s="921"/>
      <c r="AG80" s="921"/>
      <c r="AH80" s="921"/>
      <c r="AI80" s="921"/>
      <c r="AJ80" s="921"/>
      <c r="AK80" s="921"/>
      <c r="AL80" s="921"/>
      <c r="AM80" s="921"/>
      <c r="AN80" s="921"/>
      <c r="AO80" s="921"/>
      <c r="AP80" s="921"/>
      <c r="AQ80" s="921"/>
      <c r="AR80" s="921"/>
      <c r="AS80" s="921"/>
      <c r="AT80" s="921"/>
      <c r="AU80" s="921"/>
      <c r="AV80" s="921"/>
      <c r="AW80" s="921"/>
      <c r="AX80" s="921"/>
      <c r="AY80" s="921"/>
      <c r="AZ80" s="921"/>
      <c r="BA80" s="921"/>
      <c r="BB80" s="921"/>
      <c r="BC80" s="921"/>
      <c r="BD80" s="921"/>
      <c r="BE80" s="921"/>
      <c r="BF80" s="921"/>
      <c r="BG80" s="921"/>
      <c r="BH80" s="921"/>
      <c r="BI80" s="921"/>
      <c r="BJ80" s="921"/>
      <c r="BK80" s="921"/>
      <c r="BL80" s="921"/>
      <c r="BM80" s="921"/>
      <c r="BN80" s="921"/>
      <c r="BO80" s="921"/>
      <c r="BP80" s="802"/>
    </row>
    <row r="81" spans="1:68" ht="20.100000000000001" hidden="1" customHeight="1" outlineLevel="1">
      <c r="A81" s="914"/>
      <c r="B81" s="1594"/>
      <c r="C81" s="1646"/>
      <c r="D81" s="1632"/>
      <c r="E81" s="925"/>
      <c r="F81" s="841"/>
      <c r="G81" s="852" t="s">
        <v>1281</v>
      </c>
      <c r="H81" s="921"/>
      <c r="I81" s="921"/>
      <c r="J81" s="921"/>
      <c r="K81" s="921"/>
      <c r="L81" s="921"/>
      <c r="M81" s="921"/>
      <c r="N81" s="921"/>
      <c r="O81" s="921"/>
      <c r="P81" s="921"/>
      <c r="Q81" s="921"/>
      <c r="R81" s="921"/>
      <c r="S81" s="921"/>
      <c r="T81" s="921"/>
      <c r="U81" s="921"/>
      <c r="V81" s="921"/>
      <c r="W81" s="921"/>
      <c r="X81" s="921"/>
      <c r="Y81" s="921"/>
      <c r="Z81" s="921"/>
      <c r="AA81" s="921"/>
      <c r="AB81" s="921"/>
      <c r="AC81" s="921"/>
      <c r="AD81" s="921"/>
      <c r="AE81" s="921"/>
      <c r="AF81" s="921"/>
      <c r="AG81" s="921"/>
      <c r="AH81" s="921"/>
      <c r="AI81" s="921"/>
      <c r="AJ81" s="921"/>
      <c r="AK81" s="921"/>
      <c r="AL81" s="921"/>
      <c r="AM81" s="921"/>
      <c r="AN81" s="921"/>
      <c r="AO81" s="921"/>
      <c r="AP81" s="921"/>
      <c r="AQ81" s="921"/>
      <c r="AR81" s="921"/>
      <c r="AS81" s="921"/>
      <c r="AT81" s="921"/>
      <c r="AU81" s="921"/>
      <c r="AV81" s="921"/>
      <c r="AW81" s="921"/>
      <c r="AX81" s="921"/>
      <c r="AY81" s="921"/>
      <c r="AZ81" s="921"/>
      <c r="BA81" s="921"/>
      <c r="BB81" s="921"/>
      <c r="BC81" s="921"/>
      <c r="BD81" s="921"/>
      <c r="BE81" s="921"/>
      <c r="BF81" s="921"/>
      <c r="BG81" s="921"/>
      <c r="BH81" s="921"/>
      <c r="BI81" s="921"/>
      <c r="BJ81" s="921"/>
      <c r="BK81" s="921"/>
      <c r="BL81" s="921"/>
      <c r="BM81" s="921"/>
      <c r="BN81" s="921"/>
      <c r="BO81" s="921"/>
      <c r="BP81" s="802"/>
    </row>
    <row r="82" spans="1:68" ht="20.100000000000001" hidden="1" customHeight="1" outlineLevel="1">
      <c r="A82" s="914"/>
      <c r="B82" s="1594"/>
      <c r="C82" s="1646"/>
      <c r="D82" s="1631" t="s">
        <v>800</v>
      </c>
      <c r="E82" s="924"/>
      <c r="F82" s="839"/>
      <c r="G82" s="852" t="s">
        <v>1281</v>
      </c>
      <c r="H82" s="921"/>
      <c r="I82" s="921"/>
      <c r="J82" s="921"/>
      <c r="K82" s="921"/>
      <c r="L82" s="921"/>
      <c r="M82" s="921"/>
      <c r="N82" s="921"/>
      <c r="O82" s="921"/>
      <c r="P82" s="921"/>
      <c r="Q82" s="921"/>
      <c r="R82" s="921"/>
      <c r="S82" s="921"/>
      <c r="T82" s="921"/>
      <c r="U82" s="921"/>
      <c r="V82" s="921"/>
      <c r="W82" s="921"/>
      <c r="X82" s="921"/>
      <c r="Y82" s="921"/>
      <c r="Z82" s="921"/>
      <c r="AA82" s="921"/>
      <c r="AB82" s="921"/>
      <c r="AC82" s="921"/>
      <c r="AD82" s="921"/>
      <c r="AE82" s="921"/>
      <c r="AF82" s="921"/>
      <c r="AG82" s="921"/>
      <c r="AH82" s="921"/>
      <c r="AI82" s="921"/>
      <c r="AJ82" s="921"/>
      <c r="AK82" s="921"/>
      <c r="AL82" s="921"/>
      <c r="AM82" s="921"/>
      <c r="AN82" s="921"/>
      <c r="AO82" s="921"/>
      <c r="AP82" s="921"/>
      <c r="AQ82" s="921"/>
      <c r="AR82" s="921"/>
      <c r="AS82" s="921"/>
      <c r="AT82" s="921"/>
      <c r="AU82" s="921"/>
      <c r="AV82" s="921"/>
      <c r="AW82" s="921"/>
      <c r="AX82" s="921"/>
      <c r="AY82" s="921"/>
      <c r="AZ82" s="921"/>
      <c r="BA82" s="921"/>
      <c r="BB82" s="921"/>
      <c r="BC82" s="921"/>
      <c r="BD82" s="921"/>
      <c r="BE82" s="921"/>
      <c r="BF82" s="921"/>
      <c r="BG82" s="921"/>
      <c r="BH82" s="921"/>
      <c r="BI82" s="921"/>
      <c r="BJ82" s="921"/>
      <c r="BK82" s="921"/>
      <c r="BL82" s="921"/>
      <c r="BM82" s="921"/>
      <c r="BN82" s="921"/>
      <c r="BO82" s="921"/>
      <c r="BP82" s="802"/>
    </row>
    <row r="83" spans="1:68" ht="20.100000000000001" hidden="1" customHeight="1" outlineLevel="1">
      <c r="A83" s="914"/>
      <c r="B83" s="1594"/>
      <c r="C83" s="1646"/>
      <c r="D83" s="1632"/>
      <c r="E83" s="925"/>
      <c r="F83" s="841"/>
      <c r="G83" s="852" t="s">
        <v>1281</v>
      </c>
      <c r="H83" s="921"/>
      <c r="I83" s="921"/>
      <c r="J83" s="921"/>
      <c r="K83" s="921"/>
      <c r="L83" s="921"/>
      <c r="M83" s="921"/>
      <c r="N83" s="921"/>
      <c r="O83" s="921"/>
      <c r="P83" s="921"/>
      <c r="Q83" s="921"/>
      <c r="R83" s="921"/>
      <c r="S83" s="921"/>
      <c r="T83" s="921"/>
      <c r="U83" s="921"/>
      <c r="V83" s="921"/>
      <c r="W83" s="921"/>
      <c r="X83" s="921"/>
      <c r="Y83" s="921"/>
      <c r="Z83" s="921"/>
      <c r="AA83" s="921"/>
      <c r="AB83" s="921"/>
      <c r="AC83" s="921"/>
      <c r="AD83" s="921"/>
      <c r="AE83" s="921"/>
      <c r="AF83" s="921"/>
      <c r="AG83" s="921"/>
      <c r="AH83" s="921"/>
      <c r="AI83" s="921"/>
      <c r="AJ83" s="921"/>
      <c r="AK83" s="921"/>
      <c r="AL83" s="921"/>
      <c r="AM83" s="921"/>
      <c r="AN83" s="921"/>
      <c r="AO83" s="921"/>
      <c r="AP83" s="921"/>
      <c r="AQ83" s="921"/>
      <c r="AR83" s="921"/>
      <c r="AS83" s="921"/>
      <c r="AT83" s="921"/>
      <c r="AU83" s="921"/>
      <c r="AV83" s="921"/>
      <c r="AW83" s="921"/>
      <c r="AX83" s="921"/>
      <c r="AY83" s="921"/>
      <c r="AZ83" s="921"/>
      <c r="BA83" s="921"/>
      <c r="BB83" s="921"/>
      <c r="BC83" s="921"/>
      <c r="BD83" s="921"/>
      <c r="BE83" s="921"/>
      <c r="BF83" s="921"/>
      <c r="BG83" s="921"/>
      <c r="BH83" s="921"/>
      <c r="BI83" s="921"/>
      <c r="BJ83" s="921"/>
      <c r="BK83" s="921"/>
      <c r="BL83" s="921"/>
      <c r="BM83" s="921"/>
      <c r="BN83" s="921"/>
      <c r="BO83" s="921"/>
      <c r="BP83" s="802"/>
    </row>
    <row r="84" spans="1:68" ht="20.100000000000001" hidden="1" customHeight="1" outlineLevel="1">
      <c r="A84" s="914"/>
      <c r="B84" s="1594"/>
      <c r="C84" s="1646"/>
      <c r="D84" s="923" t="s">
        <v>412</v>
      </c>
      <c r="E84" s="925"/>
      <c r="F84" s="786"/>
      <c r="G84" s="852" t="s">
        <v>1281</v>
      </c>
      <c r="H84" s="921"/>
      <c r="I84" s="921"/>
      <c r="J84" s="921"/>
      <c r="K84" s="921"/>
      <c r="L84" s="921"/>
      <c r="M84" s="921"/>
      <c r="N84" s="921"/>
      <c r="O84" s="921"/>
      <c r="P84" s="921"/>
      <c r="Q84" s="921"/>
      <c r="R84" s="921"/>
      <c r="S84" s="921"/>
      <c r="T84" s="921"/>
      <c r="U84" s="921"/>
      <c r="V84" s="921"/>
      <c r="W84" s="921"/>
      <c r="X84" s="921"/>
      <c r="Y84" s="921"/>
      <c r="Z84" s="921"/>
      <c r="AA84" s="921"/>
      <c r="AB84" s="921"/>
      <c r="AC84" s="921"/>
      <c r="AD84" s="921"/>
      <c r="AE84" s="921"/>
      <c r="AF84" s="921"/>
      <c r="AG84" s="921"/>
      <c r="AH84" s="921"/>
      <c r="AI84" s="921"/>
      <c r="AJ84" s="921"/>
      <c r="AK84" s="921"/>
      <c r="AL84" s="921"/>
      <c r="AM84" s="921"/>
      <c r="AN84" s="921"/>
      <c r="AO84" s="921"/>
      <c r="AP84" s="921"/>
      <c r="AQ84" s="921"/>
      <c r="AR84" s="921"/>
      <c r="AS84" s="921"/>
      <c r="AT84" s="921"/>
      <c r="AU84" s="921"/>
      <c r="AV84" s="921"/>
      <c r="AW84" s="921"/>
      <c r="AX84" s="921"/>
      <c r="AY84" s="921"/>
      <c r="AZ84" s="921"/>
      <c r="BA84" s="921"/>
      <c r="BB84" s="921"/>
      <c r="BC84" s="921"/>
      <c r="BD84" s="921"/>
      <c r="BE84" s="921"/>
      <c r="BF84" s="921"/>
      <c r="BG84" s="921"/>
      <c r="BH84" s="921"/>
      <c r="BI84" s="921"/>
      <c r="BJ84" s="921"/>
      <c r="BK84" s="921"/>
      <c r="BL84" s="921"/>
      <c r="BM84" s="921"/>
      <c r="BN84" s="921"/>
      <c r="BO84" s="921"/>
      <c r="BP84" s="802"/>
    </row>
    <row r="85" spans="1:68" ht="20.100000000000001" hidden="1" customHeight="1" outlineLevel="1">
      <c r="A85" s="914"/>
      <c r="B85" s="1594"/>
      <c r="C85" s="1646"/>
      <c r="D85" s="923" t="s">
        <v>414</v>
      </c>
      <c r="E85" s="925"/>
      <c r="F85" s="842"/>
      <c r="G85" s="852" t="s">
        <v>1281</v>
      </c>
      <c r="H85" s="921"/>
      <c r="I85" s="921"/>
      <c r="J85" s="921"/>
      <c r="K85" s="921"/>
      <c r="L85" s="921"/>
      <c r="M85" s="921"/>
      <c r="N85" s="921"/>
      <c r="O85" s="921"/>
      <c r="P85" s="921"/>
      <c r="Q85" s="921"/>
      <c r="R85" s="921"/>
      <c r="S85" s="921"/>
      <c r="T85" s="921"/>
      <c r="U85" s="921"/>
      <c r="V85" s="921"/>
      <c r="W85" s="921"/>
      <c r="X85" s="921"/>
      <c r="Y85" s="921"/>
      <c r="Z85" s="921"/>
      <c r="AA85" s="921"/>
      <c r="AB85" s="921"/>
      <c r="AC85" s="921"/>
      <c r="AD85" s="921"/>
      <c r="AE85" s="921"/>
      <c r="AF85" s="921"/>
      <c r="AG85" s="921"/>
      <c r="AH85" s="921"/>
      <c r="AI85" s="921"/>
      <c r="AJ85" s="921"/>
      <c r="AK85" s="921"/>
      <c r="AL85" s="921"/>
      <c r="AM85" s="921"/>
      <c r="AN85" s="921"/>
      <c r="AO85" s="921"/>
      <c r="AP85" s="921"/>
      <c r="AQ85" s="921"/>
      <c r="AR85" s="921"/>
      <c r="AS85" s="921"/>
      <c r="AT85" s="921"/>
      <c r="AU85" s="921"/>
      <c r="AV85" s="921"/>
      <c r="AW85" s="921"/>
      <c r="AX85" s="921"/>
      <c r="AY85" s="921"/>
      <c r="AZ85" s="921"/>
      <c r="BA85" s="921"/>
      <c r="BB85" s="921"/>
      <c r="BC85" s="921"/>
      <c r="BD85" s="921"/>
      <c r="BE85" s="921"/>
      <c r="BF85" s="921"/>
      <c r="BG85" s="921"/>
      <c r="BH85" s="921"/>
      <c r="BI85" s="921"/>
      <c r="BJ85" s="921"/>
      <c r="BK85" s="921"/>
      <c r="BL85" s="921"/>
      <c r="BM85" s="921"/>
      <c r="BN85" s="921"/>
      <c r="BO85" s="921"/>
      <c r="BP85" s="802"/>
    </row>
    <row r="86" spans="1:68" ht="20.100000000000001" hidden="1" customHeight="1" outlineLevel="1">
      <c r="A86" s="914"/>
      <c r="B86" s="1594"/>
      <c r="C86" s="1646"/>
      <c r="D86" s="923" t="s">
        <v>416</v>
      </c>
      <c r="E86" s="925"/>
      <c r="F86" s="842"/>
      <c r="G86" s="852" t="s">
        <v>1281</v>
      </c>
      <c r="H86" s="921"/>
      <c r="I86" s="921"/>
      <c r="J86" s="921"/>
      <c r="K86" s="921"/>
      <c r="L86" s="921"/>
      <c r="M86" s="921"/>
      <c r="N86" s="921"/>
      <c r="O86" s="921"/>
      <c r="P86" s="921"/>
      <c r="Q86" s="921"/>
      <c r="R86" s="921"/>
      <c r="S86" s="921"/>
      <c r="T86" s="921"/>
      <c r="U86" s="921"/>
      <c r="V86" s="921"/>
      <c r="W86" s="921"/>
      <c r="X86" s="921"/>
      <c r="Y86" s="921"/>
      <c r="Z86" s="921"/>
      <c r="AA86" s="921"/>
      <c r="AB86" s="921"/>
      <c r="AC86" s="921"/>
      <c r="AD86" s="921"/>
      <c r="AE86" s="921"/>
      <c r="AF86" s="921"/>
      <c r="AG86" s="921"/>
      <c r="AH86" s="921"/>
      <c r="AI86" s="921"/>
      <c r="AJ86" s="921"/>
      <c r="AK86" s="921"/>
      <c r="AL86" s="921"/>
      <c r="AM86" s="921"/>
      <c r="AN86" s="921"/>
      <c r="AO86" s="921"/>
      <c r="AP86" s="921"/>
      <c r="AQ86" s="921"/>
      <c r="AR86" s="921"/>
      <c r="AS86" s="921"/>
      <c r="AT86" s="921"/>
      <c r="AU86" s="921"/>
      <c r="AV86" s="921"/>
      <c r="AW86" s="921"/>
      <c r="AX86" s="921"/>
      <c r="AY86" s="921"/>
      <c r="AZ86" s="921"/>
      <c r="BA86" s="921"/>
      <c r="BB86" s="921"/>
      <c r="BC86" s="921"/>
      <c r="BD86" s="921"/>
      <c r="BE86" s="921"/>
      <c r="BF86" s="921"/>
      <c r="BG86" s="921"/>
      <c r="BH86" s="921"/>
      <c r="BI86" s="921"/>
      <c r="BJ86" s="921"/>
      <c r="BK86" s="921"/>
      <c r="BL86" s="921"/>
      <c r="BM86" s="921"/>
      <c r="BN86" s="921"/>
      <c r="BO86" s="921"/>
      <c r="BP86" s="802"/>
    </row>
    <row r="87" spans="1:68" ht="20.100000000000001" hidden="1" customHeight="1" outlineLevel="1">
      <c r="A87" s="914"/>
      <c r="B87" s="1594"/>
      <c r="C87" s="1646"/>
      <c r="D87" s="923" t="s">
        <v>418</v>
      </c>
      <c r="E87" s="925"/>
      <c r="F87" s="842"/>
      <c r="G87" s="852" t="s">
        <v>1281</v>
      </c>
      <c r="H87" s="921"/>
      <c r="I87" s="921"/>
      <c r="J87" s="921"/>
      <c r="K87" s="921"/>
      <c r="L87" s="921"/>
      <c r="M87" s="921"/>
      <c r="N87" s="921"/>
      <c r="O87" s="921"/>
      <c r="P87" s="921"/>
      <c r="Q87" s="921"/>
      <c r="R87" s="921"/>
      <c r="S87" s="921"/>
      <c r="T87" s="921"/>
      <c r="U87" s="921"/>
      <c r="V87" s="921"/>
      <c r="W87" s="921"/>
      <c r="X87" s="921"/>
      <c r="Y87" s="921"/>
      <c r="Z87" s="921"/>
      <c r="AA87" s="921"/>
      <c r="AB87" s="921"/>
      <c r="AC87" s="921"/>
      <c r="AD87" s="921"/>
      <c r="AE87" s="921"/>
      <c r="AF87" s="921"/>
      <c r="AG87" s="921"/>
      <c r="AH87" s="921"/>
      <c r="AI87" s="921"/>
      <c r="AJ87" s="921"/>
      <c r="AK87" s="921"/>
      <c r="AL87" s="921"/>
      <c r="AM87" s="921"/>
      <c r="AN87" s="921"/>
      <c r="AO87" s="921"/>
      <c r="AP87" s="921"/>
      <c r="AQ87" s="921"/>
      <c r="AR87" s="921"/>
      <c r="AS87" s="921"/>
      <c r="AT87" s="921"/>
      <c r="AU87" s="921"/>
      <c r="AV87" s="921"/>
      <c r="AW87" s="921"/>
      <c r="AX87" s="921"/>
      <c r="AY87" s="921"/>
      <c r="AZ87" s="921"/>
      <c r="BA87" s="921"/>
      <c r="BB87" s="921"/>
      <c r="BC87" s="921"/>
      <c r="BD87" s="921"/>
      <c r="BE87" s="921"/>
      <c r="BF87" s="921"/>
      <c r="BG87" s="921"/>
      <c r="BH87" s="921"/>
      <c r="BI87" s="921"/>
      <c r="BJ87" s="921"/>
      <c r="BK87" s="921"/>
      <c r="BL87" s="921"/>
      <c r="BM87" s="921"/>
      <c r="BN87" s="921"/>
      <c r="BO87" s="921"/>
      <c r="BP87" s="802"/>
    </row>
    <row r="88" spans="1:68" ht="19.5" customHeight="1" collapsed="1">
      <c r="B88" s="926" t="s">
        <v>913</v>
      </c>
      <c r="C88" s="839"/>
      <c r="D88" s="874" t="s">
        <v>914</v>
      </c>
      <c r="E88" s="927"/>
      <c r="F88" s="862" t="s">
        <v>479</v>
      </c>
      <c r="G88" s="852" t="s">
        <v>1281</v>
      </c>
      <c r="H88" s="921"/>
      <c r="I88" s="921"/>
      <c r="J88" s="921"/>
      <c r="K88" s="921"/>
      <c r="L88" s="928">
        <f ca="1">SUM(L8:L55)-L89</f>
        <v>0</v>
      </c>
      <c r="M88" s="928">
        <f t="shared" ref="M88:O88" ca="1" si="8">SUM(M8:M55)-M89</f>
        <v>0</v>
      </c>
      <c r="N88" s="928">
        <f t="shared" ca="1" si="8"/>
        <v>0</v>
      </c>
      <c r="O88" s="928">
        <f t="shared" ca="1" si="8"/>
        <v>0</v>
      </c>
      <c r="P88" s="929">
        <f ca="1">SUM(P8:P55)-P89</f>
        <v>0</v>
      </c>
      <c r="Q88" s="929">
        <f t="shared" ref="Q88:S88" ca="1" si="9">SUM(Q8:Q55)-Q89</f>
        <v>0</v>
      </c>
      <c r="R88" s="929">
        <f t="shared" ca="1" si="9"/>
        <v>0</v>
      </c>
      <c r="S88" s="929">
        <f t="shared" ca="1" si="9"/>
        <v>0</v>
      </c>
      <c r="T88" s="929">
        <f t="shared" ref="T88" ca="1" si="10">SUM(T8:T55)-T89</f>
        <v>0</v>
      </c>
      <c r="U88" s="929">
        <f t="shared" ref="U88:BO88" ca="1" si="11">SUM(U8:U55)-U89</f>
        <v>0</v>
      </c>
      <c r="V88" s="929">
        <f t="shared" ca="1" si="11"/>
        <v>0</v>
      </c>
      <c r="W88" s="929">
        <f t="shared" ca="1" si="11"/>
        <v>0</v>
      </c>
      <c r="X88" s="929">
        <f t="shared" ca="1" si="11"/>
        <v>0</v>
      </c>
      <c r="Y88" s="929">
        <f t="shared" ca="1" si="11"/>
        <v>0</v>
      </c>
      <c r="Z88" s="929">
        <f t="shared" ca="1" si="11"/>
        <v>0</v>
      </c>
      <c r="AA88" s="929">
        <f t="shared" ca="1" si="11"/>
        <v>0</v>
      </c>
      <c r="AB88" s="929">
        <f t="shared" ca="1" si="11"/>
        <v>0</v>
      </c>
      <c r="AC88" s="929">
        <f t="shared" ca="1" si="11"/>
        <v>0</v>
      </c>
      <c r="AD88" s="929">
        <f t="shared" ca="1" si="11"/>
        <v>0</v>
      </c>
      <c r="AE88" s="929">
        <f t="shared" ca="1" si="11"/>
        <v>0</v>
      </c>
      <c r="AF88" s="929">
        <f t="shared" ca="1" si="11"/>
        <v>0</v>
      </c>
      <c r="AG88" s="929">
        <f t="shared" ca="1" si="11"/>
        <v>0</v>
      </c>
      <c r="AH88" s="929">
        <f t="shared" ca="1" si="11"/>
        <v>0</v>
      </c>
      <c r="AI88" s="929">
        <f t="shared" ca="1" si="11"/>
        <v>0</v>
      </c>
      <c r="AJ88" s="929">
        <f t="shared" ca="1" si="11"/>
        <v>0</v>
      </c>
      <c r="AK88" s="929">
        <f t="shared" ca="1" si="11"/>
        <v>0</v>
      </c>
      <c r="AL88" s="929">
        <f t="shared" ca="1" si="11"/>
        <v>0</v>
      </c>
      <c r="AM88" s="929">
        <f t="shared" ca="1" si="11"/>
        <v>0</v>
      </c>
      <c r="AN88" s="929">
        <f t="shared" ca="1" si="11"/>
        <v>0</v>
      </c>
      <c r="AO88" s="929">
        <f t="shared" ca="1" si="11"/>
        <v>0</v>
      </c>
      <c r="AP88" s="929">
        <f t="shared" ca="1" si="11"/>
        <v>0</v>
      </c>
      <c r="AQ88" s="929">
        <f t="shared" ca="1" si="11"/>
        <v>0</v>
      </c>
      <c r="AR88" s="929">
        <f t="shared" ca="1" si="11"/>
        <v>0</v>
      </c>
      <c r="AS88" s="929">
        <f t="shared" ca="1" si="11"/>
        <v>0</v>
      </c>
      <c r="AT88" s="929">
        <f t="shared" ca="1" si="11"/>
        <v>0</v>
      </c>
      <c r="AU88" s="929">
        <f t="shared" ca="1" si="11"/>
        <v>0</v>
      </c>
      <c r="AV88" s="929">
        <f t="shared" ca="1" si="11"/>
        <v>0</v>
      </c>
      <c r="AW88" s="929">
        <f t="shared" ca="1" si="11"/>
        <v>0</v>
      </c>
      <c r="AX88" s="929">
        <f t="shared" ca="1" si="11"/>
        <v>0</v>
      </c>
      <c r="AY88" s="929">
        <f t="shared" ca="1" si="11"/>
        <v>0</v>
      </c>
      <c r="AZ88" s="929">
        <f t="shared" ca="1" si="11"/>
        <v>0</v>
      </c>
      <c r="BA88" s="929">
        <f t="shared" ca="1" si="11"/>
        <v>0</v>
      </c>
      <c r="BB88" s="929">
        <f t="shared" ca="1" si="11"/>
        <v>0</v>
      </c>
      <c r="BC88" s="929">
        <f t="shared" ca="1" si="11"/>
        <v>0</v>
      </c>
      <c r="BD88" s="929">
        <f t="shared" ca="1" si="11"/>
        <v>0</v>
      </c>
      <c r="BE88" s="929">
        <f t="shared" ca="1" si="11"/>
        <v>0</v>
      </c>
      <c r="BF88" s="929">
        <f t="shared" ca="1" si="11"/>
        <v>0</v>
      </c>
      <c r="BG88" s="929">
        <f t="shared" ca="1" si="11"/>
        <v>0</v>
      </c>
      <c r="BH88" s="929">
        <f t="shared" ca="1" si="11"/>
        <v>0</v>
      </c>
      <c r="BI88" s="929">
        <f t="shared" ca="1" si="11"/>
        <v>0</v>
      </c>
      <c r="BJ88" s="929">
        <f t="shared" ca="1" si="11"/>
        <v>0</v>
      </c>
      <c r="BK88" s="929">
        <f t="shared" ca="1" si="11"/>
        <v>0</v>
      </c>
      <c r="BL88" s="929">
        <f t="shared" ca="1" si="11"/>
        <v>0</v>
      </c>
      <c r="BM88" s="929">
        <f t="shared" ca="1" si="11"/>
        <v>0</v>
      </c>
      <c r="BN88" s="929">
        <f t="shared" ca="1" si="11"/>
        <v>0</v>
      </c>
      <c r="BO88" s="929">
        <f t="shared" ca="1" si="11"/>
        <v>0</v>
      </c>
      <c r="BP88" s="802"/>
    </row>
    <row r="89" spans="1:68" ht="21">
      <c r="B89" s="930" t="s">
        <v>915</v>
      </c>
      <c r="C89" s="841"/>
      <c r="D89" s="874" t="s">
        <v>916</v>
      </c>
      <c r="E89" s="927"/>
      <c r="F89" s="931" t="s">
        <v>801</v>
      </c>
      <c r="G89" s="852" t="s">
        <v>1281</v>
      </c>
      <c r="H89" s="921"/>
      <c r="I89" s="921"/>
      <c r="J89" s="921"/>
      <c r="K89" s="921"/>
      <c r="L89" s="928">
        <f ca="1">SUM(L44:L49)</f>
        <v>0</v>
      </c>
      <c r="M89" s="928">
        <f t="shared" ref="M89:O89" ca="1" si="12">SUM(M44:M49)</f>
        <v>0</v>
      </c>
      <c r="N89" s="928">
        <f t="shared" ca="1" si="12"/>
        <v>0</v>
      </c>
      <c r="O89" s="928">
        <f t="shared" ca="1" si="12"/>
        <v>0</v>
      </c>
      <c r="P89" s="929">
        <f ca="1">SUM(P44:P49)</f>
        <v>0</v>
      </c>
      <c r="Q89" s="929">
        <f t="shared" ref="Q89:BO89" ca="1" si="13">SUM(Q44:Q49)</f>
        <v>0</v>
      </c>
      <c r="R89" s="929">
        <f t="shared" ca="1" si="13"/>
        <v>0</v>
      </c>
      <c r="S89" s="929">
        <f t="shared" ca="1" si="13"/>
        <v>0</v>
      </c>
      <c r="T89" s="929">
        <f t="shared" ca="1" si="13"/>
        <v>0</v>
      </c>
      <c r="U89" s="929">
        <f t="shared" ca="1" si="13"/>
        <v>0</v>
      </c>
      <c r="V89" s="929">
        <f t="shared" ca="1" si="13"/>
        <v>0</v>
      </c>
      <c r="W89" s="929">
        <f t="shared" ca="1" si="13"/>
        <v>0</v>
      </c>
      <c r="X89" s="929">
        <f t="shared" ca="1" si="13"/>
        <v>0</v>
      </c>
      <c r="Y89" s="929">
        <f t="shared" ca="1" si="13"/>
        <v>0</v>
      </c>
      <c r="Z89" s="929">
        <f t="shared" ca="1" si="13"/>
        <v>0</v>
      </c>
      <c r="AA89" s="929">
        <f t="shared" ca="1" si="13"/>
        <v>0</v>
      </c>
      <c r="AB89" s="929">
        <f t="shared" ca="1" si="13"/>
        <v>0</v>
      </c>
      <c r="AC89" s="929">
        <f t="shared" ca="1" si="13"/>
        <v>0</v>
      </c>
      <c r="AD89" s="929">
        <f t="shared" ca="1" si="13"/>
        <v>0</v>
      </c>
      <c r="AE89" s="929">
        <f t="shared" ca="1" si="13"/>
        <v>0</v>
      </c>
      <c r="AF89" s="929">
        <f t="shared" ca="1" si="13"/>
        <v>0</v>
      </c>
      <c r="AG89" s="929">
        <f t="shared" ca="1" si="13"/>
        <v>0</v>
      </c>
      <c r="AH89" s="929">
        <f t="shared" ca="1" si="13"/>
        <v>0</v>
      </c>
      <c r="AI89" s="929">
        <f t="shared" ca="1" si="13"/>
        <v>0</v>
      </c>
      <c r="AJ89" s="929">
        <f t="shared" ca="1" si="13"/>
        <v>0</v>
      </c>
      <c r="AK89" s="929">
        <f t="shared" ca="1" si="13"/>
        <v>0</v>
      </c>
      <c r="AL89" s="929">
        <f t="shared" ca="1" si="13"/>
        <v>0</v>
      </c>
      <c r="AM89" s="929">
        <f t="shared" ca="1" si="13"/>
        <v>0</v>
      </c>
      <c r="AN89" s="929">
        <f t="shared" ca="1" si="13"/>
        <v>0</v>
      </c>
      <c r="AO89" s="929">
        <f t="shared" ca="1" si="13"/>
        <v>0</v>
      </c>
      <c r="AP89" s="929">
        <f t="shared" ca="1" si="13"/>
        <v>0</v>
      </c>
      <c r="AQ89" s="929">
        <f t="shared" ca="1" si="13"/>
        <v>0</v>
      </c>
      <c r="AR89" s="929">
        <f t="shared" ca="1" si="13"/>
        <v>0</v>
      </c>
      <c r="AS89" s="929">
        <f t="shared" ca="1" si="13"/>
        <v>0</v>
      </c>
      <c r="AT89" s="929">
        <f t="shared" ca="1" si="13"/>
        <v>0</v>
      </c>
      <c r="AU89" s="929">
        <f t="shared" ca="1" si="13"/>
        <v>0</v>
      </c>
      <c r="AV89" s="929">
        <f t="shared" ca="1" si="13"/>
        <v>0</v>
      </c>
      <c r="AW89" s="929">
        <f t="shared" ca="1" si="13"/>
        <v>0</v>
      </c>
      <c r="AX89" s="929">
        <f t="shared" ca="1" si="13"/>
        <v>0</v>
      </c>
      <c r="AY89" s="929">
        <f t="shared" ca="1" si="13"/>
        <v>0</v>
      </c>
      <c r="AZ89" s="929">
        <f t="shared" ca="1" si="13"/>
        <v>0</v>
      </c>
      <c r="BA89" s="929">
        <f t="shared" ca="1" si="13"/>
        <v>0</v>
      </c>
      <c r="BB89" s="929">
        <f t="shared" ca="1" si="13"/>
        <v>0</v>
      </c>
      <c r="BC89" s="929">
        <f t="shared" ca="1" si="13"/>
        <v>0</v>
      </c>
      <c r="BD89" s="929">
        <f t="shared" ca="1" si="13"/>
        <v>0</v>
      </c>
      <c r="BE89" s="929">
        <f t="shared" ca="1" si="13"/>
        <v>0</v>
      </c>
      <c r="BF89" s="929">
        <f t="shared" ca="1" si="13"/>
        <v>0</v>
      </c>
      <c r="BG89" s="929">
        <f t="shared" ca="1" si="13"/>
        <v>0</v>
      </c>
      <c r="BH89" s="929">
        <f t="shared" ca="1" si="13"/>
        <v>0</v>
      </c>
      <c r="BI89" s="929">
        <f t="shared" ca="1" si="13"/>
        <v>0</v>
      </c>
      <c r="BJ89" s="929">
        <f t="shared" ca="1" si="13"/>
        <v>0</v>
      </c>
      <c r="BK89" s="929">
        <f t="shared" ca="1" si="13"/>
        <v>0</v>
      </c>
      <c r="BL89" s="929">
        <f t="shared" ca="1" si="13"/>
        <v>0</v>
      </c>
      <c r="BM89" s="929">
        <f t="shared" ca="1" si="13"/>
        <v>0</v>
      </c>
      <c r="BN89" s="929">
        <f t="shared" ca="1" si="13"/>
        <v>0</v>
      </c>
      <c r="BO89" s="929">
        <f t="shared" ca="1" si="13"/>
        <v>0</v>
      </c>
      <c r="BP89" s="802"/>
    </row>
    <row r="90" spans="1:68" ht="21">
      <c r="B90" s="926" t="s">
        <v>917</v>
      </c>
      <c r="C90" s="839"/>
      <c r="D90" s="874" t="s">
        <v>918</v>
      </c>
      <c r="E90" s="932"/>
      <c r="F90" s="862" t="s">
        <v>802</v>
      </c>
      <c r="G90" s="852" t="s">
        <v>1281</v>
      </c>
      <c r="H90" s="921"/>
      <c r="I90" s="921"/>
      <c r="J90" s="921"/>
      <c r="K90" s="921"/>
      <c r="L90" s="928">
        <f t="shared" ref="L90:O90" ca="1" si="14">SUM(L56:L66)</f>
        <v>0</v>
      </c>
      <c r="M90" s="928">
        <f t="shared" ca="1" si="14"/>
        <v>0</v>
      </c>
      <c r="N90" s="928">
        <f t="shared" ca="1" si="14"/>
        <v>0</v>
      </c>
      <c r="O90" s="928">
        <f t="shared" ca="1" si="14"/>
        <v>0</v>
      </c>
      <c r="P90" s="929">
        <f ca="1">SUM(P56:P66)</f>
        <v>0</v>
      </c>
      <c r="Q90" s="929">
        <f t="shared" ref="Q90:BO90" ca="1" si="15">SUM(Q56:Q66)</f>
        <v>0</v>
      </c>
      <c r="R90" s="929">
        <f t="shared" ca="1" si="15"/>
        <v>0</v>
      </c>
      <c r="S90" s="929">
        <f t="shared" ca="1" si="15"/>
        <v>0</v>
      </c>
      <c r="T90" s="929">
        <f t="shared" ca="1" si="15"/>
        <v>0</v>
      </c>
      <c r="U90" s="929">
        <f t="shared" ca="1" si="15"/>
        <v>0</v>
      </c>
      <c r="V90" s="929">
        <f t="shared" ca="1" si="15"/>
        <v>0</v>
      </c>
      <c r="W90" s="929">
        <f t="shared" ca="1" si="15"/>
        <v>0</v>
      </c>
      <c r="X90" s="929">
        <f t="shared" ca="1" si="15"/>
        <v>0</v>
      </c>
      <c r="Y90" s="929">
        <f t="shared" ca="1" si="15"/>
        <v>0</v>
      </c>
      <c r="Z90" s="929">
        <f t="shared" ca="1" si="15"/>
        <v>0</v>
      </c>
      <c r="AA90" s="929">
        <f t="shared" ca="1" si="15"/>
        <v>0</v>
      </c>
      <c r="AB90" s="929">
        <f t="shared" ca="1" si="15"/>
        <v>0</v>
      </c>
      <c r="AC90" s="929">
        <f t="shared" ca="1" si="15"/>
        <v>0</v>
      </c>
      <c r="AD90" s="929">
        <f t="shared" ca="1" si="15"/>
        <v>0</v>
      </c>
      <c r="AE90" s="929">
        <f t="shared" ca="1" si="15"/>
        <v>0</v>
      </c>
      <c r="AF90" s="929">
        <f t="shared" ca="1" si="15"/>
        <v>0</v>
      </c>
      <c r="AG90" s="929">
        <f t="shared" ca="1" si="15"/>
        <v>0</v>
      </c>
      <c r="AH90" s="929">
        <f t="shared" ca="1" si="15"/>
        <v>0</v>
      </c>
      <c r="AI90" s="929">
        <f t="shared" ca="1" si="15"/>
        <v>0</v>
      </c>
      <c r="AJ90" s="929">
        <f t="shared" ca="1" si="15"/>
        <v>0</v>
      </c>
      <c r="AK90" s="929">
        <f t="shared" ca="1" si="15"/>
        <v>0</v>
      </c>
      <c r="AL90" s="929">
        <f t="shared" ca="1" si="15"/>
        <v>0</v>
      </c>
      <c r="AM90" s="929">
        <f t="shared" ca="1" si="15"/>
        <v>0</v>
      </c>
      <c r="AN90" s="929">
        <f t="shared" ca="1" si="15"/>
        <v>0</v>
      </c>
      <c r="AO90" s="929">
        <f t="shared" ca="1" si="15"/>
        <v>0</v>
      </c>
      <c r="AP90" s="929">
        <f t="shared" ca="1" si="15"/>
        <v>0</v>
      </c>
      <c r="AQ90" s="929">
        <f t="shared" ca="1" si="15"/>
        <v>0</v>
      </c>
      <c r="AR90" s="929">
        <f t="shared" ca="1" si="15"/>
        <v>0</v>
      </c>
      <c r="AS90" s="929">
        <f t="shared" ca="1" si="15"/>
        <v>0</v>
      </c>
      <c r="AT90" s="929">
        <f t="shared" ca="1" si="15"/>
        <v>0</v>
      </c>
      <c r="AU90" s="929">
        <f t="shared" ca="1" si="15"/>
        <v>0</v>
      </c>
      <c r="AV90" s="929">
        <f t="shared" ca="1" si="15"/>
        <v>0</v>
      </c>
      <c r="AW90" s="929">
        <f t="shared" ca="1" si="15"/>
        <v>0</v>
      </c>
      <c r="AX90" s="929">
        <f t="shared" ca="1" si="15"/>
        <v>0</v>
      </c>
      <c r="AY90" s="929">
        <f t="shared" ca="1" si="15"/>
        <v>0</v>
      </c>
      <c r="AZ90" s="929">
        <f t="shared" ca="1" si="15"/>
        <v>0</v>
      </c>
      <c r="BA90" s="929">
        <f t="shared" ca="1" si="15"/>
        <v>0</v>
      </c>
      <c r="BB90" s="929">
        <f t="shared" ca="1" si="15"/>
        <v>0</v>
      </c>
      <c r="BC90" s="929">
        <f t="shared" ca="1" si="15"/>
        <v>0</v>
      </c>
      <c r="BD90" s="929">
        <f t="shared" ca="1" si="15"/>
        <v>0</v>
      </c>
      <c r="BE90" s="929">
        <f t="shared" ca="1" si="15"/>
        <v>0</v>
      </c>
      <c r="BF90" s="929">
        <f t="shared" ca="1" si="15"/>
        <v>0</v>
      </c>
      <c r="BG90" s="929">
        <f t="shared" ca="1" si="15"/>
        <v>0</v>
      </c>
      <c r="BH90" s="929">
        <f t="shared" ca="1" si="15"/>
        <v>0</v>
      </c>
      <c r="BI90" s="929">
        <f t="shared" ca="1" si="15"/>
        <v>0</v>
      </c>
      <c r="BJ90" s="929">
        <f t="shared" ca="1" si="15"/>
        <v>0</v>
      </c>
      <c r="BK90" s="929">
        <f t="shared" ca="1" si="15"/>
        <v>0</v>
      </c>
      <c r="BL90" s="929">
        <f t="shared" ca="1" si="15"/>
        <v>0</v>
      </c>
      <c r="BM90" s="929">
        <f t="shared" ca="1" si="15"/>
        <v>0</v>
      </c>
      <c r="BN90" s="929">
        <f t="shared" ca="1" si="15"/>
        <v>0</v>
      </c>
      <c r="BO90" s="929">
        <f t="shared" ca="1" si="15"/>
        <v>0</v>
      </c>
      <c r="BP90" s="802"/>
    </row>
    <row r="91" spans="1:68" ht="21">
      <c r="B91" s="930" t="s">
        <v>915</v>
      </c>
      <c r="C91" s="933"/>
      <c r="D91" s="874" t="s">
        <v>919</v>
      </c>
      <c r="E91" s="932"/>
      <c r="F91" s="862" t="s">
        <v>803</v>
      </c>
      <c r="G91" s="852" t="s">
        <v>1281</v>
      </c>
      <c r="H91" s="921"/>
      <c r="I91" s="921"/>
      <c r="J91" s="921"/>
      <c r="K91" s="921"/>
      <c r="L91" s="928">
        <f t="shared" ref="L91:O91" ca="1" si="16">SUM(L67:L71)</f>
        <v>0</v>
      </c>
      <c r="M91" s="928">
        <f t="shared" ca="1" si="16"/>
        <v>0</v>
      </c>
      <c r="N91" s="928">
        <f t="shared" ca="1" si="16"/>
        <v>0</v>
      </c>
      <c r="O91" s="928">
        <f t="shared" ca="1" si="16"/>
        <v>0</v>
      </c>
      <c r="P91" s="929">
        <f ca="1">SUM(P67:P71)</f>
        <v>0</v>
      </c>
      <c r="Q91" s="929">
        <f t="shared" ref="Q91:BO91" ca="1" si="17">SUM(Q67:Q71)</f>
        <v>0</v>
      </c>
      <c r="R91" s="929">
        <f t="shared" ca="1" si="17"/>
        <v>0</v>
      </c>
      <c r="S91" s="929">
        <f t="shared" ca="1" si="17"/>
        <v>0</v>
      </c>
      <c r="T91" s="929">
        <f t="shared" ca="1" si="17"/>
        <v>0</v>
      </c>
      <c r="U91" s="929">
        <f t="shared" ca="1" si="17"/>
        <v>0</v>
      </c>
      <c r="V91" s="929">
        <f t="shared" ca="1" si="17"/>
        <v>0</v>
      </c>
      <c r="W91" s="929">
        <f t="shared" ca="1" si="17"/>
        <v>0</v>
      </c>
      <c r="X91" s="929">
        <f t="shared" ca="1" si="17"/>
        <v>0</v>
      </c>
      <c r="Y91" s="929">
        <f t="shared" ca="1" si="17"/>
        <v>0</v>
      </c>
      <c r="Z91" s="929">
        <f t="shared" ca="1" si="17"/>
        <v>0</v>
      </c>
      <c r="AA91" s="929">
        <f t="shared" ca="1" si="17"/>
        <v>0</v>
      </c>
      <c r="AB91" s="929">
        <f t="shared" ca="1" si="17"/>
        <v>0</v>
      </c>
      <c r="AC91" s="929">
        <f t="shared" ca="1" si="17"/>
        <v>0</v>
      </c>
      <c r="AD91" s="929">
        <f t="shared" ca="1" si="17"/>
        <v>0</v>
      </c>
      <c r="AE91" s="929">
        <f t="shared" ca="1" si="17"/>
        <v>0</v>
      </c>
      <c r="AF91" s="929">
        <f t="shared" ca="1" si="17"/>
        <v>0</v>
      </c>
      <c r="AG91" s="929">
        <f t="shared" ca="1" si="17"/>
        <v>0</v>
      </c>
      <c r="AH91" s="929">
        <f t="shared" ca="1" si="17"/>
        <v>0</v>
      </c>
      <c r="AI91" s="929">
        <f t="shared" ca="1" si="17"/>
        <v>0</v>
      </c>
      <c r="AJ91" s="929">
        <f t="shared" ca="1" si="17"/>
        <v>0</v>
      </c>
      <c r="AK91" s="929">
        <f t="shared" ca="1" si="17"/>
        <v>0</v>
      </c>
      <c r="AL91" s="929">
        <f t="shared" ca="1" si="17"/>
        <v>0</v>
      </c>
      <c r="AM91" s="929">
        <f t="shared" ca="1" si="17"/>
        <v>0</v>
      </c>
      <c r="AN91" s="929">
        <f t="shared" ca="1" si="17"/>
        <v>0</v>
      </c>
      <c r="AO91" s="929">
        <f t="shared" ca="1" si="17"/>
        <v>0</v>
      </c>
      <c r="AP91" s="929">
        <f t="shared" ca="1" si="17"/>
        <v>0</v>
      </c>
      <c r="AQ91" s="929">
        <f t="shared" ca="1" si="17"/>
        <v>0</v>
      </c>
      <c r="AR91" s="929">
        <f t="shared" ca="1" si="17"/>
        <v>0</v>
      </c>
      <c r="AS91" s="929">
        <f t="shared" ca="1" si="17"/>
        <v>0</v>
      </c>
      <c r="AT91" s="929">
        <f t="shared" ca="1" si="17"/>
        <v>0</v>
      </c>
      <c r="AU91" s="929">
        <f t="shared" ca="1" si="17"/>
        <v>0</v>
      </c>
      <c r="AV91" s="929">
        <f t="shared" ca="1" si="17"/>
        <v>0</v>
      </c>
      <c r="AW91" s="929">
        <f t="shared" ca="1" si="17"/>
        <v>0</v>
      </c>
      <c r="AX91" s="929">
        <f t="shared" ca="1" si="17"/>
        <v>0</v>
      </c>
      <c r="AY91" s="929">
        <f t="shared" ca="1" si="17"/>
        <v>0</v>
      </c>
      <c r="AZ91" s="929">
        <f t="shared" ca="1" si="17"/>
        <v>0</v>
      </c>
      <c r="BA91" s="929">
        <f t="shared" ca="1" si="17"/>
        <v>0</v>
      </c>
      <c r="BB91" s="929">
        <f t="shared" ca="1" si="17"/>
        <v>0</v>
      </c>
      <c r="BC91" s="929">
        <f t="shared" ca="1" si="17"/>
        <v>0</v>
      </c>
      <c r="BD91" s="929">
        <f t="shared" ca="1" si="17"/>
        <v>0</v>
      </c>
      <c r="BE91" s="929">
        <f t="shared" ca="1" si="17"/>
        <v>0</v>
      </c>
      <c r="BF91" s="929">
        <f t="shared" ca="1" si="17"/>
        <v>0</v>
      </c>
      <c r="BG91" s="929">
        <f t="shared" ca="1" si="17"/>
        <v>0</v>
      </c>
      <c r="BH91" s="929">
        <f t="shared" ca="1" si="17"/>
        <v>0</v>
      </c>
      <c r="BI91" s="929">
        <f t="shared" ca="1" si="17"/>
        <v>0</v>
      </c>
      <c r="BJ91" s="929">
        <f t="shared" ca="1" si="17"/>
        <v>0</v>
      </c>
      <c r="BK91" s="929">
        <f t="shared" ca="1" si="17"/>
        <v>0</v>
      </c>
      <c r="BL91" s="929">
        <f t="shared" ca="1" si="17"/>
        <v>0</v>
      </c>
      <c r="BM91" s="929">
        <f t="shared" ca="1" si="17"/>
        <v>0</v>
      </c>
      <c r="BN91" s="929">
        <f t="shared" ca="1" si="17"/>
        <v>0</v>
      </c>
      <c r="BO91" s="929">
        <f t="shared" ca="1" si="17"/>
        <v>0</v>
      </c>
      <c r="BP91" s="802"/>
    </row>
    <row r="92" spans="1:68" ht="21">
      <c r="B92" s="934" t="s">
        <v>920</v>
      </c>
      <c r="C92" s="785"/>
      <c r="D92" s="853"/>
      <c r="E92" s="935"/>
      <c r="F92" s="862" t="s">
        <v>806</v>
      </c>
      <c r="G92" s="852" t="s">
        <v>1281</v>
      </c>
      <c r="H92" s="921"/>
      <c r="I92" s="921"/>
      <c r="J92" s="921"/>
      <c r="K92" s="921"/>
      <c r="L92" s="928">
        <f t="shared" ref="L92:O92" ca="1" si="18">L401</f>
        <v>0</v>
      </c>
      <c r="M92" s="928">
        <f t="shared" ca="1" si="18"/>
        <v>0</v>
      </c>
      <c r="N92" s="928">
        <f t="shared" ca="1" si="18"/>
        <v>0</v>
      </c>
      <c r="O92" s="928">
        <f t="shared" ca="1" si="18"/>
        <v>0</v>
      </c>
      <c r="P92" s="929">
        <f ca="1">P401</f>
        <v>0</v>
      </c>
      <c r="Q92" s="929">
        <f t="shared" ref="Q92:BO92" ca="1" si="19">Q401</f>
        <v>0</v>
      </c>
      <c r="R92" s="929">
        <f t="shared" ca="1" si="19"/>
        <v>0</v>
      </c>
      <c r="S92" s="929">
        <f t="shared" ca="1" si="19"/>
        <v>0</v>
      </c>
      <c r="T92" s="929">
        <f t="shared" ca="1" si="19"/>
        <v>0</v>
      </c>
      <c r="U92" s="929">
        <f t="shared" ca="1" si="19"/>
        <v>0</v>
      </c>
      <c r="V92" s="929">
        <f t="shared" ca="1" si="19"/>
        <v>0</v>
      </c>
      <c r="W92" s="929">
        <f t="shared" ca="1" si="19"/>
        <v>0</v>
      </c>
      <c r="X92" s="929">
        <f t="shared" ca="1" si="19"/>
        <v>0</v>
      </c>
      <c r="Y92" s="929">
        <f t="shared" ca="1" si="19"/>
        <v>0</v>
      </c>
      <c r="Z92" s="929">
        <f t="shared" ca="1" si="19"/>
        <v>0</v>
      </c>
      <c r="AA92" s="929">
        <f t="shared" ca="1" si="19"/>
        <v>0</v>
      </c>
      <c r="AB92" s="929">
        <f t="shared" ca="1" si="19"/>
        <v>0</v>
      </c>
      <c r="AC92" s="929">
        <f t="shared" ca="1" si="19"/>
        <v>0</v>
      </c>
      <c r="AD92" s="929">
        <f t="shared" ca="1" si="19"/>
        <v>0</v>
      </c>
      <c r="AE92" s="929">
        <f t="shared" ca="1" si="19"/>
        <v>0</v>
      </c>
      <c r="AF92" s="929">
        <f t="shared" ca="1" si="19"/>
        <v>0</v>
      </c>
      <c r="AG92" s="929">
        <f t="shared" ca="1" si="19"/>
        <v>0</v>
      </c>
      <c r="AH92" s="929">
        <f t="shared" ca="1" si="19"/>
        <v>0</v>
      </c>
      <c r="AI92" s="929">
        <f t="shared" ca="1" si="19"/>
        <v>0</v>
      </c>
      <c r="AJ92" s="929">
        <f t="shared" ca="1" si="19"/>
        <v>0</v>
      </c>
      <c r="AK92" s="929">
        <f t="shared" ca="1" si="19"/>
        <v>0</v>
      </c>
      <c r="AL92" s="929">
        <f t="shared" ca="1" si="19"/>
        <v>0</v>
      </c>
      <c r="AM92" s="929">
        <f t="shared" ca="1" si="19"/>
        <v>0</v>
      </c>
      <c r="AN92" s="929">
        <f t="shared" ca="1" si="19"/>
        <v>0</v>
      </c>
      <c r="AO92" s="929">
        <f t="shared" ca="1" si="19"/>
        <v>0</v>
      </c>
      <c r="AP92" s="929">
        <f t="shared" ca="1" si="19"/>
        <v>0</v>
      </c>
      <c r="AQ92" s="929">
        <f t="shared" ca="1" si="19"/>
        <v>0</v>
      </c>
      <c r="AR92" s="929">
        <f t="shared" ca="1" si="19"/>
        <v>0</v>
      </c>
      <c r="AS92" s="929">
        <f t="shared" ca="1" si="19"/>
        <v>0</v>
      </c>
      <c r="AT92" s="929">
        <f t="shared" ca="1" si="19"/>
        <v>0</v>
      </c>
      <c r="AU92" s="929">
        <f t="shared" ca="1" si="19"/>
        <v>0</v>
      </c>
      <c r="AV92" s="929">
        <f t="shared" ca="1" si="19"/>
        <v>0</v>
      </c>
      <c r="AW92" s="929">
        <f t="shared" ca="1" si="19"/>
        <v>0</v>
      </c>
      <c r="AX92" s="929">
        <f t="shared" ca="1" si="19"/>
        <v>0</v>
      </c>
      <c r="AY92" s="929">
        <f t="shared" ca="1" si="19"/>
        <v>0</v>
      </c>
      <c r="AZ92" s="929">
        <f t="shared" ca="1" si="19"/>
        <v>0</v>
      </c>
      <c r="BA92" s="929">
        <f t="shared" ca="1" si="19"/>
        <v>0</v>
      </c>
      <c r="BB92" s="929">
        <f t="shared" ca="1" si="19"/>
        <v>0</v>
      </c>
      <c r="BC92" s="929">
        <f t="shared" ca="1" si="19"/>
        <v>0</v>
      </c>
      <c r="BD92" s="929">
        <f t="shared" ca="1" si="19"/>
        <v>0</v>
      </c>
      <c r="BE92" s="929">
        <f t="shared" ca="1" si="19"/>
        <v>0</v>
      </c>
      <c r="BF92" s="929">
        <f t="shared" ca="1" si="19"/>
        <v>0</v>
      </c>
      <c r="BG92" s="929">
        <f t="shared" ca="1" si="19"/>
        <v>0</v>
      </c>
      <c r="BH92" s="929">
        <f t="shared" ca="1" si="19"/>
        <v>0</v>
      </c>
      <c r="BI92" s="929">
        <f t="shared" ca="1" si="19"/>
        <v>0</v>
      </c>
      <c r="BJ92" s="929">
        <f t="shared" ca="1" si="19"/>
        <v>0</v>
      </c>
      <c r="BK92" s="929">
        <f t="shared" ca="1" si="19"/>
        <v>0</v>
      </c>
      <c r="BL92" s="929">
        <f t="shared" ca="1" si="19"/>
        <v>0</v>
      </c>
      <c r="BM92" s="929">
        <f t="shared" ca="1" si="19"/>
        <v>0</v>
      </c>
      <c r="BN92" s="929">
        <f t="shared" ca="1" si="19"/>
        <v>0</v>
      </c>
      <c r="BO92" s="929">
        <f t="shared" ca="1" si="19"/>
        <v>0</v>
      </c>
      <c r="BP92" s="802"/>
    </row>
    <row r="93" spans="1:68" ht="21" customHeight="1">
      <c r="A93" s="747">
        <v>153</v>
      </c>
      <c r="B93" s="1633" t="s">
        <v>921</v>
      </c>
      <c r="C93" s="1636" t="s">
        <v>466</v>
      </c>
      <c r="D93" s="936" t="s">
        <v>467</v>
      </c>
      <c r="E93" s="937"/>
      <c r="F93" s="938" t="s">
        <v>809</v>
      </c>
      <c r="G93" s="939" t="s">
        <v>1282</v>
      </c>
      <c r="H93" s="940"/>
      <c r="I93" s="940"/>
      <c r="J93" s="940"/>
      <c r="K93" s="940"/>
      <c r="L93" s="941">
        <f t="shared" ref="L93:O110" ca="1" si="20">SUM(P93,T93)</f>
        <v>0</v>
      </c>
      <c r="M93" s="941">
        <f t="shared" ca="1" si="20"/>
        <v>0</v>
      </c>
      <c r="N93" s="941">
        <f t="shared" ca="1" si="20"/>
        <v>0</v>
      </c>
      <c r="O93" s="941">
        <f t="shared" ca="1" si="20"/>
        <v>0</v>
      </c>
      <c r="P93" s="942">
        <f t="shared" ref="P93:P106" ca="1" si="21">IFERROR(OFFSET(貼付け_2024実績,$A93,8)+OFFSET(貼付け_2024実績,$A93,9),"")</f>
        <v>0</v>
      </c>
      <c r="Q93" s="942">
        <f t="shared" ref="Q93:Q106" ca="1" si="22">IFERROR(OFFSET(貼付け_2025実績,$A93,8)+OFFSET(貼付け_2025実績,$A93,9),"")</f>
        <v>0</v>
      </c>
      <c r="R93" s="942">
        <f t="shared" ref="R93:R106" ca="1" si="23">IFERROR(OFFSET(貼付け_2026実績,$A93,8)+OFFSET(貼付け_2026実績,$A93,9),"")</f>
        <v>0</v>
      </c>
      <c r="S93" s="942">
        <f t="shared" ref="S93:S106" ca="1" si="24">IFERROR(OFFSET(貼付け_2027実績,$A93,8)+OFFSET(貼付け_2027実績,$A93,9),"")</f>
        <v>0</v>
      </c>
      <c r="T93" s="943">
        <f t="shared" ref="T93:T106" ca="1" si="25">IFERROR(OFFSET(貼付け_2024実績,$A93,7),"")</f>
        <v>0</v>
      </c>
      <c r="U93" s="943">
        <f t="shared" ref="U93:U106" ca="1" si="26">IFERROR(OFFSET(貼付け_2025実績,$A93,7),"")</f>
        <v>0</v>
      </c>
      <c r="V93" s="943">
        <f t="shared" ref="V93:V106" ca="1" si="27">IFERROR(OFFSET(貼付け_2026実績,$A93,7,),"")</f>
        <v>0</v>
      </c>
      <c r="W93" s="943">
        <f t="shared" ref="W93:W106" ca="1" si="28">IFERROR(OFFSET(貼付け_2027実績,$A93,7),"")</f>
        <v>0</v>
      </c>
      <c r="X93" s="921"/>
      <c r="Y93" s="921"/>
      <c r="Z93" s="921"/>
      <c r="AA93" s="921"/>
      <c r="AB93" s="921"/>
      <c r="AC93" s="921"/>
      <c r="AD93" s="921"/>
      <c r="AE93" s="921"/>
      <c r="AF93" s="921"/>
      <c r="AG93" s="921"/>
      <c r="AH93" s="921"/>
      <c r="AI93" s="921"/>
      <c r="AJ93" s="921"/>
      <c r="AK93" s="921"/>
      <c r="AL93" s="921"/>
      <c r="AM93" s="921"/>
      <c r="AN93" s="921"/>
      <c r="AO93" s="921"/>
      <c r="AP93" s="921"/>
      <c r="AQ93" s="921"/>
      <c r="AR93" s="921"/>
      <c r="AS93" s="921"/>
      <c r="AT93" s="921"/>
      <c r="AU93" s="921"/>
      <c r="AV93" s="921"/>
      <c r="AW93" s="921"/>
      <c r="AX93" s="921"/>
      <c r="AY93" s="921"/>
      <c r="AZ93" s="921"/>
      <c r="BA93" s="921"/>
      <c r="BB93" s="921"/>
      <c r="BC93" s="921"/>
      <c r="BD93" s="921"/>
      <c r="BE93" s="921"/>
      <c r="BF93" s="921"/>
      <c r="BG93" s="921"/>
      <c r="BH93" s="921"/>
      <c r="BI93" s="921"/>
      <c r="BJ93" s="921"/>
      <c r="BK93" s="921"/>
      <c r="BL93" s="921"/>
      <c r="BM93" s="921"/>
      <c r="BN93" s="921"/>
      <c r="BO93" s="921"/>
      <c r="BP93" s="802"/>
    </row>
    <row r="94" spans="1:68" ht="21" customHeight="1">
      <c r="A94" s="747">
        <v>154</v>
      </c>
      <c r="B94" s="1634"/>
      <c r="C94" s="1637"/>
      <c r="D94" s="936" t="s">
        <v>434</v>
      </c>
      <c r="E94" s="937"/>
      <c r="F94" s="938" t="s">
        <v>812</v>
      </c>
      <c r="G94" s="939" t="s">
        <v>1282</v>
      </c>
      <c r="H94" s="940"/>
      <c r="I94" s="940"/>
      <c r="J94" s="940"/>
      <c r="K94" s="940"/>
      <c r="L94" s="941">
        <f t="shared" ca="1" si="20"/>
        <v>0</v>
      </c>
      <c r="M94" s="941">
        <f t="shared" ca="1" si="20"/>
        <v>0</v>
      </c>
      <c r="N94" s="941">
        <f t="shared" ca="1" si="20"/>
        <v>0</v>
      </c>
      <c r="O94" s="941">
        <f t="shared" ca="1" si="20"/>
        <v>0</v>
      </c>
      <c r="P94" s="942">
        <f t="shared" ca="1" si="21"/>
        <v>0</v>
      </c>
      <c r="Q94" s="942">
        <f t="shared" ca="1" si="22"/>
        <v>0</v>
      </c>
      <c r="R94" s="942">
        <f t="shared" ca="1" si="23"/>
        <v>0</v>
      </c>
      <c r="S94" s="942">
        <f t="shared" ca="1" si="24"/>
        <v>0</v>
      </c>
      <c r="T94" s="941">
        <f t="shared" ca="1" si="25"/>
        <v>0</v>
      </c>
      <c r="U94" s="941">
        <f t="shared" ca="1" si="26"/>
        <v>0</v>
      </c>
      <c r="V94" s="941">
        <f t="shared" ca="1" si="27"/>
        <v>0</v>
      </c>
      <c r="W94" s="941">
        <f t="shared" ca="1" si="28"/>
        <v>0</v>
      </c>
      <c r="X94" s="921"/>
      <c r="Y94" s="921"/>
      <c r="Z94" s="921"/>
      <c r="AA94" s="921"/>
      <c r="AB94" s="921"/>
      <c r="AC94" s="921"/>
      <c r="AD94" s="921"/>
      <c r="AE94" s="921"/>
      <c r="AF94" s="921"/>
      <c r="AG94" s="921"/>
      <c r="AH94" s="921"/>
      <c r="AI94" s="921"/>
      <c r="AJ94" s="921"/>
      <c r="AK94" s="921"/>
      <c r="AL94" s="921"/>
      <c r="AM94" s="921"/>
      <c r="AN94" s="921"/>
      <c r="AO94" s="921"/>
      <c r="AP94" s="921"/>
      <c r="AQ94" s="921"/>
      <c r="AR94" s="921"/>
      <c r="AS94" s="921"/>
      <c r="AT94" s="921"/>
      <c r="AU94" s="921"/>
      <c r="AV94" s="921"/>
      <c r="AW94" s="921"/>
      <c r="AX94" s="921"/>
      <c r="AY94" s="921"/>
      <c r="AZ94" s="921"/>
      <c r="BA94" s="921"/>
      <c r="BB94" s="921"/>
      <c r="BC94" s="921"/>
      <c r="BD94" s="921"/>
      <c r="BE94" s="921"/>
      <c r="BF94" s="921"/>
      <c r="BG94" s="921"/>
      <c r="BH94" s="921"/>
      <c r="BI94" s="921"/>
      <c r="BJ94" s="921"/>
      <c r="BK94" s="921"/>
      <c r="BL94" s="921"/>
      <c r="BM94" s="921"/>
      <c r="BN94" s="921"/>
      <c r="BO94" s="921"/>
      <c r="BP94" s="802"/>
    </row>
    <row r="95" spans="1:68" ht="21">
      <c r="A95" s="747">
        <v>155</v>
      </c>
      <c r="B95" s="1634"/>
      <c r="C95" s="1637"/>
      <c r="D95" s="1639" t="s">
        <v>468</v>
      </c>
      <c r="E95" s="944" t="s">
        <v>435</v>
      </c>
      <c r="F95" s="945" t="s">
        <v>815</v>
      </c>
      <c r="G95" s="939" t="s">
        <v>1282</v>
      </c>
      <c r="H95" s="940"/>
      <c r="I95" s="940"/>
      <c r="J95" s="940"/>
      <c r="K95" s="940"/>
      <c r="L95" s="941">
        <f t="shared" ca="1" si="20"/>
        <v>0</v>
      </c>
      <c r="M95" s="941">
        <f t="shared" ca="1" si="20"/>
        <v>0</v>
      </c>
      <c r="N95" s="941">
        <f t="shared" ca="1" si="20"/>
        <v>0</v>
      </c>
      <c r="O95" s="941">
        <f t="shared" ca="1" si="20"/>
        <v>0</v>
      </c>
      <c r="P95" s="942">
        <f t="shared" ca="1" si="21"/>
        <v>0</v>
      </c>
      <c r="Q95" s="942">
        <f t="shared" ca="1" si="22"/>
        <v>0</v>
      </c>
      <c r="R95" s="942">
        <f t="shared" ca="1" si="23"/>
        <v>0</v>
      </c>
      <c r="S95" s="942">
        <f t="shared" ca="1" si="24"/>
        <v>0</v>
      </c>
      <c r="T95" s="941">
        <f t="shared" ca="1" si="25"/>
        <v>0</v>
      </c>
      <c r="U95" s="941">
        <f t="shared" ca="1" si="26"/>
        <v>0</v>
      </c>
      <c r="V95" s="941">
        <f t="shared" ca="1" si="27"/>
        <v>0</v>
      </c>
      <c r="W95" s="941">
        <f t="shared" ca="1" si="28"/>
        <v>0</v>
      </c>
      <c r="X95" s="921"/>
      <c r="Y95" s="921"/>
      <c r="Z95" s="921"/>
      <c r="AA95" s="921"/>
      <c r="AB95" s="921"/>
      <c r="AC95" s="921"/>
      <c r="AD95" s="921"/>
      <c r="AE95" s="921"/>
      <c r="AF95" s="921"/>
      <c r="AG95" s="921"/>
      <c r="AH95" s="921"/>
      <c r="AI95" s="921"/>
      <c r="AJ95" s="921"/>
      <c r="AK95" s="921"/>
      <c r="AL95" s="921"/>
      <c r="AM95" s="921"/>
      <c r="AN95" s="921"/>
      <c r="AO95" s="921"/>
      <c r="AP95" s="921"/>
      <c r="AQ95" s="921"/>
      <c r="AR95" s="921"/>
      <c r="AS95" s="921"/>
      <c r="AT95" s="921"/>
      <c r="AU95" s="921"/>
      <c r="AV95" s="921"/>
      <c r="AW95" s="921"/>
      <c r="AX95" s="921"/>
      <c r="AY95" s="921"/>
      <c r="AZ95" s="921"/>
      <c r="BA95" s="921"/>
      <c r="BB95" s="921"/>
      <c r="BC95" s="921"/>
      <c r="BD95" s="921"/>
      <c r="BE95" s="921"/>
      <c r="BF95" s="921"/>
      <c r="BG95" s="921"/>
      <c r="BH95" s="921"/>
      <c r="BI95" s="921"/>
      <c r="BJ95" s="921"/>
      <c r="BK95" s="921"/>
      <c r="BL95" s="921"/>
      <c r="BM95" s="921"/>
      <c r="BN95" s="921"/>
      <c r="BO95" s="921"/>
      <c r="BP95" s="802"/>
    </row>
    <row r="96" spans="1:68">
      <c r="A96" s="747">
        <v>156</v>
      </c>
      <c r="B96" s="1634"/>
      <c r="C96" s="1637"/>
      <c r="D96" s="1640"/>
      <c r="E96" s="946"/>
      <c r="F96" s="947"/>
      <c r="G96" s="939" t="s">
        <v>922</v>
      </c>
      <c r="H96" s="940"/>
      <c r="I96" s="940"/>
      <c r="J96" s="940"/>
      <c r="K96" s="940"/>
      <c r="L96" s="941">
        <f t="shared" ca="1" si="20"/>
        <v>0</v>
      </c>
      <c r="M96" s="941">
        <f t="shared" ca="1" si="20"/>
        <v>0</v>
      </c>
      <c r="N96" s="941">
        <f t="shared" ca="1" si="20"/>
        <v>0</v>
      </c>
      <c r="O96" s="941">
        <f t="shared" ca="1" si="20"/>
        <v>0</v>
      </c>
      <c r="P96" s="942">
        <f t="shared" ca="1" si="21"/>
        <v>0</v>
      </c>
      <c r="Q96" s="942">
        <f t="shared" ca="1" si="22"/>
        <v>0</v>
      </c>
      <c r="R96" s="942">
        <f t="shared" ca="1" si="23"/>
        <v>0</v>
      </c>
      <c r="S96" s="942">
        <f t="shared" ca="1" si="24"/>
        <v>0</v>
      </c>
      <c r="T96" s="941">
        <f t="shared" ca="1" si="25"/>
        <v>0</v>
      </c>
      <c r="U96" s="941">
        <f t="shared" ca="1" si="26"/>
        <v>0</v>
      </c>
      <c r="V96" s="941">
        <f t="shared" ca="1" si="27"/>
        <v>0</v>
      </c>
      <c r="W96" s="941">
        <f t="shared" ca="1" si="28"/>
        <v>0</v>
      </c>
      <c r="X96" s="921"/>
      <c r="Y96" s="921"/>
      <c r="Z96" s="921"/>
      <c r="AA96" s="921"/>
      <c r="AB96" s="921"/>
      <c r="AC96" s="921"/>
      <c r="AD96" s="921"/>
      <c r="AE96" s="921"/>
      <c r="AF96" s="921"/>
      <c r="AG96" s="921"/>
      <c r="AH96" s="921"/>
      <c r="AI96" s="921"/>
      <c r="AJ96" s="921"/>
      <c r="AK96" s="921"/>
      <c r="AL96" s="921"/>
      <c r="AM96" s="921"/>
      <c r="AN96" s="921"/>
      <c r="AO96" s="921"/>
      <c r="AP96" s="921"/>
      <c r="AQ96" s="921"/>
      <c r="AR96" s="921"/>
      <c r="AS96" s="921"/>
      <c r="AT96" s="921"/>
      <c r="AU96" s="921"/>
      <c r="AV96" s="921"/>
      <c r="AW96" s="921"/>
      <c r="AX96" s="921"/>
      <c r="AY96" s="921"/>
      <c r="AZ96" s="921"/>
      <c r="BA96" s="921"/>
      <c r="BB96" s="921"/>
      <c r="BC96" s="921"/>
      <c r="BD96" s="921"/>
      <c r="BE96" s="921"/>
      <c r="BF96" s="921"/>
      <c r="BG96" s="921"/>
      <c r="BH96" s="921"/>
      <c r="BI96" s="921"/>
      <c r="BJ96" s="921"/>
      <c r="BK96" s="921"/>
      <c r="BL96" s="921"/>
      <c r="BM96" s="921"/>
      <c r="BN96" s="921"/>
      <c r="BO96" s="921"/>
      <c r="BP96" s="802"/>
    </row>
    <row r="97" spans="1:68" ht="21" customHeight="1">
      <c r="A97" s="747">
        <v>157</v>
      </c>
      <c r="B97" s="1634"/>
      <c r="C97" s="1637"/>
      <c r="D97" s="1640"/>
      <c r="E97" s="948" t="s">
        <v>437</v>
      </c>
      <c r="F97" s="949" t="s">
        <v>818</v>
      </c>
      <c r="G97" s="852" t="s">
        <v>1281</v>
      </c>
      <c r="H97" s="921"/>
      <c r="I97" s="921"/>
      <c r="J97" s="921"/>
      <c r="K97" s="921"/>
      <c r="L97" s="941">
        <f t="shared" ca="1" si="20"/>
        <v>0</v>
      </c>
      <c r="M97" s="941">
        <f t="shared" ca="1" si="20"/>
        <v>0</v>
      </c>
      <c r="N97" s="941">
        <f t="shared" ca="1" si="20"/>
        <v>0</v>
      </c>
      <c r="O97" s="941">
        <f t="shared" ca="1" si="20"/>
        <v>0</v>
      </c>
      <c r="P97" s="942">
        <f t="shared" ca="1" si="21"/>
        <v>0</v>
      </c>
      <c r="Q97" s="942">
        <f t="shared" ca="1" si="22"/>
        <v>0</v>
      </c>
      <c r="R97" s="942">
        <f t="shared" ca="1" si="23"/>
        <v>0</v>
      </c>
      <c r="S97" s="942">
        <f t="shared" ca="1" si="24"/>
        <v>0</v>
      </c>
      <c r="T97" s="941">
        <f t="shared" ca="1" si="25"/>
        <v>0</v>
      </c>
      <c r="U97" s="941">
        <f t="shared" ca="1" si="26"/>
        <v>0</v>
      </c>
      <c r="V97" s="941">
        <f t="shared" ca="1" si="27"/>
        <v>0</v>
      </c>
      <c r="W97" s="941">
        <f t="shared" ca="1" si="28"/>
        <v>0</v>
      </c>
      <c r="X97" s="921"/>
      <c r="Y97" s="921"/>
      <c r="Z97" s="921"/>
      <c r="AA97" s="921"/>
      <c r="AB97" s="921"/>
      <c r="AC97" s="921"/>
      <c r="AD97" s="921"/>
      <c r="AE97" s="921"/>
      <c r="AF97" s="921"/>
      <c r="AG97" s="921"/>
      <c r="AH97" s="921"/>
      <c r="AI97" s="921"/>
      <c r="AJ97" s="921"/>
      <c r="AK97" s="921"/>
      <c r="AL97" s="921"/>
      <c r="AM97" s="921"/>
      <c r="AN97" s="921"/>
      <c r="AO97" s="921"/>
      <c r="AP97" s="921"/>
      <c r="AQ97" s="921"/>
      <c r="AR97" s="921"/>
      <c r="AS97" s="921"/>
      <c r="AT97" s="921"/>
      <c r="AU97" s="921"/>
      <c r="AV97" s="921"/>
      <c r="AW97" s="921"/>
      <c r="AX97" s="921"/>
      <c r="AY97" s="921"/>
      <c r="AZ97" s="921"/>
      <c r="BA97" s="921"/>
      <c r="BB97" s="921"/>
      <c r="BC97" s="921"/>
      <c r="BD97" s="921"/>
      <c r="BE97" s="921"/>
      <c r="BF97" s="921"/>
      <c r="BG97" s="921"/>
      <c r="BH97" s="921"/>
      <c r="BI97" s="921"/>
      <c r="BJ97" s="921"/>
      <c r="BK97" s="921"/>
      <c r="BL97" s="921"/>
      <c r="BM97" s="921"/>
      <c r="BN97" s="921"/>
      <c r="BO97" s="921"/>
      <c r="BP97" s="802"/>
    </row>
    <row r="98" spans="1:68" ht="21" customHeight="1">
      <c r="A98" s="747">
        <v>158</v>
      </c>
      <c r="B98" s="1634"/>
      <c r="C98" s="1637"/>
      <c r="D98" s="1640"/>
      <c r="E98" s="950"/>
      <c r="F98" s="825"/>
      <c r="G98" s="852" t="s">
        <v>807</v>
      </c>
      <c r="H98" s="921"/>
      <c r="I98" s="921"/>
      <c r="J98" s="921"/>
      <c r="K98" s="921"/>
      <c r="L98" s="941">
        <f t="shared" ca="1" si="20"/>
        <v>0</v>
      </c>
      <c r="M98" s="941">
        <f t="shared" ca="1" si="20"/>
        <v>0</v>
      </c>
      <c r="N98" s="941">
        <f t="shared" ca="1" si="20"/>
        <v>0</v>
      </c>
      <c r="O98" s="941">
        <f t="shared" ca="1" si="20"/>
        <v>0</v>
      </c>
      <c r="P98" s="942">
        <f t="shared" ca="1" si="21"/>
        <v>0</v>
      </c>
      <c r="Q98" s="942">
        <f t="shared" ca="1" si="22"/>
        <v>0</v>
      </c>
      <c r="R98" s="942">
        <f t="shared" ca="1" si="23"/>
        <v>0</v>
      </c>
      <c r="S98" s="942">
        <f t="shared" ca="1" si="24"/>
        <v>0</v>
      </c>
      <c r="T98" s="941">
        <f t="shared" ca="1" si="25"/>
        <v>0</v>
      </c>
      <c r="U98" s="941">
        <f t="shared" ca="1" si="26"/>
        <v>0</v>
      </c>
      <c r="V98" s="941">
        <f t="shared" ca="1" si="27"/>
        <v>0</v>
      </c>
      <c r="W98" s="941">
        <f t="shared" ca="1" si="28"/>
        <v>0</v>
      </c>
      <c r="X98" s="921"/>
      <c r="Y98" s="921"/>
      <c r="Z98" s="921"/>
      <c r="AA98" s="921"/>
      <c r="AB98" s="921"/>
      <c r="AC98" s="921"/>
      <c r="AD98" s="921"/>
      <c r="AE98" s="921"/>
      <c r="AF98" s="921"/>
      <c r="AG98" s="921"/>
      <c r="AH98" s="921"/>
      <c r="AI98" s="921"/>
      <c r="AJ98" s="921"/>
      <c r="AK98" s="921"/>
      <c r="AL98" s="921"/>
      <c r="AM98" s="921"/>
      <c r="AN98" s="921"/>
      <c r="AO98" s="921"/>
      <c r="AP98" s="921"/>
      <c r="AQ98" s="921"/>
      <c r="AR98" s="921"/>
      <c r="AS98" s="921"/>
      <c r="AT98" s="921"/>
      <c r="AU98" s="921"/>
      <c r="AV98" s="921"/>
      <c r="AW98" s="921"/>
      <c r="AX98" s="921"/>
      <c r="AY98" s="921"/>
      <c r="AZ98" s="921"/>
      <c r="BA98" s="921"/>
      <c r="BB98" s="921"/>
      <c r="BC98" s="921"/>
      <c r="BD98" s="921"/>
      <c r="BE98" s="921"/>
      <c r="BF98" s="921"/>
      <c r="BG98" s="921"/>
      <c r="BH98" s="921"/>
      <c r="BI98" s="921"/>
      <c r="BJ98" s="921"/>
      <c r="BK98" s="921"/>
      <c r="BL98" s="921"/>
      <c r="BM98" s="921"/>
      <c r="BN98" s="921"/>
      <c r="BO98" s="921"/>
      <c r="BP98" s="802"/>
    </row>
    <row r="99" spans="1:68" ht="21">
      <c r="A99" s="747">
        <v>159</v>
      </c>
      <c r="B99" s="1634"/>
      <c r="C99" s="1637"/>
      <c r="D99" s="1641"/>
      <c r="E99" s="951" t="s">
        <v>438</v>
      </c>
      <c r="F99" s="810" t="s">
        <v>822</v>
      </c>
      <c r="G99" s="852" t="s">
        <v>1281</v>
      </c>
      <c r="H99" s="921"/>
      <c r="I99" s="921"/>
      <c r="J99" s="921"/>
      <c r="K99" s="921"/>
      <c r="L99" s="952">
        <f t="shared" ca="1" si="20"/>
        <v>0</v>
      </c>
      <c r="M99" s="952">
        <f t="shared" ca="1" si="20"/>
        <v>0</v>
      </c>
      <c r="N99" s="952">
        <f t="shared" ca="1" si="20"/>
        <v>0</v>
      </c>
      <c r="O99" s="952">
        <f t="shared" ca="1" si="20"/>
        <v>0</v>
      </c>
      <c r="P99" s="942">
        <f t="shared" ca="1" si="21"/>
        <v>0</v>
      </c>
      <c r="Q99" s="942">
        <f t="shared" ca="1" si="22"/>
        <v>0</v>
      </c>
      <c r="R99" s="942">
        <f t="shared" ca="1" si="23"/>
        <v>0</v>
      </c>
      <c r="S99" s="942">
        <f t="shared" ca="1" si="24"/>
        <v>0</v>
      </c>
      <c r="T99" s="952">
        <f t="shared" ca="1" si="25"/>
        <v>0</v>
      </c>
      <c r="U99" s="952">
        <f t="shared" ca="1" si="26"/>
        <v>0</v>
      </c>
      <c r="V99" s="952">
        <f t="shared" ca="1" si="27"/>
        <v>0</v>
      </c>
      <c r="W99" s="952">
        <f t="shared" ca="1" si="28"/>
        <v>0</v>
      </c>
      <c r="X99" s="921"/>
      <c r="Y99" s="921"/>
      <c r="Z99" s="921"/>
      <c r="AA99" s="921"/>
      <c r="AB99" s="921"/>
      <c r="AC99" s="921"/>
      <c r="AD99" s="921"/>
      <c r="AE99" s="921"/>
      <c r="AF99" s="921"/>
      <c r="AG99" s="921"/>
      <c r="AH99" s="921"/>
      <c r="AI99" s="921"/>
      <c r="AJ99" s="921"/>
      <c r="AK99" s="921"/>
      <c r="AL99" s="921"/>
      <c r="AM99" s="921"/>
      <c r="AN99" s="921"/>
      <c r="AO99" s="921"/>
      <c r="AP99" s="921"/>
      <c r="AQ99" s="921"/>
      <c r="AR99" s="921"/>
      <c r="AS99" s="921"/>
      <c r="AT99" s="921"/>
      <c r="AU99" s="921"/>
      <c r="AV99" s="921"/>
      <c r="AW99" s="921"/>
      <c r="AX99" s="921"/>
      <c r="AY99" s="921"/>
      <c r="AZ99" s="921"/>
      <c r="BA99" s="921"/>
      <c r="BB99" s="921"/>
      <c r="BC99" s="921"/>
      <c r="BD99" s="921"/>
      <c r="BE99" s="921"/>
      <c r="BF99" s="921"/>
      <c r="BG99" s="921"/>
      <c r="BH99" s="921"/>
      <c r="BI99" s="921"/>
      <c r="BJ99" s="921"/>
      <c r="BK99" s="921"/>
      <c r="BL99" s="921"/>
      <c r="BM99" s="921"/>
      <c r="BN99" s="921"/>
      <c r="BO99" s="921"/>
      <c r="BP99" s="802"/>
    </row>
    <row r="100" spans="1:68" ht="21">
      <c r="A100" s="747">
        <v>160</v>
      </c>
      <c r="B100" s="1634"/>
      <c r="C100" s="1637"/>
      <c r="D100" s="1642" t="s">
        <v>470</v>
      </c>
      <c r="E100" s="953" t="s">
        <v>923</v>
      </c>
      <c r="F100" s="949" t="s">
        <v>826</v>
      </c>
      <c r="G100" s="852" t="s">
        <v>1281</v>
      </c>
      <c r="H100" s="921"/>
      <c r="I100" s="921"/>
      <c r="J100" s="921"/>
      <c r="K100" s="921"/>
      <c r="L100" s="952">
        <f t="shared" ca="1" si="20"/>
        <v>0</v>
      </c>
      <c r="M100" s="952">
        <f t="shared" ca="1" si="20"/>
        <v>0</v>
      </c>
      <c r="N100" s="952">
        <f t="shared" ca="1" si="20"/>
        <v>0</v>
      </c>
      <c r="O100" s="952">
        <f t="shared" ca="1" si="20"/>
        <v>0</v>
      </c>
      <c r="P100" s="942">
        <f t="shared" ca="1" si="21"/>
        <v>0</v>
      </c>
      <c r="Q100" s="942">
        <f t="shared" ca="1" si="22"/>
        <v>0</v>
      </c>
      <c r="R100" s="942">
        <f t="shared" ca="1" si="23"/>
        <v>0</v>
      </c>
      <c r="S100" s="942">
        <f t="shared" ca="1" si="24"/>
        <v>0</v>
      </c>
      <c r="T100" s="952">
        <f t="shared" ca="1" si="25"/>
        <v>0</v>
      </c>
      <c r="U100" s="952">
        <f t="shared" ca="1" si="26"/>
        <v>0</v>
      </c>
      <c r="V100" s="952">
        <f t="shared" ca="1" si="27"/>
        <v>0</v>
      </c>
      <c r="W100" s="952">
        <f t="shared" ca="1" si="28"/>
        <v>0</v>
      </c>
      <c r="X100" s="921"/>
      <c r="Y100" s="921"/>
      <c r="Z100" s="921"/>
      <c r="AA100" s="921"/>
      <c r="AB100" s="921"/>
      <c r="AC100" s="921"/>
      <c r="AD100" s="921"/>
      <c r="AE100" s="921"/>
      <c r="AF100" s="921"/>
      <c r="AG100" s="921"/>
      <c r="AH100" s="921"/>
      <c r="AI100" s="921"/>
      <c r="AJ100" s="921"/>
      <c r="AK100" s="921"/>
      <c r="AL100" s="921"/>
      <c r="AM100" s="921"/>
      <c r="AN100" s="921"/>
      <c r="AO100" s="921"/>
      <c r="AP100" s="921"/>
      <c r="AQ100" s="921"/>
      <c r="AR100" s="921"/>
      <c r="AS100" s="921"/>
      <c r="AT100" s="921"/>
      <c r="AU100" s="921"/>
      <c r="AV100" s="921"/>
      <c r="AW100" s="921"/>
      <c r="AX100" s="921"/>
      <c r="AY100" s="921"/>
      <c r="AZ100" s="921"/>
      <c r="BA100" s="921"/>
      <c r="BB100" s="921"/>
      <c r="BC100" s="921"/>
      <c r="BD100" s="921"/>
      <c r="BE100" s="921"/>
      <c r="BF100" s="921"/>
      <c r="BG100" s="921"/>
      <c r="BH100" s="921"/>
      <c r="BI100" s="921"/>
      <c r="BJ100" s="921"/>
      <c r="BK100" s="921"/>
      <c r="BL100" s="921"/>
      <c r="BM100" s="921"/>
      <c r="BN100" s="921"/>
      <c r="BO100" s="921"/>
      <c r="BP100" s="802"/>
    </row>
    <row r="101" spans="1:68">
      <c r="A101" s="747">
        <v>161</v>
      </c>
      <c r="B101" s="1634"/>
      <c r="C101" s="1637"/>
      <c r="D101" s="1643"/>
      <c r="E101" s="954"/>
      <c r="F101" s="825"/>
      <c r="G101" s="939" t="s">
        <v>922</v>
      </c>
      <c r="H101" s="921"/>
      <c r="I101" s="921"/>
      <c r="J101" s="921"/>
      <c r="K101" s="921"/>
      <c r="L101" s="952">
        <f t="shared" ca="1" si="20"/>
        <v>0</v>
      </c>
      <c r="M101" s="952">
        <f t="shared" ca="1" si="20"/>
        <v>0</v>
      </c>
      <c r="N101" s="952">
        <f t="shared" ca="1" si="20"/>
        <v>0</v>
      </c>
      <c r="O101" s="952">
        <f t="shared" ca="1" si="20"/>
        <v>0</v>
      </c>
      <c r="P101" s="942">
        <f t="shared" ca="1" si="21"/>
        <v>0</v>
      </c>
      <c r="Q101" s="942">
        <f t="shared" ca="1" si="22"/>
        <v>0</v>
      </c>
      <c r="R101" s="942">
        <f t="shared" ca="1" si="23"/>
        <v>0</v>
      </c>
      <c r="S101" s="942">
        <f t="shared" ca="1" si="24"/>
        <v>0</v>
      </c>
      <c r="T101" s="952">
        <f t="shared" ca="1" si="25"/>
        <v>0</v>
      </c>
      <c r="U101" s="952">
        <f t="shared" ca="1" si="26"/>
        <v>0</v>
      </c>
      <c r="V101" s="952">
        <f t="shared" ca="1" si="27"/>
        <v>0</v>
      </c>
      <c r="W101" s="952">
        <f t="shared" ca="1" si="28"/>
        <v>0</v>
      </c>
      <c r="X101" s="921"/>
      <c r="Y101" s="921"/>
      <c r="Z101" s="921"/>
      <c r="AA101" s="921"/>
      <c r="AB101" s="921"/>
      <c r="AC101" s="921"/>
      <c r="AD101" s="921"/>
      <c r="AE101" s="921"/>
      <c r="AF101" s="921"/>
      <c r="AG101" s="921"/>
      <c r="AH101" s="921"/>
      <c r="AI101" s="921"/>
      <c r="AJ101" s="921"/>
      <c r="AK101" s="921"/>
      <c r="AL101" s="921"/>
      <c r="AM101" s="921"/>
      <c r="AN101" s="921"/>
      <c r="AO101" s="921"/>
      <c r="AP101" s="921"/>
      <c r="AQ101" s="921"/>
      <c r="AR101" s="921"/>
      <c r="AS101" s="921"/>
      <c r="AT101" s="921"/>
      <c r="AU101" s="921"/>
      <c r="AV101" s="921"/>
      <c r="AW101" s="921"/>
      <c r="AX101" s="921"/>
      <c r="AY101" s="921"/>
      <c r="AZ101" s="921"/>
      <c r="BA101" s="921"/>
      <c r="BB101" s="921"/>
      <c r="BC101" s="921"/>
      <c r="BD101" s="921"/>
      <c r="BE101" s="921"/>
      <c r="BF101" s="921"/>
      <c r="BG101" s="921"/>
      <c r="BH101" s="921"/>
      <c r="BI101" s="921"/>
      <c r="BJ101" s="921"/>
      <c r="BK101" s="921"/>
      <c r="BL101" s="921"/>
      <c r="BM101" s="921"/>
      <c r="BN101" s="921"/>
      <c r="BO101" s="921"/>
      <c r="BP101" s="802"/>
    </row>
    <row r="102" spans="1:68" ht="21" customHeight="1">
      <c r="A102" s="747">
        <v>162</v>
      </c>
      <c r="B102" s="1634"/>
      <c r="C102" s="1637"/>
      <c r="D102" s="1643"/>
      <c r="E102" s="955" t="s">
        <v>924</v>
      </c>
      <c r="F102" s="949" t="s">
        <v>828</v>
      </c>
      <c r="G102" s="852" t="s">
        <v>1281</v>
      </c>
      <c r="H102" s="921"/>
      <c r="I102" s="921"/>
      <c r="J102" s="921"/>
      <c r="K102" s="921"/>
      <c r="L102" s="952">
        <f t="shared" ca="1" si="20"/>
        <v>0</v>
      </c>
      <c r="M102" s="952">
        <f t="shared" ca="1" si="20"/>
        <v>0</v>
      </c>
      <c r="N102" s="952">
        <f t="shared" ca="1" si="20"/>
        <v>0</v>
      </c>
      <c r="O102" s="952">
        <f t="shared" ca="1" si="20"/>
        <v>0</v>
      </c>
      <c r="P102" s="942">
        <f t="shared" ca="1" si="21"/>
        <v>0</v>
      </c>
      <c r="Q102" s="942">
        <f t="shared" ca="1" si="22"/>
        <v>0</v>
      </c>
      <c r="R102" s="942">
        <f t="shared" ca="1" si="23"/>
        <v>0</v>
      </c>
      <c r="S102" s="942">
        <f t="shared" ca="1" si="24"/>
        <v>0</v>
      </c>
      <c r="T102" s="952">
        <f t="shared" ca="1" si="25"/>
        <v>0</v>
      </c>
      <c r="U102" s="952">
        <f t="shared" ca="1" si="26"/>
        <v>0</v>
      </c>
      <c r="V102" s="952">
        <f t="shared" ca="1" si="27"/>
        <v>0</v>
      </c>
      <c r="W102" s="952">
        <f t="shared" ca="1" si="28"/>
        <v>0</v>
      </c>
      <c r="X102" s="921"/>
      <c r="Y102" s="921"/>
      <c r="Z102" s="921"/>
      <c r="AA102" s="921"/>
      <c r="AB102" s="921"/>
      <c r="AC102" s="921"/>
      <c r="AD102" s="921"/>
      <c r="AE102" s="921"/>
      <c r="AF102" s="921"/>
      <c r="AG102" s="921"/>
      <c r="AH102" s="921"/>
      <c r="AI102" s="921"/>
      <c r="AJ102" s="921"/>
      <c r="AK102" s="921"/>
      <c r="AL102" s="921"/>
      <c r="AM102" s="921"/>
      <c r="AN102" s="921"/>
      <c r="AO102" s="921"/>
      <c r="AP102" s="921"/>
      <c r="AQ102" s="921"/>
      <c r="AR102" s="921"/>
      <c r="AS102" s="921"/>
      <c r="AT102" s="921"/>
      <c r="AU102" s="921"/>
      <c r="AV102" s="921"/>
      <c r="AW102" s="921"/>
      <c r="AX102" s="921"/>
      <c r="AY102" s="921"/>
      <c r="AZ102" s="921"/>
      <c r="BA102" s="921"/>
      <c r="BB102" s="921"/>
      <c r="BC102" s="921"/>
      <c r="BD102" s="921"/>
      <c r="BE102" s="921"/>
      <c r="BF102" s="921"/>
      <c r="BG102" s="921"/>
      <c r="BH102" s="921"/>
      <c r="BI102" s="921"/>
      <c r="BJ102" s="921"/>
      <c r="BK102" s="921"/>
      <c r="BL102" s="921"/>
      <c r="BM102" s="921"/>
      <c r="BN102" s="921"/>
      <c r="BO102" s="921"/>
      <c r="BP102" s="802"/>
    </row>
    <row r="103" spans="1:68">
      <c r="A103" s="747">
        <v>163</v>
      </c>
      <c r="B103" s="1634"/>
      <c r="C103" s="1637"/>
      <c r="D103" s="1644"/>
      <c r="E103" s="956"/>
      <c r="F103" s="825"/>
      <c r="G103" s="852" t="s">
        <v>807</v>
      </c>
      <c r="H103" s="921"/>
      <c r="I103" s="921"/>
      <c r="J103" s="921"/>
      <c r="K103" s="921"/>
      <c r="L103" s="952">
        <f t="shared" ca="1" si="20"/>
        <v>0</v>
      </c>
      <c r="M103" s="952">
        <f t="shared" ca="1" si="20"/>
        <v>0</v>
      </c>
      <c r="N103" s="952">
        <f t="shared" ca="1" si="20"/>
        <v>0</v>
      </c>
      <c r="O103" s="952">
        <f t="shared" ca="1" si="20"/>
        <v>0</v>
      </c>
      <c r="P103" s="942">
        <f t="shared" ca="1" si="21"/>
        <v>0</v>
      </c>
      <c r="Q103" s="942">
        <f t="shared" ca="1" si="22"/>
        <v>0</v>
      </c>
      <c r="R103" s="942">
        <f t="shared" ca="1" si="23"/>
        <v>0</v>
      </c>
      <c r="S103" s="942">
        <f t="shared" ca="1" si="24"/>
        <v>0</v>
      </c>
      <c r="T103" s="952">
        <f t="shared" ca="1" si="25"/>
        <v>0</v>
      </c>
      <c r="U103" s="952">
        <f t="shared" ca="1" si="26"/>
        <v>0</v>
      </c>
      <c r="V103" s="952">
        <f t="shared" ca="1" si="27"/>
        <v>0</v>
      </c>
      <c r="W103" s="952">
        <f t="shared" ca="1" si="28"/>
        <v>0</v>
      </c>
      <c r="X103" s="921"/>
      <c r="Y103" s="921"/>
      <c r="Z103" s="921"/>
      <c r="AA103" s="921"/>
      <c r="AB103" s="921"/>
      <c r="AC103" s="921"/>
      <c r="AD103" s="921"/>
      <c r="AE103" s="921"/>
      <c r="AF103" s="921"/>
      <c r="AG103" s="921"/>
      <c r="AH103" s="921"/>
      <c r="AI103" s="921"/>
      <c r="AJ103" s="921"/>
      <c r="AK103" s="921"/>
      <c r="AL103" s="921"/>
      <c r="AM103" s="921"/>
      <c r="AN103" s="921"/>
      <c r="AO103" s="921"/>
      <c r="AP103" s="921"/>
      <c r="AQ103" s="921"/>
      <c r="AR103" s="921"/>
      <c r="AS103" s="921"/>
      <c r="AT103" s="921"/>
      <c r="AU103" s="921"/>
      <c r="AV103" s="921"/>
      <c r="AW103" s="921"/>
      <c r="AX103" s="921"/>
      <c r="AY103" s="921"/>
      <c r="AZ103" s="921"/>
      <c r="BA103" s="921"/>
      <c r="BB103" s="921"/>
      <c r="BC103" s="921"/>
      <c r="BD103" s="921"/>
      <c r="BE103" s="921"/>
      <c r="BF103" s="921"/>
      <c r="BG103" s="921"/>
      <c r="BH103" s="921"/>
      <c r="BI103" s="921"/>
      <c r="BJ103" s="921"/>
      <c r="BK103" s="921"/>
      <c r="BL103" s="921"/>
      <c r="BM103" s="921"/>
      <c r="BN103" s="921"/>
      <c r="BO103" s="921"/>
      <c r="BP103" s="802"/>
    </row>
    <row r="104" spans="1:68" ht="19.5" customHeight="1">
      <c r="A104" s="747">
        <v>164</v>
      </c>
      <c r="B104" s="1634"/>
      <c r="C104" s="1638"/>
      <c r="D104" s="957" t="s">
        <v>342</v>
      </c>
      <c r="E104" s="958" t="str">
        <f ca="1">OFFSET(A1_その他欄集計,20,14)</f>
        <v/>
      </c>
      <c r="F104" s="810" t="s">
        <v>834</v>
      </c>
      <c r="G104" s="852" t="s">
        <v>1281</v>
      </c>
      <c r="H104" s="921"/>
      <c r="I104" s="921"/>
      <c r="J104" s="921"/>
      <c r="K104" s="921"/>
      <c r="L104" s="952">
        <f t="shared" ca="1" si="20"/>
        <v>0</v>
      </c>
      <c r="M104" s="952">
        <f t="shared" ca="1" si="20"/>
        <v>0</v>
      </c>
      <c r="N104" s="952">
        <f t="shared" ca="1" si="20"/>
        <v>0</v>
      </c>
      <c r="O104" s="952">
        <f t="shared" ca="1" si="20"/>
        <v>0</v>
      </c>
      <c r="P104" s="942">
        <f t="shared" ca="1" si="21"/>
        <v>0</v>
      </c>
      <c r="Q104" s="942">
        <f t="shared" ca="1" si="22"/>
        <v>0</v>
      </c>
      <c r="R104" s="942">
        <f t="shared" ca="1" si="23"/>
        <v>0</v>
      </c>
      <c r="S104" s="942">
        <f t="shared" ca="1" si="24"/>
        <v>0</v>
      </c>
      <c r="T104" s="952">
        <f t="shared" ca="1" si="25"/>
        <v>0</v>
      </c>
      <c r="U104" s="952">
        <f t="shared" ca="1" si="26"/>
        <v>0</v>
      </c>
      <c r="V104" s="952">
        <f t="shared" ca="1" si="27"/>
        <v>0</v>
      </c>
      <c r="W104" s="952">
        <f t="shared" ca="1" si="28"/>
        <v>0</v>
      </c>
      <c r="X104" s="921"/>
      <c r="Y104" s="921"/>
      <c r="Z104" s="921"/>
      <c r="AA104" s="921"/>
      <c r="AB104" s="921"/>
      <c r="AC104" s="921"/>
      <c r="AD104" s="921"/>
      <c r="AE104" s="921"/>
      <c r="AF104" s="921"/>
      <c r="AG104" s="921"/>
      <c r="AH104" s="921"/>
      <c r="AI104" s="921"/>
      <c r="AJ104" s="921"/>
      <c r="AK104" s="921"/>
      <c r="AL104" s="921"/>
      <c r="AM104" s="921"/>
      <c r="AN104" s="921"/>
      <c r="AO104" s="921"/>
      <c r="AP104" s="921"/>
      <c r="AQ104" s="921"/>
      <c r="AR104" s="921"/>
      <c r="AS104" s="921"/>
      <c r="AT104" s="921"/>
      <c r="AU104" s="921"/>
      <c r="AV104" s="921"/>
      <c r="AW104" s="921"/>
      <c r="AX104" s="921"/>
      <c r="AY104" s="921"/>
      <c r="AZ104" s="921"/>
      <c r="BA104" s="921"/>
      <c r="BB104" s="921"/>
      <c r="BC104" s="921"/>
      <c r="BD104" s="921"/>
      <c r="BE104" s="921"/>
      <c r="BF104" s="921"/>
      <c r="BG104" s="921"/>
      <c r="BH104" s="921"/>
      <c r="BI104" s="921"/>
      <c r="BJ104" s="921"/>
      <c r="BK104" s="921"/>
      <c r="BL104" s="921"/>
      <c r="BM104" s="921"/>
      <c r="BN104" s="921"/>
      <c r="BO104" s="921"/>
      <c r="BP104" s="802"/>
    </row>
    <row r="105" spans="1:68" ht="21">
      <c r="A105" s="747">
        <v>165</v>
      </c>
      <c r="B105" s="1634"/>
      <c r="C105" s="959" t="s">
        <v>471</v>
      </c>
      <c r="D105" s="960"/>
      <c r="E105" s="960"/>
      <c r="F105" s="810" t="s">
        <v>835</v>
      </c>
      <c r="G105" s="852" t="s">
        <v>1281</v>
      </c>
      <c r="H105" s="1650" t="s">
        <v>925</v>
      </c>
      <c r="I105" s="1651"/>
      <c r="J105" s="1651"/>
      <c r="K105" s="1652"/>
      <c r="L105" s="952">
        <f t="shared" ca="1" si="20"/>
        <v>0</v>
      </c>
      <c r="M105" s="952">
        <f t="shared" ca="1" si="20"/>
        <v>0</v>
      </c>
      <c r="N105" s="952">
        <f t="shared" ca="1" si="20"/>
        <v>0</v>
      </c>
      <c r="O105" s="952">
        <f t="shared" ca="1" si="20"/>
        <v>0</v>
      </c>
      <c r="P105" s="942">
        <f t="shared" ca="1" si="21"/>
        <v>0</v>
      </c>
      <c r="Q105" s="942">
        <f t="shared" ca="1" si="22"/>
        <v>0</v>
      </c>
      <c r="R105" s="942">
        <f t="shared" ca="1" si="23"/>
        <v>0</v>
      </c>
      <c r="S105" s="942">
        <f t="shared" ca="1" si="24"/>
        <v>0</v>
      </c>
      <c r="T105" s="952">
        <f t="shared" ca="1" si="25"/>
        <v>0</v>
      </c>
      <c r="U105" s="952">
        <f t="shared" ca="1" si="26"/>
        <v>0</v>
      </c>
      <c r="V105" s="952">
        <f t="shared" ca="1" si="27"/>
        <v>0</v>
      </c>
      <c r="W105" s="952">
        <f t="shared" ca="1" si="28"/>
        <v>0</v>
      </c>
      <c r="X105" s="921"/>
      <c r="Y105" s="921"/>
      <c r="Z105" s="921"/>
      <c r="AA105" s="921"/>
      <c r="AB105" s="921"/>
      <c r="AC105" s="921"/>
      <c r="AD105" s="921"/>
      <c r="AE105" s="921"/>
      <c r="AF105" s="921"/>
      <c r="AG105" s="921"/>
      <c r="AH105" s="921"/>
      <c r="AI105" s="921"/>
      <c r="AJ105" s="921"/>
      <c r="AK105" s="921"/>
      <c r="AL105" s="921"/>
      <c r="AM105" s="921"/>
      <c r="AN105" s="921"/>
      <c r="AO105" s="921"/>
      <c r="AP105" s="921"/>
      <c r="AQ105" s="921"/>
      <c r="AR105" s="921"/>
      <c r="AS105" s="921"/>
      <c r="AT105" s="921"/>
      <c r="AU105" s="921"/>
      <c r="AV105" s="921"/>
      <c r="AW105" s="921"/>
      <c r="AX105" s="921"/>
      <c r="AY105" s="921"/>
      <c r="AZ105" s="921"/>
      <c r="BA105" s="921"/>
      <c r="BB105" s="921"/>
      <c r="BC105" s="921"/>
      <c r="BD105" s="921"/>
      <c r="BE105" s="921"/>
      <c r="BF105" s="921"/>
      <c r="BG105" s="921"/>
      <c r="BH105" s="921"/>
      <c r="BI105" s="921"/>
      <c r="BJ105" s="921"/>
      <c r="BK105" s="921"/>
      <c r="BL105" s="921"/>
      <c r="BM105" s="921"/>
      <c r="BN105" s="921"/>
      <c r="BO105" s="921"/>
      <c r="BP105" s="802"/>
    </row>
    <row r="106" spans="1:68" ht="19.5" customHeight="1">
      <c r="A106" s="747">
        <v>166</v>
      </c>
      <c r="B106" s="1634"/>
      <c r="C106" s="1653" t="s">
        <v>472</v>
      </c>
      <c r="D106" s="1642" t="s">
        <v>439</v>
      </c>
      <c r="E106" s="936" t="s">
        <v>926</v>
      </c>
      <c r="F106" s="810"/>
      <c r="G106" s="852" t="s">
        <v>922</v>
      </c>
      <c r="H106" s="858">
        <f ca="1">OFFSET(貼付け_2024実績,$A106,14)</f>
        <v>0</v>
      </c>
      <c r="I106" s="858">
        <f ca="1">OFFSET(貼付け_2025実績,$A106,14)</f>
        <v>0</v>
      </c>
      <c r="J106" s="858">
        <f ca="1">OFFSET(貼付け_2026実績,$A106,14)</f>
        <v>0</v>
      </c>
      <c r="K106" s="858">
        <f ca="1">OFFSET(貼付け_2027実績,$A106,14)</f>
        <v>0</v>
      </c>
      <c r="L106" s="952">
        <f t="shared" ca="1" si="20"/>
        <v>0</v>
      </c>
      <c r="M106" s="952">
        <f t="shared" ca="1" si="20"/>
        <v>0</v>
      </c>
      <c r="N106" s="952">
        <f t="shared" ca="1" si="20"/>
        <v>0</v>
      </c>
      <c r="O106" s="952">
        <f t="shared" ca="1" si="20"/>
        <v>0</v>
      </c>
      <c r="P106" s="942">
        <f t="shared" ca="1" si="21"/>
        <v>0</v>
      </c>
      <c r="Q106" s="942">
        <f t="shared" ca="1" si="22"/>
        <v>0</v>
      </c>
      <c r="R106" s="942">
        <f t="shared" ca="1" si="23"/>
        <v>0</v>
      </c>
      <c r="S106" s="942">
        <f t="shared" ca="1" si="24"/>
        <v>0</v>
      </c>
      <c r="T106" s="952">
        <f t="shared" ca="1" si="25"/>
        <v>0</v>
      </c>
      <c r="U106" s="952">
        <f t="shared" ca="1" si="26"/>
        <v>0</v>
      </c>
      <c r="V106" s="952">
        <f t="shared" ca="1" si="27"/>
        <v>0</v>
      </c>
      <c r="W106" s="952">
        <f t="shared" ca="1" si="28"/>
        <v>0</v>
      </c>
      <c r="X106" s="921"/>
      <c r="Y106" s="921"/>
      <c r="Z106" s="921"/>
      <c r="AA106" s="921"/>
      <c r="AB106" s="921"/>
      <c r="AC106" s="921"/>
      <c r="AD106" s="921"/>
      <c r="AE106" s="921"/>
      <c r="AF106" s="921"/>
      <c r="AG106" s="921"/>
      <c r="AH106" s="921"/>
      <c r="AI106" s="921"/>
      <c r="AJ106" s="921"/>
      <c r="AK106" s="921"/>
      <c r="AL106" s="921"/>
      <c r="AM106" s="921"/>
      <c r="AN106" s="921"/>
      <c r="AO106" s="921"/>
      <c r="AP106" s="921"/>
      <c r="AQ106" s="921"/>
      <c r="AR106" s="921"/>
      <c r="AS106" s="921"/>
      <c r="AT106" s="921"/>
      <c r="AU106" s="921"/>
      <c r="AV106" s="921"/>
      <c r="AW106" s="921"/>
      <c r="AX106" s="921"/>
      <c r="AY106" s="921"/>
      <c r="AZ106" s="921"/>
      <c r="BA106" s="921"/>
      <c r="BB106" s="921"/>
      <c r="BC106" s="921"/>
      <c r="BD106" s="921"/>
      <c r="BE106" s="921"/>
      <c r="BF106" s="921"/>
      <c r="BG106" s="921"/>
      <c r="BH106" s="921"/>
      <c r="BI106" s="921"/>
      <c r="BJ106" s="921"/>
      <c r="BK106" s="921"/>
      <c r="BL106" s="921"/>
      <c r="BM106" s="921"/>
      <c r="BN106" s="921"/>
      <c r="BO106" s="921"/>
      <c r="BP106" s="802"/>
    </row>
    <row r="107" spans="1:68" ht="21">
      <c r="B107" s="1634"/>
      <c r="C107" s="1654"/>
      <c r="D107" s="1644"/>
      <c r="E107" s="936" t="s">
        <v>927</v>
      </c>
      <c r="F107" s="810"/>
      <c r="G107" s="852" t="s">
        <v>1281</v>
      </c>
      <c r="H107" s="1650" t="s">
        <v>928</v>
      </c>
      <c r="I107" s="1651"/>
      <c r="J107" s="1651"/>
      <c r="K107" s="1652"/>
      <c r="L107" s="916">
        <f ca="1">L106*$H$106*$H$108</f>
        <v>0</v>
      </c>
      <c r="M107" s="916">
        <f ca="1">M106*$I$106*$I$108</f>
        <v>0</v>
      </c>
      <c r="N107" s="916">
        <f ca="1">N106*$J$106*$J$108</f>
        <v>0</v>
      </c>
      <c r="O107" s="916">
        <f ca="1">O106*$K$106*$K$108</f>
        <v>0</v>
      </c>
      <c r="P107" s="916">
        <f ca="1">P106*$H$106*$H$108</f>
        <v>0</v>
      </c>
      <c r="Q107" s="916">
        <f ca="1">Q106*$I$106*$I$108</f>
        <v>0</v>
      </c>
      <c r="R107" s="916">
        <f ca="1">R106*$J$106*$J$108</f>
        <v>0</v>
      </c>
      <c r="S107" s="916">
        <f ca="1">S106*$K$106*$K$108</f>
        <v>0</v>
      </c>
      <c r="T107" s="916">
        <f ca="1">T106*$H$106*$H$108</f>
        <v>0</v>
      </c>
      <c r="U107" s="916">
        <f ca="1">U106*$I$106*$I$108</f>
        <v>0</v>
      </c>
      <c r="V107" s="916">
        <f ca="1">V106*$J$106*$J$108</f>
        <v>0</v>
      </c>
      <c r="W107" s="916">
        <f ca="1">W106*$K$106*$K$108</f>
        <v>0</v>
      </c>
      <c r="X107" s="921"/>
      <c r="Y107" s="921"/>
      <c r="Z107" s="921"/>
      <c r="AA107" s="921"/>
      <c r="AB107" s="921"/>
      <c r="AC107" s="921"/>
      <c r="AD107" s="921"/>
      <c r="AE107" s="921"/>
      <c r="AF107" s="921"/>
      <c r="AG107" s="921"/>
      <c r="AH107" s="921"/>
      <c r="AI107" s="921"/>
      <c r="AJ107" s="921"/>
      <c r="AK107" s="921"/>
      <c r="AL107" s="921"/>
      <c r="AM107" s="921"/>
      <c r="AN107" s="921"/>
      <c r="AO107" s="921"/>
      <c r="AP107" s="921"/>
      <c r="AQ107" s="921"/>
      <c r="AR107" s="921"/>
      <c r="AS107" s="921"/>
      <c r="AT107" s="921"/>
      <c r="AU107" s="921"/>
      <c r="AV107" s="921"/>
      <c r="AW107" s="921"/>
      <c r="AX107" s="921"/>
      <c r="AY107" s="921"/>
      <c r="AZ107" s="921"/>
      <c r="BA107" s="921"/>
      <c r="BB107" s="921"/>
      <c r="BC107" s="921"/>
      <c r="BD107" s="921"/>
      <c r="BE107" s="921"/>
      <c r="BF107" s="921"/>
      <c r="BG107" s="921"/>
      <c r="BH107" s="921"/>
      <c r="BI107" s="921"/>
      <c r="BJ107" s="921"/>
      <c r="BK107" s="921"/>
      <c r="BL107" s="921"/>
      <c r="BM107" s="921"/>
      <c r="BN107" s="921"/>
      <c r="BO107" s="921"/>
      <c r="BP107" s="802"/>
    </row>
    <row r="108" spans="1:68">
      <c r="A108" s="747">
        <v>167</v>
      </c>
      <c r="B108" s="1634"/>
      <c r="C108" s="1654"/>
      <c r="D108" s="1642" t="s">
        <v>929</v>
      </c>
      <c r="E108" s="936" t="s">
        <v>926</v>
      </c>
      <c r="F108" s="810"/>
      <c r="G108" s="852" t="s">
        <v>922</v>
      </c>
      <c r="H108" s="858">
        <f ca="1">OFFSET(貼付け_2024実績,$A108,14)</f>
        <v>0</v>
      </c>
      <c r="I108" s="858">
        <f ca="1">OFFSET(貼付け_2025実績,$A108,14)</f>
        <v>0</v>
      </c>
      <c r="J108" s="858">
        <f ca="1">OFFSET(貼付け_2026実績,$A108,14)</f>
        <v>0</v>
      </c>
      <c r="K108" s="858">
        <f ca="1">OFFSET(貼付け_2027実績,$A108,14)</f>
        <v>0</v>
      </c>
      <c r="L108" s="952">
        <f t="shared" ca="1" si="20"/>
        <v>0</v>
      </c>
      <c r="M108" s="952">
        <f t="shared" ca="1" si="20"/>
        <v>0</v>
      </c>
      <c r="N108" s="952">
        <f t="shared" ca="1" si="20"/>
        <v>0</v>
      </c>
      <c r="O108" s="952">
        <f t="shared" ca="1" si="20"/>
        <v>0</v>
      </c>
      <c r="P108" s="942">
        <f ca="1">IFERROR(OFFSET(貼付け_2024実績,$A108,8)+OFFSET(貼付け_2024実績,$A108,9),"")</f>
        <v>0</v>
      </c>
      <c r="Q108" s="942">
        <f ca="1">IFERROR(OFFSET(貼付け_2025実績,$A108,8)+OFFSET(貼付け_2025実績,$A108,9),"")</f>
        <v>0</v>
      </c>
      <c r="R108" s="942">
        <f ca="1">IFERROR(OFFSET(貼付け_2026実績,$A108,8)+OFFSET(貼付け_2026実績,$A108,9),"")</f>
        <v>0</v>
      </c>
      <c r="S108" s="942">
        <f ca="1">IFERROR(OFFSET(貼付け_2027実績,$A108,8)+OFFSET(貼付け_2027実績,$A108,9),"")</f>
        <v>0</v>
      </c>
      <c r="T108" s="952">
        <f ca="1">IFERROR(OFFSET(貼付け_2024実績,$A108,7),"")</f>
        <v>0</v>
      </c>
      <c r="U108" s="952">
        <f ca="1">IFERROR(OFFSET(貼付け_2025実績,$A108,7),"")</f>
        <v>0</v>
      </c>
      <c r="V108" s="952">
        <f ca="1">IFERROR(OFFSET(貼付け_2026実績,$A108,7,),"")</f>
        <v>0</v>
      </c>
      <c r="W108" s="952">
        <f ca="1">IFERROR(OFFSET(貼付け_2027実績,$A108,7),"")</f>
        <v>0</v>
      </c>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1"/>
      <c r="AU108" s="921"/>
      <c r="AV108" s="921"/>
      <c r="AW108" s="921"/>
      <c r="AX108" s="921"/>
      <c r="AY108" s="921"/>
      <c r="AZ108" s="921"/>
      <c r="BA108" s="921"/>
      <c r="BB108" s="921"/>
      <c r="BC108" s="921"/>
      <c r="BD108" s="921"/>
      <c r="BE108" s="921"/>
      <c r="BF108" s="921"/>
      <c r="BG108" s="921"/>
      <c r="BH108" s="921"/>
      <c r="BI108" s="921"/>
      <c r="BJ108" s="921"/>
      <c r="BK108" s="921"/>
      <c r="BL108" s="921"/>
      <c r="BM108" s="921"/>
      <c r="BN108" s="921"/>
      <c r="BO108" s="921"/>
      <c r="BP108" s="802"/>
    </row>
    <row r="109" spans="1:68" ht="21">
      <c r="B109" s="1634"/>
      <c r="C109" s="1654"/>
      <c r="D109" s="1644"/>
      <c r="E109" s="936" t="s">
        <v>927</v>
      </c>
      <c r="F109" s="810"/>
      <c r="G109" s="852" t="s">
        <v>1281</v>
      </c>
      <c r="H109" s="1650" t="s">
        <v>930</v>
      </c>
      <c r="I109" s="1651"/>
      <c r="J109" s="1651"/>
      <c r="K109" s="1652"/>
      <c r="L109" s="916">
        <f ca="1">L108*$H$106*$H$110</f>
        <v>0</v>
      </c>
      <c r="M109" s="916">
        <f ca="1">M108*$I$106*$I$110</f>
        <v>0</v>
      </c>
      <c r="N109" s="916">
        <f ca="1">N108*$J$106*$J$110</f>
        <v>0</v>
      </c>
      <c r="O109" s="916">
        <f ca="1">O108*$K$106*$K$110</f>
        <v>0</v>
      </c>
      <c r="P109" s="916">
        <f ca="1">P108*$H$106*$H$110</f>
        <v>0</v>
      </c>
      <c r="Q109" s="916">
        <f ca="1">Q108*$I$106*$I$110</f>
        <v>0</v>
      </c>
      <c r="R109" s="916">
        <f ca="1">R108*$J$106*$J$110</f>
        <v>0</v>
      </c>
      <c r="S109" s="916">
        <f ca="1">S108*$K$106*$K$110</f>
        <v>0</v>
      </c>
      <c r="T109" s="916">
        <f ca="1">T108*$H$106*$H$110</f>
        <v>0</v>
      </c>
      <c r="U109" s="916">
        <f ca="1">U108*$I$106*$I$110</f>
        <v>0</v>
      </c>
      <c r="V109" s="916">
        <f ca="1">V108*$J$106*$J$110</f>
        <v>0</v>
      </c>
      <c r="W109" s="916">
        <f ca="1">W108*$K$106*$K$110</f>
        <v>0</v>
      </c>
      <c r="X109" s="921"/>
      <c r="Y109" s="921"/>
      <c r="Z109" s="921"/>
      <c r="AA109" s="921"/>
      <c r="AB109" s="921"/>
      <c r="AC109" s="921"/>
      <c r="AD109" s="921"/>
      <c r="AE109" s="921"/>
      <c r="AF109" s="921"/>
      <c r="AG109" s="921"/>
      <c r="AH109" s="921"/>
      <c r="AI109" s="921"/>
      <c r="AJ109" s="921"/>
      <c r="AK109" s="921"/>
      <c r="AL109" s="921"/>
      <c r="AM109" s="921"/>
      <c r="AN109" s="921"/>
      <c r="AO109" s="921"/>
      <c r="AP109" s="921"/>
      <c r="AQ109" s="921"/>
      <c r="AR109" s="921"/>
      <c r="AS109" s="921"/>
      <c r="AT109" s="921"/>
      <c r="AU109" s="921"/>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802"/>
    </row>
    <row r="110" spans="1:68">
      <c r="A110" s="747">
        <v>168</v>
      </c>
      <c r="B110" s="1634"/>
      <c r="C110" s="1654"/>
      <c r="D110" s="1642" t="s">
        <v>931</v>
      </c>
      <c r="E110" s="936" t="s">
        <v>926</v>
      </c>
      <c r="F110" s="810"/>
      <c r="G110" s="852" t="s">
        <v>922</v>
      </c>
      <c r="H110" s="858">
        <f ca="1">OFFSET(貼付け_2024実績,$A110,14)</f>
        <v>0</v>
      </c>
      <c r="I110" s="858">
        <f ca="1">OFFSET(貼付け_2025実績,$A110,14)</f>
        <v>0</v>
      </c>
      <c r="J110" s="858">
        <f ca="1">OFFSET(貼付け_2026実績,$A110,14)</f>
        <v>0</v>
      </c>
      <c r="K110" s="858">
        <f ca="1">OFFSET(貼付け_2027実績,$A110,14)</f>
        <v>0</v>
      </c>
      <c r="L110" s="952">
        <f t="shared" ca="1" si="20"/>
        <v>0</v>
      </c>
      <c r="M110" s="952">
        <f t="shared" ca="1" si="20"/>
        <v>0</v>
      </c>
      <c r="N110" s="952">
        <f t="shared" ca="1" si="20"/>
        <v>0</v>
      </c>
      <c r="O110" s="952">
        <f t="shared" ca="1" si="20"/>
        <v>0</v>
      </c>
      <c r="P110" s="942">
        <f ca="1">IFERROR(OFFSET(貼付け_2024実績,$A110,8)+OFFSET(貼付け_2024実績,$A110,9),"")</f>
        <v>0</v>
      </c>
      <c r="Q110" s="942">
        <f ca="1">IFERROR(OFFSET(貼付け_2025実績,$A110,8)+OFFSET(貼付け_2025実績,$A110,9),"")</f>
        <v>0</v>
      </c>
      <c r="R110" s="942">
        <f ca="1">IFERROR(OFFSET(貼付け_2026実績,$A110,8)+OFFSET(貼付け_2026実績,$A110,9),"")</f>
        <v>0</v>
      </c>
      <c r="S110" s="942">
        <f ca="1">IFERROR(OFFSET(貼付け_2027実績,$A110,8)+OFFSET(貼付け_2027実績,$A110,9),"")</f>
        <v>0</v>
      </c>
      <c r="T110" s="952">
        <f ca="1">IFERROR(OFFSET(貼付け_2024実績,$A110,7),"")</f>
        <v>0</v>
      </c>
      <c r="U110" s="952">
        <f ca="1">IFERROR(OFFSET(貼付け_2025実績,$A110,7),"")</f>
        <v>0</v>
      </c>
      <c r="V110" s="952">
        <f ca="1">IFERROR(OFFSET(貼付け_2026実績,$A110,7,),"")</f>
        <v>0</v>
      </c>
      <c r="W110" s="952">
        <f ca="1">IFERROR(OFFSET(貼付け_2027実績,$A110,7),"")</f>
        <v>0</v>
      </c>
      <c r="X110" s="921"/>
      <c r="Y110" s="921"/>
      <c r="Z110" s="921"/>
      <c r="AA110" s="921"/>
      <c r="AB110" s="921"/>
      <c r="AC110" s="921"/>
      <c r="AD110" s="921"/>
      <c r="AE110" s="921"/>
      <c r="AF110" s="921"/>
      <c r="AG110" s="921"/>
      <c r="AH110" s="921"/>
      <c r="AI110" s="921"/>
      <c r="AJ110" s="921"/>
      <c r="AK110" s="921"/>
      <c r="AL110" s="921"/>
      <c r="AM110" s="921"/>
      <c r="AN110" s="921"/>
      <c r="AO110" s="921"/>
      <c r="AP110" s="921"/>
      <c r="AQ110" s="921"/>
      <c r="AR110" s="921"/>
      <c r="AS110" s="921"/>
      <c r="AT110" s="921"/>
      <c r="AU110" s="921"/>
      <c r="AV110" s="921"/>
      <c r="AW110" s="921"/>
      <c r="AX110" s="921"/>
      <c r="AY110" s="921"/>
      <c r="AZ110" s="921"/>
      <c r="BA110" s="921"/>
      <c r="BB110" s="921"/>
      <c r="BC110" s="921"/>
      <c r="BD110" s="921"/>
      <c r="BE110" s="921"/>
      <c r="BF110" s="921"/>
      <c r="BG110" s="921"/>
      <c r="BH110" s="921"/>
      <c r="BI110" s="921"/>
      <c r="BJ110" s="921"/>
      <c r="BK110" s="921"/>
      <c r="BL110" s="921"/>
      <c r="BM110" s="921"/>
      <c r="BN110" s="921"/>
      <c r="BO110" s="921"/>
      <c r="BP110" s="802"/>
    </row>
    <row r="111" spans="1:68" ht="21">
      <c r="B111" s="1634"/>
      <c r="C111" s="1654"/>
      <c r="D111" s="1644"/>
      <c r="E111" s="936" t="s">
        <v>927</v>
      </c>
      <c r="F111" s="810"/>
      <c r="G111" s="852" t="s">
        <v>1281</v>
      </c>
      <c r="H111" s="921"/>
      <c r="I111" s="921"/>
      <c r="J111" s="921"/>
      <c r="K111" s="921"/>
      <c r="L111" s="916">
        <f ca="1">L110*$H$106*$H$110</f>
        <v>0</v>
      </c>
      <c r="M111" s="916">
        <f ca="1">M110*$I$106*$I$110</f>
        <v>0</v>
      </c>
      <c r="N111" s="916">
        <f ca="1">N110*$J$106*$J$110</f>
        <v>0</v>
      </c>
      <c r="O111" s="916">
        <f ca="1">O110*$K$106*$K$110</f>
        <v>0</v>
      </c>
      <c r="P111" s="916">
        <f ca="1">P110*$H$106*$H$110</f>
        <v>0</v>
      </c>
      <c r="Q111" s="916">
        <f ca="1">Q110*$I$106*$I$110</f>
        <v>0</v>
      </c>
      <c r="R111" s="916">
        <f ca="1">R110*$J$106*$J$110</f>
        <v>0</v>
      </c>
      <c r="S111" s="916">
        <f ca="1">S110*$K$106*$K$110</f>
        <v>0</v>
      </c>
      <c r="T111" s="916">
        <f ca="1">T110*$H$106*$H$110</f>
        <v>0</v>
      </c>
      <c r="U111" s="916">
        <f ca="1">U110*$I$106*$I$110</f>
        <v>0</v>
      </c>
      <c r="V111" s="916">
        <f ca="1">V110*$J$106*$J$110</f>
        <v>0</v>
      </c>
      <c r="W111" s="916">
        <f ca="1">W110*$K$106*$K$110</f>
        <v>0</v>
      </c>
      <c r="X111" s="921"/>
      <c r="Y111" s="921"/>
      <c r="Z111" s="921"/>
      <c r="AA111" s="921"/>
      <c r="AB111" s="921"/>
      <c r="AC111" s="921"/>
      <c r="AD111" s="921"/>
      <c r="AE111" s="921"/>
      <c r="AF111" s="921"/>
      <c r="AG111" s="921"/>
      <c r="AH111" s="921"/>
      <c r="AI111" s="921"/>
      <c r="AJ111" s="921"/>
      <c r="AK111" s="921"/>
      <c r="AL111" s="921"/>
      <c r="AM111" s="921"/>
      <c r="AN111" s="921"/>
      <c r="AO111" s="921"/>
      <c r="AP111" s="921"/>
      <c r="AQ111" s="921"/>
      <c r="AR111" s="921"/>
      <c r="AS111" s="921"/>
      <c r="AT111" s="921"/>
      <c r="AU111" s="921"/>
      <c r="AV111" s="921"/>
      <c r="AW111" s="921"/>
      <c r="AX111" s="921"/>
      <c r="AY111" s="921"/>
      <c r="AZ111" s="921"/>
      <c r="BA111" s="921"/>
      <c r="BB111" s="921"/>
      <c r="BC111" s="921"/>
      <c r="BD111" s="921"/>
      <c r="BE111" s="921"/>
      <c r="BF111" s="921"/>
      <c r="BG111" s="921"/>
      <c r="BH111" s="921"/>
      <c r="BI111" s="921"/>
      <c r="BJ111" s="921"/>
      <c r="BK111" s="921"/>
      <c r="BL111" s="921"/>
      <c r="BM111" s="921"/>
      <c r="BN111" s="921"/>
      <c r="BO111" s="921"/>
      <c r="BP111" s="802"/>
    </row>
    <row r="112" spans="1:68">
      <c r="B112" s="1634"/>
      <c r="C112" s="1654"/>
      <c r="D112" s="1656" t="s">
        <v>813</v>
      </c>
      <c r="E112" s="936" t="s">
        <v>926</v>
      </c>
      <c r="F112" s="810" t="s">
        <v>837</v>
      </c>
      <c r="G112" s="852" t="s">
        <v>922</v>
      </c>
      <c r="H112" s="921"/>
      <c r="I112" s="921"/>
      <c r="J112" s="921"/>
      <c r="K112" s="921"/>
      <c r="L112" s="928">
        <f t="shared" ref="L112:O113" ca="1" si="29">SUM(L106,L108,L110)</f>
        <v>0</v>
      </c>
      <c r="M112" s="928">
        <f t="shared" ca="1" si="29"/>
        <v>0</v>
      </c>
      <c r="N112" s="928">
        <f t="shared" ca="1" si="29"/>
        <v>0</v>
      </c>
      <c r="O112" s="928">
        <f t="shared" ca="1" si="29"/>
        <v>0</v>
      </c>
      <c r="P112" s="929">
        <f ca="1">SUM(P106,P108,P110)</f>
        <v>0</v>
      </c>
      <c r="Q112" s="929">
        <f t="shared" ref="Q112:W113" ca="1" si="30">SUM(Q106,Q108,Q110)</f>
        <v>0</v>
      </c>
      <c r="R112" s="929">
        <f t="shared" ca="1" si="30"/>
        <v>0</v>
      </c>
      <c r="S112" s="929">
        <f t="shared" ca="1" si="30"/>
        <v>0</v>
      </c>
      <c r="T112" s="929">
        <f ca="1">SUM(T106,T108,T110)</f>
        <v>0</v>
      </c>
      <c r="U112" s="929">
        <f t="shared" ref="U112:W112" ca="1" si="31">SUM(U106,U108,U110)</f>
        <v>0</v>
      </c>
      <c r="V112" s="929">
        <f t="shared" ca="1" si="31"/>
        <v>0</v>
      </c>
      <c r="W112" s="929">
        <f t="shared" ca="1" si="31"/>
        <v>0</v>
      </c>
      <c r="X112" s="921"/>
      <c r="Y112" s="921"/>
      <c r="Z112" s="921"/>
      <c r="AA112" s="921"/>
      <c r="AB112" s="921"/>
      <c r="AC112" s="921"/>
      <c r="AD112" s="921"/>
      <c r="AE112" s="921"/>
      <c r="AF112" s="921"/>
      <c r="AG112" s="921"/>
      <c r="AH112" s="921"/>
      <c r="AI112" s="921"/>
      <c r="AJ112" s="921"/>
      <c r="AK112" s="921"/>
      <c r="AL112" s="921"/>
      <c r="AM112" s="921"/>
      <c r="AN112" s="921"/>
      <c r="AO112" s="921"/>
      <c r="AP112" s="921"/>
      <c r="AQ112" s="921"/>
      <c r="AR112" s="921"/>
      <c r="AS112" s="921"/>
      <c r="AT112" s="921"/>
      <c r="AU112" s="921"/>
      <c r="AV112" s="921"/>
      <c r="AW112" s="921"/>
      <c r="AX112" s="921"/>
      <c r="AY112" s="921"/>
      <c r="AZ112" s="921"/>
      <c r="BA112" s="921"/>
      <c r="BB112" s="921"/>
      <c r="BC112" s="921"/>
      <c r="BD112" s="921"/>
      <c r="BE112" s="921"/>
      <c r="BF112" s="921"/>
      <c r="BG112" s="921"/>
      <c r="BH112" s="921"/>
      <c r="BI112" s="921"/>
      <c r="BJ112" s="921"/>
      <c r="BK112" s="921"/>
      <c r="BL112" s="921"/>
      <c r="BM112" s="921"/>
      <c r="BN112" s="921"/>
      <c r="BO112" s="921"/>
      <c r="BP112" s="802"/>
    </row>
    <row r="113" spans="2:68" ht="21">
      <c r="B113" s="1634"/>
      <c r="C113" s="1655"/>
      <c r="D113" s="1657"/>
      <c r="E113" s="936" t="s">
        <v>927</v>
      </c>
      <c r="F113" s="810" t="s">
        <v>838</v>
      </c>
      <c r="G113" s="852" t="s">
        <v>1281</v>
      </c>
      <c r="H113" s="921"/>
      <c r="I113" s="921"/>
      <c r="J113" s="921"/>
      <c r="K113" s="921"/>
      <c r="L113" s="928">
        <f t="shared" ca="1" si="29"/>
        <v>0</v>
      </c>
      <c r="M113" s="928">
        <f t="shared" ca="1" si="29"/>
        <v>0</v>
      </c>
      <c r="N113" s="928">
        <f t="shared" ca="1" si="29"/>
        <v>0</v>
      </c>
      <c r="O113" s="928">
        <f t="shared" ca="1" si="29"/>
        <v>0</v>
      </c>
      <c r="P113" s="929">
        <f ca="1">SUM(P107,P109,P111)</f>
        <v>0</v>
      </c>
      <c r="Q113" s="929">
        <f t="shared" ca="1" si="30"/>
        <v>0</v>
      </c>
      <c r="R113" s="929">
        <f t="shared" ca="1" si="30"/>
        <v>0</v>
      </c>
      <c r="S113" s="929">
        <f t="shared" ca="1" si="30"/>
        <v>0</v>
      </c>
      <c r="T113" s="929">
        <f t="shared" ca="1" si="30"/>
        <v>0</v>
      </c>
      <c r="U113" s="929">
        <f t="shared" ca="1" si="30"/>
        <v>0</v>
      </c>
      <c r="V113" s="929">
        <f t="shared" ca="1" si="30"/>
        <v>0</v>
      </c>
      <c r="W113" s="929">
        <f t="shared" ca="1" si="30"/>
        <v>0</v>
      </c>
      <c r="X113" s="921"/>
      <c r="Y113" s="921"/>
      <c r="Z113" s="921"/>
      <c r="AA113" s="921"/>
      <c r="AB113" s="921"/>
      <c r="AC113" s="921"/>
      <c r="AD113" s="921"/>
      <c r="AE113" s="921"/>
      <c r="AF113" s="921"/>
      <c r="AG113" s="921"/>
      <c r="AH113" s="921"/>
      <c r="AI113" s="921"/>
      <c r="AJ113" s="921"/>
      <c r="AK113" s="921"/>
      <c r="AL113" s="921"/>
      <c r="AM113" s="921"/>
      <c r="AN113" s="921"/>
      <c r="AO113" s="921"/>
      <c r="AP113" s="921"/>
      <c r="AQ113" s="921"/>
      <c r="AR113" s="921"/>
      <c r="AS113" s="921"/>
      <c r="AT113" s="921"/>
      <c r="AU113" s="921"/>
      <c r="AV113" s="921"/>
      <c r="AW113" s="921"/>
      <c r="AX113" s="921"/>
      <c r="AY113" s="921"/>
      <c r="AZ113" s="921"/>
      <c r="BA113" s="921"/>
      <c r="BB113" s="921"/>
      <c r="BC113" s="921"/>
      <c r="BD113" s="921"/>
      <c r="BE113" s="921"/>
      <c r="BF113" s="921"/>
      <c r="BG113" s="921"/>
      <c r="BH113" s="921"/>
      <c r="BI113" s="921"/>
      <c r="BJ113" s="921"/>
      <c r="BK113" s="921"/>
      <c r="BL113" s="921"/>
      <c r="BM113" s="921"/>
      <c r="BN113" s="921"/>
      <c r="BO113" s="921"/>
      <c r="BP113" s="802"/>
    </row>
    <row r="114" spans="2:68" ht="21">
      <c r="B114" s="1634"/>
      <c r="C114" s="959" t="s">
        <v>932</v>
      </c>
      <c r="D114" s="961"/>
      <c r="E114" s="937"/>
      <c r="F114" s="810"/>
      <c r="G114" s="852" t="s">
        <v>1281</v>
      </c>
      <c r="H114" s="921"/>
      <c r="I114" s="921"/>
      <c r="J114" s="921"/>
      <c r="K114" s="921"/>
      <c r="L114" s="916">
        <f ca="1">ROUNDDOWN(IF(L95+L100+L113&gt;=L91,L91,L95+L100+L113),0)</f>
        <v>0</v>
      </c>
      <c r="M114" s="916">
        <f t="shared" ref="M114:W114" ca="1" si="32">ROUNDDOWN(IF(M95+M100+M113&gt;=M91,M91,M95+M100+M113),0)</f>
        <v>0</v>
      </c>
      <c r="N114" s="916">
        <f t="shared" ca="1" si="32"/>
        <v>0</v>
      </c>
      <c r="O114" s="916">
        <f t="shared" ca="1" si="32"/>
        <v>0</v>
      </c>
      <c r="P114" s="916">
        <f t="shared" ca="1" si="32"/>
        <v>0</v>
      </c>
      <c r="Q114" s="916">
        <f t="shared" ca="1" si="32"/>
        <v>0</v>
      </c>
      <c r="R114" s="916">
        <f t="shared" ca="1" si="32"/>
        <v>0</v>
      </c>
      <c r="S114" s="916">
        <f t="shared" ca="1" si="32"/>
        <v>0</v>
      </c>
      <c r="T114" s="916">
        <f t="shared" ca="1" si="32"/>
        <v>0</v>
      </c>
      <c r="U114" s="916">
        <f t="shared" ca="1" si="32"/>
        <v>0</v>
      </c>
      <c r="V114" s="916">
        <f t="shared" ca="1" si="32"/>
        <v>0</v>
      </c>
      <c r="W114" s="916">
        <f t="shared" ca="1" si="32"/>
        <v>0</v>
      </c>
      <c r="X114" s="921"/>
      <c r="Y114" s="921"/>
      <c r="Z114" s="921"/>
      <c r="AA114" s="921"/>
      <c r="AB114" s="921"/>
      <c r="AC114" s="921"/>
      <c r="AD114" s="921"/>
      <c r="AE114" s="921"/>
      <c r="AF114" s="921"/>
      <c r="AG114" s="921"/>
      <c r="AH114" s="921"/>
      <c r="AI114" s="921"/>
      <c r="AJ114" s="921"/>
      <c r="AK114" s="921"/>
      <c r="AL114" s="921"/>
      <c r="AM114" s="921"/>
      <c r="AN114" s="921"/>
      <c r="AO114" s="921"/>
      <c r="AP114" s="921"/>
      <c r="AQ114" s="921"/>
      <c r="AR114" s="921"/>
      <c r="AS114" s="921"/>
      <c r="AT114" s="921"/>
      <c r="AU114" s="921"/>
      <c r="AV114" s="921"/>
      <c r="AW114" s="921"/>
      <c r="AX114" s="921"/>
      <c r="AY114" s="921"/>
      <c r="AZ114" s="921"/>
      <c r="BA114" s="921"/>
      <c r="BB114" s="921"/>
      <c r="BC114" s="921"/>
      <c r="BD114" s="921"/>
      <c r="BE114" s="921"/>
      <c r="BF114" s="921"/>
      <c r="BG114" s="921"/>
      <c r="BH114" s="921"/>
      <c r="BI114" s="921"/>
      <c r="BJ114" s="921"/>
      <c r="BK114" s="921"/>
      <c r="BL114" s="921"/>
      <c r="BM114" s="921"/>
      <c r="BN114" s="921"/>
      <c r="BO114" s="921"/>
      <c r="BP114" s="802"/>
    </row>
    <row r="115" spans="2:68" ht="21">
      <c r="B115" s="1635"/>
      <c r="C115" s="962" t="s">
        <v>933</v>
      </c>
      <c r="D115" s="961"/>
      <c r="E115" s="937"/>
      <c r="F115" s="810"/>
      <c r="G115" s="852" t="s">
        <v>1281</v>
      </c>
      <c r="H115" s="921"/>
      <c r="I115" s="921"/>
      <c r="J115" s="921"/>
      <c r="K115" s="921"/>
      <c r="L115" s="916">
        <f ca="1">ROUNDDOWN(IF(L97+L102&gt;=L90,L90,L97+L102),0)</f>
        <v>0</v>
      </c>
      <c r="M115" s="916">
        <f t="shared" ref="M115:W115" ca="1" si="33">ROUNDDOWN(IF(M97+M102&gt;=M90,M90,M97+M102),0)</f>
        <v>0</v>
      </c>
      <c r="N115" s="916">
        <f t="shared" ca="1" si="33"/>
        <v>0</v>
      </c>
      <c r="O115" s="916">
        <f t="shared" ca="1" si="33"/>
        <v>0</v>
      </c>
      <c r="P115" s="916">
        <f t="shared" ca="1" si="33"/>
        <v>0</v>
      </c>
      <c r="Q115" s="916">
        <f t="shared" ca="1" si="33"/>
        <v>0</v>
      </c>
      <c r="R115" s="916">
        <f t="shared" ca="1" si="33"/>
        <v>0</v>
      </c>
      <c r="S115" s="916">
        <f t="shared" ca="1" si="33"/>
        <v>0</v>
      </c>
      <c r="T115" s="916">
        <f t="shared" ca="1" si="33"/>
        <v>0</v>
      </c>
      <c r="U115" s="916">
        <f t="shared" ca="1" si="33"/>
        <v>0</v>
      </c>
      <c r="V115" s="916">
        <f t="shared" ca="1" si="33"/>
        <v>0</v>
      </c>
      <c r="W115" s="916">
        <f t="shared" ca="1" si="33"/>
        <v>0</v>
      </c>
      <c r="X115" s="921"/>
      <c r="Y115" s="921"/>
      <c r="Z115" s="921"/>
      <c r="AA115" s="921"/>
      <c r="AB115" s="921"/>
      <c r="AC115" s="921"/>
      <c r="AD115" s="921"/>
      <c r="AE115" s="921"/>
      <c r="AF115" s="921"/>
      <c r="AG115" s="921"/>
      <c r="AH115" s="921"/>
      <c r="AI115" s="921"/>
      <c r="AJ115" s="921"/>
      <c r="AK115" s="921"/>
      <c r="AL115" s="921"/>
      <c r="AM115" s="921"/>
      <c r="AN115" s="921"/>
      <c r="AO115" s="921"/>
      <c r="AP115" s="921"/>
      <c r="AQ115" s="921"/>
      <c r="AR115" s="921"/>
      <c r="AS115" s="921"/>
      <c r="AT115" s="921"/>
      <c r="AU115" s="921"/>
      <c r="AV115" s="921"/>
      <c r="AW115" s="921"/>
      <c r="AX115" s="921"/>
      <c r="AY115" s="921"/>
      <c r="AZ115" s="921"/>
      <c r="BA115" s="921"/>
      <c r="BB115" s="921"/>
      <c r="BC115" s="921"/>
      <c r="BD115" s="921"/>
      <c r="BE115" s="921"/>
      <c r="BF115" s="921"/>
      <c r="BG115" s="921"/>
      <c r="BH115" s="921"/>
      <c r="BI115" s="921"/>
      <c r="BJ115" s="921"/>
      <c r="BK115" s="921"/>
      <c r="BL115" s="921"/>
      <c r="BM115" s="921"/>
      <c r="BN115" s="921"/>
      <c r="BO115" s="921"/>
      <c r="BP115" s="802"/>
    </row>
    <row r="116" spans="2:68" ht="21">
      <c r="B116" s="930" t="s">
        <v>898</v>
      </c>
      <c r="C116" s="871"/>
      <c r="D116" s="853"/>
      <c r="E116" s="963" t="s">
        <v>934</v>
      </c>
      <c r="F116" s="862"/>
      <c r="G116" s="852" t="s">
        <v>1281</v>
      </c>
      <c r="H116" s="921"/>
      <c r="I116" s="921"/>
      <c r="J116" s="921"/>
      <c r="K116" s="921"/>
      <c r="L116" s="916">
        <f ca="1">IF(ROUNDDOWN(L88+L89+L90+L91-L92-L104-L114-L115,0)&lt;=0,0,ROUND(ROUNDDOWN(L88+L89+L90+L91-L92-L104-L114-L115,0),2-INT(LOG(ROUNDDOWN(L88+L89+L90+L91-L92-L104-L114-L115,0)))))</f>
        <v>0</v>
      </c>
      <c r="M116" s="916">
        <f t="shared" ref="M116:BO116" ca="1" si="34">IF(ROUNDDOWN(M88+M89+M90+M91-M92-M104-M114-M115,0)&lt;=0,0,ROUND(ROUNDDOWN(M88+M89+M90+M91-M92-M104-M114-M115,0),2-INT(LOG(ROUNDDOWN(M88+M89+M90+M91-M92-M104-M114-M115,0)))))</f>
        <v>0</v>
      </c>
      <c r="N116" s="916">
        <f t="shared" ca="1" si="34"/>
        <v>0</v>
      </c>
      <c r="O116" s="916">
        <f t="shared" ca="1" si="34"/>
        <v>0</v>
      </c>
      <c r="P116" s="916">
        <f t="shared" ca="1" si="34"/>
        <v>0</v>
      </c>
      <c r="Q116" s="916">
        <f t="shared" ca="1" si="34"/>
        <v>0</v>
      </c>
      <c r="R116" s="916">
        <f t="shared" ca="1" si="34"/>
        <v>0</v>
      </c>
      <c r="S116" s="916">
        <f t="shared" ca="1" si="34"/>
        <v>0</v>
      </c>
      <c r="T116" s="916">
        <f t="shared" ca="1" si="34"/>
        <v>0</v>
      </c>
      <c r="U116" s="916">
        <f t="shared" ca="1" si="34"/>
        <v>0</v>
      </c>
      <c r="V116" s="916">
        <f t="shared" ca="1" si="34"/>
        <v>0</v>
      </c>
      <c r="W116" s="916">
        <f t="shared" ca="1" si="34"/>
        <v>0</v>
      </c>
      <c r="X116" s="916">
        <f t="shared" ca="1" si="34"/>
        <v>0</v>
      </c>
      <c r="Y116" s="916">
        <f t="shared" ca="1" si="34"/>
        <v>0</v>
      </c>
      <c r="Z116" s="916">
        <f t="shared" ca="1" si="34"/>
        <v>0</v>
      </c>
      <c r="AA116" s="916">
        <f t="shared" ca="1" si="34"/>
        <v>0</v>
      </c>
      <c r="AB116" s="916">
        <f t="shared" ca="1" si="34"/>
        <v>0</v>
      </c>
      <c r="AC116" s="916">
        <f t="shared" ca="1" si="34"/>
        <v>0</v>
      </c>
      <c r="AD116" s="916">
        <f t="shared" ca="1" si="34"/>
        <v>0</v>
      </c>
      <c r="AE116" s="916">
        <f t="shared" ca="1" si="34"/>
        <v>0</v>
      </c>
      <c r="AF116" s="916">
        <f t="shared" ca="1" si="34"/>
        <v>0</v>
      </c>
      <c r="AG116" s="916">
        <f t="shared" ca="1" si="34"/>
        <v>0</v>
      </c>
      <c r="AH116" s="916">
        <f t="shared" ca="1" si="34"/>
        <v>0</v>
      </c>
      <c r="AI116" s="916">
        <f t="shared" ca="1" si="34"/>
        <v>0</v>
      </c>
      <c r="AJ116" s="916">
        <f t="shared" ca="1" si="34"/>
        <v>0</v>
      </c>
      <c r="AK116" s="916">
        <f t="shared" ca="1" si="34"/>
        <v>0</v>
      </c>
      <c r="AL116" s="916">
        <f t="shared" ca="1" si="34"/>
        <v>0</v>
      </c>
      <c r="AM116" s="916">
        <f t="shared" ca="1" si="34"/>
        <v>0</v>
      </c>
      <c r="AN116" s="916">
        <f t="shared" ca="1" si="34"/>
        <v>0</v>
      </c>
      <c r="AO116" s="916">
        <f t="shared" ca="1" si="34"/>
        <v>0</v>
      </c>
      <c r="AP116" s="916">
        <f t="shared" ca="1" si="34"/>
        <v>0</v>
      </c>
      <c r="AQ116" s="916">
        <f t="shared" ca="1" si="34"/>
        <v>0</v>
      </c>
      <c r="AR116" s="916">
        <f t="shared" ca="1" si="34"/>
        <v>0</v>
      </c>
      <c r="AS116" s="916">
        <f t="shared" ca="1" si="34"/>
        <v>0</v>
      </c>
      <c r="AT116" s="916">
        <f t="shared" ca="1" si="34"/>
        <v>0</v>
      </c>
      <c r="AU116" s="916">
        <f t="shared" ca="1" si="34"/>
        <v>0</v>
      </c>
      <c r="AV116" s="916">
        <f t="shared" ca="1" si="34"/>
        <v>0</v>
      </c>
      <c r="AW116" s="916">
        <f t="shared" ca="1" si="34"/>
        <v>0</v>
      </c>
      <c r="AX116" s="916">
        <f t="shared" ca="1" si="34"/>
        <v>0</v>
      </c>
      <c r="AY116" s="916">
        <f t="shared" ca="1" si="34"/>
        <v>0</v>
      </c>
      <c r="AZ116" s="916">
        <f t="shared" ca="1" si="34"/>
        <v>0</v>
      </c>
      <c r="BA116" s="916">
        <f t="shared" ca="1" si="34"/>
        <v>0</v>
      </c>
      <c r="BB116" s="916">
        <f t="shared" ca="1" si="34"/>
        <v>0</v>
      </c>
      <c r="BC116" s="916">
        <f t="shared" ca="1" si="34"/>
        <v>0</v>
      </c>
      <c r="BD116" s="916">
        <f t="shared" ca="1" si="34"/>
        <v>0</v>
      </c>
      <c r="BE116" s="916">
        <f t="shared" ca="1" si="34"/>
        <v>0</v>
      </c>
      <c r="BF116" s="916">
        <f t="shared" ca="1" si="34"/>
        <v>0</v>
      </c>
      <c r="BG116" s="916">
        <f t="shared" ca="1" si="34"/>
        <v>0</v>
      </c>
      <c r="BH116" s="916">
        <f t="shared" ca="1" si="34"/>
        <v>0</v>
      </c>
      <c r="BI116" s="916">
        <f t="shared" ca="1" si="34"/>
        <v>0</v>
      </c>
      <c r="BJ116" s="916">
        <f t="shared" ca="1" si="34"/>
        <v>0</v>
      </c>
      <c r="BK116" s="916">
        <f t="shared" ca="1" si="34"/>
        <v>0</v>
      </c>
      <c r="BL116" s="916">
        <f t="shared" ca="1" si="34"/>
        <v>0</v>
      </c>
      <c r="BM116" s="916">
        <f t="shared" ca="1" si="34"/>
        <v>0</v>
      </c>
      <c r="BN116" s="916">
        <f t="shared" ca="1" si="34"/>
        <v>0</v>
      </c>
      <c r="BO116" s="916">
        <f t="shared" ca="1" si="34"/>
        <v>0</v>
      </c>
      <c r="BP116" s="802"/>
    </row>
    <row r="117" spans="2:68" ht="20.100000000000001" customHeight="1">
      <c r="B117" s="912">
        <v>2</v>
      </c>
      <c r="C117" s="913" t="s">
        <v>899</v>
      </c>
      <c r="D117" s="781"/>
      <c r="E117" s="781"/>
      <c r="F117" s="781"/>
      <c r="G117" s="781"/>
      <c r="H117" s="782"/>
      <c r="I117" s="782"/>
      <c r="J117" s="782"/>
      <c r="K117" s="782"/>
      <c r="L117" s="879"/>
      <c r="M117" s="879"/>
      <c r="N117" s="879"/>
      <c r="O117" s="879"/>
      <c r="P117" s="879"/>
      <c r="Q117" s="879"/>
      <c r="R117" s="879"/>
      <c r="S117" s="879"/>
      <c r="T117" s="879"/>
      <c r="U117" s="879"/>
      <c r="V117" s="879"/>
      <c r="W117" s="879"/>
      <c r="X117" s="879"/>
      <c r="Y117" s="879"/>
      <c r="Z117" s="879"/>
      <c r="AA117" s="879"/>
      <c r="AB117" s="879"/>
      <c r="AC117" s="879"/>
      <c r="AD117" s="879"/>
      <c r="AE117" s="879"/>
      <c r="AF117" s="879"/>
      <c r="AG117" s="879"/>
      <c r="AH117" s="879"/>
      <c r="AI117" s="879"/>
      <c r="AJ117" s="879"/>
      <c r="AK117" s="879"/>
      <c r="AL117" s="879"/>
      <c r="AM117" s="879"/>
      <c r="AN117" s="879"/>
      <c r="AO117" s="879"/>
      <c r="AP117" s="879"/>
      <c r="AQ117" s="879"/>
      <c r="AR117" s="879"/>
      <c r="AS117" s="879"/>
      <c r="AT117" s="879"/>
      <c r="AU117" s="879"/>
      <c r="AV117" s="879"/>
      <c r="AW117" s="879"/>
      <c r="AX117" s="879"/>
      <c r="AY117" s="879"/>
      <c r="AZ117" s="879"/>
      <c r="BA117" s="879"/>
      <c r="BB117" s="879"/>
      <c r="BC117" s="879"/>
      <c r="BD117" s="879"/>
      <c r="BE117" s="879"/>
      <c r="BF117" s="879"/>
      <c r="BG117" s="879"/>
      <c r="BH117" s="879"/>
      <c r="BI117" s="879"/>
      <c r="BJ117" s="879"/>
      <c r="BK117" s="879"/>
      <c r="BL117" s="879"/>
      <c r="BM117" s="879"/>
      <c r="BN117" s="879"/>
      <c r="BO117" s="879"/>
    </row>
    <row r="118" spans="2:68" ht="20.100000000000001" hidden="1" customHeight="1" outlineLevel="1">
      <c r="B118" s="1647" t="s">
        <v>420</v>
      </c>
      <c r="C118" s="1645" t="s">
        <v>345</v>
      </c>
      <c r="D118" s="920" t="s">
        <v>346</v>
      </c>
      <c r="E118" s="920"/>
      <c r="F118" s="964"/>
      <c r="G118" s="965" t="s">
        <v>1281</v>
      </c>
      <c r="H118" s="966"/>
      <c r="I118" s="966"/>
      <c r="J118" s="966"/>
      <c r="K118" s="966"/>
      <c r="L118" s="966">
        <f ca="1">L8</f>
        <v>0</v>
      </c>
      <c r="M118" s="966">
        <f t="shared" ref="M118:BO122" ca="1" si="35">M8</f>
        <v>0</v>
      </c>
      <c r="N118" s="966">
        <f t="shared" ca="1" si="35"/>
        <v>0</v>
      </c>
      <c r="O118" s="966">
        <f t="shared" ca="1" si="35"/>
        <v>0</v>
      </c>
      <c r="P118" s="966">
        <f t="shared" ca="1" si="35"/>
        <v>0</v>
      </c>
      <c r="Q118" s="966">
        <f t="shared" ca="1" si="35"/>
        <v>0</v>
      </c>
      <c r="R118" s="966">
        <f t="shared" ca="1" si="35"/>
        <v>0</v>
      </c>
      <c r="S118" s="966">
        <f t="shared" ca="1" si="35"/>
        <v>0</v>
      </c>
      <c r="T118" s="966">
        <f t="shared" ca="1" si="35"/>
        <v>0</v>
      </c>
      <c r="U118" s="966">
        <f t="shared" ca="1" si="35"/>
        <v>0</v>
      </c>
      <c r="V118" s="966">
        <f t="shared" ca="1" si="35"/>
        <v>0</v>
      </c>
      <c r="W118" s="966">
        <f t="shared" ca="1" si="35"/>
        <v>0</v>
      </c>
      <c r="X118" s="966">
        <f t="shared" ca="1" si="35"/>
        <v>0</v>
      </c>
      <c r="Y118" s="966">
        <f t="shared" ca="1" si="35"/>
        <v>0</v>
      </c>
      <c r="Z118" s="966">
        <f t="shared" ca="1" si="35"/>
        <v>0</v>
      </c>
      <c r="AA118" s="966">
        <f t="shared" ca="1" si="35"/>
        <v>0</v>
      </c>
      <c r="AB118" s="966" t="str">
        <f t="shared" ca="1" si="35"/>
        <v/>
      </c>
      <c r="AC118" s="966" t="str">
        <f t="shared" ca="1" si="35"/>
        <v/>
      </c>
      <c r="AD118" s="966" t="str">
        <f t="shared" ca="1" si="35"/>
        <v/>
      </c>
      <c r="AE118" s="966" t="str">
        <f t="shared" ca="1" si="35"/>
        <v/>
      </c>
      <c r="AF118" s="966" t="str">
        <f t="shared" ca="1" si="35"/>
        <v/>
      </c>
      <c r="AG118" s="966" t="str">
        <f t="shared" ca="1" si="35"/>
        <v/>
      </c>
      <c r="AH118" s="966" t="str">
        <f t="shared" ca="1" si="35"/>
        <v/>
      </c>
      <c r="AI118" s="966" t="str">
        <f t="shared" ca="1" si="35"/>
        <v/>
      </c>
      <c r="AJ118" s="966" t="str">
        <f t="shared" ca="1" si="35"/>
        <v/>
      </c>
      <c r="AK118" s="966" t="str">
        <f t="shared" ca="1" si="35"/>
        <v/>
      </c>
      <c r="AL118" s="966" t="str">
        <f t="shared" ca="1" si="35"/>
        <v/>
      </c>
      <c r="AM118" s="966" t="str">
        <f t="shared" ca="1" si="35"/>
        <v/>
      </c>
      <c r="AN118" s="966" t="str">
        <f t="shared" ca="1" si="35"/>
        <v/>
      </c>
      <c r="AO118" s="966" t="str">
        <f t="shared" ca="1" si="35"/>
        <v/>
      </c>
      <c r="AP118" s="966" t="str">
        <f t="shared" ca="1" si="35"/>
        <v/>
      </c>
      <c r="AQ118" s="966" t="str">
        <f t="shared" ca="1" si="35"/>
        <v/>
      </c>
      <c r="AR118" s="966" t="str">
        <f t="shared" ca="1" si="35"/>
        <v/>
      </c>
      <c r="AS118" s="966" t="str">
        <f t="shared" ca="1" si="35"/>
        <v/>
      </c>
      <c r="AT118" s="966" t="str">
        <f t="shared" ca="1" si="35"/>
        <v/>
      </c>
      <c r="AU118" s="966" t="str">
        <f t="shared" ca="1" si="35"/>
        <v/>
      </c>
      <c r="AV118" s="966" t="str">
        <f t="shared" ca="1" si="35"/>
        <v/>
      </c>
      <c r="AW118" s="966" t="str">
        <f t="shared" ca="1" si="35"/>
        <v/>
      </c>
      <c r="AX118" s="966" t="str">
        <f t="shared" ca="1" si="35"/>
        <v/>
      </c>
      <c r="AY118" s="966" t="str">
        <f t="shared" ca="1" si="35"/>
        <v/>
      </c>
      <c r="AZ118" s="966" t="str">
        <f t="shared" ca="1" si="35"/>
        <v/>
      </c>
      <c r="BA118" s="966" t="str">
        <f t="shared" ca="1" si="35"/>
        <v/>
      </c>
      <c r="BB118" s="966" t="str">
        <f t="shared" ca="1" si="35"/>
        <v/>
      </c>
      <c r="BC118" s="966" t="str">
        <f t="shared" ca="1" si="35"/>
        <v/>
      </c>
      <c r="BD118" s="966" t="str">
        <f t="shared" ca="1" si="35"/>
        <v/>
      </c>
      <c r="BE118" s="966" t="str">
        <f t="shared" ca="1" si="35"/>
        <v/>
      </c>
      <c r="BF118" s="966" t="str">
        <f t="shared" ca="1" si="35"/>
        <v/>
      </c>
      <c r="BG118" s="966" t="str">
        <f t="shared" ca="1" si="35"/>
        <v/>
      </c>
      <c r="BH118" s="966" t="str">
        <f t="shared" ca="1" si="35"/>
        <v/>
      </c>
      <c r="BI118" s="966" t="str">
        <f t="shared" ca="1" si="35"/>
        <v/>
      </c>
      <c r="BJ118" s="966" t="str">
        <f t="shared" ca="1" si="35"/>
        <v/>
      </c>
      <c r="BK118" s="966" t="str">
        <f t="shared" ca="1" si="35"/>
        <v/>
      </c>
      <c r="BL118" s="966" t="str">
        <f t="shared" ca="1" si="35"/>
        <v/>
      </c>
      <c r="BM118" s="966" t="str">
        <f t="shared" ca="1" si="35"/>
        <v/>
      </c>
      <c r="BN118" s="966" t="str">
        <f t="shared" ca="1" si="35"/>
        <v/>
      </c>
      <c r="BO118" s="966" t="str">
        <f t="shared" ca="1" si="35"/>
        <v/>
      </c>
    </row>
    <row r="119" spans="2:68" ht="20.100000000000001" hidden="1" customHeight="1" outlineLevel="1">
      <c r="B119" s="1648"/>
      <c r="C119" s="1646"/>
      <c r="D119" s="920" t="s">
        <v>349</v>
      </c>
      <c r="E119" s="920"/>
      <c r="F119" s="964"/>
      <c r="G119" s="965" t="s">
        <v>1281</v>
      </c>
      <c r="H119" s="966"/>
      <c r="I119" s="966"/>
      <c r="J119" s="966"/>
      <c r="K119" s="966"/>
      <c r="L119" s="966">
        <f t="shared" ref="L119:AA134" ca="1" si="36">L9</f>
        <v>0</v>
      </c>
      <c r="M119" s="966">
        <f t="shared" ca="1" si="36"/>
        <v>0</v>
      </c>
      <c r="N119" s="966">
        <f t="shared" ca="1" si="36"/>
        <v>0</v>
      </c>
      <c r="O119" s="966">
        <f t="shared" ca="1" si="36"/>
        <v>0</v>
      </c>
      <c r="P119" s="966">
        <f t="shared" ca="1" si="36"/>
        <v>0</v>
      </c>
      <c r="Q119" s="966">
        <f t="shared" ca="1" si="36"/>
        <v>0</v>
      </c>
      <c r="R119" s="966">
        <f t="shared" ca="1" si="36"/>
        <v>0</v>
      </c>
      <c r="S119" s="966">
        <f t="shared" ca="1" si="36"/>
        <v>0</v>
      </c>
      <c r="T119" s="966">
        <f t="shared" ca="1" si="36"/>
        <v>0</v>
      </c>
      <c r="U119" s="966">
        <f t="shared" ca="1" si="36"/>
        <v>0</v>
      </c>
      <c r="V119" s="966">
        <f t="shared" ca="1" si="36"/>
        <v>0</v>
      </c>
      <c r="W119" s="966">
        <f t="shared" ca="1" si="36"/>
        <v>0</v>
      </c>
      <c r="X119" s="966">
        <f t="shared" ca="1" si="36"/>
        <v>0</v>
      </c>
      <c r="Y119" s="966">
        <f t="shared" ca="1" si="36"/>
        <v>0</v>
      </c>
      <c r="Z119" s="966">
        <f t="shared" ca="1" si="36"/>
        <v>0</v>
      </c>
      <c r="AA119" s="966">
        <f t="shared" ca="1" si="36"/>
        <v>0</v>
      </c>
      <c r="AB119" s="966" t="str">
        <f t="shared" ca="1" si="35"/>
        <v/>
      </c>
      <c r="AC119" s="966" t="str">
        <f t="shared" ca="1" si="35"/>
        <v/>
      </c>
      <c r="AD119" s="966" t="str">
        <f t="shared" ca="1" si="35"/>
        <v/>
      </c>
      <c r="AE119" s="966" t="str">
        <f t="shared" ca="1" si="35"/>
        <v/>
      </c>
      <c r="AF119" s="966" t="str">
        <f t="shared" ca="1" si="35"/>
        <v/>
      </c>
      <c r="AG119" s="966" t="str">
        <f t="shared" ca="1" si="35"/>
        <v/>
      </c>
      <c r="AH119" s="966" t="str">
        <f t="shared" ca="1" si="35"/>
        <v/>
      </c>
      <c r="AI119" s="966" t="str">
        <f t="shared" ca="1" si="35"/>
        <v/>
      </c>
      <c r="AJ119" s="966" t="str">
        <f t="shared" ca="1" si="35"/>
        <v/>
      </c>
      <c r="AK119" s="966" t="str">
        <f t="shared" ca="1" si="35"/>
        <v/>
      </c>
      <c r="AL119" s="966" t="str">
        <f t="shared" ca="1" si="35"/>
        <v/>
      </c>
      <c r="AM119" s="966" t="str">
        <f t="shared" ca="1" si="35"/>
        <v/>
      </c>
      <c r="AN119" s="966" t="str">
        <f t="shared" ca="1" si="35"/>
        <v/>
      </c>
      <c r="AO119" s="966" t="str">
        <f t="shared" ca="1" si="35"/>
        <v/>
      </c>
      <c r="AP119" s="966" t="str">
        <f t="shared" ca="1" si="35"/>
        <v/>
      </c>
      <c r="AQ119" s="966" t="str">
        <f t="shared" ca="1" si="35"/>
        <v/>
      </c>
      <c r="AR119" s="966" t="str">
        <f t="shared" ca="1" si="35"/>
        <v/>
      </c>
      <c r="AS119" s="966" t="str">
        <f t="shared" ca="1" si="35"/>
        <v/>
      </c>
      <c r="AT119" s="966" t="str">
        <f t="shared" ca="1" si="35"/>
        <v/>
      </c>
      <c r="AU119" s="966" t="str">
        <f t="shared" ca="1" si="35"/>
        <v/>
      </c>
      <c r="AV119" s="966" t="str">
        <f t="shared" ca="1" si="35"/>
        <v/>
      </c>
      <c r="AW119" s="966" t="str">
        <f t="shared" ca="1" si="35"/>
        <v/>
      </c>
      <c r="AX119" s="966" t="str">
        <f t="shared" ca="1" si="35"/>
        <v/>
      </c>
      <c r="AY119" s="966" t="str">
        <f t="shared" ca="1" si="35"/>
        <v/>
      </c>
      <c r="AZ119" s="966" t="str">
        <f t="shared" ca="1" si="35"/>
        <v/>
      </c>
      <c r="BA119" s="966" t="str">
        <f t="shared" ca="1" si="35"/>
        <v/>
      </c>
      <c r="BB119" s="966" t="str">
        <f t="shared" ca="1" si="35"/>
        <v/>
      </c>
      <c r="BC119" s="966" t="str">
        <f t="shared" ca="1" si="35"/>
        <v/>
      </c>
      <c r="BD119" s="966" t="str">
        <f t="shared" ca="1" si="35"/>
        <v/>
      </c>
      <c r="BE119" s="966" t="str">
        <f t="shared" ca="1" si="35"/>
        <v/>
      </c>
      <c r="BF119" s="966" t="str">
        <f t="shared" ca="1" si="35"/>
        <v/>
      </c>
      <c r="BG119" s="966" t="str">
        <f t="shared" ca="1" si="35"/>
        <v/>
      </c>
      <c r="BH119" s="966" t="str">
        <f t="shared" ca="1" si="35"/>
        <v/>
      </c>
      <c r="BI119" s="966" t="str">
        <f t="shared" ca="1" si="35"/>
        <v/>
      </c>
      <c r="BJ119" s="966" t="str">
        <f t="shared" ca="1" si="35"/>
        <v/>
      </c>
      <c r="BK119" s="966" t="str">
        <f t="shared" ca="1" si="35"/>
        <v/>
      </c>
      <c r="BL119" s="966" t="str">
        <f t="shared" ca="1" si="35"/>
        <v/>
      </c>
      <c r="BM119" s="966" t="str">
        <f t="shared" ca="1" si="35"/>
        <v/>
      </c>
      <c r="BN119" s="966" t="str">
        <f t="shared" ca="1" si="35"/>
        <v/>
      </c>
      <c r="BO119" s="966" t="str">
        <f t="shared" ca="1" si="35"/>
        <v/>
      </c>
    </row>
    <row r="120" spans="2:68" ht="20.100000000000001" hidden="1" customHeight="1" outlineLevel="1">
      <c r="B120" s="1649"/>
      <c r="C120" s="1646"/>
      <c r="D120" s="920" t="s">
        <v>350</v>
      </c>
      <c r="E120" s="920"/>
      <c r="F120" s="964"/>
      <c r="G120" s="965" t="s">
        <v>1281</v>
      </c>
      <c r="H120" s="966"/>
      <c r="I120" s="966"/>
      <c r="J120" s="966"/>
      <c r="K120" s="966"/>
      <c r="L120" s="966">
        <f t="shared" ca="1" si="36"/>
        <v>0</v>
      </c>
      <c r="M120" s="966">
        <f t="shared" ca="1" si="35"/>
        <v>0</v>
      </c>
      <c r="N120" s="966">
        <f t="shared" ca="1" si="35"/>
        <v>0</v>
      </c>
      <c r="O120" s="966">
        <f t="shared" ca="1" si="35"/>
        <v>0</v>
      </c>
      <c r="P120" s="966">
        <f t="shared" ca="1" si="35"/>
        <v>0</v>
      </c>
      <c r="Q120" s="966">
        <f t="shared" ca="1" si="35"/>
        <v>0</v>
      </c>
      <c r="R120" s="966">
        <f t="shared" ca="1" si="35"/>
        <v>0</v>
      </c>
      <c r="S120" s="966">
        <f t="shared" ca="1" si="35"/>
        <v>0</v>
      </c>
      <c r="T120" s="966">
        <f t="shared" ca="1" si="35"/>
        <v>0</v>
      </c>
      <c r="U120" s="966">
        <f t="shared" ca="1" si="35"/>
        <v>0</v>
      </c>
      <c r="V120" s="966">
        <f t="shared" ca="1" si="35"/>
        <v>0</v>
      </c>
      <c r="W120" s="966">
        <f t="shared" ca="1" si="35"/>
        <v>0</v>
      </c>
      <c r="X120" s="966">
        <f t="shared" ca="1" si="35"/>
        <v>0</v>
      </c>
      <c r="Y120" s="966">
        <f t="shared" ca="1" si="35"/>
        <v>0</v>
      </c>
      <c r="Z120" s="966">
        <f t="shared" ca="1" si="35"/>
        <v>0</v>
      </c>
      <c r="AA120" s="966">
        <f t="shared" ca="1" si="35"/>
        <v>0</v>
      </c>
      <c r="AB120" s="966" t="str">
        <f t="shared" ca="1" si="35"/>
        <v/>
      </c>
      <c r="AC120" s="966" t="str">
        <f t="shared" ca="1" si="35"/>
        <v/>
      </c>
      <c r="AD120" s="966" t="str">
        <f t="shared" ca="1" si="35"/>
        <v/>
      </c>
      <c r="AE120" s="966" t="str">
        <f t="shared" ca="1" si="35"/>
        <v/>
      </c>
      <c r="AF120" s="966" t="str">
        <f t="shared" ca="1" si="35"/>
        <v/>
      </c>
      <c r="AG120" s="966" t="str">
        <f t="shared" ca="1" si="35"/>
        <v/>
      </c>
      <c r="AH120" s="966" t="str">
        <f t="shared" ca="1" si="35"/>
        <v/>
      </c>
      <c r="AI120" s="966" t="str">
        <f t="shared" ca="1" si="35"/>
        <v/>
      </c>
      <c r="AJ120" s="966" t="str">
        <f t="shared" ca="1" si="35"/>
        <v/>
      </c>
      <c r="AK120" s="966" t="str">
        <f t="shared" ca="1" si="35"/>
        <v/>
      </c>
      <c r="AL120" s="966" t="str">
        <f t="shared" ca="1" si="35"/>
        <v/>
      </c>
      <c r="AM120" s="966" t="str">
        <f t="shared" ca="1" si="35"/>
        <v/>
      </c>
      <c r="AN120" s="966" t="str">
        <f t="shared" ca="1" si="35"/>
        <v/>
      </c>
      <c r="AO120" s="966" t="str">
        <f t="shared" ca="1" si="35"/>
        <v/>
      </c>
      <c r="AP120" s="966" t="str">
        <f t="shared" ca="1" si="35"/>
        <v/>
      </c>
      <c r="AQ120" s="966" t="str">
        <f t="shared" ca="1" si="35"/>
        <v/>
      </c>
      <c r="AR120" s="966" t="str">
        <f t="shared" ca="1" si="35"/>
        <v/>
      </c>
      <c r="AS120" s="966" t="str">
        <f t="shared" ca="1" si="35"/>
        <v/>
      </c>
      <c r="AT120" s="966" t="str">
        <f t="shared" ca="1" si="35"/>
        <v/>
      </c>
      <c r="AU120" s="966" t="str">
        <f t="shared" ca="1" si="35"/>
        <v/>
      </c>
      <c r="AV120" s="966" t="str">
        <f t="shared" ca="1" si="35"/>
        <v/>
      </c>
      <c r="AW120" s="966" t="str">
        <f t="shared" ca="1" si="35"/>
        <v/>
      </c>
      <c r="AX120" s="966" t="str">
        <f t="shared" ca="1" si="35"/>
        <v/>
      </c>
      <c r="AY120" s="966" t="str">
        <f t="shared" ca="1" si="35"/>
        <v/>
      </c>
      <c r="AZ120" s="966" t="str">
        <f t="shared" ca="1" si="35"/>
        <v/>
      </c>
      <c r="BA120" s="966" t="str">
        <f t="shared" ca="1" si="35"/>
        <v/>
      </c>
      <c r="BB120" s="966" t="str">
        <f t="shared" ca="1" si="35"/>
        <v/>
      </c>
      <c r="BC120" s="966" t="str">
        <f t="shared" ca="1" si="35"/>
        <v/>
      </c>
      <c r="BD120" s="966" t="str">
        <f t="shared" ca="1" si="35"/>
        <v/>
      </c>
      <c r="BE120" s="966" t="str">
        <f t="shared" ca="1" si="35"/>
        <v/>
      </c>
      <c r="BF120" s="966" t="str">
        <f t="shared" ca="1" si="35"/>
        <v/>
      </c>
      <c r="BG120" s="966" t="str">
        <f t="shared" ca="1" si="35"/>
        <v/>
      </c>
      <c r="BH120" s="966" t="str">
        <f t="shared" ca="1" si="35"/>
        <v/>
      </c>
      <c r="BI120" s="966" t="str">
        <f t="shared" ca="1" si="35"/>
        <v/>
      </c>
      <c r="BJ120" s="966" t="str">
        <f t="shared" ca="1" si="35"/>
        <v/>
      </c>
      <c r="BK120" s="966" t="str">
        <f t="shared" ca="1" si="35"/>
        <v/>
      </c>
      <c r="BL120" s="966" t="str">
        <f t="shared" ca="1" si="35"/>
        <v/>
      </c>
      <c r="BM120" s="966" t="str">
        <f t="shared" ca="1" si="35"/>
        <v/>
      </c>
      <c r="BN120" s="966" t="str">
        <f t="shared" ca="1" si="35"/>
        <v/>
      </c>
      <c r="BO120" s="966" t="str">
        <f t="shared" ca="1" si="35"/>
        <v/>
      </c>
    </row>
    <row r="121" spans="2:68" ht="20.100000000000001" hidden="1" customHeight="1" outlineLevel="1">
      <c r="B121" s="1648"/>
      <c r="C121" s="1646"/>
      <c r="D121" s="920" t="s">
        <v>351</v>
      </c>
      <c r="E121" s="920"/>
      <c r="F121" s="964"/>
      <c r="G121" s="965" t="s">
        <v>1281</v>
      </c>
      <c r="H121" s="966"/>
      <c r="I121" s="966"/>
      <c r="J121" s="966"/>
      <c r="K121" s="966"/>
      <c r="L121" s="966">
        <f t="shared" ca="1" si="36"/>
        <v>0</v>
      </c>
      <c r="M121" s="966">
        <f t="shared" ca="1" si="35"/>
        <v>0</v>
      </c>
      <c r="N121" s="966">
        <f t="shared" ca="1" si="35"/>
        <v>0</v>
      </c>
      <c r="O121" s="966">
        <f t="shared" ca="1" si="35"/>
        <v>0</v>
      </c>
      <c r="P121" s="966">
        <f t="shared" ca="1" si="35"/>
        <v>0</v>
      </c>
      <c r="Q121" s="966">
        <f t="shared" ca="1" si="35"/>
        <v>0</v>
      </c>
      <c r="R121" s="966">
        <f t="shared" ca="1" si="35"/>
        <v>0</v>
      </c>
      <c r="S121" s="966">
        <f t="shared" ca="1" si="35"/>
        <v>0</v>
      </c>
      <c r="T121" s="966">
        <f t="shared" ca="1" si="35"/>
        <v>0</v>
      </c>
      <c r="U121" s="966">
        <f t="shared" ca="1" si="35"/>
        <v>0</v>
      </c>
      <c r="V121" s="966">
        <f t="shared" ca="1" si="35"/>
        <v>0</v>
      </c>
      <c r="W121" s="966">
        <f t="shared" ca="1" si="35"/>
        <v>0</v>
      </c>
      <c r="X121" s="966">
        <f t="shared" ca="1" si="35"/>
        <v>0</v>
      </c>
      <c r="Y121" s="966">
        <f t="shared" ca="1" si="35"/>
        <v>0</v>
      </c>
      <c r="Z121" s="966">
        <f t="shared" ca="1" si="35"/>
        <v>0</v>
      </c>
      <c r="AA121" s="966">
        <f t="shared" ca="1" si="35"/>
        <v>0</v>
      </c>
      <c r="AB121" s="966" t="str">
        <f t="shared" ca="1" si="35"/>
        <v/>
      </c>
      <c r="AC121" s="966" t="str">
        <f t="shared" ca="1" si="35"/>
        <v/>
      </c>
      <c r="AD121" s="966" t="str">
        <f t="shared" ca="1" si="35"/>
        <v/>
      </c>
      <c r="AE121" s="966" t="str">
        <f t="shared" ca="1" si="35"/>
        <v/>
      </c>
      <c r="AF121" s="966" t="str">
        <f t="shared" ca="1" si="35"/>
        <v/>
      </c>
      <c r="AG121" s="966" t="str">
        <f t="shared" ca="1" si="35"/>
        <v/>
      </c>
      <c r="AH121" s="966" t="str">
        <f t="shared" ca="1" si="35"/>
        <v/>
      </c>
      <c r="AI121" s="966" t="str">
        <f t="shared" ca="1" si="35"/>
        <v/>
      </c>
      <c r="AJ121" s="966" t="str">
        <f t="shared" ca="1" si="35"/>
        <v/>
      </c>
      <c r="AK121" s="966" t="str">
        <f t="shared" ca="1" si="35"/>
        <v/>
      </c>
      <c r="AL121" s="966" t="str">
        <f t="shared" ca="1" si="35"/>
        <v/>
      </c>
      <c r="AM121" s="966" t="str">
        <f t="shared" ca="1" si="35"/>
        <v/>
      </c>
      <c r="AN121" s="966" t="str">
        <f t="shared" ca="1" si="35"/>
        <v/>
      </c>
      <c r="AO121" s="966" t="str">
        <f t="shared" ca="1" si="35"/>
        <v/>
      </c>
      <c r="AP121" s="966" t="str">
        <f t="shared" ca="1" si="35"/>
        <v/>
      </c>
      <c r="AQ121" s="966" t="str">
        <f t="shared" ca="1" si="35"/>
        <v/>
      </c>
      <c r="AR121" s="966" t="str">
        <f t="shared" ca="1" si="35"/>
        <v/>
      </c>
      <c r="AS121" s="966" t="str">
        <f t="shared" ca="1" si="35"/>
        <v/>
      </c>
      <c r="AT121" s="966" t="str">
        <f t="shared" ca="1" si="35"/>
        <v/>
      </c>
      <c r="AU121" s="966" t="str">
        <f t="shared" ca="1" si="35"/>
        <v/>
      </c>
      <c r="AV121" s="966" t="str">
        <f t="shared" ca="1" si="35"/>
        <v/>
      </c>
      <c r="AW121" s="966" t="str">
        <f t="shared" ca="1" si="35"/>
        <v/>
      </c>
      <c r="AX121" s="966" t="str">
        <f t="shared" ca="1" si="35"/>
        <v/>
      </c>
      <c r="AY121" s="966" t="str">
        <f t="shared" ca="1" si="35"/>
        <v/>
      </c>
      <c r="AZ121" s="966" t="str">
        <f t="shared" ca="1" si="35"/>
        <v/>
      </c>
      <c r="BA121" s="966" t="str">
        <f t="shared" ca="1" si="35"/>
        <v/>
      </c>
      <c r="BB121" s="966" t="str">
        <f t="shared" ca="1" si="35"/>
        <v/>
      </c>
      <c r="BC121" s="966" t="str">
        <f t="shared" ca="1" si="35"/>
        <v/>
      </c>
      <c r="BD121" s="966" t="str">
        <f t="shared" ca="1" si="35"/>
        <v/>
      </c>
      <c r="BE121" s="966" t="str">
        <f t="shared" ca="1" si="35"/>
        <v/>
      </c>
      <c r="BF121" s="966" t="str">
        <f t="shared" ca="1" si="35"/>
        <v/>
      </c>
      <c r="BG121" s="966" t="str">
        <f t="shared" ca="1" si="35"/>
        <v/>
      </c>
      <c r="BH121" s="966" t="str">
        <f t="shared" ca="1" si="35"/>
        <v/>
      </c>
      <c r="BI121" s="966" t="str">
        <f t="shared" ca="1" si="35"/>
        <v/>
      </c>
      <c r="BJ121" s="966" t="str">
        <f t="shared" ca="1" si="35"/>
        <v/>
      </c>
      <c r="BK121" s="966" t="str">
        <f t="shared" ca="1" si="35"/>
        <v/>
      </c>
      <c r="BL121" s="966" t="str">
        <f t="shared" ca="1" si="35"/>
        <v/>
      </c>
      <c r="BM121" s="966" t="str">
        <f t="shared" ca="1" si="35"/>
        <v/>
      </c>
      <c r="BN121" s="966" t="str">
        <f t="shared" ca="1" si="35"/>
        <v/>
      </c>
      <c r="BO121" s="966" t="str">
        <f t="shared" ca="1" si="35"/>
        <v/>
      </c>
    </row>
    <row r="122" spans="2:68" ht="20.100000000000001" hidden="1" customHeight="1" outlineLevel="1">
      <c r="B122" s="1648"/>
      <c r="C122" s="1646"/>
      <c r="D122" s="920" t="s">
        <v>352</v>
      </c>
      <c r="E122" s="920"/>
      <c r="F122" s="964"/>
      <c r="G122" s="965" t="s">
        <v>1281</v>
      </c>
      <c r="H122" s="966"/>
      <c r="I122" s="966"/>
      <c r="J122" s="966"/>
      <c r="K122" s="966"/>
      <c r="L122" s="966">
        <f t="shared" ca="1" si="36"/>
        <v>0</v>
      </c>
      <c r="M122" s="966">
        <f t="shared" ca="1" si="35"/>
        <v>0</v>
      </c>
      <c r="N122" s="966">
        <f t="shared" ca="1" si="35"/>
        <v>0</v>
      </c>
      <c r="O122" s="966">
        <f t="shared" ca="1" si="35"/>
        <v>0</v>
      </c>
      <c r="P122" s="966">
        <f t="shared" ca="1" si="35"/>
        <v>0</v>
      </c>
      <c r="Q122" s="966">
        <f t="shared" ca="1" si="35"/>
        <v>0</v>
      </c>
      <c r="R122" s="966">
        <f t="shared" ca="1" si="35"/>
        <v>0</v>
      </c>
      <c r="S122" s="966">
        <f t="shared" ca="1" si="35"/>
        <v>0</v>
      </c>
      <c r="T122" s="966">
        <f t="shared" ca="1" si="35"/>
        <v>0</v>
      </c>
      <c r="U122" s="966">
        <f t="shared" ca="1" si="35"/>
        <v>0</v>
      </c>
      <c r="V122" s="966">
        <f t="shared" ca="1" si="35"/>
        <v>0</v>
      </c>
      <c r="W122" s="966">
        <f t="shared" ca="1" si="35"/>
        <v>0</v>
      </c>
      <c r="X122" s="966">
        <f t="shared" ca="1" si="35"/>
        <v>0</v>
      </c>
      <c r="Y122" s="966">
        <f t="shared" ca="1" si="35"/>
        <v>0</v>
      </c>
      <c r="Z122" s="966">
        <f t="shared" ca="1" si="35"/>
        <v>0</v>
      </c>
      <c r="AA122" s="966">
        <f t="shared" ca="1" si="35"/>
        <v>0</v>
      </c>
      <c r="AB122" s="966" t="str">
        <f t="shared" ca="1" si="35"/>
        <v/>
      </c>
      <c r="AC122" s="966" t="str">
        <f t="shared" ca="1" si="35"/>
        <v/>
      </c>
      <c r="AD122" s="966" t="str">
        <f t="shared" ca="1" si="35"/>
        <v/>
      </c>
      <c r="AE122" s="966" t="str">
        <f t="shared" ca="1" si="35"/>
        <v/>
      </c>
      <c r="AF122" s="966" t="str">
        <f t="shared" ca="1" si="35"/>
        <v/>
      </c>
      <c r="AG122" s="966" t="str">
        <f t="shared" ca="1" si="35"/>
        <v/>
      </c>
      <c r="AH122" s="966" t="str">
        <f t="shared" ca="1" si="35"/>
        <v/>
      </c>
      <c r="AI122" s="966" t="str">
        <f t="shared" ca="1" si="35"/>
        <v/>
      </c>
      <c r="AJ122" s="966" t="str">
        <f t="shared" ca="1" si="35"/>
        <v/>
      </c>
      <c r="AK122" s="966" t="str">
        <f t="shared" ca="1" si="35"/>
        <v/>
      </c>
      <c r="AL122" s="966" t="str">
        <f t="shared" ca="1" si="35"/>
        <v/>
      </c>
      <c r="AM122" s="966" t="str">
        <f t="shared" ca="1" si="35"/>
        <v/>
      </c>
      <c r="AN122" s="966" t="str">
        <f t="shared" ca="1" si="35"/>
        <v/>
      </c>
      <c r="AO122" s="966" t="str">
        <f t="shared" ca="1" si="35"/>
        <v/>
      </c>
      <c r="AP122" s="966" t="str">
        <f t="shared" ca="1" si="35"/>
        <v/>
      </c>
      <c r="AQ122" s="966" t="str">
        <f t="shared" ca="1" si="35"/>
        <v/>
      </c>
      <c r="AR122" s="966" t="str">
        <f t="shared" ca="1" si="35"/>
        <v/>
      </c>
      <c r="AS122" s="966" t="str">
        <f t="shared" ca="1" si="35"/>
        <v/>
      </c>
      <c r="AT122" s="966" t="str">
        <f t="shared" ca="1" si="35"/>
        <v/>
      </c>
      <c r="AU122" s="966" t="str">
        <f t="shared" ca="1" si="35"/>
        <v/>
      </c>
      <c r="AV122" s="966" t="str">
        <f t="shared" ca="1" si="35"/>
        <v/>
      </c>
      <c r="AW122" s="966" t="str">
        <f t="shared" ca="1" si="35"/>
        <v/>
      </c>
      <c r="AX122" s="966" t="str">
        <f t="shared" ca="1" si="35"/>
        <v/>
      </c>
      <c r="AY122" s="966" t="str">
        <f t="shared" ca="1" si="35"/>
        <v/>
      </c>
      <c r="AZ122" s="966" t="str">
        <f t="shared" ca="1" si="35"/>
        <v/>
      </c>
      <c r="BA122" s="966" t="str">
        <f t="shared" ca="1" si="35"/>
        <v/>
      </c>
      <c r="BB122" s="966" t="str">
        <f t="shared" ca="1" si="35"/>
        <v/>
      </c>
      <c r="BC122" s="966" t="str">
        <f t="shared" ca="1" si="35"/>
        <v/>
      </c>
      <c r="BD122" s="966" t="str">
        <f t="shared" ca="1" si="35"/>
        <v/>
      </c>
      <c r="BE122" s="966" t="str">
        <f t="shared" ca="1" si="35"/>
        <v/>
      </c>
      <c r="BF122" s="966" t="str">
        <f t="shared" ca="1" si="35"/>
        <v/>
      </c>
      <c r="BG122" s="966" t="str">
        <f t="shared" ca="1" si="35"/>
        <v/>
      </c>
      <c r="BH122" s="966" t="str">
        <f t="shared" ca="1" si="35"/>
        <v/>
      </c>
      <c r="BI122" s="966" t="str">
        <f t="shared" ca="1" si="35"/>
        <v/>
      </c>
      <c r="BJ122" s="966" t="str">
        <f t="shared" ca="1" si="35"/>
        <v/>
      </c>
      <c r="BK122" s="966" t="str">
        <f t="shared" ref="BK122:BO122" ca="1" si="37">BK12</f>
        <v/>
      </c>
      <c r="BL122" s="966" t="str">
        <f t="shared" ca="1" si="37"/>
        <v/>
      </c>
      <c r="BM122" s="966" t="str">
        <f t="shared" ca="1" si="37"/>
        <v/>
      </c>
      <c r="BN122" s="966" t="str">
        <f t="shared" ca="1" si="37"/>
        <v/>
      </c>
      <c r="BO122" s="966" t="str">
        <f t="shared" ca="1" si="37"/>
        <v/>
      </c>
    </row>
    <row r="123" spans="2:68" ht="20.100000000000001" hidden="1" customHeight="1" outlineLevel="1">
      <c r="B123" s="1649"/>
      <c r="C123" s="1646"/>
      <c r="D123" s="920" t="s">
        <v>353</v>
      </c>
      <c r="E123" s="920"/>
      <c r="F123" s="964"/>
      <c r="G123" s="965" t="s">
        <v>1281</v>
      </c>
      <c r="H123" s="966"/>
      <c r="I123" s="966"/>
      <c r="J123" s="966"/>
      <c r="K123" s="966"/>
      <c r="L123" s="966">
        <f t="shared" ca="1" si="36"/>
        <v>0</v>
      </c>
      <c r="M123" s="966">
        <f t="shared" ca="1" si="36"/>
        <v>0</v>
      </c>
      <c r="N123" s="966">
        <f t="shared" ca="1" si="36"/>
        <v>0</v>
      </c>
      <c r="O123" s="966">
        <f t="shared" ca="1" si="36"/>
        <v>0</v>
      </c>
      <c r="P123" s="966">
        <f t="shared" ca="1" si="36"/>
        <v>0</v>
      </c>
      <c r="Q123" s="966">
        <f t="shared" ca="1" si="36"/>
        <v>0</v>
      </c>
      <c r="R123" s="966">
        <f t="shared" ca="1" si="36"/>
        <v>0</v>
      </c>
      <c r="S123" s="966">
        <f t="shared" ca="1" si="36"/>
        <v>0</v>
      </c>
      <c r="T123" s="966">
        <f t="shared" ca="1" si="36"/>
        <v>0</v>
      </c>
      <c r="U123" s="966">
        <f t="shared" ca="1" si="36"/>
        <v>0</v>
      </c>
      <c r="V123" s="966">
        <f t="shared" ca="1" si="36"/>
        <v>0</v>
      </c>
      <c r="W123" s="966">
        <f t="shared" ca="1" si="36"/>
        <v>0</v>
      </c>
      <c r="X123" s="966">
        <f t="shared" ca="1" si="36"/>
        <v>0</v>
      </c>
      <c r="Y123" s="966">
        <f t="shared" ca="1" si="36"/>
        <v>0</v>
      </c>
      <c r="Z123" s="966">
        <f t="shared" ca="1" si="36"/>
        <v>0</v>
      </c>
      <c r="AA123" s="966">
        <f t="shared" ca="1" si="36"/>
        <v>0</v>
      </c>
      <c r="AB123" s="966" t="str">
        <f t="shared" ref="AB123:BO129" ca="1" si="38">AB13</f>
        <v/>
      </c>
      <c r="AC123" s="966" t="str">
        <f t="shared" ca="1" si="38"/>
        <v/>
      </c>
      <c r="AD123" s="966" t="str">
        <f t="shared" ca="1" si="38"/>
        <v/>
      </c>
      <c r="AE123" s="966" t="str">
        <f t="shared" ca="1" si="38"/>
        <v/>
      </c>
      <c r="AF123" s="966" t="str">
        <f t="shared" ca="1" si="38"/>
        <v/>
      </c>
      <c r="AG123" s="966" t="str">
        <f t="shared" ca="1" si="38"/>
        <v/>
      </c>
      <c r="AH123" s="966" t="str">
        <f t="shared" ca="1" si="38"/>
        <v/>
      </c>
      <c r="AI123" s="966" t="str">
        <f t="shared" ca="1" si="38"/>
        <v/>
      </c>
      <c r="AJ123" s="966" t="str">
        <f t="shared" ca="1" si="38"/>
        <v/>
      </c>
      <c r="AK123" s="966" t="str">
        <f t="shared" ca="1" si="38"/>
        <v/>
      </c>
      <c r="AL123" s="966" t="str">
        <f t="shared" ca="1" si="38"/>
        <v/>
      </c>
      <c r="AM123" s="966" t="str">
        <f t="shared" ca="1" si="38"/>
        <v/>
      </c>
      <c r="AN123" s="966" t="str">
        <f t="shared" ca="1" si="38"/>
        <v/>
      </c>
      <c r="AO123" s="966" t="str">
        <f t="shared" ca="1" si="38"/>
        <v/>
      </c>
      <c r="AP123" s="966" t="str">
        <f t="shared" ca="1" si="38"/>
        <v/>
      </c>
      <c r="AQ123" s="966" t="str">
        <f t="shared" ca="1" si="38"/>
        <v/>
      </c>
      <c r="AR123" s="966" t="str">
        <f t="shared" ca="1" si="38"/>
        <v/>
      </c>
      <c r="AS123" s="966" t="str">
        <f t="shared" ca="1" si="38"/>
        <v/>
      </c>
      <c r="AT123" s="966" t="str">
        <f t="shared" ca="1" si="38"/>
        <v/>
      </c>
      <c r="AU123" s="966" t="str">
        <f t="shared" ca="1" si="38"/>
        <v/>
      </c>
      <c r="AV123" s="966" t="str">
        <f t="shared" ca="1" si="38"/>
        <v/>
      </c>
      <c r="AW123" s="966" t="str">
        <f t="shared" ca="1" si="38"/>
        <v/>
      </c>
      <c r="AX123" s="966" t="str">
        <f t="shared" ca="1" si="38"/>
        <v/>
      </c>
      <c r="AY123" s="966" t="str">
        <f t="shared" ca="1" si="38"/>
        <v/>
      </c>
      <c r="AZ123" s="966" t="str">
        <f t="shared" ca="1" si="38"/>
        <v/>
      </c>
      <c r="BA123" s="966" t="str">
        <f t="shared" ca="1" si="38"/>
        <v/>
      </c>
      <c r="BB123" s="966" t="str">
        <f t="shared" ca="1" si="38"/>
        <v/>
      </c>
      <c r="BC123" s="966" t="str">
        <f t="shared" ca="1" si="38"/>
        <v/>
      </c>
      <c r="BD123" s="966" t="str">
        <f t="shared" ca="1" si="38"/>
        <v/>
      </c>
      <c r="BE123" s="966" t="str">
        <f t="shared" ca="1" si="38"/>
        <v/>
      </c>
      <c r="BF123" s="966" t="str">
        <f t="shared" ca="1" si="38"/>
        <v/>
      </c>
      <c r="BG123" s="966" t="str">
        <f t="shared" ca="1" si="38"/>
        <v/>
      </c>
      <c r="BH123" s="966" t="str">
        <f t="shared" ca="1" si="38"/>
        <v/>
      </c>
      <c r="BI123" s="966" t="str">
        <f t="shared" ca="1" si="38"/>
        <v/>
      </c>
      <c r="BJ123" s="966" t="str">
        <f t="shared" ca="1" si="38"/>
        <v/>
      </c>
      <c r="BK123" s="966" t="str">
        <f t="shared" ca="1" si="38"/>
        <v/>
      </c>
      <c r="BL123" s="966" t="str">
        <f t="shared" ca="1" si="38"/>
        <v/>
      </c>
      <c r="BM123" s="966" t="str">
        <f t="shared" ca="1" si="38"/>
        <v/>
      </c>
      <c r="BN123" s="966" t="str">
        <f t="shared" ca="1" si="38"/>
        <v/>
      </c>
      <c r="BO123" s="966" t="str">
        <f t="shared" ca="1" si="38"/>
        <v/>
      </c>
    </row>
    <row r="124" spans="2:68" ht="20.100000000000001" hidden="1" customHeight="1" outlineLevel="1">
      <c r="B124" s="1649"/>
      <c r="C124" s="1646"/>
      <c r="D124" s="920" t="s">
        <v>354</v>
      </c>
      <c r="E124" s="920"/>
      <c r="F124" s="964"/>
      <c r="G124" s="965" t="s">
        <v>1281</v>
      </c>
      <c r="H124" s="966"/>
      <c r="I124" s="966"/>
      <c r="J124" s="966"/>
      <c r="K124" s="966"/>
      <c r="L124" s="966">
        <f t="shared" ca="1" si="36"/>
        <v>0</v>
      </c>
      <c r="M124" s="966">
        <f t="shared" ca="1" si="36"/>
        <v>0</v>
      </c>
      <c r="N124" s="966">
        <f t="shared" ca="1" si="36"/>
        <v>0</v>
      </c>
      <c r="O124" s="966">
        <f t="shared" ca="1" si="36"/>
        <v>0</v>
      </c>
      <c r="P124" s="966">
        <f t="shared" ca="1" si="36"/>
        <v>0</v>
      </c>
      <c r="Q124" s="966">
        <f t="shared" ca="1" si="36"/>
        <v>0</v>
      </c>
      <c r="R124" s="966">
        <f t="shared" ca="1" si="36"/>
        <v>0</v>
      </c>
      <c r="S124" s="966">
        <f t="shared" ca="1" si="36"/>
        <v>0</v>
      </c>
      <c r="T124" s="966">
        <f t="shared" ca="1" si="36"/>
        <v>0</v>
      </c>
      <c r="U124" s="966">
        <f t="shared" ca="1" si="36"/>
        <v>0</v>
      </c>
      <c r="V124" s="966">
        <f t="shared" ca="1" si="36"/>
        <v>0</v>
      </c>
      <c r="W124" s="966">
        <f t="shared" ca="1" si="36"/>
        <v>0</v>
      </c>
      <c r="X124" s="966">
        <f t="shared" ca="1" si="36"/>
        <v>0</v>
      </c>
      <c r="Y124" s="966">
        <f t="shared" ca="1" si="36"/>
        <v>0</v>
      </c>
      <c r="Z124" s="966">
        <f t="shared" ca="1" si="36"/>
        <v>0</v>
      </c>
      <c r="AA124" s="966">
        <f t="shared" ca="1" si="36"/>
        <v>0</v>
      </c>
      <c r="AB124" s="966" t="str">
        <f t="shared" ca="1" si="38"/>
        <v/>
      </c>
      <c r="AC124" s="966" t="str">
        <f t="shared" ca="1" si="38"/>
        <v/>
      </c>
      <c r="AD124" s="966" t="str">
        <f t="shared" ca="1" si="38"/>
        <v/>
      </c>
      <c r="AE124" s="966" t="str">
        <f t="shared" ca="1" si="38"/>
        <v/>
      </c>
      <c r="AF124" s="966" t="str">
        <f t="shared" ca="1" si="38"/>
        <v/>
      </c>
      <c r="AG124" s="966" t="str">
        <f t="shared" ca="1" si="38"/>
        <v/>
      </c>
      <c r="AH124" s="966" t="str">
        <f t="shared" ca="1" si="38"/>
        <v/>
      </c>
      <c r="AI124" s="966" t="str">
        <f t="shared" ca="1" si="38"/>
        <v/>
      </c>
      <c r="AJ124" s="966" t="str">
        <f t="shared" ca="1" si="38"/>
        <v/>
      </c>
      <c r="AK124" s="966" t="str">
        <f t="shared" ca="1" si="38"/>
        <v/>
      </c>
      <c r="AL124" s="966" t="str">
        <f t="shared" ca="1" si="38"/>
        <v/>
      </c>
      <c r="AM124" s="966" t="str">
        <f t="shared" ca="1" si="38"/>
        <v/>
      </c>
      <c r="AN124" s="966" t="str">
        <f t="shared" ca="1" si="38"/>
        <v/>
      </c>
      <c r="AO124" s="966" t="str">
        <f t="shared" ca="1" si="38"/>
        <v/>
      </c>
      <c r="AP124" s="966" t="str">
        <f t="shared" ca="1" si="38"/>
        <v/>
      </c>
      <c r="AQ124" s="966" t="str">
        <f t="shared" ca="1" si="38"/>
        <v/>
      </c>
      <c r="AR124" s="966" t="str">
        <f t="shared" ca="1" si="38"/>
        <v/>
      </c>
      <c r="AS124" s="966" t="str">
        <f t="shared" ca="1" si="38"/>
        <v/>
      </c>
      <c r="AT124" s="966" t="str">
        <f t="shared" ca="1" si="38"/>
        <v/>
      </c>
      <c r="AU124" s="966" t="str">
        <f t="shared" ca="1" si="38"/>
        <v/>
      </c>
      <c r="AV124" s="966" t="str">
        <f t="shared" ca="1" si="38"/>
        <v/>
      </c>
      <c r="AW124" s="966" t="str">
        <f t="shared" ca="1" si="38"/>
        <v/>
      </c>
      <c r="AX124" s="966" t="str">
        <f t="shared" ca="1" si="38"/>
        <v/>
      </c>
      <c r="AY124" s="966" t="str">
        <f t="shared" ca="1" si="38"/>
        <v/>
      </c>
      <c r="AZ124" s="966" t="str">
        <f t="shared" ca="1" si="38"/>
        <v/>
      </c>
      <c r="BA124" s="966" t="str">
        <f t="shared" ca="1" si="38"/>
        <v/>
      </c>
      <c r="BB124" s="966" t="str">
        <f t="shared" ca="1" si="38"/>
        <v/>
      </c>
      <c r="BC124" s="966" t="str">
        <f t="shared" ca="1" si="38"/>
        <v/>
      </c>
      <c r="BD124" s="966" t="str">
        <f t="shared" ca="1" si="38"/>
        <v/>
      </c>
      <c r="BE124" s="966" t="str">
        <f t="shared" ca="1" si="38"/>
        <v/>
      </c>
      <c r="BF124" s="966" t="str">
        <f t="shared" ca="1" si="38"/>
        <v/>
      </c>
      <c r="BG124" s="966" t="str">
        <f t="shared" ca="1" si="38"/>
        <v/>
      </c>
      <c r="BH124" s="966" t="str">
        <f t="shared" ca="1" si="38"/>
        <v/>
      </c>
      <c r="BI124" s="966" t="str">
        <f t="shared" ca="1" si="38"/>
        <v/>
      </c>
      <c r="BJ124" s="966" t="str">
        <f t="shared" ca="1" si="38"/>
        <v/>
      </c>
      <c r="BK124" s="966" t="str">
        <f t="shared" ca="1" si="38"/>
        <v/>
      </c>
      <c r="BL124" s="966" t="str">
        <f t="shared" ca="1" si="38"/>
        <v/>
      </c>
      <c r="BM124" s="966" t="str">
        <f t="shared" ca="1" si="38"/>
        <v/>
      </c>
      <c r="BN124" s="966" t="str">
        <f t="shared" ca="1" si="38"/>
        <v/>
      </c>
      <c r="BO124" s="966" t="str">
        <f t="shared" ca="1" si="38"/>
        <v/>
      </c>
    </row>
    <row r="125" spans="2:68" ht="20.100000000000001" hidden="1" customHeight="1" outlineLevel="1">
      <c r="B125" s="1648"/>
      <c r="C125" s="1646"/>
      <c r="D125" s="920" t="s">
        <v>355</v>
      </c>
      <c r="E125" s="920"/>
      <c r="F125" s="964"/>
      <c r="G125" s="965" t="s">
        <v>1281</v>
      </c>
      <c r="H125" s="966"/>
      <c r="I125" s="966"/>
      <c r="J125" s="966"/>
      <c r="K125" s="966"/>
      <c r="L125" s="966">
        <f t="shared" ca="1" si="36"/>
        <v>0</v>
      </c>
      <c r="M125" s="966">
        <f t="shared" ca="1" si="36"/>
        <v>0</v>
      </c>
      <c r="N125" s="966">
        <f t="shared" ca="1" si="36"/>
        <v>0</v>
      </c>
      <c r="O125" s="966">
        <f t="shared" ca="1" si="36"/>
        <v>0</v>
      </c>
      <c r="P125" s="966">
        <f t="shared" ca="1" si="36"/>
        <v>0</v>
      </c>
      <c r="Q125" s="966">
        <f t="shared" ca="1" si="36"/>
        <v>0</v>
      </c>
      <c r="R125" s="966">
        <f t="shared" ca="1" si="36"/>
        <v>0</v>
      </c>
      <c r="S125" s="966">
        <f t="shared" ca="1" si="36"/>
        <v>0</v>
      </c>
      <c r="T125" s="966">
        <f t="shared" ca="1" si="36"/>
        <v>0</v>
      </c>
      <c r="U125" s="966">
        <f t="shared" ca="1" si="36"/>
        <v>0</v>
      </c>
      <c r="V125" s="966">
        <f t="shared" ca="1" si="36"/>
        <v>0</v>
      </c>
      <c r="W125" s="966">
        <f t="shared" ca="1" si="36"/>
        <v>0</v>
      </c>
      <c r="X125" s="966">
        <f t="shared" ca="1" si="36"/>
        <v>0</v>
      </c>
      <c r="Y125" s="966">
        <f t="shared" ca="1" si="36"/>
        <v>0</v>
      </c>
      <c r="Z125" s="966">
        <f t="shared" ca="1" si="36"/>
        <v>0</v>
      </c>
      <c r="AA125" s="966">
        <f t="shared" ca="1" si="36"/>
        <v>0</v>
      </c>
      <c r="AB125" s="966" t="str">
        <f t="shared" ca="1" si="38"/>
        <v/>
      </c>
      <c r="AC125" s="966" t="str">
        <f t="shared" ca="1" si="38"/>
        <v/>
      </c>
      <c r="AD125" s="966" t="str">
        <f t="shared" ca="1" si="38"/>
        <v/>
      </c>
      <c r="AE125" s="966" t="str">
        <f t="shared" ca="1" si="38"/>
        <v/>
      </c>
      <c r="AF125" s="966" t="str">
        <f t="shared" ca="1" si="38"/>
        <v/>
      </c>
      <c r="AG125" s="966" t="str">
        <f t="shared" ca="1" si="38"/>
        <v/>
      </c>
      <c r="AH125" s="966" t="str">
        <f t="shared" ca="1" si="38"/>
        <v/>
      </c>
      <c r="AI125" s="966" t="str">
        <f t="shared" ca="1" si="38"/>
        <v/>
      </c>
      <c r="AJ125" s="966" t="str">
        <f t="shared" ca="1" si="38"/>
        <v/>
      </c>
      <c r="AK125" s="966" t="str">
        <f t="shared" ca="1" si="38"/>
        <v/>
      </c>
      <c r="AL125" s="966" t="str">
        <f t="shared" ca="1" si="38"/>
        <v/>
      </c>
      <c r="AM125" s="966" t="str">
        <f t="shared" ca="1" si="38"/>
        <v/>
      </c>
      <c r="AN125" s="966" t="str">
        <f t="shared" ca="1" si="38"/>
        <v/>
      </c>
      <c r="AO125" s="966" t="str">
        <f t="shared" ca="1" si="38"/>
        <v/>
      </c>
      <c r="AP125" s="966" t="str">
        <f t="shared" ca="1" si="38"/>
        <v/>
      </c>
      <c r="AQ125" s="966" t="str">
        <f t="shared" ca="1" si="38"/>
        <v/>
      </c>
      <c r="AR125" s="966" t="str">
        <f t="shared" ca="1" si="38"/>
        <v/>
      </c>
      <c r="AS125" s="966" t="str">
        <f t="shared" ca="1" si="38"/>
        <v/>
      </c>
      <c r="AT125" s="966" t="str">
        <f t="shared" ca="1" si="38"/>
        <v/>
      </c>
      <c r="AU125" s="966" t="str">
        <f t="shared" ca="1" si="38"/>
        <v/>
      </c>
      <c r="AV125" s="966" t="str">
        <f t="shared" ca="1" si="38"/>
        <v/>
      </c>
      <c r="AW125" s="966" t="str">
        <f t="shared" ca="1" si="38"/>
        <v/>
      </c>
      <c r="AX125" s="966" t="str">
        <f t="shared" ca="1" si="38"/>
        <v/>
      </c>
      <c r="AY125" s="966" t="str">
        <f t="shared" ca="1" si="38"/>
        <v/>
      </c>
      <c r="AZ125" s="966" t="str">
        <f t="shared" ca="1" si="38"/>
        <v/>
      </c>
      <c r="BA125" s="966" t="str">
        <f t="shared" ca="1" si="38"/>
        <v/>
      </c>
      <c r="BB125" s="966" t="str">
        <f t="shared" ca="1" si="38"/>
        <v/>
      </c>
      <c r="BC125" s="966" t="str">
        <f t="shared" ca="1" si="38"/>
        <v/>
      </c>
      <c r="BD125" s="966" t="str">
        <f t="shared" ca="1" si="38"/>
        <v/>
      </c>
      <c r="BE125" s="966" t="str">
        <f t="shared" ca="1" si="38"/>
        <v/>
      </c>
      <c r="BF125" s="966" t="str">
        <f t="shared" ca="1" si="38"/>
        <v/>
      </c>
      <c r="BG125" s="966" t="str">
        <f t="shared" ca="1" si="38"/>
        <v/>
      </c>
      <c r="BH125" s="966" t="str">
        <f t="shared" ca="1" si="38"/>
        <v/>
      </c>
      <c r="BI125" s="966" t="str">
        <f t="shared" ca="1" si="38"/>
        <v/>
      </c>
      <c r="BJ125" s="966" t="str">
        <f t="shared" ca="1" si="38"/>
        <v/>
      </c>
      <c r="BK125" s="966" t="str">
        <f t="shared" ca="1" si="38"/>
        <v/>
      </c>
      <c r="BL125" s="966" t="str">
        <f t="shared" ca="1" si="38"/>
        <v/>
      </c>
      <c r="BM125" s="966" t="str">
        <f t="shared" ca="1" si="38"/>
        <v/>
      </c>
      <c r="BN125" s="966" t="str">
        <f t="shared" ca="1" si="38"/>
        <v/>
      </c>
      <c r="BO125" s="966" t="str">
        <f t="shared" ca="1" si="38"/>
        <v/>
      </c>
    </row>
    <row r="126" spans="2:68" ht="20.100000000000001" hidden="1" customHeight="1" outlineLevel="1">
      <c r="B126" s="1648"/>
      <c r="C126" s="1646"/>
      <c r="D126" s="920" t="s">
        <v>356</v>
      </c>
      <c r="E126" s="967"/>
      <c r="F126" s="964"/>
      <c r="G126" s="965" t="s">
        <v>1281</v>
      </c>
      <c r="H126" s="966"/>
      <c r="I126" s="966"/>
      <c r="J126" s="966"/>
      <c r="K126" s="966"/>
      <c r="L126" s="966">
        <f t="shared" ca="1" si="36"/>
        <v>0</v>
      </c>
      <c r="M126" s="966">
        <f t="shared" ca="1" si="36"/>
        <v>0</v>
      </c>
      <c r="N126" s="966">
        <f t="shared" ca="1" si="36"/>
        <v>0</v>
      </c>
      <c r="O126" s="966">
        <f t="shared" ca="1" si="36"/>
        <v>0</v>
      </c>
      <c r="P126" s="966">
        <f t="shared" ca="1" si="36"/>
        <v>0</v>
      </c>
      <c r="Q126" s="966">
        <f t="shared" ca="1" si="36"/>
        <v>0</v>
      </c>
      <c r="R126" s="966">
        <f t="shared" ca="1" si="36"/>
        <v>0</v>
      </c>
      <c r="S126" s="966">
        <f t="shared" ca="1" si="36"/>
        <v>0</v>
      </c>
      <c r="T126" s="966">
        <f t="shared" ca="1" si="36"/>
        <v>0</v>
      </c>
      <c r="U126" s="966">
        <f t="shared" ca="1" si="36"/>
        <v>0</v>
      </c>
      <c r="V126" s="966">
        <f t="shared" ca="1" si="36"/>
        <v>0</v>
      </c>
      <c r="W126" s="966">
        <f t="shared" ca="1" si="36"/>
        <v>0</v>
      </c>
      <c r="X126" s="966">
        <f t="shared" ca="1" si="36"/>
        <v>0</v>
      </c>
      <c r="Y126" s="966">
        <f t="shared" ca="1" si="36"/>
        <v>0</v>
      </c>
      <c r="Z126" s="966">
        <f t="shared" ca="1" si="36"/>
        <v>0</v>
      </c>
      <c r="AA126" s="966">
        <f t="shared" ca="1" si="36"/>
        <v>0</v>
      </c>
      <c r="AB126" s="966" t="str">
        <f t="shared" ca="1" si="38"/>
        <v/>
      </c>
      <c r="AC126" s="966" t="str">
        <f t="shared" ca="1" si="38"/>
        <v/>
      </c>
      <c r="AD126" s="966" t="str">
        <f t="shared" ca="1" si="38"/>
        <v/>
      </c>
      <c r="AE126" s="966" t="str">
        <f t="shared" ca="1" si="38"/>
        <v/>
      </c>
      <c r="AF126" s="966" t="str">
        <f t="shared" ca="1" si="38"/>
        <v/>
      </c>
      <c r="AG126" s="966" t="str">
        <f t="shared" ca="1" si="38"/>
        <v/>
      </c>
      <c r="AH126" s="966" t="str">
        <f t="shared" ca="1" si="38"/>
        <v/>
      </c>
      <c r="AI126" s="966" t="str">
        <f t="shared" ca="1" si="38"/>
        <v/>
      </c>
      <c r="AJ126" s="966" t="str">
        <f t="shared" ca="1" si="38"/>
        <v/>
      </c>
      <c r="AK126" s="966" t="str">
        <f t="shared" ca="1" si="38"/>
        <v/>
      </c>
      <c r="AL126" s="966" t="str">
        <f t="shared" ca="1" si="38"/>
        <v/>
      </c>
      <c r="AM126" s="966" t="str">
        <f t="shared" ca="1" si="38"/>
        <v/>
      </c>
      <c r="AN126" s="966" t="str">
        <f t="shared" ca="1" si="38"/>
        <v/>
      </c>
      <c r="AO126" s="966" t="str">
        <f t="shared" ca="1" si="38"/>
        <v/>
      </c>
      <c r="AP126" s="966" t="str">
        <f t="shared" ca="1" si="38"/>
        <v/>
      </c>
      <c r="AQ126" s="966" t="str">
        <f t="shared" ca="1" si="38"/>
        <v/>
      </c>
      <c r="AR126" s="966" t="str">
        <f t="shared" ca="1" si="38"/>
        <v/>
      </c>
      <c r="AS126" s="966" t="str">
        <f t="shared" ca="1" si="38"/>
        <v/>
      </c>
      <c r="AT126" s="966" t="str">
        <f t="shared" ca="1" si="38"/>
        <v/>
      </c>
      <c r="AU126" s="966" t="str">
        <f t="shared" ca="1" si="38"/>
        <v/>
      </c>
      <c r="AV126" s="966" t="str">
        <f t="shared" ca="1" si="38"/>
        <v/>
      </c>
      <c r="AW126" s="966" t="str">
        <f t="shared" ca="1" si="38"/>
        <v/>
      </c>
      <c r="AX126" s="966" t="str">
        <f t="shared" ca="1" si="38"/>
        <v/>
      </c>
      <c r="AY126" s="966" t="str">
        <f t="shared" ca="1" si="38"/>
        <v/>
      </c>
      <c r="AZ126" s="966" t="str">
        <f t="shared" ca="1" si="38"/>
        <v/>
      </c>
      <c r="BA126" s="966" t="str">
        <f t="shared" ca="1" si="38"/>
        <v/>
      </c>
      <c r="BB126" s="966" t="str">
        <f t="shared" ca="1" si="38"/>
        <v/>
      </c>
      <c r="BC126" s="966" t="str">
        <f t="shared" ca="1" si="38"/>
        <v/>
      </c>
      <c r="BD126" s="966" t="str">
        <f t="shared" ca="1" si="38"/>
        <v/>
      </c>
      <c r="BE126" s="966" t="str">
        <f t="shared" ca="1" si="38"/>
        <v/>
      </c>
      <c r="BF126" s="966" t="str">
        <f t="shared" ca="1" si="38"/>
        <v/>
      </c>
      <c r="BG126" s="966" t="str">
        <f t="shared" ca="1" si="38"/>
        <v/>
      </c>
      <c r="BH126" s="966" t="str">
        <f t="shared" ca="1" si="38"/>
        <v/>
      </c>
      <c r="BI126" s="966" t="str">
        <f t="shared" ca="1" si="38"/>
        <v/>
      </c>
      <c r="BJ126" s="966" t="str">
        <f t="shared" ca="1" si="38"/>
        <v/>
      </c>
      <c r="BK126" s="966" t="str">
        <f t="shared" ca="1" si="38"/>
        <v/>
      </c>
      <c r="BL126" s="966" t="str">
        <f t="shared" ca="1" si="38"/>
        <v/>
      </c>
      <c r="BM126" s="966" t="str">
        <f t="shared" ca="1" si="38"/>
        <v/>
      </c>
      <c r="BN126" s="966" t="str">
        <f t="shared" ca="1" si="38"/>
        <v/>
      </c>
      <c r="BO126" s="966" t="str">
        <f t="shared" ca="1" si="38"/>
        <v/>
      </c>
    </row>
    <row r="127" spans="2:68" ht="20.100000000000001" hidden="1" customHeight="1" outlineLevel="1">
      <c r="B127" s="1648"/>
      <c r="C127" s="1646"/>
      <c r="D127" s="920" t="s">
        <v>358</v>
      </c>
      <c r="E127" s="920"/>
      <c r="F127" s="964"/>
      <c r="G127" s="965" t="s">
        <v>1281</v>
      </c>
      <c r="H127" s="966"/>
      <c r="I127" s="966"/>
      <c r="J127" s="966"/>
      <c r="K127" s="966"/>
      <c r="L127" s="966">
        <f t="shared" ca="1" si="36"/>
        <v>0</v>
      </c>
      <c r="M127" s="966">
        <f t="shared" ca="1" si="36"/>
        <v>0</v>
      </c>
      <c r="N127" s="966">
        <f t="shared" ca="1" si="36"/>
        <v>0</v>
      </c>
      <c r="O127" s="966">
        <f t="shared" ca="1" si="36"/>
        <v>0</v>
      </c>
      <c r="P127" s="966">
        <f t="shared" ca="1" si="36"/>
        <v>0</v>
      </c>
      <c r="Q127" s="966">
        <f t="shared" ca="1" si="36"/>
        <v>0</v>
      </c>
      <c r="R127" s="966">
        <f t="shared" ca="1" si="36"/>
        <v>0</v>
      </c>
      <c r="S127" s="966">
        <f t="shared" ca="1" si="36"/>
        <v>0</v>
      </c>
      <c r="T127" s="966">
        <f t="shared" ca="1" si="36"/>
        <v>0</v>
      </c>
      <c r="U127" s="966">
        <f t="shared" ca="1" si="36"/>
        <v>0</v>
      </c>
      <c r="V127" s="966">
        <f t="shared" ca="1" si="36"/>
        <v>0</v>
      </c>
      <c r="W127" s="966">
        <f t="shared" ca="1" si="36"/>
        <v>0</v>
      </c>
      <c r="X127" s="966">
        <f t="shared" ca="1" si="36"/>
        <v>0</v>
      </c>
      <c r="Y127" s="966">
        <f t="shared" ca="1" si="36"/>
        <v>0</v>
      </c>
      <c r="Z127" s="966">
        <f t="shared" ca="1" si="36"/>
        <v>0</v>
      </c>
      <c r="AA127" s="966">
        <f t="shared" ca="1" si="36"/>
        <v>0</v>
      </c>
      <c r="AB127" s="966" t="str">
        <f t="shared" ca="1" si="38"/>
        <v/>
      </c>
      <c r="AC127" s="966" t="str">
        <f t="shared" ca="1" si="38"/>
        <v/>
      </c>
      <c r="AD127" s="966" t="str">
        <f t="shared" ca="1" si="38"/>
        <v/>
      </c>
      <c r="AE127" s="966" t="str">
        <f t="shared" ca="1" si="38"/>
        <v/>
      </c>
      <c r="AF127" s="966" t="str">
        <f t="shared" ca="1" si="38"/>
        <v/>
      </c>
      <c r="AG127" s="966" t="str">
        <f t="shared" ca="1" si="38"/>
        <v/>
      </c>
      <c r="AH127" s="966" t="str">
        <f t="shared" ca="1" si="38"/>
        <v/>
      </c>
      <c r="AI127" s="966" t="str">
        <f t="shared" ca="1" si="38"/>
        <v/>
      </c>
      <c r="AJ127" s="966" t="str">
        <f t="shared" ca="1" si="38"/>
        <v/>
      </c>
      <c r="AK127" s="966" t="str">
        <f t="shared" ca="1" si="38"/>
        <v/>
      </c>
      <c r="AL127" s="966" t="str">
        <f t="shared" ca="1" si="38"/>
        <v/>
      </c>
      <c r="AM127" s="966" t="str">
        <f t="shared" ca="1" si="38"/>
        <v/>
      </c>
      <c r="AN127" s="966" t="str">
        <f t="shared" ca="1" si="38"/>
        <v/>
      </c>
      <c r="AO127" s="966" t="str">
        <f t="shared" ca="1" si="38"/>
        <v/>
      </c>
      <c r="AP127" s="966" t="str">
        <f t="shared" ca="1" si="38"/>
        <v/>
      </c>
      <c r="AQ127" s="966" t="str">
        <f t="shared" ca="1" si="38"/>
        <v/>
      </c>
      <c r="AR127" s="966" t="str">
        <f t="shared" ca="1" si="38"/>
        <v/>
      </c>
      <c r="AS127" s="966" t="str">
        <f t="shared" ca="1" si="38"/>
        <v/>
      </c>
      <c r="AT127" s="966" t="str">
        <f t="shared" ca="1" si="38"/>
        <v/>
      </c>
      <c r="AU127" s="966" t="str">
        <f t="shared" ca="1" si="38"/>
        <v/>
      </c>
      <c r="AV127" s="966" t="str">
        <f t="shared" ca="1" si="38"/>
        <v/>
      </c>
      <c r="AW127" s="966" t="str">
        <f t="shared" ca="1" si="38"/>
        <v/>
      </c>
      <c r="AX127" s="966" t="str">
        <f t="shared" ca="1" si="38"/>
        <v/>
      </c>
      <c r="AY127" s="966" t="str">
        <f t="shared" ca="1" si="38"/>
        <v/>
      </c>
      <c r="AZ127" s="966" t="str">
        <f t="shared" ca="1" si="38"/>
        <v/>
      </c>
      <c r="BA127" s="966" t="str">
        <f t="shared" ca="1" si="38"/>
        <v/>
      </c>
      <c r="BB127" s="966" t="str">
        <f t="shared" ca="1" si="38"/>
        <v/>
      </c>
      <c r="BC127" s="966" t="str">
        <f t="shared" ca="1" si="38"/>
        <v/>
      </c>
      <c r="BD127" s="966" t="str">
        <f t="shared" ca="1" si="38"/>
        <v/>
      </c>
      <c r="BE127" s="966" t="str">
        <f t="shared" ca="1" si="38"/>
        <v/>
      </c>
      <c r="BF127" s="966" t="str">
        <f t="shared" ca="1" si="38"/>
        <v/>
      </c>
      <c r="BG127" s="966" t="str">
        <f t="shared" ca="1" si="38"/>
        <v/>
      </c>
      <c r="BH127" s="966" t="str">
        <f t="shared" ca="1" si="38"/>
        <v/>
      </c>
      <c r="BI127" s="966" t="str">
        <f t="shared" ca="1" si="38"/>
        <v/>
      </c>
      <c r="BJ127" s="966" t="str">
        <f t="shared" ca="1" si="38"/>
        <v/>
      </c>
      <c r="BK127" s="966" t="str">
        <f t="shared" ca="1" si="38"/>
        <v/>
      </c>
      <c r="BL127" s="966" t="str">
        <f t="shared" ca="1" si="38"/>
        <v/>
      </c>
      <c r="BM127" s="966" t="str">
        <f t="shared" ca="1" si="38"/>
        <v/>
      </c>
      <c r="BN127" s="966" t="str">
        <f t="shared" ca="1" si="38"/>
        <v/>
      </c>
      <c r="BO127" s="966" t="str">
        <f t="shared" ca="1" si="38"/>
        <v/>
      </c>
    </row>
    <row r="128" spans="2:68" ht="20.100000000000001" hidden="1" customHeight="1" outlineLevel="1">
      <c r="B128" s="1648"/>
      <c r="C128" s="1646"/>
      <c r="D128" s="920" t="s">
        <v>359</v>
      </c>
      <c r="E128" s="920"/>
      <c r="F128" s="964"/>
      <c r="G128" s="965" t="s">
        <v>1281</v>
      </c>
      <c r="H128" s="966"/>
      <c r="I128" s="966"/>
      <c r="J128" s="966"/>
      <c r="K128" s="966"/>
      <c r="L128" s="966">
        <f t="shared" ca="1" si="36"/>
        <v>0</v>
      </c>
      <c r="M128" s="966">
        <f t="shared" ca="1" si="36"/>
        <v>0</v>
      </c>
      <c r="N128" s="966">
        <f t="shared" ca="1" si="36"/>
        <v>0</v>
      </c>
      <c r="O128" s="966">
        <f t="shared" ca="1" si="36"/>
        <v>0</v>
      </c>
      <c r="P128" s="966">
        <f t="shared" ca="1" si="36"/>
        <v>0</v>
      </c>
      <c r="Q128" s="966">
        <f t="shared" ca="1" si="36"/>
        <v>0</v>
      </c>
      <c r="R128" s="966">
        <f t="shared" ca="1" si="36"/>
        <v>0</v>
      </c>
      <c r="S128" s="966">
        <f t="shared" ca="1" si="36"/>
        <v>0</v>
      </c>
      <c r="T128" s="966">
        <f t="shared" ca="1" si="36"/>
        <v>0</v>
      </c>
      <c r="U128" s="966">
        <f t="shared" ca="1" si="36"/>
        <v>0</v>
      </c>
      <c r="V128" s="966">
        <f t="shared" ca="1" si="36"/>
        <v>0</v>
      </c>
      <c r="W128" s="966">
        <f t="shared" ca="1" si="36"/>
        <v>0</v>
      </c>
      <c r="X128" s="966">
        <f t="shared" ca="1" si="36"/>
        <v>0</v>
      </c>
      <c r="Y128" s="966">
        <f t="shared" ca="1" si="36"/>
        <v>0</v>
      </c>
      <c r="Z128" s="966">
        <f t="shared" ca="1" si="36"/>
        <v>0</v>
      </c>
      <c r="AA128" s="966">
        <f t="shared" ca="1" si="36"/>
        <v>0</v>
      </c>
      <c r="AB128" s="966" t="str">
        <f t="shared" ca="1" si="38"/>
        <v/>
      </c>
      <c r="AC128" s="966" t="str">
        <f t="shared" ca="1" si="38"/>
        <v/>
      </c>
      <c r="AD128" s="966" t="str">
        <f t="shared" ca="1" si="38"/>
        <v/>
      </c>
      <c r="AE128" s="966" t="str">
        <f t="shared" ca="1" si="38"/>
        <v/>
      </c>
      <c r="AF128" s="966" t="str">
        <f t="shared" ca="1" si="38"/>
        <v/>
      </c>
      <c r="AG128" s="966" t="str">
        <f t="shared" ca="1" si="38"/>
        <v/>
      </c>
      <c r="AH128" s="966" t="str">
        <f t="shared" ca="1" si="38"/>
        <v/>
      </c>
      <c r="AI128" s="966" t="str">
        <f t="shared" ca="1" si="38"/>
        <v/>
      </c>
      <c r="AJ128" s="966" t="str">
        <f t="shared" ca="1" si="38"/>
        <v/>
      </c>
      <c r="AK128" s="966" t="str">
        <f t="shared" ca="1" si="38"/>
        <v/>
      </c>
      <c r="AL128" s="966" t="str">
        <f t="shared" ca="1" si="38"/>
        <v/>
      </c>
      <c r="AM128" s="966" t="str">
        <f t="shared" ca="1" si="38"/>
        <v/>
      </c>
      <c r="AN128" s="966" t="str">
        <f t="shared" ca="1" si="38"/>
        <v/>
      </c>
      <c r="AO128" s="966" t="str">
        <f t="shared" ca="1" si="38"/>
        <v/>
      </c>
      <c r="AP128" s="966" t="str">
        <f t="shared" ca="1" si="38"/>
        <v/>
      </c>
      <c r="AQ128" s="966" t="str">
        <f t="shared" ca="1" si="38"/>
        <v/>
      </c>
      <c r="AR128" s="966" t="str">
        <f t="shared" ca="1" si="38"/>
        <v/>
      </c>
      <c r="AS128" s="966" t="str">
        <f t="shared" ca="1" si="38"/>
        <v/>
      </c>
      <c r="AT128" s="966" t="str">
        <f t="shared" ca="1" si="38"/>
        <v/>
      </c>
      <c r="AU128" s="966" t="str">
        <f t="shared" ca="1" si="38"/>
        <v/>
      </c>
      <c r="AV128" s="966" t="str">
        <f t="shared" ca="1" si="38"/>
        <v/>
      </c>
      <c r="AW128" s="966" t="str">
        <f t="shared" ca="1" si="38"/>
        <v/>
      </c>
      <c r="AX128" s="966" t="str">
        <f t="shared" ca="1" si="38"/>
        <v/>
      </c>
      <c r="AY128" s="966" t="str">
        <f t="shared" ca="1" si="38"/>
        <v/>
      </c>
      <c r="AZ128" s="966" t="str">
        <f t="shared" ca="1" si="38"/>
        <v/>
      </c>
      <c r="BA128" s="966" t="str">
        <f t="shared" ca="1" si="38"/>
        <v/>
      </c>
      <c r="BB128" s="966" t="str">
        <f t="shared" ca="1" si="38"/>
        <v/>
      </c>
      <c r="BC128" s="966" t="str">
        <f t="shared" ca="1" si="38"/>
        <v/>
      </c>
      <c r="BD128" s="966" t="str">
        <f t="shared" ca="1" si="38"/>
        <v/>
      </c>
      <c r="BE128" s="966" t="str">
        <f t="shared" ca="1" si="38"/>
        <v/>
      </c>
      <c r="BF128" s="966" t="str">
        <f t="shared" ca="1" si="38"/>
        <v/>
      </c>
      <c r="BG128" s="966" t="str">
        <f t="shared" ca="1" si="38"/>
        <v/>
      </c>
      <c r="BH128" s="966" t="str">
        <f t="shared" ca="1" si="38"/>
        <v/>
      </c>
      <c r="BI128" s="966" t="str">
        <f t="shared" ca="1" si="38"/>
        <v/>
      </c>
      <c r="BJ128" s="966" t="str">
        <f t="shared" ca="1" si="38"/>
        <v/>
      </c>
      <c r="BK128" s="966" t="str">
        <f t="shared" ca="1" si="38"/>
        <v/>
      </c>
      <c r="BL128" s="966" t="str">
        <f t="shared" ca="1" si="38"/>
        <v/>
      </c>
      <c r="BM128" s="966" t="str">
        <f t="shared" ca="1" si="38"/>
        <v/>
      </c>
      <c r="BN128" s="966" t="str">
        <f t="shared" ca="1" si="38"/>
        <v/>
      </c>
      <c r="BO128" s="966" t="str">
        <f t="shared" ca="1" si="38"/>
        <v/>
      </c>
    </row>
    <row r="129" spans="2:67" ht="20.100000000000001" hidden="1" customHeight="1" outlineLevel="1">
      <c r="B129" s="1649"/>
      <c r="C129" s="1646"/>
      <c r="D129" s="920" t="s">
        <v>360</v>
      </c>
      <c r="E129" s="920"/>
      <c r="F129" s="964"/>
      <c r="G129" s="965" t="s">
        <v>1281</v>
      </c>
      <c r="H129" s="966"/>
      <c r="I129" s="966"/>
      <c r="J129" s="966"/>
      <c r="K129" s="966"/>
      <c r="L129" s="966">
        <f t="shared" ca="1" si="36"/>
        <v>0</v>
      </c>
      <c r="M129" s="966">
        <f t="shared" ca="1" si="36"/>
        <v>0</v>
      </c>
      <c r="N129" s="966">
        <f t="shared" ca="1" si="36"/>
        <v>0</v>
      </c>
      <c r="O129" s="966">
        <f t="shared" ca="1" si="36"/>
        <v>0</v>
      </c>
      <c r="P129" s="966">
        <f t="shared" ca="1" si="36"/>
        <v>0</v>
      </c>
      <c r="Q129" s="966">
        <f t="shared" ca="1" si="36"/>
        <v>0</v>
      </c>
      <c r="R129" s="966">
        <f t="shared" ca="1" si="36"/>
        <v>0</v>
      </c>
      <c r="S129" s="966">
        <f t="shared" ca="1" si="36"/>
        <v>0</v>
      </c>
      <c r="T129" s="966">
        <f t="shared" ca="1" si="36"/>
        <v>0</v>
      </c>
      <c r="U129" s="966">
        <f t="shared" ca="1" si="36"/>
        <v>0</v>
      </c>
      <c r="V129" s="966">
        <f t="shared" ca="1" si="36"/>
        <v>0</v>
      </c>
      <c r="W129" s="966">
        <f t="shared" ca="1" si="36"/>
        <v>0</v>
      </c>
      <c r="X129" s="966">
        <f t="shared" ca="1" si="36"/>
        <v>0</v>
      </c>
      <c r="Y129" s="966">
        <f t="shared" ca="1" si="36"/>
        <v>0</v>
      </c>
      <c r="Z129" s="966">
        <f t="shared" ca="1" si="36"/>
        <v>0</v>
      </c>
      <c r="AA129" s="966">
        <f t="shared" ca="1" si="36"/>
        <v>0</v>
      </c>
      <c r="AB129" s="966" t="str">
        <f t="shared" ca="1" si="38"/>
        <v/>
      </c>
      <c r="AC129" s="966" t="str">
        <f t="shared" ca="1" si="38"/>
        <v/>
      </c>
      <c r="AD129" s="966" t="str">
        <f t="shared" ca="1" si="38"/>
        <v/>
      </c>
      <c r="AE129" s="966" t="str">
        <f t="shared" ca="1" si="38"/>
        <v/>
      </c>
      <c r="AF129" s="966" t="str">
        <f t="shared" ca="1" si="38"/>
        <v/>
      </c>
      <c r="AG129" s="966" t="str">
        <f t="shared" ca="1" si="38"/>
        <v/>
      </c>
      <c r="AH129" s="966" t="str">
        <f t="shared" ca="1" si="38"/>
        <v/>
      </c>
      <c r="AI129" s="966" t="str">
        <f t="shared" ca="1" si="38"/>
        <v/>
      </c>
      <c r="AJ129" s="966" t="str">
        <f t="shared" ca="1" si="38"/>
        <v/>
      </c>
      <c r="AK129" s="966" t="str">
        <f t="shared" ca="1" si="38"/>
        <v/>
      </c>
      <c r="AL129" s="966" t="str">
        <f t="shared" ca="1" si="38"/>
        <v/>
      </c>
      <c r="AM129" s="966" t="str">
        <f t="shared" ca="1" si="38"/>
        <v/>
      </c>
      <c r="AN129" s="966" t="str">
        <f t="shared" ca="1" si="38"/>
        <v/>
      </c>
      <c r="AO129" s="966" t="str">
        <f t="shared" ca="1" si="38"/>
        <v/>
      </c>
      <c r="AP129" s="966" t="str">
        <f t="shared" ca="1" si="38"/>
        <v/>
      </c>
      <c r="AQ129" s="966" t="str">
        <f t="shared" ref="AQ129:BO129" ca="1" si="39">AQ19</f>
        <v/>
      </c>
      <c r="AR129" s="966" t="str">
        <f t="shared" ca="1" si="39"/>
        <v/>
      </c>
      <c r="AS129" s="966" t="str">
        <f t="shared" ca="1" si="39"/>
        <v/>
      </c>
      <c r="AT129" s="966" t="str">
        <f t="shared" ca="1" si="39"/>
        <v/>
      </c>
      <c r="AU129" s="966" t="str">
        <f t="shared" ca="1" si="39"/>
        <v/>
      </c>
      <c r="AV129" s="966" t="str">
        <f t="shared" ca="1" si="39"/>
        <v/>
      </c>
      <c r="AW129" s="966" t="str">
        <f t="shared" ca="1" si="39"/>
        <v/>
      </c>
      <c r="AX129" s="966" t="str">
        <f t="shared" ca="1" si="39"/>
        <v/>
      </c>
      <c r="AY129" s="966" t="str">
        <f t="shared" ca="1" si="39"/>
        <v/>
      </c>
      <c r="AZ129" s="966" t="str">
        <f t="shared" ca="1" si="39"/>
        <v/>
      </c>
      <c r="BA129" s="966" t="str">
        <f t="shared" ca="1" si="39"/>
        <v/>
      </c>
      <c r="BB129" s="966" t="str">
        <f t="shared" ca="1" si="39"/>
        <v/>
      </c>
      <c r="BC129" s="966" t="str">
        <f t="shared" ca="1" si="39"/>
        <v/>
      </c>
      <c r="BD129" s="966" t="str">
        <f t="shared" ca="1" si="39"/>
        <v/>
      </c>
      <c r="BE129" s="966" t="str">
        <f t="shared" ca="1" si="39"/>
        <v/>
      </c>
      <c r="BF129" s="966" t="str">
        <f t="shared" ca="1" si="39"/>
        <v/>
      </c>
      <c r="BG129" s="966" t="str">
        <f t="shared" ca="1" si="39"/>
        <v/>
      </c>
      <c r="BH129" s="966" t="str">
        <f t="shared" ca="1" si="39"/>
        <v/>
      </c>
      <c r="BI129" s="966" t="str">
        <f t="shared" ca="1" si="39"/>
        <v/>
      </c>
      <c r="BJ129" s="966" t="str">
        <f t="shared" ca="1" si="39"/>
        <v/>
      </c>
      <c r="BK129" s="966" t="str">
        <f t="shared" ca="1" si="39"/>
        <v/>
      </c>
      <c r="BL129" s="966" t="str">
        <f t="shared" ca="1" si="39"/>
        <v/>
      </c>
      <c r="BM129" s="966" t="str">
        <f t="shared" ca="1" si="39"/>
        <v/>
      </c>
      <c r="BN129" s="966" t="str">
        <f t="shared" ca="1" si="39"/>
        <v/>
      </c>
      <c r="BO129" s="966" t="str">
        <f t="shared" ca="1" si="39"/>
        <v/>
      </c>
    </row>
    <row r="130" spans="2:67" ht="20.100000000000001" hidden="1" customHeight="1" outlineLevel="1">
      <c r="B130" s="1648"/>
      <c r="C130" s="1646"/>
      <c r="D130" s="920" t="s">
        <v>361</v>
      </c>
      <c r="E130" s="920"/>
      <c r="F130" s="964"/>
      <c r="G130" s="965" t="s">
        <v>1281</v>
      </c>
      <c r="H130" s="966"/>
      <c r="I130" s="966"/>
      <c r="J130" s="966"/>
      <c r="K130" s="966"/>
      <c r="L130" s="966">
        <f t="shared" ca="1" si="36"/>
        <v>0</v>
      </c>
      <c r="M130" s="966">
        <f t="shared" ca="1" si="36"/>
        <v>0</v>
      </c>
      <c r="N130" s="966">
        <f t="shared" ca="1" si="36"/>
        <v>0</v>
      </c>
      <c r="O130" s="966">
        <f t="shared" ca="1" si="36"/>
        <v>0</v>
      </c>
      <c r="P130" s="966">
        <f t="shared" ca="1" si="36"/>
        <v>0</v>
      </c>
      <c r="Q130" s="966">
        <f t="shared" ca="1" si="36"/>
        <v>0</v>
      </c>
      <c r="R130" s="966">
        <f t="shared" ca="1" si="36"/>
        <v>0</v>
      </c>
      <c r="S130" s="966">
        <f t="shared" ca="1" si="36"/>
        <v>0</v>
      </c>
      <c r="T130" s="966">
        <f t="shared" ca="1" si="36"/>
        <v>0</v>
      </c>
      <c r="U130" s="966">
        <f t="shared" ca="1" si="36"/>
        <v>0</v>
      </c>
      <c r="V130" s="966">
        <f t="shared" ca="1" si="36"/>
        <v>0</v>
      </c>
      <c r="W130" s="966">
        <f t="shared" ca="1" si="36"/>
        <v>0</v>
      </c>
      <c r="X130" s="966">
        <f t="shared" ca="1" si="36"/>
        <v>0</v>
      </c>
      <c r="Y130" s="966">
        <f t="shared" ca="1" si="36"/>
        <v>0</v>
      </c>
      <c r="Z130" s="966">
        <f t="shared" ca="1" si="36"/>
        <v>0</v>
      </c>
      <c r="AA130" s="966">
        <f t="shared" ca="1" si="36"/>
        <v>0</v>
      </c>
      <c r="AB130" s="966" t="str">
        <f t="shared" ref="AB130:BO134" ca="1" si="40">AB20</f>
        <v/>
      </c>
      <c r="AC130" s="966" t="str">
        <f t="shared" ca="1" si="40"/>
        <v/>
      </c>
      <c r="AD130" s="966" t="str">
        <f t="shared" ca="1" si="40"/>
        <v/>
      </c>
      <c r="AE130" s="966" t="str">
        <f t="shared" ca="1" si="40"/>
        <v/>
      </c>
      <c r="AF130" s="966" t="str">
        <f t="shared" ca="1" si="40"/>
        <v/>
      </c>
      <c r="AG130" s="966" t="str">
        <f t="shared" ca="1" si="40"/>
        <v/>
      </c>
      <c r="AH130" s="966" t="str">
        <f t="shared" ca="1" si="40"/>
        <v/>
      </c>
      <c r="AI130" s="966" t="str">
        <f t="shared" ca="1" si="40"/>
        <v/>
      </c>
      <c r="AJ130" s="966" t="str">
        <f t="shared" ca="1" si="40"/>
        <v/>
      </c>
      <c r="AK130" s="966" t="str">
        <f t="shared" ca="1" si="40"/>
        <v/>
      </c>
      <c r="AL130" s="966" t="str">
        <f t="shared" ca="1" si="40"/>
        <v/>
      </c>
      <c r="AM130" s="966" t="str">
        <f t="shared" ca="1" si="40"/>
        <v/>
      </c>
      <c r="AN130" s="966" t="str">
        <f t="shared" ca="1" si="40"/>
        <v/>
      </c>
      <c r="AO130" s="966" t="str">
        <f t="shared" ca="1" si="40"/>
        <v/>
      </c>
      <c r="AP130" s="966" t="str">
        <f t="shared" ca="1" si="40"/>
        <v/>
      </c>
      <c r="AQ130" s="966" t="str">
        <f t="shared" ca="1" si="40"/>
        <v/>
      </c>
      <c r="AR130" s="966" t="str">
        <f t="shared" ca="1" si="40"/>
        <v/>
      </c>
      <c r="AS130" s="966" t="str">
        <f t="shared" ca="1" si="40"/>
        <v/>
      </c>
      <c r="AT130" s="966" t="str">
        <f t="shared" ca="1" si="40"/>
        <v/>
      </c>
      <c r="AU130" s="966" t="str">
        <f t="shared" ca="1" si="40"/>
        <v/>
      </c>
      <c r="AV130" s="966" t="str">
        <f t="shared" ca="1" si="40"/>
        <v/>
      </c>
      <c r="AW130" s="966" t="str">
        <f t="shared" ca="1" si="40"/>
        <v/>
      </c>
      <c r="AX130" s="966" t="str">
        <f t="shared" ca="1" si="40"/>
        <v/>
      </c>
      <c r="AY130" s="966" t="str">
        <f t="shared" ca="1" si="40"/>
        <v/>
      </c>
      <c r="AZ130" s="966" t="str">
        <f t="shared" ca="1" si="40"/>
        <v/>
      </c>
      <c r="BA130" s="966" t="str">
        <f t="shared" ca="1" si="40"/>
        <v/>
      </c>
      <c r="BB130" s="966" t="str">
        <f t="shared" ca="1" si="40"/>
        <v/>
      </c>
      <c r="BC130" s="966" t="str">
        <f t="shared" ca="1" si="40"/>
        <v/>
      </c>
      <c r="BD130" s="966" t="str">
        <f t="shared" ca="1" si="40"/>
        <v/>
      </c>
      <c r="BE130" s="966" t="str">
        <f t="shared" ca="1" si="40"/>
        <v/>
      </c>
      <c r="BF130" s="966" t="str">
        <f t="shared" ca="1" si="40"/>
        <v/>
      </c>
      <c r="BG130" s="966" t="str">
        <f t="shared" ca="1" si="40"/>
        <v/>
      </c>
      <c r="BH130" s="966" t="str">
        <f t="shared" ca="1" si="40"/>
        <v/>
      </c>
      <c r="BI130" s="966" t="str">
        <f t="shared" ca="1" si="40"/>
        <v/>
      </c>
      <c r="BJ130" s="966" t="str">
        <f t="shared" ca="1" si="40"/>
        <v/>
      </c>
      <c r="BK130" s="966" t="str">
        <f t="shared" ca="1" si="40"/>
        <v/>
      </c>
      <c r="BL130" s="966" t="str">
        <f t="shared" ca="1" si="40"/>
        <v/>
      </c>
      <c r="BM130" s="966" t="str">
        <f t="shared" ca="1" si="40"/>
        <v/>
      </c>
      <c r="BN130" s="966" t="str">
        <f t="shared" ca="1" si="40"/>
        <v/>
      </c>
      <c r="BO130" s="966" t="str">
        <f t="shared" ca="1" si="40"/>
        <v/>
      </c>
    </row>
    <row r="131" spans="2:67" ht="20.100000000000001" hidden="1" customHeight="1" outlineLevel="1">
      <c r="B131" s="1649"/>
      <c r="C131" s="1646"/>
      <c r="D131" s="920" t="s">
        <v>362</v>
      </c>
      <c r="E131" s="967"/>
      <c r="F131" s="964"/>
      <c r="G131" s="965" t="s">
        <v>1281</v>
      </c>
      <c r="H131" s="966"/>
      <c r="I131" s="966"/>
      <c r="J131" s="966"/>
      <c r="K131" s="966"/>
      <c r="L131" s="966">
        <f t="shared" ca="1" si="36"/>
        <v>0</v>
      </c>
      <c r="M131" s="966">
        <f t="shared" ca="1" si="36"/>
        <v>0</v>
      </c>
      <c r="N131" s="966">
        <f t="shared" ca="1" si="36"/>
        <v>0</v>
      </c>
      <c r="O131" s="966">
        <f t="shared" ca="1" si="36"/>
        <v>0</v>
      </c>
      <c r="P131" s="966">
        <f t="shared" ca="1" si="36"/>
        <v>0</v>
      </c>
      <c r="Q131" s="966">
        <f t="shared" ca="1" si="36"/>
        <v>0</v>
      </c>
      <c r="R131" s="966">
        <f t="shared" ca="1" si="36"/>
        <v>0</v>
      </c>
      <c r="S131" s="966">
        <f t="shared" ca="1" si="36"/>
        <v>0</v>
      </c>
      <c r="T131" s="966">
        <f t="shared" ca="1" si="36"/>
        <v>0</v>
      </c>
      <c r="U131" s="966">
        <f t="shared" ca="1" si="36"/>
        <v>0</v>
      </c>
      <c r="V131" s="966">
        <f t="shared" ca="1" si="36"/>
        <v>0</v>
      </c>
      <c r="W131" s="966">
        <f t="shared" ca="1" si="36"/>
        <v>0</v>
      </c>
      <c r="X131" s="966">
        <f t="shared" ca="1" si="36"/>
        <v>0</v>
      </c>
      <c r="Y131" s="966">
        <f t="shared" ca="1" si="36"/>
        <v>0</v>
      </c>
      <c r="Z131" s="966">
        <f t="shared" ca="1" si="36"/>
        <v>0</v>
      </c>
      <c r="AA131" s="966">
        <f t="shared" ca="1" si="36"/>
        <v>0</v>
      </c>
      <c r="AB131" s="966" t="str">
        <f t="shared" ca="1" si="40"/>
        <v/>
      </c>
      <c r="AC131" s="966" t="str">
        <f t="shared" ca="1" si="40"/>
        <v/>
      </c>
      <c r="AD131" s="966" t="str">
        <f t="shared" ca="1" si="40"/>
        <v/>
      </c>
      <c r="AE131" s="966" t="str">
        <f t="shared" ca="1" si="40"/>
        <v/>
      </c>
      <c r="AF131" s="966" t="str">
        <f t="shared" ca="1" si="40"/>
        <v/>
      </c>
      <c r="AG131" s="966" t="str">
        <f t="shared" ca="1" si="40"/>
        <v/>
      </c>
      <c r="AH131" s="966" t="str">
        <f t="shared" ca="1" si="40"/>
        <v/>
      </c>
      <c r="AI131" s="966" t="str">
        <f t="shared" ca="1" si="40"/>
        <v/>
      </c>
      <c r="AJ131" s="966" t="str">
        <f t="shared" ca="1" si="40"/>
        <v/>
      </c>
      <c r="AK131" s="966" t="str">
        <f t="shared" ca="1" si="40"/>
        <v/>
      </c>
      <c r="AL131" s="966" t="str">
        <f t="shared" ca="1" si="40"/>
        <v/>
      </c>
      <c r="AM131" s="966" t="str">
        <f t="shared" ca="1" si="40"/>
        <v/>
      </c>
      <c r="AN131" s="966" t="str">
        <f t="shared" ca="1" si="40"/>
        <v/>
      </c>
      <c r="AO131" s="966" t="str">
        <f t="shared" ca="1" si="40"/>
        <v/>
      </c>
      <c r="AP131" s="966" t="str">
        <f t="shared" ca="1" si="40"/>
        <v/>
      </c>
      <c r="AQ131" s="966" t="str">
        <f t="shared" ca="1" si="40"/>
        <v/>
      </c>
      <c r="AR131" s="966" t="str">
        <f t="shared" ca="1" si="40"/>
        <v/>
      </c>
      <c r="AS131" s="966" t="str">
        <f t="shared" ca="1" si="40"/>
        <v/>
      </c>
      <c r="AT131" s="966" t="str">
        <f t="shared" ca="1" si="40"/>
        <v/>
      </c>
      <c r="AU131" s="966" t="str">
        <f t="shared" ca="1" si="40"/>
        <v/>
      </c>
      <c r="AV131" s="966" t="str">
        <f t="shared" ca="1" si="40"/>
        <v/>
      </c>
      <c r="AW131" s="966" t="str">
        <f t="shared" ca="1" si="40"/>
        <v/>
      </c>
      <c r="AX131" s="966" t="str">
        <f t="shared" ca="1" si="40"/>
        <v/>
      </c>
      <c r="AY131" s="966" t="str">
        <f t="shared" ca="1" si="40"/>
        <v/>
      </c>
      <c r="AZ131" s="966" t="str">
        <f t="shared" ca="1" si="40"/>
        <v/>
      </c>
      <c r="BA131" s="966" t="str">
        <f t="shared" ca="1" si="40"/>
        <v/>
      </c>
      <c r="BB131" s="966" t="str">
        <f t="shared" ca="1" si="40"/>
        <v/>
      </c>
      <c r="BC131" s="966" t="str">
        <f t="shared" ca="1" si="40"/>
        <v/>
      </c>
      <c r="BD131" s="966" t="str">
        <f t="shared" ca="1" si="40"/>
        <v/>
      </c>
      <c r="BE131" s="966" t="str">
        <f t="shared" ca="1" si="40"/>
        <v/>
      </c>
      <c r="BF131" s="966" t="str">
        <f t="shared" ca="1" si="40"/>
        <v/>
      </c>
      <c r="BG131" s="966" t="str">
        <f t="shared" ca="1" si="40"/>
        <v/>
      </c>
      <c r="BH131" s="966" t="str">
        <f t="shared" ca="1" si="40"/>
        <v/>
      </c>
      <c r="BI131" s="966" t="str">
        <f t="shared" ca="1" si="40"/>
        <v/>
      </c>
      <c r="BJ131" s="966" t="str">
        <f t="shared" ca="1" si="40"/>
        <v/>
      </c>
      <c r="BK131" s="966" t="str">
        <f t="shared" ca="1" si="40"/>
        <v/>
      </c>
      <c r="BL131" s="966" t="str">
        <f t="shared" ca="1" si="40"/>
        <v/>
      </c>
      <c r="BM131" s="966" t="str">
        <f t="shared" ca="1" si="40"/>
        <v/>
      </c>
      <c r="BN131" s="966" t="str">
        <f t="shared" ca="1" si="40"/>
        <v/>
      </c>
      <c r="BO131" s="966" t="str">
        <f t="shared" ca="1" si="40"/>
        <v/>
      </c>
    </row>
    <row r="132" spans="2:67" ht="20.100000000000001" hidden="1" customHeight="1" outlineLevel="1">
      <c r="B132" s="1648"/>
      <c r="C132" s="1646"/>
      <c r="D132" s="920" t="s">
        <v>363</v>
      </c>
      <c r="E132" s="920"/>
      <c r="F132" s="964"/>
      <c r="G132" s="965" t="s">
        <v>1281</v>
      </c>
      <c r="H132" s="966"/>
      <c r="I132" s="966"/>
      <c r="J132" s="966"/>
      <c r="K132" s="966"/>
      <c r="L132" s="966">
        <f t="shared" ca="1" si="36"/>
        <v>0</v>
      </c>
      <c r="M132" s="966">
        <f t="shared" ca="1" si="36"/>
        <v>0</v>
      </c>
      <c r="N132" s="966">
        <f t="shared" ca="1" si="36"/>
        <v>0</v>
      </c>
      <c r="O132" s="966">
        <f t="shared" ca="1" si="36"/>
        <v>0</v>
      </c>
      <c r="P132" s="966">
        <f t="shared" ca="1" si="36"/>
        <v>0</v>
      </c>
      <c r="Q132" s="966">
        <f t="shared" ca="1" si="36"/>
        <v>0</v>
      </c>
      <c r="R132" s="966">
        <f t="shared" ca="1" si="36"/>
        <v>0</v>
      </c>
      <c r="S132" s="966">
        <f t="shared" ca="1" si="36"/>
        <v>0</v>
      </c>
      <c r="T132" s="966">
        <f t="shared" ca="1" si="36"/>
        <v>0</v>
      </c>
      <c r="U132" s="966">
        <f t="shared" ca="1" si="36"/>
        <v>0</v>
      </c>
      <c r="V132" s="966">
        <f t="shared" ca="1" si="36"/>
        <v>0</v>
      </c>
      <c r="W132" s="966">
        <f t="shared" ca="1" si="36"/>
        <v>0</v>
      </c>
      <c r="X132" s="966">
        <f t="shared" ca="1" si="36"/>
        <v>0</v>
      </c>
      <c r="Y132" s="966">
        <f t="shared" ca="1" si="36"/>
        <v>0</v>
      </c>
      <c r="Z132" s="966">
        <f t="shared" ca="1" si="36"/>
        <v>0</v>
      </c>
      <c r="AA132" s="966">
        <f t="shared" ca="1" si="36"/>
        <v>0</v>
      </c>
      <c r="AB132" s="966" t="str">
        <f t="shared" ca="1" si="40"/>
        <v/>
      </c>
      <c r="AC132" s="966" t="str">
        <f t="shared" ca="1" si="40"/>
        <v/>
      </c>
      <c r="AD132" s="966" t="str">
        <f t="shared" ca="1" si="40"/>
        <v/>
      </c>
      <c r="AE132" s="966" t="str">
        <f t="shared" ca="1" si="40"/>
        <v/>
      </c>
      <c r="AF132" s="966" t="str">
        <f t="shared" ca="1" si="40"/>
        <v/>
      </c>
      <c r="AG132" s="966" t="str">
        <f t="shared" ca="1" si="40"/>
        <v/>
      </c>
      <c r="AH132" s="966" t="str">
        <f t="shared" ca="1" si="40"/>
        <v/>
      </c>
      <c r="AI132" s="966" t="str">
        <f t="shared" ca="1" si="40"/>
        <v/>
      </c>
      <c r="AJ132" s="966" t="str">
        <f t="shared" ca="1" si="40"/>
        <v/>
      </c>
      <c r="AK132" s="966" t="str">
        <f t="shared" ca="1" si="40"/>
        <v/>
      </c>
      <c r="AL132" s="966" t="str">
        <f t="shared" ca="1" si="40"/>
        <v/>
      </c>
      <c r="AM132" s="966" t="str">
        <f t="shared" ca="1" si="40"/>
        <v/>
      </c>
      <c r="AN132" s="966" t="str">
        <f t="shared" ca="1" si="40"/>
        <v/>
      </c>
      <c r="AO132" s="966" t="str">
        <f t="shared" ca="1" si="40"/>
        <v/>
      </c>
      <c r="AP132" s="966" t="str">
        <f t="shared" ca="1" si="40"/>
        <v/>
      </c>
      <c r="AQ132" s="966" t="str">
        <f t="shared" ca="1" si="40"/>
        <v/>
      </c>
      <c r="AR132" s="966" t="str">
        <f t="shared" ca="1" si="40"/>
        <v/>
      </c>
      <c r="AS132" s="966" t="str">
        <f t="shared" ca="1" si="40"/>
        <v/>
      </c>
      <c r="AT132" s="966" t="str">
        <f t="shared" ca="1" si="40"/>
        <v/>
      </c>
      <c r="AU132" s="966" t="str">
        <f t="shared" ca="1" si="40"/>
        <v/>
      </c>
      <c r="AV132" s="966" t="str">
        <f t="shared" ca="1" si="40"/>
        <v/>
      </c>
      <c r="AW132" s="966" t="str">
        <f t="shared" ca="1" si="40"/>
        <v/>
      </c>
      <c r="AX132" s="966" t="str">
        <f t="shared" ca="1" si="40"/>
        <v/>
      </c>
      <c r="AY132" s="966" t="str">
        <f t="shared" ca="1" si="40"/>
        <v/>
      </c>
      <c r="AZ132" s="966" t="str">
        <f t="shared" ca="1" si="40"/>
        <v/>
      </c>
      <c r="BA132" s="966" t="str">
        <f t="shared" ca="1" si="40"/>
        <v/>
      </c>
      <c r="BB132" s="966" t="str">
        <f t="shared" ca="1" si="40"/>
        <v/>
      </c>
      <c r="BC132" s="966" t="str">
        <f t="shared" ca="1" si="40"/>
        <v/>
      </c>
      <c r="BD132" s="966" t="str">
        <f t="shared" ca="1" si="40"/>
        <v/>
      </c>
      <c r="BE132" s="966" t="str">
        <f t="shared" ca="1" si="40"/>
        <v/>
      </c>
      <c r="BF132" s="966" t="str">
        <f t="shared" ca="1" si="40"/>
        <v/>
      </c>
      <c r="BG132" s="966" t="str">
        <f t="shared" ca="1" si="40"/>
        <v/>
      </c>
      <c r="BH132" s="966" t="str">
        <f t="shared" ca="1" si="40"/>
        <v/>
      </c>
      <c r="BI132" s="966" t="str">
        <f t="shared" ca="1" si="40"/>
        <v/>
      </c>
      <c r="BJ132" s="966" t="str">
        <f t="shared" ca="1" si="40"/>
        <v/>
      </c>
      <c r="BK132" s="966" t="str">
        <f t="shared" ca="1" si="40"/>
        <v/>
      </c>
      <c r="BL132" s="966" t="str">
        <f t="shared" ca="1" si="40"/>
        <v/>
      </c>
      <c r="BM132" s="966" t="str">
        <f t="shared" ca="1" si="40"/>
        <v/>
      </c>
      <c r="BN132" s="966" t="str">
        <f t="shared" ca="1" si="40"/>
        <v/>
      </c>
      <c r="BO132" s="966" t="str">
        <f t="shared" ca="1" si="40"/>
        <v/>
      </c>
    </row>
    <row r="133" spans="2:67" ht="20.100000000000001" hidden="1" customHeight="1" outlineLevel="1">
      <c r="B133" s="1648"/>
      <c r="C133" s="1646"/>
      <c r="D133" s="920" t="s">
        <v>364</v>
      </c>
      <c r="E133" s="920"/>
      <c r="F133" s="964"/>
      <c r="G133" s="965" t="s">
        <v>1281</v>
      </c>
      <c r="H133" s="966"/>
      <c r="I133" s="966"/>
      <c r="J133" s="966"/>
      <c r="K133" s="966"/>
      <c r="L133" s="966">
        <f t="shared" ca="1" si="36"/>
        <v>0</v>
      </c>
      <c r="M133" s="966">
        <f t="shared" ca="1" si="36"/>
        <v>0</v>
      </c>
      <c r="N133" s="966">
        <f t="shared" ca="1" si="36"/>
        <v>0</v>
      </c>
      <c r="O133" s="966">
        <f t="shared" ca="1" si="36"/>
        <v>0</v>
      </c>
      <c r="P133" s="966">
        <f t="shared" ca="1" si="36"/>
        <v>0</v>
      </c>
      <c r="Q133" s="966">
        <f t="shared" ca="1" si="36"/>
        <v>0</v>
      </c>
      <c r="R133" s="966">
        <f t="shared" ca="1" si="36"/>
        <v>0</v>
      </c>
      <c r="S133" s="966">
        <f t="shared" ca="1" si="36"/>
        <v>0</v>
      </c>
      <c r="T133" s="966">
        <f t="shared" ca="1" si="36"/>
        <v>0</v>
      </c>
      <c r="U133" s="966">
        <f t="shared" ca="1" si="36"/>
        <v>0</v>
      </c>
      <c r="V133" s="966">
        <f t="shared" ca="1" si="36"/>
        <v>0</v>
      </c>
      <c r="W133" s="966">
        <f t="shared" ca="1" si="36"/>
        <v>0</v>
      </c>
      <c r="X133" s="966">
        <f t="shared" ca="1" si="36"/>
        <v>0</v>
      </c>
      <c r="Y133" s="966">
        <f t="shared" ca="1" si="36"/>
        <v>0</v>
      </c>
      <c r="Z133" s="966">
        <f t="shared" ca="1" si="36"/>
        <v>0</v>
      </c>
      <c r="AA133" s="966">
        <f t="shared" ca="1" si="36"/>
        <v>0</v>
      </c>
      <c r="AB133" s="966" t="str">
        <f t="shared" ca="1" si="40"/>
        <v/>
      </c>
      <c r="AC133" s="966" t="str">
        <f t="shared" ca="1" si="40"/>
        <v/>
      </c>
      <c r="AD133" s="966" t="str">
        <f t="shared" ca="1" si="40"/>
        <v/>
      </c>
      <c r="AE133" s="966" t="str">
        <f t="shared" ca="1" si="40"/>
        <v/>
      </c>
      <c r="AF133" s="966" t="str">
        <f t="shared" ca="1" si="40"/>
        <v/>
      </c>
      <c r="AG133" s="966" t="str">
        <f t="shared" ca="1" si="40"/>
        <v/>
      </c>
      <c r="AH133" s="966" t="str">
        <f t="shared" ca="1" si="40"/>
        <v/>
      </c>
      <c r="AI133" s="966" t="str">
        <f t="shared" ca="1" si="40"/>
        <v/>
      </c>
      <c r="AJ133" s="966" t="str">
        <f t="shared" ca="1" si="40"/>
        <v/>
      </c>
      <c r="AK133" s="966" t="str">
        <f t="shared" ca="1" si="40"/>
        <v/>
      </c>
      <c r="AL133" s="966" t="str">
        <f t="shared" ca="1" si="40"/>
        <v/>
      </c>
      <c r="AM133" s="966" t="str">
        <f t="shared" ca="1" si="40"/>
        <v/>
      </c>
      <c r="AN133" s="966" t="str">
        <f t="shared" ca="1" si="40"/>
        <v/>
      </c>
      <c r="AO133" s="966" t="str">
        <f t="shared" ca="1" si="40"/>
        <v/>
      </c>
      <c r="AP133" s="966" t="str">
        <f t="shared" ca="1" si="40"/>
        <v/>
      </c>
      <c r="AQ133" s="966" t="str">
        <f t="shared" ca="1" si="40"/>
        <v/>
      </c>
      <c r="AR133" s="966" t="str">
        <f t="shared" ca="1" si="40"/>
        <v/>
      </c>
      <c r="AS133" s="966" t="str">
        <f t="shared" ca="1" si="40"/>
        <v/>
      </c>
      <c r="AT133" s="966" t="str">
        <f t="shared" ca="1" si="40"/>
        <v/>
      </c>
      <c r="AU133" s="966" t="str">
        <f t="shared" ca="1" si="40"/>
        <v/>
      </c>
      <c r="AV133" s="966" t="str">
        <f t="shared" ca="1" si="40"/>
        <v/>
      </c>
      <c r="AW133" s="966" t="str">
        <f t="shared" ca="1" si="40"/>
        <v/>
      </c>
      <c r="AX133" s="966" t="str">
        <f t="shared" ca="1" si="40"/>
        <v/>
      </c>
      <c r="AY133" s="966" t="str">
        <f t="shared" ca="1" si="40"/>
        <v/>
      </c>
      <c r="AZ133" s="966" t="str">
        <f t="shared" ca="1" si="40"/>
        <v/>
      </c>
      <c r="BA133" s="966" t="str">
        <f t="shared" ca="1" si="40"/>
        <v/>
      </c>
      <c r="BB133" s="966" t="str">
        <f t="shared" ca="1" si="40"/>
        <v/>
      </c>
      <c r="BC133" s="966" t="str">
        <f t="shared" ca="1" si="40"/>
        <v/>
      </c>
      <c r="BD133" s="966" t="str">
        <f t="shared" ca="1" si="40"/>
        <v/>
      </c>
      <c r="BE133" s="966" t="str">
        <f t="shared" ca="1" si="40"/>
        <v/>
      </c>
      <c r="BF133" s="966" t="str">
        <f t="shared" ca="1" si="40"/>
        <v/>
      </c>
      <c r="BG133" s="966" t="str">
        <f t="shared" ca="1" si="40"/>
        <v/>
      </c>
      <c r="BH133" s="966" t="str">
        <f t="shared" ca="1" si="40"/>
        <v/>
      </c>
      <c r="BI133" s="966" t="str">
        <f t="shared" ca="1" si="40"/>
        <v/>
      </c>
      <c r="BJ133" s="966" t="str">
        <f t="shared" ca="1" si="40"/>
        <v/>
      </c>
      <c r="BK133" s="966" t="str">
        <f t="shared" ca="1" si="40"/>
        <v/>
      </c>
      <c r="BL133" s="966" t="str">
        <f t="shared" ca="1" si="40"/>
        <v/>
      </c>
      <c r="BM133" s="966" t="str">
        <f t="shared" ca="1" si="40"/>
        <v/>
      </c>
      <c r="BN133" s="966" t="str">
        <f t="shared" ca="1" si="40"/>
        <v/>
      </c>
      <c r="BO133" s="966" t="str">
        <f t="shared" ca="1" si="40"/>
        <v/>
      </c>
    </row>
    <row r="134" spans="2:67" ht="20.100000000000001" hidden="1" customHeight="1" outlineLevel="1">
      <c r="B134" s="1648"/>
      <c r="C134" s="1646"/>
      <c r="D134" s="920" t="s">
        <v>365</v>
      </c>
      <c r="E134" s="967"/>
      <c r="F134" s="964"/>
      <c r="G134" s="965" t="s">
        <v>1281</v>
      </c>
      <c r="H134" s="966"/>
      <c r="I134" s="966"/>
      <c r="J134" s="966"/>
      <c r="K134" s="966"/>
      <c r="L134" s="966">
        <f t="shared" ca="1" si="36"/>
        <v>0</v>
      </c>
      <c r="M134" s="966">
        <f t="shared" ca="1" si="36"/>
        <v>0</v>
      </c>
      <c r="N134" s="966">
        <f t="shared" ca="1" si="36"/>
        <v>0</v>
      </c>
      <c r="O134" s="966">
        <f t="shared" ca="1" si="36"/>
        <v>0</v>
      </c>
      <c r="P134" s="966">
        <f t="shared" ca="1" si="36"/>
        <v>0</v>
      </c>
      <c r="Q134" s="966">
        <f t="shared" ca="1" si="36"/>
        <v>0</v>
      </c>
      <c r="R134" s="966">
        <f t="shared" ca="1" si="36"/>
        <v>0</v>
      </c>
      <c r="S134" s="966">
        <f t="shared" ca="1" si="36"/>
        <v>0</v>
      </c>
      <c r="T134" s="966">
        <f t="shared" ca="1" si="36"/>
        <v>0</v>
      </c>
      <c r="U134" s="966">
        <f t="shared" ca="1" si="36"/>
        <v>0</v>
      </c>
      <c r="V134" s="966">
        <f t="shared" ca="1" si="36"/>
        <v>0</v>
      </c>
      <c r="W134" s="966">
        <f t="shared" ca="1" si="36"/>
        <v>0</v>
      </c>
      <c r="X134" s="966">
        <f t="shared" ca="1" si="36"/>
        <v>0</v>
      </c>
      <c r="Y134" s="966">
        <f t="shared" ca="1" si="36"/>
        <v>0</v>
      </c>
      <c r="Z134" s="966">
        <f t="shared" ca="1" si="36"/>
        <v>0</v>
      </c>
      <c r="AA134" s="966">
        <f t="shared" ca="1" si="36"/>
        <v>0</v>
      </c>
      <c r="AB134" s="966" t="str">
        <f t="shared" ca="1" si="40"/>
        <v/>
      </c>
      <c r="AC134" s="966" t="str">
        <f t="shared" ca="1" si="40"/>
        <v/>
      </c>
      <c r="AD134" s="966" t="str">
        <f t="shared" ca="1" si="40"/>
        <v/>
      </c>
      <c r="AE134" s="966" t="str">
        <f t="shared" ca="1" si="40"/>
        <v/>
      </c>
      <c r="AF134" s="966" t="str">
        <f t="shared" ca="1" si="40"/>
        <v/>
      </c>
      <c r="AG134" s="966" t="str">
        <f t="shared" ca="1" si="40"/>
        <v/>
      </c>
      <c r="AH134" s="966" t="str">
        <f t="shared" ca="1" si="40"/>
        <v/>
      </c>
      <c r="AI134" s="966" t="str">
        <f t="shared" ca="1" si="40"/>
        <v/>
      </c>
      <c r="AJ134" s="966" t="str">
        <f t="shared" ca="1" si="40"/>
        <v/>
      </c>
      <c r="AK134" s="966" t="str">
        <f t="shared" ca="1" si="40"/>
        <v/>
      </c>
      <c r="AL134" s="966" t="str">
        <f t="shared" ca="1" si="40"/>
        <v/>
      </c>
      <c r="AM134" s="966" t="str">
        <f t="shared" ca="1" si="40"/>
        <v/>
      </c>
      <c r="AN134" s="966" t="str">
        <f t="shared" ca="1" si="40"/>
        <v/>
      </c>
      <c r="AO134" s="966" t="str">
        <f t="shared" ca="1" si="40"/>
        <v/>
      </c>
      <c r="AP134" s="966" t="str">
        <f t="shared" ca="1" si="40"/>
        <v/>
      </c>
      <c r="AQ134" s="966" t="str">
        <f t="shared" ca="1" si="40"/>
        <v/>
      </c>
      <c r="AR134" s="966" t="str">
        <f t="shared" ca="1" si="40"/>
        <v/>
      </c>
      <c r="AS134" s="966" t="str">
        <f t="shared" ca="1" si="40"/>
        <v/>
      </c>
      <c r="AT134" s="966" t="str">
        <f t="shared" ca="1" si="40"/>
        <v/>
      </c>
      <c r="AU134" s="966" t="str">
        <f t="shared" ca="1" si="40"/>
        <v/>
      </c>
      <c r="AV134" s="966" t="str">
        <f t="shared" ca="1" si="40"/>
        <v/>
      </c>
      <c r="AW134" s="966" t="str">
        <f t="shared" ca="1" si="40"/>
        <v/>
      </c>
      <c r="AX134" s="966" t="str">
        <f t="shared" ca="1" si="40"/>
        <v/>
      </c>
      <c r="AY134" s="966" t="str">
        <f t="shared" ca="1" si="40"/>
        <v/>
      </c>
      <c r="AZ134" s="966" t="str">
        <f t="shared" ca="1" si="40"/>
        <v/>
      </c>
      <c r="BA134" s="966" t="str">
        <f t="shared" ca="1" si="40"/>
        <v/>
      </c>
      <c r="BB134" s="966" t="str">
        <f t="shared" ca="1" si="40"/>
        <v/>
      </c>
      <c r="BC134" s="966" t="str">
        <f t="shared" ca="1" si="40"/>
        <v/>
      </c>
      <c r="BD134" s="966" t="str">
        <f t="shared" ca="1" si="40"/>
        <v/>
      </c>
      <c r="BE134" s="966" t="str">
        <f t="shared" ca="1" si="40"/>
        <v/>
      </c>
      <c r="BF134" s="966" t="str">
        <f t="shared" ca="1" si="40"/>
        <v/>
      </c>
      <c r="BG134" s="966" t="str">
        <f t="shared" ca="1" si="40"/>
        <v/>
      </c>
      <c r="BH134" s="966" t="str">
        <f t="shared" ca="1" si="40"/>
        <v/>
      </c>
      <c r="BI134" s="966" t="str">
        <f t="shared" ca="1" si="40"/>
        <v/>
      </c>
      <c r="BJ134" s="966" t="str">
        <f t="shared" ca="1" si="40"/>
        <v/>
      </c>
      <c r="BK134" s="966" t="str">
        <f t="shared" ca="1" si="40"/>
        <v/>
      </c>
      <c r="BL134" s="966" t="str">
        <f t="shared" ca="1" si="40"/>
        <v/>
      </c>
      <c r="BM134" s="966" t="str">
        <f t="shared" ca="1" si="40"/>
        <v/>
      </c>
      <c r="BN134" s="966" t="str">
        <f t="shared" ca="1" si="40"/>
        <v/>
      </c>
      <c r="BO134" s="966" t="str">
        <f t="shared" ca="1" si="40"/>
        <v/>
      </c>
    </row>
    <row r="135" spans="2:67" ht="20.100000000000001" hidden="1" customHeight="1" outlineLevel="1">
      <c r="B135" s="1648"/>
      <c r="C135" s="1646"/>
      <c r="D135" s="920" t="s">
        <v>366</v>
      </c>
      <c r="E135" s="920"/>
      <c r="F135" s="964"/>
      <c r="G135" s="965" t="s">
        <v>1281</v>
      </c>
      <c r="H135" s="966"/>
      <c r="I135" s="966"/>
      <c r="J135" s="966"/>
      <c r="K135" s="966"/>
      <c r="L135" s="966">
        <f t="shared" ref="L135:BO139" ca="1" si="41">L25</f>
        <v>0</v>
      </c>
      <c r="M135" s="966">
        <f t="shared" ca="1" si="41"/>
        <v>0</v>
      </c>
      <c r="N135" s="966">
        <f t="shared" ca="1" si="41"/>
        <v>0</v>
      </c>
      <c r="O135" s="966">
        <f t="shared" ca="1" si="41"/>
        <v>0</v>
      </c>
      <c r="P135" s="966">
        <f t="shared" ca="1" si="41"/>
        <v>0</v>
      </c>
      <c r="Q135" s="966">
        <f t="shared" ca="1" si="41"/>
        <v>0</v>
      </c>
      <c r="R135" s="966">
        <f t="shared" ca="1" si="41"/>
        <v>0</v>
      </c>
      <c r="S135" s="966">
        <f t="shared" ca="1" si="41"/>
        <v>0</v>
      </c>
      <c r="T135" s="966">
        <f t="shared" ca="1" si="41"/>
        <v>0</v>
      </c>
      <c r="U135" s="966">
        <f t="shared" ca="1" si="41"/>
        <v>0</v>
      </c>
      <c r="V135" s="966">
        <f t="shared" ca="1" si="41"/>
        <v>0</v>
      </c>
      <c r="W135" s="966">
        <f t="shared" ca="1" si="41"/>
        <v>0</v>
      </c>
      <c r="X135" s="966">
        <f t="shared" ca="1" si="41"/>
        <v>0</v>
      </c>
      <c r="Y135" s="966">
        <f t="shared" ca="1" si="41"/>
        <v>0</v>
      </c>
      <c r="Z135" s="966">
        <f t="shared" ca="1" si="41"/>
        <v>0</v>
      </c>
      <c r="AA135" s="966">
        <f t="shared" ca="1" si="41"/>
        <v>0</v>
      </c>
      <c r="AB135" s="966" t="str">
        <f t="shared" ca="1" si="41"/>
        <v/>
      </c>
      <c r="AC135" s="966" t="str">
        <f t="shared" ca="1" si="41"/>
        <v/>
      </c>
      <c r="AD135" s="966" t="str">
        <f t="shared" ca="1" si="41"/>
        <v/>
      </c>
      <c r="AE135" s="966" t="str">
        <f t="shared" ca="1" si="41"/>
        <v/>
      </c>
      <c r="AF135" s="966" t="str">
        <f t="shared" ca="1" si="41"/>
        <v/>
      </c>
      <c r="AG135" s="966" t="str">
        <f t="shared" ca="1" si="41"/>
        <v/>
      </c>
      <c r="AH135" s="966" t="str">
        <f t="shared" ca="1" si="41"/>
        <v/>
      </c>
      <c r="AI135" s="966" t="str">
        <f t="shared" ca="1" si="41"/>
        <v/>
      </c>
      <c r="AJ135" s="966" t="str">
        <f t="shared" ca="1" si="41"/>
        <v/>
      </c>
      <c r="AK135" s="966" t="str">
        <f t="shared" ca="1" si="41"/>
        <v/>
      </c>
      <c r="AL135" s="966" t="str">
        <f t="shared" ca="1" si="41"/>
        <v/>
      </c>
      <c r="AM135" s="966" t="str">
        <f t="shared" ca="1" si="41"/>
        <v/>
      </c>
      <c r="AN135" s="966" t="str">
        <f t="shared" ca="1" si="41"/>
        <v/>
      </c>
      <c r="AO135" s="966" t="str">
        <f t="shared" ca="1" si="41"/>
        <v/>
      </c>
      <c r="AP135" s="966" t="str">
        <f t="shared" ca="1" si="41"/>
        <v/>
      </c>
      <c r="AQ135" s="966" t="str">
        <f t="shared" ca="1" si="41"/>
        <v/>
      </c>
      <c r="AR135" s="966" t="str">
        <f t="shared" ca="1" si="41"/>
        <v/>
      </c>
      <c r="AS135" s="966" t="str">
        <f t="shared" ca="1" si="41"/>
        <v/>
      </c>
      <c r="AT135" s="966" t="str">
        <f t="shared" ca="1" si="41"/>
        <v/>
      </c>
      <c r="AU135" s="966" t="str">
        <f t="shared" ca="1" si="41"/>
        <v/>
      </c>
      <c r="AV135" s="966" t="str">
        <f t="shared" ca="1" si="41"/>
        <v/>
      </c>
      <c r="AW135" s="966" t="str">
        <f t="shared" ca="1" si="41"/>
        <v/>
      </c>
      <c r="AX135" s="966" t="str">
        <f t="shared" ca="1" si="41"/>
        <v/>
      </c>
      <c r="AY135" s="966" t="str">
        <f t="shared" ca="1" si="41"/>
        <v/>
      </c>
      <c r="AZ135" s="966" t="str">
        <f t="shared" ca="1" si="41"/>
        <v/>
      </c>
      <c r="BA135" s="966" t="str">
        <f t="shared" ca="1" si="41"/>
        <v/>
      </c>
      <c r="BB135" s="966" t="str">
        <f t="shared" ca="1" si="41"/>
        <v/>
      </c>
      <c r="BC135" s="966" t="str">
        <f t="shared" ca="1" si="41"/>
        <v/>
      </c>
      <c r="BD135" s="966" t="str">
        <f t="shared" ca="1" si="41"/>
        <v/>
      </c>
      <c r="BE135" s="966" t="str">
        <f t="shared" ca="1" si="41"/>
        <v/>
      </c>
      <c r="BF135" s="966" t="str">
        <f t="shared" ca="1" si="41"/>
        <v/>
      </c>
      <c r="BG135" s="966" t="str">
        <f t="shared" ca="1" si="41"/>
        <v/>
      </c>
      <c r="BH135" s="966" t="str">
        <f t="shared" ca="1" si="41"/>
        <v/>
      </c>
      <c r="BI135" s="966" t="str">
        <f t="shared" ca="1" si="41"/>
        <v/>
      </c>
      <c r="BJ135" s="966" t="str">
        <f t="shared" ca="1" si="41"/>
        <v/>
      </c>
      <c r="BK135" s="966" t="str">
        <f t="shared" ca="1" si="41"/>
        <v/>
      </c>
      <c r="BL135" s="966" t="str">
        <f t="shared" ca="1" si="41"/>
        <v/>
      </c>
      <c r="BM135" s="966" t="str">
        <f t="shared" ca="1" si="41"/>
        <v/>
      </c>
      <c r="BN135" s="966" t="str">
        <f t="shared" ca="1" si="41"/>
        <v/>
      </c>
      <c r="BO135" s="966" t="str">
        <f t="shared" ca="1" si="41"/>
        <v/>
      </c>
    </row>
    <row r="136" spans="2:67" ht="20.100000000000001" hidden="1" customHeight="1" outlineLevel="1">
      <c r="B136" s="1648"/>
      <c r="C136" s="1646"/>
      <c r="D136" s="920" t="s">
        <v>367</v>
      </c>
      <c r="E136" s="920"/>
      <c r="F136" s="964"/>
      <c r="G136" s="965" t="s">
        <v>1281</v>
      </c>
      <c r="H136" s="966"/>
      <c r="I136" s="966"/>
      <c r="J136" s="966"/>
      <c r="K136" s="966"/>
      <c r="L136" s="966">
        <f t="shared" ca="1" si="41"/>
        <v>0</v>
      </c>
      <c r="M136" s="966">
        <f t="shared" ca="1" si="41"/>
        <v>0</v>
      </c>
      <c r="N136" s="966">
        <f t="shared" ca="1" si="41"/>
        <v>0</v>
      </c>
      <c r="O136" s="966">
        <f t="shared" ca="1" si="41"/>
        <v>0</v>
      </c>
      <c r="P136" s="966">
        <f t="shared" ca="1" si="41"/>
        <v>0</v>
      </c>
      <c r="Q136" s="966">
        <f t="shared" ca="1" si="41"/>
        <v>0</v>
      </c>
      <c r="R136" s="966">
        <f t="shared" ca="1" si="41"/>
        <v>0</v>
      </c>
      <c r="S136" s="966">
        <f t="shared" ca="1" si="41"/>
        <v>0</v>
      </c>
      <c r="T136" s="966">
        <f t="shared" ca="1" si="41"/>
        <v>0</v>
      </c>
      <c r="U136" s="966">
        <f t="shared" ca="1" si="41"/>
        <v>0</v>
      </c>
      <c r="V136" s="966">
        <f t="shared" ca="1" si="41"/>
        <v>0</v>
      </c>
      <c r="W136" s="966">
        <f t="shared" ca="1" si="41"/>
        <v>0</v>
      </c>
      <c r="X136" s="966">
        <f t="shared" ca="1" si="41"/>
        <v>0</v>
      </c>
      <c r="Y136" s="966">
        <f t="shared" ca="1" si="41"/>
        <v>0</v>
      </c>
      <c r="Z136" s="966">
        <f t="shared" ca="1" si="41"/>
        <v>0</v>
      </c>
      <c r="AA136" s="966">
        <f t="shared" ca="1" si="41"/>
        <v>0</v>
      </c>
      <c r="AB136" s="966" t="str">
        <f t="shared" ca="1" si="41"/>
        <v/>
      </c>
      <c r="AC136" s="966" t="str">
        <f t="shared" ca="1" si="41"/>
        <v/>
      </c>
      <c r="AD136" s="966" t="str">
        <f t="shared" ca="1" si="41"/>
        <v/>
      </c>
      <c r="AE136" s="966" t="str">
        <f t="shared" ca="1" si="41"/>
        <v/>
      </c>
      <c r="AF136" s="966" t="str">
        <f t="shared" ca="1" si="41"/>
        <v/>
      </c>
      <c r="AG136" s="966" t="str">
        <f t="shared" ca="1" si="41"/>
        <v/>
      </c>
      <c r="AH136" s="966" t="str">
        <f t="shared" ca="1" si="41"/>
        <v/>
      </c>
      <c r="AI136" s="966" t="str">
        <f t="shared" ca="1" si="41"/>
        <v/>
      </c>
      <c r="AJ136" s="966" t="str">
        <f t="shared" ca="1" si="41"/>
        <v/>
      </c>
      <c r="AK136" s="966" t="str">
        <f t="shared" ca="1" si="41"/>
        <v/>
      </c>
      <c r="AL136" s="966" t="str">
        <f t="shared" ca="1" si="41"/>
        <v/>
      </c>
      <c r="AM136" s="966" t="str">
        <f t="shared" ca="1" si="41"/>
        <v/>
      </c>
      <c r="AN136" s="966" t="str">
        <f t="shared" ca="1" si="41"/>
        <v/>
      </c>
      <c r="AO136" s="966" t="str">
        <f t="shared" ca="1" si="41"/>
        <v/>
      </c>
      <c r="AP136" s="966" t="str">
        <f t="shared" ca="1" si="41"/>
        <v/>
      </c>
      <c r="AQ136" s="966" t="str">
        <f t="shared" ca="1" si="41"/>
        <v/>
      </c>
      <c r="AR136" s="966" t="str">
        <f t="shared" ca="1" si="41"/>
        <v/>
      </c>
      <c r="AS136" s="966" t="str">
        <f t="shared" ca="1" si="41"/>
        <v/>
      </c>
      <c r="AT136" s="966" t="str">
        <f t="shared" ca="1" si="41"/>
        <v/>
      </c>
      <c r="AU136" s="966" t="str">
        <f t="shared" ca="1" si="41"/>
        <v/>
      </c>
      <c r="AV136" s="966" t="str">
        <f t="shared" ca="1" si="41"/>
        <v/>
      </c>
      <c r="AW136" s="966" t="str">
        <f t="shared" ca="1" si="41"/>
        <v/>
      </c>
      <c r="AX136" s="966" t="str">
        <f t="shared" ca="1" si="41"/>
        <v/>
      </c>
      <c r="AY136" s="966" t="str">
        <f t="shared" ca="1" si="41"/>
        <v/>
      </c>
      <c r="AZ136" s="966" t="str">
        <f t="shared" ca="1" si="41"/>
        <v/>
      </c>
      <c r="BA136" s="966" t="str">
        <f t="shared" ca="1" si="41"/>
        <v/>
      </c>
      <c r="BB136" s="966" t="str">
        <f t="shared" ca="1" si="41"/>
        <v/>
      </c>
      <c r="BC136" s="966" t="str">
        <f t="shared" ca="1" si="41"/>
        <v/>
      </c>
      <c r="BD136" s="966" t="str">
        <f t="shared" ca="1" si="41"/>
        <v/>
      </c>
      <c r="BE136" s="966" t="str">
        <f t="shared" ca="1" si="41"/>
        <v/>
      </c>
      <c r="BF136" s="966" t="str">
        <f t="shared" ca="1" si="41"/>
        <v/>
      </c>
      <c r="BG136" s="966" t="str">
        <f t="shared" ca="1" si="41"/>
        <v/>
      </c>
      <c r="BH136" s="966" t="str">
        <f t="shared" ca="1" si="41"/>
        <v/>
      </c>
      <c r="BI136" s="966" t="str">
        <f t="shared" ca="1" si="41"/>
        <v/>
      </c>
      <c r="BJ136" s="966" t="str">
        <f t="shared" ca="1" si="41"/>
        <v/>
      </c>
      <c r="BK136" s="966" t="str">
        <f t="shared" ca="1" si="41"/>
        <v/>
      </c>
      <c r="BL136" s="966" t="str">
        <f t="shared" ca="1" si="41"/>
        <v/>
      </c>
      <c r="BM136" s="966" t="str">
        <f t="shared" ca="1" si="41"/>
        <v/>
      </c>
      <c r="BN136" s="966" t="str">
        <f t="shared" ca="1" si="41"/>
        <v/>
      </c>
      <c r="BO136" s="966" t="str">
        <f t="shared" ca="1" si="41"/>
        <v/>
      </c>
    </row>
    <row r="137" spans="2:67" ht="20.100000000000001" hidden="1" customHeight="1" outlineLevel="1">
      <c r="B137" s="1648"/>
      <c r="C137" s="1646"/>
      <c r="D137" s="920" t="s">
        <v>368</v>
      </c>
      <c r="E137" s="920"/>
      <c r="F137" s="964"/>
      <c r="G137" s="965" t="s">
        <v>1281</v>
      </c>
      <c r="H137" s="966"/>
      <c r="I137" s="966"/>
      <c r="J137" s="966"/>
      <c r="K137" s="966"/>
      <c r="L137" s="966">
        <f t="shared" ca="1" si="41"/>
        <v>0</v>
      </c>
      <c r="M137" s="966">
        <f t="shared" ca="1" si="41"/>
        <v>0</v>
      </c>
      <c r="N137" s="966">
        <f t="shared" ca="1" si="41"/>
        <v>0</v>
      </c>
      <c r="O137" s="966">
        <f t="shared" ca="1" si="41"/>
        <v>0</v>
      </c>
      <c r="P137" s="966">
        <f t="shared" ca="1" si="41"/>
        <v>0</v>
      </c>
      <c r="Q137" s="966">
        <f t="shared" ca="1" si="41"/>
        <v>0</v>
      </c>
      <c r="R137" s="966">
        <f t="shared" ca="1" si="41"/>
        <v>0</v>
      </c>
      <c r="S137" s="966">
        <f t="shared" ca="1" si="41"/>
        <v>0</v>
      </c>
      <c r="T137" s="966">
        <f t="shared" ca="1" si="41"/>
        <v>0</v>
      </c>
      <c r="U137" s="966">
        <f t="shared" ca="1" si="41"/>
        <v>0</v>
      </c>
      <c r="V137" s="966">
        <f t="shared" ca="1" si="41"/>
        <v>0</v>
      </c>
      <c r="W137" s="966">
        <f t="shared" ca="1" si="41"/>
        <v>0</v>
      </c>
      <c r="X137" s="966">
        <f t="shared" ca="1" si="41"/>
        <v>0</v>
      </c>
      <c r="Y137" s="966">
        <f t="shared" ca="1" si="41"/>
        <v>0</v>
      </c>
      <c r="Z137" s="966">
        <f t="shared" ca="1" si="41"/>
        <v>0</v>
      </c>
      <c r="AA137" s="966">
        <f t="shared" ca="1" si="41"/>
        <v>0</v>
      </c>
      <c r="AB137" s="966" t="str">
        <f t="shared" ca="1" si="41"/>
        <v/>
      </c>
      <c r="AC137" s="966" t="str">
        <f t="shared" ca="1" si="41"/>
        <v/>
      </c>
      <c r="AD137" s="966" t="str">
        <f t="shared" ca="1" si="41"/>
        <v/>
      </c>
      <c r="AE137" s="966" t="str">
        <f t="shared" ca="1" si="41"/>
        <v/>
      </c>
      <c r="AF137" s="966" t="str">
        <f t="shared" ca="1" si="41"/>
        <v/>
      </c>
      <c r="AG137" s="966" t="str">
        <f t="shared" ca="1" si="41"/>
        <v/>
      </c>
      <c r="AH137" s="966" t="str">
        <f t="shared" ca="1" si="41"/>
        <v/>
      </c>
      <c r="AI137" s="966" t="str">
        <f t="shared" ca="1" si="41"/>
        <v/>
      </c>
      <c r="AJ137" s="966" t="str">
        <f t="shared" ca="1" si="41"/>
        <v/>
      </c>
      <c r="AK137" s="966" t="str">
        <f t="shared" ca="1" si="41"/>
        <v/>
      </c>
      <c r="AL137" s="966" t="str">
        <f t="shared" ca="1" si="41"/>
        <v/>
      </c>
      <c r="AM137" s="966" t="str">
        <f t="shared" ca="1" si="41"/>
        <v/>
      </c>
      <c r="AN137" s="966" t="str">
        <f t="shared" ca="1" si="41"/>
        <v/>
      </c>
      <c r="AO137" s="966" t="str">
        <f t="shared" ca="1" si="41"/>
        <v/>
      </c>
      <c r="AP137" s="966" t="str">
        <f t="shared" ca="1" si="41"/>
        <v/>
      </c>
      <c r="AQ137" s="966" t="str">
        <f t="shared" ca="1" si="41"/>
        <v/>
      </c>
      <c r="AR137" s="966" t="str">
        <f t="shared" ca="1" si="41"/>
        <v/>
      </c>
      <c r="AS137" s="966" t="str">
        <f t="shared" ca="1" si="41"/>
        <v/>
      </c>
      <c r="AT137" s="966" t="str">
        <f t="shared" ca="1" si="41"/>
        <v/>
      </c>
      <c r="AU137" s="966" t="str">
        <f t="shared" ca="1" si="41"/>
        <v/>
      </c>
      <c r="AV137" s="966" t="str">
        <f t="shared" ca="1" si="41"/>
        <v/>
      </c>
      <c r="AW137" s="966" t="str">
        <f t="shared" ca="1" si="41"/>
        <v/>
      </c>
      <c r="AX137" s="966" t="str">
        <f t="shared" ca="1" si="41"/>
        <v/>
      </c>
      <c r="AY137" s="966" t="str">
        <f t="shared" ca="1" si="41"/>
        <v/>
      </c>
      <c r="AZ137" s="966" t="str">
        <f t="shared" ca="1" si="41"/>
        <v/>
      </c>
      <c r="BA137" s="966" t="str">
        <f t="shared" ca="1" si="41"/>
        <v/>
      </c>
      <c r="BB137" s="966" t="str">
        <f t="shared" ca="1" si="41"/>
        <v/>
      </c>
      <c r="BC137" s="966" t="str">
        <f t="shared" ca="1" si="41"/>
        <v/>
      </c>
      <c r="BD137" s="966" t="str">
        <f t="shared" ca="1" si="41"/>
        <v/>
      </c>
      <c r="BE137" s="966" t="str">
        <f t="shared" ca="1" si="41"/>
        <v/>
      </c>
      <c r="BF137" s="966" t="str">
        <f t="shared" ca="1" si="41"/>
        <v/>
      </c>
      <c r="BG137" s="966" t="str">
        <f t="shared" ca="1" si="41"/>
        <v/>
      </c>
      <c r="BH137" s="966" t="str">
        <f t="shared" ca="1" si="41"/>
        <v/>
      </c>
      <c r="BI137" s="966" t="str">
        <f t="shared" ca="1" si="41"/>
        <v/>
      </c>
      <c r="BJ137" s="966" t="str">
        <f t="shared" ca="1" si="41"/>
        <v/>
      </c>
      <c r="BK137" s="966" t="str">
        <f t="shared" ca="1" si="41"/>
        <v/>
      </c>
      <c r="BL137" s="966" t="str">
        <f t="shared" ca="1" si="41"/>
        <v/>
      </c>
      <c r="BM137" s="966" t="str">
        <f t="shared" ca="1" si="41"/>
        <v/>
      </c>
      <c r="BN137" s="966" t="str">
        <f t="shared" ca="1" si="41"/>
        <v/>
      </c>
      <c r="BO137" s="966" t="str">
        <f t="shared" ca="1" si="41"/>
        <v/>
      </c>
    </row>
    <row r="138" spans="2:67" ht="20.100000000000001" hidden="1" customHeight="1" outlineLevel="1">
      <c r="B138" s="1648"/>
      <c r="C138" s="1646"/>
      <c r="D138" s="920" t="s">
        <v>369</v>
      </c>
      <c r="E138" s="920"/>
      <c r="F138" s="964"/>
      <c r="G138" s="965" t="s">
        <v>1281</v>
      </c>
      <c r="H138" s="966"/>
      <c r="I138" s="966"/>
      <c r="J138" s="966"/>
      <c r="K138" s="966"/>
      <c r="L138" s="966">
        <f t="shared" ca="1" si="41"/>
        <v>0</v>
      </c>
      <c r="M138" s="966">
        <f t="shared" ca="1" si="41"/>
        <v>0</v>
      </c>
      <c r="N138" s="966">
        <f t="shared" ca="1" si="41"/>
        <v>0</v>
      </c>
      <c r="O138" s="966">
        <f t="shared" ca="1" si="41"/>
        <v>0</v>
      </c>
      <c r="P138" s="966">
        <f t="shared" ca="1" si="41"/>
        <v>0</v>
      </c>
      <c r="Q138" s="966">
        <f t="shared" ca="1" si="41"/>
        <v>0</v>
      </c>
      <c r="R138" s="966">
        <f t="shared" ca="1" si="41"/>
        <v>0</v>
      </c>
      <c r="S138" s="966">
        <f t="shared" ca="1" si="41"/>
        <v>0</v>
      </c>
      <c r="T138" s="966">
        <f t="shared" ca="1" si="41"/>
        <v>0</v>
      </c>
      <c r="U138" s="966">
        <f t="shared" ca="1" si="41"/>
        <v>0</v>
      </c>
      <c r="V138" s="966">
        <f t="shared" ca="1" si="41"/>
        <v>0</v>
      </c>
      <c r="W138" s="966">
        <f t="shared" ca="1" si="41"/>
        <v>0</v>
      </c>
      <c r="X138" s="966">
        <f t="shared" ca="1" si="41"/>
        <v>0</v>
      </c>
      <c r="Y138" s="966">
        <f t="shared" ca="1" si="41"/>
        <v>0</v>
      </c>
      <c r="Z138" s="966">
        <f t="shared" ca="1" si="41"/>
        <v>0</v>
      </c>
      <c r="AA138" s="966">
        <f t="shared" ca="1" si="41"/>
        <v>0</v>
      </c>
      <c r="AB138" s="966" t="str">
        <f t="shared" ca="1" si="41"/>
        <v/>
      </c>
      <c r="AC138" s="966" t="str">
        <f t="shared" ca="1" si="41"/>
        <v/>
      </c>
      <c r="AD138" s="966" t="str">
        <f t="shared" ca="1" si="41"/>
        <v/>
      </c>
      <c r="AE138" s="966" t="str">
        <f t="shared" ca="1" si="41"/>
        <v/>
      </c>
      <c r="AF138" s="966" t="str">
        <f t="shared" ca="1" si="41"/>
        <v/>
      </c>
      <c r="AG138" s="966" t="str">
        <f t="shared" ca="1" si="41"/>
        <v/>
      </c>
      <c r="AH138" s="966" t="str">
        <f t="shared" ca="1" si="41"/>
        <v/>
      </c>
      <c r="AI138" s="966" t="str">
        <f t="shared" ca="1" si="41"/>
        <v/>
      </c>
      <c r="AJ138" s="966" t="str">
        <f t="shared" ca="1" si="41"/>
        <v/>
      </c>
      <c r="AK138" s="966" t="str">
        <f t="shared" ca="1" si="41"/>
        <v/>
      </c>
      <c r="AL138" s="966" t="str">
        <f t="shared" ca="1" si="41"/>
        <v/>
      </c>
      <c r="AM138" s="966" t="str">
        <f t="shared" ca="1" si="41"/>
        <v/>
      </c>
      <c r="AN138" s="966" t="str">
        <f t="shared" ca="1" si="41"/>
        <v/>
      </c>
      <c r="AO138" s="966" t="str">
        <f t="shared" ca="1" si="41"/>
        <v/>
      </c>
      <c r="AP138" s="966" t="str">
        <f t="shared" ca="1" si="41"/>
        <v/>
      </c>
      <c r="AQ138" s="966" t="str">
        <f t="shared" ca="1" si="41"/>
        <v/>
      </c>
      <c r="AR138" s="966" t="str">
        <f t="shared" ca="1" si="41"/>
        <v/>
      </c>
      <c r="AS138" s="966" t="str">
        <f t="shared" ca="1" si="41"/>
        <v/>
      </c>
      <c r="AT138" s="966" t="str">
        <f t="shared" ca="1" si="41"/>
        <v/>
      </c>
      <c r="AU138" s="966" t="str">
        <f t="shared" ca="1" si="41"/>
        <v/>
      </c>
      <c r="AV138" s="966" t="str">
        <f t="shared" ca="1" si="41"/>
        <v/>
      </c>
      <c r="AW138" s="966" t="str">
        <f t="shared" ca="1" si="41"/>
        <v/>
      </c>
      <c r="AX138" s="966" t="str">
        <f t="shared" ca="1" si="41"/>
        <v/>
      </c>
      <c r="AY138" s="966" t="str">
        <f t="shared" ca="1" si="41"/>
        <v/>
      </c>
      <c r="AZ138" s="966" t="str">
        <f t="shared" ca="1" si="41"/>
        <v/>
      </c>
      <c r="BA138" s="966" t="str">
        <f t="shared" ca="1" si="41"/>
        <v/>
      </c>
      <c r="BB138" s="966" t="str">
        <f t="shared" ca="1" si="41"/>
        <v/>
      </c>
      <c r="BC138" s="966" t="str">
        <f t="shared" ca="1" si="41"/>
        <v/>
      </c>
      <c r="BD138" s="966" t="str">
        <f t="shared" ca="1" si="41"/>
        <v/>
      </c>
      <c r="BE138" s="966" t="str">
        <f t="shared" ca="1" si="41"/>
        <v/>
      </c>
      <c r="BF138" s="966" t="str">
        <f t="shared" ca="1" si="41"/>
        <v/>
      </c>
      <c r="BG138" s="966" t="str">
        <f t="shared" ca="1" si="41"/>
        <v/>
      </c>
      <c r="BH138" s="966" t="str">
        <f t="shared" ca="1" si="41"/>
        <v/>
      </c>
      <c r="BI138" s="966" t="str">
        <f t="shared" ca="1" si="41"/>
        <v/>
      </c>
      <c r="BJ138" s="966" t="str">
        <f t="shared" ca="1" si="41"/>
        <v/>
      </c>
      <c r="BK138" s="966" t="str">
        <f t="shared" ca="1" si="41"/>
        <v/>
      </c>
      <c r="BL138" s="966" t="str">
        <f t="shared" ca="1" si="41"/>
        <v/>
      </c>
      <c r="BM138" s="966" t="str">
        <f t="shared" ca="1" si="41"/>
        <v/>
      </c>
      <c r="BN138" s="966" t="str">
        <f t="shared" ca="1" si="41"/>
        <v/>
      </c>
      <c r="BO138" s="966" t="str">
        <f t="shared" ca="1" si="41"/>
        <v/>
      </c>
    </row>
    <row r="139" spans="2:67" ht="20.100000000000001" hidden="1" customHeight="1" outlineLevel="1">
      <c r="B139" s="1648"/>
      <c r="C139" s="1646"/>
      <c r="D139" s="920" t="s">
        <v>370</v>
      </c>
      <c r="E139" s="920"/>
      <c r="F139" s="964"/>
      <c r="G139" s="965" t="s">
        <v>1281</v>
      </c>
      <c r="H139" s="966"/>
      <c r="I139" s="966"/>
      <c r="J139" s="966"/>
      <c r="K139" s="966"/>
      <c r="L139" s="966">
        <f t="shared" ca="1" si="41"/>
        <v>0</v>
      </c>
      <c r="M139" s="966">
        <f t="shared" ca="1" si="41"/>
        <v>0</v>
      </c>
      <c r="N139" s="966">
        <f t="shared" ca="1" si="41"/>
        <v>0</v>
      </c>
      <c r="O139" s="966">
        <f t="shared" ca="1" si="41"/>
        <v>0</v>
      </c>
      <c r="P139" s="966">
        <f t="shared" ca="1" si="41"/>
        <v>0</v>
      </c>
      <c r="Q139" s="966">
        <f t="shared" ca="1" si="41"/>
        <v>0</v>
      </c>
      <c r="R139" s="966">
        <f t="shared" ca="1" si="41"/>
        <v>0</v>
      </c>
      <c r="S139" s="966">
        <f t="shared" ca="1" si="41"/>
        <v>0</v>
      </c>
      <c r="T139" s="966">
        <f t="shared" ca="1" si="41"/>
        <v>0</v>
      </c>
      <c r="U139" s="966">
        <f t="shared" ca="1" si="41"/>
        <v>0</v>
      </c>
      <c r="V139" s="966">
        <f t="shared" ca="1" si="41"/>
        <v>0</v>
      </c>
      <c r="W139" s="966">
        <f t="shared" ca="1" si="41"/>
        <v>0</v>
      </c>
      <c r="X139" s="966">
        <f t="shared" ca="1" si="41"/>
        <v>0</v>
      </c>
      <c r="Y139" s="966">
        <f t="shared" ca="1" si="41"/>
        <v>0</v>
      </c>
      <c r="Z139" s="966">
        <f t="shared" ca="1" si="41"/>
        <v>0</v>
      </c>
      <c r="AA139" s="966">
        <f t="shared" ca="1" si="41"/>
        <v>0</v>
      </c>
      <c r="AB139" s="966" t="str">
        <f t="shared" ca="1" si="41"/>
        <v/>
      </c>
      <c r="AC139" s="966" t="str">
        <f t="shared" ca="1" si="41"/>
        <v/>
      </c>
      <c r="AD139" s="966" t="str">
        <f t="shared" ca="1" si="41"/>
        <v/>
      </c>
      <c r="AE139" s="966" t="str">
        <f t="shared" ca="1" si="41"/>
        <v/>
      </c>
      <c r="AF139" s="966" t="str">
        <f t="shared" ca="1" si="41"/>
        <v/>
      </c>
      <c r="AG139" s="966" t="str">
        <f t="shared" ca="1" si="41"/>
        <v/>
      </c>
      <c r="AH139" s="966" t="str">
        <f t="shared" ca="1" si="41"/>
        <v/>
      </c>
      <c r="AI139" s="966" t="str">
        <f t="shared" ca="1" si="41"/>
        <v/>
      </c>
      <c r="AJ139" s="966" t="str">
        <f t="shared" ca="1" si="41"/>
        <v/>
      </c>
      <c r="AK139" s="966" t="str">
        <f t="shared" ca="1" si="41"/>
        <v/>
      </c>
      <c r="AL139" s="966" t="str">
        <f t="shared" ca="1" si="41"/>
        <v/>
      </c>
      <c r="AM139" s="966" t="str">
        <f t="shared" ca="1" si="41"/>
        <v/>
      </c>
      <c r="AN139" s="966" t="str">
        <f t="shared" ca="1" si="41"/>
        <v/>
      </c>
      <c r="AO139" s="966" t="str">
        <f t="shared" ca="1" si="41"/>
        <v/>
      </c>
      <c r="AP139" s="966" t="str">
        <f t="shared" ca="1" si="41"/>
        <v/>
      </c>
      <c r="AQ139" s="966" t="str">
        <f t="shared" ref="AQ139:BO139" ca="1" si="42">AQ29</f>
        <v/>
      </c>
      <c r="AR139" s="966" t="str">
        <f t="shared" ca="1" si="42"/>
        <v/>
      </c>
      <c r="AS139" s="966" t="str">
        <f t="shared" ca="1" si="42"/>
        <v/>
      </c>
      <c r="AT139" s="966" t="str">
        <f t="shared" ca="1" si="42"/>
        <v/>
      </c>
      <c r="AU139" s="966" t="str">
        <f t="shared" ca="1" si="42"/>
        <v/>
      </c>
      <c r="AV139" s="966" t="str">
        <f t="shared" ca="1" si="42"/>
        <v/>
      </c>
      <c r="AW139" s="966" t="str">
        <f t="shared" ca="1" si="42"/>
        <v/>
      </c>
      <c r="AX139" s="966" t="str">
        <f t="shared" ca="1" si="42"/>
        <v/>
      </c>
      <c r="AY139" s="966" t="str">
        <f t="shared" ca="1" si="42"/>
        <v/>
      </c>
      <c r="AZ139" s="966" t="str">
        <f t="shared" ca="1" si="42"/>
        <v/>
      </c>
      <c r="BA139" s="966" t="str">
        <f t="shared" ca="1" si="42"/>
        <v/>
      </c>
      <c r="BB139" s="966" t="str">
        <f t="shared" ca="1" si="42"/>
        <v/>
      </c>
      <c r="BC139" s="966" t="str">
        <f t="shared" ca="1" si="42"/>
        <v/>
      </c>
      <c r="BD139" s="966" t="str">
        <f t="shared" ca="1" si="42"/>
        <v/>
      </c>
      <c r="BE139" s="966" t="str">
        <f t="shared" ca="1" si="42"/>
        <v/>
      </c>
      <c r="BF139" s="966" t="str">
        <f t="shared" ca="1" si="42"/>
        <v/>
      </c>
      <c r="BG139" s="966" t="str">
        <f t="shared" ca="1" si="42"/>
        <v/>
      </c>
      <c r="BH139" s="966" t="str">
        <f t="shared" ca="1" si="42"/>
        <v/>
      </c>
      <c r="BI139" s="966" t="str">
        <f t="shared" ca="1" si="42"/>
        <v/>
      </c>
      <c r="BJ139" s="966" t="str">
        <f t="shared" ca="1" si="42"/>
        <v/>
      </c>
      <c r="BK139" s="966" t="str">
        <f t="shared" ca="1" si="42"/>
        <v/>
      </c>
      <c r="BL139" s="966" t="str">
        <f t="shared" ca="1" si="42"/>
        <v/>
      </c>
      <c r="BM139" s="966" t="str">
        <f t="shared" ca="1" si="42"/>
        <v/>
      </c>
      <c r="BN139" s="966" t="str">
        <f t="shared" ca="1" si="42"/>
        <v/>
      </c>
      <c r="BO139" s="966" t="str">
        <f t="shared" ca="1" si="42"/>
        <v/>
      </c>
    </row>
    <row r="140" spans="2:67" ht="20.100000000000001" hidden="1" customHeight="1" outlineLevel="1">
      <c r="B140" s="1648"/>
      <c r="C140" s="1646"/>
      <c r="D140" s="920" t="s">
        <v>371</v>
      </c>
      <c r="E140" s="967"/>
      <c r="F140" s="964"/>
      <c r="G140" s="965" t="s">
        <v>1281</v>
      </c>
      <c r="H140" s="966"/>
      <c r="I140" s="966"/>
      <c r="J140" s="966"/>
      <c r="K140" s="966"/>
      <c r="L140" s="966">
        <f t="shared" ref="L140:BO144" ca="1" si="43">L30</f>
        <v>0</v>
      </c>
      <c r="M140" s="966">
        <f t="shared" ca="1" si="43"/>
        <v>0</v>
      </c>
      <c r="N140" s="966">
        <f t="shared" ca="1" si="43"/>
        <v>0</v>
      </c>
      <c r="O140" s="966">
        <f t="shared" ca="1" si="43"/>
        <v>0</v>
      </c>
      <c r="P140" s="966">
        <f t="shared" ca="1" si="43"/>
        <v>0</v>
      </c>
      <c r="Q140" s="966">
        <f t="shared" ca="1" si="43"/>
        <v>0</v>
      </c>
      <c r="R140" s="966">
        <f t="shared" ca="1" si="43"/>
        <v>0</v>
      </c>
      <c r="S140" s="966">
        <f t="shared" ca="1" si="43"/>
        <v>0</v>
      </c>
      <c r="T140" s="966">
        <f t="shared" ca="1" si="43"/>
        <v>0</v>
      </c>
      <c r="U140" s="966">
        <f t="shared" ca="1" si="43"/>
        <v>0</v>
      </c>
      <c r="V140" s="966">
        <f t="shared" ca="1" si="43"/>
        <v>0</v>
      </c>
      <c r="W140" s="966">
        <f t="shared" ca="1" si="43"/>
        <v>0</v>
      </c>
      <c r="X140" s="966">
        <f t="shared" ca="1" si="43"/>
        <v>0</v>
      </c>
      <c r="Y140" s="966">
        <f t="shared" ca="1" si="43"/>
        <v>0</v>
      </c>
      <c r="Z140" s="966">
        <f t="shared" ca="1" si="43"/>
        <v>0</v>
      </c>
      <c r="AA140" s="966">
        <f t="shared" ca="1" si="43"/>
        <v>0</v>
      </c>
      <c r="AB140" s="966" t="str">
        <f t="shared" ca="1" si="43"/>
        <v/>
      </c>
      <c r="AC140" s="966" t="str">
        <f t="shared" ca="1" si="43"/>
        <v/>
      </c>
      <c r="AD140" s="966" t="str">
        <f t="shared" ca="1" si="43"/>
        <v/>
      </c>
      <c r="AE140" s="966" t="str">
        <f t="shared" ca="1" si="43"/>
        <v/>
      </c>
      <c r="AF140" s="966" t="str">
        <f t="shared" ca="1" si="43"/>
        <v/>
      </c>
      <c r="AG140" s="966" t="str">
        <f t="shared" ca="1" si="43"/>
        <v/>
      </c>
      <c r="AH140" s="966" t="str">
        <f t="shared" ca="1" si="43"/>
        <v/>
      </c>
      <c r="AI140" s="966" t="str">
        <f t="shared" ca="1" si="43"/>
        <v/>
      </c>
      <c r="AJ140" s="966" t="str">
        <f t="shared" ca="1" si="43"/>
        <v/>
      </c>
      <c r="AK140" s="966" t="str">
        <f t="shared" ca="1" si="43"/>
        <v/>
      </c>
      <c r="AL140" s="966" t="str">
        <f t="shared" ca="1" si="43"/>
        <v/>
      </c>
      <c r="AM140" s="966" t="str">
        <f t="shared" ca="1" si="43"/>
        <v/>
      </c>
      <c r="AN140" s="966" t="str">
        <f t="shared" ca="1" si="43"/>
        <v/>
      </c>
      <c r="AO140" s="966" t="str">
        <f t="shared" ca="1" si="43"/>
        <v/>
      </c>
      <c r="AP140" s="966" t="str">
        <f t="shared" ca="1" si="43"/>
        <v/>
      </c>
      <c r="AQ140" s="966" t="str">
        <f t="shared" ca="1" si="43"/>
        <v/>
      </c>
      <c r="AR140" s="966" t="str">
        <f t="shared" ca="1" si="43"/>
        <v/>
      </c>
      <c r="AS140" s="966" t="str">
        <f t="shared" ca="1" si="43"/>
        <v/>
      </c>
      <c r="AT140" s="966" t="str">
        <f t="shared" ca="1" si="43"/>
        <v/>
      </c>
      <c r="AU140" s="966" t="str">
        <f t="shared" ca="1" si="43"/>
        <v/>
      </c>
      <c r="AV140" s="966" t="str">
        <f t="shared" ca="1" si="43"/>
        <v/>
      </c>
      <c r="AW140" s="966" t="str">
        <f t="shared" ca="1" si="43"/>
        <v/>
      </c>
      <c r="AX140" s="966" t="str">
        <f t="shared" ca="1" si="43"/>
        <v/>
      </c>
      <c r="AY140" s="966" t="str">
        <f t="shared" ca="1" si="43"/>
        <v/>
      </c>
      <c r="AZ140" s="966" t="str">
        <f t="shared" ca="1" si="43"/>
        <v/>
      </c>
      <c r="BA140" s="966" t="str">
        <f t="shared" ca="1" si="43"/>
        <v/>
      </c>
      <c r="BB140" s="966" t="str">
        <f t="shared" ca="1" si="43"/>
        <v/>
      </c>
      <c r="BC140" s="966" t="str">
        <f t="shared" ca="1" si="43"/>
        <v/>
      </c>
      <c r="BD140" s="966" t="str">
        <f t="shared" ca="1" si="43"/>
        <v/>
      </c>
      <c r="BE140" s="966" t="str">
        <f t="shared" ca="1" si="43"/>
        <v/>
      </c>
      <c r="BF140" s="966" t="str">
        <f t="shared" ca="1" si="43"/>
        <v/>
      </c>
      <c r="BG140" s="966" t="str">
        <f t="shared" ca="1" si="43"/>
        <v/>
      </c>
      <c r="BH140" s="966" t="str">
        <f t="shared" ca="1" si="43"/>
        <v/>
      </c>
      <c r="BI140" s="966" t="str">
        <f t="shared" ca="1" si="43"/>
        <v/>
      </c>
      <c r="BJ140" s="966" t="str">
        <f t="shared" ca="1" si="43"/>
        <v/>
      </c>
      <c r="BK140" s="966" t="str">
        <f t="shared" ca="1" si="43"/>
        <v/>
      </c>
      <c r="BL140" s="966" t="str">
        <f t="shared" ca="1" si="43"/>
        <v/>
      </c>
      <c r="BM140" s="966" t="str">
        <f t="shared" ca="1" si="43"/>
        <v/>
      </c>
      <c r="BN140" s="966" t="str">
        <f t="shared" ca="1" si="43"/>
        <v/>
      </c>
      <c r="BO140" s="966" t="str">
        <f t="shared" ca="1" si="43"/>
        <v/>
      </c>
    </row>
    <row r="141" spans="2:67" ht="20.100000000000001" hidden="1" customHeight="1" outlineLevel="1">
      <c r="B141" s="1648"/>
      <c r="C141" s="1646"/>
      <c r="D141" s="920" t="s">
        <v>372</v>
      </c>
      <c r="E141" s="920"/>
      <c r="F141" s="964"/>
      <c r="G141" s="965" t="s">
        <v>1281</v>
      </c>
      <c r="H141" s="966"/>
      <c r="I141" s="966"/>
      <c r="J141" s="966"/>
      <c r="K141" s="966"/>
      <c r="L141" s="966">
        <f t="shared" ca="1" si="43"/>
        <v>0</v>
      </c>
      <c r="M141" s="966">
        <f t="shared" ca="1" si="43"/>
        <v>0</v>
      </c>
      <c r="N141" s="966">
        <f t="shared" ca="1" si="43"/>
        <v>0</v>
      </c>
      <c r="O141" s="966">
        <f t="shared" ca="1" si="43"/>
        <v>0</v>
      </c>
      <c r="P141" s="966">
        <f t="shared" ca="1" si="43"/>
        <v>0</v>
      </c>
      <c r="Q141" s="966">
        <f t="shared" ca="1" si="43"/>
        <v>0</v>
      </c>
      <c r="R141" s="966">
        <f t="shared" ca="1" si="43"/>
        <v>0</v>
      </c>
      <c r="S141" s="966">
        <f t="shared" ca="1" si="43"/>
        <v>0</v>
      </c>
      <c r="T141" s="966">
        <f t="shared" ca="1" si="43"/>
        <v>0</v>
      </c>
      <c r="U141" s="966">
        <f t="shared" ca="1" si="43"/>
        <v>0</v>
      </c>
      <c r="V141" s="966">
        <f t="shared" ca="1" si="43"/>
        <v>0</v>
      </c>
      <c r="W141" s="966">
        <f t="shared" ca="1" si="43"/>
        <v>0</v>
      </c>
      <c r="X141" s="966">
        <f t="shared" ca="1" si="43"/>
        <v>0</v>
      </c>
      <c r="Y141" s="966">
        <f t="shared" ca="1" si="43"/>
        <v>0</v>
      </c>
      <c r="Z141" s="966">
        <f t="shared" ca="1" si="43"/>
        <v>0</v>
      </c>
      <c r="AA141" s="966">
        <f t="shared" ca="1" si="43"/>
        <v>0</v>
      </c>
      <c r="AB141" s="966" t="str">
        <f t="shared" ca="1" si="43"/>
        <v/>
      </c>
      <c r="AC141" s="966" t="str">
        <f t="shared" ca="1" si="43"/>
        <v/>
      </c>
      <c r="AD141" s="966" t="str">
        <f t="shared" ca="1" si="43"/>
        <v/>
      </c>
      <c r="AE141" s="966" t="str">
        <f t="shared" ca="1" si="43"/>
        <v/>
      </c>
      <c r="AF141" s="966" t="str">
        <f t="shared" ca="1" si="43"/>
        <v/>
      </c>
      <c r="AG141" s="966" t="str">
        <f t="shared" ca="1" si="43"/>
        <v/>
      </c>
      <c r="AH141" s="966" t="str">
        <f t="shared" ca="1" si="43"/>
        <v/>
      </c>
      <c r="AI141" s="966" t="str">
        <f t="shared" ca="1" si="43"/>
        <v/>
      </c>
      <c r="AJ141" s="966" t="str">
        <f t="shared" ca="1" si="43"/>
        <v/>
      </c>
      <c r="AK141" s="966" t="str">
        <f t="shared" ca="1" si="43"/>
        <v/>
      </c>
      <c r="AL141" s="966" t="str">
        <f t="shared" ca="1" si="43"/>
        <v/>
      </c>
      <c r="AM141" s="966" t="str">
        <f t="shared" ca="1" si="43"/>
        <v/>
      </c>
      <c r="AN141" s="966" t="str">
        <f t="shared" ca="1" si="43"/>
        <v/>
      </c>
      <c r="AO141" s="966" t="str">
        <f t="shared" ca="1" si="43"/>
        <v/>
      </c>
      <c r="AP141" s="966" t="str">
        <f t="shared" ca="1" si="43"/>
        <v/>
      </c>
      <c r="AQ141" s="966" t="str">
        <f t="shared" ca="1" si="43"/>
        <v/>
      </c>
      <c r="AR141" s="966" t="str">
        <f t="shared" ca="1" si="43"/>
        <v/>
      </c>
      <c r="AS141" s="966" t="str">
        <f t="shared" ca="1" si="43"/>
        <v/>
      </c>
      <c r="AT141" s="966" t="str">
        <f t="shared" ca="1" si="43"/>
        <v/>
      </c>
      <c r="AU141" s="966" t="str">
        <f t="shared" ca="1" si="43"/>
        <v/>
      </c>
      <c r="AV141" s="966" t="str">
        <f t="shared" ca="1" si="43"/>
        <v/>
      </c>
      <c r="AW141" s="966" t="str">
        <f t="shared" ca="1" si="43"/>
        <v/>
      </c>
      <c r="AX141" s="966" t="str">
        <f t="shared" ca="1" si="43"/>
        <v/>
      </c>
      <c r="AY141" s="966" t="str">
        <f t="shared" ca="1" si="43"/>
        <v/>
      </c>
      <c r="AZ141" s="966" t="str">
        <f t="shared" ca="1" si="43"/>
        <v/>
      </c>
      <c r="BA141" s="966" t="str">
        <f t="shared" ca="1" si="43"/>
        <v/>
      </c>
      <c r="BB141" s="966" t="str">
        <f t="shared" ca="1" si="43"/>
        <v/>
      </c>
      <c r="BC141" s="966" t="str">
        <f t="shared" ca="1" si="43"/>
        <v/>
      </c>
      <c r="BD141" s="966" t="str">
        <f t="shared" ca="1" si="43"/>
        <v/>
      </c>
      <c r="BE141" s="966" t="str">
        <f t="shared" ca="1" si="43"/>
        <v/>
      </c>
      <c r="BF141" s="966" t="str">
        <f t="shared" ca="1" si="43"/>
        <v/>
      </c>
      <c r="BG141" s="966" t="str">
        <f t="shared" ca="1" si="43"/>
        <v/>
      </c>
      <c r="BH141" s="966" t="str">
        <f t="shared" ca="1" si="43"/>
        <v/>
      </c>
      <c r="BI141" s="966" t="str">
        <f t="shared" ca="1" si="43"/>
        <v/>
      </c>
      <c r="BJ141" s="966" t="str">
        <f t="shared" ca="1" si="43"/>
        <v/>
      </c>
      <c r="BK141" s="966" t="str">
        <f t="shared" ca="1" si="43"/>
        <v/>
      </c>
      <c r="BL141" s="966" t="str">
        <f t="shared" ca="1" si="43"/>
        <v/>
      </c>
      <c r="BM141" s="966" t="str">
        <f t="shared" ca="1" si="43"/>
        <v/>
      </c>
      <c r="BN141" s="966" t="str">
        <f t="shared" ca="1" si="43"/>
        <v/>
      </c>
      <c r="BO141" s="966" t="str">
        <f t="shared" ca="1" si="43"/>
        <v/>
      </c>
    </row>
    <row r="142" spans="2:67" ht="20.100000000000001" hidden="1" customHeight="1" outlineLevel="1">
      <c r="B142" s="1648"/>
      <c r="C142" s="1646"/>
      <c r="D142" s="920" t="s">
        <v>373</v>
      </c>
      <c r="E142" s="920"/>
      <c r="F142" s="964"/>
      <c r="G142" s="965" t="s">
        <v>1281</v>
      </c>
      <c r="H142" s="966"/>
      <c r="I142" s="966"/>
      <c r="J142" s="966"/>
      <c r="K142" s="966"/>
      <c r="L142" s="966">
        <f t="shared" ca="1" si="43"/>
        <v>0</v>
      </c>
      <c r="M142" s="966">
        <f t="shared" ca="1" si="43"/>
        <v>0</v>
      </c>
      <c r="N142" s="966">
        <f t="shared" ca="1" si="43"/>
        <v>0</v>
      </c>
      <c r="O142" s="966">
        <f t="shared" ca="1" si="43"/>
        <v>0</v>
      </c>
      <c r="P142" s="966">
        <f t="shared" ca="1" si="43"/>
        <v>0</v>
      </c>
      <c r="Q142" s="966">
        <f t="shared" ca="1" si="43"/>
        <v>0</v>
      </c>
      <c r="R142" s="966">
        <f t="shared" ca="1" si="43"/>
        <v>0</v>
      </c>
      <c r="S142" s="966">
        <f t="shared" ca="1" si="43"/>
        <v>0</v>
      </c>
      <c r="T142" s="966">
        <f t="shared" ca="1" si="43"/>
        <v>0</v>
      </c>
      <c r="U142" s="966">
        <f t="shared" ca="1" si="43"/>
        <v>0</v>
      </c>
      <c r="V142" s="966">
        <f t="shared" ca="1" si="43"/>
        <v>0</v>
      </c>
      <c r="W142" s="966">
        <f t="shared" ca="1" si="43"/>
        <v>0</v>
      </c>
      <c r="X142" s="966">
        <f t="shared" ca="1" si="43"/>
        <v>0</v>
      </c>
      <c r="Y142" s="966">
        <f t="shared" ca="1" si="43"/>
        <v>0</v>
      </c>
      <c r="Z142" s="966">
        <f t="shared" ca="1" si="43"/>
        <v>0</v>
      </c>
      <c r="AA142" s="966">
        <f t="shared" ca="1" si="43"/>
        <v>0</v>
      </c>
      <c r="AB142" s="966" t="str">
        <f t="shared" ca="1" si="43"/>
        <v/>
      </c>
      <c r="AC142" s="966" t="str">
        <f t="shared" ca="1" si="43"/>
        <v/>
      </c>
      <c r="AD142" s="966" t="str">
        <f t="shared" ca="1" si="43"/>
        <v/>
      </c>
      <c r="AE142" s="966" t="str">
        <f t="shared" ca="1" si="43"/>
        <v/>
      </c>
      <c r="AF142" s="966" t="str">
        <f t="shared" ca="1" si="43"/>
        <v/>
      </c>
      <c r="AG142" s="966" t="str">
        <f t="shared" ca="1" si="43"/>
        <v/>
      </c>
      <c r="AH142" s="966" t="str">
        <f t="shared" ca="1" si="43"/>
        <v/>
      </c>
      <c r="AI142" s="966" t="str">
        <f t="shared" ca="1" si="43"/>
        <v/>
      </c>
      <c r="AJ142" s="966" t="str">
        <f t="shared" ca="1" si="43"/>
        <v/>
      </c>
      <c r="AK142" s="966" t="str">
        <f t="shared" ca="1" si="43"/>
        <v/>
      </c>
      <c r="AL142" s="966" t="str">
        <f t="shared" ca="1" si="43"/>
        <v/>
      </c>
      <c r="AM142" s="966" t="str">
        <f t="shared" ca="1" si="43"/>
        <v/>
      </c>
      <c r="AN142" s="966" t="str">
        <f t="shared" ca="1" si="43"/>
        <v/>
      </c>
      <c r="AO142" s="966" t="str">
        <f t="shared" ca="1" si="43"/>
        <v/>
      </c>
      <c r="AP142" s="966" t="str">
        <f t="shared" ca="1" si="43"/>
        <v/>
      </c>
      <c r="AQ142" s="966" t="str">
        <f t="shared" ca="1" si="43"/>
        <v/>
      </c>
      <c r="AR142" s="966" t="str">
        <f t="shared" ca="1" si="43"/>
        <v/>
      </c>
      <c r="AS142" s="966" t="str">
        <f t="shared" ca="1" si="43"/>
        <v/>
      </c>
      <c r="AT142" s="966" t="str">
        <f t="shared" ca="1" si="43"/>
        <v/>
      </c>
      <c r="AU142" s="966" t="str">
        <f t="shared" ca="1" si="43"/>
        <v/>
      </c>
      <c r="AV142" s="966" t="str">
        <f t="shared" ca="1" si="43"/>
        <v/>
      </c>
      <c r="AW142" s="966" t="str">
        <f t="shared" ca="1" si="43"/>
        <v/>
      </c>
      <c r="AX142" s="966" t="str">
        <f t="shared" ca="1" si="43"/>
        <v/>
      </c>
      <c r="AY142" s="966" t="str">
        <f t="shared" ca="1" si="43"/>
        <v/>
      </c>
      <c r="AZ142" s="966" t="str">
        <f t="shared" ca="1" si="43"/>
        <v/>
      </c>
      <c r="BA142" s="966" t="str">
        <f t="shared" ca="1" si="43"/>
        <v/>
      </c>
      <c r="BB142" s="966" t="str">
        <f t="shared" ca="1" si="43"/>
        <v/>
      </c>
      <c r="BC142" s="966" t="str">
        <f t="shared" ca="1" si="43"/>
        <v/>
      </c>
      <c r="BD142" s="966" t="str">
        <f t="shared" ca="1" si="43"/>
        <v/>
      </c>
      <c r="BE142" s="966" t="str">
        <f t="shared" ca="1" si="43"/>
        <v/>
      </c>
      <c r="BF142" s="966" t="str">
        <f t="shared" ca="1" si="43"/>
        <v/>
      </c>
      <c r="BG142" s="966" t="str">
        <f t="shared" ca="1" si="43"/>
        <v/>
      </c>
      <c r="BH142" s="966" t="str">
        <f t="shared" ca="1" si="43"/>
        <v/>
      </c>
      <c r="BI142" s="966" t="str">
        <f t="shared" ca="1" si="43"/>
        <v/>
      </c>
      <c r="BJ142" s="966" t="str">
        <f t="shared" ca="1" si="43"/>
        <v/>
      </c>
      <c r="BK142" s="966" t="str">
        <f t="shared" ca="1" si="43"/>
        <v/>
      </c>
      <c r="BL142" s="966" t="str">
        <f t="shared" ca="1" si="43"/>
        <v/>
      </c>
      <c r="BM142" s="966" t="str">
        <f t="shared" ca="1" si="43"/>
        <v/>
      </c>
      <c r="BN142" s="966" t="str">
        <f t="shared" ca="1" si="43"/>
        <v/>
      </c>
      <c r="BO142" s="966" t="str">
        <f t="shared" ca="1" si="43"/>
        <v/>
      </c>
    </row>
    <row r="143" spans="2:67" ht="20.100000000000001" hidden="1" customHeight="1" outlineLevel="1">
      <c r="B143" s="1648"/>
      <c r="C143" s="1646"/>
      <c r="D143" s="920" t="s">
        <v>374</v>
      </c>
      <c r="E143" s="920"/>
      <c r="F143" s="964"/>
      <c r="G143" s="965" t="s">
        <v>1281</v>
      </c>
      <c r="H143" s="966"/>
      <c r="I143" s="966"/>
      <c r="J143" s="966"/>
      <c r="K143" s="966"/>
      <c r="L143" s="966">
        <f t="shared" ca="1" si="43"/>
        <v>0</v>
      </c>
      <c r="M143" s="966">
        <f t="shared" ca="1" si="43"/>
        <v>0</v>
      </c>
      <c r="N143" s="966">
        <f t="shared" ca="1" si="43"/>
        <v>0</v>
      </c>
      <c r="O143" s="966">
        <f t="shared" ca="1" si="43"/>
        <v>0</v>
      </c>
      <c r="P143" s="966">
        <f t="shared" ca="1" si="43"/>
        <v>0</v>
      </c>
      <c r="Q143" s="966">
        <f t="shared" ca="1" si="43"/>
        <v>0</v>
      </c>
      <c r="R143" s="966">
        <f t="shared" ca="1" si="43"/>
        <v>0</v>
      </c>
      <c r="S143" s="966">
        <f t="shared" ca="1" si="43"/>
        <v>0</v>
      </c>
      <c r="T143" s="966">
        <f t="shared" ca="1" si="43"/>
        <v>0</v>
      </c>
      <c r="U143" s="966">
        <f t="shared" ca="1" si="43"/>
        <v>0</v>
      </c>
      <c r="V143" s="966">
        <f t="shared" ca="1" si="43"/>
        <v>0</v>
      </c>
      <c r="W143" s="966">
        <f t="shared" ca="1" si="43"/>
        <v>0</v>
      </c>
      <c r="X143" s="966">
        <f t="shared" ca="1" si="43"/>
        <v>0</v>
      </c>
      <c r="Y143" s="966">
        <f t="shared" ca="1" si="43"/>
        <v>0</v>
      </c>
      <c r="Z143" s="966">
        <f t="shared" ca="1" si="43"/>
        <v>0</v>
      </c>
      <c r="AA143" s="966">
        <f t="shared" ca="1" si="43"/>
        <v>0</v>
      </c>
      <c r="AB143" s="966" t="str">
        <f t="shared" ca="1" si="43"/>
        <v/>
      </c>
      <c r="AC143" s="966" t="str">
        <f t="shared" ca="1" si="43"/>
        <v/>
      </c>
      <c r="AD143" s="966" t="str">
        <f t="shared" ca="1" si="43"/>
        <v/>
      </c>
      <c r="AE143" s="966" t="str">
        <f t="shared" ca="1" si="43"/>
        <v/>
      </c>
      <c r="AF143" s="966" t="str">
        <f t="shared" ca="1" si="43"/>
        <v/>
      </c>
      <c r="AG143" s="966" t="str">
        <f t="shared" ca="1" si="43"/>
        <v/>
      </c>
      <c r="AH143" s="966" t="str">
        <f t="shared" ca="1" si="43"/>
        <v/>
      </c>
      <c r="AI143" s="966" t="str">
        <f t="shared" ca="1" si="43"/>
        <v/>
      </c>
      <c r="AJ143" s="966" t="str">
        <f t="shared" ca="1" si="43"/>
        <v/>
      </c>
      <c r="AK143" s="966" t="str">
        <f t="shared" ca="1" si="43"/>
        <v/>
      </c>
      <c r="AL143" s="966" t="str">
        <f t="shared" ca="1" si="43"/>
        <v/>
      </c>
      <c r="AM143" s="966" t="str">
        <f t="shared" ca="1" si="43"/>
        <v/>
      </c>
      <c r="AN143" s="966" t="str">
        <f t="shared" ca="1" si="43"/>
        <v/>
      </c>
      <c r="AO143" s="966" t="str">
        <f t="shared" ca="1" si="43"/>
        <v/>
      </c>
      <c r="AP143" s="966" t="str">
        <f t="shared" ca="1" si="43"/>
        <v/>
      </c>
      <c r="AQ143" s="966" t="str">
        <f t="shared" ca="1" si="43"/>
        <v/>
      </c>
      <c r="AR143" s="966" t="str">
        <f t="shared" ca="1" si="43"/>
        <v/>
      </c>
      <c r="AS143" s="966" t="str">
        <f t="shared" ca="1" si="43"/>
        <v/>
      </c>
      <c r="AT143" s="966" t="str">
        <f t="shared" ca="1" si="43"/>
        <v/>
      </c>
      <c r="AU143" s="966" t="str">
        <f t="shared" ca="1" si="43"/>
        <v/>
      </c>
      <c r="AV143" s="966" t="str">
        <f t="shared" ca="1" si="43"/>
        <v/>
      </c>
      <c r="AW143" s="966" t="str">
        <f t="shared" ca="1" si="43"/>
        <v/>
      </c>
      <c r="AX143" s="966" t="str">
        <f t="shared" ca="1" si="43"/>
        <v/>
      </c>
      <c r="AY143" s="966" t="str">
        <f t="shared" ca="1" si="43"/>
        <v/>
      </c>
      <c r="AZ143" s="966" t="str">
        <f t="shared" ca="1" si="43"/>
        <v/>
      </c>
      <c r="BA143" s="966" t="str">
        <f t="shared" ca="1" si="43"/>
        <v/>
      </c>
      <c r="BB143" s="966" t="str">
        <f t="shared" ca="1" si="43"/>
        <v/>
      </c>
      <c r="BC143" s="966" t="str">
        <f t="shared" ca="1" si="43"/>
        <v/>
      </c>
      <c r="BD143" s="966" t="str">
        <f t="shared" ca="1" si="43"/>
        <v/>
      </c>
      <c r="BE143" s="966" t="str">
        <f t="shared" ca="1" si="43"/>
        <v/>
      </c>
      <c r="BF143" s="966" t="str">
        <f t="shared" ca="1" si="43"/>
        <v/>
      </c>
      <c r="BG143" s="966" t="str">
        <f t="shared" ca="1" si="43"/>
        <v/>
      </c>
      <c r="BH143" s="966" t="str">
        <f t="shared" ca="1" si="43"/>
        <v/>
      </c>
      <c r="BI143" s="966" t="str">
        <f t="shared" ca="1" si="43"/>
        <v/>
      </c>
      <c r="BJ143" s="966" t="str">
        <f t="shared" ca="1" si="43"/>
        <v/>
      </c>
      <c r="BK143" s="966" t="str">
        <f t="shared" ca="1" si="43"/>
        <v/>
      </c>
      <c r="BL143" s="966" t="str">
        <f t="shared" ca="1" si="43"/>
        <v/>
      </c>
      <c r="BM143" s="966" t="str">
        <f t="shared" ca="1" si="43"/>
        <v/>
      </c>
      <c r="BN143" s="966" t="str">
        <f t="shared" ca="1" si="43"/>
        <v/>
      </c>
      <c r="BO143" s="966" t="str">
        <f t="shared" ca="1" si="43"/>
        <v/>
      </c>
    </row>
    <row r="144" spans="2:67" ht="20.100000000000001" hidden="1" customHeight="1" outlineLevel="1">
      <c r="B144" s="1648"/>
      <c r="C144" s="1646"/>
      <c r="D144" s="920" t="s">
        <v>375</v>
      </c>
      <c r="E144" s="920"/>
      <c r="F144" s="964"/>
      <c r="G144" s="965" t="s">
        <v>1281</v>
      </c>
      <c r="H144" s="966"/>
      <c r="I144" s="966"/>
      <c r="J144" s="966"/>
      <c r="K144" s="966"/>
      <c r="L144" s="966">
        <f t="shared" ca="1" si="43"/>
        <v>0</v>
      </c>
      <c r="M144" s="966">
        <f t="shared" ca="1" si="43"/>
        <v>0</v>
      </c>
      <c r="N144" s="966">
        <f t="shared" ca="1" si="43"/>
        <v>0</v>
      </c>
      <c r="O144" s="966">
        <f t="shared" ca="1" si="43"/>
        <v>0</v>
      </c>
      <c r="P144" s="966">
        <f t="shared" ca="1" si="43"/>
        <v>0</v>
      </c>
      <c r="Q144" s="966">
        <f t="shared" ca="1" si="43"/>
        <v>0</v>
      </c>
      <c r="R144" s="966">
        <f t="shared" ca="1" si="43"/>
        <v>0</v>
      </c>
      <c r="S144" s="966">
        <f t="shared" ca="1" si="43"/>
        <v>0</v>
      </c>
      <c r="T144" s="966">
        <f t="shared" ca="1" si="43"/>
        <v>0</v>
      </c>
      <c r="U144" s="966">
        <f t="shared" ca="1" si="43"/>
        <v>0</v>
      </c>
      <c r="V144" s="966">
        <f t="shared" ca="1" si="43"/>
        <v>0</v>
      </c>
      <c r="W144" s="966">
        <f t="shared" ca="1" si="43"/>
        <v>0</v>
      </c>
      <c r="X144" s="966">
        <f t="shared" ca="1" si="43"/>
        <v>0</v>
      </c>
      <c r="Y144" s="966">
        <f t="shared" ca="1" si="43"/>
        <v>0</v>
      </c>
      <c r="Z144" s="966">
        <f t="shared" ca="1" si="43"/>
        <v>0</v>
      </c>
      <c r="AA144" s="966">
        <f t="shared" ca="1" si="43"/>
        <v>0</v>
      </c>
      <c r="AB144" s="966" t="str">
        <f t="shared" ca="1" si="43"/>
        <v/>
      </c>
      <c r="AC144" s="966" t="str">
        <f t="shared" ca="1" si="43"/>
        <v/>
      </c>
      <c r="AD144" s="966" t="str">
        <f t="shared" ca="1" si="43"/>
        <v/>
      </c>
      <c r="AE144" s="966" t="str">
        <f t="shared" ca="1" si="43"/>
        <v/>
      </c>
      <c r="AF144" s="966" t="str">
        <f t="shared" ca="1" si="43"/>
        <v/>
      </c>
      <c r="AG144" s="966" t="str">
        <f t="shared" ca="1" si="43"/>
        <v/>
      </c>
      <c r="AH144" s="966" t="str">
        <f t="shared" ca="1" si="43"/>
        <v/>
      </c>
      <c r="AI144" s="966" t="str">
        <f t="shared" ca="1" si="43"/>
        <v/>
      </c>
      <c r="AJ144" s="966" t="str">
        <f t="shared" ca="1" si="43"/>
        <v/>
      </c>
      <c r="AK144" s="966" t="str">
        <f t="shared" ca="1" si="43"/>
        <v/>
      </c>
      <c r="AL144" s="966" t="str">
        <f t="shared" ca="1" si="43"/>
        <v/>
      </c>
      <c r="AM144" s="966" t="str">
        <f t="shared" ca="1" si="43"/>
        <v/>
      </c>
      <c r="AN144" s="966" t="str">
        <f t="shared" ca="1" si="43"/>
        <v/>
      </c>
      <c r="AO144" s="966" t="str">
        <f t="shared" ca="1" si="43"/>
        <v/>
      </c>
      <c r="AP144" s="966" t="str">
        <f t="shared" ca="1" si="43"/>
        <v/>
      </c>
      <c r="AQ144" s="966" t="str">
        <f t="shared" ref="AQ144:BO144" ca="1" si="44">AQ34</f>
        <v/>
      </c>
      <c r="AR144" s="966" t="str">
        <f t="shared" ca="1" si="44"/>
        <v/>
      </c>
      <c r="AS144" s="966" t="str">
        <f t="shared" ca="1" si="44"/>
        <v/>
      </c>
      <c r="AT144" s="966" t="str">
        <f t="shared" ca="1" si="44"/>
        <v/>
      </c>
      <c r="AU144" s="966" t="str">
        <f t="shared" ca="1" si="44"/>
        <v/>
      </c>
      <c r="AV144" s="966" t="str">
        <f t="shared" ca="1" si="44"/>
        <v/>
      </c>
      <c r="AW144" s="966" t="str">
        <f t="shared" ca="1" si="44"/>
        <v/>
      </c>
      <c r="AX144" s="966" t="str">
        <f t="shared" ca="1" si="44"/>
        <v/>
      </c>
      <c r="AY144" s="966" t="str">
        <f t="shared" ca="1" si="44"/>
        <v/>
      </c>
      <c r="AZ144" s="966" t="str">
        <f t="shared" ca="1" si="44"/>
        <v/>
      </c>
      <c r="BA144" s="966" t="str">
        <f t="shared" ca="1" si="44"/>
        <v/>
      </c>
      <c r="BB144" s="966" t="str">
        <f t="shared" ca="1" si="44"/>
        <v/>
      </c>
      <c r="BC144" s="966" t="str">
        <f t="shared" ca="1" si="44"/>
        <v/>
      </c>
      <c r="BD144" s="966" t="str">
        <f t="shared" ca="1" si="44"/>
        <v/>
      </c>
      <c r="BE144" s="966" t="str">
        <f t="shared" ca="1" si="44"/>
        <v/>
      </c>
      <c r="BF144" s="966" t="str">
        <f t="shared" ca="1" si="44"/>
        <v/>
      </c>
      <c r="BG144" s="966" t="str">
        <f t="shared" ca="1" si="44"/>
        <v/>
      </c>
      <c r="BH144" s="966" t="str">
        <f t="shared" ca="1" si="44"/>
        <v/>
      </c>
      <c r="BI144" s="966" t="str">
        <f t="shared" ca="1" si="44"/>
        <v/>
      </c>
      <c r="BJ144" s="966" t="str">
        <f t="shared" ca="1" si="44"/>
        <v/>
      </c>
      <c r="BK144" s="966" t="str">
        <f t="shared" ca="1" si="44"/>
        <v/>
      </c>
      <c r="BL144" s="966" t="str">
        <f t="shared" ca="1" si="44"/>
        <v/>
      </c>
      <c r="BM144" s="966" t="str">
        <f t="shared" ca="1" si="44"/>
        <v/>
      </c>
      <c r="BN144" s="966" t="str">
        <f t="shared" ca="1" si="44"/>
        <v/>
      </c>
      <c r="BO144" s="966" t="str">
        <f t="shared" ca="1" si="44"/>
        <v/>
      </c>
    </row>
    <row r="145" spans="1:67" ht="20.100000000000001" hidden="1" customHeight="1" outlineLevel="1">
      <c r="A145" s="747">
        <v>8</v>
      </c>
      <c r="B145" s="1649"/>
      <c r="C145" s="1646"/>
      <c r="D145" s="920" t="s">
        <v>782</v>
      </c>
      <c r="E145" s="968"/>
      <c r="F145" s="964"/>
      <c r="G145" s="965" t="s">
        <v>1281</v>
      </c>
      <c r="H145" s="966"/>
      <c r="I145" s="966"/>
      <c r="J145" s="966"/>
      <c r="K145" s="966"/>
      <c r="L145" s="918">
        <f ca="1">SUM(SUMIFS(OFFSET(A1_集計2024,$A145,9,1,200),OFFSET(貼付け_2024実績,4,9,1,200),{"横浜*","川崎*","県域*","エネルギー管理指定工場等*"}))</f>
        <v>0</v>
      </c>
      <c r="M145" s="918">
        <f ca="1">SUM(SUMIFS(OFFSET(A1_集計2025,$A145,9,1,200),OFFSET(貼付け_2025実績,4,9,1,200),{"横浜*","川崎*","県域*","エネルギー管理指定工場等*"}))</f>
        <v>0</v>
      </c>
      <c r="N145" s="918">
        <f ca="1">SUM(SUMIFS(OFFSET(A1_集計2026,$A145,9,1,200),OFFSET(貼付け_2026実績,4,9,1,200),{"横浜*","川崎*","県域*","エネルギー管理指定工場等*"}))</f>
        <v>0</v>
      </c>
      <c r="O145" s="918">
        <f ca="1">SUM(SUMIFS(OFFSET(A1_集計2027,$A145,9,1,200),OFFSET(貼付け_2027実績,4,9,1,200),{"横浜*","川崎*","県域*","エネルギー管理指定工場等*"}))</f>
        <v>0</v>
      </c>
      <c r="P145" s="916">
        <f ca="1">SUM(SUMIFS(OFFSET(A1_集計2024,$A145,9,1,200),OFFSET(貼付け_2024実績,4,9,1,200),{"横浜*","川崎*"}))</f>
        <v>0</v>
      </c>
      <c r="Q145" s="916">
        <f ca="1">SUM(SUMIFS(OFFSET(A1_集計2025,$A145,9,1,200),OFFSET(貼付け_2025実績,4,9,1,200),{"横浜*","川崎*"}))</f>
        <v>0</v>
      </c>
      <c r="R145" s="916">
        <f ca="1">SUM(SUMIFS(OFFSET(A1_集計2026,$A145,9,1,200),OFFSET(貼付け_2026実績,4,9,1,200),{"横浜*","川崎*"}))</f>
        <v>0</v>
      </c>
      <c r="S145" s="916">
        <f ca="1">SUM(SUMIFS(OFFSET(A1_集計2027,$A145,9,1,200),OFFSET(貼付け_2027実績,4,9,1,200),{"横浜*","川崎*"}))</f>
        <v>0</v>
      </c>
      <c r="T145" s="916">
        <f ca="1">SUM(SUMIFS(OFFSET(A1_集計2024,$A145,9,1,200),OFFSET(貼付け_2024実績,4,9,1,200),{"県域*","エネルギー管理指定工場等*"}))</f>
        <v>0</v>
      </c>
      <c r="U145" s="916">
        <f ca="1">SUM(SUMIFS(OFFSET(A1_集計2025,$A145,9,1,200),OFFSET(貼付け_2025実績,4,9,1,200),{"県域*","エネルギー管理指定工場等*"}))</f>
        <v>0</v>
      </c>
      <c r="V145" s="916">
        <f ca="1">SUM(SUMIFS(OFFSET(A1_集計2026,$A145,9,1,200),OFFSET(貼付け_2026実績,4,9,1,200),{"県域*","エネルギー管理指定工場等*"}))</f>
        <v>0</v>
      </c>
      <c r="W145" s="916">
        <f ca="1">SUM(SUMIFS(OFFSET(A1_集計2027,$A145,9,1,200),OFFSET(貼付け_2027実績,4,9,1,200),{"県域*","エネルギー管理指定工場等*"}))</f>
        <v>0</v>
      </c>
      <c r="X145" s="916">
        <f ca="1">SUMIFS(OFFSET(A1_集計2024,$A145,9,1,200),OFFSET(貼付け_2024実績,4,9,1,200),"県域*")</f>
        <v>0</v>
      </c>
      <c r="Y145" s="916">
        <f ca="1">SUMIFS(OFFSET(A1_集計2025,$A145,9,1,200),OFFSET(貼付け_2025実績,4,9,1,200),"県域*")</f>
        <v>0</v>
      </c>
      <c r="Z145" s="916">
        <f ca="1">SUMIFS(OFFSET(A1_集計2026,$A145,9,1,200),OFFSET(貼付け_2026実績,4,9,1,200),"県域*")</f>
        <v>0</v>
      </c>
      <c r="AA145" s="916">
        <f ca="1">SUMIFS(OFFSET(A1_集計2027,$A145,9,1,200),OFFSET(貼付け_2027実績,4,9,1,200),"県域*")</f>
        <v>0</v>
      </c>
      <c r="AB145" s="916" t="str">
        <f ca="1">IFERROR(OFFSET(A1_集計2024,$A145,AB$1),"")</f>
        <v/>
      </c>
      <c r="AC145" s="916" t="str">
        <f ca="1">IFERROR(OFFSET(A1_集計2025,$A145,AC$1),"")</f>
        <v/>
      </c>
      <c r="AD145" s="916" t="str">
        <f ca="1">IFERROR(OFFSET(A1_集計2026,$A145,AD$1),"")</f>
        <v/>
      </c>
      <c r="AE145" s="916" t="str">
        <f ca="1">IFERROR(OFFSET(A1_集計2027,$A145,AE$1),"")</f>
        <v/>
      </c>
      <c r="AF145" s="916" t="str">
        <f ca="1">IFERROR(OFFSET(A1_集計2024,$A145,AF$1),"")</f>
        <v/>
      </c>
      <c r="AG145" s="916" t="str">
        <f ca="1">IFERROR(OFFSET(A1_集計2025,$A145,AG$1),"")</f>
        <v/>
      </c>
      <c r="AH145" s="916" t="str">
        <f ca="1">IFERROR(OFFSET(A1_集計2026,$A145,AH$1),"")</f>
        <v/>
      </c>
      <c r="AI145" s="916" t="str">
        <f ca="1">IFERROR(OFFSET(A1_集計2027,$A145,AI$1),"")</f>
        <v/>
      </c>
      <c r="AJ145" s="916" t="str">
        <f ca="1">IFERROR(OFFSET(A1_集計2024,$A145,AJ$1),"")</f>
        <v/>
      </c>
      <c r="AK145" s="916" t="str">
        <f ca="1">IFERROR(OFFSET(A1_集計2025,$A145,AK$1),"")</f>
        <v/>
      </c>
      <c r="AL145" s="916" t="str">
        <f ca="1">IFERROR(OFFSET(A1_集計2026,$A145,AL$1),"")</f>
        <v/>
      </c>
      <c r="AM145" s="916" t="str">
        <f ca="1">IFERROR(OFFSET(A1_集計2027,$A145,AM$1),"")</f>
        <v/>
      </c>
      <c r="AN145" s="916" t="str">
        <f ca="1">IFERROR(OFFSET(A1_集計2024,$A145,AN$1),"")</f>
        <v/>
      </c>
      <c r="AO145" s="916" t="str">
        <f ca="1">IFERROR(OFFSET(A1_集計2025,$A145,AO$1),"")</f>
        <v/>
      </c>
      <c r="AP145" s="916" t="str">
        <f ca="1">IFERROR(OFFSET(A1_集計2026,$A145,AP$1),"")</f>
        <v/>
      </c>
      <c r="AQ145" s="916" t="str">
        <f ca="1">IFERROR(OFFSET(A1_集計2027,$A145,AQ$1),"")</f>
        <v/>
      </c>
      <c r="AR145" s="916" t="str">
        <f ca="1">IFERROR(OFFSET(A1_集計2024,$A145,AR$1),"")</f>
        <v/>
      </c>
      <c r="AS145" s="916" t="str">
        <f ca="1">IFERROR(OFFSET(A1_集計2025,$A145,AS$1),"")</f>
        <v/>
      </c>
      <c r="AT145" s="916" t="str">
        <f ca="1">IFERROR(OFFSET(A1_集計2026,$A145,AT$1),"")</f>
        <v/>
      </c>
      <c r="AU145" s="916" t="str">
        <f ca="1">IFERROR(OFFSET(A1_集計2027,$A145,AU$1),"")</f>
        <v/>
      </c>
      <c r="AV145" s="916" t="str">
        <f ca="1">IFERROR(OFFSET(A1_集計2024,$A145,AV$1),"")</f>
        <v/>
      </c>
      <c r="AW145" s="916" t="str">
        <f ca="1">IFERROR(OFFSET(A1_集計2025,$A145,AW$1),"")</f>
        <v/>
      </c>
      <c r="AX145" s="916" t="str">
        <f ca="1">IFERROR(OFFSET(A1_集計2026,$A145,AX$1),"")</f>
        <v/>
      </c>
      <c r="AY145" s="916" t="str">
        <f ca="1">IFERROR(OFFSET(A1_集計2027,$A145,AY$1),"")</f>
        <v/>
      </c>
      <c r="AZ145" s="916" t="str">
        <f ca="1">IFERROR(OFFSET(A1_集計2024,$A145,AZ$1),"")</f>
        <v/>
      </c>
      <c r="BA145" s="916" t="str">
        <f ca="1">IFERROR(OFFSET(A1_集計2025,$A145,BA$1),"")</f>
        <v/>
      </c>
      <c r="BB145" s="916" t="str">
        <f ca="1">IFERROR(OFFSET(A1_集計2026,$A145,BB$1),"")</f>
        <v/>
      </c>
      <c r="BC145" s="916" t="str">
        <f ca="1">IFERROR(OFFSET(A1_集計2027,$A145,BC$1),"")</f>
        <v/>
      </c>
      <c r="BD145" s="916" t="str">
        <f ca="1">IFERROR(OFFSET(A1_集計2024,$A145,BD$1),"")</f>
        <v/>
      </c>
      <c r="BE145" s="916" t="str">
        <f ca="1">IFERROR(OFFSET(A1_集計2025,$A145,BE$1),"")</f>
        <v/>
      </c>
      <c r="BF145" s="916" t="str">
        <f ca="1">IFERROR(OFFSET(A1_集計2026,$A145,BF$1),"")</f>
        <v/>
      </c>
      <c r="BG145" s="916" t="str">
        <f ca="1">IFERROR(OFFSET(A1_集計2027,$A145,BG$1),"")</f>
        <v/>
      </c>
      <c r="BH145" s="916" t="str">
        <f ca="1">IFERROR(OFFSET(A1_集計2024,$A145,BH$1),"")</f>
        <v/>
      </c>
      <c r="BI145" s="916" t="str">
        <f ca="1">IFERROR(OFFSET(A1_集計2025,$A145,BI$1),"")</f>
        <v/>
      </c>
      <c r="BJ145" s="916" t="str">
        <f ca="1">IFERROR(OFFSET(A1_集計2026,$A145,BJ$1),"")</f>
        <v/>
      </c>
      <c r="BK145" s="916" t="str">
        <f ca="1">IFERROR(OFFSET(A1_集計2027,$A145,BK$1),"")</f>
        <v/>
      </c>
      <c r="BL145" s="916" t="str">
        <f ca="1">IFERROR(OFFSET(A1_集計2024,$A145,BL$1),"")</f>
        <v/>
      </c>
      <c r="BM145" s="916" t="str">
        <f ca="1">IFERROR(OFFSET(A1_集計2025,$A145,BM$1),"")</f>
        <v/>
      </c>
      <c r="BN145" s="916" t="str">
        <f ca="1">IFERROR(OFFSET(A1_集計2026,$A145,BN$1),"")</f>
        <v/>
      </c>
      <c r="BO145" s="916" t="str">
        <f ca="1">IFERROR(OFFSET(A1_集計2027,$A145,BO$1),"")</f>
        <v/>
      </c>
    </row>
    <row r="146" spans="1:67" ht="20.100000000000001" hidden="1" customHeight="1" outlineLevel="1">
      <c r="B146" s="1648"/>
      <c r="C146" s="1646"/>
      <c r="D146" s="920" t="s">
        <v>376</v>
      </c>
      <c r="E146" s="969"/>
      <c r="F146" s="964"/>
      <c r="G146" s="965" t="s">
        <v>1281</v>
      </c>
      <c r="H146" s="966"/>
      <c r="I146" s="966"/>
      <c r="J146" s="966"/>
      <c r="K146" s="966"/>
      <c r="L146" s="966">
        <f t="shared" ref="L146:BO150" ca="1" si="45">L36</f>
        <v>0</v>
      </c>
      <c r="M146" s="966">
        <f t="shared" ca="1" si="45"/>
        <v>0</v>
      </c>
      <c r="N146" s="966">
        <f t="shared" ca="1" si="45"/>
        <v>0</v>
      </c>
      <c r="O146" s="966">
        <f t="shared" ca="1" si="45"/>
        <v>0</v>
      </c>
      <c r="P146" s="966">
        <f t="shared" ca="1" si="45"/>
        <v>0</v>
      </c>
      <c r="Q146" s="966">
        <f t="shared" ca="1" si="45"/>
        <v>0</v>
      </c>
      <c r="R146" s="966">
        <f t="shared" ca="1" si="45"/>
        <v>0</v>
      </c>
      <c r="S146" s="966">
        <f t="shared" ca="1" si="45"/>
        <v>0</v>
      </c>
      <c r="T146" s="966">
        <f t="shared" ca="1" si="45"/>
        <v>0</v>
      </c>
      <c r="U146" s="966">
        <f t="shared" ca="1" si="45"/>
        <v>0</v>
      </c>
      <c r="V146" s="966">
        <f t="shared" ca="1" si="45"/>
        <v>0</v>
      </c>
      <c r="W146" s="966">
        <f t="shared" ca="1" si="45"/>
        <v>0</v>
      </c>
      <c r="X146" s="966">
        <f t="shared" ca="1" si="45"/>
        <v>0</v>
      </c>
      <c r="Y146" s="966">
        <f t="shared" ca="1" si="45"/>
        <v>0</v>
      </c>
      <c r="Z146" s="966">
        <f t="shared" ca="1" si="45"/>
        <v>0</v>
      </c>
      <c r="AA146" s="966">
        <f t="shared" ca="1" si="45"/>
        <v>0</v>
      </c>
      <c r="AB146" s="966" t="str">
        <f t="shared" ca="1" si="45"/>
        <v/>
      </c>
      <c r="AC146" s="966" t="str">
        <f t="shared" ca="1" si="45"/>
        <v/>
      </c>
      <c r="AD146" s="966" t="str">
        <f t="shared" ca="1" si="45"/>
        <v/>
      </c>
      <c r="AE146" s="966" t="str">
        <f t="shared" ca="1" si="45"/>
        <v/>
      </c>
      <c r="AF146" s="966" t="str">
        <f t="shared" ca="1" si="45"/>
        <v/>
      </c>
      <c r="AG146" s="966" t="str">
        <f t="shared" ca="1" si="45"/>
        <v/>
      </c>
      <c r="AH146" s="966" t="str">
        <f t="shared" ca="1" si="45"/>
        <v/>
      </c>
      <c r="AI146" s="966" t="str">
        <f t="shared" ca="1" si="45"/>
        <v/>
      </c>
      <c r="AJ146" s="966" t="str">
        <f t="shared" ca="1" si="45"/>
        <v/>
      </c>
      <c r="AK146" s="966" t="str">
        <f t="shared" ca="1" si="45"/>
        <v/>
      </c>
      <c r="AL146" s="966" t="str">
        <f t="shared" ca="1" si="45"/>
        <v/>
      </c>
      <c r="AM146" s="966" t="str">
        <f t="shared" ca="1" si="45"/>
        <v/>
      </c>
      <c r="AN146" s="966" t="str">
        <f t="shared" ca="1" si="45"/>
        <v/>
      </c>
      <c r="AO146" s="966" t="str">
        <f t="shared" ca="1" si="45"/>
        <v/>
      </c>
      <c r="AP146" s="966" t="str">
        <f t="shared" ca="1" si="45"/>
        <v/>
      </c>
      <c r="AQ146" s="966" t="str">
        <f t="shared" ca="1" si="45"/>
        <v/>
      </c>
      <c r="AR146" s="966" t="str">
        <f t="shared" ca="1" si="45"/>
        <v/>
      </c>
      <c r="AS146" s="966" t="str">
        <f t="shared" ca="1" si="45"/>
        <v/>
      </c>
      <c r="AT146" s="966" t="str">
        <f t="shared" ca="1" si="45"/>
        <v/>
      </c>
      <c r="AU146" s="966" t="str">
        <f t="shared" ca="1" si="45"/>
        <v/>
      </c>
      <c r="AV146" s="966" t="str">
        <f t="shared" ca="1" si="45"/>
        <v/>
      </c>
      <c r="AW146" s="966" t="str">
        <f t="shared" ca="1" si="45"/>
        <v/>
      </c>
      <c r="AX146" s="966" t="str">
        <f t="shared" ca="1" si="45"/>
        <v/>
      </c>
      <c r="AY146" s="966" t="str">
        <f t="shared" ca="1" si="45"/>
        <v/>
      </c>
      <c r="AZ146" s="966" t="str">
        <f t="shared" ca="1" si="45"/>
        <v/>
      </c>
      <c r="BA146" s="966" t="str">
        <f t="shared" ca="1" si="45"/>
        <v/>
      </c>
      <c r="BB146" s="966" t="str">
        <f t="shared" ca="1" si="45"/>
        <v/>
      </c>
      <c r="BC146" s="966" t="str">
        <f t="shared" ca="1" si="45"/>
        <v/>
      </c>
      <c r="BD146" s="966" t="str">
        <f t="shared" ca="1" si="45"/>
        <v/>
      </c>
      <c r="BE146" s="966" t="str">
        <f t="shared" ca="1" si="45"/>
        <v/>
      </c>
      <c r="BF146" s="966" t="str">
        <f t="shared" ca="1" si="45"/>
        <v/>
      </c>
      <c r="BG146" s="966" t="str">
        <f t="shared" ca="1" si="45"/>
        <v/>
      </c>
      <c r="BH146" s="966" t="str">
        <f t="shared" ca="1" si="45"/>
        <v/>
      </c>
      <c r="BI146" s="966" t="str">
        <f t="shared" ca="1" si="45"/>
        <v/>
      </c>
      <c r="BJ146" s="966" t="str">
        <f t="shared" ca="1" si="45"/>
        <v/>
      </c>
      <c r="BK146" s="966" t="str">
        <f t="shared" ca="1" si="45"/>
        <v/>
      </c>
      <c r="BL146" s="966" t="str">
        <f t="shared" ca="1" si="45"/>
        <v/>
      </c>
      <c r="BM146" s="966" t="str">
        <f t="shared" ca="1" si="45"/>
        <v/>
      </c>
      <c r="BN146" s="966" t="str">
        <f t="shared" ca="1" si="45"/>
        <v/>
      </c>
      <c r="BO146" s="966" t="str">
        <f t="shared" ca="1" si="45"/>
        <v/>
      </c>
    </row>
    <row r="147" spans="1:67" ht="20.100000000000001" hidden="1" customHeight="1" outlineLevel="1">
      <c r="B147" s="1648"/>
      <c r="C147" s="1645" t="s">
        <v>377</v>
      </c>
      <c r="D147" s="970" t="s">
        <v>378</v>
      </c>
      <c r="E147" s="920"/>
      <c r="F147" s="964"/>
      <c r="G147" s="965" t="s">
        <v>1281</v>
      </c>
      <c r="H147" s="966"/>
      <c r="I147" s="966"/>
      <c r="J147" s="966"/>
      <c r="K147" s="966"/>
      <c r="L147" s="966">
        <f t="shared" ca="1" si="45"/>
        <v>0</v>
      </c>
      <c r="M147" s="966">
        <f t="shared" ca="1" si="45"/>
        <v>0</v>
      </c>
      <c r="N147" s="966">
        <f t="shared" ca="1" si="45"/>
        <v>0</v>
      </c>
      <c r="O147" s="966">
        <f t="shared" ca="1" si="45"/>
        <v>0</v>
      </c>
      <c r="P147" s="966">
        <f t="shared" ca="1" si="45"/>
        <v>0</v>
      </c>
      <c r="Q147" s="966">
        <f t="shared" ca="1" si="45"/>
        <v>0</v>
      </c>
      <c r="R147" s="966">
        <f t="shared" ca="1" si="45"/>
        <v>0</v>
      </c>
      <c r="S147" s="966">
        <f t="shared" ca="1" si="45"/>
        <v>0</v>
      </c>
      <c r="T147" s="966">
        <f t="shared" ca="1" si="45"/>
        <v>0</v>
      </c>
      <c r="U147" s="966">
        <f t="shared" ca="1" si="45"/>
        <v>0</v>
      </c>
      <c r="V147" s="966">
        <f t="shared" ca="1" si="45"/>
        <v>0</v>
      </c>
      <c r="W147" s="966">
        <f t="shared" ca="1" si="45"/>
        <v>0</v>
      </c>
      <c r="X147" s="966">
        <f t="shared" ca="1" si="45"/>
        <v>0</v>
      </c>
      <c r="Y147" s="966">
        <f t="shared" ca="1" si="45"/>
        <v>0</v>
      </c>
      <c r="Z147" s="966">
        <f t="shared" ca="1" si="45"/>
        <v>0</v>
      </c>
      <c r="AA147" s="966">
        <f t="shared" ca="1" si="45"/>
        <v>0</v>
      </c>
      <c r="AB147" s="966" t="str">
        <f t="shared" ca="1" si="45"/>
        <v/>
      </c>
      <c r="AC147" s="966" t="str">
        <f t="shared" ca="1" si="45"/>
        <v/>
      </c>
      <c r="AD147" s="966" t="str">
        <f t="shared" ca="1" si="45"/>
        <v/>
      </c>
      <c r="AE147" s="966" t="str">
        <f t="shared" ca="1" si="45"/>
        <v/>
      </c>
      <c r="AF147" s="966" t="str">
        <f t="shared" ca="1" si="45"/>
        <v/>
      </c>
      <c r="AG147" s="966" t="str">
        <f t="shared" ca="1" si="45"/>
        <v/>
      </c>
      <c r="AH147" s="966" t="str">
        <f t="shared" ca="1" si="45"/>
        <v/>
      </c>
      <c r="AI147" s="966" t="str">
        <f t="shared" ca="1" si="45"/>
        <v/>
      </c>
      <c r="AJ147" s="966" t="str">
        <f t="shared" ca="1" si="45"/>
        <v/>
      </c>
      <c r="AK147" s="966" t="str">
        <f t="shared" ca="1" si="45"/>
        <v/>
      </c>
      <c r="AL147" s="966" t="str">
        <f t="shared" ca="1" si="45"/>
        <v/>
      </c>
      <c r="AM147" s="966" t="str">
        <f t="shared" ca="1" si="45"/>
        <v/>
      </c>
      <c r="AN147" s="966" t="str">
        <f t="shared" ca="1" si="45"/>
        <v/>
      </c>
      <c r="AO147" s="966" t="str">
        <f t="shared" ca="1" si="45"/>
        <v/>
      </c>
      <c r="AP147" s="966" t="str">
        <f t="shared" ca="1" si="45"/>
        <v/>
      </c>
      <c r="AQ147" s="966" t="str">
        <f t="shared" ca="1" si="45"/>
        <v/>
      </c>
      <c r="AR147" s="966" t="str">
        <f t="shared" ca="1" si="45"/>
        <v/>
      </c>
      <c r="AS147" s="966" t="str">
        <f t="shared" ca="1" si="45"/>
        <v/>
      </c>
      <c r="AT147" s="966" t="str">
        <f t="shared" ca="1" si="45"/>
        <v/>
      </c>
      <c r="AU147" s="966" t="str">
        <f t="shared" ca="1" si="45"/>
        <v/>
      </c>
      <c r="AV147" s="966" t="str">
        <f t="shared" ca="1" si="45"/>
        <v/>
      </c>
      <c r="AW147" s="966" t="str">
        <f t="shared" ca="1" si="45"/>
        <v/>
      </c>
      <c r="AX147" s="966" t="str">
        <f t="shared" ca="1" si="45"/>
        <v/>
      </c>
      <c r="AY147" s="966" t="str">
        <f t="shared" ca="1" si="45"/>
        <v/>
      </c>
      <c r="AZ147" s="966" t="str">
        <f t="shared" ca="1" si="45"/>
        <v/>
      </c>
      <c r="BA147" s="966" t="str">
        <f t="shared" ca="1" si="45"/>
        <v/>
      </c>
      <c r="BB147" s="966" t="str">
        <f t="shared" ca="1" si="45"/>
        <v/>
      </c>
      <c r="BC147" s="966" t="str">
        <f t="shared" ca="1" si="45"/>
        <v/>
      </c>
      <c r="BD147" s="966" t="str">
        <f t="shared" ca="1" si="45"/>
        <v/>
      </c>
      <c r="BE147" s="966" t="str">
        <f t="shared" ca="1" si="45"/>
        <v/>
      </c>
      <c r="BF147" s="966" t="str">
        <f t="shared" ca="1" si="45"/>
        <v/>
      </c>
      <c r="BG147" s="966" t="str">
        <f t="shared" ca="1" si="45"/>
        <v/>
      </c>
      <c r="BH147" s="966" t="str">
        <f t="shared" ca="1" si="45"/>
        <v/>
      </c>
      <c r="BI147" s="966" t="str">
        <f t="shared" ca="1" si="45"/>
        <v/>
      </c>
      <c r="BJ147" s="966" t="str">
        <f t="shared" ca="1" si="45"/>
        <v/>
      </c>
      <c r="BK147" s="966" t="str">
        <f t="shared" ca="1" si="45"/>
        <v/>
      </c>
      <c r="BL147" s="966" t="str">
        <f t="shared" ca="1" si="45"/>
        <v/>
      </c>
      <c r="BM147" s="966" t="str">
        <f t="shared" ca="1" si="45"/>
        <v/>
      </c>
      <c r="BN147" s="966" t="str">
        <f t="shared" ca="1" si="45"/>
        <v/>
      </c>
      <c r="BO147" s="966" t="str">
        <f t="shared" ca="1" si="45"/>
        <v/>
      </c>
    </row>
    <row r="148" spans="1:67" ht="20.100000000000001" hidden="1" customHeight="1" outlineLevel="1">
      <c r="B148" s="1648"/>
      <c r="C148" s="1646"/>
      <c r="D148" s="970" t="s">
        <v>379</v>
      </c>
      <c r="E148" s="920"/>
      <c r="F148" s="964"/>
      <c r="G148" s="965" t="s">
        <v>1281</v>
      </c>
      <c r="H148" s="966"/>
      <c r="I148" s="966"/>
      <c r="J148" s="966"/>
      <c r="K148" s="966"/>
      <c r="L148" s="966">
        <f t="shared" ca="1" si="45"/>
        <v>0</v>
      </c>
      <c r="M148" s="966">
        <f t="shared" ca="1" si="45"/>
        <v>0</v>
      </c>
      <c r="N148" s="966">
        <f t="shared" ca="1" si="45"/>
        <v>0</v>
      </c>
      <c r="O148" s="966">
        <f t="shared" ca="1" si="45"/>
        <v>0</v>
      </c>
      <c r="P148" s="966">
        <f t="shared" ca="1" si="45"/>
        <v>0</v>
      </c>
      <c r="Q148" s="966">
        <f t="shared" ca="1" si="45"/>
        <v>0</v>
      </c>
      <c r="R148" s="966">
        <f t="shared" ca="1" si="45"/>
        <v>0</v>
      </c>
      <c r="S148" s="966">
        <f t="shared" ca="1" si="45"/>
        <v>0</v>
      </c>
      <c r="T148" s="966">
        <f t="shared" ca="1" si="45"/>
        <v>0</v>
      </c>
      <c r="U148" s="966">
        <f t="shared" ca="1" si="45"/>
        <v>0</v>
      </c>
      <c r="V148" s="966">
        <f t="shared" ca="1" si="45"/>
        <v>0</v>
      </c>
      <c r="W148" s="966">
        <f t="shared" ca="1" si="45"/>
        <v>0</v>
      </c>
      <c r="X148" s="966">
        <f t="shared" ca="1" si="45"/>
        <v>0</v>
      </c>
      <c r="Y148" s="966">
        <f t="shared" ca="1" si="45"/>
        <v>0</v>
      </c>
      <c r="Z148" s="966">
        <f t="shared" ca="1" si="45"/>
        <v>0</v>
      </c>
      <c r="AA148" s="966">
        <f t="shared" ca="1" si="45"/>
        <v>0</v>
      </c>
      <c r="AB148" s="966" t="str">
        <f t="shared" ca="1" si="45"/>
        <v/>
      </c>
      <c r="AC148" s="966" t="str">
        <f t="shared" ca="1" si="45"/>
        <v/>
      </c>
      <c r="AD148" s="966" t="str">
        <f t="shared" ca="1" si="45"/>
        <v/>
      </c>
      <c r="AE148" s="966" t="str">
        <f t="shared" ca="1" si="45"/>
        <v/>
      </c>
      <c r="AF148" s="966" t="str">
        <f t="shared" ca="1" si="45"/>
        <v/>
      </c>
      <c r="AG148" s="966" t="str">
        <f t="shared" ca="1" si="45"/>
        <v/>
      </c>
      <c r="AH148" s="966" t="str">
        <f t="shared" ca="1" si="45"/>
        <v/>
      </c>
      <c r="AI148" s="966" t="str">
        <f t="shared" ca="1" si="45"/>
        <v/>
      </c>
      <c r="AJ148" s="966" t="str">
        <f t="shared" ca="1" si="45"/>
        <v/>
      </c>
      <c r="AK148" s="966" t="str">
        <f t="shared" ca="1" si="45"/>
        <v/>
      </c>
      <c r="AL148" s="966" t="str">
        <f t="shared" ca="1" si="45"/>
        <v/>
      </c>
      <c r="AM148" s="966" t="str">
        <f t="shared" ca="1" si="45"/>
        <v/>
      </c>
      <c r="AN148" s="966" t="str">
        <f t="shared" ca="1" si="45"/>
        <v/>
      </c>
      <c r="AO148" s="966" t="str">
        <f t="shared" ca="1" si="45"/>
        <v/>
      </c>
      <c r="AP148" s="966" t="str">
        <f t="shared" ca="1" si="45"/>
        <v/>
      </c>
      <c r="AQ148" s="966" t="str">
        <f t="shared" ca="1" si="45"/>
        <v/>
      </c>
      <c r="AR148" s="966" t="str">
        <f t="shared" ca="1" si="45"/>
        <v/>
      </c>
      <c r="AS148" s="966" t="str">
        <f t="shared" ca="1" si="45"/>
        <v/>
      </c>
      <c r="AT148" s="966" t="str">
        <f t="shared" ca="1" si="45"/>
        <v/>
      </c>
      <c r="AU148" s="966" t="str">
        <f t="shared" ca="1" si="45"/>
        <v/>
      </c>
      <c r="AV148" s="966" t="str">
        <f t="shared" ca="1" si="45"/>
        <v/>
      </c>
      <c r="AW148" s="966" t="str">
        <f t="shared" ca="1" si="45"/>
        <v/>
      </c>
      <c r="AX148" s="966" t="str">
        <f t="shared" ca="1" si="45"/>
        <v/>
      </c>
      <c r="AY148" s="966" t="str">
        <f t="shared" ca="1" si="45"/>
        <v/>
      </c>
      <c r="AZ148" s="966" t="str">
        <f t="shared" ca="1" si="45"/>
        <v/>
      </c>
      <c r="BA148" s="966" t="str">
        <f t="shared" ca="1" si="45"/>
        <v/>
      </c>
      <c r="BB148" s="966" t="str">
        <f t="shared" ca="1" si="45"/>
        <v/>
      </c>
      <c r="BC148" s="966" t="str">
        <f t="shared" ca="1" si="45"/>
        <v/>
      </c>
      <c r="BD148" s="966" t="str">
        <f t="shared" ca="1" si="45"/>
        <v/>
      </c>
      <c r="BE148" s="966" t="str">
        <f t="shared" ca="1" si="45"/>
        <v/>
      </c>
      <c r="BF148" s="966" t="str">
        <f t="shared" ca="1" si="45"/>
        <v/>
      </c>
      <c r="BG148" s="966" t="str">
        <f t="shared" ca="1" si="45"/>
        <v/>
      </c>
      <c r="BH148" s="966" t="str">
        <f t="shared" ca="1" si="45"/>
        <v/>
      </c>
      <c r="BI148" s="966" t="str">
        <f t="shared" ca="1" si="45"/>
        <v/>
      </c>
      <c r="BJ148" s="966" t="str">
        <f t="shared" ca="1" si="45"/>
        <v/>
      </c>
      <c r="BK148" s="966" t="str">
        <f t="shared" ca="1" si="45"/>
        <v/>
      </c>
      <c r="BL148" s="966" t="str">
        <f t="shared" ca="1" si="45"/>
        <v/>
      </c>
      <c r="BM148" s="966" t="str">
        <f t="shared" ca="1" si="45"/>
        <v/>
      </c>
      <c r="BN148" s="966" t="str">
        <f t="shared" ca="1" si="45"/>
        <v/>
      </c>
      <c r="BO148" s="966" t="str">
        <f t="shared" ca="1" si="45"/>
        <v/>
      </c>
    </row>
    <row r="149" spans="1:67" ht="20.100000000000001" hidden="1" customHeight="1" outlineLevel="1">
      <c r="B149" s="1648"/>
      <c r="C149" s="1646"/>
      <c r="D149" s="970" t="s">
        <v>380</v>
      </c>
      <c r="E149" s="967"/>
      <c r="F149" s="964"/>
      <c r="G149" s="965" t="s">
        <v>1281</v>
      </c>
      <c r="H149" s="966"/>
      <c r="I149" s="966"/>
      <c r="J149" s="966"/>
      <c r="K149" s="966"/>
      <c r="L149" s="966">
        <f t="shared" ca="1" si="45"/>
        <v>0</v>
      </c>
      <c r="M149" s="966">
        <f t="shared" ca="1" si="45"/>
        <v>0</v>
      </c>
      <c r="N149" s="966">
        <f t="shared" ca="1" si="45"/>
        <v>0</v>
      </c>
      <c r="O149" s="966">
        <f t="shared" ca="1" si="45"/>
        <v>0</v>
      </c>
      <c r="P149" s="966">
        <f t="shared" ca="1" si="45"/>
        <v>0</v>
      </c>
      <c r="Q149" s="966">
        <f t="shared" ca="1" si="45"/>
        <v>0</v>
      </c>
      <c r="R149" s="966">
        <f t="shared" ca="1" si="45"/>
        <v>0</v>
      </c>
      <c r="S149" s="966">
        <f t="shared" ca="1" si="45"/>
        <v>0</v>
      </c>
      <c r="T149" s="966">
        <f t="shared" ca="1" si="45"/>
        <v>0</v>
      </c>
      <c r="U149" s="966">
        <f t="shared" ca="1" si="45"/>
        <v>0</v>
      </c>
      <c r="V149" s="966">
        <f t="shared" ca="1" si="45"/>
        <v>0</v>
      </c>
      <c r="W149" s="966">
        <f t="shared" ca="1" si="45"/>
        <v>0</v>
      </c>
      <c r="X149" s="966">
        <f t="shared" ca="1" si="45"/>
        <v>0</v>
      </c>
      <c r="Y149" s="966">
        <f t="shared" ca="1" si="45"/>
        <v>0</v>
      </c>
      <c r="Z149" s="966">
        <f t="shared" ca="1" si="45"/>
        <v>0</v>
      </c>
      <c r="AA149" s="966">
        <f t="shared" ca="1" si="45"/>
        <v>0</v>
      </c>
      <c r="AB149" s="966" t="str">
        <f t="shared" ca="1" si="45"/>
        <v/>
      </c>
      <c r="AC149" s="966" t="str">
        <f t="shared" ca="1" si="45"/>
        <v/>
      </c>
      <c r="AD149" s="966" t="str">
        <f t="shared" ca="1" si="45"/>
        <v/>
      </c>
      <c r="AE149" s="966" t="str">
        <f t="shared" ca="1" si="45"/>
        <v/>
      </c>
      <c r="AF149" s="966" t="str">
        <f t="shared" ca="1" si="45"/>
        <v/>
      </c>
      <c r="AG149" s="966" t="str">
        <f t="shared" ca="1" si="45"/>
        <v/>
      </c>
      <c r="AH149" s="966" t="str">
        <f t="shared" ca="1" si="45"/>
        <v/>
      </c>
      <c r="AI149" s="966" t="str">
        <f t="shared" ca="1" si="45"/>
        <v/>
      </c>
      <c r="AJ149" s="966" t="str">
        <f t="shared" ca="1" si="45"/>
        <v/>
      </c>
      <c r="AK149" s="966" t="str">
        <f t="shared" ca="1" si="45"/>
        <v/>
      </c>
      <c r="AL149" s="966" t="str">
        <f t="shared" ca="1" si="45"/>
        <v/>
      </c>
      <c r="AM149" s="966" t="str">
        <f t="shared" ca="1" si="45"/>
        <v/>
      </c>
      <c r="AN149" s="966" t="str">
        <f t="shared" ca="1" si="45"/>
        <v/>
      </c>
      <c r="AO149" s="966" t="str">
        <f t="shared" ca="1" si="45"/>
        <v/>
      </c>
      <c r="AP149" s="966" t="str">
        <f t="shared" ca="1" si="45"/>
        <v/>
      </c>
      <c r="AQ149" s="966" t="str">
        <f t="shared" ca="1" si="45"/>
        <v/>
      </c>
      <c r="AR149" s="966" t="str">
        <f t="shared" ca="1" si="45"/>
        <v/>
      </c>
      <c r="AS149" s="966" t="str">
        <f t="shared" ca="1" si="45"/>
        <v/>
      </c>
      <c r="AT149" s="966" t="str">
        <f t="shared" ca="1" si="45"/>
        <v/>
      </c>
      <c r="AU149" s="966" t="str">
        <f t="shared" ca="1" si="45"/>
        <v/>
      </c>
      <c r="AV149" s="966" t="str">
        <f t="shared" ca="1" si="45"/>
        <v/>
      </c>
      <c r="AW149" s="966" t="str">
        <f t="shared" ca="1" si="45"/>
        <v/>
      </c>
      <c r="AX149" s="966" t="str">
        <f t="shared" ca="1" si="45"/>
        <v/>
      </c>
      <c r="AY149" s="966" t="str">
        <f t="shared" ca="1" si="45"/>
        <v/>
      </c>
      <c r="AZ149" s="966" t="str">
        <f t="shared" ca="1" si="45"/>
        <v/>
      </c>
      <c r="BA149" s="966" t="str">
        <f t="shared" ca="1" si="45"/>
        <v/>
      </c>
      <c r="BB149" s="966" t="str">
        <f t="shared" ca="1" si="45"/>
        <v/>
      </c>
      <c r="BC149" s="966" t="str">
        <f t="shared" ca="1" si="45"/>
        <v/>
      </c>
      <c r="BD149" s="966" t="str">
        <f t="shared" ca="1" si="45"/>
        <v/>
      </c>
      <c r="BE149" s="966" t="str">
        <f t="shared" ca="1" si="45"/>
        <v/>
      </c>
      <c r="BF149" s="966" t="str">
        <f t="shared" ca="1" si="45"/>
        <v/>
      </c>
      <c r="BG149" s="966" t="str">
        <f t="shared" ca="1" si="45"/>
        <v/>
      </c>
      <c r="BH149" s="966" t="str">
        <f t="shared" ca="1" si="45"/>
        <v/>
      </c>
      <c r="BI149" s="966" t="str">
        <f t="shared" ca="1" si="45"/>
        <v/>
      </c>
      <c r="BJ149" s="966" t="str">
        <f t="shared" ca="1" si="45"/>
        <v/>
      </c>
      <c r="BK149" s="966" t="str">
        <f t="shared" ca="1" si="45"/>
        <v/>
      </c>
      <c r="BL149" s="966" t="str">
        <f t="shared" ca="1" si="45"/>
        <v/>
      </c>
      <c r="BM149" s="966" t="str">
        <f t="shared" ca="1" si="45"/>
        <v/>
      </c>
      <c r="BN149" s="966" t="str">
        <f t="shared" ca="1" si="45"/>
        <v/>
      </c>
      <c r="BO149" s="966" t="str">
        <f t="shared" ca="1" si="45"/>
        <v/>
      </c>
    </row>
    <row r="150" spans="1:67" ht="20.100000000000001" hidden="1" customHeight="1" outlineLevel="1">
      <c r="B150" s="1648"/>
      <c r="C150" s="1646"/>
      <c r="D150" s="920" t="s">
        <v>381</v>
      </c>
      <c r="E150" s="920"/>
      <c r="F150" s="964"/>
      <c r="G150" s="965" t="s">
        <v>1281</v>
      </c>
      <c r="H150" s="966"/>
      <c r="I150" s="966"/>
      <c r="J150" s="966"/>
      <c r="K150" s="966"/>
      <c r="L150" s="966">
        <f t="shared" ca="1" si="45"/>
        <v>0</v>
      </c>
      <c r="M150" s="966">
        <f t="shared" ca="1" si="45"/>
        <v>0</v>
      </c>
      <c r="N150" s="966">
        <f t="shared" ca="1" si="45"/>
        <v>0</v>
      </c>
      <c r="O150" s="966">
        <f t="shared" ca="1" si="45"/>
        <v>0</v>
      </c>
      <c r="P150" s="966">
        <f t="shared" ca="1" si="45"/>
        <v>0</v>
      </c>
      <c r="Q150" s="966">
        <f t="shared" ca="1" si="45"/>
        <v>0</v>
      </c>
      <c r="R150" s="966">
        <f t="shared" ca="1" si="45"/>
        <v>0</v>
      </c>
      <c r="S150" s="966">
        <f t="shared" ca="1" si="45"/>
        <v>0</v>
      </c>
      <c r="T150" s="966">
        <f t="shared" ca="1" si="45"/>
        <v>0</v>
      </c>
      <c r="U150" s="966">
        <f t="shared" ca="1" si="45"/>
        <v>0</v>
      </c>
      <c r="V150" s="966">
        <f t="shared" ca="1" si="45"/>
        <v>0</v>
      </c>
      <c r="W150" s="966">
        <f t="shared" ca="1" si="45"/>
        <v>0</v>
      </c>
      <c r="X150" s="966">
        <f t="shared" ca="1" si="45"/>
        <v>0</v>
      </c>
      <c r="Y150" s="966">
        <f t="shared" ca="1" si="45"/>
        <v>0</v>
      </c>
      <c r="Z150" s="966">
        <f t="shared" ca="1" si="45"/>
        <v>0</v>
      </c>
      <c r="AA150" s="966">
        <f t="shared" ca="1" si="45"/>
        <v>0</v>
      </c>
      <c r="AB150" s="966" t="str">
        <f t="shared" ca="1" si="45"/>
        <v/>
      </c>
      <c r="AC150" s="966" t="str">
        <f t="shared" ca="1" si="45"/>
        <v/>
      </c>
      <c r="AD150" s="966" t="str">
        <f t="shared" ca="1" si="45"/>
        <v/>
      </c>
      <c r="AE150" s="966" t="str">
        <f t="shared" ca="1" si="45"/>
        <v/>
      </c>
      <c r="AF150" s="966" t="str">
        <f t="shared" ca="1" si="45"/>
        <v/>
      </c>
      <c r="AG150" s="966" t="str">
        <f t="shared" ca="1" si="45"/>
        <v/>
      </c>
      <c r="AH150" s="966" t="str">
        <f t="shared" ca="1" si="45"/>
        <v/>
      </c>
      <c r="AI150" s="966" t="str">
        <f t="shared" ca="1" si="45"/>
        <v/>
      </c>
      <c r="AJ150" s="966" t="str">
        <f t="shared" ca="1" si="45"/>
        <v/>
      </c>
      <c r="AK150" s="966" t="str">
        <f t="shared" ca="1" si="45"/>
        <v/>
      </c>
      <c r="AL150" s="966" t="str">
        <f t="shared" ca="1" si="45"/>
        <v/>
      </c>
      <c r="AM150" s="966" t="str">
        <f t="shared" ca="1" si="45"/>
        <v/>
      </c>
      <c r="AN150" s="966" t="str">
        <f t="shared" ca="1" si="45"/>
        <v/>
      </c>
      <c r="AO150" s="966" t="str">
        <f t="shared" ca="1" si="45"/>
        <v/>
      </c>
      <c r="AP150" s="966" t="str">
        <f t="shared" ca="1" si="45"/>
        <v/>
      </c>
      <c r="AQ150" s="966" t="str">
        <f t="shared" ref="AQ150:BO150" ca="1" si="46">AQ40</f>
        <v/>
      </c>
      <c r="AR150" s="966" t="str">
        <f t="shared" ca="1" si="46"/>
        <v/>
      </c>
      <c r="AS150" s="966" t="str">
        <f t="shared" ca="1" si="46"/>
        <v/>
      </c>
      <c r="AT150" s="966" t="str">
        <f t="shared" ca="1" si="46"/>
        <v/>
      </c>
      <c r="AU150" s="966" t="str">
        <f t="shared" ca="1" si="46"/>
        <v/>
      </c>
      <c r="AV150" s="966" t="str">
        <f t="shared" ca="1" si="46"/>
        <v/>
      </c>
      <c r="AW150" s="966" t="str">
        <f t="shared" ca="1" si="46"/>
        <v/>
      </c>
      <c r="AX150" s="966" t="str">
        <f t="shared" ca="1" si="46"/>
        <v/>
      </c>
      <c r="AY150" s="966" t="str">
        <f t="shared" ca="1" si="46"/>
        <v/>
      </c>
      <c r="AZ150" s="966" t="str">
        <f t="shared" ca="1" si="46"/>
        <v/>
      </c>
      <c r="BA150" s="966" t="str">
        <f t="shared" ca="1" si="46"/>
        <v/>
      </c>
      <c r="BB150" s="966" t="str">
        <f t="shared" ca="1" si="46"/>
        <v/>
      </c>
      <c r="BC150" s="966" t="str">
        <f t="shared" ca="1" si="46"/>
        <v/>
      </c>
      <c r="BD150" s="966" t="str">
        <f t="shared" ca="1" si="46"/>
        <v/>
      </c>
      <c r="BE150" s="966" t="str">
        <f t="shared" ca="1" si="46"/>
        <v/>
      </c>
      <c r="BF150" s="966" t="str">
        <f t="shared" ca="1" si="46"/>
        <v/>
      </c>
      <c r="BG150" s="966" t="str">
        <f t="shared" ca="1" si="46"/>
        <v/>
      </c>
      <c r="BH150" s="966" t="str">
        <f t="shared" ca="1" si="46"/>
        <v/>
      </c>
      <c r="BI150" s="966" t="str">
        <f t="shared" ca="1" si="46"/>
        <v/>
      </c>
      <c r="BJ150" s="966" t="str">
        <f t="shared" ca="1" si="46"/>
        <v/>
      </c>
      <c r="BK150" s="966" t="str">
        <f t="shared" ca="1" si="46"/>
        <v/>
      </c>
      <c r="BL150" s="966" t="str">
        <f t="shared" ca="1" si="46"/>
        <v/>
      </c>
      <c r="BM150" s="966" t="str">
        <f t="shared" ca="1" si="46"/>
        <v/>
      </c>
      <c r="BN150" s="966" t="str">
        <f t="shared" ca="1" si="46"/>
        <v/>
      </c>
      <c r="BO150" s="966" t="str">
        <f t="shared" ca="1" si="46"/>
        <v/>
      </c>
    </row>
    <row r="151" spans="1:67" ht="20.100000000000001" hidden="1" customHeight="1" outlineLevel="1">
      <c r="B151" s="1648"/>
      <c r="C151" s="1646"/>
      <c r="D151" s="920" t="s">
        <v>382</v>
      </c>
      <c r="E151" s="920"/>
      <c r="F151" s="964"/>
      <c r="G151" s="965" t="s">
        <v>1281</v>
      </c>
      <c r="H151" s="966"/>
      <c r="I151" s="966"/>
      <c r="J151" s="966"/>
      <c r="K151" s="966"/>
      <c r="L151" s="966">
        <f t="shared" ref="L151:BO155" ca="1" si="47">L41</f>
        <v>0</v>
      </c>
      <c r="M151" s="966">
        <f t="shared" ca="1" si="47"/>
        <v>0</v>
      </c>
      <c r="N151" s="966">
        <f t="shared" ca="1" si="47"/>
        <v>0</v>
      </c>
      <c r="O151" s="966">
        <f t="shared" ca="1" si="47"/>
        <v>0</v>
      </c>
      <c r="P151" s="966">
        <f t="shared" ca="1" si="47"/>
        <v>0</v>
      </c>
      <c r="Q151" s="966">
        <f t="shared" ca="1" si="47"/>
        <v>0</v>
      </c>
      <c r="R151" s="966">
        <f t="shared" ca="1" si="47"/>
        <v>0</v>
      </c>
      <c r="S151" s="966">
        <f t="shared" ca="1" si="47"/>
        <v>0</v>
      </c>
      <c r="T151" s="966">
        <f t="shared" ca="1" si="47"/>
        <v>0</v>
      </c>
      <c r="U151" s="966">
        <f t="shared" ca="1" si="47"/>
        <v>0</v>
      </c>
      <c r="V151" s="966">
        <f t="shared" ca="1" si="47"/>
        <v>0</v>
      </c>
      <c r="W151" s="966">
        <f t="shared" ca="1" si="47"/>
        <v>0</v>
      </c>
      <c r="X151" s="966">
        <f t="shared" ca="1" si="47"/>
        <v>0</v>
      </c>
      <c r="Y151" s="966">
        <f t="shared" ca="1" si="47"/>
        <v>0</v>
      </c>
      <c r="Z151" s="966">
        <f t="shared" ca="1" si="47"/>
        <v>0</v>
      </c>
      <c r="AA151" s="966">
        <f t="shared" ca="1" si="47"/>
        <v>0</v>
      </c>
      <c r="AB151" s="966" t="str">
        <f t="shared" ca="1" si="47"/>
        <v/>
      </c>
      <c r="AC151" s="966" t="str">
        <f t="shared" ca="1" si="47"/>
        <v/>
      </c>
      <c r="AD151" s="966" t="str">
        <f t="shared" ca="1" si="47"/>
        <v/>
      </c>
      <c r="AE151" s="966" t="str">
        <f t="shared" ca="1" si="47"/>
        <v/>
      </c>
      <c r="AF151" s="966" t="str">
        <f t="shared" ca="1" si="47"/>
        <v/>
      </c>
      <c r="AG151" s="966" t="str">
        <f t="shared" ca="1" si="47"/>
        <v/>
      </c>
      <c r="AH151" s="966" t="str">
        <f t="shared" ca="1" si="47"/>
        <v/>
      </c>
      <c r="AI151" s="966" t="str">
        <f t="shared" ca="1" si="47"/>
        <v/>
      </c>
      <c r="AJ151" s="966" t="str">
        <f t="shared" ca="1" si="47"/>
        <v/>
      </c>
      <c r="AK151" s="966" t="str">
        <f t="shared" ca="1" si="47"/>
        <v/>
      </c>
      <c r="AL151" s="966" t="str">
        <f t="shared" ca="1" si="47"/>
        <v/>
      </c>
      <c r="AM151" s="966" t="str">
        <f t="shared" ca="1" si="47"/>
        <v/>
      </c>
      <c r="AN151" s="966" t="str">
        <f t="shared" ca="1" si="47"/>
        <v/>
      </c>
      <c r="AO151" s="966" t="str">
        <f t="shared" ca="1" si="47"/>
        <v/>
      </c>
      <c r="AP151" s="966" t="str">
        <f t="shared" ca="1" si="47"/>
        <v/>
      </c>
      <c r="AQ151" s="966" t="str">
        <f t="shared" ca="1" si="47"/>
        <v/>
      </c>
      <c r="AR151" s="966" t="str">
        <f t="shared" ca="1" si="47"/>
        <v/>
      </c>
      <c r="AS151" s="966" t="str">
        <f t="shared" ca="1" si="47"/>
        <v/>
      </c>
      <c r="AT151" s="966" t="str">
        <f t="shared" ca="1" si="47"/>
        <v/>
      </c>
      <c r="AU151" s="966" t="str">
        <f t="shared" ca="1" si="47"/>
        <v/>
      </c>
      <c r="AV151" s="966" t="str">
        <f t="shared" ca="1" si="47"/>
        <v/>
      </c>
      <c r="AW151" s="966" t="str">
        <f t="shared" ca="1" si="47"/>
        <v/>
      </c>
      <c r="AX151" s="966" t="str">
        <f t="shared" ca="1" si="47"/>
        <v/>
      </c>
      <c r="AY151" s="966" t="str">
        <f t="shared" ca="1" si="47"/>
        <v/>
      </c>
      <c r="AZ151" s="966" t="str">
        <f t="shared" ca="1" si="47"/>
        <v/>
      </c>
      <c r="BA151" s="966" t="str">
        <f t="shared" ca="1" si="47"/>
        <v/>
      </c>
      <c r="BB151" s="966" t="str">
        <f t="shared" ca="1" si="47"/>
        <v/>
      </c>
      <c r="BC151" s="966" t="str">
        <f t="shared" ca="1" si="47"/>
        <v/>
      </c>
      <c r="BD151" s="966" t="str">
        <f t="shared" ca="1" si="47"/>
        <v/>
      </c>
      <c r="BE151" s="966" t="str">
        <f t="shared" ca="1" si="47"/>
        <v/>
      </c>
      <c r="BF151" s="966" t="str">
        <f t="shared" ca="1" si="47"/>
        <v/>
      </c>
      <c r="BG151" s="966" t="str">
        <f t="shared" ca="1" si="47"/>
        <v/>
      </c>
      <c r="BH151" s="966" t="str">
        <f t="shared" ca="1" si="47"/>
        <v/>
      </c>
      <c r="BI151" s="966" t="str">
        <f t="shared" ca="1" si="47"/>
        <v/>
      </c>
      <c r="BJ151" s="966" t="str">
        <f t="shared" ca="1" si="47"/>
        <v/>
      </c>
      <c r="BK151" s="966" t="str">
        <f t="shared" ca="1" si="47"/>
        <v/>
      </c>
      <c r="BL151" s="966" t="str">
        <f t="shared" ca="1" si="47"/>
        <v/>
      </c>
      <c r="BM151" s="966" t="str">
        <f t="shared" ca="1" si="47"/>
        <v/>
      </c>
      <c r="BN151" s="966" t="str">
        <f t="shared" ca="1" si="47"/>
        <v/>
      </c>
      <c r="BO151" s="966" t="str">
        <f t="shared" ca="1" si="47"/>
        <v/>
      </c>
    </row>
    <row r="152" spans="1:67" ht="20.100000000000001" hidden="1" customHeight="1" outlineLevel="1">
      <c r="B152" s="1648"/>
      <c r="C152" s="1646"/>
      <c r="D152" s="920" t="s">
        <v>383</v>
      </c>
      <c r="E152" s="920"/>
      <c r="F152" s="964"/>
      <c r="G152" s="965" t="s">
        <v>1281</v>
      </c>
      <c r="H152" s="966"/>
      <c r="I152" s="966"/>
      <c r="J152" s="966"/>
      <c r="K152" s="966"/>
      <c r="L152" s="966">
        <f t="shared" ca="1" si="47"/>
        <v>0</v>
      </c>
      <c r="M152" s="966">
        <f t="shared" ca="1" si="47"/>
        <v>0</v>
      </c>
      <c r="N152" s="966">
        <f t="shared" ca="1" si="47"/>
        <v>0</v>
      </c>
      <c r="O152" s="966">
        <f t="shared" ca="1" si="47"/>
        <v>0</v>
      </c>
      <c r="P152" s="966">
        <f t="shared" ca="1" si="47"/>
        <v>0</v>
      </c>
      <c r="Q152" s="966">
        <f t="shared" ca="1" si="47"/>
        <v>0</v>
      </c>
      <c r="R152" s="966">
        <f t="shared" ca="1" si="47"/>
        <v>0</v>
      </c>
      <c r="S152" s="966">
        <f t="shared" ca="1" si="47"/>
        <v>0</v>
      </c>
      <c r="T152" s="966">
        <f t="shared" ca="1" si="47"/>
        <v>0</v>
      </c>
      <c r="U152" s="966">
        <f t="shared" ca="1" si="47"/>
        <v>0</v>
      </c>
      <c r="V152" s="966">
        <f t="shared" ca="1" si="47"/>
        <v>0</v>
      </c>
      <c r="W152" s="966">
        <f t="shared" ca="1" si="47"/>
        <v>0</v>
      </c>
      <c r="X152" s="966">
        <f t="shared" ca="1" si="47"/>
        <v>0</v>
      </c>
      <c r="Y152" s="966">
        <f t="shared" ca="1" si="47"/>
        <v>0</v>
      </c>
      <c r="Z152" s="966">
        <f t="shared" ca="1" si="47"/>
        <v>0</v>
      </c>
      <c r="AA152" s="966">
        <f t="shared" ca="1" si="47"/>
        <v>0</v>
      </c>
      <c r="AB152" s="966" t="str">
        <f t="shared" ca="1" si="47"/>
        <v/>
      </c>
      <c r="AC152" s="966" t="str">
        <f t="shared" ca="1" si="47"/>
        <v/>
      </c>
      <c r="AD152" s="966" t="str">
        <f t="shared" ca="1" si="47"/>
        <v/>
      </c>
      <c r="AE152" s="966" t="str">
        <f t="shared" ca="1" si="47"/>
        <v/>
      </c>
      <c r="AF152" s="966" t="str">
        <f t="shared" ca="1" si="47"/>
        <v/>
      </c>
      <c r="AG152" s="966" t="str">
        <f t="shared" ca="1" si="47"/>
        <v/>
      </c>
      <c r="AH152" s="966" t="str">
        <f t="shared" ca="1" si="47"/>
        <v/>
      </c>
      <c r="AI152" s="966" t="str">
        <f t="shared" ca="1" si="47"/>
        <v/>
      </c>
      <c r="AJ152" s="966" t="str">
        <f t="shared" ca="1" si="47"/>
        <v/>
      </c>
      <c r="AK152" s="966" t="str">
        <f t="shared" ca="1" si="47"/>
        <v/>
      </c>
      <c r="AL152" s="966" t="str">
        <f t="shared" ca="1" si="47"/>
        <v/>
      </c>
      <c r="AM152" s="966" t="str">
        <f t="shared" ca="1" si="47"/>
        <v/>
      </c>
      <c r="AN152" s="966" t="str">
        <f t="shared" ca="1" si="47"/>
        <v/>
      </c>
      <c r="AO152" s="966" t="str">
        <f t="shared" ca="1" si="47"/>
        <v/>
      </c>
      <c r="AP152" s="966" t="str">
        <f t="shared" ca="1" si="47"/>
        <v/>
      </c>
      <c r="AQ152" s="966" t="str">
        <f t="shared" ca="1" si="47"/>
        <v/>
      </c>
      <c r="AR152" s="966" t="str">
        <f t="shared" ca="1" si="47"/>
        <v/>
      </c>
      <c r="AS152" s="966" t="str">
        <f t="shared" ca="1" si="47"/>
        <v/>
      </c>
      <c r="AT152" s="966" t="str">
        <f t="shared" ca="1" si="47"/>
        <v/>
      </c>
      <c r="AU152" s="966" t="str">
        <f t="shared" ca="1" si="47"/>
        <v/>
      </c>
      <c r="AV152" s="966" t="str">
        <f t="shared" ca="1" si="47"/>
        <v/>
      </c>
      <c r="AW152" s="966" t="str">
        <f t="shared" ca="1" si="47"/>
        <v/>
      </c>
      <c r="AX152" s="966" t="str">
        <f t="shared" ca="1" si="47"/>
        <v/>
      </c>
      <c r="AY152" s="966" t="str">
        <f t="shared" ca="1" si="47"/>
        <v/>
      </c>
      <c r="AZ152" s="966" t="str">
        <f t="shared" ca="1" si="47"/>
        <v/>
      </c>
      <c r="BA152" s="966" t="str">
        <f t="shared" ca="1" si="47"/>
        <v/>
      </c>
      <c r="BB152" s="966" t="str">
        <f t="shared" ca="1" si="47"/>
        <v/>
      </c>
      <c r="BC152" s="966" t="str">
        <f t="shared" ca="1" si="47"/>
        <v/>
      </c>
      <c r="BD152" s="966" t="str">
        <f t="shared" ca="1" si="47"/>
        <v/>
      </c>
      <c r="BE152" s="966" t="str">
        <f t="shared" ca="1" si="47"/>
        <v/>
      </c>
      <c r="BF152" s="966" t="str">
        <f t="shared" ca="1" si="47"/>
        <v/>
      </c>
      <c r="BG152" s="966" t="str">
        <f t="shared" ca="1" si="47"/>
        <v/>
      </c>
      <c r="BH152" s="966" t="str">
        <f t="shared" ca="1" si="47"/>
        <v/>
      </c>
      <c r="BI152" s="966" t="str">
        <f t="shared" ca="1" si="47"/>
        <v/>
      </c>
      <c r="BJ152" s="966" t="str">
        <f t="shared" ca="1" si="47"/>
        <v/>
      </c>
      <c r="BK152" s="966" t="str">
        <f t="shared" ca="1" si="47"/>
        <v/>
      </c>
      <c r="BL152" s="966" t="str">
        <f t="shared" ca="1" si="47"/>
        <v/>
      </c>
      <c r="BM152" s="966" t="str">
        <f t="shared" ca="1" si="47"/>
        <v/>
      </c>
      <c r="BN152" s="966" t="str">
        <f t="shared" ca="1" si="47"/>
        <v/>
      </c>
      <c r="BO152" s="966" t="str">
        <f t="shared" ca="1" si="47"/>
        <v/>
      </c>
    </row>
    <row r="153" spans="1:67" ht="20.100000000000001" hidden="1" customHeight="1" outlineLevel="1">
      <c r="B153" s="1648"/>
      <c r="C153" s="1646"/>
      <c r="D153" s="920" t="s">
        <v>384</v>
      </c>
      <c r="E153" s="969"/>
      <c r="F153" s="971"/>
      <c r="G153" s="965" t="s">
        <v>1281</v>
      </c>
      <c r="H153" s="966"/>
      <c r="I153" s="966"/>
      <c r="J153" s="966"/>
      <c r="K153" s="966"/>
      <c r="L153" s="966">
        <f t="shared" ca="1" si="47"/>
        <v>0</v>
      </c>
      <c r="M153" s="966">
        <f t="shared" ca="1" si="47"/>
        <v>0</v>
      </c>
      <c r="N153" s="966">
        <f t="shared" ca="1" si="47"/>
        <v>0</v>
      </c>
      <c r="O153" s="966">
        <f t="shared" ca="1" si="47"/>
        <v>0</v>
      </c>
      <c r="P153" s="966">
        <f t="shared" ca="1" si="47"/>
        <v>0</v>
      </c>
      <c r="Q153" s="966">
        <f t="shared" ca="1" si="47"/>
        <v>0</v>
      </c>
      <c r="R153" s="966">
        <f t="shared" ca="1" si="47"/>
        <v>0</v>
      </c>
      <c r="S153" s="966">
        <f t="shared" ca="1" si="47"/>
        <v>0</v>
      </c>
      <c r="T153" s="966">
        <f t="shared" ca="1" si="47"/>
        <v>0</v>
      </c>
      <c r="U153" s="966">
        <f t="shared" ca="1" si="47"/>
        <v>0</v>
      </c>
      <c r="V153" s="966">
        <f t="shared" ca="1" si="47"/>
        <v>0</v>
      </c>
      <c r="W153" s="966">
        <f t="shared" ca="1" si="47"/>
        <v>0</v>
      </c>
      <c r="X153" s="966">
        <f t="shared" ca="1" si="47"/>
        <v>0</v>
      </c>
      <c r="Y153" s="966">
        <f t="shared" ca="1" si="47"/>
        <v>0</v>
      </c>
      <c r="Z153" s="966">
        <f t="shared" ca="1" si="47"/>
        <v>0</v>
      </c>
      <c r="AA153" s="966">
        <f t="shared" ca="1" si="47"/>
        <v>0</v>
      </c>
      <c r="AB153" s="966" t="str">
        <f t="shared" ca="1" si="47"/>
        <v/>
      </c>
      <c r="AC153" s="966" t="str">
        <f t="shared" ca="1" si="47"/>
        <v/>
      </c>
      <c r="AD153" s="966" t="str">
        <f t="shared" ca="1" si="47"/>
        <v/>
      </c>
      <c r="AE153" s="966" t="str">
        <f t="shared" ca="1" si="47"/>
        <v/>
      </c>
      <c r="AF153" s="966" t="str">
        <f t="shared" ca="1" si="47"/>
        <v/>
      </c>
      <c r="AG153" s="966" t="str">
        <f t="shared" ca="1" si="47"/>
        <v/>
      </c>
      <c r="AH153" s="966" t="str">
        <f t="shared" ca="1" si="47"/>
        <v/>
      </c>
      <c r="AI153" s="966" t="str">
        <f t="shared" ca="1" si="47"/>
        <v/>
      </c>
      <c r="AJ153" s="966" t="str">
        <f t="shared" ca="1" si="47"/>
        <v/>
      </c>
      <c r="AK153" s="966" t="str">
        <f t="shared" ca="1" si="47"/>
        <v/>
      </c>
      <c r="AL153" s="966" t="str">
        <f t="shared" ca="1" si="47"/>
        <v/>
      </c>
      <c r="AM153" s="966" t="str">
        <f t="shared" ca="1" si="47"/>
        <v/>
      </c>
      <c r="AN153" s="966" t="str">
        <f t="shared" ca="1" si="47"/>
        <v/>
      </c>
      <c r="AO153" s="966" t="str">
        <f t="shared" ca="1" si="47"/>
        <v/>
      </c>
      <c r="AP153" s="966" t="str">
        <f t="shared" ca="1" si="47"/>
        <v/>
      </c>
      <c r="AQ153" s="966" t="str">
        <f t="shared" ca="1" si="47"/>
        <v/>
      </c>
      <c r="AR153" s="966" t="str">
        <f t="shared" ca="1" si="47"/>
        <v/>
      </c>
      <c r="AS153" s="966" t="str">
        <f t="shared" ca="1" si="47"/>
        <v/>
      </c>
      <c r="AT153" s="966" t="str">
        <f t="shared" ca="1" si="47"/>
        <v/>
      </c>
      <c r="AU153" s="966" t="str">
        <f t="shared" ca="1" si="47"/>
        <v/>
      </c>
      <c r="AV153" s="966" t="str">
        <f t="shared" ca="1" si="47"/>
        <v/>
      </c>
      <c r="AW153" s="966" t="str">
        <f t="shared" ca="1" si="47"/>
        <v/>
      </c>
      <c r="AX153" s="966" t="str">
        <f t="shared" ca="1" si="47"/>
        <v/>
      </c>
      <c r="AY153" s="966" t="str">
        <f t="shared" ca="1" si="47"/>
        <v/>
      </c>
      <c r="AZ153" s="966" t="str">
        <f t="shared" ca="1" si="47"/>
        <v/>
      </c>
      <c r="BA153" s="966" t="str">
        <f t="shared" ca="1" si="47"/>
        <v/>
      </c>
      <c r="BB153" s="966" t="str">
        <f t="shared" ca="1" si="47"/>
        <v/>
      </c>
      <c r="BC153" s="966" t="str">
        <f t="shared" ca="1" si="47"/>
        <v/>
      </c>
      <c r="BD153" s="966" t="str">
        <f t="shared" ca="1" si="47"/>
        <v/>
      </c>
      <c r="BE153" s="966" t="str">
        <f t="shared" ca="1" si="47"/>
        <v/>
      </c>
      <c r="BF153" s="966" t="str">
        <f t="shared" ca="1" si="47"/>
        <v/>
      </c>
      <c r="BG153" s="966" t="str">
        <f t="shared" ca="1" si="47"/>
        <v/>
      </c>
      <c r="BH153" s="966" t="str">
        <f t="shared" ca="1" si="47"/>
        <v/>
      </c>
      <c r="BI153" s="966" t="str">
        <f t="shared" ca="1" si="47"/>
        <v/>
      </c>
      <c r="BJ153" s="966" t="str">
        <f t="shared" ca="1" si="47"/>
        <v/>
      </c>
      <c r="BK153" s="966" t="str">
        <f t="shared" ca="1" si="47"/>
        <v/>
      </c>
      <c r="BL153" s="966" t="str">
        <f t="shared" ca="1" si="47"/>
        <v/>
      </c>
      <c r="BM153" s="966" t="str">
        <f t="shared" ca="1" si="47"/>
        <v/>
      </c>
      <c r="BN153" s="966" t="str">
        <f t="shared" ca="1" si="47"/>
        <v/>
      </c>
      <c r="BO153" s="966" t="str">
        <f t="shared" ca="1" si="47"/>
        <v/>
      </c>
    </row>
    <row r="154" spans="1:67" ht="20.100000000000001" hidden="1" customHeight="1" outlineLevel="1">
      <c r="B154" s="1648"/>
      <c r="C154" s="1646"/>
      <c r="D154" s="970" t="s">
        <v>385</v>
      </c>
      <c r="E154" s="920"/>
      <c r="F154" s="964"/>
      <c r="G154" s="965" t="s">
        <v>1281</v>
      </c>
      <c r="H154" s="966"/>
      <c r="I154" s="966"/>
      <c r="J154" s="966"/>
      <c r="K154" s="966"/>
      <c r="L154" s="966">
        <f t="shared" ca="1" si="47"/>
        <v>0</v>
      </c>
      <c r="M154" s="966">
        <f t="shared" ca="1" si="47"/>
        <v>0</v>
      </c>
      <c r="N154" s="966">
        <f t="shared" ca="1" si="47"/>
        <v>0</v>
      </c>
      <c r="O154" s="966">
        <f t="shared" ca="1" si="47"/>
        <v>0</v>
      </c>
      <c r="P154" s="966">
        <f t="shared" ca="1" si="47"/>
        <v>0</v>
      </c>
      <c r="Q154" s="966">
        <f t="shared" ca="1" si="47"/>
        <v>0</v>
      </c>
      <c r="R154" s="966">
        <f t="shared" ca="1" si="47"/>
        <v>0</v>
      </c>
      <c r="S154" s="966">
        <f t="shared" ca="1" si="47"/>
        <v>0</v>
      </c>
      <c r="T154" s="966">
        <f t="shared" ca="1" si="47"/>
        <v>0</v>
      </c>
      <c r="U154" s="966">
        <f t="shared" ca="1" si="47"/>
        <v>0</v>
      </c>
      <c r="V154" s="966">
        <f t="shared" ca="1" si="47"/>
        <v>0</v>
      </c>
      <c r="W154" s="966">
        <f t="shared" ca="1" si="47"/>
        <v>0</v>
      </c>
      <c r="X154" s="966">
        <f t="shared" ca="1" si="47"/>
        <v>0</v>
      </c>
      <c r="Y154" s="966">
        <f t="shared" ca="1" si="47"/>
        <v>0</v>
      </c>
      <c r="Z154" s="966">
        <f t="shared" ca="1" si="47"/>
        <v>0</v>
      </c>
      <c r="AA154" s="966">
        <f t="shared" ca="1" si="47"/>
        <v>0</v>
      </c>
      <c r="AB154" s="966" t="str">
        <f t="shared" ca="1" si="47"/>
        <v/>
      </c>
      <c r="AC154" s="966" t="str">
        <f t="shared" ca="1" si="47"/>
        <v/>
      </c>
      <c r="AD154" s="966" t="str">
        <f t="shared" ca="1" si="47"/>
        <v/>
      </c>
      <c r="AE154" s="966" t="str">
        <f t="shared" ca="1" si="47"/>
        <v/>
      </c>
      <c r="AF154" s="966" t="str">
        <f t="shared" ca="1" si="47"/>
        <v/>
      </c>
      <c r="AG154" s="966" t="str">
        <f t="shared" ca="1" si="47"/>
        <v/>
      </c>
      <c r="AH154" s="966" t="str">
        <f t="shared" ca="1" si="47"/>
        <v/>
      </c>
      <c r="AI154" s="966" t="str">
        <f t="shared" ca="1" si="47"/>
        <v/>
      </c>
      <c r="AJ154" s="966" t="str">
        <f t="shared" ca="1" si="47"/>
        <v/>
      </c>
      <c r="AK154" s="966" t="str">
        <f t="shared" ca="1" si="47"/>
        <v/>
      </c>
      <c r="AL154" s="966" t="str">
        <f t="shared" ca="1" si="47"/>
        <v/>
      </c>
      <c r="AM154" s="966" t="str">
        <f t="shared" ca="1" si="47"/>
        <v/>
      </c>
      <c r="AN154" s="966" t="str">
        <f t="shared" ca="1" si="47"/>
        <v/>
      </c>
      <c r="AO154" s="966" t="str">
        <f t="shared" ca="1" si="47"/>
        <v/>
      </c>
      <c r="AP154" s="966" t="str">
        <f t="shared" ca="1" si="47"/>
        <v/>
      </c>
      <c r="AQ154" s="966" t="str">
        <f t="shared" ca="1" si="47"/>
        <v/>
      </c>
      <c r="AR154" s="966" t="str">
        <f t="shared" ca="1" si="47"/>
        <v/>
      </c>
      <c r="AS154" s="966" t="str">
        <f t="shared" ca="1" si="47"/>
        <v/>
      </c>
      <c r="AT154" s="966" t="str">
        <f t="shared" ca="1" si="47"/>
        <v/>
      </c>
      <c r="AU154" s="966" t="str">
        <f t="shared" ca="1" si="47"/>
        <v/>
      </c>
      <c r="AV154" s="966" t="str">
        <f t="shared" ca="1" si="47"/>
        <v/>
      </c>
      <c r="AW154" s="966" t="str">
        <f t="shared" ca="1" si="47"/>
        <v/>
      </c>
      <c r="AX154" s="966" t="str">
        <f t="shared" ca="1" si="47"/>
        <v/>
      </c>
      <c r="AY154" s="966" t="str">
        <f t="shared" ca="1" si="47"/>
        <v/>
      </c>
      <c r="AZ154" s="966" t="str">
        <f t="shared" ca="1" si="47"/>
        <v/>
      </c>
      <c r="BA154" s="966" t="str">
        <f t="shared" ca="1" si="47"/>
        <v/>
      </c>
      <c r="BB154" s="966" t="str">
        <f t="shared" ca="1" si="47"/>
        <v/>
      </c>
      <c r="BC154" s="966" t="str">
        <f t="shared" ca="1" si="47"/>
        <v/>
      </c>
      <c r="BD154" s="966" t="str">
        <f t="shared" ca="1" si="47"/>
        <v/>
      </c>
      <c r="BE154" s="966" t="str">
        <f t="shared" ca="1" si="47"/>
        <v/>
      </c>
      <c r="BF154" s="966" t="str">
        <f t="shared" ca="1" si="47"/>
        <v/>
      </c>
      <c r="BG154" s="966" t="str">
        <f t="shared" ca="1" si="47"/>
        <v/>
      </c>
      <c r="BH154" s="966" t="str">
        <f t="shared" ca="1" si="47"/>
        <v/>
      </c>
      <c r="BI154" s="966" t="str">
        <f t="shared" ca="1" si="47"/>
        <v/>
      </c>
      <c r="BJ154" s="966" t="str">
        <f t="shared" ca="1" si="47"/>
        <v/>
      </c>
      <c r="BK154" s="966" t="str">
        <f t="shared" ca="1" si="47"/>
        <v/>
      </c>
      <c r="BL154" s="966" t="str">
        <f t="shared" ca="1" si="47"/>
        <v/>
      </c>
      <c r="BM154" s="966" t="str">
        <f t="shared" ca="1" si="47"/>
        <v/>
      </c>
      <c r="BN154" s="966" t="str">
        <f t="shared" ca="1" si="47"/>
        <v/>
      </c>
      <c r="BO154" s="966" t="str">
        <f t="shared" ca="1" si="47"/>
        <v/>
      </c>
    </row>
    <row r="155" spans="1:67" ht="20.100000000000001" hidden="1" customHeight="1" outlineLevel="1">
      <c r="B155" s="1648"/>
      <c r="C155" s="1646"/>
      <c r="D155" s="970" t="s">
        <v>386</v>
      </c>
      <c r="E155" s="972"/>
      <c r="F155" s="964"/>
      <c r="G155" s="965" t="s">
        <v>1281</v>
      </c>
      <c r="H155" s="966"/>
      <c r="I155" s="966"/>
      <c r="J155" s="966"/>
      <c r="K155" s="966"/>
      <c r="L155" s="966">
        <f t="shared" ca="1" si="47"/>
        <v>0</v>
      </c>
      <c r="M155" s="966">
        <f t="shared" ca="1" si="47"/>
        <v>0</v>
      </c>
      <c r="N155" s="966">
        <f t="shared" ca="1" si="47"/>
        <v>0</v>
      </c>
      <c r="O155" s="966">
        <f t="shared" ca="1" si="47"/>
        <v>0</v>
      </c>
      <c r="P155" s="966">
        <f t="shared" ca="1" si="47"/>
        <v>0</v>
      </c>
      <c r="Q155" s="966">
        <f t="shared" ca="1" si="47"/>
        <v>0</v>
      </c>
      <c r="R155" s="966">
        <f t="shared" ca="1" si="47"/>
        <v>0</v>
      </c>
      <c r="S155" s="966">
        <f t="shared" ca="1" si="47"/>
        <v>0</v>
      </c>
      <c r="T155" s="966">
        <f t="shared" ca="1" si="47"/>
        <v>0</v>
      </c>
      <c r="U155" s="966">
        <f t="shared" ca="1" si="47"/>
        <v>0</v>
      </c>
      <c r="V155" s="966">
        <f t="shared" ca="1" si="47"/>
        <v>0</v>
      </c>
      <c r="W155" s="966">
        <f t="shared" ca="1" si="47"/>
        <v>0</v>
      </c>
      <c r="X155" s="966">
        <f t="shared" ca="1" si="47"/>
        <v>0</v>
      </c>
      <c r="Y155" s="966">
        <f t="shared" ca="1" si="47"/>
        <v>0</v>
      </c>
      <c r="Z155" s="966">
        <f t="shared" ca="1" si="47"/>
        <v>0</v>
      </c>
      <c r="AA155" s="966">
        <f t="shared" ca="1" si="47"/>
        <v>0</v>
      </c>
      <c r="AB155" s="966" t="str">
        <f t="shared" ca="1" si="47"/>
        <v/>
      </c>
      <c r="AC155" s="966" t="str">
        <f t="shared" ca="1" si="47"/>
        <v/>
      </c>
      <c r="AD155" s="966" t="str">
        <f t="shared" ca="1" si="47"/>
        <v/>
      </c>
      <c r="AE155" s="966" t="str">
        <f t="shared" ca="1" si="47"/>
        <v/>
      </c>
      <c r="AF155" s="966" t="str">
        <f t="shared" ca="1" si="47"/>
        <v/>
      </c>
      <c r="AG155" s="966" t="str">
        <f t="shared" ca="1" si="47"/>
        <v/>
      </c>
      <c r="AH155" s="966" t="str">
        <f t="shared" ca="1" si="47"/>
        <v/>
      </c>
      <c r="AI155" s="966" t="str">
        <f t="shared" ca="1" si="47"/>
        <v/>
      </c>
      <c r="AJ155" s="966" t="str">
        <f t="shared" ca="1" si="47"/>
        <v/>
      </c>
      <c r="AK155" s="966" t="str">
        <f t="shared" ca="1" si="47"/>
        <v/>
      </c>
      <c r="AL155" s="966" t="str">
        <f t="shared" ca="1" si="47"/>
        <v/>
      </c>
      <c r="AM155" s="966" t="str">
        <f t="shared" ca="1" si="47"/>
        <v/>
      </c>
      <c r="AN155" s="966" t="str">
        <f t="shared" ca="1" si="47"/>
        <v/>
      </c>
      <c r="AO155" s="966" t="str">
        <f t="shared" ca="1" si="47"/>
        <v/>
      </c>
      <c r="AP155" s="966" t="str">
        <f t="shared" ca="1" si="47"/>
        <v/>
      </c>
      <c r="AQ155" s="966" t="str">
        <f t="shared" ref="AQ155:BO155" ca="1" si="48">AQ45</f>
        <v/>
      </c>
      <c r="AR155" s="966" t="str">
        <f t="shared" ca="1" si="48"/>
        <v/>
      </c>
      <c r="AS155" s="966" t="str">
        <f t="shared" ca="1" si="48"/>
        <v/>
      </c>
      <c r="AT155" s="966" t="str">
        <f t="shared" ca="1" si="48"/>
        <v/>
      </c>
      <c r="AU155" s="966" t="str">
        <f t="shared" ca="1" si="48"/>
        <v/>
      </c>
      <c r="AV155" s="966" t="str">
        <f t="shared" ca="1" si="48"/>
        <v/>
      </c>
      <c r="AW155" s="966" t="str">
        <f t="shared" ca="1" si="48"/>
        <v/>
      </c>
      <c r="AX155" s="966" t="str">
        <f t="shared" ca="1" si="48"/>
        <v/>
      </c>
      <c r="AY155" s="966" t="str">
        <f t="shared" ca="1" si="48"/>
        <v/>
      </c>
      <c r="AZ155" s="966" t="str">
        <f t="shared" ca="1" si="48"/>
        <v/>
      </c>
      <c r="BA155" s="966" t="str">
        <f t="shared" ca="1" si="48"/>
        <v/>
      </c>
      <c r="BB155" s="966" t="str">
        <f t="shared" ca="1" si="48"/>
        <v/>
      </c>
      <c r="BC155" s="966" t="str">
        <f t="shared" ca="1" si="48"/>
        <v/>
      </c>
      <c r="BD155" s="966" t="str">
        <f t="shared" ca="1" si="48"/>
        <v/>
      </c>
      <c r="BE155" s="966" t="str">
        <f t="shared" ca="1" si="48"/>
        <v/>
      </c>
      <c r="BF155" s="966" t="str">
        <f t="shared" ca="1" si="48"/>
        <v/>
      </c>
      <c r="BG155" s="966" t="str">
        <f t="shared" ca="1" si="48"/>
        <v/>
      </c>
      <c r="BH155" s="966" t="str">
        <f t="shared" ca="1" si="48"/>
        <v/>
      </c>
      <c r="BI155" s="966" t="str">
        <f t="shared" ca="1" si="48"/>
        <v/>
      </c>
      <c r="BJ155" s="966" t="str">
        <f t="shared" ca="1" si="48"/>
        <v/>
      </c>
      <c r="BK155" s="966" t="str">
        <f t="shared" ca="1" si="48"/>
        <v/>
      </c>
      <c r="BL155" s="966" t="str">
        <f t="shared" ca="1" si="48"/>
        <v/>
      </c>
      <c r="BM155" s="966" t="str">
        <f t="shared" ca="1" si="48"/>
        <v/>
      </c>
      <c r="BN155" s="966" t="str">
        <f t="shared" ca="1" si="48"/>
        <v/>
      </c>
      <c r="BO155" s="966" t="str">
        <f t="shared" ca="1" si="48"/>
        <v/>
      </c>
    </row>
    <row r="156" spans="1:67" ht="20.100000000000001" hidden="1" customHeight="1" outlineLevel="1">
      <c r="B156" s="1648"/>
      <c r="C156" s="1646"/>
      <c r="D156" s="970" t="s">
        <v>387</v>
      </c>
      <c r="E156" s="967"/>
      <c r="F156" s="964"/>
      <c r="G156" s="965" t="s">
        <v>1281</v>
      </c>
      <c r="H156" s="966"/>
      <c r="I156" s="966"/>
      <c r="J156" s="966"/>
      <c r="K156" s="966"/>
      <c r="L156" s="966">
        <f t="shared" ref="L156:BO160" ca="1" si="49">L46</f>
        <v>0</v>
      </c>
      <c r="M156" s="966">
        <f t="shared" ca="1" si="49"/>
        <v>0</v>
      </c>
      <c r="N156" s="966">
        <f t="shared" ca="1" si="49"/>
        <v>0</v>
      </c>
      <c r="O156" s="966">
        <f t="shared" ca="1" si="49"/>
        <v>0</v>
      </c>
      <c r="P156" s="966">
        <f t="shared" ca="1" si="49"/>
        <v>0</v>
      </c>
      <c r="Q156" s="966">
        <f t="shared" ca="1" si="49"/>
        <v>0</v>
      </c>
      <c r="R156" s="966">
        <f t="shared" ca="1" si="49"/>
        <v>0</v>
      </c>
      <c r="S156" s="966">
        <f t="shared" ca="1" si="49"/>
        <v>0</v>
      </c>
      <c r="T156" s="966">
        <f t="shared" ca="1" si="49"/>
        <v>0</v>
      </c>
      <c r="U156" s="966">
        <f t="shared" ca="1" si="49"/>
        <v>0</v>
      </c>
      <c r="V156" s="966">
        <f t="shared" ca="1" si="49"/>
        <v>0</v>
      </c>
      <c r="W156" s="966">
        <f t="shared" ca="1" si="49"/>
        <v>0</v>
      </c>
      <c r="X156" s="966">
        <f t="shared" ca="1" si="49"/>
        <v>0</v>
      </c>
      <c r="Y156" s="966">
        <f t="shared" ca="1" si="49"/>
        <v>0</v>
      </c>
      <c r="Z156" s="966">
        <f t="shared" ca="1" si="49"/>
        <v>0</v>
      </c>
      <c r="AA156" s="966">
        <f t="shared" ca="1" si="49"/>
        <v>0</v>
      </c>
      <c r="AB156" s="966" t="str">
        <f t="shared" ca="1" si="49"/>
        <v/>
      </c>
      <c r="AC156" s="966" t="str">
        <f t="shared" ca="1" si="49"/>
        <v/>
      </c>
      <c r="AD156" s="966" t="str">
        <f t="shared" ca="1" si="49"/>
        <v/>
      </c>
      <c r="AE156" s="966" t="str">
        <f t="shared" ca="1" si="49"/>
        <v/>
      </c>
      <c r="AF156" s="966" t="str">
        <f t="shared" ca="1" si="49"/>
        <v/>
      </c>
      <c r="AG156" s="966" t="str">
        <f t="shared" ca="1" si="49"/>
        <v/>
      </c>
      <c r="AH156" s="966" t="str">
        <f t="shared" ca="1" si="49"/>
        <v/>
      </c>
      <c r="AI156" s="966" t="str">
        <f t="shared" ca="1" si="49"/>
        <v/>
      </c>
      <c r="AJ156" s="966" t="str">
        <f t="shared" ca="1" si="49"/>
        <v/>
      </c>
      <c r="AK156" s="966" t="str">
        <f t="shared" ca="1" si="49"/>
        <v/>
      </c>
      <c r="AL156" s="966" t="str">
        <f t="shared" ca="1" si="49"/>
        <v/>
      </c>
      <c r="AM156" s="966" t="str">
        <f t="shared" ca="1" si="49"/>
        <v/>
      </c>
      <c r="AN156" s="966" t="str">
        <f t="shared" ca="1" si="49"/>
        <v/>
      </c>
      <c r="AO156" s="966" t="str">
        <f t="shared" ca="1" si="49"/>
        <v/>
      </c>
      <c r="AP156" s="966" t="str">
        <f t="shared" ca="1" si="49"/>
        <v/>
      </c>
      <c r="AQ156" s="966" t="str">
        <f t="shared" ca="1" si="49"/>
        <v/>
      </c>
      <c r="AR156" s="966" t="str">
        <f t="shared" ca="1" si="49"/>
        <v/>
      </c>
      <c r="AS156" s="966" t="str">
        <f t="shared" ca="1" si="49"/>
        <v/>
      </c>
      <c r="AT156" s="966" t="str">
        <f t="shared" ca="1" si="49"/>
        <v/>
      </c>
      <c r="AU156" s="966" t="str">
        <f t="shared" ca="1" si="49"/>
        <v/>
      </c>
      <c r="AV156" s="966" t="str">
        <f t="shared" ca="1" si="49"/>
        <v/>
      </c>
      <c r="AW156" s="966" t="str">
        <f t="shared" ca="1" si="49"/>
        <v/>
      </c>
      <c r="AX156" s="966" t="str">
        <f t="shared" ca="1" si="49"/>
        <v/>
      </c>
      <c r="AY156" s="966" t="str">
        <f t="shared" ca="1" si="49"/>
        <v/>
      </c>
      <c r="AZ156" s="966" t="str">
        <f t="shared" ca="1" si="49"/>
        <v/>
      </c>
      <c r="BA156" s="966" t="str">
        <f t="shared" ca="1" si="49"/>
        <v/>
      </c>
      <c r="BB156" s="966" t="str">
        <f t="shared" ca="1" si="49"/>
        <v/>
      </c>
      <c r="BC156" s="966" t="str">
        <f t="shared" ca="1" si="49"/>
        <v/>
      </c>
      <c r="BD156" s="966" t="str">
        <f t="shared" ca="1" si="49"/>
        <v/>
      </c>
      <c r="BE156" s="966" t="str">
        <f t="shared" ca="1" si="49"/>
        <v/>
      </c>
      <c r="BF156" s="966" t="str">
        <f t="shared" ca="1" si="49"/>
        <v/>
      </c>
      <c r="BG156" s="966" t="str">
        <f t="shared" ca="1" si="49"/>
        <v/>
      </c>
      <c r="BH156" s="966" t="str">
        <f t="shared" ca="1" si="49"/>
        <v/>
      </c>
      <c r="BI156" s="966" t="str">
        <f t="shared" ca="1" si="49"/>
        <v/>
      </c>
      <c r="BJ156" s="966" t="str">
        <f t="shared" ca="1" si="49"/>
        <v/>
      </c>
      <c r="BK156" s="966" t="str">
        <f t="shared" ca="1" si="49"/>
        <v/>
      </c>
      <c r="BL156" s="966" t="str">
        <f t="shared" ca="1" si="49"/>
        <v/>
      </c>
      <c r="BM156" s="966" t="str">
        <f t="shared" ca="1" si="49"/>
        <v/>
      </c>
      <c r="BN156" s="966" t="str">
        <f t="shared" ca="1" si="49"/>
        <v/>
      </c>
      <c r="BO156" s="966" t="str">
        <f t="shared" ca="1" si="49"/>
        <v/>
      </c>
    </row>
    <row r="157" spans="1:67" ht="20.100000000000001" hidden="1" customHeight="1" outlineLevel="1">
      <c r="B157" s="1649"/>
      <c r="C157" s="1646"/>
      <c r="D157" s="970" t="s">
        <v>388</v>
      </c>
      <c r="E157" s="920"/>
      <c r="F157" s="964"/>
      <c r="G157" s="965" t="s">
        <v>1281</v>
      </c>
      <c r="H157" s="966"/>
      <c r="I157" s="966"/>
      <c r="J157" s="966"/>
      <c r="K157" s="966"/>
      <c r="L157" s="966">
        <f t="shared" ca="1" si="49"/>
        <v>0</v>
      </c>
      <c r="M157" s="966">
        <f t="shared" ca="1" si="49"/>
        <v>0</v>
      </c>
      <c r="N157" s="966">
        <f t="shared" ca="1" si="49"/>
        <v>0</v>
      </c>
      <c r="O157" s="966">
        <f t="shared" ca="1" si="49"/>
        <v>0</v>
      </c>
      <c r="P157" s="966">
        <f t="shared" ca="1" si="49"/>
        <v>0</v>
      </c>
      <c r="Q157" s="966">
        <f t="shared" ca="1" si="49"/>
        <v>0</v>
      </c>
      <c r="R157" s="966">
        <f t="shared" ca="1" si="49"/>
        <v>0</v>
      </c>
      <c r="S157" s="966">
        <f t="shared" ca="1" si="49"/>
        <v>0</v>
      </c>
      <c r="T157" s="966">
        <f t="shared" ca="1" si="49"/>
        <v>0</v>
      </c>
      <c r="U157" s="966">
        <f t="shared" ca="1" si="49"/>
        <v>0</v>
      </c>
      <c r="V157" s="966">
        <f t="shared" ca="1" si="49"/>
        <v>0</v>
      </c>
      <c r="W157" s="966">
        <f t="shared" ca="1" si="49"/>
        <v>0</v>
      </c>
      <c r="X157" s="966">
        <f t="shared" ca="1" si="49"/>
        <v>0</v>
      </c>
      <c r="Y157" s="966">
        <f t="shared" ca="1" si="49"/>
        <v>0</v>
      </c>
      <c r="Z157" s="966">
        <f t="shared" ca="1" si="49"/>
        <v>0</v>
      </c>
      <c r="AA157" s="966">
        <f t="shared" ca="1" si="49"/>
        <v>0</v>
      </c>
      <c r="AB157" s="966" t="str">
        <f t="shared" ca="1" si="49"/>
        <v/>
      </c>
      <c r="AC157" s="966" t="str">
        <f t="shared" ca="1" si="49"/>
        <v/>
      </c>
      <c r="AD157" s="966" t="str">
        <f t="shared" ca="1" si="49"/>
        <v/>
      </c>
      <c r="AE157" s="966" t="str">
        <f t="shared" ca="1" si="49"/>
        <v/>
      </c>
      <c r="AF157" s="966" t="str">
        <f t="shared" ca="1" si="49"/>
        <v/>
      </c>
      <c r="AG157" s="966" t="str">
        <f t="shared" ca="1" si="49"/>
        <v/>
      </c>
      <c r="AH157" s="966" t="str">
        <f t="shared" ca="1" si="49"/>
        <v/>
      </c>
      <c r="AI157" s="966" t="str">
        <f t="shared" ca="1" si="49"/>
        <v/>
      </c>
      <c r="AJ157" s="966" t="str">
        <f t="shared" ca="1" si="49"/>
        <v/>
      </c>
      <c r="AK157" s="966" t="str">
        <f t="shared" ca="1" si="49"/>
        <v/>
      </c>
      <c r="AL157" s="966" t="str">
        <f t="shared" ca="1" si="49"/>
        <v/>
      </c>
      <c r="AM157" s="966" t="str">
        <f t="shared" ca="1" si="49"/>
        <v/>
      </c>
      <c r="AN157" s="966" t="str">
        <f t="shared" ca="1" si="49"/>
        <v/>
      </c>
      <c r="AO157" s="966" t="str">
        <f t="shared" ca="1" si="49"/>
        <v/>
      </c>
      <c r="AP157" s="966" t="str">
        <f t="shared" ca="1" si="49"/>
        <v/>
      </c>
      <c r="AQ157" s="966" t="str">
        <f t="shared" ca="1" si="49"/>
        <v/>
      </c>
      <c r="AR157" s="966" t="str">
        <f t="shared" ca="1" si="49"/>
        <v/>
      </c>
      <c r="AS157" s="966" t="str">
        <f t="shared" ca="1" si="49"/>
        <v/>
      </c>
      <c r="AT157" s="966" t="str">
        <f t="shared" ca="1" si="49"/>
        <v/>
      </c>
      <c r="AU157" s="966" t="str">
        <f t="shared" ca="1" si="49"/>
        <v/>
      </c>
      <c r="AV157" s="966" t="str">
        <f t="shared" ca="1" si="49"/>
        <v/>
      </c>
      <c r="AW157" s="966" t="str">
        <f t="shared" ca="1" si="49"/>
        <v/>
      </c>
      <c r="AX157" s="966" t="str">
        <f t="shared" ca="1" si="49"/>
        <v/>
      </c>
      <c r="AY157" s="966" t="str">
        <f t="shared" ca="1" si="49"/>
        <v/>
      </c>
      <c r="AZ157" s="966" t="str">
        <f t="shared" ca="1" si="49"/>
        <v/>
      </c>
      <c r="BA157" s="966" t="str">
        <f t="shared" ca="1" si="49"/>
        <v/>
      </c>
      <c r="BB157" s="966" t="str">
        <f t="shared" ca="1" si="49"/>
        <v/>
      </c>
      <c r="BC157" s="966" t="str">
        <f t="shared" ca="1" si="49"/>
        <v/>
      </c>
      <c r="BD157" s="966" t="str">
        <f t="shared" ca="1" si="49"/>
        <v/>
      </c>
      <c r="BE157" s="966" t="str">
        <f t="shared" ca="1" si="49"/>
        <v/>
      </c>
      <c r="BF157" s="966" t="str">
        <f t="shared" ca="1" si="49"/>
        <v/>
      </c>
      <c r="BG157" s="966" t="str">
        <f t="shared" ca="1" si="49"/>
        <v/>
      </c>
      <c r="BH157" s="966" t="str">
        <f t="shared" ca="1" si="49"/>
        <v/>
      </c>
      <c r="BI157" s="966" t="str">
        <f t="shared" ca="1" si="49"/>
        <v/>
      </c>
      <c r="BJ157" s="966" t="str">
        <f t="shared" ca="1" si="49"/>
        <v/>
      </c>
      <c r="BK157" s="966" t="str">
        <f t="shared" ca="1" si="49"/>
        <v/>
      </c>
      <c r="BL157" s="966" t="str">
        <f t="shared" ca="1" si="49"/>
        <v/>
      </c>
      <c r="BM157" s="966" t="str">
        <f t="shared" ca="1" si="49"/>
        <v/>
      </c>
      <c r="BN157" s="966" t="str">
        <f t="shared" ca="1" si="49"/>
        <v/>
      </c>
      <c r="BO157" s="966" t="str">
        <f t="shared" ca="1" si="49"/>
        <v/>
      </c>
    </row>
    <row r="158" spans="1:67" ht="20.100000000000001" hidden="1" customHeight="1" outlineLevel="1">
      <c r="B158" s="1649"/>
      <c r="C158" s="1646"/>
      <c r="D158" s="970" t="s">
        <v>389</v>
      </c>
      <c r="E158" s="920"/>
      <c r="F158" s="964"/>
      <c r="G158" s="965" t="s">
        <v>1281</v>
      </c>
      <c r="H158" s="966"/>
      <c r="I158" s="966"/>
      <c r="J158" s="966"/>
      <c r="K158" s="966"/>
      <c r="L158" s="966">
        <f t="shared" ca="1" si="49"/>
        <v>0</v>
      </c>
      <c r="M158" s="966">
        <f t="shared" ca="1" si="49"/>
        <v>0</v>
      </c>
      <c r="N158" s="966">
        <f t="shared" ca="1" si="49"/>
        <v>0</v>
      </c>
      <c r="O158" s="966">
        <f t="shared" ca="1" si="49"/>
        <v>0</v>
      </c>
      <c r="P158" s="966">
        <f t="shared" ca="1" si="49"/>
        <v>0</v>
      </c>
      <c r="Q158" s="966">
        <f t="shared" ca="1" si="49"/>
        <v>0</v>
      </c>
      <c r="R158" s="966">
        <f t="shared" ca="1" si="49"/>
        <v>0</v>
      </c>
      <c r="S158" s="966">
        <f t="shared" ca="1" si="49"/>
        <v>0</v>
      </c>
      <c r="T158" s="966">
        <f t="shared" ca="1" si="49"/>
        <v>0</v>
      </c>
      <c r="U158" s="966">
        <f t="shared" ca="1" si="49"/>
        <v>0</v>
      </c>
      <c r="V158" s="966">
        <f t="shared" ca="1" si="49"/>
        <v>0</v>
      </c>
      <c r="W158" s="966">
        <f t="shared" ca="1" si="49"/>
        <v>0</v>
      </c>
      <c r="X158" s="966">
        <f t="shared" ca="1" si="49"/>
        <v>0</v>
      </c>
      <c r="Y158" s="966">
        <f t="shared" ca="1" si="49"/>
        <v>0</v>
      </c>
      <c r="Z158" s="966">
        <f t="shared" ca="1" si="49"/>
        <v>0</v>
      </c>
      <c r="AA158" s="966">
        <f t="shared" ca="1" si="49"/>
        <v>0</v>
      </c>
      <c r="AB158" s="966" t="str">
        <f t="shared" ca="1" si="49"/>
        <v/>
      </c>
      <c r="AC158" s="966" t="str">
        <f t="shared" ca="1" si="49"/>
        <v/>
      </c>
      <c r="AD158" s="966" t="str">
        <f t="shared" ca="1" si="49"/>
        <v/>
      </c>
      <c r="AE158" s="966" t="str">
        <f t="shared" ca="1" si="49"/>
        <v/>
      </c>
      <c r="AF158" s="966" t="str">
        <f t="shared" ca="1" si="49"/>
        <v/>
      </c>
      <c r="AG158" s="966" t="str">
        <f t="shared" ca="1" si="49"/>
        <v/>
      </c>
      <c r="AH158" s="966" t="str">
        <f t="shared" ca="1" si="49"/>
        <v/>
      </c>
      <c r="AI158" s="966" t="str">
        <f t="shared" ca="1" si="49"/>
        <v/>
      </c>
      <c r="AJ158" s="966" t="str">
        <f t="shared" ca="1" si="49"/>
        <v/>
      </c>
      <c r="AK158" s="966" t="str">
        <f t="shared" ca="1" si="49"/>
        <v/>
      </c>
      <c r="AL158" s="966" t="str">
        <f t="shared" ca="1" si="49"/>
        <v/>
      </c>
      <c r="AM158" s="966" t="str">
        <f t="shared" ca="1" si="49"/>
        <v/>
      </c>
      <c r="AN158" s="966" t="str">
        <f t="shared" ca="1" si="49"/>
        <v/>
      </c>
      <c r="AO158" s="966" t="str">
        <f t="shared" ca="1" si="49"/>
        <v/>
      </c>
      <c r="AP158" s="966" t="str">
        <f t="shared" ca="1" si="49"/>
        <v/>
      </c>
      <c r="AQ158" s="966" t="str">
        <f t="shared" ca="1" si="49"/>
        <v/>
      </c>
      <c r="AR158" s="966" t="str">
        <f t="shared" ca="1" si="49"/>
        <v/>
      </c>
      <c r="AS158" s="966" t="str">
        <f t="shared" ca="1" si="49"/>
        <v/>
      </c>
      <c r="AT158" s="966" t="str">
        <f t="shared" ca="1" si="49"/>
        <v/>
      </c>
      <c r="AU158" s="966" t="str">
        <f t="shared" ca="1" si="49"/>
        <v/>
      </c>
      <c r="AV158" s="966" t="str">
        <f t="shared" ca="1" si="49"/>
        <v/>
      </c>
      <c r="AW158" s="966" t="str">
        <f t="shared" ca="1" si="49"/>
        <v/>
      </c>
      <c r="AX158" s="966" t="str">
        <f t="shared" ca="1" si="49"/>
        <v/>
      </c>
      <c r="AY158" s="966" t="str">
        <f t="shared" ca="1" si="49"/>
        <v/>
      </c>
      <c r="AZ158" s="966" t="str">
        <f t="shared" ca="1" si="49"/>
        <v/>
      </c>
      <c r="BA158" s="966" t="str">
        <f t="shared" ca="1" si="49"/>
        <v/>
      </c>
      <c r="BB158" s="966" t="str">
        <f t="shared" ca="1" si="49"/>
        <v/>
      </c>
      <c r="BC158" s="966" t="str">
        <f t="shared" ca="1" si="49"/>
        <v/>
      </c>
      <c r="BD158" s="966" t="str">
        <f t="shared" ca="1" si="49"/>
        <v/>
      </c>
      <c r="BE158" s="966" t="str">
        <f t="shared" ca="1" si="49"/>
        <v/>
      </c>
      <c r="BF158" s="966" t="str">
        <f t="shared" ca="1" si="49"/>
        <v/>
      </c>
      <c r="BG158" s="966" t="str">
        <f t="shared" ca="1" si="49"/>
        <v/>
      </c>
      <c r="BH158" s="966" t="str">
        <f t="shared" ca="1" si="49"/>
        <v/>
      </c>
      <c r="BI158" s="966" t="str">
        <f t="shared" ca="1" si="49"/>
        <v/>
      </c>
      <c r="BJ158" s="966" t="str">
        <f t="shared" ca="1" si="49"/>
        <v/>
      </c>
      <c r="BK158" s="966" t="str">
        <f t="shared" ca="1" si="49"/>
        <v/>
      </c>
      <c r="BL158" s="966" t="str">
        <f t="shared" ca="1" si="49"/>
        <v/>
      </c>
      <c r="BM158" s="966" t="str">
        <f t="shared" ca="1" si="49"/>
        <v/>
      </c>
      <c r="BN158" s="966" t="str">
        <f t="shared" ca="1" si="49"/>
        <v/>
      </c>
      <c r="BO158" s="966" t="str">
        <f t="shared" ca="1" si="49"/>
        <v/>
      </c>
    </row>
    <row r="159" spans="1:67" ht="20.100000000000001" hidden="1" customHeight="1" outlineLevel="1">
      <c r="B159" s="1649"/>
      <c r="C159" s="1646"/>
      <c r="D159" s="970" t="s">
        <v>390</v>
      </c>
      <c r="E159" s="920"/>
      <c r="F159" s="964"/>
      <c r="G159" s="965" t="s">
        <v>1281</v>
      </c>
      <c r="H159" s="966"/>
      <c r="I159" s="966"/>
      <c r="J159" s="966"/>
      <c r="K159" s="966"/>
      <c r="L159" s="966">
        <f t="shared" ca="1" si="49"/>
        <v>0</v>
      </c>
      <c r="M159" s="966">
        <f t="shared" ca="1" si="49"/>
        <v>0</v>
      </c>
      <c r="N159" s="966">
        <f t="shared" ca="1" si="49"/>
        <v>0</v>
      </c>
      <c r="O159" s="966">
        <f t="shared" ca="1" si="49"/>
        <v>0</v>
      </c>
      <c r="P159" s="966">
        <f t="shared" ca="1" si="49"/>
        <v>0</v>
      </c>
      <c r="Q159" s="966">
        <f t="shared" ca="1" si="49"/>
        <v>0</v>
      </c>
      <c r="R159" s="966">
        <f t="shared" ca="1" si="49"/>
        <v>0</v>
      </c>
      <c r="S159" s="966">
        <f t="shared" ca="1" si="49"/>
        <v>0</v>
      </c>
      <c r="T159" s="966">
        <f t="shared" ca="1" si="49"/>
        <v>0</v>
      </c>
      <c r="U159" s="966">
        <f t="shared" ca="1" si="49"/>
        <v>0</v>
      </c>
      <c r="V159" s="966">
        <f t="shared" ca="1" si="49"/>
        <v>0</v>
      </c>
      <c r="W159" s="966">
        <f t="shared" ca="1" si="49"/>
        <v>0</v>
      </c>
      <c r="X159" s="966">
        <f t="shared" ca="1" si="49"/>
        <v>0</v>
      </c>
      <c r="Y159" s="966">
        <f t="shared" ca="1" si="49"/>
        <v>0</v>
      </c>
      <c r="Z159" s="966">
        <f t="shared" ca="1" si="49"/>
        <v>0</v>
      </c>
      <c r="AA159" s="966">
        <f t="shared" ca="1" si="49"/>
        <v>0</v>
      </c>
      <c r="AB159" s="966" t="str">
        <f t="shared" ca="1" si="49"/>
        <v/>
      </c>
      <c r="AC159" s="966" t="str">
        <f t="shared" ca="1" si="49"/>
        <v/>
      </c>
      <c r="AD159" s="966" t="str">
        <f t="shared" ca="1" si="49"/>
        <v/>
      </c>
      <c r="AE159" s="966" t="str">
        <f t="shared" ca="1" si="49"/>
        <v/>
      </c>
      <c r="AF159" s="966" t="str">
        <f t="shared" ca="1" si="49"/>
        <v/>
      </c>
      <c r="AG159" s="966" t="str">
        <f t="shared" ca="1" si="49"/>
        <v/>
      </c>
      <c r="AH159" s="966" t="str">
        <f t="shared" ca="1" si="49"/>
        <v/>
      </c>
      <c r="AI159" s="966" t="str">
        <f t="shared" ca="1" si="49"/>
        <v/>
      </c>
      <c r="AJ159" s="966" t="str">
        <f t="shared" ca="1" si="49"/>
        <v/>
      </c>
      <c r="AK159" s="966" t="str">
        <f t="shared" ca="1" si="49"/>
        <v/>
      </c>
      <c r="AL159" s="966" t="str">
        <f t="shared" ca="1" si="49"/>
        <v/>
      </c>
      <c r="AM159" s="966" t="str">
        <f t="shared" ca="1" si="49"/>
        <v/>
      </c>
      <c r="AN159" s="966" t="str">
        <f t="shared" ca="1" si="49"/>
        <v/>
      </c>
      <c r="AO159" s="966" t="str">
        <f t="shared" ca="1" si="49"/>
        <v/>
      </c>
      <c r="AP159" s="966" t="str">
        <f t="shared" ca="1" si="49"/>
        <v/>
      </c>
      <c r="AQ159" s="966" t="str">
        <f t="shared" ca="1" si="49"/>
        <v/>
      </c>
      <c r="AR159" s="966" t="str">
        <f t="shared" ca="1" si="49"/>
        <v/>
      </c>
      <c r="AS159" s="966" t="str">
        <f t="shared" ca="1" si="49"/>
        <v/>
      </c>
      <c r="AT159" s="966" t="str">
        <f t="shared" ca="1" si="49"/>
        <v/>
      </c>
      <c r="AU159" s="966" t="str">
        <f t="shared" ca="1" si="49"/>
        <v/>
      </c>
      <c r="AV159" s="966" t="str">
        <f t="shared" ca="1" si="49"/>
        <v/>
      </c>
      <c r="AW159" s="966" t="str">
        <f t="shared" ca="1" si="49"/>
        <v/>
      </c>
      <c r="AX159" s="966" t="str">
        <f t="shared" ca="1" si="49"/>
        <v/>
      </c>
      <c r="AY159" s="966" t="str">
        <f t="shared" ca="1" si="49"/>
        <v/>
      </c>
      <c r="AZ159" s="966" t="str">
        <f t="shared" ca="1" si="49"/>
        <v/>
      </c>
      <c r="BA159" s="966" t="str">
        <f t="shared" ca="1" si="49"/>
        <v/>
      </c>
      <c r="BB159" s="966" t="str">
        <f t="shared" ca="1" si="49"/>
        <v/>
      </c>
      <c r="BC159" s="966" t="str">
        <f t="shared" ca="1" si="49"/>
        <v/>
      </c>
      <c r="BD159" s="966" t="str">
        <f t="shared" ca="1" si="49"/>
        <v/>
      </c>
      <c r="BE159" s="966" t="str">
        <f t="shared" ca="1" si="49"/>
        <v/>
      </c>
      <c r="BF159" s="966" t="str">
        <f t="shared" ca="1" si="49"/>
        <v/>
      </c>
      <c r="BG159" s="966" t="str">
        <f t="shared" ca="1" si="49"/>
        <v/>
      </c>
      <c r="BH159" s="966" t="str">
        <f t="shared" ca="1" si="49"/>
        <v/>
      </c>
      <c r="BI159" s="966" t="str">
        <f t="shared" ca="1" si="49"/>
        <v/>
      </c>
      <c r="BJ159" s="966" t="str">
        <f t="shared" ca="1" si="49"/>
        <v/>
      </c>
      <c r="BK159" s="966" t="str">
        <f t="shared" ca="1" si="49"/>
        <v/>
      </c>
      <c r="BL159" s="966" t="str">
        <f t="shared" ca="1" si="49"/>
        <v/>
      </c>
      <c r="BM159" s="966" t="str">
        <f t="shared" ca="1" si="49"/>
        <v/>
      </c>
      <c r="BN159" s="966" t="str">
        <f t="shared" ca="1" si="49"/>
        <v/>
      </c>
      <c r="BO159" s="966" t="str">
        <f t="shared" ca="1" si="49"/>
        <v/>
      </c>
    </row>
    <row r="160" spans="1:67" ht="20.100000000000001" hidden="1" customHeight="1" outlineLevel="1">
      <c r="B160" s="1648"/>
      <c r="C160" s="1646"/>
      <c r="D160" s="920" t="s">
        <v>391</v>
      </c>
      <c r="E160" s="920"/>
      <c r="F160" s="964"/>
      <c r="G160" s="965" t="s">
        <v>1281</v>
      </c>
      <c r="H160" s="966"/>
      <c r="I160" s="966"/>
      <c r="J160" s="966"/>
      <c r="K160" s="966"/>
      <c r="L160" s="966">
        <f t="shared" ca="1" si="49"/>
        <v>0</v>
      </c>
      <c r="M160" s="966">
        <f t="shared" ca="1" si="49"/>
        <v>0</v>
      </c>
      <c r="N160" s="966">
        <f t="shared" ca="1" si="49"/>
        <v>0</v>
      </c>
      <c r="O160" s="966">
        <f t="shared" ca="1" si="49"/>
        <v>0</v>
      </c>
      <c r="P160" s="966">
        <f t="shared" ca="1" si="49"/>
        <v>0</v>
      </c>
      <c r="Q160" s="966">
        <f t="shared" ca="1" si="49"/>
        <v>0</v>
      </c>
      <c r="R160" s="966">
        <f t="shared" ca="1" si="49"/>
        <v>0</v>
      </c>
      <c r="S160" s="966">
        <f t="shared" ca="1" si="49"/>
        <v>0</v>
      </c>
      <c r="T160" s="966">
        <f t="shared" ca="1" si="49"/>
        <v>0</v>
      </c>
      <c r="U160" s="966">
        <f t="shared" ca="1" si="49"/>
        <v>0</v>
      </c>
      <c r="V160" s="966">
        <f t="shared" ca="1" si="49"/>
        <v>0</v>
      </c>
      <c r="W160" s="966">
        <f t="shared" ca="1" si="49"/>
        <v>0</v>
      </c>
      <c r="X160" s="966">
        <f t="shared" ca="1" si="49"/>
        <v>0</v>
      </c>
      <c r="Y160" s="966">
        <f t="shared" ca="1" si="49"/>
        <v>0</v>
      </c>
      <c r="Z160" s="966">
        <f t="shared" ca="1" si="49"/>
        <v>0</v>
      </c>
      <c r="AA160" s="966">
        <f t="shared" ca="1" si="49"/>
        <v>0</v>
      </c>
      <c r="AB160" s="966" t="str">
        <f t="shared" ca="1" si="49"/>
        <v/>
      </c>
      <c r="AC160" s="966" t="str">
        <f t="shared" ca="1" si="49"/>
        <v/>
      </c>
      <c r="AD160" s="966" t="str">
        <f t="shared" ca="1" si="49"/>
        <v/>
      </c>
      <c r="AE160" s="966" t="str">
        <f t="shared" ca="1" si="49"/>
        <v/>
      </c>
      <c r="AF160" s="966" t="str">
        <f t="shared" ca="1" si="49"/>
        <v/>
      </c>
      <c r="AG160" s="966" t="str">
        <f t="shared" ca="1" si="49"/>
        <v/>
      </c>
      <c r="AH160" s="966" t="str">
        <f t="shared" ca="1" si="49"/>
        <v/>
      </c>
      <c r="AI160" s="966" t="str">
        <f t="shared" ca="1" si="49"/>
        <v/>
      </c>
      <c r="AJ160" s="966" t="str">
        <f t="shared" ca="1" si="49"/>
        <v/>
      </c>
      <c r="AK160" s="966" t="str">
        <f t="shared" ca="1" si="49"/>
        <v/>
      </c>
      <c r="AL160" s="966" t="str">
        <f t="shared" ca="1" si="49"/>
        <v/>
      </c>
      <c r="AM160" s="966" t="str">
        <f t="shared" ca="1" si="49"/>
        <v/>
      </c>
      <c r="AN160" s="966" t="str">
        <f t="shared" ca="1" si="49"/>
        <v/>
      </c>
      <c r="AO160" s="966" t="str">
        <f t="shared" ca="1" si="49"/>
        <v/>
      </c>
      <c r="AP160" s="966" t="str">
        <f t="shared" ca="1" si="49"/>
        <v/>
      </c>
      <c r="AQ160" s="966" t="str">
        <f t="shared" ref="AQ160:BO160" ca="1" si="50">AQ50</f>
        <v/>
      </c>
      <c r="AR160" s="966" t="str">
        <f t="shared" ca="1" si="50"/>
        <v/>
      </c>
      <c r="AS160" s="966" t="str">
        <f t="shared" ca="1" si="50"/>
        <v/>
      </c>
      <c r="AT160" s="966" t="str">
        <f t="shared" ca="1" si="50"/>
        <v/>
      </c>
      <c r="AU160" s="966" t="str">
        <f t="shared" ca="1" si="50"/>
        <v/>
      </c>
      <c r="AV160" s="966" t="str">
        <f t="shared" ca="1" si="50"/>
        <v/>
      </c>
      <c r="AW160" s="966" t="str">
        <f t="shared" ca="1" si="50"/>
        <v/>
      </c>
      <c r="AX160" s="966" t="str">
        <f t="shared" ca="1" si="50"/>
        <v/>
      </c>
      <c r="AY160" s="966" t="str">
        <f t="shared" ca="1" si="50"/>
        <v/>
      </c>
      <c r="AZ160" s="966" t="str">
        <f t="shared" ca="1" si="50"/>
        <v/>
      </c>
      <c r="BA160" s="966" t="str">
        <f t="shared" ca="1" si="50"/>
        <v/>
      </c>
      <c r="BB160" s="966" t="str">
        <f t="shared" ca="1" si="50"/>
        <v/>
      </c>
      <c r="BC160" s="966" t="str">
        <f t="shared" ca="1" si="50"/>
        <v/>
      </c>
      <c r="BD160" s="966" t="str">
        <f t="shared" ca="1" si="50"/>
        <v/>
      </c>
      <c r="BE160" s="966" t="str">
        <f t="shared" ca="1" si="50"/>
        <v/>
      </c>
      <c r="BF160" s="966" t="str">
        <f t="shared" ca="1" si="50"/>
        <v/>
      </c>
      <c r="BG160" s="966" t="str">
        <f t="shared" ca="1" si="50"/>
        <v/>
      </c>
      <c r="BH160" s="966" t="str">
        <f t="shared" ca="1" si="50"/>
        <v/>
      </c>
      <c r="BI160" s="966" t="str">
        <f t="shared" ca="1" si="50"/>
        <v/>
      </c>
      <c r="BJ160" s="966" t="str">
        <f t="shared" ca="1" si="50"/>
        <v/>
      </c>
      <c r="BK160" s="966" t="str">
        <f t="shared" ca="1" si="50"/>
        <v/>
      </c>
      <c r="BL160" s="966" t="str">
        <f t="shared" ca="1" si="50"/>
        <v/>
      </c>
      <c r="BM160" s="966" t="str">
        <f t="shared" ca="1" si="50"/>
        <v/>
      </c>
      <c r="BN160" s="966" t="str">
        <f t="shared" ca="1" si="50"/>
        <v/>
      </c>
      <c r="BO160" s="966" t="str">
        <f t="shared" ca="1" si="50"/>
        <v/>
      </c>
    </row>
    <row r="161" spans="1:68" ht="20.100000000000001" hidden="1" customHeight="1" outlineLevel="1">
      <c r="B161" s="1648"/>
      <c r="C161" s="1646"/>
      <c r="D161" s="920" t="s">
        <v>392</v>
      </c>
      <c r="E161" s="920"/>
      <c r="F161" s="964"/>
      <c r="G161" s="965" t="s">
        <v>1281</v>
      </c>
      <c r="H161" s="966"/>
      <c r="I161" s="966"/>
      <c r="J161" s="966"/>
      <c r="K161" s="966"/>
      <c r="L161" s="966">
        <f t="shared" ref="L161:BO165" ca="1" si="51">L51</f>
        <v>0</v>
      </c>
      <c r="M161" s="966">
        <f t="shared" ca="1" si="51"/>
        <v>0</v>
      </c>
      <c r="N161" s="966">
        <f t="shared" ca="1" si="51"/>
        <v>0</v>
      </c>
      <c r="O161" s="966">
        <f t="shared" ca="1" si="51"/>
        <v>0</v>
      </c>
      <c r="P161" s="966">
        <f t="shared" ca="1" si="51"/>
        <v>0</v>
      </c>
      <c r="Q161" s="966">
        <f t="shared" ca="1" si="51"/>
        <v>0</v>
      </c>
      <c r="R161" s="966">
        <f t="shared" ca="1" si="51"/>
        <v>0</v>
      </c>
      <c r="S161" s="966">
        <f t="shared" ca="1" si="51"/>
        <v>0</v>
      </c>
      <c r="T161" s="966">
        <f t="shared" ca="1" si="51"/>
        <v>0</v>
      </c>
      <c r="U161" s="966">
        <f t="shared" ca="1" si="51"/>
        <v>0</v>
      </c>
      <c r="V161" s="966">
        <f t="shared" ca="1" si="51"/>
        <v>0</v>
      </c>
      <c r="W161" s="966">
        <f t="shared" ca="1" si="51"/>
        <v>0</v>
      </c>
      <c r="X161" s="966">
        <f t="shared" ca="1" si="51"/>
        <v>0</v>
      </c>
      <c r="Y161" s="966">
        <f t="shared" ca="1" si="51"/>
        <v>0</v>
      </c>
      <c r="Z161" s="966">
        <f t="shared" ca="1" si="51"/>
        <v>0</v>
      </c>
      <c r="AA161" s="966">
        <f t="shared" ca="1" si="51"/>
        <v>0</v>
      </c>
      <c r="AB161" s="966" t="str">
        <f t="shared" ca="1" si="51"/>
        <v/>
      </c>
      <c r="AC161" s="966" t="str">
        <f t="shared" ca="1" si="51"/>
        <v/>
      </c>
      <c r="AD161" s="966" t="str">
        <f t="shared" ca="1" si="51"/>
        <v/>
      </c>
      <c r="AE161" s="966" t="str">
        <f t="shared" ca="1" si="51"/>
        <v/>
      </c>
      <c r="AF161" s="966" t="str">
        <f t="shared" ca="1" si="51"/>
        <v/>
      </c>
      <c r="AG161" s="966" t="str">
        <f t="shared" ca="1" si="51"/>
        <v/>
      </c>
      <c r="AH161" s="966" t="str">
        <f t="shared" ca="1" si="51"/>
        <v/>
      </c>
      <c r="AI161" s="966" t="str">
        <f t="shared" ca="1" si="51"/>
        <v/>
      </c>
      <c r="AJ161" s="966" t="str">
        <f t="shared" ca="1" si="51"/>
        <v/>
      </c>
      <c r="AK161" s="966" t="str">
        <f t="shared" ca="1" si="51"/>
        <v/>
      </c>
      <c r="AL161" s="966" t="str">
        <f t="shared" ca="1" si="51"/>
        <v/>
      </c>
      <c r="AM161" s="966" t="str">
        <f t="shared" ca="1" si="51"/>
        <v/>
      </c>
      <c r="AN161" s="966" t="str">
        <f t="shared" ca="1" si="51"/>
        <v/>
      </c>
      <c r="AO161" s="966" t="str">
        <f t="shared" ca="1" si="51"/>
        <v/>
      </c>
      <c r="AP161" s="966" t="str">
        <f t="shared" ca="1" si="51"/>
        <v/>
      </c>
      <c r="AQ161" s="966" t="str">
        <f t="shared" ca="1" si="51"/>
        <v/>
      </c>
      <c r="AR161" s="966" t="str">
        <f t="shared" ca="1" si="51"/>
        <v/>
      </c>
      <c r="AS161" s="966" t="str">
        <f t="shared" ca="1" si="51"/>
        <v/>
      </c>
      <c r="AT161" s="966" t="str">
        <f t="shared" ca="1" si="51"/>
        <v/>
      </c>
      <c r="AU161" s="966" t="str">
        <f t="shared" ca="1" si="51"/>
        <v/>
      </c>
      <c r="AV161" s="966" t="str">
        <f t="shared" ca="1" si="51"/>
        <v/>
      </c>
      <c r="AW161" s="966" t="str">
        <f t="shared" ca="1" si="51"/>
        <v/>
      </c>
      <c r="AX161" s="966" t="str">
        <f t="shared" ca="1" si="51"/>
        <v/>
      </c>
      <c r="AY161" s="966" t="str">
        <f t="shared" ca="1" si="51"/>
        <v/>
      </c>
      <c r="AZ161" s="966" t="str">
        <f t="shared" ca="1" si="51"/>
        <v/>
      </c>
      <c r="BA161" s="966" t="str">
        <f t="shared" ca="1" si="51"/>
        <v/>
      </c>
      <c r="BB161" s="966" t="str">
        <f t="shared" ca="1" si="51"/>
        <v/>
      </c>
      <c r="BC161" s="966" t="str">
        <f t="shared" ca="1" si="51"/>
        <v/>
      </c>
      <c r="BD161" s="966" t="str">
        <f t="shared" ca="1" si="51"/>
        <v/>
      </c>
      <c r="BE161" s="966" t="str">
        <f t="shared" ca="1" si="51"/>
        <v/>
      </c>
      <c r="BF161" s="966" t="str">
        <f t="shared" ca="1" si="51"/>
        <v/>
      </c>
      <c r="BG161" s="966" t="str">
        <f t="shared" ca="1" si="51"/>
        <v/>
      </c>
      <c r="BH161" s="966" t="str">
        <f t="shared" ca="1" si="51"/>
        <v/>
      </c>
      <c r="BI161" s="966" t="str">
        <f t="shared" ca="1" si="51"/>
        <v/>
      </c>
      <c r="BJ161" s="966" t="str">
        <f t="shared" ca="1" si="51"/>
        <v/>
      </c>
      <c r="BK161" s="966" t="str">
        <f t="shared" ca="1" si="51"/>
        <v/>
      </c>
      <c r="BL161" s="966" t="str">
        <f t="shared" ca="1" si="51"/>
        <v/>
      </c>
      <c r="BM161" s="966" t="str">
        <f t="shared" ca="1" si="51"/>
        <v/>
      </c>
      <c r="BN161" s="966" t="str">
        <f t="shared" ca="1" si="51"/>
        <v/>
      </c>
      <c r="BO161" s="966" t="str">
        <f t="shared" ca="1" si="51"/>
        <v/>
      </c>
    </row>
    <row r="162" spans="1:68" ht="20.100000000000001" hidden="1" customHeight="1" outlineLevel="1">
      <c r="B162" s="1648"/>
      <c r="C162" s="1646"/>
      <c r="D162" s="920" t="s">
        <v>393</v>
      </c>
      <c r="E162" s="920"/>
      <c r="F162" s="964"/>
      <c r="G162" s="965" t="s">
        <v>1281</v>
      </c>
      <c r="H162" s="966"/>
      <c r="I162" s="966"/>
      <c r="J162" s="966"/>
      <c r="K162" s="966"/>
      <c r="L162" s="966">
        <f t="shared" ca="1" si="51"/>
        <v>0</v>
      </c>
      <c r="M162" s="966">
        <f t="shared" ca="1" si="51"/>
        <v>0</v>
      </c>
      <c r="N162" s="966">
        <f t="shared" ca="1" si="51"/>
        <v>0</v>
      </c>
      <c r="O162" s="966">
        <f t="shared" ca="1" si="51"/>
        <v>0</v>
      </c>
      <c r="P162" s="966">
        <f t="shared" ca="1" si="51"/>
        <v>0</v>
      </c>
      <c r="Q162" s="966">
        <f t="shared" ca="1" si="51"/>
        <v>0</v>
      </c>
      <c r="R162" s="966">
        <f t="shared" ca="1" si="51"/>
        <v>0</v>
      </c>
      <c r="S162" s="966">
        <f t="shared" ca="1" si="51"/>
        <v>0</v>
      </c>
      <c r="T162" s="966">
        <f t="shared" ca="1" si="51"/>
        <v>0</v>
      </c>
      <c r="U162" s="966">
        <f t="shared" ca="1" si="51"/>
        <v>0</v>
      </c>
      <c r="V162" s="966">
        <f t="shared" ca="1" si="51"/>
        <v>0</v>
      </c>
      <c r="W162" s="966">
        <f t="shared" ca="1" si="51"/>
        <v>0</v>
      </c>
      <c r="X162" s="966">
        <f t="shared" ca="1" si="51"/>
        <v>0</v>
      </c>
      <c r="Y162" s="966">
        <f t="shared" ca="1" si="51"/>
        <v>0</v>
      </c>
      <c r="Z162" s="966">
        <f t="shared" ca="1" si="51"/>
        <v>0</v>
      </c>
      <c r="AA162" s="966">
        <f t="shared" ca="1" si="51"/>
        <v>0</v>
      </c>
      <c r="AB162" s="966" t="str">
        <f t="shared" ca="1" si="51"/>
        <v/>
      </c>
      <c r="AC162" s="966" t="str">
        <f t="shared" ca="1" si="51"/>
        <v/>
      </c>
      <c r="AD162" s="966" t="str">
        <f t="shared" ca="1" si="51"/>
        <v/>
      </c>
      <c r="AE162" s="966" t="str">
        <f t="shared" ca="1" si="51"/>
        <v/>
      </c>
      <c r="AF162" s="966" t="str">
        <f t="shared" ca="1" si="51"/>
        <v/>
      </c>
      <c r="AG162" s="966" t="str">
        <f t="shared" ca="1" si="51"/>
        <v/>
      </c>
      <c r="AH162" s="966" t="str">
        <f t="shared" ca="1" si="51"/>
        <v/>
      </c>
      <c r="AI162" s="966" t="str">
        <f t="shared" ca="1" si="51"/>
        <v/>
      </c>
      <c r="AJ162" s="966" t="str">
        <f t="shared" ca="1" si="51"/>
        <v/>
      </c>
      <c r="AK162" s="966" t="str">
        <f t="shared" ca="1" si="51"/>
        <v/>
      </c>
      <c r="AL162" s="966" t="str">
        <f t="shared" ca="1" si="51"/>
        <v/>
      </c>
      <c r="AM162" s="966" t="str">
        <f t="shared" ca="1" si="51"/>
        <v/>
      </c>
      <c r="AN162" s="966" t="str">
        <f t="shared" ca="1" si="51"/>
        <v/>
      </c>
      <c r="AO162" s="966" t="str">
        <f t="shared" ca="1" si="51"/>
        <v/>
      </c>
      <c r="AP162" s="966" t="str">
        <f t="shared" ca="1" si="51"/>
        <v/>
      </c>
      <c r="AQ162" s="966" t="str">
        <f t="shared" ca="1" si="51"/>
        <v/>
      </c>
      <c r="AR162" s="966" t="str">
        <f t="shared" ca="1" si="51"/>
        <v/>
      </c>
      <c r="AS162" s="966" t="str">
        <f t="shared" ca="1" si="51"/>
        <v/>
      </c>
      <c r="AT162" s="966" t="str">
        <f t="shared" ca="1" si="51"/>
        <v/>
      </c>
      <c r="AU162" s="966" t="str">
        <f t="shared" ca="1" si="51"/>
        <v/>
      </c>
      <c r="AV162" s="966" t="str">
        <f t="shared" ca="1" si="51"/>
        <v/>
      </c>
      <c r="AW162" s="966" t="str">
        <f t="shared" ca="1" si="51"/>
        <v/>
      </c>
      <c r="AX162" s="966" t="str">
        <f t="shared" ca="1" si="51"/>
        <v/>
      </c>
      <c r="AY162" s="966" t="str">
        <f t="shared" ca="1" si="51"/>
        <v/>
      </c>
      <c r="AZ162" s="966" t="str">
        <f t="shared" ca="1" si="51"/>
        <v/>
      </c>
      <c r="BA162" s="966" t="str">
        <f t="shared" ca="1" si="51"/>
        <v/>
      </c>
      <c r="BB162" s="966" t="str">
        <f t="shared" ca="1" si="51"/>
        <v/>
      </c>
      <c r="BC162" s="966" t="str">
        <f t="shared" ca="1" si="51"/>
        <v/>
      </c>
      <c r="BD162" s="966" t="str">
        <f t="shared" ca="1" si="51"/>
        <v/>
      </c>
      <c r="BE162" s="966" t="str">
        <f t="shared" ca="1" si="51"/>
        <v/>
      </c>
      <c r="BF162" s="966" t="str">
        <f t="shared" ca="1" si="51"/>
        <v/>
      </c>
      <c r="BG162" s="966" t="str">
        <f t="shared" ca="1" si="51"/>
        <v/>
      </c>
      <c r="BH162" s="966" t="str">
        <f t="shared" ca="1" si="51"/>
        <v/>
      </c>
      <c r="BI162" s="966" t="str">
        <f t="shared" ca="1" si="51"/>
        <v/>
      </c>
      <c r="BJ162" s="966" t="str">
        <f t="shared" ca="1" si="51"/>
        <v/>
      </c>
      <c r="BK162" s="966" t="str">
        <f t="shared" ca="1" si="51"/>
        <v/>
      </c>
      <c r="BL162" s="966" t="str">
        <f t="shared" ca="1" si="51"/>
        <v/>
      </c>
      <c r="BM162" s="966" t="str">
        <f t="shared" ca="1" si="51"/>
        <v/>
      </c>
      <c r="BN162" s="966" t="str">
        <f t="shared" ca="1" si="51"/>
        <v/>
      </c>
      <c r="BO162" s="966" t="str">
        <f t="shared" ca="1" si="51"/>
        <v/>
      </c>
    </row>
    <row r="163" spans="1:68" ht="20.100000000000001" hidden="1" customHeight="1" outlineLevel="1">
      <c r="B163" s="1648"/>
      <c r="C163" s="1646"/>
      <c r="D163" s="920" t="s">
        <v>394</v>
      </c>
      <c r="E163" s="920"/>
      <c r="F163" s="964"/>
      <c r="G163" s="965" t="s">
        <v>1281</v>
      </c>
      <c r="H163" s="966"/>
      <c r="I163" s="966"/>
      <c r="J163" s="966"/>
      <c r="K163" s="966"/>
      <c r="L163" s="966">
        <f t="shared" ca="1" si="51"/>
        <v>0</v>
      </c>
      <c r="M163" s="966">
        <f t="shared" ca="1" si="51"/>
        <v>0</v>
      </c>
      <c r="N163" s="966">
        <f t="shared" ca="1" si="51"/>
        <v>0</v>
      </c>
      <c r="O163" s="966">
        <f t="shared" ca="1" si="51"/>
        <v>0</v>
      </c>
      <c r="P163" s="966">
        <f t="shared" ca="1" si="51"/>
        <v>0</v>
      </c>
      <c r="Q163" s="966">
        <f t="shared" ca="1" si="51"/>
        <v>0</v>
      </c>
      <c r="R163" s="966">
        <f t="shared" ca="1" si="51"/>
        <v>0</v>
      </c>
      <c r="S163" s="966">
        <f t="shared" ca="1" si="51"/>
        <v>0</v>
      </c>
      <c r="T163" s="966">
        <f t="shared" ca="1" si="51"/>
        <v>0</v>
      </c>
      <c r="U163" s="966">
        <f t="shared" ca="1" si="51"/>
        <v>0</v>
      </c>
      <c r="V163" s="966">
        <f t="shared" ca="1" si="51"/>
        <v>0</v>
      </c>
      <c r="W163" s="966">
        <f t="shared" ca="1" si="51"/>
        <v>0</v>
      </c>
      <c r="X163" s="966">
        <f t="shared" ca="1" si="51"/>
        <v>0</v>
      </c>
      <c r="Y163" s="966">
        <f t="shared" ca="1" si="51"/>
        <v>0</v>
      </c>
      <c r="Z163" s="966">
        <f t="shared" ca="1" si="51"/>
        <v>0</v>
      </c>
      <c r="AA163" s="966">
        <f t="shared" ca="1" si="51"/>
        <v>0</v>
      </c>
      <c r="AB163" s="966" t="str">
        <f t="shared" ca="1" si="51"/>
        <v/>
      </c>
      <c r="AC163" s="966" t="str">
        <f t="shared" ca="1" si="51"/>
        <v/>
      </c>
      <c r="AD163" s="966" t="str">
        <f t="shared" ca="1" si="51"/>
        <v/>
      </c>
      <c r="AE163" s="966" t="str">
        <f t="shared" ca="1" si="51"/>
        <v/>
      </c>
      <c r="AF163" s="966" t="str">
        <f t="shared" ca="1" si="51"/>
        <v/>
      </c>
      <c r="AG163" s="966" t="str">
        <f t="shared" ca="1" si="51"/>
        <v/>
      </c>
      <c r="AH163" s="966" t="str">
        <f t="shared" ca="1" si="51"/>
        <v/>
      </c>
      <c r="AI163" s="966" t="str">
        <f t="shared" ca="1" si="51"/>
        <v/>
      </c>
      <c r="AJ163" s="966" t="str">
        <f t="shared" ca="1" si="51"/>
        <v/>
      </c>
      <c r="AK163" s="966" t="str">
        <f t="shared" ca="1" si="51"/>
        <v/>
      </c>
      <c r="AL163" s="966" t="str">
        <f t="shared" ca="1" si="51"/>
        <v/>
      </c>
      <c r="AM163" s="966" t="str">
        <f t="shared" ca="1" si="51"/>
        <v/>
      </c>
      <c r="AN163" s="966" t="str">
        <f t="shared" ca="1" si="51"/>
        <v/>
      </c>
      <c r="AO163" s="966" t="str">
        <f t="shared" ca="1" si="51"/>
        <v/>
      </c>
      <c r="AP163" s="966" t="str">
        <f t="shared" ca="1" si="51"/>
        <v/>
      </c>
      <c r="AQ163" s="966" t="str">
        <f t="shared" ca="1" si="51"/>
        <v/>
      </c>
      <c r="AR163" s="966" t="str">
        <f t="shared" ca="1" si="51"/>
        <v/>
      </c>
      <c r="AS163" s="966" t="str">
        <f t="shared" ca="1" si="51"/>
        <v/>
      </c>
      <c r="AT163" s="966" t="str">
        <f t="shared" ca="1" si="51"/>
        <v/>
      </c>
      <c r="AU163" s="966" t="str">
        <f t="shared" ca="1" si="51"/>
        <v/>
      </c>
      <c r="AV163" s="966" t="str">
        <f t="shared" ca="1" si="51"/>
        <v/>
      </c>
      <c r="AW163" s="966" t="str">
        <f t="shared" ca="1" si="51"/>
        <v/>
      </c>
      <c r="AX163" s="966" t="str">
        <f t="shared" ca="1" si="51"/>
        <v/>
      </c>
      <c r="AY163" s="966" t="str">
        <f t="shared" ca="1" si="51"/>
        <v/>
      </c>
      <c r="AZ163" s="966" t="str">
        <f t="shared" ca="1" si="51"/>
        <v/>
      </c>
      <c r="BA163" s="966" t="str">
        <f t="shared" ca="1" si="51"/>
        <v/>
      </c>
      <c r="BB163" s="966" t="str">
        <f t="shared" ca="1" si="51"/>
        <v/>
      </c>
      <c r="BC163" s="966" t="str">
        <f t="shared" ca="1" si="51"/>
        <v/>
      </c>
      <c r="BD163" s="966" t="str">
        <f t="shared" ca="1" si="51"/>
        <v/>
      </c>
      <c r="BE163" s="966" t="str">
        <f t="shared" ca="1" si="51"/>
        <v/>
      </c>
      <c r="BF163" s="966" t="str">
        <f t="shared" ca="1" si="51"/>
        <v/>
      </c>
      <c r="BG163" s="966" t="str">
        <f t="shared" ca="1" si="51"/>
        <v/>
      </c>
      <c r="BH163" s="966" t="str">
        <f t="shared" ca="1" si="51"/>
        <v/>
      </c>
      <c r="BI163" s="966" t="str">
        <f t="shared" ca="1" si="51"/>
        <v/>
      </c>
      <c r="BJ163" s="966" t="str">
        <f t="shared" ca="1" si="51"/>
        <v/>
      </c>
      <c r="BK163" s="966" t="str">
        <f t="shared" ca="1" si="51"/>
        <v/>
      </c>
      <c r="BL163" s="966" t="str">
        <f t="shared" ca="1" si="51"/>
        <v/>
      </c>
      <c r="BM163" s="966" t="str">
        <f t="shared" ca="1" si="51"/>
        <v/>
      </c>
      <c r="BN163" s="966" t="str">
        <f t="shared" ca="1" si="51"/>
        <v/>
      </c>
      <c r="BO163" s="966" t="str">
        <f t="shared" ca="1" si="51"/>
        <v/>
      </c>
    </row>
    <row r="164" spans="1:68" ht="20.100000000000001" hidden="1" customHeight="1" outlineLevel="1">
      <c r="B164" s="1648"/>
      <c r="C164" s="1646"/>
      <c r="D164" s="920" t="s">
        <v>783</v>
      </c>
      <c r="E164" s="969"/>
      <c r="F164" s="971"/>
      <c r="G164" s="965" t="s">
        <v>1281</v>
      </c>
      <c r="H164" s="966"/>
      <c r="I164" s="966"/>
      <c r="J164" s="966"/>
      <c r="K164" s="966"/>
      <c r="L164" s="966">
        <f t="shared" ca="1" si="51"/>
        <v>0</v>
      </c>
      <c r="M164" s="966">
        <f t="shared" ca="1" si="51"/>
        <v>0</v>
      </c>
      <c r="N164" s="966">
        <f t="shared" ca="1" si="51"/>
        <v>0</v>
      </c>
      <c r="O164" s="966">
        <f t="shared" ca="1" si="51"/>
        <v>0</v>
      </c>
      <c r="P164" s="966">
        <f t="shared" ca="1" si="51"/>
        <v>0</v>
      </c>
      <c r="Q164" s="966">
        <f t="shared" ca="1" si="51"/>
        <v>0</v>
      </c>
      <c r="R164" s="966">
        <f t="shared" ca="1" si="51"/>
        <v>0</v>
      </c>
      <c r="S164" s="966">
        <f t="shared" ca="1" si="51"/>
        <v>0</v>
      </c>
      <c r="T164" s="966">
        <f t="shared" ca="1" si="51"/>
        <v>0</v>
      </c>
      <c r="U164" s="966">
        <f t="shared" ca="1" si="51"/>
        <v>0</v>
      </c>
      <c r="V164" s="966">
        <f t="shared" ca="1" si="51"/>
        <v>0</v>
      </c>
      <c r="W164" s="966">
        <f t="shared" ca="1" si="51"/>
        <v>0</v>
      </c>
      <c r="X164" s="966">
        <f t="shared" ca="1" si="51"/>
        <v>0</v>
      </c>
      <c r="Y164" s="966">
        <f t="shared" ca="1" si="51"/>
        <v>0</v>
      </c>
      <c r="Z164" s="966">
        <f t="shared" ca="1" si="51"/>
        <v>0</v>
      </c>
      <c r="AA164" s="966">
        <f t="shared" ca="1" si="51"/>
        <v>0</v>
      </c>
      <c r="AB164" s="966" t="str">
        <f t="shared" ca="1" si="51"/>
        <v/>
      </c>
      <c r="AC164" s="966" t="str">
        <f t="shared" ca="1" si="51"/>
        <v/>
      </c>
      <c r="AD164" s="966" t="str">
        <f t="shared" ca="1" si="51"/>
        <v/>
      </c>
      <c r="AE164" s="966" t="str">
        <f t="shared" ca="1" si="51"/>
        <v/>
      </c>
      <c r="AF164" s="966" t="str">
        <f t="shared" ca="1" si="51"/>
        <v/>
      </c>
      <c r="AG164" s="966" t="str">
        <f t="shared" ca="1" si="51"/>
        <v/>
      </c>
      <c r="AH164" s="966" t="str">
        <f t="shared" ca="1" si="51"/>
        <v/>
      </c>
      <c r="AI164" s="966" t="str">
        <f t="shared" ca="1" si="51"/>
        <v/>
      </c>
      <c r="AJ164" s="966" t="str">
        <f t="shared" ca="1" si="51"/>
        <v/>
      </c>
      <c r="AK164" s="966" t="str">
        <f t="shared" ca="1" si="51"/>
        <v/>
      </c>
      <c r="AL164" s="966" t="str">
        <f t="shared" ca="1" si="51"/>
        <v/>
      </c>
      <c r="AM164" s="966" t="str">
        <f t="shared" ca="1" si="51"/>
        <v/>
      </c>
      <c r="AN164" s="966" t="str">
        <f t="shared" ca="1" si="51"/>
        <v/>
      </c>
      <c r="AO164" s="966" t="str">
        <f t="shared" ca="1" si="51"/>
        <v/>
      </c>
      <c r="AP164" s="966" t="str">
        <f t="shared" ca="1" si="51"/>
        <v/>
      </c>
      <c r="AQ164" s="966" t="str">
        <f t="shared" ca="1" si="51"/>
        <v/>
      </c>
      <c r="AR164" s="966" t="str">
        <f t="shared" ca="1" si="51"/>
        <v/>
      </c>
      <c r="AS164" s="966" t="str">
        <f t="shared" ca="1" si="51"/>
        <v/>
      </c>
      <c r="AT164" s="966" t="str">
        <f t="shared" ca="1" si="51"/>
        <v/>
      </c>
      <c r="AU164" s="966" t="str">
        <f t="shared" ca="1" si="51"/>
        <v/>
      </c>
      <c r="AV164" s="966" t="str">
        <f t="shared" ca="1" si="51"/>
        <v/>
      </c>
      <c r="AW164" s="966" t="str">
        <f t="shared" ca="1" si="51"/>
        <v/>
      </c>
      <c r="AX164" s="966" t="str">
        <f t="shared" ca="1" si="51"/>
        <v/>
      </c>
      <c r="AY164" s="966" t="str">
        <f t="shared" ca="1" si="51"/>
        <v/>
      </c>
      <c r="AZ164" s="966" t="str">
        <f t="shared" ca="1" si="51"/>
        <v/>
      </c>
      <c r="BA164" s="966" t="str">
        <f t="shared" ca="1" si="51"/>
        <v/>
      </c>
      <c r="BB164" s="966" t="str">
        <f t="shared" ca="1" si="51"/>
        <v/>
      </c>
      <c r="BC164" s="966" t="str">
        <f t="shared" ca="1" si="51"/>
        <v/>
      </c>
      <c r="BD164" s="966" t="str">
        <f t="shared" ca="1" si="51"/>
        <v/>
      </c>
      <c r="BE164" s="966" t="str">
        <f t="shared" ca="1" si="51"/>
        <v/>
      </c>
      <c r="BF164" s="966" t="str">
        <f t="shared" ca="1" si="51"/>
        <v/>
      </c>
      <c r="BG164" s="966" t="str">
        <f t="shared" ca="1" si="51"/>
        <v/>
      </c>
      <c r="BH164" s="966" t="str">
        <f t="shared" ca="1" si="51"/>
        <v/>
      </c>
      <c r="BI164" s="966" t="str">
        <f t="shared" ca="1" si="51"/>
        <v/>
      </c>
      <c r="BJ164" s="966" t="str">
        <f t="shared" ca="1" si="51"/>
        <v/>
      </c>
      <c r="BK164" s="966" t="str">
        <f t="shared" ca="1" si="51"/>
        <v/>
      </c>
      <c r="BL164" s="966" t="str">
        <f t="shared" ca="1" si="51"/>
        <v/>
      </c>
      <c r="BM164" s="966" t="str">
        <f t="shared" ca="1" si="51"/>
        <v/>
      </c>
      <c r="BN164" s="966" t="str">
        <f t="shared" ca="1" si="51"/>
        <v/>
      </c>
      <c r="BO164" s="966" t="str">
        <f t="shared" ca="1" si="51"/>
        <v/>
      </c>
    </row>
    <row r="165" spans="1:68" ht="20.100000000000001" hidden="1" customHeight="1" outlineLevel="1">
      <c r="B165" s="1648"/>
      <c r="C165" s="1646"/>
      <c r="D165" s="920" t="s">
        <v>784</v>
      </c>
      <c r="E165" s="969"/>
      <c r="F165" s="971"/>
      <c r="G165" s="965" t="s">
        <v>1281</v>
      </c>
      <c r="H165" s="966"/>
      <c r="I165" s="966"/>
      <c r="J165" s="966"/>
      <c r="K165" s="966"/>
      <c r="L165" s="966">
        <f t="shared" ca="1" si="51"/>
        <v>0</v>
      </c>
      <c r="M165" s="966">
        <f t="shared" ca="1" si="51"/>
        <v>0</v>
      </c>
      <c r="N165" s="966">
        <f t="shared" ca="1" si="51"/>
        <v>0</v>
      </c>
      <c r="O165" s="966">
        <f t="shared" ca="1" si="51"/>
        <v>0</v>
      </c>
      <c r="P165" s="966">
        <f t="shared" ca="1" si="51"/>
        <v>0</v>
      </c>
      <c r="Q165" s="966">
        <f t="shared" ca="1" si="51"/>
        <v>0</v>
      </c>
      <c r="R165" s="966">
        <f t="shared" ca="1" si="51"/>
        <v>0</v>
      </c>
      <c r="S165" s="966">
        <f t="shared" ca="1" si="51"/>
        <v>0</v>
      </c>
      <c r="T165" s="966">
        <f t="shared" ca="1" si="51"/>
        <v>0</v>
      </c>
      <c r="U165" s="966">
        <f t="shared" ca="1" si="51"/>
        <v>0</v>
      </c>
      <c r="V165" s="966">
        <f t="shared" ca="1" si="51"/>
        <v>0</v>
      </c>
      <c r="W165" s="966">
        <f t="shared" ca="1" si="51"/>
        <v>0</v>
      </c>
      <c r="X165" s="966">
        <f t="shared" ca="1" si="51"/>
        <v>0</v>
      </c>
      <c r="Y165" s="966">
        <f t="shared" ca="1" si="51"/>
        <v>0</v>
      </c>
      <c r="Z165" s="966">
        <f t="shared" ca="1" si="51"/>
        <v>0</v>
      </c>
      <c r="AA165" s="966">
        <f t="shared" ca="1" si="51"/>
        <v>0</v>
      </c>
      <c r="AB165" s="966" t="str">
        <f t="shared" ca="1" si="51"/>
        <v/>
      </c>
      <c r="AC165" s="966" t="str">
        <f t="shared" ca="1" si="51"/>
        <v/>
      </c>
      <c r="AD165" s="966" t="str">
        <f t="shared" ca="1" si="51"/>
        <v/>
      </c>
      <c r="AE165" s="966" t="str">
        <f t="shared" ca="1" si="51"/>
        <v/>
      </c>
      <c r="AF165" s="966" t="str">
        <f t="shared" ca="1" si="51"/>
        <v/>
      </c>
      <c r="AG165" s="966" t="str">
        <f t="shared" ca="1" si="51"/>
        <v/>
      </c>
      <c r="AH165" s="966" t="str">
        <f t="shared" ca="1" si="51"/>
        <v/>
      </c>
      <c r="AI165" s="966" t="str">
        <f t="shared" ca="1" si="51"/>
        <v/>
      </c>
      <c r="AJ165" s="966" t="str">
        <f t="shared" ca="1" si="51"/>
        <v/>
      </c>
      <c r="AK165" s="966" t="str">
        <f t="shared" ca="1" si="51"/>
        <v/>
      </c>
      <c r="AL165" s="966" t="str">
        <f t="shared" ca="1" si="51"/>
        <v/>
      </c>
      <c r="AM165" s="966" t="str">
        <f t="shared" ca="1" si="51"/>
        <v/>
      </c>
      <c r="AN165" s="966" t="str">
        <f t="shared" ca="1" si="51"/>
        <v/>
      </c>
      <c r="AO165" s="966" t="str">
        <f t="shared" ca="1" si="51"/>
        <v/>
      </c>
      <c r="AP165" s="966" t="str">
        <f t="shared" ca="1" si="51"/>
        <v/>
      </c>
      <c r="AQ165" s="966" t="str">
        <f t="shared" ref="AQ165:BO165" ca="1" si="52">AQ55</f>
        <v/>
      </c>
      <c r="AR165" s="966" t="str">
        <f t="shared" ca="1" si="52"/>
        <v/>
      </c>
      <c r="AS165" s="966" t="str">
        <f t="shared" ca="1" si="52"/>
        <v/>
      </c>
      <c r="AT165" s="966" t="str">
        <f t="shared" ca="1" si="52"/>
        <v/>
      </c>
      <c r="AU165" s="966" t="str">
        <f t="shared" ca="1" si="52"/>
        <v/>
      </c>
      <c r="AV165" s="966" t="str">
        <f t="shared" ca="1" si="52"/>
        <v/>
      </c>
      <c r="AW165" s="966" t="str">
        <f t="shared" ca="1" si="52"/>
        <v/>
      </c>
      <c r="AX165" s="966" t="str">
        <f t="shared" ca="1" si="52"/>
        <v/>
      </c>
      <c r="AY165" s="966" t="str">
        <f t="shared" ca="1" si="52"/>
        <v/>
      </c>
      <c r="AZ165" s="966" t="str">
        <f t="shared" ca="1" si="52"/>
        <v/>
      </c>
      <c r="BA165" s="966" t="str">
        <f t="shared" ca="1" si="52"/>
        <v/>
      </c>
      <c r="BB165" s="966" t="str">
        <f t="shared" ca="1" si="52"/>
        <v/>
      </c>
      <c r="BC165" s="966" t="str">
        <f t="shared" ca="1" si="52"/>
        <v/>
      </c>
      <c r="BD165" s="966" t="str">
        <f t="shared" ca="1" si="52"/>
        <v/>
      </c>
      <c r="BE165" s="966" t="str">
        <f t="shared" ca="1" si="52"/>
        <v/>
      </c>
      <c r="BF165" s="966" t="str">
        <f t="shared" ca="1" si="52"/>
        <v/>
      </c>
      <c r="BG165" s="966" t="str">
        <f t="shared" ca="1" si="52"/>
        <v/>
      </c>
      <c r="BH165" s="966" t="str">
        <f t="shared" ca="1" si="52"/>
        <v/>
      </c>
      <c r="BI165" s="966" t="str">
        <f t="shared" ca="1" si="52"/>
        <v/>
      </c>
      <c r="BJ165" s="966" t="str">
        <f t="shared" ca="1" si="52"/>
        <v/>
      </c>
      <c r="BK165" s="966" t="str">
        <f t="shared" ca="1" si="52"/>
        <v/>
      </c>
      <c r="BL165" s="966" t="str">
        <f t="shared" ca="1" si="52"/>
        <v/>
      </c>
      <c r="BM165" s="966" t="str">
        <f t="shared" ca="1" si="52"/>
        <v/>
      </c>
      <c r="BN165" s="966" t="str">
        <f t="shared" ca="1" si="52"/>
        <v/>
      </c>
      <c r="BO165" s="966" t="str">
        <f t="shared" ca="1" si="52"/>
        <v/>
      </c>
      <c r="BP165" s="802"/>
    </row>
    <row r="166" spans="1:68" ht="20.100000000000001" hidden="1" customHeight="1" outlineLevel="1">
      <c r="A166" s="914">
        <v>56</v>
      </c>
      <c r="B166" s="1593" t="s">
        <v>421</v>
      </c>
      <c r="C166" s="1596" t="s">
        <v>396</v>
      </c>
      <c r="D166" s="785" t="s">
        <v>397</v>
      </c>
      <c r="E166" s="790"/>
      <c r="F166" s="810"/>
      <c r="G166" s="852" t="s">
        <v>1281</v>
      </c>
      <c r="H166" s="915">
        <f ca="1">IFERROR(OFFSET(貼付け_2024実績,$A166,6),"")</f>
        <v>6.54E-2</v>
      </c>
      <c r="I166" s="915">
        <f ca="1">IFERROR(OFFSET(貼付け_2025実績,$A166,6),"")</f>
        <v>6.54E-2</v>
      </c>
      <c r="J166" s="915">
        <f ca="1">IFERROR(OFFSET(貼付け_2026実績,$A166,6),"")</f>
        <v>6.54E-2</v>
      </c>
      <c r="K166" s="915">
        <f ca="1">IFERROR(OFFSET(貼付け_2027実績,$A166,6),"")</f>
        <v>6.54E-2</v>
      </c>
      <c r="L166" s="916">
        <f ca="1">IFERROR($H166*参考2_エネ使用量経年!L57,"")</f>
        <v>0</v>
      </c>
      <c r="M166" s="916">
        <f ca="1">IFERROR($I166*参考2_エネ使用量経年!M57,"")</f>
        <v>0</v>
      </c>
      <c r="N166" s="916">
        <f ca="1">IFERROR($J166*参考2_エネ使用量経年!N57,"")</f>
        <v>0</v>
      </c>
      <c r="O166" s="916">
        <f ca="1">IFERROR($K166*参考2_エネ使用量経年!O57,"")</f>
        <v>0</v>
      </c>
      <c r="P166" s="916">
        <f ca="1">IFERROR($H166*参考2_エネ使用量経年!P57,"")</f>
        <v>0</v>
      </c>
      <c r="Q166" s="916">
        <f ca="1">IFERROR($I166*参考2_エネ使用量経年!Q57,"")</f>
        <v>0</v>
      </c>
      <c r="R166" s="916">
        <f ca="1">IFERROR($J166*参考2_エネ使用量経年!R57,"")</f>
        <v>0</v>
      </c>
      <c r="S166" s="916">
        <f ca="1">IFERROR($K166*参考2_エネ使用量経年!S57,"")</f>
        <v>0</v>
      </c>
      <c r="T166" s="916">
        <f ca="1">IFERROR($H166*参考2_エネ使用量経年!T57,"")</f>
        <v>0</v>
      </c>
      <c r="U166" s="916">
        <f ca="1">IFERROR($I166*参考2_エネ使用量経年!U57,"")</f>
        <v>0</v>
      </c>
      <c r="V166" s="916">
        <f ca="1">IFERROR($J166*参考2_エネ使用量経年!V57,"")</f>
        <v>0</v>
      </c>
      <c r="W166" s="916">
        <f ca="1">IFERROR($K166*参考2_エネ使用量経年!W57,"")</f>
        <v>0</v>
      </c>
      <c r="X166" s="916">
        <f ca="1">IFERROR($H166*参考2_エネ使用量経年!X57,"")</f>
        <v>0</v>
      </c>
      <c r="Y166" s="916">
        <f ca="1">IFERROR($I166*参考2_エネ使用量経年!Y57,"")</f>
        <v>0</v>
      </c>
      <c r="Z166" s="916">
        <f ca="1">IFERROR($J166*参考2_エネ使用量経年!Z57,"")</f>
        <v>0</v>
      </c>
      <c r="AA166" s="916">
        <f ca="1">IFERROR($K166*参考2_エネ使用量経年!AA57,"")</f>
        <v>0</v>
      </c>
      <c r="AB166" s="916" t="str">
        <f ca="1">IFERROR($H166*参考2_エネ使用量経年!AB57,"")</f>
        <v/>
      </c>
      <c r="AC166" s="916" t="str">
        <f ca="1">IFERROR($I166*参考2_エネ使用量経年!AC57,"")</f>
        <v/>
      </c>
      <c r="AD166" s="916" t="str">
        <f ca="1">IFERROR($J166*参考2_エネ使用量経年!AD57,"")</f>
        <v/>
      </c>
      <c r="AE166" s="916" t="str">
        <f ca="1">IFERROR($K166*参考2_エネ使用量経年!AE57,"")</f>
        <v/>
      </c>
      <c r="AF166" s="916" t="str">
        <f ca="1">IFERROR($H166*参考2_エネ使用量経年!AF57,"")</f>
        <v/>
      </c>
      <c r="AG166" s="916" t="str">
        <f ca="1">IFERROR($I166*参考2_エネ使用量経年!AG57,"")</f>
        <v/>
      </c>
      <c r="AH166" s="916" t="str">
        <f ca="1">IFERROR($J166*参考2_エネ使用量経年!AH57,"")</f>
        <v/>
      </c>
      <c r="AI166" s="916" t="str">
        <f ca="1">IFERROR($K166*参考2_エネ使用量経年!AI57,"")</f>
        <v/>
      </c>
      <c r="AJ166" s="916" t="str">
        <f ca="1">IFERROR($H166*参考2_エネ使用量経年!AJ57,"")</f>
        <v/>
      </c>
      <c r="AK166" s="916" t="str">
        <f ca="1">IFERROR($I166*参考2_エネ使用量経年!AK57,"")</f>
        <v/>
      </c>
      <c r="AL166" s="916" t="str">
        <f ca="1">IFERROR($J166*参考2_エネ使用量経年!AL57,"")</f>
        <v/>
      </c>
      <c r="AM166" s="916" t="str">
        <f ca="1">IFERROR($K166*参考2_エネ使用量経年!AM57,"")</f>
        <v/>
      </c>
      <c r="AN166" s="916" t="str">
        <f ca="1">IFERROR($H166*参考2_エネ使用量経年!AN57,"")</f>
        <v/>
      </c>
      <c r="AO166" s="916" t="str">
        <f ca="1">IFERROR($I166*参考2_エネ使用量経年!AO57,"")</f>
        <v/>
      </c>
      <c r="AP166" s="916" t="str">
        <f ca="1">IFERROR($J166*参考2_エネ使用量経年!AP57,"")</f>
        <v/>
      </c>
      <c r="AQ166" s="916" t="str">
        <f ca="1">IFERROR($K166*参考2_エネ使用量経年!AQ57,"")</f>
        <v/>
      </c>
      <c r="AR166" s="916" t="str">
        <f ca="1">IFERROR($H166*参考2_エネ使用量経年!AR57,"")</f>
        <v/>
      </c>
      <c r="AS166" s="916" t="str">
        <f ca="1">IFERROR($I166*参考2_エネ使用量経年!AS57,"")</f>
        <v/>
      </c>
      <c r="AT166" s="916" t="str">
        <f ca="1">IFERROR($J166*参考2_エネ使用量経年!AT57,"")</f>
        <v/>
      </c>
      <c r="AU166" s="916" t="str">
        <f ca="1">IFERROR($K166*参考2_エネ使用量経年!AU57,"")</f>
        <v/>
      </c>
      <c r="AV166" s="916" t="str">
        <f ca="1">IFERROR($H166*参考2_エネ使用量経年!AV57,"")</f>
        <v/>
      </c>
      <c r="AW166" s="916" t="str">
        <f ca="1">IFERROR($I166*参考2_エネ使用量経年!AW57,"")</f>
        <v/>
      </c>
      <c r="AX166" s="916" t="str">
        <f ca="1">IFERROR($J166*参考2_エネ使用量経年!AX57,"")</f>
        <v/>
      </c>
      <c r="AY166" s="916" t="str">
        <f ca="1">IFERROR($K166*参考2_エネ使用量経年!AY57,"")</f>
        <v/>
      </c>
      <c r="AZ166" s="916" t="str">
        <f ca="1">IFERROR($H166*参考2_エネ使用量経年!AZ57,"")</f>
        <v/>
      </c>
      <c r="BA166" s="916" t="str">
        <f ca="1">IFERROR($I166*参考2_エネ使用量経年!BA57,"")</f>
        <v/>
      </c>
      <c r="BB166" s="916" t="str">
        <f ca="1">IFERROR($J166*参考2_エネ使用量経年!BB57,"")</f>
        <v/>
      </c>
      <c r="BC166" s="916" t="str">
        <f ca="1">IFERROR($K166*参考2_エネ使用量経年!BC57,"")</f>
        <v/>
      </c>
      <c r="BD166" s="916" t="str">
        <f ca="1">IFERROR($H166*参考2_エネ使用量経年!BD57,"")</f>
        <v/>
      </c>
      <c r="BE166" s="916" t="str">
        <f ca="1">IFERROR($I166*参考2_エネ使用量経年!BE57,"")</f>
        <v/>
      </c>
      <c r="BF166" s="916" t="str">
        <f ca="1">IFERROR($J166*参考2_エネ使用量経年!BF57,"")</f>
        <v/>
      </c>
      <c r="BG166" s="916" t="str">
        <f ca="1">IFERROR($K166*参考2_エネ使用量経年!BG57,"")</f>
        <v/>
      </c>
      <c r="BH166" s="916" t="str">
        <f ca="1">IFERROR($H166*参考2_エネ使用量経年!BH57,"")</f>
        <v/>
      </c>
      <c r="BI166" s="916" t="str">
        <f ca="1">IFERROR($I166*参考2_エネ使用量経年!BI57,"")</f>
        <v/>
      </c>
      <c r="BJ166" s="916" t="str">
        <f ca="1">IFERROR($J166*参考2_エネ使用量経年!BJ57,"")</f>
        <v/>
      </c>
      <c r="BK166" s="916" t="str">
        <f ca="1">IFERROR($K166*参考2_エネ使用量経年!BK57,"")</f>
        <v/>
      </c>
      <c r="BL166" s="916" t="str">
        <f ca="1">IFERROR($H166*参考2_エネ使用量経年!BL57,"")</f>
        <v/>
      </c>
      <c r="BM166" s="916" t="str">
        <f ca="1">IFERROR($I166*参考2_エネ使用量経年!BM57,"")</f>
        <v/>
      </c>
      <c r="BN166" s="916" t="str">
        <f ca="1">IFERROR($J166*参考2_エネ使用量経年!BN57,"")</f>
        <v/>
      </c>
      <c r="BO166" s="916" t="str">
        <f ca="1">IFERROR($K166*参考2_エネ使用量経年!BO57,"")</f>
        <v/>
      </c>
      <c r="BP166" s="802"/>
    </row>
    <row r="167" spans="1:68" s="980" customFormat="1" ht="20.100000000000001" hidden="1" customHeight="1" outlineLevel="1">
      <c r="A167" s="973">
        <v>10</v>
      </c>
      <c r="B167" s="1594"/>
      <c r="C167" s="1596"/>
      <c r="D167" s="974" t="s">
        <v>785</v>
      </c>
      <c r="E167" s="975"/>
      <c r="F167" s="976"/>
      <c r="G167" s="977" t="s">
        <v>1281</v>
      </c>
      <c r="H167" s="978"/>
      <c r="I167" s="978"/>
      <c r="J167" s="978"/>
      <c r="K167" s="978"/>
      <c r="L167" s="916">
        <f ca="1">SUM(SUMIFS(OFFSET(A1_集計2024,$A167,9,1,200),OFFSET(貼付け_2024実績,4,9,1,200),{"横浜*","川崎*","県域*","エネルギー管理指定工場等*"}))</f>
        <v>0</v>
      </c>
      <c r="M167" s="916">
        <f ca="1">SUM(SUMIFS(OFFSET(A1_集計2025,$A167,9,1,200),OFFSET(貼付け_2025実績,4,9,1,200),{"横浜*","川崎*","県域*","エネルギー管理指定工場等*"}))</f>
        <v>0</v>
      </c>
      <c r="N167" s="916">
        <f ca="1">SUM(SUMIFS(OFFSET(A1_集計2026,$A167,9,1,200),OFFSET(貼付け_2026実績,4,9,1,200),{"横浜*","川崎*","県域*","エネルギー管理指定工場等*"}))</f>
        <v>0</v>
      </c>
      <c r="O167" s="916">
        <f ca="1">SUM(SUMIFS(OFFSET(A1_集計2027,$A167,9,1,200),OFFSET(貼付け_2027実績,4,9,1,200),{"横浜*","川崎*","県域*","エネルギー管理指定工場等*"}))</f>
        <v>0</v>
      </c>
      <c r="P167" s="916">
        <f ca="1">SUM(SUMIFS(OFFSET(A1_集計2024,$A167,9,1,200),OFFSET(貼付け_2024実績,4,9,1,200),{"横浜*","川崎*"}))</f>
        <v>0</v>
      </c>
      <c r="Q167" s="916">
        <f ca="1">SUM(SUMIFS(OFFSET(A1_集計2025,$A167,9,1,200),OFFSET(貼付け_2025実績,4,9,1,200),{"横浜*","川崎*"}))</f>
        <v>0</v>
      </c>
      <c r="R167" s="916">
        <f ca="1">SUM(SUMIFS(OFFSET(A1_集計2026,$A167,9,1,200),OFFSET(貼付け_2026実績,4,9,1,200),{"横浜*","川崎*"}))</f>
        <v>0</v>
      </c>
      <c r="S167" s="916">
        <f ca="1">SUM(SUMIFS(OFFSET(A1_集計2027,$A167,9,1,200),OFFSET(貼付け_2027実績,4,9,1,200),{"横浜*","川崎*"}))</f>
        <v>0</v>
      </c>
      <c r="T167" s="916">
        <f ca="1">SUM(SUMIFS(OFFSET(A1_集計2024,$A167,9,1,200),OFFSET(貼付け_2024実績,4,9,1,200),{"県域*","エネルギー管理指定工場等*"}))</f>
        <v>0</v>
      </c>
      <c r="U167" s="916">
        <f ca="1">SUM(SUMIFS(OFFSET(A1_集計2025,$A167,9,1,200),OFFSET(貼付け_2025実績,4,9,1,200),{"県域*","エネルギー管理指定工場等*"}))</f>
        <v>0</v>
      </c>
      <c r="V167" s="916">
        <f ca="1">SUM(SUMIFS(OFFSET(A1_集計2026,$A167,9,1,200),OFFSET(貼付け_2026実績,4,9,1,200),{"県域*","エネルギー管理指定工場等*"}))</f>
        <v>0</v>
      </c>
      <c r="W167" s="916">
        <f ca="1">SUM(SUMIFS(OFFSET(A1_集計2027,$A167,9,1,200),OFFSET(貼付け_2027実績,4,9,1,200),{"県域*","エネルギー管理指定工場等*"}))</f>
        <v>0</v>
      </c>
      <c r="X167" s="916">
        <f ca="1">SUMIFS(OFFSET(A1_集計2024,$A167,9,1,200),OFFSET(貼付け_2024実績,4,9,1,200),"県域*")</f>
        <v>0</v>
      </c>
      <c r="Y167" s="916">
        <f ca="1">SUMIFS(OFFSET(A1_集計2025,$A167,9,1,200),OFFSET(貼付け_2025実績,4,9,1,200),"県域*")</f>
        <v>0</v>
      </c>
      <c r="Z167" s="916">
        <f ca="1">SUMIFS(OFFSET(A1_集計2026,$A167,9,1,200),OFFSET(貼付け_2026実績,4,9,1,200),"県域*")</f>
        <v>0</v>
      </c>
      <c r="AA167" s="916">
        <f ca="1">SUMIFS(OFFSET(A1_集計2027,$A167,9,1,200),OFFSET(貼付け_2027実績,4,9,1,200),"県域*")</f>
        <v>0</v>
      </c>
      <c r="AB167" s="916" t="str">
        <f ca="1">IFERROR(OFFSET(A1_集計2024,$A167,AB$1),"")</f>
        <v/>
      </c>
      <c r="AC167" s="916" t="str">
        <f ca="1">IFERROR(OFFSET(A1_集計2025,$A167,AC$1),"")</f>
        <v/>
      </c>
      <c r="AD167" s="916" t="str">
        <f ca="1">IFERROR(OFFSET(A1_集計2026,$A167,AD$1),"")</f>
        <v/>
      </c>
      <c r="AE167" s="916" t="str">
        <f ca="1">IFERROR(OFFSET(A1_集計2027,$A167,AE$1),"")</f>
        <v/>
      </c>
      <c r="AF167" s="916" t="str">
        <f ca="1">IFERROR(OFFSET(A1_集計2024,$A167,AF$1),"")</f>
        <v/>
      </c>
      <c r="AG167" s="916" t="str">
        <f ca="1">IFERROR(OFFSET(A1_集計2025,$A167,AG$1),"")</f>
        <v/>
      </c>
      <c r="AH167" s="916" t="str">
        <f ca="1">IFERROR(OFFSET(A1_集計2026,$A167,AH$1),"")</f>
        <v/>
      </c>
      <c r="AI167" s="916" t="str">
        <f ca="1">IFERROR(OFFSET(A1_集計2027,$A167,AI$1),"")</f>
        <v/>
      </c>
      <c r="AJ167" s="916" t="str">
        <f ca="1">IFERROR(OFFSET(A1_集計2024,$A167,AJ$1),"")</f>
        <v/>
      </c>
      <c r="AK167" s="916" t="str">
        <f ca="1">IFERROR(OFFSET(A1_集計2025,$A167,AK$1),"")</f>
        <v/>
      </c>
      <c r="AL167" s="916" t="str">
        <f ca="1">IFERROR(OFFSET(A1_集計2026,$A167,AL$1),"")</f>
        <v/>
      </c>
      <c r="AM167" s="916" t="str">
        <f ca="1">IFERROR(OFFSET(A1_集計2027,$A167,AM$1),"")</f>
        <v/>
      </c>
      <c r="AN167" s="916" t="str">
        <f ca="1">IFERROR(OFFSET(A1_集計2024,$A167,AN$1),"")</f>
        <v/>
      </c>
      <c r="AO167" s="916" t="str">
        <f ca="1">IFERROR(OFFSET(A1_集計2025,$A167,AO$1),"")</f>
        <v/>
      </c>
      <c r="AP167" s="916" t="str">
        <f ca="1">IFERROR(OFFSET(A1_集計2026,$A167,AP$1),"")</f>
        <v/>
      </c>
      <c r="AQ167" s="916" t="str">
        <f ca="1">IFERROR(OFFSET(A1_集計2027,$A167,AQ$1),"")</f>
        <v/>
      </c>
      <c r="AR167" s="916" t="str">
        <f ca="1">IFERROR(OFFSET(A1_集計2024,$A167,AR$1),"")</f>
        <v/>
      </c>
      <c r="AS167" s="916" t="str">
        <f ca="1">IFERROR(OFFSET(A1_集計2025,$A167,AS$1),"")</f>
        <v/>
      </c>
      <c r="AT167" s="916" t="str">
        <f ca="1">IFERROR(OFFSET(A1_集計2026,$A167,AT$1),"")</f>
        <v/>
      </c>
      <c r="AU167" s="916" t="str">
        <f ca="1">IFERROR(OFFSET(A1_集計2027,$A167,AU$1),"")</f>
        <v/>
      </c>
      <c r="AV167" s="916" t="str">
        <f ca="1">IFERROR(OFFSET(A1_集計2024,$A167,AV$1),"")</f>
        <v/>
      </c>
      <c r="AW167" s="916" t="str">
        <f ca="1">IFERROR(OFFSET(A1_集計2025,$A167,AW$1),"")</f>
        <v/>
      </c>
      <c r="AX167" s="916" t="str">
        <f ca="1">IFERROR(OFFSET(A1_集計2026,$A167,AX$1),"")</f>
        <v/>
      </c>
      <c r="AY167" s="916" t="str">
        <f ca="1">IFERROR(OFFSET(A1_集計2027,$A167,AY$1),"")</f>
        <v/>
      </c>
      <c r="AZ167" s="916" t="str">
        <f ca="1">IFERROR(OFFSET(A1_集計2024,$A167,AZ$1),"")</f>
        <v/>
      </c>
      <c r="BA167" s="916" t="str">
        <f ca="1">IFERROR(OFFSET(A1_集計2025,$A167,BA$1),"")</f>
        <v/>
      </c>
      <c r="BB167" s="916" t="str">
        <f ca="1">IFERROR(OFFSET(A1_集計2026,$A167,BB$1),"")</f>
        <v/>
      </c>
      <c r="BC167" s="916" t="str">
        <f ca="1">IFERROR(OFFSET(A1_集計2027,$A167,BC$1),"")</f>
        <v/>
      </c>
      <c r="BD167" s="916" t="str">
        <f ca="1">IFERROR(OFFSET(A1_集計2024,$A167,BD$1),"")</f>
        <v/>
      </c>
      <c r="BE167" s="916" t="str">
        <f ca="1">IFERROR(OFFSET(A1_集計2025,$A167,BE$1),"")</f>
        <v/>
      </c>
      <c r="BF167" s="916" t="str">
        <f ca="1">IFERROR(OFFSET(A1_集計2026,$A167,BF$1),"")</f>
        <v/>
      </c>
      <c r="BG167" s="916" t="str">
        <f ca="1">IFERROR(OFFSET(A1_集計2027,$A167,BG$1),"")</f>
        <v/>
      </c>
      <c r="BH167" s="916" t="str">
        <f ca="1">IFERROR(OFFSET(A1_集計2024,$A167,BH$1),"")</f>
        <v/>
      </c>
      <c r="BI167" s="916" t="str">
        <f ca="1">IFERROR(OFFSET(A1_集計2025,$A167,BI$1),"")</f>
        <v/>
      </c>
      <c r="BJ167" s="916" t="str">
        <f ca="1">IFERROR(OFFSET(A1_集計2026,$A167,BJ$1),"")</f>
        <v/>
      </c>
      <c r="BK167" s="916" t="str">
        <f ca="1">IFERROR(OFFSET(A1_集計2027,$A167,BK$1),"")</f>
        <v/>
      </c>
      <c r="BL167" s="916" t="str">
        <f ca="1">IFERROR(OFFSET(A1_集計2024,$A167,BL$1),"")</f>
        <v/>
      </c>
      <c r="BM167" s="916" t="str">
        <f ca="1">IFERROR(OFFSET(A1_集計2025,$A167,BM$1),"")</f>
        <v/>
      </c>
      <c r="BN167" s="916" t="str">
        <f ca="1">IFERROR(OFFSET(A1_集計2026,$A167,BN$1),"")</f>
        <v/>
      </c>
      <c r="BO167" s="916" t="str">
        <f ca="1">IFERROR(OFFSET(A1_集計2027,$A167,BO$1),"")</f>
        <v/>
      </c>
      <c r="BP167" s="979"/>
    </row>
    <row r="168" spans="1:68" s="980" customFormat="1" ht="20.100000000000001" hidden="1" customHeight="1" outlineLevel="1">
      <c r="A168" s="973">
        <v>12</v>
      </c>
      <c r="B168" s="1594"/>
      <c r="C168" s="1596"/>
      <c r="D168" s="974" t="s">
        <v>786</v>
      </c>
      <c r="E168" s="975"/>
      <c r="F168" s="976"/>
      <c r="G168" s="977" t="s">
        <v>1281</v>
      </c>
      <c r="H168" s="978"/>
      <c r="I168" s="978"/>
      <c r="J168" s="978"/>
      <c r="K168" s="978"/>
      <c r="L168" s="916">
        <f ca="1">SUM(SUMIFS(OFFSET(A1_集計2024,$A168,9,1,200),OFFSET(貼付け_2024実績,4,9,1,200),{"横浜*","川崎*","県域*","エネルギー管理指定工場等*"}))</f>
        <v>0</v>
      </c>
      <c r="M168" s="916">
        <f ca="1">SUM(SUMIFS(OFFSET(A1_集計2025,$A168,9,1,200),OFFSET(貼付け_2025実績,4,9,1,200),{"横浜*","川崎*","県域*","エネルギー管理指定工場等*"}))</f>
        <v>0</v>
      </c>
      <c r="N168" s="916">
        <f ca="1">SUM(SUMIFS(OFFSET(A1_集計2026,$A168,9,1,200),OFFSET(貼付け_2026実績,4,9,1,200),{"横浜*","川崎*","県域*","エネルギー管理指定工場等*"}))</f>
        <v>0</v>
      </c>
      <c r="O168" s="916">
        <f ca="1">SUM(SUMIFS(OFFSET(A1_集計2027,$A168,9,1,200),OFFSET(貼付け_2027実績,4,9,1,200),{"横浜*","川崎*","県域*","エネルギー管理指定工場等*"}))</f>
        <v>0</v>
      </c>
      <c r="P168" s="916">
        <f ca="1">SUM(SUMIFS(OFFSET(A1_集計2024,$A168,9,1,200),OFFSET(貼付け_2024実績,4,9,1,200),{"横浜*","川崎*"}))</f>
        <v>0</v>
      </c>
      <c r="Q168" s="916">
        <f ca="1">SUM(SUMIFS(OFFSET(A1_集計2025,$A168,9,1,200),OFFSET(貼付け_2025実績,4,9,1,200),{"横浜*","川崎*"}))</f>
        <v>0</v>
      </c>
      <c r="R168" s="916">
        <f ca="1">SUM(SUMIFS(OFFSET(A1_集計2026,$A168,9,1,200),OFFSET(貼付け_2026実績,4,9,1,200),{"横浜*","川崎*"}))</f>
        <v>0</v>
      </c>
      <c r="S168" s="916">
        <f ca="1">SUM(SUMIFS(OFFSET(A1_集計2027,$A168,9,1,200),OFFSET(貼付け_2027実績,4,9,1,200),{"横浜*","川崎*"}))</f>
        <v>0</v>
      </c>
      <c r="T168" s="916">
        <f ca="1">SUM(SUMIFS(OFFSET(A1_集計2024,$A168,9,1,200),OFFSET(貼付け_2024実績,4,9,1,200),{"県域*","エネルギー管理指定工場等*"}))</f>
        <v>0</v>
      </c>
      <c r="U168" s="916">
        <f ca="1">SUM(SUMIFS(OFFSET(A1_集計2025,$A168,9,1,200),OFFSET(貼付け_2025実績,4,9,1,200),{"県域*","エネルギー管理指定工場等*"}))</f>
        <v>0</v>
      </c>
      <c r="V168" s="916">
        <f ca="1">SUM(SUMIFS(OFFSET(A1_集計2026,$A168,9,1,200),OFFSET(貼付け_2026実績,4,9,1,200),{"県域*","エネルギー管理指定工場等*"}))</f>
        <v>0</v>
      </c>
      <c r="W168" s="916">
        <f ca="1">SUM(SUMIFS(OFFSET(A1_集計2027,$A168,9,1,200),OFFSET(貼付け_2027実績,4,9,1,200),{"県域*","エネルギー管理指定工場等*"}))</f>
        <v>0</v>
      </c>
      <c r="X168" s="916">
        <f ca="1">SUMIFS(OFFSET(A1_集計2024,$A168,9,1,200),OFFSET(貼付け_2024実績,4,9,1,200),"県域*")</f>
        <v>0</v>
      </c>
      <c r="Y168" s="916">
        <f ca="1">SUMIFS(OFFSET(A1_集計2025,$A168,9,1,200),OFFSET(貼付け_2025実績,4,9,1,200),"県域*")</f>
        <v>0</v>
      </c>
      <c r="Z168" s="916">
        <f ca="1">SUMIFS(OFFSET(A1_集計2026,$A168,9,1,200),OFFSET(貼付け_2026実績,4,9,1,200),"県域*")</f>
        <v>0</v>
      </c>
      <c r="AA168" s="916">
        <f ca="1">SUMIFS(OFFSET(A1_集計2027,$A168,9,1,200),OFFSET(貼付け_2027実績,4,9,1,200),"県域*")</f>
        <v>0</v>
      </c>
      <c r="AB168" s="916" t="str">
        <f ca="1">IFERROR(OFFSET(A1_集計2024,$A168,AB$1),"")</f>
        <v/>
      </c>
      <c r="AC168" s="916" t="str">
        <f ca="1">IFERROR(OFFSET(A1_集計2025,$A168,AC$1),"")</f>
        <v/>
      </c>
      <c r="AD168" s="916" t="str">
        <f ca="1">IFERROR(OFFSET(A1_集計2026,$A168,AD$1),"")</f>
        <v/>
      </c>
      <c r="AE168" s="916" t="str">
        <f ca="1">IFERROR(OFFSET(A1_集計2027,$A168,AE$1),"")</f>
        <v/>
      </c>
      <c r="AF168" s="916" t="str">
        <f ca="1">IFERROR(OFFSET(A1_集計2024,$A168,AF$1),"")</f>
        <v/>
      </c>
      <c r="AG168" s="916" t="str">
        <f ca="1">IFERROR(OFFSET(A1_集計2025,$A168,AG$1),"")</f>
        <v/>
      </c>
      <c r="AH168" s="916" t="str">
        <f ca="1">IFERROR(OFFSET(A1_集計2026,$A168,AH$1),"")</f>
        <v/>
      </c>
      <c r="AI168" s="916" t="str">
        <f ca="1">IFERROR(OFFSET(A1_集計2027,$A168,AI$1),"")</f>
        <v/>
      </c>
      <c r="AJ168" s="916" t="str">
        <f ca="1">IFERROR(OFFSET(A1_集計2024,$A168,AJ$1),"")</f>
        <v/>
      </c>
      <c r="AK168" s="916" t="str">
        <f ca="1">IFERROR(OFFSET(A1_集計2025,$A168,AK$1),"")</f>
        <v/>
      </c>
      <c r="AL168" s="916" t="str">
        <f ca="1">IFERROR(OFFSET(A1_集計2026,$A168,AL$1),"")</f>
        <v/>
      </c>
      <c r="AM168" s="916" t="str">
        <f ca="1">IFERROR(OFFSET(A1_集計2027,$A168,AM$1),"")</f>
        <v/>
      </c>
      <c r="AN168" s="916" t="str">
        <f ca="1">IFERROR(OFFSET(A1_集計2024,$A168,AN$1),"")</f>
        <v/>
      </c>
      <c r="AO168" s="916" t="str">
        <f ca="1">IFERROR(OFFSET(A1_集計2025,$A168,AO$1),"")</f>
        <v/>
      </c>
      <c r="AP168" s="916" t="str">
        <f ca="1">IFERROR(OFFSET(A1_集計2026,$A168,AP$1),"")</f>
        <v/>
      </c>
      <c r="AQ168" s="916" t="str">
        <f ca="1">IFERROR(OFFSET(A1_集計2027,$A168,AQ$1),"")</f>
        <v/>
      </c>
      <c r="AR168" s="916" t="str">
        <f ca="1">IFERROR(OFFSET(A1_集計2024,$A168,AR$1),"")</f>
        <v/>
      </c>
      <c r="AS168" s="916" t="str">
        <f ca="1">IFERROR(OFFSET(A1_集計2025,$A168,AS$1),"")</f>
        <v/>
      </c>
      <c r="AT168" s="916" t="str">
        <f ca="1">IFERROR(OFFSET(A1_集計2026,$A168,AT$1),"")</f>
        <v/>
      </c>
      <c r="AU168" s="916" t="str">
        <f ca="1">IFERROR(OFFSET(A1_集計2027,$A168,AU$1),"")</f>
        <v/>
      </c>
      <c r="AV168" s="916" t="str">
        <f ca="1">IFERROR(OFFSET(A1_集計2024,$A168,AV$1),"")</f>
        <v/>
      </c>
      <c r="AW168" s="916" t="str">
        <f ca="1">IFERROR(OFFSET(A1_集計2025,$A168,AW$1),"")</f>
        <v/>
      </c>
      <c r="AX168" s="916" t="str">
        <f ca="1">IFERROR(OFFSET(A1_集計2026,$A168,AX$1),"")</f>
        <v/>
      </c>
      <c r="AY168" s="916" t="str">
        <f ca="1">IFERROR(OFFSET(A1_集計2027,$A168,AY$1),"")</f>
        <v/>
      </c>
      <c r="AZ168" s="916" t="str">
        <f ca="1">IFERROR(OFFSET(A1_集計2024,$A168,AZ$1),"")</f>
        <v/>
      </c>
      <c r="BA168" s="916" t="str">
        <f ca="1">IFERROR(OFFSET(A1_集計2025,$A168,BA$1),"")</f>
        <v/>
      </c>
      <c r="BB168" s="916" t="str">
        <f ca="1">IFERROR(OFFSET(A1_集計2026,$A168,BB$1),"")</f>
        <v/>
      </c>
      <c r="BC168" s="916" t="str">
        <f ca="1">IFERROR(OFFSET(A1_集計2027,$A168,BC$1),"")</f>
        <v/>
      </c>
      <c r="BD168" s="916" t="str">
        <f ca="1">IFERROR(OFFSET(A1_集計2024,$A168,BD$1),"")</f>
        <v/>
      </c>
      <c r="BE168" s="916" t="str">
        <f ca="1">IFERROR(OFFSET(A1_集計2025,$A168,BE$1),"")</f>
        <v/>
      </c>
      <c r="BF168" s="916" t="str">
        <f ca="1">IFERROR(OFFSET(A1_集計2026,$A168,BF$1),"")</f>
        <v/>
      </c>
      <c r="BG168" s="916" t="str">
        <f ca="1">IFERROR(OFFSET(A1_集計2027,$A168,BG$1),"")</f>
        <v/>
      </c>
      <c r="BH168" s="916" t="str">
        <f ca="1">IFERROR(OFFSET(A1_集計2024,$A168,BH$1),"")</f>
        <v/>
      </c>
      <c r="BI168" s="916" t="str">
        <f ca="1">IFERROR(OFFSET(A1_集計2025,$A168,BI$1),"")</f>
        <v/>
      </c>
      <c r="BJ168" s="916" t="str">
        <f ca="1">IFERROR(OFFSET(A1_集計2026,$A168,BJ$1),"")</f>
        <v/>
      </c>
      <c r="BK168" s="916" t="str">
        <f ca="1">IFERROR(OFFSET(A1_集計2027,$A168,BK$1),"")</f>
        <v/>
      </c>
      <c r="BL168" s="916" t="str">
        <f ca="1">IFERROR(OFFSET(A1_集計2024,$A168,BL$1),"")</f>
        <v/>
      </c>
      <c r="BM168" s="916" t="str">
        <f ca="1">IFERROR(OFFSET(A1_集計2025,$A168,BM$1),"")</f>
        <v/>
      </c>
      <c r="BN168" s="916" t="str">
        <f ca="1">IFERROR(OFFSET(A1_集計2026,$A168,BN$1),"")</f>
        <v/>
      </c>
      <c r="BO168" s="916" t="str">
        <f ca="1">IFERROR(OFFSET(A1_集計2027,$A168,BO$1),"")</f>
        <v/>
      </c>
      <c r="BP168" s="979"/>
    </row>
    <row r="169" spans="1:68" s="980" customFormat="1" ht="20.100000000000001" hidden="1" customHeight="1" outlineLevel="1">
      <c r="A169" s="973">
        <v>14</v>
      </c>
      <c r="B169" s="1594"/>
      <c r="C169" s="1596"/>
      <c r="D169" s="974" t="s">
        <v>787</v>
      </c>
      <c r="E169" s="975"/>
      <c r="F169" s="976"/>
      <c r="G169" s="977" t="s">
        <v>1281</v>
      </c>
      <c r="H169" s="978"/>
      <c r="I169" s="978"/>
      <c r="J169" s="978"/>
      <c r="K169" s="978"/>
      <c r="L169" s="916">
        <f ca="1">SUM(SUMIFS(OFFSET(A1_集計2024,$A169,9,1,200),OFFSET(貼付け_2024実績,4,9,1,200),{"横浜*","川崎*","県域*","エネルギー管理指定工場等*"}))</f>
        <v>0</v>
      </c>
      <c r="M169" s="916">
        <f ca="1">SUM(SUMIFS(OFFSET(A1_集計2025,$A169,9,1,200),OFFSET(貼付け_2025実績,4,9,1,200),{"横浜*","川崎*","県域*","エネルギー管理指定工場等*"}))</f>
        <v>0</v>
      </c>
      <c r="N169" s="916">
        <f ca="1">SUM(SUMIFS(OFFSET(A1_集計2026,$A169,9,1,200),OFFSET(貼付け_2026実績,4,9,1,200),{"横浜*","川崎*","県域*","エネルギー管理指定工場等*"}))</f>
        <v>0</v>
      </c>
      <c r="O169" s="916">
        <f ca="1">SUM(SUMIFS(OFFSET(A1_集計2027,$A169,9,1,200),OFFSET(貼付け_2027実績,4,9,1,200),{"横浜*","川崎*","県域*","エネルギー管理指定工場等*"}))</f>
        <v>0</v>
      </c>
      <c r="P169" s="916">
        <f ca="1">SUM(SUMIFS(OFFSET(A1_集計2024,$A169,9,1,200),OFFSET(貼付け_2024実績,4,9,1,200),{"横浜*","川崎*"}))</f>
        <v>0</v>
      </c>
      <c r="Q169" s="916">
        <f ca="1">SUM(SUMIFS(OFFSET(A1_集計2025,$A169,9,1,200),OFFSET(貼付け_2025実績,4,9,1,200),{"横浜*","川崎*"}))</f>
        <v>0</v>
      </c>
      <c r="R169" s="916">
        <f ca="1">SUM(SUMIFS(OFFSET(A1_集計2026,$A169,9,1,200),OFFSET(貼付け_2026実績,4,9,1,200),{"横浜*","川崎*"}))</f>
        <v>0</v>
      </c>
      <c r="S169" s="916">
        <f ca="1">SUM(SUMIFS(OFFSET(A1_集計2027,$A169,9,1,200),OFFSET(貼付け_2027実績,4,9,1,200),{"横浜*","川崎*"}))</f>
        <v>0</v>
      </c>
      <c r="T169" s="916">
        <f ca="1">SUM(SUMIFS(OFFSET(A1_集計2024,$A169,9,1,200),OFFSET(貼付け_2024実績,4,9,1,200),{"県域*","エネルギー管理指定工場等*"}))</f>
        <v>0</v>
      </c>
      <c r="U169" s="916">
        <f ca="1">SUM(SUMIFS(OFFSET(A1_集計2025,$A169,9,1,200),OFFSET(貼付け_2025実績,4,9,1,200),{"県域*","エネルギー管理指定工場等*"}))</f>
        <v>0</v>
      </c>
      <c r="V169" s="916">
        <f ca="1">SUM(SUMIFS(OFFSET(A1_集計2026,$A169,9,1,200),OFFSET(貼付け_2026実績,4,9,1,200),{"県域*","エネルギー管理指定工場等*"}))</f>
        <v>0</v>
      </c>
      <c r="W169" s="916">
        <f ca="1">SUM(SUMIFS(OFFSET(A1_集計2027,$A169,9,1,200),OFFSET(貼付け_2027実績,4,9,1,200),{"県域*","エネルギー管理指定工場等*"}))</f>
        <v>0</v>
      </c>
      <c r="X169" s="916">
        <f ca="1">SUMIFS(OFFSET(A1_集計2024,$A169,9,1,200),OFFSET(貼付け_2024実績,4,9,1,200),"県域*")</f>
        <v>0</v>
      </c>
      <c r="Y169" s="916">
        <f ca="1">SUMIFS(OFFSET(A1_集計2025,$A169,9,1,200),OFFSET(貼付け_2025実績,4,9,1,200),"県域*")</f>
        <v>0</v>
      </c>
      <c r="Z169" s="916">
        <f ca="1">SUMIFS(OFFSET(A1_集計2026,$A169,9,1,200),OFFSET(貼付け_2026実績,4,9,1,200),"県域*")</f>
        <v>0</v>
      </c>
      <c r="AA169" s="916">
        <f ca="1">SUMIFS(OFFSET(A1_集計2027,$A169,9,1,200),OFFSET(貼付け_2027実績,4,9,1,200),"県域*")</f>
        <v>0</v>
      </c>
      <c r="AB169" s="916" t="str">
        <f ca="1">IFERROR(OFFSET(A1_集計2024,$A169,AB$1),"")</f>
        <v/>
      </c>
      <c r="AC169" s="916" t="str">
        <f ca="1">IFERROR(OFFSET(A1_集計2025,$A169,AC$1),"")</f>
        <v/>
      </c>
      <c r="AD169" s="916" t="str">
        <f ca="1">IFERROR(OFFSET(A1_集計2026,$A169,AD$1),"")</f>
        <v/>
      </c>
      <c r="AE169" s="916" t="str">
        <f ca="1">IFERROR(OFFSET(A1_集計2027,$A169,AE$1),"")</f>
        <v/>
      </c>
      <c r="AF169" s="916" t="str">
        <f ca="1">IFERROR(OFFSET(A1_集計2024,$A169,AF$1),"")</f>
        <v/>
      </c>
      <c r="AG169" s="916" t="str">
        <f ca="1">IFERROR(OFFSET(A1_集計2025,$A169,AG$1),"")</f>
        <v/>
      </c>
      <c r="AH169" s="916" t="str">
        <f ca="1">IFERROR(OFFSET(A1_集計2026,$A169,AH$1),"")</f>
        <v/>
      </c>
      <c r="AI169" s="916" t="str">
        <f ca="1">IFERROR(OFFSET(A1_集計2027,$A169,AI$1),"")</f>
        <v/>
      </c>
      <c r="AJ169" s="916" t="str">
        <f ca="1">IFERROR(OFFSET(A1_集計2024,$A169,AJ$1),"")</f>
        <v/>
      </c>
      <c r="AK169" s="916" t="str">
        <f ca="1">IFERROR(OFFSET(A1_集計2025,$A169,AK$1),"")</f>
        <v/>
      </c>
      <c r="AL169" s="916" t="str">
        <f ca="1">IFERROR(OFFSET(A1_集計2026,$A169,AL$1),"")</f>
        <v/>
      </c>
      <c r="AM169" s="916" t="str">
        <f ca="1">IFERROR(OFFSET(A1_集計2027,$A169,AM$1),"")</f>
        <v/>
      </c>
      <c r="AN169" s="916" t="str">
        <f ca="1">IFERROR(OFFSET(A1_集計2024,$A169,AN$1),"")</f>
        <v/>
      </c>
      <c r="AO169" s="916" t="str">
        <f ca="1">IFERROR(OFFSET(A1_集計2025,$A169,AO$1),"")</f>
        <v/>
      </c>
      <c r="AP169" s="916" t="str">
        <f ca="1">IFERROR(OFFSET(A1_集計2026,$A169,AP$1),"")</f>
        <v/>
      </c>
      <c r="AQ169" s="916" t="str">
        <f ca="1">IFERROR(OFFSET(A1_集計2027,$A169,AQ$1),"")</f>
        <v/>
      </c>
      <c r="AR169" s="916" t="str">
        <f ca="1">IFERROR(OFFSET(A1_集計2024,$A169,AR$1),"")</f>
        <v/>
      </c>
      <c r="AS169" s="916" t="str">
        <f ca="1">IFERROR(OFFSET(A1_集計2025,$A169,AS$1),"")</f>
        <v/>
      </c>
      <c r="AT169" s="916" t="str">
        <f ca="1">IFERROR(OFFSET(A1_集計2026,$A169,AT$1),"")</f>
        <v/>
      </c>
      <c r="AU169" s="916" t="str">
        <f ca="1">IFERROR(OFFSET(A1_集計2027,$A169,AU$1),"")</f>
        <v/>
      </c>
      <c r="AV169" s="916" t="str">
        <f ca="1">IFERROR(OFFSET(A1_集計2024,$A169,AV$1),"")</f>
        <v/>
      </c>
      <c r="AW169" s="916" t="str">
        <f ca="1">IFERROR(OFFSET(A1_集計2025,$A169,AW$1),"")</f>
        <v/>
      </c>
      <c r="AX169" s="916" t="str">
        <f ca="1">IFERROR(OFFSET(A1_集計2026,$A169,AX$1),"")</f>
        <v/>
      </c>
      <c r="AY169" s="916" t="str">
        <f ca="1">IFERROR(OFFSET(A1_集計2027,$A169,AY$1),"")</f>
        <v/>
      </c>
      <c r="AZ169" s="916" t="str">
        <f ca="1">IFERROR(OFFSET(A1_集計2024,$A169,AZ$1),"")</f>
        <v/>
      </c>
      <c r="BA169" s="916" t="str">
        <f ca="1">IFERROR(OFFSET(A1_集計2025,$A169,BA$1),"")</f>
        <v/>
      </c>
      <c r="BB169" s="916" t="str">
        <f ca="1">IFERROR(OFFSET(A1_集計2026,$A169,BB$1),"")</f>
        <v/>
      </c>
      <c r="BC169" s="916" t="str">
        <f ca="1">IFERROR(OFFSET(A1_集計2027,$A169,BC$1),"")</f>
        <v/>
      </c>
      <c r="BD169" s="916" t="str">
        <f ca="1">IFERROR(OFFSET(A1_集計2024,$A169,BD$1),"")</f>
        <v/>
      </c>
      <c r="BE169" s="916" t="str">
        <f ca="1">IFERROR(OFFSET(A1_集計2025,$A169,BE$1),"")</f>
        <v/>
      </c>
      <c r="BF169" s="916" t="str">
        <f ca="1">IFERROR(OFFSET(A1_集計2026,$A169,BF$1),"")</f>
        <v/>
      </c>
      <c r="BG169" s="916" t="str">
        <f ca="1">IFERROR(OFFSET(A1_集計2027,$A169,BG$1),"")</f>
        <v/>
      </c>
      <c r="BH169" s="916" t="str">
        <f ca="1">IFERROR(OFFSET(A1_集計2024,$A169,BH$1),"")</f>
        <v/>
      </c>
      <c r="BI169" s="916" t="str">
        <f ca="1">IFERROR(OFFSET(A1_集計2025,$A169,BI$1),"")</f>
        <v/>
      </c>
      <c r="BJ169" s="916" t="str">
        <f ca="1">IFERROR(OFFSET(A1_集計2026,$A169,BJ$1),"")</f>
        <v/>
      </c>
      <c r="BK169" s="916" t="str">
        <f ca="1">IFERROR(OFFSET(A1_集計2027,$A169,BK$1),"")</f>
        <v/>
      </c>
      <c r="BL169" s="916" t="str">
        <f ca="1">IFERROR(OFFSET(A1_集計2024,$A169,BL$1),"")</f>
        <v/>
      </c>
      <c r="BM169" s="916" t="str">
        <f ca="1">IFERROR(OFFSET(A1_集計2025,$A169,BM$1),"")</f>
        <v/>
      </c>
      <c r="BN169" s="916" t="str">
        <f ca="1">IFERROR(OFFSET(A1_集計2026,$A169,BN$1),"")</f>
        <v/>
      </c>
      <c r="BO169" s="916" t="str">
        <f ca="1">IFERROR(OFFSET(A1_集計2027,$A169,BO$1),"")</f>
        <v/>
      </c>
      <c r="BP169" s="979"/>
    </row>
    <row r="170" spans="1:68" ht="20.100000000000001" hidden="1" customHeight="1" outlineLevel="1">
      <c r="A170" s="914">
        <v>64</v>
      </c>
      <c r="B170" s="1594"/>
      <c r="C170" s="1596"/>
      <c r="D170" s="812" t="s">
        <v>398</v>
      </c>
      <c r="E170" s="792" t="str">
        <f ca="1">E60</f>
        <v/>
      </c>
      <c r="F170" s="794"/>
      <c r="G170" s="852" t="s">
        <v>1281</v>
      </c>
      <c r="H170" s="915">
        <f ca="1">IFERROR(OFFSET(貼付け_2024実績,$A170,6),"")</f>
        <v>0</v>
      </c>
      <c r="I170" s="915">
        <f ca="1">IFERROR(OFFSET(貼付け_2025実績,$A170,6),"")</f>
        <v>0</v>
      </c>
      <c r="J170" s="915">
        <f ca="1">IFERROR(OFFSET(貼付け_2026実績,$A170,6),"")</f>
        <v>0</v>
      </c>
      <c r="K170" s="915">
        <f ca="1">IFERROR(OFFSET(貼付け_2027実績,$A170,6),"")</f>
        <v>0</v>
      </c>
      <c r="L170" s="916">
        <f ca="1">IFERROR($H170*参考2_エネ使用量経年!L61,"")</f>
        <v>0</v>
      </c>
      <c r="M170" s="916">
        <f ca="1">IFERROR($I170*参考2_エネ使用量経年!M61,"")</f>
        <v>0</v>
      </c>
      <c r="N170" s="916">
        <f ca="1">IFERROR($J170*参考2_エネ使用量経年!N61,"")</f>
        <v>0</v>
      </c>
      <c r="O170" s="916">
        <f ca="1">IFERROR($K170*参考2_エネ使用量経年!O61,"")</f>
        <v>0</v>
      </c>
      <c r="P170" s="916">
        <f ca="1">IFERROR($H170*参考2_エネ使用量経年!P61,"")</f>
        <v>0</v>
      </c>
      <c r="Q170" s="916">
        <f ca="1">IFERROR($I170*参考2_エネ使用量経年!Q61,"")</f>
        <v>0</v>
      </c>
      <c r="R170" s="916">
        <f ca="1">IFERROR($J170*参考2_エネ使用量経年!R61,"")</f>
        <v>0</v>
      </c>
      <c r="S170" s="916">
        <f ca="1">IFERROR($K170*参考2_エネ使用量経年!S61,"")</f>
        <v>0</v>
      </c>
      <c r="T170" s="916">
        <f ca="1">IFERROR($H170*参考2_エネ使用量経年!T61,"")</f>
        <v>0</v>
      </c>
      <c r="U170" s="916">
        <f ca="1">IFERROR($I170*参考2_エネ使用量経年!U61,"")</f>
        <v>0</v>
      </c>
      <c r="V170" s="916">
        <f ca="1">IFERROR($J170*参考2_エネ使用量経年!V61,"")</f>
        <v>0</v>
      </c>
      <c r="W170" s="916">
        <f ca="1">IFERROR($K170*参考2_エネ使用量経年!W61,"")</f>
        <v>0</v>
      </c>
      <c r="X170" s="916">
        <f ca="1">IFERROR($H170*参考2_エネ使用量経年!X61,"")</f>
        <v>0</v>
      </c>
      <c r="Y170" s="916">
        <f ca="1">IFERROR($I170*参考2_エネ使用量経年!Y61,"")</f>
        <v>0</v>
      </c>
      <c r="Z170" s="916">
        <f ca="1">IFERROR($J170*参考2_エネ使用量経年!Z61,"")</f>
        <v>0</v>
      </c>
      <c r="AA170" s="916">
        <f ca="1">IFERROR($K170*参考2_エネ使用量経年!AA61,"")</f>
        <v>0</v>
      </c>
      <c r="AB170" s="916" t="str">
        <f ca="1">IFERROR($H170*参考2_エネ使用量経年!AB61,"")</f>
        <v/>
      </c>
      <c r="AC170" s="916" t="str">
        <f ca="1">IFERROR($I170*参考2_エネ使用量経年!AC61,"")</f>
        <v/>
      </c>
      <c r="AD170" s="916" t="str">
        <f ca="1">IFERROR($J170*参考2_エネ使用量経年!AD61,"")</f>
        <v/>
      </c>
      <c r="AE170" s="916" t="str">
        <f ca="1">IFERROR($K170*参考2_エネ使用量経年!AE61,"")</f>
        <v/>
      </c>
      <c r="AF170" s="916" t="str">
        <f ca="1">IFERROR($H170*参考2_エネ使用量経年!AF61,"")</f>
        <v/>
      </c>
      <c r="AG170" s="916" t="str">
        <f ca="1">IFERROR($I170*参考2_エネ使用量経年!AG61,"")</f>
        <v/>
      </c>
      <c r="AH170" s="916" t="str">
        <f ca="1">IFERROR($J170*参考2_エネ使用量経年!AH61,"")</f>
        <v/>
      </c>
      <c r="AI170" s="916" t="str">
        <f ca="1">IFERROR($K170*参考2_エネ使用量経年!AI61,"")</f>
        <v/>
      </c>
      <c r="AJ170" s="916" t="str">
        <f ca="1">IFERROR($H170*参考2_エネ使用量経年!AJ61,"")</f>
        <v/>
      </c>
      <c r="AK170" s="916" t="str">
        <f ca="1">IFERROR($I170*参考2_エネ使用量経年!AK61,"")</f>
        <v/>
      </c>
      <c r="AL170" s="916" t="str">
        <f ca="1">IFERROR($J170*参考2_エネ使用量経年!AL61,"")</f>
        <v/>
      </c>
      <c r="AM170" s="916" t="str">
        <f ca="1">IFERROR($K170*参考2_エネ使用量経年!AM61,"")</f>
        <v/>
      </c>
      <c r="AN170" s="916" t="str">
        <f ca="1">IFERROR($H170*参考2_エネ使用量経年!AN61,"")</f>
        <v/>
      </c>
      <c r="AO170" s="916" t="str">
        <f ca="1">IFERROR($I170*参考2_エネ使用量経年!AO61,"")</f>
        <v/>
      </c>
      <c r="AP170" s="916" t="str">
        <f ca="1">IFERROR($J170*参考2_エネ使用量経年!AP61,"")</f>
        <v/>
      </c>
      <c r="AQ170" s="916" t="str">
        <f ca="1">IFERROR($K170*参考2_エネ使用量経年!AQ61,"")</f>
        <v/>
      </c>
      <c r="AR170" s="916" t="str">
        <f ca="1">IFERROR($H170*参考2_エネ使用量経年!AR61,"")</f>
        <v/>
      </c>
      <c r="AS170" s="916" t="str">
        <f ca="1">IFERROR($I170*参考2_エネ使用量経年!AS61,"")</f>
        <v/>
      </c>
      <c r="AT170" s="916" t="str">
        <f ca="1">IFERROR($J170*参考2_エネ使用量経年!AT61,"")</f>
        <v/>
      </c>
      <c r="AU170" s="916" t="str">
        <f ca="1">IFERROR($K170*参考2_エネ使用量経年!AU61,"")</f>
        <v/>
      </c>
      <c r="AV170" s="916" t="str">
        <f ca="1">IFERROR($H170*参考2_エネ使用量経年!AV61,"")</f>
        <v/>
      </c>
      <c r="AW170" s="916" t="str">
        <f ca="1">IFERROR($I170*参考2_エネ使用量経年!AW61,"")</f>
        <v/>
      </c>
      <c r="AX170" s="916" t="str">
        <f ca="1">IFERROR($J170*参考2_エネ使用量経年!AX61,"")</f>
        <v/>
      </c>
      <c r="AY170" s="916" t="str">
        <f ca="1">IFERROR($K170*参考2_エネ使用量経年!AY61,"")</f>
        <v/>
      </c>
      <c r="AZ170" s="916" t="str">
        <f ca="1">IFERROR($H170*参考2_エネ使用量経年!AZ61,"")</f>
        <v/>
      </c>
      <c r="BA170" s="916" t="str">
        <f ca="1">IFERROR($I170*参考2_エネ使用量経年!BA61,"")</f>
        <v/>
      </c>
      <c r="BB170" s="916" t="str">
        <f ca="1">IFERROR($J170*参考2_エネ使用量経年!BB61,"")</f>
        <v/>
      </c>
      <c r="BC170" s="916" t="str">
        <f ca="1">IFERROR($K170*参考2_エネ使用量経年!BC61,"")</f>
        <v/>
      </c>
      <c r="BD170" s="916" t="str">
        <f ca="1">IFERROR($H170*参考2_エネ使用量経年!BD61,"")</f>
        <v/>
      </c>
      <c r="BE170" s="916" t="str">
        <f ca="1">IFERROR($I170*参考2_エネ使用量経年!BE61,"")</f>
        <v/>
      </c>
      <c r="BF170" s="916" t="str">
        <f ca="1">IFERROR($J170*参考2_エネ使用量経年!BF61,"")</f>
        <v/>
      </c>
      <c r="BG170" s="916" t="str">
        <f ca="1">IFERROR($K170*参考2_エネ使用量経年!BG61,"")</f>
        <v/>
      </c>
      <c r="BH170" s="916" t="str">
        <f ca="1">IFERROR($H170*参考2_エネ使用量経年!BH61,"")</f>
        <v/>
      </c>
      <c r="BI170" s="916" t="str">
        <f ca="1">IFERROR($I170*参考2_エネ使用量経年!BI61,"")</f>
        <v/>
      </c>
      <c r="BJ170" s="916" t="str">
        <f ca="1">IFERROR($J170*参考2_エネ使用量経年!BJ61,"")</f>
        <v/>
      </c>
      <c r="BK170" s="916" t="str">
        <f ca="1">IFERROR($K170*参考2_エネ使用量経年!BK61,"")</f>
        <v/>
      </c>
      <c r="BL170" s="916" t="str">
        <f ca="1">IFERROR($H170*参考2_エネ使用量経年!BL61,"")</f>
        <v/>
      </c>
      <c r="BM170" s="916" t="str">
        <f ca="1">IFERROR($I170*参考2_エネ使用量経年!BM61,"")</f>
        <v/>
      </c>
      <c r="BN170" s="916" t="str">
        <f ca="1">IFERROR($J170*参考2_エネ使用量経年!BN61,"")</f>
        <v/>
      </c>
      <c r="BO170" s="916" t="str">
        <f ca="1">IFERROR($K170*参考2_エネ使用量経年!BO61,"")</f>
        <v/>
      </c>
      <c r="BP170" s="802"/>
    </row>
    <row r="171" spans="1:68" ht="20.100000000000001" hidden="1" customHeight="1" outlineLevel="1">
      <c r="A171" s="914">
        <v>66</v>
      </c>
      <c r="B171" s="1594"/>
      <c r="C171" s="1596" t="s">
        <v>399</v>
      </c>
      <c r="D171" s="919" t="s">
        <v>400</v>
      </c>
      <c r="E171" s="920"/>
      <c r="F171" s="810"/>
      <c r="G171" s="852" t="s">
        <v>1281</v>
      </c>
      <c r="H171" s="921"/>
      <c r="I171" s="921"/>
      <c r="J171" s="921"/>
      <c r="K171" s="921"/>
      <c r="L171" s="921"/>
      <c r="M171" s="921"/>
      <c r="N171" s="921"/>
      <c r="O171" s="921"/>
      <c r="P171" s="921"/>
      <c r="Q171" s="921"/>
      <c r="R171" s="921"/>
      <c r="S171" s="921"/>
      <c r="T171" s="921"/>
      <c r="U171" s="921"/>
      <c r="V171" s="921"/>
      <c r="W171" s="921"/>
      <c r="X171" s="921"/>
      <c r="Y171" s="921"/>
      <c r="Z171" s="921"/>
      <c r="AA171" s="921"/>
      <c r="AB171" s="921"/>
      <c r="AC171" s="921"/>
      <c r="AD171" s="921"/>
      <c r="AE171" s="921"/>
      <c r="AF171" s="921"/>
      <c r="AG171" s="921"/>
      <c r="AH171" s="921"/>
      <c r="AI171" s="921"/>
      <c r="AJ171" s="921"/>
      <c r="AK171" s="921"/>
      <c r="AL171" s="921"/>
      <c r="AM171" s="921"/>
      <c r="AN171" s="921"/>
      <c r="AO171" s="921"/>
      <c r="AP171" s="921"/>
      <c r="AQ171" s="921"/>
      <c r="AR171" s="921"/>
      <c r="AS171" s="921"/>
      <c r="AT171" s="921"/>
      <c r="AU171" s="921"/>
      <c r="AV171" s="921"/>
      <c r="AW171" s="921"/>
      <c r="AX171" s="921"/>
      <c r="AY171" s="921"/>
      <c r="AZ171" s="921"/>
      <c r="BA171" s="921"/>
      <c r="BB171" s="921"/>
      <c r="BC171" s="921"/>
      <c r="BD171" s="921"/>
      <c r="BE171" s="921"/>
      <c r="BF171" s="921"/>
      <c r="BG171" s="921"/>
      <c r="BH171" s="921"/>
      <c r="BI171" s="921"/>
      <c r="BJ171" s="921"/>
      <c r="BK171" s="921"/>
      <c r="BL171" s="921"/>
      <c r="BM171" s="921"/>
      <c r="BN171" s="921"/>
      <c r="BO171" s="921"/>
      <c r="BP171" s="802"/>
    </row>
    <row r="172" spans="1:68" ht="20.100000000000001" hidden="1" customHeight="1" outlineLevel="1">
      <c r="A172" s="914">
        <v>67</v>
      </c>
      <c r="B172" s="1594"/>
      <c r="C172" s="1596"/>
      <c r="D172" s="919" t="s">
        <v>401</v>
      </c>
      <c r="E172" s="920"/>
      <c r="F172" s="810"/>
      <c r="G172" s="852" t="s">
        <v>1281</v>
      </c>
      <c r="H172" s="921"/>
      <c r="I172" s="921"/>
      <c r="J172" s="921"/>
      <c r="K172" s="921"/>
      <c r="L172" s="921"/>
      <c r="M172" s="921"/>
      <c r="N172" s="921"/>
      <c r="O172" s="921"/>
      <c r="P172" s="921"/>
      <c r="Q172" s="921"/>
      <c r="R172" s="921"/>
      <c r="S172" s="921"/>
      <c r="T172" s="921"/>
      <c r="U172" s="921"/>
      <c r="V172" s="921"/>
      <c r="W172" s="921"/>
      <c r="X172" s="921"/>
      <c r="Y172" s="921"/>
      <c r="Z172" s="921"/>
      <c r="AA172" s="921"/>
      <c r="AB172" s="921"/>
      <c r="AC172" s="921"/>
      <c r="AD172" s="921"/>
      <c r="AE172" s="921"/>
      <c r="AF172" s="921"/>
      <c r="AG172" s="921"/>
      <c r="AH172" s="921"/>
      <c r="AI172" s="921"/>
      <c r="AJ172" s="921"/>
      <c r="AK172" s="921"/>
      <c r="AL172" s="921"/>
      <c r="AM172" s="921"/>
      <c r="AN172" s="921"/>
      <c r="AO172" s="921"/>
      <c r="AP172" s="921"/>
      <c r="AQ172" s="921"/>
      <c r="AR172" s="921"/>
      <c r="AS172" s="921"/>
      <c r="AT172" s="921"/>
      <c r="AU172" s="921"/>
      <c r="AV172" s="921"/>
      <c r="AW172" s="921"/>
      <c r="AX172" s="921"/>
      <c r="AY172" s="921"/>
      <c r="AZ172" s="921"/>
      <c r="BA172" s="921"/>
      <c r="BB172" s="921"/>
      <c r="BC172" s="921"/>
      <c r="BD172" s="921"/>
      <c r="BE172" s="921"/>
      <c r="BF172" s="921"/>
      <c r="BG172" s="921"/>
      <c r="BH172" s="921"/>
      <c r="BI172" s="921"/>
      <c r="BJ172" s="921"/>
      <c r="BK172" s="921"/>
      <c r="BL172" s="921"/>
      <c r="BM172" s="921"/>
      <c r="BN172" s="921"/>
      <c r="BO172" s="921"/>
      <c r="BP172" s="802"/>
    </row>
    <row r="173" spans="1:68" ht="20.100000000000001" hidden="1" customHeight="1" outlineLevel="1">
      <c r="A173" s="914">
        <v>68</v>
      </c>
      <c r="B173" s="1594"/>
      <c r="C173" s="1596"/>
      <c r="D173" s="919" t="s">
        <v>402</v>
      </c>
      <c r="E173" s="920"/>
      <c r="F173" s="810"/>
      <c r="G173" s="852" t="s">
        <v>1281</v>
      </c>
      <c r="H173" s="921"/>
      <c r="I173" s="921"/>
      <c r="J173" s="921"/>
      <c r="K173" s="921"/>
      <c r="L173" s="921"/>
      <c r="M173" s="921"/>
      <c r="N173" s="921"/>
      <c r="O173" s="921"/>
      <c r="P173" s="921"/>
      <c r="Q173" s="921"/>
      <c r="R173" s="921"/>
      <c r="S173" s="921"/>
      <c r="T173" s="921"/>
      <c r="U173" s="921"/>
      <c r="V173" s="921"/>
      <c r="W173" s="921"/>
      <c r="X173" s="921"/>
      <c r="Y173" s="921"/>
      <c r="Z173" s="921"/>
      <c r="AA173" s="921"/>
      <c r="AB173" s="921"/>
      <c r="AC173" s="921"/>
      <c r="AD173" s="921"/>
      <c r="AE173" s="921"/>
      <c r="AF173" s="921"/>
      <c r="AG173" s="921"/>
      <c r="AH173" s="921"/>
      <c r="AI173" s="921"/>
      <c r="AJ173" s="921"/>
      <c r="AK173" s="921"/>
      <c r="AL173" s="921"/>
      <c r="AM173" s="921"/>
      <c r="AN173" s="921"/>
      <c r="AO173" s="921"/>
      <c r="AP173" s="921"/>
      <c r="AQ173" s="921"/>
      <c r="AR173" s="921"/>
      <c r="AS173" s="921"/>
      <c r="AT173" s="921"/>
      <c r="AU173" s="921"/>
      <c r="AV173" s="921"/>
      <c r="AW173" s="921"/>
      <c r="AX173" s="921"/>
      <c r="AY173" s="921"/>
      <c r="AZ173" s="921"/>
      <c r="BA173" s="921"/>
      <c r="BB173" s="921"/>
      <c r="BC173" s="921"/>
      <c r="BD173" s="921"/>
      <c r="BE173" s="921"/>
      <c r="BF173" s="921"/>
      <c r="BG173" s="921"/>
      <c r="BH173" s="921"/>
      <c r="BI173" s="921"/>
      <c r="BJ173" s="921"/>
      <c r="BK173" s="921"/>
      <c r="BL173" s="921"/>
      <c r="BM173" s="921"/>
      <c r="BN173" s="921"/>
      <c r="BO173" s="921"/>
      <c r="BP173" s="802"/>
    </row>
    <row r="174" spans="1:68" ht="20.100000000000001" hidden="1" customHeight="1" outlineLevel="1">
      <c r="A174" s="914">
        <v>69</v>
      </c>
      <c r="B174" s="1594"/>
      <c r="C174" s="1596"/>
      <c r="D174" s="919" t="s">
        <v>403</v>
      </c>
      <c r="E174" s="920"/>
      <c r="F174" s="810"/>
      <c r="G174" s="852" t="s">
        <v>1281</v>
      </c>
      <c r="H174" s="921"/>
      <c r="I174" s="921"/>
      <c r="J174" s="921"/>
      <c r="K174" s="921"/>
      <c r="L174" s="921"/>
      <c r="M174" s="921"/>
      <c r="N174" s="921"/>
      <c r="O174" s="921"/>
      <c r="P174" s="921"/>
      <c r="Q174" s="921"/>
      <c r="R174" s="921"/>
      <c r="S174" s="921"/>
      <c r="T174" s="921"/>
      <c r="U174" s="921"/>
      <c r="V174" s="921"/>
      <c r="W174" s="921"/>
      <c r="X174" s="921"/>
      <c r="Y174" s="921"/>
      <c r="Z174" s="921"/>
      <c r="AA174" s="921"/>
      <c r="AB174" s="921"/>
      <c r="AC174" s="921"/>
      <c r="AD174" s="921"/>
      <c r="AE174" s="921"/>
      <c r="AF174" s="921"/>
      <c r="AG174" s="921"/>
      <c r="AH174" s="921"/>
      <c r="AI174" s="921"/>
      <c r="AJ174" s="921"/>
      <c r="AK174" s="921"/>
      <c r="AL174" s="921"/>
      <c r="AM174" s="921"/>
      <c r="AN174" s="921"/>
      <c r="AO174" s="921"/>
      <c r="AP174" s="921"/>
      <c r="AQ174" s="921"/>
      <c r="AR174" s="921"/>
      <c r="AS174" s="921"/>
      <c r="AT174" s="921"/>
      <c r="AU174" s="921"/>
      <c r="AV174" s="921"/>
      <c r="AW174" s="921"/>
      <c r="AX174" s="921"/>
      <c r="AY174" s="921"/>
      <c r="AZ174" s="921"/>
      <c r="BA174" s="921"/>
      <c r="BB174" s="921"/>
      <c r="BC174" s="921"/>
      <c r="BD174" s="921"/>
      <c r="BE174" s="921"/>
      <c r="BF174" s="921"/>
      <c r="BG174" s="921"/>
      <c r="BH174" s="921"/>
      <c r="BI174" s="921"/>
      <c r="BJ174" s="921"/>
      <c r="BK174" s="921"/>
      <c r="BL174" s="921"/>
      <c r="BM174" s="921"/>
      <c r="BN174" s="921"/>
      <c r="BO174" s="921"/>
      <c r="BP174" s="802"/>
    </row>
    <row r="175" spans="1:68" ht="20.100000000000001" hidden="1" customHeight="1" outlineLevel="1">
      <c r="A175" s="914">
        <v>70</v>
      </c>
      <c r="B175" s="1594"/>
      <c r="C175" s="1596"/>
      <c r="D175" s="814" t="s">
        <v>788</v>
      </c>
      <c r="E175" s="792" t="str">
        <f ca="1">E65</f>
        <v/>
      </c>
      <c r="F175" s="794"/>
      <c r="G175" s="852" t="s">
        <v>1281</v>
      </c>
      <c r="H175" s="915">
        <f ca="1">IFERROR(OFFSET(貼付け_2024実績,$A175,6),"")</f>
        <v>0</v>
      </c>
      <c r="I175" s="915">
        <f ca="1">IFERROR(OFFSET(貼付け_2025実績,$A175,6),"")</f>
        <v>0</v>
      </c>
      <c r="J175" s="915">
        <f ca="1">IFERROR(OFFSET(貼付け_2026実績,$A175,6),"")</f>
        <v>0</v>
      </c>
      <c r="K175" s="915">
        <f ca="1">IFERROR(OFFSET(貼付け_2027実績,$A175,6),"")</f>
        <v>0</v>
      </c>
      <c r="L175" s="916">
        <f ca="1">IFERROR($H175*参考2_エネ使用量経年!L66,"")</f>
        <v>0</v>
      </c>
      <c r="M175" s="916">
        <f ca="1">IFERROR($I175*参考2_エネ使用量経年!M66,"")</f>
        <v>0</v>
      </c>
      <c r="N175" s="916">
        <f ca="1">IFERROR($J175*参考2_エネ使用量経年!N66,"")</f>
        <v>0</v>
      </c>
      <c r="O175" s="916">
        <f ca="1">IFERROR($K175*参考2_エネ使用量経年!O66,"")</f>
        <v>0</v>
      </c>
      <c r="P175" s="916">
        <f ca="1">IFERROR($H175*参考2_エネ使用量経年!P66,"")</f>
        <v>0</v>
      </c>
      <c r="Q175" s="916">
        <f ca="1">IFERROR($I175*参考2_エネ使用量経年!Q66,"")</f>
        <v>0</v>
      </c>
      <c r="R175" s="916">
        <f ca="1">IFERROR($J175*参考2_エネ使用量経年!R66,"")</f>
        <v>0</v>
      </c>
      <c r="S175" s="916">
        <f ca="1">IFERROR($K175*参考2_エネ使用量経年!S66,"")</f>
        <v>0</v>
      </c>
      <c r="T175" s="916">
        <f ca="1">IFERROR($H175*参考2_エネ使用量経年!T66,"")</f>
        <v>0</v>
      </c>
      <c r="U175" s="916">
        <f ca="1">IFERROR($I175*参考2_エネ使用量経年!U66,"")</f>
        <v>0</v>
      </c>
      <c r="V175" s="916">
        <f ca="1">IFERROR($J175*参考2_エネ使用量経年!V66,"")</f>
        <v>0</v>
      </c>
      <c r="W175" s="916">
        <f ca="1">IFERROR($K175*参考2_エネ使用量経年!W66,"")</f>
        <v>0</v>
      </c>
      <c r="X175" s="916">
        <f ca="1">IFERROR($H175*参考2_エネ使用量経年!X66,"")</f>
        <v>0</v>
      </c>
      <c r="Y175" s="916">
        <f ca="1">IFERROR($I175*参考2_エネ使用量経年!Y66,"")</f>
        <v>0</v>
      </c>
      <c r="Z175" s="916">
        <f ca="1">IFERROR($J175*参考2_エネ使用量経年!Z66,"")</f>
        <v>0</v>
      </c>
      <c r="AA175" s="916">
        <f ca="1">IFERROR($K175*参考2_エネ使用量経年!AA66,"")</f>
        <v>0</v>
      </c>
      <c r="AB175" s="916" t="str">
        <f ca="1">IFERROR($H175*参考2_エネ使用量経年!AB66,"")</f>
        <v/>
      </c>
      <c r="AC175" s="916" t="str">
        <f ca="1">IFERROR($I175*参考2_エネ使用量経年!AC66,"")</f>
        <v/>
      </c>
      <c r="AD175" s="916" t="str">
        <f ca="1">IFERROR($J175*参考2_エネ使用量経年!AD66,"")</f>
        <v/>
      </c>
      <c r="AE175" s="916" t="str">
        <f ca="1">IFERROR($K175*参考2_エネ使用量経年!AE66,"")</f>
        <v/>
      </c>
      <c r="AF175" s="916" t="str">
        <f ca="1">IFERROR($H175*参考2_エネ使用量経年!AF66,"")</f>
        <v/>
      </c>
      <c r="AG175" s="916" t="str">
        <f ca="1">IFERROR($I175*参考2_エネ使用量経年!AG66,"")</f>
        <v/>
      </c>
      <c r="AH175" s="916" t="str">
        <f ca="1">IFERROR($J175*参考2_エネ使用量経年!AH66,"")</f>
        <v/>
      </c>
      <c r="AI175" s="916" t="str">
        <f ca="1">IFERROR($K175*参考2_エネ使用量経年!AI66,"")</f>
        <v/>
      </c>
      <c r="AJ175" s="916" t="str">
        <f ca="1">IFERROR($H175*参考2_エネ使用量経年!AJ66,"")</f>
        <v/>
      </c>
      <c r="AK175" s="916" t="str">
        <f ca="1">IFERROR($I175*参考2_エネ使用量経年!AK66,"")</f>
        <v/>
      </c>
      <c r="AL175" s="916" t="str">
        <f ca="1">IFERROR($J175*参考2_エネ使用量経年!AL66,"")</f>
        <v/>
      </c>
      <c r="AM175" s="916" t="str">
        <f ca="1">IFERROR($K175*参考2_エネ使用量経年!AM66,"")</f>
        <v/>
      </c>
      <c r="AN175" s="916" t="str">
        <f ca="1">IFERROR($H175*参考2_エネ使用量経年!AN66,"")</f>
        <v/>
      </c>
      <c r="AO175" s="916" t="str">
        <f ca="1">IFERROR($I175*参考2_エネ使用量経年!AO66,"")</f>
        <v/>
      </c>
      <c r="AP175" s="916" t="str">
        <f ca="1">IFERROR($J175*参考2_エネ使用量経年!AP66,"")</f>
        <v/>
      </c>
      <c r="AQ175" s="916" t="str">
        <f ca="1">IFERROR($K175*参考2_エネ使用量経年!AQ66,"")</f>
        <v/>
      </c>
      <c r="AR175" s="916" t="str">
        <f ca="1">IFERROR($H175*参考2_エネ使用量経年!AR66,"")</f>
        <v/>
      </c>
      <c r="AS175" s="916" t="str">
        <f ca="1">IFERROR($I175*参考2_エネ使用量経年!AS66,"")</f>
        <v/>
      </c>
      <c r="AT175" s="916" t="str">
        <f ca="1">IFERROR($J175*参考2_エネ使用量経年!AT66,"")</f>
        <v/>
      </c>
      <c r="AU175" s="916" t="str">
        <f ca="1">IFERROR($K175*参考2_エネ使用量経年!AU66,"")</f>
        <v/>
      </c>
      <c r="AV175" s="916" t="str">
        <f ca="1">IFERROR($H175*参考2_エネ使用量経年!AV66,"")</f>
        <v/>
      </c>
      <c r="AW175" s="916" t="str">
        <f ca="1">IFERROR($I175*参考2_エネ使用量経年!AW66,"")</f>
        <v/>
      </c>
      <c r="AX175" s="916" t="str">
        <f ca="1">IFERROR($J175*参考2_エネ使用量経年!AX66,"")</f>
        <v/>
      </c>
      <c r="AY175" s="916" t="str">
        <f ca="1">IFERROR($K175*参考2_エネ使用量経年!AY66,"")</f>
        <v/>
      </c>
      <c r="AZ175" s="916" t="str">
        <f ca="1">IFERROR($H175*参考2_エネ使用量経年!AZ66,"")</f>
        <v/>
      </c>
      <c r="BA175" s="916" t="str">
        <f ca="1">IFERROR($I175*参考2_エネ使用量経年!BA66,"")</f>
        <v/>
      </c>
      <c r="BB175" s="916" t="str">
        <f ca="1">IFERROR($J175*参考2_エネ使用量経年!BB66,"")</f>
        <v/>
      </c>
      <c r="BC175" s="916" t="str">
        <f ca="1">IFERROR($K175*参考2_エネ使用量経年!BC66,"")</f>
        <v/>
      </c>
      <c r="BD175" s="916" t="str">
        <f ca="1">IFERROR($H175*参考2_エネ使用量経年!BD66,"")</f>
        <v/>
      </c>
      <c r="BE175" s="916" t="str">
        <f ca="1">IFERROR($I175*参考2_エネ使用量経年!BE66,"")</f>
        <v/>
      </c>
      <c r="BF175" s="916" t="str">
        <f ca="1">IFERROR($J175*参考2_エネ使用量経年!BF66,"")</f>
        <v/>
      </c>
      <c r="BG175" s="916" t="str">
        <f ca="1">IFERROR($K175*参考2_エネ使用量経年!BG66,"")</f>
        <v/>
      </c>
      <c r="BH175" s="916" t="str">
        <f ca="1">IFERROR($H175*参考2_エネ使用量経年!BH66,"")</f>
        <v/>
      </c>
      <c r="BI175" s="916" t="str">
        <f ca="1">IFERROR($I175*参考2_エネ使用量経年!BI66,"")</f>
        <v/>
      </c>
      <c r="BJ175" s="916" t="str">
        <f ca="1">IFERROR($J175*参考2_エネ使用量経年!BJ66,"")</f>
        <v/>
      </c>
      <c r="BK175" s="916" t="str">
        <f ca="1">IFERROR($K175*参考2_エネ使用量経年!BK66,"")</f>
        <v/>
      </c>
      <c r="BL175" s="916" t="str">
        <f ca="1">IFERROR($H175*参考2_エネ使用量経年!BL66,"")</f>
        <v/>
      </c>
      <c r="BM175" s="916" t="str">
        <f ca="1">IFERROR($I175*参考2_エネ使用量経年!BM66,"")</f>
        <v/>
      </c>
      <c r="BN175" s="916" t="str">
        <f ca="1">IFERROR($J175*参考2_エネ使用量経年!BN66,"")</f>
        <v/>
      </c>
      <c r="BO175" s="916" t="str">
        <f ca="1">IFERROR($K175*参考2_エネ使用量経年!BO66,"")</f>
        <v/>
      </c>
      <c r="BP175" s="802"/>
    </row>
    <row r="176" spans="1:68" ht="20.100000000000001" hidden="1" customHeight="1" outlineLevel="1">
      <c r="A176" s="914">
        <v>71</v>
      </c>
      <c r="B176" s="1594"/>
      <c r="C176" s="1596"/>
      <c r="D176" s="814" t="s">
        <v>789</v>
      </c>
      <c r="E176" s="792" t="str">
        <f ca="1">E66</f>
        <v/>
      </c>
      <c r="F176" s="794"/>
      <c r="G176" s="852" t="s">
        <v>1281</v>
      </c>
      <c r="H176" s="915">
        <f ca="1">IFERROR(OFFSET(貼付け_2024実績,$A176,6),"")</f>
        <v>0</v>
      </c>
      <c r="I176" s="915">
        <f ca="1">IFERROR(OFFSET(貼付け_2025実績,$A176,6),"")</f>
        <v>0</v>
      </c>
      <c r="J176" s="915">
        <f ca="1">IFERROR(OFFSET(貼付け_2026実績,$A176,6),"")</f>
        <v>0</v>
      </c>
      <c r="K176" s="915">
        <f ca="1">IFERROR(OFFSET(貼付け_2027実績,$A176,6),"")</f>
        <v>0</v>
      </c>
      <c r="L176" s="916">
        <f ca="1">IFERROR($H176*参考2_エネ使用量経年!L67,"")</f>
        <v>0</v>
      </c>
      <c r="M176" s="916">
        <f ca="1">IFERROR($I176*参考2_エネ使用量経年!M67,"")</f>
        <v>0</v>
      </c>
      <c r="N176" s="916">
        <f ca="1">IFERROR($J176*参考2_エネ使用量経年!N67,"")</f>
        <v>0</v>
      </c>
      <c r="O176" s="916">
        <f ca="1">IFERROR($K176*参考2_エネ使用量経年!O67,"")</f>
        <v>0</v>
      </c>
      <c r="P176" s="916">
        <f ca="1">IFERROR($H176*参考2_エネ使用量経年!P67,"")</f>
        <v>0</v>
      </c>
      <c r="Q176" s="916">
        <f ca="1">IFERROR($I176*参考2_エネ使用量経年!Q67,"")</f>
        <v>0</v>
      </c>
      <c r="R176" s="916">
        <f ca="1">IFERROR($J176*参考2_エネ使用量経年!R67,"")</f>
        <v>0</v>
      </c>
      <c r="S176" s="916">
        <f ca="1">IFERROR($K176*参考2_エネ使用量経年!S67,"")</f>
        <v>0</v>
      </c>
      <c r="T176" s="916">
        <f ca="1">IFERROR($H176*参考2_エネ使用量経年!T67,"")</f>
        <v>0</v>
      </c>
      <c r="U176" s="916">
        <f ca="1">IFERROR($I176*参考2_エネ使用量経年!U67,"")</f>
        <v>0</v>
      </c>
      <c r="V176" s="916">
        <f ca="1">IFERROR($J176*参考2_エネ使用量経年!V67,"")</f>
        <v>0</v>
      </c>
      <c r="W176" s="916">
        <f ca="1">IFERROR($K176*参考2_エネ使用量経年!W67,"")</f>
        <v>0</v>
      </c>
      <c r="X176" s="916">
        <f ca="1">IFERROR($H176*参考2_エネ使用量経年!X67,"")</f>
        <v>0</v>
      </c>
      <c r="Y176" s="916">
        <f ca="1">IFERROR($I176*参考2_エネ使用量経年!Y67,"")</f>
        <v>0</v>
      </c>
      <c r="Z176" s="916">
        <f ca="1">IFERROR($J176*参考2_エネ使用量経年!Z67,"")</f>
        <v>0</v>
      </c>
      <c r="AA176" s="916">
        <f ca="1">IFERROR($K176*参考2_エネ使用量経年!AA67,"")</f>
        <v>0</v>
      </c>
      <c r="AB176" s="916" t="str">
        <f ca="1">IFERROR($H176*参考2_エネ使用量経年!AB67,"")</f>
        <v/>
      </c>
      <c r="AC176" s="916" t="str">
        <f ca="1">IFERROR($I176*参考2_エネ使用量経年!AC67,"")</f>
        <v/>
      </c>
      <c r="AD176" s="916" t="str">
        <f ca="1">IFERROR($J176*参考2_エネ使用量経年!AD67,"")</f>
        <v/>
      </c>
      <c r="AE176" s="916" t="str">
        <f ca="1">IFERROR($K176*参考2_エネ使用量経年!AE67,"")</f>
        <v/>
      </c>
      <c r="AF176" s="916" t="str">
        <f ca="1">IFERROR($H176*参考2_エネ使用量経年!AF67,"")</f>
        <v/>
      </c>
      <c r="AG176" s="916" t="str">
        <f ca="1">IFERROR($I176*参考2_エネ使用量経年!AG67,"")</f>
        <v/>
      </c>
      <c r="AH176" s="916" t="str">
        <f ca="1">IFERROR($J176*参考2_エネ使用量経年!AH67,"")</f>
        <v/>
      </c>
      <c r="AI176" s="916" t="str">
        <f ca="1">IFERROR($K176*参考2_エネ使用量経年!AI67,"")</f>
        <v/>
      </c>
      <c r="AJ176" s="916" t="str">
        <f ca="1">IFERROR($H176*参考2_エネ使用量経年!AJ67,"")</f>
        <v/>
      </c>
      <c r="AK176" s="916" t="str">
        <f ca="1">IFERROR($I176*参考2_エネ使用量経年!AK67,"")</f>
        <v/>
      </c>
      <c r="AL176" s="916" t="str">
        <f ca="1">IFERROR($J176*参考2_エネ使用量経年!AL67,"")</f>
        <v/>
      </c>
      <c r="AM176" s="916" t="str">
        <f ca="1">IFERROR($K176*参考2_エネ使用量経年!AM67,"")</f>
        <v/>
      </c>
      <c r="AN176" s="916" t="str">
        <f ca="1">IFERROR($H176*参考2_エネ使用量経年!AN67,"")</f>
        <v/>
      </c>
      <c r="AO176" s="916" t="str">
        <f ca="1">IFERROR($I176*参考2_エネ使用量経年!AO67,"")</f>
        <v/>
      </c>
      <c r="AP176" s="916" t="str">
        <f ca="1">IFERROR($J176*参考2_エネ使用量経年!AP67,"")</f>
        <v/>
      </c>
      <c r="AQ176" s="916" t="str">
        <f ca="1">IFERROR($K176*参考2_エネ使用量経年!AQ67,"")</f>
        <v/>
      </c>
      <c r="AR176" s="916" t="str">
        <f ca="1">IFERROR($H176*参考2_エネ使用量経年!AR67,"")</f>
        <v/>
      </c>
      <c r="AS176" s="916" t="str">
        <f ca="1">IFERROR($I176*参考2_エネ使用量経年!AS67,"")</f>
        <v/>
      </c>
      <c r="AT176" s="916" t="str">
        <f ca="1">IFERROR($J176*参考2_エネ使用量経年!AT67,"")</f>
        <v/>
      </c>
      <c r="AU176" s="916" t="str">
        <f ca="1">IFERROR($K176*参考2_エネ使用量経年!AU67,"")</f>
        <v/>
      </c>
      <c r="AV176" s="916" t="str">
        <f ca="1">IFERROR($H176*参考2_エネ使用量経年!AV67,"")</f>
        <v/>
      </c>
      <c r="AW176" s="916" t="str">
        <f ca="1">IFERROR($I176*参考2_エネ使用量経年!AW67,"")</f>
        <v/>
      </c>
      <c r="AX176" s="916" t="str">
        <f ca="1">IFERROR($J176*参考2_エネ使用量経年!AX67,"")</f>
        <v/>
      </c>
      <c r="AY176" s="916" t="str">
        <f ca="1">IFERROR($K176*参考2_エネ使用量経年!AY67,"")</f>
        <v/>
      </c>
      <c r="AZ176" s="916" t="str">
        <f ca="1">IFERROR($H176*参考2_エネ使用量経年!AZ67,"")</f>
        <v/>
      </c>
      <c r="BA176" s="916" t="str">
        <f ca="1">IFERROR($I176*参考2_エネ使用量経年!BA67,"")</f>
        <v/>
      </c>
      <c r="BB176" s="916" t="str">
        <f ca="1">IFERROR($J176*参考2_エネ使用量経年!BB67,"")</f>
        <v/>
      </c>
      <c r="BC176" s="916" t="str">
        <f ca="1">IFERROR($K176*参考2_エネ使用量経年!BC67,"")</f>
        <v/>
      </c>
      <c r="BD176" s="916" t="str">
        <f ca="1">IFERROR($H176*参考2_エネ使用量経年!BD67,"")</f>
        <v/>
      </c>
      <c r="BE176" s="916" t="str">
        <f ca="1">IFERROR($I176*参考2_エネ使用量経年!BE67,"")</f>
        <v/>
      </c>
      <c r="BF176" s="916" t="str">
        <f ca="1">IFERROR($J176*参考2_エネ使用量経年!BF67,"")</f>
        <v/>
      </c>
      <c r="BG176" s="916" t="str">
        <f ca="1">IFERROR($K176*参考2_エネ使用量経年!BG67,"")</f>
        <v/>
      </c>
      <c r="BH176" s="916" t="str">
        <f ca="1">IFERROR($H176*参考2_エネ使用量経年!BH67,"")</f>
        <v/>
      </c>
      <c r="BI176" s="916" t="str">
        <f ca="1">IFERROR($I176*参考2_エネ使用量経年!BI67,"")</f>
        <v/>
      </c>
      <c r="BJ176" s="916" t="str">
        <f ca="1">IFERROR($J176*参考2_エネ使用量経年!BJ67,"")</f>
        <v/>
      </c>
      <c r="BK176" s="916" t="str">
        <f ca="1">IFERROR($K176*参考2_エネ使用量経年!BK67,"")</f>
        <v/>
      </c>
      <c r="BL176" s="916" t="str">
        <f ca="1">IFERROR($H176*参考2_エネ使用量経年!BL67,"")</f>
        <v/>
      </c>
      <c r="BM176" s="916" t="str">
        <f ca="1">IFERROR($I176*参考2_エネ使用量経年!BM67,"")</f>
        <v/>
      </c>
      <c r="BN176" s="916" t="str">
        <f ca="1">IFERROR($J176*参考2_エネ使用量経年!BN67,"")</f>
        <v/>
      </c>
      <c r="BO176" s="916" t="str">
        <f ca="1">IFERROR($K176*参考2_エネ使用量経年!BO67,"")</f>
        <v/>
      </c>
      <c r="BP176" s="802"/>
    </row>
    <row r="177" spans="1:68" s="980" customFormat="1" ht="20.100000000000001" hidden="1" customHeight="1" outlineLevel="1">
      <c r="A177" s="973">
        <v>16</v>
      </c>
      <c r="B177" s="1593" t="s">
        <v>422</v>
      </c>
      <c r="C177" s="981" t="s">
        <v>405</v>
      </c>
      <c r="D177" s="982"/>
      <c r="E177" s="975"/>
      <c r="F177" s="976"/>
      <c r="G177" s="977" t="s">
        <v>1281</v>
      </c>
      <c r="H177" s="978"/>
      <c r="I177" s="978"/>
      <c r="J177" s="978"/>
      <c r="K177" s="978"/>
      <c r="L177" s="916">
        <f ca="1">SUM(SUMIFS(OFFSET(A1_集計2024,$A177,9,1,200),OFFSET(貼付け_2024実績,4,9,1,200),{"横浜*","川崎*","県域*","エネルギー管理指定工場等*"}))</f>
        <v>0</v>
      </c>
      <c r="M177" s="916">
        <f ca="1">SUM(SUMIFS(OFFSET(A1_集計2025,$A177,9,1,200),OFFSET(貼付け_2025実績,4,9,1,200),{"横浜*","川崎*","県域*","エネルギー管理指定工場等*"}))</f>
        <v>0</v>
      </c>
      <c r="N177" s="916">
        <f ca="1">SUM(SUMIFS(OFFSET(A1_集計2026,$A177,9,1,200),OFFSET(貼付け_2026実績,4,9,1,200),{"横浜*","川崎*","県域*","エネルギー管理指定工場等*"}))</f>
        <v>0</v>
      </c>
      <c r="O177" s="916">
        <f ca="1">SUM(SUMIFS(OFFSET(A1_集計2027,$A177,9,1,200),OFFSET(貼付け_2027実績,4,9,1,200),{"横浜*","川崎*","県域*","エネルギー管理指定工場等*"}))</f>
        <v>0</v>
      </c>
      <c r="P177" s="916">
        <f ca="1">SUM(SUMIFS(OFFSET(A1_集計2024,$A177,9,1,200),OFFSET(貼付け_2024実績,4,9,1,200),{"横浜*","川崎*"}))</f>
        <v>0</v>
      </c>
      <c r="Q177" s="916">
        <f ca="1">SUM(SUMIFS(OFFSET(A1_集計2025,$A177,9,1,200),OFFSET(貼付け_2025実績,4,9,1,200),{"横浜*","川崎*"}))</f>
        <v>0</v>
      </c>
      <c r="R177" s="916">
        <f ca="1">SUM(SUMIFS(OFFSET(A1_集計2026,$A177,9,1,200),OFFSET(貼付け_2026実績,4,9,1,200),{"横浜*","川崎*"}))</f>
        <v>0</v>
      </c>
      <c r="S177" s="916">
        <f ca="1">SUM(SUMIFS(OFFSET(A1_集計2027,$A177,9,1,200),OFFSET(貼付け_2027実績,4,9,1,200),{"横浜*","川崎*"}))</f>
        <v>0</v>
      </c>
      <c r="T177" s="916">
        <f ca="1">SUM(SUMIFS(OFFSET(A1_集計2024,$A177,9,1,200),OFFSET(貼付け_2024実績,4,9,1,200),{"県域*","エネルギー管理指定工場等*"}))</f>
        <v>0</v>
      </c>
      <c r="U177" s="916">
        <f ca="1">SUM(SUMIFS(OFFSET(A1_集計2025,$A177,9,1,200),OFFSET(貼付け_2025実績,4,9,1,200),{"県域*","エネルギー管理指定工場等*"}))</f>
        <v>0</v>
      </c>
      <c r="V177" s="916">
        <f ca="1">SUM(SUMIFS(OFFSET(A1_集計2026,$A177,9,1,200),OFFSET(貼付け_2026実績,4,9,1,200),{"県域*","エネルギー管理指定工場等*"}))</f>
        <v>0</v>
      </c>
      <c r="W177" s="916">
        <f ca="1">SUM(SUMIFS(OFFSET(A1_集計2027,$A177,9,1,200),OFFSET(貼付け_2027実績,4,9,1,200),{"県域*","エネルギー管理指定工場等*"}))</f>
        <v>0</v>
      </c>
      <c r="X177" s="916">
        <f ca="1">SUMIFS(OFFSET(A1_集計2024,$A177,9,1,200),OFFSET(貼付け_2024実績,4,9,1,200),"県域*")</f>
        <v>0</v>
      </c>
      <c r="Y177" s="916">
        <f ca="1">SUMIFS(OFFSET(A1_集計2025,$A177,9,1,200),OFFSET(貼付け_2025実績,4,9,1,200),"県域*")</f>
        <v>0</v>
      </c>
      <c r="Z177" s="916">
        <f ca="1">SUMIFS(OFFSET(A1_集計2026,$A177,9,1,200),OFFSET(貼付け_2026実績,4,9,1,200),"県域*")</f>
        <v>0</v>
      </c>
      <c r="AA177" s="916">
        <f ca="1">SUMIFS(OFFSET(A1_集計2027,$A177,9,1,200),OFFSET(貼付け_2027実績,4,9,1,200),"県域*")</f>
        <v>0</v>
      </c>
      <c r="AB177" s="916" t="str">
        <f ca="1">IFERROR(OFFSET(A1_集計2024,$A177,AB$1),"")</f>
        <v/>
      </c>
      <c r="AC177" s="916" t="str">
        <f ca="1">IFERROR(OFFSET(A1_集計2025,$A177,AC$1),"")</f>
        <v/>
      </c>
      <c r="AD177" s="916" t="str">
        <f ca="1">IFERROR(OFFSET(A1_集計2026,$A177,AD$1),"")</f>
        <v/>
      </c>
      <c r="AE177" s="916" t="str">
        <f ca="1">IFERROR(OFFSET(A1_集計2027,$A177,AE$1),"")</f>
        <v/>
      </c>
      <c r="AF177" s="916" t="str">
        <f ca="1">IFERROR(OFFSET(A1_集計2024,$A177,AF$1),"")</f>
        <v/>
      </c>
      <c r="AG177" s="916" t="str">
        <f ca="1">IFERROR(OFFSET(A1_集計2025,$A177,AG$1),"")</f>
        <v/>
      </c>
      <c r="AH177" s="916" t="str">
        <f ca="1">IFERROR(OFFSET(A1_集計2026,$A177,AH$1),"")</f>
        <v/>
      </c>
      <c r="AI177" s="916" t="str">
        <f ca="1">IFERROR(OFFSET(A1_集計2027,$A177,AI$1),"")</f>
        <v/>
      </c>
      <c r="AJ177" s="916" t="str">
        <f ca="1">IFERROR(OFFSET(A1_集計2024,$A177,AJ$1),"")</f>
        <v/>
      </c>
      <c r="AK177" s="916" t="str">
        <f ca="1">IFERROR(OFFSET(A1_集計2025,$A177,AK$1),"")</f>
        <v/>
      </c>
      <c r="AL177" s="916" t="str">
        <f ca="1">IFERROR(OFFSET(A1_集計2026,$A177,AL$1),"")</f>
        <v/>
      </c>
      <c r="AM177" s="916" t="str">
        <f ca="1">IFERROR(OFFSET(A1_集計2027,$A177,AM$1),"")</f>
        <v/>
      </c>
      <c r="AN177" s="916" t="str">
        <f ca="1">IFERROR(OFFSET(A1_集計2024,$A177,AN$1),"")</f>
        <v/>
      </c>
      <c r="AO177" s="916" t="str">
        <f ca="1">IFERROR(OFFSET(A1_集計2025,$A177,AO$1),"")</f>
        <v/>
      </c>
      <c r="AP177" s="916" t="str">
        <f ca="1">IFERROR(OFFSET(A1_集計2026,$A177,AP$1),"")</f>
        <v/>
      </c>
      <c r="AQ177" s="916" t="str">
        <f ca="1">IFERROR(OFFSET(A1_集計2027,$A177,AQ$1),"")</f>
        <v/>
      </c>
      <c r="AR177" s="916" t="str">
        <f ca="1">IFERROR(OFFSET(A1_集計2024,$A177,AR$1),"")</f>
        <v/>
      </c>
      <c r="AS177" s="916" t="str">
        <f ca="1">IFERROR(OFFSET(A1_集計2025,$A177,AS$1),"")</f>
        <v/>
      </c>
      <c r="AT177" s="916" t="str">
        <f ca="1">IFERROR(OFFSET(A1_集計2026,$A177,AT$1),"")</f>
        <v/>
      </c>
      <c r="AU177" s="916" t="str">
        <f ca="1">IFERROR(OFFSET(A1_集計2027,$A177,AU$1),"")</f>
        <v/>
      </c>
      <c r="AV177" s="916" t="str">
        <f ca="1">IFERROR(OFFSET(A1_集計2024,$A177,AV$1),"")</f>
        <v/>
      </c>
      <c r="AW177" s="916" t="str">
        <f ca="1">IFERROR(OFFSET(A1_集計2025,$A177,AW$1),"")</f>
        <v/>
      </c>
      <c r="AX177" s="916" t="str">
        <f ca="1">IFERROR(OFFSET(A1_集計2026,$A177,AX$1),"")</f>
        <v/>
      </c>
      <c r="AY177" s="916" t="str">
        <f ca="1">IFERROR(OFFSET(A1_集計2027,$A177,AY$1),"")</f>
        <v/>
      </c>
      <c r="AZ177" s="916" t="str">
        <f ca="1">IFERROR(OFFSET(A1_集計2024,$A177,AZ$1),"")</f>
        <v/>
      </c>
      <c r="BA177" s="916" t="str">
        <f ca="1">IFERROR(OFFSET(A1_集計2025,$A177,BA$1),"")</f>
        <v/>
      </c>
      <c r="BB177" s="916" t="str">
        <f ca="1">IFERROR(OFFSET(A1_集計2026,$A177,BB$1),"")</f>
        <v/>
      </c>
      <c r="BC177" s="916" t="str">
        <f ca="1">IFERROR(OFFSET(A1_集計2027,$A177,BC$1),"")</f>
        <v/>
      </c>
      <c r="BD177" s="916" t="str">
        <f ca="1">IFERROR(OFFSET(A1_集計2024,$A177,BD$1),"")</f>
        <v/>
      </c>
      <c r="BE177" s="916" t="str">
        <f ca="1">IFERROR(OFFSET(A1_集計2025,$A177,BE$1),"")</f>
        <v/>
      </c>
      <c r="BF177" s="916" t="str">
        <f ca="1">IFERROR(OFFSET(A1_集計2026,$A177,BF$1),"")</f>
        <v/>
      </c>
      <c r="BG177" s="916" t="str">
        <f ca="1">IFERROR(OFFSET(A1_集計2027,$A177,BG$1),"")</f>
        <v/>
      </c>
      <c r="BH177" s="916" t="str">
        <f ca="1">IFERROR(OFFSET(A1_集計2024,$A177,BH$1),"")</f>
        <v/>
      </c>
      <c r="BI177" s="916" t="str">
        <f ca="1">IFERROR(OFFSET(A1_集計2025,$A177,BI$1),"")</f>
        <v/>
      </c>
      <c r="BJ177" s="916" t="str">
        <f ca="1">IFERROR(OFFSET(A1_集計2026,$A177,BJ$1),"")</f>
        <v/>
      </c>
      <c r="BK177" s="916" t="str">
        <f ca="1">IFERROR(OFFSET(A1_集計2027,$A177,BK$1),"")</f>
        <v/>
      </c>
      <c r="BL177" s="916" t="str">
        <f ca="1">IFERROR(OFFSET(A1_集計2024,$A177,BL$1),"")</f>
        <v/>
      </c>
      <c r="BM177" s="916" t="str">
        <f ca="1">IFERROR(OFFSET(A1_集計2025,$A177,BM$1),"")</f>
        <v/>
      </c>
      <c r="BN177" s="916" t="str">
        <f ca="1">IFERROR(OFFSET(A1_集計2026,$A177,BN$1),"")</f>
        <v/>
      </c>
      <c r="BO177" s="916" t="str">
        <f ca="1">IFERROR(OFFSET(A1_集計2027,$A177,BO$1),"")</f>
        <v/>
      </c>
      <c r="BP177" s="979"/>
    </row>
    <row r="178" spans="1:68" s="980" customFormat="1" ht="20.100000000000001" hidden="1" customHeight="1" outlineLevel="1">
      <c r="A178" s="973">
        <v>74</v>
      </c>
      <c r="B178" s="1594"/>
      <c r="C178" s="1658" t="s">
        <v>406</v>
      </c>
      <c r="D178" s="983" t="s">
        <v>407</v>
      </c>
      <c r="E178" s="974"/>
      <c r="F178" s="976"/>
      <c r="G178" s="977" t="s">
        <v>1281</v>
      </c>
      <c r="H178" s="984">
        <f ca="1">IFERROR(OFFSET(貼付け_2024実績,$A178,6),"")</f>
        <v>0</v>
      </c>
      <c r="I178" s="984">
        <f ca="1">IFERROR(OFFSET(貼付け_2025実績,$A178,6),"")</f>
        <v>0</v>
      </c>
      <c r="J178" s="984">
        <f ca="1">IFERROR(OFFSET(貼付け_2026実績,$A178,6),"")</f>
        <v>0</v>
      </c>
      <c r="K178" s="984">
        <f ca="1">IFERROR(OFFSET(貼付け_2027実績,$A178,6),"")</f>
        <v>0</v>
      </c>
      <c r="L178" s="916">
        <f ca="1">IFERROR($H178*参考2_エネ使用量経年!L69*1000,"")</f>
        <v>0</v>
      </c>
      <c r="M178" s="916">
        <f ca="1">IFERROR($I178*参考2_エネ使用量経年!M69*1000,"")</f>
        <v>0</v>
      </c>
      <c r="N178" s="916">
        <f ca="1">IFERROR($J178*参考2_エネ使用量経年!N69*1000,"")</f>
        <v>0</v>
      </c>
      <c r="O178" s="916">
        <f ca="1">IFERROR($K178*参考2_エネ使用量経年!O69*1000,"")</f>
        <v>0</v>
      </c>
      <c r="P178" s="916">
        <f ca="1">IFERROR($H178*参考2_エネ使用量経年!P69*1000,"")</f>
        <v>0</v>
      </c>
      <c r="Q178" s="916">
        <f ca="1">IFERROR($I178*参考2_エネ使用量経年!Q69*1000,"")</f>
        <v>0</v>
      </c>
      <c r="R178" s="916">
        <f ca="1">IFERROR($J178*参考2_エネ使用量経年!R69*1000,"")</f>
        <v>0</v>
      </c>
      <c r="S178" s="916">
        <f ca="1">IFERROR($K178*参考2_エネ使用量経年!S69*1000,"")</f>
        <v>0</v>
      </c>
      <c r="T178" s="916">
        <f ca="1">IFERROR($H178*参考2_エネ使用量経年!T69*1000,"")</f>
        <v>0</v>
      </c>
      <c r="U178" s="916">
        <f ca="1">IFERROR($I178*参考2_エネ使用量経年!U69*1000,"")</f>
        <v>0</v>
      </c>
      <c r="V178" s="916">
        <f ca="1">IFERROR($J178*参考2_エネ使用量経年!V69*1000,"")</f>
        <v>0</v>
      </c>
      <c r="W178" s="916">
        <f ca="1">IFERROR($K178*参考2_エネ使用量経年!W69*1000,"")</f>
        <v>0</v>
      </c>
      <c r="X178" s="916">
        <f ca="1">IFERROR($H178*参考2_エネ使用量経年!X69*1000,"")</f>
        <v>0</v>
      </c>
      <c r="Y178" s="916">
        <f ca="1">IFERROR($I178*参考2_エネ使用量経年!Y69*1000,"")</f>
        <v>0</v>
      </c>
      <c r="Z178" s="916">
        <f ca="1">IFERROR($J178*参考2_エネ使用量経年!Z69*1000,"")</f>
        <v>0</v>
      </c>
      <c r="AA178" s="916">
        <f ca="1">IFERROR($K178*参考2_エネ使用量経年!AA69*1000,"")</f>
        <v>0</v>
      </c>
      <c r="AB178" s="916" t="str">
        <f ca="1">IFERROR($H178*参考2_エネ使用量経年!AB69*1000,"")</f>
        <v/>
      </c>
      <c r="AC178" s="916" t="str">
        <f ca="1">IFERROR($I178*参考2_エネ使用量経年!AC69*1000,"")</f>
        <v/>
      </c>
      <c r="AD178" s="916" t="str">
        <f ca="1">IFERROR($J178*参考2_エネ使用量経年!AD69*1000,"")</f>
        <v/>
      </c>
      <c r="AE178" s="916" t="str">
        <f ca="1">IFERROR($K178*参考2_エネ使用量経年!AE69*1000,"")</f>
        <v/>
      </c>
      <c r="AF178" s="916" t="str">
        <f ca="1">IFERROR($H178*参考2_エネ使用量経年!AF69*1000,"")</f>
        <v/>
      </c>
      <c r="AG178" s="916" t="str">
        <f ca="1">IFERROR($I178*参考2_エネ使用量経年!AG69*1000,"")</f>
        <v/>
      </c>
      <c r="AH178" s="916" t="str">
        <f ca="1">IFERROR($J178*参考2_エネ使用量経年!AH69*1000,"")</f>
        <v/>
      </c>
      <c r="AI178" s="916" t="str">
        <f ca="1">IFERROR($K178*参考2_エネ使用量経年!AI69*1000,"")</f>
        <v/>
      </c>
      <c r="AJ178" s="916" t="str">
        <f ca="1">IFERROR($H178*参考2_エネ使用量経年!AJ69*1000,"")</f>
        <v/>
      </c>
      <c r="AK178" s="916" t="str">
        <f ca="1">IFERROR($I178*参考2_エネ使用量経年!AK69*1000,"")</f>
        <v/>
      </c>
      <c r="AL178" s="916" t="str">
        <f ca="1">IFERROR($J178*参考2_エネ使用量経年!AL69*1000,"")</f>
        <v/>
      </c>
      <c r="AM178" s="916" t="str">
        <f ca="1">IFERROR($K178*参考2_エネ使用量経年!AM69*1000,"")</f>
        <v/>
      </c>
      <c r="AN178" s="916" t="str">
        <f ca="1">IFERROR($H178*参考2_エネ使用量経年!AN69*1000,"")</f>
        <v/>
      </c>
      <c r="AO178" s="916" t="str">
        <f ca="1">IFERROR($I178*参考2_エネ使用量経年!AO69*1000,"")</f>
        <v/>
      </c>
      <c r="AP178" s="916" t="str">
        <f ca="1">IFERROR($J178*参考2_エネ使用量経年!AP69*1000,"")</f>
        <v/>
      </c>
      <c r="AQ178" s="916" t="str">
        <f ca="1">IFERROR($K178*参考2_エネ使用量経年!AQ69*1000,"")</f>
        <v/>
      </c>
      <c r="AR178" s="916" t="str">
        <f ca="1">IFERROR($H178*参考2_エネ使用量経年!AR69*1000,"")</f>
        <v/>
      </c>
      <c r="AS178" s="916" t="str">
        <f ca="1">IFERROR($I178*参考2_エネ使用量経年!AS69*1000,"")</f>
        <v/>
      </c>
      <c r="AT178" s="916" t="str">
        <f ca="1">IFERROR($J178*参考2_エネ使用量経年!AT69*1000,"")</f>
        <v/>
      </c>
      <c r="AU178" s="916" t="str">
        <f ca="1">IFERROR($K178*参考2_エネ使用量経年!AU69*1000,"")</f>
        <v/>
      </c>
      <c r="AV178" s="916" t="str">
        <f ca="1">IFERROR($H178*参考2_エネ使用量経年!AV69*1000,"")</f>
        <v/>
      </c>
      <c r="AW178" s="916" t="str">
        <f ca="1">IFERROR($I178*参考2_エネ使用量経年!AW69*1000,"")</f>
        <v/>
      </c>
      <c r="AX178" s="916" t="str">
        <f ca="1">IFERROR($J178*参考2_エネ使用量経年!AX69*1000,"")</f>
        <v/>
      </c>
      <c r="AY178" s="916" t="str">
        <f ca="1">IFERROR($K178*参考2_エネ使用量経年!AY69*1000,"")</f>
        <v/>
      </c>
      <c r="AZ178" s="916" t="str">
        <f ca="1">IFERROR($H178*参考2_エネ使用量経年!AZ69*1000,"")</f>
        <v/>
      </c>
      <c r="BA178" s="916" t="str">
        <f ca="1">IFERROR($I178*参考2_エネ使用量経年!BA69*1000,"")</f>
        <v/>
      </c>
      <c r="BB178" s="916" t="str">
        <f ca="1">IFERROR($J178*参考2_エネ使用量経年!BB69*1000,"")</f>
        <v/>
      </c>
      <c r="BC178" s="916" t="str">
        <f ca="1">IFERROR($K178*参考2_エネ使用量経年!BC69*1000,"")</f>
        <v/>
      </c>
      <c r="BD178" s="916" t="str">
        <f ca="1">IFERROR($H178*参考2_エネ使用量経年!BD69*1000,"")</f>
        <v/>
      </c>
      <c r="BE178" s="916" t="str">
        <f ca="1">IFERROR($I178*参考2_エネ使用量経年!BE69*1000,"")</f>
        <v/>
      </c>
      <c r="BF178" s="916" t="str">
        <f ca="1">IFERROR($J178*参考2_エネ使用量経年!BF69*1000,"")</f>
        <v/>
      </c>
      <c r="BG178" s="916" t="str">
        <f ca="1">IFERROR($K178*参考2_エネ使用量経年!BG69*1000,"")</f>
        <v/>
      </c>
      <c r="BH178" s="916" t="str">
        <f ca="1">IFERROR($H178*参考2_エネ使用量経年!BH69*1000,"")</f>
        <v/>
      </c>
      <c r="BI178" s="916" t="str">
        <f ca="1">IFERROR($I178*参考2_エネ使用量経年!BI69*1000,"")</f>
        <v/>
      </c>
      <c r="BJ178" s="916" t="str">
        <f ca="1">IFERROR($J178*参考2_エネ使用量経年!BJ69*1000,"")</f>
        <v/>
      </c>
      <c r="BK178" s="916" t="str">
        <f ca="1">IFERROR($K178*参考2_エネ使用量経年!BK69*1000,"")</f>
        <v/>
      </c>
      <c r="BL178" s="916" t="str">
        <f ca="1">IFERROR($H178*参考2_エネ使用量経年!BL69*1000,"")</f>
        <v/>
      </c>
      <c r="BM178" s="916" t="str">
        <f ca="1">IFERROR($I178*参考2_エネ使用量経年!BM69*1000,"")</f>
        <v/>
      </c>
      <c r="BN178" s="916" t="str">
        <f ca="1">IFERROR($J178*参考2_エネ使用量経年!BN69*1000,"")</f>
        <v/>
      </c>
      <c r="BO178" s="916" t="str">
        <f ca="1">IFERROR($K178*参考2_エネ使用量経年!BO69*1000,"")</f>
        <v/>
      </c>
      <c r="BP178" s="979"/>
    </row>
    <row r="179" spans="1:68" s="980" customFormat="1" ht="20.100000000000001" hidden="1" customHeight="1" outlineLevel="1">
      <c r="A179" s="973">
        <v>76</v>
      </c>
      <c r="B179" s="1594"/>
      <c r="C179" s="1658"/>
      <c r="D179" s="985" t="s">
        <v>408</v>
      </c>
      <c r="E179" s="974"/>
      <c r="F179" s="976"/>
      <c r="G179" s="977" t="s">
        <v>1281</v>
      </c>
      <c r="H179" s="984">
        <f ca="1">IFERROR(OFFSET(貼付け_2024実績,$A179,6),"")</f>
        <v>0</v>
      </c>
      <c r="I179" s="984">
        <f ca="1">IFERROR(OFFSET(貼付け_2025実績,$A179,6),"")</f>
        <v>0</v>
      </c>
      <c r="J179" s="984">
        <f ca="1">IFERROR(OFFSET(貼付け_2026実績,$A179,6),"")</f>
        <v>0</v>
      </c>
      <c r="K179" s="984">
        <f ca="1">IFERROR(OFFSET(貼付け_2027実績,$A179,6),"")</f>
        <v>0</v>
      </c>
      <c r="L179" s="916">
        <f ca="1">IFERROR($H179*参考2_エネ使用量経年!L70*1000,"")</f>
        <v>0</v>
      </c>
      <c r="M179" s="916">
        <f ca="1">IFERROR($I179*参考2_エネ使用量経年!M70*1000,"")</f>
        <v>0</v>
      </c>
      <c r="N179" s="916">
        <f ca="1">IFERROR($J179*参考2_エネ使用量経年!N70*1000,"")</f>
        <v>0</v>
      </c>
      <c r="O179" s="916">
        <f ca="1">IFERROR($K179*参考2_エネ使用量経年!O70*1000,"")</f>
        <v>0</v>
      </c>
      <c r="P179" s="916">
        <f ca="1">IFERROR($H179*参考2_エネ使用量経年!P70*1000,"")</f>
        <v>0</v>
      </c>
      <c r="Q179" s="916">
        <f ca="1">IFERROR($I179*参考2_エネ使用量経年!Q70*1000,"")</f>
        <v>0</v>
      </c>
      <c r="R179" s="916">
        <f ca="1">IFERROR($J179*参考2_エネ使用量経年!R70*1000,"")</f>
        <v>0</v>
      </c>
      <c r="S179" s="916">
        <f ca="1">IFERROR($K179*参考2_エネ使用量経年!S70*1000,"")</f>
        <v>0</v>
      </c>
      <c r="T179" s="916">
        <f ca="1">IFERROR($H179*参考2_エネ使用量経年!T70*1000,"")</f>
        <v>0</v>
      </c>
      <c r="U179" s="916">
        <f ca="1">IFERROR($I179*参考2_エネ使用量経年!U70*1000,"")</f>
        <v>0</v>
      </c>
      <c r="V179" s="916">
        <f ca="1">IFERROR($J179*参考2_エネ使用量経年!V70*1000,"")</f>
        <v>0</v>
      </c>
      <c r="W179" s="916">
        <f ca="1">IFERROR($K179*参考2_エネ使用量経年!W70*1000,"")</f>
        <v>0</v>
      </c>
      <c r="X179" s="916">
        <f ca="1">IFERROR($H179*参考2_エネ使用量経年!X70*1000,"")</f>
        <v>0</v>
      </c>
      <c r="Y179" s="916">
        <f ca="1">IFERROR($I179*参考2_エネ使用量経年!Y70*1000,"")</f>
        <v>0</v>
      </c>
      <c r="Z179" s="916">
        <f ca="1">IFERROR($J179*参考2_エネ使用量経年!Z70*1000,"")</f>
        <v>0</v>
      </c>
      <c r="AA179" s="916">
        <f ca="1">IFERROR($K179*参考2_エネ使用量経年!AA70*1000,"")</f>
        <v>0</v>
      </c>
      <c r="AB179" s="916" t="str">
        <f ca="1">IFERROR($H179*参考2_エネ使用量経年!AB70*1000,"")</f>
        <v/>
      </c>
      <c r="AC179" s="916" t="str">
        <f ca="1">IFERROR($I179*参考2_エネ使用量経年!AC70*1000,"")</f>
        <v/>
      </c>
      <c r="AD179" s="916" t="str">
        <f ca="1">IFERROR($J179*参考2_エネ使用量経年!AD70*1000,"")</f>
        <v/>
      </c>
      <c r="AE179" s="916" t="str">
        <f ca="1">IFERROR($K179*参考2_エネ使用量経年!AE70*1000,"")</f>
        <v/>
      </c>
      <c r="AF179" s="916" t="str">
        <f ca="1">IFERROR($H179*参考2_エネ使用量経年!AF70*1000,"")</f>
        <v/>
      </c>
      <c r="AG179" s="916" t="str">
        <f ca="1">IFERROR($I179*参考2_エネ使用量経年!AG70*1000,"")</f>
        <v/>
      </c>
      <c r="AH179" s="916" t="str">
        <f ca="1">IFERROR($J179*参考2_エネ使用量経年!AH70*1000,"")</f>
        <v/>
      </c>
      <c r="AI179" s="916" t="str">
        <f ca="1">IFERROR($K179*参考2_エネ使用量経年!AI70*1000,"")</f>
        <v/>
      </c>
      <c r="AJ179" s="916" t="str">
        <f ca="1">IFERROR($H179*参考2_エネ使用量経年!AJ70*1000,"")</f>
        <v/>
      </c>
      <c r="AK179" s="916" t="str">
        <f ca="1">IFERROR($I179*参考2_エネ使用量経年!AK70*1000,"")</f>
        <v/>
      </c>
      <c r="AL179" s="916" t="str">
        <f ca="1">IFERROR($J179*参考2_エネ使用量経年!AL70*1000,"")</f>
        <v/>
      </c>
      <c r="AM179" s="916" t="str">
        <f ca="1">IFERROR($K179*参考2_エネ使用量経年!AM70*1000,"")</f>
        <v/>
      </c>
      <c r="AN179" s="916" t="str">
        <f ca="1">IFERROR($H179*参考2_エネ使用量経年!AN70*1000,"")</f>
        <v/>
      </c>
      <c r="AO179" s="916" t="str">
        <f ca="1">IFERROR($I179*参考2_エネ使用量経年!AO70*1000,"")</f>
        <v/>
      </c>
      <c r="AP179" s="916" t="str">
        <f ca="1">IFERROR($J179*参考2_エネ使用量経年!AP70*1000,"")</f>
        <v/>
      </c>
      <c r="AQ179" s="916" t="str">
        <f ca="1">IFERROR($K179*参考2_エネ使用量経年!AQ70*1000,"")</f>
        <v/>
      </c>
      <c r="AR179" s="916" t="str">
        <f ca="1">IFERROR($H179*参考2_エネ使用量経年!AR70*1000,"")</f>
        <v/>
      </c>
      <c r="AS179" s="916" t="str">
        <f ca="1">IFERROR($I179*参考2_エネ使用量経年!AS70*1000,"")</f>
        <v/>
      </c>
      <c r="AT179" s="916" t="str">
        <f ca="1">IFERROR($J179*参考2_エネ使用量経年!AT70*1000,"")</f>
        <v/>
      </c>
      <c r="AU179" s="916" t="str">
        <f ca="1">IFERROR($K179*参考2_エネ使用量経年!AU70*1000,"")</f>
        <v/>
      </c>
      <c r="AV179" s="916" t="str">
        <f ca="1">IFERROR($H179*参考2_エネ使用量経年!AV70*1000,"")</f>
        <v/>
      </c>
      <c r="AW179" s="916" t="str">
        <f ca="1">IFERROR($I179*参考2_エネ使用量経年!AW70*1000,"")</f>
        <v/>
      </c>
      <c r="AX179" s="916" t="str">
        <f ca="1">IFERROR($J179*参考2_エネ使用量経年!AX70*1000,"")</f>
        <v/>
      </c>
      <c r="AY179" s="916" t="str">
        <f ca="1">IFERROR($K179*参考2_エネ使用量経年!AY70*1000,"")</f>
        <v/>
      </c>
      <c r="AZ179" s="916" t="str">
        <f ca="1">IFERROR($H179*参考2_エネ使用量経年!AZ70*1000,"")</f>
        <v/>
      </c>
      <c r="BA179" s="916" t="str">
        <f ca="1">IFERROR($I179*参考2_エネ使用量経年!BA70*1000,"")</f>
        <v/>
      </c>
      <c r="BB179" s="916" t="str">
        <f ca="1">IFERROR($J179*参考2_エネ使用量経年!BB70*1000,"")</f>
        <v/>
      </c>
      <c r="BC179" s="916" t="str">
        <f ca="1">IFERROR($K179*参考2_エネ使用量経年!BC70*1000,"")</f>
        <v/>
      </c>
      <c r="BD179" s="916" t="str">
        <f ca="1">IFERROR($H179*参考2_エネ使用量経年!BD70*1000,"")</f>
        <v/>
      </c>
      <c r="BE179" s="916" t="str">
        <f ca="1">IFERROR($I179*参考2_エネ使用量経年!BE70*1000,"")</f>
        <v/>
      </c>
      <c r="BF179" s="916" t="str">
        <f ca="1">IFERROR($J179*参考2_エネ使用量経年!BF70*1000,"")</f>
        <v/>
      </c>
      <c r="BG179" s="916" t="str">
        <f ca="1">IFERROR($K179*参考2_エネ使用量経年!BG70*1000,"")</f>
        <v/>
      </c>
      <c r="BH179" s="916" t="str">
        <f ca="1">IFERROR($H179*参考2_エネ使用量経年!BH70*1000,"")</f>
        <v/>
      </c>
      <c r="BI179" s="916" t="str">
        <f ca="1">IFERROR($I179*参考2_エネ使用量経年!BI70*1000,"")</f>
        <v/>
      </c>
      <c r="BJ179" s="916" t="str">
        <f ca="1">IFERROR($J179*参考2_エネ使用量経年!BJ70*1000,"")</f>
        <v/>
      </c>
      <c r="BK179" s="916" t="str">
        <f ca="1">IFERROR($K179*参考2_エネ使用量経年!BK70*1000,"")</f>
        <v/>
      </c>
      <c r="BL179" s="916" t="str">
        <f ca="1">IFERROR($H179*参考2_エネ使用量経年!BL70*1000,"")</f>
        <v/>
      </c>
      <c r="BM179" s="916" t="str">
        <f ca="1">IFERROR($I179*参考2_エネ使用量経年!BM70*1000,"")</f>
        <v/>
      </c>
      <c r="BN179" s="916" t="str">
        <f ca="1">IFERROR($J179*参考2_エネ使用量経年!BN70*1000,"")</f>
        <v/>
      </c>
      <c r="BO179" s="916" t="str">
        <f ca="1">IFERROR($K179*参考2_エネ使用量経年!BO70*1000,"")</f>
        <v/>
      </c>
      <c r="BP179" s="979"/>
    </row>
    <row r="180" spans="1:68" s="980" customFormat="1" ht="20.100000000000001" hidden="1" customHeight="1" outlineLevel="1">
      <c r="A180" s="973">
        <v>77</v>
      </c>
      <c r="B180" s="1594"/>
      <c r="C180" s="1658"/>
      <c r="D180" s="985" t="s">
        <v>409</v>
      </c>
      <c r="E180" s="986" t="str">
        <f ca="1">E70</f>
        <v/>
      </c>
      <c r="F180" s="987"/>
      <c r="G180" s="977" t="s">
        <v>1281</v>
      </c>
      <c r="H180" s="984">
        <f ca="1">IFERROR(OFFSET(貼付け_2024実績,$A180,6),"")</f>
        <v>0</v>
      </c>
      <c r="I180" s="984">
        <f ca="1">IFERROR(OFFSET(貼付け_2025実績,$A180,6),"")</f>
        <v>0</v>
      </c>
      <c r="J180" s="984">
        <f ca="1">IFERROR(OFFSET(貼付け_2026実績,$A180,6),"")</f>
        <v>0</v>
      </c>
      <c r="K180" s="984">
        <f ca="1">IFERROR(OFFSET(貼付け_2027実績,$A180,6),"")</f>
        <v>0</v>
      </c>
      <c r="L180" s="916">
        <f ca="1">IFERROR($H180*参考2_エネ使用量経年!L71*1000,"")</f>
        <v>0</v>
      </c>
      <c r="M180" s="916">
        <f ca="1">IFERROR($I180*参考2_エネ使用量経年!M71*1000,"")</f>
        <v>0</v>
      </c>
      <c r="N180" s="916">
        <f ca="1">IFERROR($J180*参考2_エネ使用量経年!N71*1000,"")</f>
        <v>0</v>
      </c>
      <c r="O180" s="916">
        <f ca="1">IFERROR($K180*参考2_エネ使用量経年!O71*1000,"")</f>
        <v>0</v>
      </c>
      <c r="P180" s="916">
        <f ca="1">IFERROR($H180*参考2_エネ使用量経年!P71*1000,"")</f>
        <v>0</v>
      </c>
      <c r="Q180" s="916">
        <f ca="1">IFERROR($I180*参考2_エネ使用量経年!Q71*1000,"")</f>
        <v>0</v>
      </c>
      <c r="R180" s="916">
        <f ca="1">IFERROR($J180*参考2_エネ使用量経年!R71*1000,"")</f>
        <v>0</v>
      </c>
      <c r="S180" s="916">
        <f ca="1">IFERROR($K180*参考2_エネ使用量経年!S71*1000,"")</f>
        <v>0</v>
      </c>
      <c r="T180" s="916">
        <f ca="1">IFERROR($H180*参考2_エネ使用量経年!T71*1000,"")</f>
        <v>0</v>
      </c>
      <c r="U180" s="916">
        <f ca="1">IFERROR($I180*参考2_エネ使用量経年!U71*1000,"")</f>
        <v>0</v>
      </c>
      <c r="V180" s="916">
        <f ca="1">IFERROR($J180*参考2_エネ使用量経年!V71*1000,"")</f>
        <v>0</v>
      </c>
      <c r="W180" s="916">
        <f ca="1">IFERROR($K180*参考2_エネ使用量経年!W71*1000,"")</f>
        <v>0</v>
      </c>
      <c r="X180" s="916">
        <f ca="1">IFERROR($H180*参考2_エネ使用量経年!X71*1000,"")</f>
        <v>0</v>
      </c>
      <c r="Y180" s="916">
        <f ca="1">IFERROR($I180*参考2_エネ使用量経年!Y71*1000,"")</f>
        <v>0</v>
      </c>
      <c r="Z180" s="916">
        <f ca="1">IFERROR($J180*参考2_エネ使用量経年!Z71*1000,"")</f>
        <v>0</v>
      </c>
      <c r="AA180" s="916">
        <f ca="1">IFERROR($K180*参考2_エネ使用量経年!AA71*1000,"")</f>
        <v>0</v>
      </c>
      <c r="AB180" s="916" t="str">
        <f ca="1">IFERROR($H180*参考2_エネ使用量経年!AB71*1000,"")</f>
        <v/>
      </c>
      <c r="AC180" s="916" t="str">
        <f ca="1">IFERROR($I180*参考2_エネ使用量経年!AC71*1000,"")</f>
        <v/>
      </c>
      <c r="AD180" s="916" t="str">
        <f ca="1">IFERROR($J180*参考2_エネ使用量経年!AD71*1000,"")</f>
        <v/>
      </c>
      <c r="AE180" s="916" t="str">
        <f ca="1">IFERROR($K180*参考2_エネ使用量経年!AE71*1000,"")</f>
        <v/>
      </c>
      <c r="AF180" s="916" t="str">
        <f ca="1">IFERROR($H180*参考2_エネ使用量経年!AF71*1000,"")</f>
        <v/>
      </c>
      <c r="AG180" s="916" t="str">
        <f ca="1">IFERROR($I180*参考2_エネ使用量経年!AG71*1000,"")</f>
        <v/>
      </c>
      <c r="AH180" s="916" t="str">
        <f ca="1">IFERROR($J180*参考2_エネ使用量経年!AH71*1000,"")</f>
        <v/>
      </c>
      <c r="AI180" s="916" t="str">
        <f ca="1">IFERROR($K180*参考2_エネ使用量経年!AI71*1000,"")</f>
        <v/>
      </c>
      <c r="AJ180" s="916" t="str">
        <f ca="1">IFERROR($H180*参考2_エネ使用量経年!AJ71*1000,"")</f>
        <v/>
      </c>
      <c r="AK180" s="916" t="str">
        <f ca="1">IFERROR($I180*参考2_エネ使用量経年!AK71*1000,"")</f>
        <v/>
      </c>
      <c r="AL180" s="916" t="str">
        <f ca="1">IFERROR($J180*参考2_エネ使用量経年!AL71*1000,"")</f>
        <v/>
      </c>
      <c r="AM180" s="916" t="str">
        <f ca="1">IFERROR($K180*参考2_エネ使用量経年!AM71*1000,"")</f>
        <v/>
      </c>
      <c r="AN180" s="916" t="str">
        <f ca="1">IFERROR($H180*参考2_エネ使用量経年!AN71*1000,"")</f>
        <v/>
      </c>
      <c r="AO180" s="916" t="str">
        <f ca="1">IFERROR($I180*参考2_エネ使用量経年!AO71*1000,"")</f>
        <v/>
      </c>
      <c r="AP180" s="916" t="str">
        <f ca="1">IFERROR($J180*参考2_エネ使用量経年!AP71*1000,"")</f>
        <v/>
      </c>
      <c r="AQ180" s="916" t="str">
        <f ca="1">IFERROR($K180*参考2_エネ使用量経年!AQ71*1000,"")</f>
        <v/>
      </c>
      <c r="AR180" s="916" t="str">
        <f ca="1">IFERROR($H180*参考2_エネ使用量経年!AR71*1000,"")</f>
        <v/>
      </c>
      <c r="AS180" s="916" t="str">
        <f ca="1">IFERROR($I180*参考2_エネ使用量経年!AS71*1000,"")</f>
        <v/>
      </c>
      <c r="AT180" s="916" t="str">
        <f ca="1">IFERROR($J180*参考2_エネ使用量経年!AT71*1000,"")</f>
        <v/>
      </c>
      <c r="AU180" s="916" t="str">
        <f ca="1">IFERROR($K180*参考2_エネ使用量経年!AU71*1000,"")</f>
        <v/>
      </c>
      <c r="AV180" s="916" t="str">
        <f ca="1">IFERROR($H180*参考2_エネ使用量経年!AV71*1000,"")</f>
        <v/>
      </c>
      <c r="AW180" s="916" t="str">
        <f ca="1">IFERROR($I180*参考2_エネ使用量経年!AW71*1000,"")</f>
        <v/>
      </c>
      <c r="AX180" s="916" t="str">
        <f ca="1">IFERROR($J180*参考2_エネ使用量経年!AX71*1000,"")</f>
        <v/>
      </c>
      <c r="AY180" s="916" t="str">
        <f ca="1">IFERROR($K180*参考2_エネ使用量経年!AY71*1000,"")</f>
        <v/>
      </c>
      <c r="AZ180" s="916" t="str">
        <f ca="1">IFERROR($H180*参考2_エネ使用量経年!AZ71*1000,"")</f>
        <v/>
      </c>
      <c r="BA180" s="916" t="str">
        <f ca="1">IFERROR($I180*参考2_エネ使用量経年!BA71*1000,"")</f>
        <v/>
      </c>
      <c r="BB180" s="916" t="str">
        <f ca="1">IFERROR($J180*参考2_エネ使用量経年!BB71*1000,"")</f>
        <v/>
      </c>
      <c r="BC180" s="916" t="str">
        <f ca="1">IFERROR($K180*参考2_エネ使用量経年!BC71*1000,"")</f>
        <v/>
      </c>
      <c r="BD180" s="916" t="str">
        <f ca="1">IFERROR($H180*参考2_エネ使用量経年!BD71*1000,"")</f>
        <v/>
      </c>
      <c r="BE180" s="916" t="str">
        <f ca="1">IFERROR($I180*参考2_エネ使用量経年!BE71*1000,"")</f>
        <v/>
      </c>
      <c r="BF180" s="916" t="str">
        <f ca="1">IFERROR($J180*参考2_エネ使用量経年!BF71*1000,"")</f>
        <v/>
      </c>
      <c r="BG180" s="916" t="str">
        <f ca="1">IFERROR($K180*参考2_エネ使用量経年!BG71*1000,"")</f>
        <v/>
      </c>
      <c r="BH180" s="916" t="str">
        <f ca="1">IFERROR($H180*参考2_エネ使用量経年!BH71*1000,"")</f>
        <v/>
      </c>
      <c r="BI180" s="916" t="str">
        <f ca="1">IFERROR($I180*参考2_エネ使用量経年!BI71*1000,"")</f>
        <v/>
      </c>
      <c r="BJ180" s="916" t="str">
        <f ca="1">IFERROR($J180*参考2_エネ使用量経年!BJ71*1000,"")</f>
        <v/>
      </c>
      <c r="BK180" s="916" t="str">
        <f ca="1">IFERROR($K180*参考2_エネ使用量経年!BK71*1000,"")</f>
        <v/>
      </c>
      <c r="BL180" s="916" t="str">
        <f ca="1">IFERROR($H180*参考2_エネ使用量経年!BL71*1000,"")</f>
        <v/>
      </c>
      <c r="BM180" s="916" t="str">
        <f ca="1">IFERROR($I180*参考2_エネ使用量経年!BM71*1000,"")</f>
        <v/>
      </c>
      <c r="BN180" s="916" t="str">
        <f ca="1">IFERROR($J180*参考2_エネ使用量経年!BN71*1000,"")</f>
        <v/>
      </c>
      <c r="BO180" s="916" t="str">
        <f ca="1">IFERROR($K180*参考2_エネ使用量経年!BO71*1000,"")</f>
        <v/>
      </c>
      <c r="BP180" s="979"/>
    </row>
    <row r="181" spans="1:68" s="980" customFormat="1" ht="20.100000000000001" hidden="1" customHeight="1" outlineLevel="1">
      <c r="A181" s="973">
        <v>80</v>
      </c>
      <c r="B181" s="1594"/>
      <c r="C181" s="1658"/>
      <c r="D181" s="988" t="s">
        <v>410</v>
      </c>
      <c r="E181" s="986" t="str">
        <f ca="1">E71</f>
        <v/>
      </c>
      <c r="F181" s="987"/>
      <c r="G181" s="977" t="s">
        <v>1281</v>
      </c>
      <c r="H181" s="984">
        <f ca="1">IFERROR(OFFSET(貼付け_2024実績,$A181,6),"")</f>
        <v>0</v>
      </c>
      <c r="I181" s="984">
        <f ca="1">IFERROR(OFFSET(貼付け_2025実績,$A181,6),"")</f>
        <v>0</v>
      </c>
      <c r="J181" s="984">
        <f ca="1">IFERROR(OFFSET(貼付け_2026実績,$A181,6),"")</f>
        <v>0</v>
      </c>
      <c r="K181" s="984">
        <f ca="1">IFERROR(OFFSET(貼付け_2027実績,$A181,6),"")</f>
        <v>0</v>
      </c>
      <c r="L181" s="916">
        <f ca="1">IFERROR($H181*参考2_エネ使用量経年!L73*1000,"")</f>
        <v>0</v>
      </c>
      <c r="M181" s="916">
        <f ca="1">IFERROR($I181*参考2_エネ使用量経年!M73*1000,"")</f>
        <v>0</v>
      </c>
      <c r="N181" s="916">
        <f ca="1">IFERROR($J181*参考2_エネ使用量経年!N73*1000,"")</f>
        <v>0</v>
      </c>
      <c r="O181" s="916">
        <f ca="1">IFERROR($K181*参考2_エネ使用量経年!O73*1000,"")</f>
        <v>0</v>
      </c>
      <c r="P181" s="916">
        <f ca="1">IFERROR($H181*参考2_エネ使用量経年!P73*1000,"")</f>
        <v>0</v>
      </c>
      <c r="Q181" s="916">
        <f ca="1">IFERROR($I181*参考2_エネ使用量経年!Q73*1000,"")</f>
        <v>0</v>
      </c>
      <c r="R181" s="916">
        <f ca="1">IFERROR($J181*参考2_エネ使用量経年!R73*1000,"")</f>
        <v>0</v>
      </c>
      <c r="S181" s="916">
        <f ca="1">IFERROR($K181*参考2_エネ使用量経年!S73*1000,"")</f>
        <v>0</v>
      </c>
      <c r="T181" s="916">
        <f ca="1">IFERROR($H181*参考2_エネ使用量経年!T73*1000,"")</f>
        <v>0</v>
      </c>
      <c r="U181" s="916">
        <f ca="1">IFERROR($I181*参考2_エネ使用量経年!U73*1000,"")</f>
        <v>0</v>
      </c>
      <c r="V181" s="916">
        <f ca="1">IFERROR($J181*参考2_エネ使用量経年!V73*1000,"")</f>
        <v>0</v>
      </c>
      <c r="W181" s="916">
        <f ca="1">IFERROR($K181*参考2_エネ使用量経年!W73*1000,"")</f>
        <v>0</v>
      </c>
      <c r="X181" s="916">
        <f ca="1">IFERROR($H181*参考2_エネ使用量経年!X73*1000,"")</f>
        <v>0</v>
      </c>
      <c r="Y181" s="916">
        <f ca="1">IFERROR($I181*参考2_エネ使用量経年!Y73*1000,"")</f>
        <v>0</v>
      </c>
      <c r="Z181" s="916">
        <f ca="1">IFERROR($J181*参考2_エネ使用量経年!Z73*1000,"")</f>
        <v>0</v>
      </c>
      <c r="AA181" s="916">
        <f ca="1">IFERROR($K181*参考2_エネ使用量経年!AA73*1000,"")</f>
        <v>0</v>
      </c>
      <c r="AB181" s="916" t="str">
        <f ca="1">IFERROR($H181*参考2_エネ使用量経年!AB73*1000,"")</f>
        <v/>
      </c>
      <c r="AC181" s="916" t="str">
        <f ca="1">IFERROR($I181*参考2_エネ使用量経年!AC73*1000,"")</f>
        <v/>
      </c>
      <c r="AD181" s="916" t="str">
        <f ca="1">IFERROR($J181*参考2_エネ使用量経年!AD73*1000,"")</f>
        <v/>
      </c>
      <c r="AE181" s="916" t="str">
        <f ca="1">IFERROR($K181*参考2_エネ使用量経年!AE73*1000,"")</f>
        <v/>
      </c>
      <c r="AF181" s="916" t="str">
        <f ca="1">IFERROR($H181*参考2_エネ使用量経年!AF73*1000,"")</f>
        <v/>
      </c>
      <c r="AG181" s="916" t="str">
        <f ca="1">IFERROR($I181*参考2_エネ使用量経年!AG73*1000,"")</f>
        <v/>
      </c>
      <c r="AH181" s="916" t="str">
        <f ca="1">IFERROR($J181*参考2_エネ使用量経年!AH73*1000,"")</f>
        <v/>
      </c>
      <c r="AI181" s="916" t="str">
        <f ca="1">IFERROR($K181*参考2_エネ使用量経年!AI73*1000,"")</f>
        <v/>
      </c>
      <c r="AJ181" s="916" t="str">
        <f ca="1">IFERROR($H181*参考2_エネ使用量経年!AJ73*1000,"")</f>
        <v/>
      </c>
      <c r="AK181" s="916" t="str">
        <f ca="1">IFERROR($I181*参考2_エネ使用量経年!AK73*1000,"")</f>
        <v/>
      </c>
      <c r="AL181" s="916" t="str">
        <f ca="1">IFERROR($J181*参考2_エネ使用量経年!AL73*1000,"")</f>
        <v/>
      </c>
      <c r="AM181" s="916" t="str">
        <f ca="1">IFERROR($K181*参考2_エネ使用量経年!AM73*1000,"")</f>
        <v/>
      </c>
      <c r="AN181" s="916" t="str">
        <f ca="1">IFERROR($H181*参考2_エネ使用量経年!AN73*1000,"")</f>
        <v/>
      </c>
      <c r="AO181" s="916" t="str">
        <f ca="1">IFERROR($I181*参考2_エネ使用量経年!AO73*1000,"")</f>
        <v/>
      </c>
      <c r="AP181" s="916" t="str">
        <f ca="1">IFERROR($J181*参考2_エネ使用量経年!AP73*1000,"")</f>
        <v/>
      </c>
      <c r="AQ181" s="916" t="str">
        <f ca="1">IFERROR($K181*参考2_エネ使用量経年!AQ73*1000,"")</f>
        <v/>
      </c>
      <c r="AR181" s="916" t="str">
        <f ca="1">IFERROR($H181*参考2_エネ使用量経年!AR73*1000,"")</f>
        <v/>
      </c>
      <c r="AS181" s="916" t="str">
        <f ca="1">IFERROR($I181*参考2_エネ使用量経年!AS73*1000,"")</f>
        <v/>
      </c>
      <c r="AT181" s="916" t="str">
        <f ca="1">IFERROR($J181*参考2_エネ使用量経年!AT73*1000,"")</f>
        <v/>
      </c>
      <c r="AU181" s="916" t="str">
        <f ca="1">IFERROR($K181*参考2_エネ使用量経年!AU73*1000,"")</f>
        <v/>
      </c>
      <c r="AV181" s="916" t="str">
        <f ca="1">IFERROR($H181*参考2_エネ使用量経年!AV73*1000,"")</f>
        <v/>
      </c>
      <c r="AW181" s="916" t="str">
        <f ca="1">IFERROR($I181*参考2_エネ使用量経年!AW73*1000,"")</f>
        <v/>
      </c>
      <c r="AX181" s="916" t="str">
        <f ca="1">IFERROR($J181*参考2_エネ使用量経年!AX73*1000,"")</f>
        <v/>
      </c>
      <c r="AY181" s="916" t="str">
        <f ca="1">IFERROR($K181*参考2_エネ使用量経年!AY73*1000,"")</f>
        <v/>
      </c>
      <c r="AZ181" s="916" t="str">
        <f ca="1">IFERROR($H181*参考2_エネ使用量経年!AZ73*1000,"")</f>
        <v/>
      </c>
      <c r="BA181" s="916" t="str">
        <f ca="1">IFERROR($I181*参考2_エネ使用量経年!BA73*1000,"")</f>
        <v/>
      </c>
      <c r="BB181" s="916" t="str">
        <f ca="1">IFERROR($J181*参考2_エネ使用量経年!BB73*1000,"")</f>
        <v/>
      </c>
      <c r="BC181" s="916" t="str">
        <f ca="1">IFERROR($K181*参考2_エネ使用量経年!BC73*1000,"")</f>
        <v/>
      </c>
      <c r="BD181" s="916" t="str">
        <f ca="1">IFERROR($H181*参考2_エネ使用量経年!BD73*1000,"")</f>
        <v/>
      </c>
      <c r="BE181" s="916" t="str">
        <f ca="1">IFERROR($I181*参考2_エネ使用量経年!BE73*1000,"")</f>
        <v/>
      </c>
      <c r="BF181" s="916" t="str">
        <f ca="1">IFERROR($J181*参考2_エネ使用量経年!BF73*1000,"")</f>
        <v/>
      </c>
      <c r="BG181" s="916" t="str">
        <f ca="1">IFERROR($K181*参考2_エネ使用量経年!BG73*1000,"")</f>
        <v/>
      </c>
      <c r="BH181" s="916" t="str">
        <f ca="1">IFERROR($H181*参考2_エネ使用量経年!BH73*1000,"")</f>
        <v/>
      </c>
      <c r="BI181" s="916" t="str">
        <f ca="1">IFERROR($I181*参考2_エネ使用量経年!BI73*1000,"")</f>
        <v/>
      </c>
      <c r="BJ181" s="916" t="str">
        <f ca="1">IFERROR($J181*参考2_エネ使用量経年!BJ73*1000,"")</f>
        <v/>
      </c>
      <c r="BK181" s="916" t="str">
        <f ca="1">IFERROR($K181*参考2_エネ使用量経年!BK73*1000,"")</f>
        <v/>
      </c>
      <c r="BL181" s="916" t="str">
        <f ca="1">IFERROR($H181*参考2_エネ使用量経年!BL73*1000,"")</f>
        <v/>
      </c>
      <c r="BM181" s="916" t="str">
        <f ca="1">IFERROR($I181*参考2_エネ使用量経年!BM73*1000,"")</f>
        <v/>
      </c>
      <c r="BN181" s="916" t="str">
        <f ca="1">IFERROR($J181*参考2_エネ使用量経年!BN73*1000,"")</f>
        <v/>
      </c>
      <c r="BO181" s="916" t="str">
        <f ca="1">IFERROR($K181*参考2_エネ使用量経年!BO73*1000,"")</f>
        <v/>
      </c>
      <c r="BP181" s="979"/>
    </row>
    <row r="182" spans="1:68" ht="20.100000000000001" hidden="1" customHeight="1" outlineLevel="1">
      <c r="A182" s="914"/>
      <c r="B182" s="1594"/>
      <c r="C182" s="1645" t="s">
        <v>411</v>
      </c>
      <c r="D182" s="923" t="s">
        <v>791</v>
      </c>
      <c r="E182" s="920"/>
      <c r="F182" s="836"/>
      <c r="G182" s="852" t="s">
        <v>1281</v>
      </c>
      <c r="H182" s="921"/>
      <c r="I182" s="921"/>
      <c r="J182" s="921"/>
      <c r="K182" s="921"/>
      <c r="L182" s="921"/>
      <c r="M182" s="921"/>
      <c r="N182" s="921"/>
      <c r="O182" s="921"/>
      <c r="P182" s="921"/>
      <c r="Q182" s="921"/>
      <c r="R182" s="921"/>
      <c r="S182" s="921"/>
      <c r="T182" s="921"/>
      <c r="U182" s="921"/>
      <c r="V182" s="921"/>
      <c r="W182" s="921"/>
      <c r="X182" s="921"/>
      <c r="Y182" s="921"/>
      <c r="Z182" s="921"/>
      <c r="AA182" s="921"/>
      <c r="AB182" s="921"/>
      <c r="AC182" s="921"/>
      <c r="AD182" s="921"/>
      <c r="AE182" s="921"/>
      <c r="AF182" s="921"/>
      <c r="AG182" s="921"/>
      <c r="AH182" s="921"/>
      <c r="AI182" s="921"/>
      <c r="AJ182" s="921"/>
      <c r="AK182" s="921"/>
      <c r="AL182" s="921"/>
      <c r="AM182" s="921"/>
      <c r="AN182" s="921"/>
      <c r="AO182" s="921"/>
      <c r="AP182" s="921"/>
      <c r="AQ182" s="921"/>
      <c r="AR182" s="921"/>
      <c r="AS182" s="921"/>
      <c r="AT182" s="921"/>
      <c r="AU182" s="921"/>
      <c r="AV182" s="921"/>
      <c r="AW182" s="921"/>
      <c r="AX182" s="921"/>
      <c r="AY182" s="921"/>
      <c r="AZ182" s="921"/>
      <c r="BA182" s="921"/>
      <c r="BB182" s="921"/>
      <c r="BC182" s="921"/>
      <c r="BD182" s="921"/>
      <c r="BE182" s="921"/>
      <c r="BF182" s="921"/>
      <c r="BG182" s="921"/>
      <c r="BH182" s="921"/>
      <c r="BI182" s="921"/>
      <c r="BJ182" s="921"/>
      <c r="BK182" s="921"/>
      <c r="BL182" s="921"/>
      <c r="BM182" s="921"/>
      <c r="BN182" s="921"/>
      <c r="BO182" s="921"/>
      <c r="BP182" s="802"/>
    </row>
    <row r="183" spans="1:68" ht="20.100000000000001" hidden="1" customHeight="1" outlineLevel="1">
      <c r="A183" s="914"/>
      <c r="B183" s="1594"/>
      <c r="C183" s="1646"/>
      <c r="D183" s="923" t="s">
        <v>792</v>
      </c>
      <c r="E183" s="920"/>
      <c r="F183" s="836"/>
      <c r="G183" s="852" t="s">
        <v>1281</v>
      </c>
      <c r="H183" s="921"/>
      <c r="I183" s="921"/>
      <c r="J183" s="921"/>
      <c r="K183" s="921"/>
      <c r="L183" s="921"/>
      <c r="M183" s="921"/>
      <c r="N183" s="921"/>
      <c r="O183" s="921"/>
      <c r="P183" s="921"/>
      <c r="Q183" s="921"/>
      <c r="R183" s="921"/>
      <c r="S183" s="921"/>
      <c r="T183" s="921"/>
      <c r="U183" s="921"/>
      <c r="V183" s="921"/>
      <c r="W183" s="921"/>
      <c r="X183" s="921"/>
      <c r="Y183" s="921"/>
      <c r="Z183" s="921"/>
      <c r="AA183" s="921"/>
      <c r="AB183" s="921"/>
      <c r="AC183" s="921"/>
      <c r="AD183" s="921"/>
      <c r="AE183" s="921"/>
      <c r="AF183" s="921"/>
      <c r="AG183" s="921"/>
      <c r="AH183" s="921"/>
      <c r="AI183" s="921"/>
      <c r="AJ183" s="921"/>
      <c r="AK183" s="921"/>
      <c r="AL183" s="921"/>
      <c r="AM183" s="921"/>
      <c r="AN183" s="921"/>
      <c r="AO183" s="921"/>
      <c r="AP183" s="921"/>
      <c r="AQ183" s="921"/>
      <c r="AR183" s="921"/>
      <c r="AS183" s="921"/>
      <c r="AT183" s="921"/>
      <c r="AU183" s="921"/>
      <c r="AV183" s="921"/>
      <c r="AW183" s="921"/>
      <c r="AX183" s="921"/>
      <c r="AY183" s="921"/>
      <c r="AZ183" s="921"/>
      <c r="BA183" s="921"/>
      <c r="BB183" s="921"/>
      <c r="BC183" s="921"/>
      <c r="BD183" s="921"/>
      <c r="BE183" s="921"/>
      <c r="BF183" s="921"/>
      <c r="BG183" s="921"/>
      <c r="BH183" s="921"/>
      <c r="BI183" s="921"/>
      <c r="BJ183" s="921"/>
      <c r="BK183" s="921"/>
      <c r="BL183" s="921"/>
      <c r="BM183" s="921"/>
      <c r="BN183" s="921"/>
      <c r="BO183" s="921"/>
      <c r="BP183" s="802"/>
    </row>
    <row r="184" spans="1:68" ht="20.100000000000001" hidden="1" customHeight="1" outlineLevel="1">
      <c r="A184" s="914"/>
      <c r="B184" s="1594"/>
      <c r="C184" s="1646"/>
      <c r="D184" s="923" t="s">
        <v>793</v>
      </c>
      <c r="E184" s="920"/>
      <c r="F184" s="836"/>
      <c r="G184" s="852" t="s">
        <v>1281</v>
      </c>
      <c r="H184" s="921"/>
      <c r="I184" s="921"/>
      <c r="J184" s="921"/>
      <c r="K184" s="921"/>
      <c r="L184" s="921"/>
      <c r="M184" s="921"/>
      <c r="N184" s="921"/>
      <c r="O184" s="921"/>
      <c r="P184" s="921"/>
      <c r="Q184" s="921"/>
      <c r="R184" s="921"/>
      <c r="S184" s="921"/>
      <c r="T184" s="921"/>
      <c r="U184" s="921"/>
      <c r="V184" s="921"/>
      <c r="W184" s="921"/>
      <c r="X184" s="921"/>
      <c r="Y184" s="921"/>
      <c r="Z184" s="921"/>
      <c r="AA184" s="921"/>
      <c r="AB184" s="921"/>
      <c r="AC184" s="921"/>
      <c r="AD184" s="921"/>
      <c r="AE184" s="921"/>
      <c r="AF184" s="921"/>
      <c r="AG184" s="921"/>
      <c r="AH184" s="921"/>
      <c r="AI184" s="921"/>
      <c r="AJ184" s="921"/>
      <c r="AK184" s="921"/>
      <c r="AL184" s="921"/>
      <c r="AM184" s="921"/>
      <c r="AN184" s="921"/>
      <c r="AO184" s="921"/>
      <c r="AP184" s="921"/>
      <c r="AQ184" s="921"/>
      <c r="AR184" s="921"/>
      <c r="AS184" s="921"/>
      <c r="AT184" s="921"/>
      <c r="AU184" s="921"/>
      <c r="AV184" s="921"/>
      <c r="AW184" s="921"/>
      <c r="AX184" s="921"/>
      <c r="AY184" s="921"/>
      <c r="AZ184" s="921"/>
      <c r="BA184" s="921"/>
      <c r="BB184" s="921"/>
      <c r="BC184" s="921"/>
      <c r="BD184" s="921"/>
      <c r="BE184" s="921"/>
      <c r="BF184" s="921"/>
      <c r="BG184" s="921"/>
      <c r="BH184" s="921"/>
      <c r="BI184" s="921"/>
      <c r="BJ184" s="921"/>
      <c r="BK184" s="921"/>
      <c r="BL184" s="921"/>
      <c r="BM184" s="921"/>
      <c r="BN184" s="921"/>
      <c r="BO184" s="921"/>
      <c r="BP184" s="802"/>
    </row>
    <row r="185" spans="1:68" ht="20.100000000000001" hidden="1" customHeight="1" outlineLevel="1">
      <c r="A185" s="914"/>
      <c r="B185" s="1594"/>
      <c r="C185" s="1646"/>
      <c r="D185" s="923" t="s">
        <v>794</v>
      </c>
      <c r="E185" s="920"/>
      <c r="F185" s="836"/>
      <c r="G185" s="852" t="s">
        <v>1281</v>
      </c>
      <c r="H185" s="921"/>
      <c r="I185" s="921"/>
      <c r="J185" s="921"/>
      <c r="K185" s="921"/>
      <c r="L185" s="921"/>
      <c r="M185" s="921"/>
      <c r="N185" s="921"/>
      <c r="O185" s="921"/>
      <c r="P185" s="921"/>
      <c r="Q185" s="921"/>
      <c r="R185" s="921"/>
      <c r="S185" s="921"/>
      <c r="T185" s="921"/>
      <c r="U185" s="921"/>
      <c r="V185" s="921"/>
      <c r="W185" s="921"/>
      <c r="X185" s="921"/>
      <c r="Y185" s="921"/>
      <c r="Z185" s="921"/>
      <c r="AA185" s="921"/>
      <c r="AB185" s="921"/>
      <c r="AC185" s="921"/>
      <c r="AD185" s="921"/>
      <c r="AE185" s="921"/>
      <c r="AF185" s="921"/>
      <c r="AG185" s="921"/>
      <c r="AH185" s="921"/>
      <c r="AI185" s="921"/>
      <c r="AJ185" s="921"/>
      <c r="AK185" s="921"/>
      <c r="AL185" s="921"/>
      <c r="AM185" s="921"/>
      <c r="AN185" s="921"/>
      <c r="AO185" s="921"/>
      <c r="AP185" s="921"/>
      <c r="AQ185" s="921"/>
      <c r="AR185" s="921"/>
      <c r="AS185" s="921"/>
      <c r="AT185" s="921"/>
      <c r="AU185" s="921"/>
      <c r="AV185" s="921"/>
      <c r="AW185" s="921"/>
      <c r="AX185" s="921"/>
      <c r="AY185" s="921"/>
      <c r="AZ185" s="921"/>
      <c r="BA185" s="921"/>
      <c r="BB185" s="921"/>
      <c r="BC185" s="921"/>
      <c r="BD185" s="921"/>
      <c r="BE185" s="921"/>
      <c r="BF185" s="921"/>
      <c r="BG185" s="921"/>
      <c r="BH185" s="921"/>
      <c r="BI185" s="921"/>
      <c r="BJ185" s="921"/>
      <c r="BK185" s="921"/>
      <c r="BL185" s="921"/>
      <c r="BM185" s="921"/>
      <c r="BN185" s="921"/>
      <c r="BO185" s="921"/>
      <c r="BP185" s="802"/>
    </row>
    <row r="186" spans="1:68" ht="20.100000000000001" hidden="1" customHeight="1" outlineLevel="1">
      <c r="A186" s="914"/>
      <c r="B186" s="1594"/>
      <c r="C186" s="1646"/>
      <c r="D186" s="923" t="s">
        <v>795</v>
      </c>
      <c r="E186" s="920"/>
      <c r="F186" s="836"/>
      <c r="G186" s="852" t="s">
        <v>1281</v>
      </c>
      <c r="H186" s="921"/>
      <c r="I186" s="921"/>
      <c r="J186" s="921"/>
      <c r="K186" s="921"/>
      <c r="L186" s="921"/>
      <c r="M186" s="921"/>
      <c r="N186" s="921"/>
      <c r="O186" s="921"/>
      <c r="P186" s="921"/>
      <c r="Q186" s="921"/>
      <c r="R186" s="921"/>
      <c r="S186" s="921"/>
      <c r="T186" s="921"/>
      <c r="U186" s="921"/>
      <c r="V186" s="921"/>
      <c r="W186" s="921"/>
      <c r="X186" s="921"/>
      <c r="Y186" s="921"/>
      <c r="Z186" s="921"/>
      <c r="AA186" s="921"/>
      <c r="AB186" s="921"/>
      <c r="AC186" s="921"/>
      <c r="AD186" s="921"/>
      <c r="AE186" s="921"/>
      <c r="AF186" s="921"/>
      <c r="AG186" s="921"/>
      <c r="AH186" s="921"/>
      <c r="AI186" s="921"/>
      <c r="AJ186" s="921"/>
      <c r="AK186" s="921"/>
      <c r="AL186" s="921"/>
      <c r="AM186" s="921"/>
      <c r="AN186" s="921"/>
      <c r="AO186" s="921"/>
      <c r="AP186" s="921"/>
      <c r="AQ186" s="921"/>
      <c r="AR186" s="921"/>
      <c r="AS186" s="921"/>
      <c r="AT186" s="921"/>
      <c r="AU186" s="921"/>
      <c r="AV186" s="921"/>
      <c r="AW186" s="921"/>
      <c r="AX186" s="921"/>
      <c r="AY186" s="921"/>
      <c r="AZ186" s="921"/>
      <c r="BA186" s="921"/>
      <c r="BB186" s="921"/>
      <c r="BC186" s="921"/>
      <c r="BD186" s="921"/>
      <c r="BE186" s="921"/>
      <c r="BF186" s="921"/>
      <c r="BG186" s="921"/>
      <c r="BH186" s="921"/>
      <c r="BI186" s="921"/>
      <c r="BJ186" s="921"/>
      <c r="BK186" s="921"/>
      <c r="BL186" s="921"/>
      <c r="BM186" s="921"/>
      <c r="BN186" s="921"/>
      <c r="BO186" s="921"/>
      <c r="BP186" s="802"/>
    </row>
    <row r="187" spans="1:68" ht="20.100000000000001" hidden="1" customHeight="1" outlineLevel="1">
      <c r="A187" s="914"/>
      <c r="B187" s="1594"/>
      <c r="C187" s="1646"/>
      <c r="D187" s="923" t="s">
        <v>796</v>
      </c>
      <c r="E187" s="920"/>
      <c r="F187" s="836"/>
      <c r="G187" s="852" t="s">
        <v>1281</v>
      </c>
      <c r="H187" s="921"/>
      <c r="I187" s="921"/>
      <c r="J187" s="921"/>
      <c r="K187" s="921"/>
      <c r="L187" s="921"/>
      <c r="M187" s="921"/>
      <c r="N187" s="921"/>
      <c r="O187" s="921"/>
      <c r="P187" s="921"/>
      <c r="Q187" s="921"/>
      <c r="R187" s="921"/>
      <c r="S187" s="921"/>
      <c r="T187" s="921"/>
      <c r="U187" s="921"/>
      <c r="V187" s="921"/>
      <c r="W187" s="921"/>
      <c r="X187" s="921"/>
      <c r="Y187" s="921"/>
      <c r="Z187" s="921"/>
      <c r="AA187" s="921"/>
      <c r="AB187" s="921"/>
      <c r="AC187" s="921"/>
      <c r="AD187" s="921"/>
      <c r="AE187" s="921"/>
      <c r="AF187" s="921"/>
      <c r="AG187" s="921"/>
      <c r="AH187" s="921"/>
      <c r="AI187" s="921"/>
      <c r="AJ187" s="921"/>
      <c r="AK187" s="921"/>
      <c r="AL187" s="921"/>
      <c r="AM187" s="921"/>
      <c r="AN187" s="921"/>
      <c r="AO187" s="921"/>
      <c r="AP187" s="921"/>
      <c r="AQ187" s="921"/>
      <c r="AR187" s="921"/>
      <c r="AS187" s="921"/>
      <c r="AT187" s="921"/>
      <c r="AU187" s="921"/>
      <c r="AV187" s="921"/>
      <c r="AW187" s="921"/>
      <c r="AX187" s="921"/>
      <c r="AY187" s="921"/>
      <c r="AZ187" s="921"/>
      <c r="BA187" s="921"/>
      <c r="BB187" s="921"/>
      <c r="BC187" s="921"/>
      <c r="BD187" s="921"/>
      <c r="BE187" s="921"/>
      <c r="BF187" s="921"/>
      <c r="BG187" s="921"/>
      <c r="BH187" s="921"/>
      <c r="BI187" s="921"/>
      <c r="BJ187" s="921"/>
      <c r="BK187" s="921"/>
      <c r="BL187" s="921"/>
      <c r="BM187" s="921"/>
      <c r="BN187" s="921"/>
      <c r="BO187" s="921"/>
      <c r="BP187" s="802"/>
    </row>
    <row r="188" spans="1:68" ht="20.100000000000001" hidden="1" customHeight="1" outlineLevel="1">
      <c r="A188" s="914"/>
      <c r="B188" s="1594"/>
      <c r="C188" s="1646"/>
      <c r="D188" s="923" t="s">
        <v>797</v>
      </c>
      <c r="E188" s="920"/>
      <c r="F188" s="836"/>
      <c r="G188" s="852" t="s">
        <v>1281</v>
      </c>
      <c r="H188" s="921"/>
      <c r="I188" s="921"/>
      <c r="J188" s="921"/>
      <c r="K188" s="921"/>
      <c r="L188" s="921"/>
      <c r="M188" s="921"/>
      <c r="N188" s="921"/>
      <c r="O188" s="921"/>
      <c r="P188" s="921"/>
      <c r="Q188" s="921"/>
      <c r="R188" s="921"/>
      <c r="S188" s="921"/>
      <c r="T188" s="921"/>
      <c r="U188" s="921"/>
      <c r="V188" s="921"/>
      <c r="W188" s="921"/>
      <c r="X188" s="921"/>
      <c r="Y188" s="921"/>
      <c r="Z188" s="921"/>
      <c r="AA188" s="921"/>
      <c r="AB188" s="921"/>
      <c r="AC188" s="921"/>
      <c r="AD188" s="921"/>
      <c r="AE188" s="921"/>
      <c r="AF188" s="921"/>
      <c r="AG188" s="921"/>
      <c r="AH188" s="921"/>
      <c r="AI188" s="921"/>
      <c r="AJ188" s="921"/>
      <c r="AK188" s="921"/>
      <c r="AL188" s="921"/>
      <c r="AM188" s="921"/>
      <c r="AN188" s="921"/>
      <c r="AO188" s="921"/>
      <c r="AP188" s="921"/>
      <c r="AQ188" s="921"/>
      <c r="AR188" s="921"/>
      <c r="AS188" s="921"/>
      <c r="AT188" s="921"/>
      <c r="AU188" s="921"/>
      <c r="AV188" s="921"/>
      <c r="AW188" s="921"/>
      <c r="AX188" s="921"/>
      <c r="AY188" s="921"/>
      <c r="AZ188" s="921"/>
      <c r="BA188" s="921"/>
      <c r="BB188" s="921"/>
      <c r="BC188" s="921"/>
      <c r="BD188" s="921"/>
      <c r="BE188" s="921"/>
      <c r="BF188" s="921"/>
      <c r="BG188" s="921"/>
      <c r="BH188" s="921"/>
      <c r="BI188" s="921"/>
      <c r="BJ188" s="921"/>
      <c r="BK188" s="921"/>
      <c r="BL188" s="921"/>
      <c r="BM188" s="921"/>
      <c r="BN188" s="921"/>
      <c r="BO188" s="921"/>
      <c r="BP188" s="802"/>
    </row>
    <row r="189" spans="1:68" ht="20.100000000000001" hidden="1" customHeight="1" outlineLevel="1">
      <c r="A189" s="914"/>
      <c r="B189" s="1594"/>
      <c r="C189" s="1646"/>
      <c r="D189" s="923" t="s">
        <v>798</v>
      </c>
      <c r="E189" s="920"/>
      <c r="F189" s="836"/>
      <c r="G189" s="852" t="s">
        <v>1281</v>
      </c>
      <c r="H189" s="921"/>
      <c r="I189" s="921"/>
      <c r="J189" s="921"/>
      <c r="K189" s="921"/>
      <c r="L189" s="921"/>
      <c r="M189" s="921"/>
      <c r="N189" s="921"/>
      <c r="O189" s="921"/>
      <c r="P189" s="921"/>
      <c r="Q189" s="921"/>
      <c r="R189" s="921"/>
      <c r="S189" s="921"/>
      <c r="T189" s="921"/>
      <c r="U189" s="921"/>
      <c r="V189" s="921"/>
      <c r="W189" s="921"/>
      <c r="X189" s="921"/>
      <c r="Y189" s="921"/>
      <c r="Z189" s="921"/>
      <c r="AA189" s="921"/>
      <c r="AB189" s="921"/>
      <c r="AC189" s="921"/>
      <c r="AD189" s="921"/>
      <c r="AE189" s="921"/>
      <c r="AF189" s="921"/>
      <c r="AG189" s="921"/>
      <c r="AH189" s="921"/>
      <c r="AI189" s="921"/>
      <c r="AJ189" s="921"/>
      <c r="AK189" s="921"/>
      <c r="AL189" s="921"/>
      <c r="AM189" s="921"/>
      <c r="AN189" s="921"/>
      <c r="AO189" s="921"/>
      <c r="AP189" s="921"/>
      <c r="AQ189" s="921"/>
      <c r="AR189" s="921"/>
      <c r="AS189" s="921"/>
      <c r="AT189" s="921"/>
      <c r="AU189" s="921"/>
      <c r="AV189" s="921"/>
      <c r="AW189" s="921"/>
      <c r="AX189" s="921"/>
      <c r="AY189" s="921"/>
      <c r="AZ189" s="921"/>
      <c r="BA189" s="921"/>
      <c r="BB189" s="921"/>
      <c r="BC189" s="921"/>
      <c r="BD189" s="921"/>
      <c r="BE189" s="921"/>
      <c r="BF189" s="921"/>
      <c r="BG189" s="921"/>
      <c r="BH189" s="921"/>
      <c r="BI189" s="921"/>
      <c r="BJ189" s="921"/>
      <c r="BK189" s="921"/>
      <c r="BL189" s="921"/>
      <c r="BM189" s="921"/>
      <c r="BN189" s="921"/>
      <c r="BO189" s="921"/>
      <c r="BP189" s="802"/>
    </row>
    <row r="190" spans="1:68" ht="20.100000000000001" hidden="1" customHeight="1" outlineLevel="1">
      <c r="A190" s="914"/>
      <c r="B190" s="1594"/>
      <c r="C190" s="1646"/>
      <c r="D190" s="1631" t="s">
        <v>799</v>
      </c>
      <c r="E190" s="924"/>
      <c r="F190" s="839"/>
      <c r="G190" s="852" t="s">
        <v>1281</v>
      </c>
      <c r="H190" s="921"/>
      <c r="I190" s="921"/>
      <c r="J190" s="921"/>
      <c r="K190" s="921"/>
      <c r="L190" s="921"/>
      <c r="M190" s="921"/>
      <c r="N190" s="921"/>
      <c r="O190" s="921"/>
      <c r="P190" s="921"/>
      <c r="Q190" s="921"/>
      <c r="R190" s="921"/>
      <c r="S190" s="921"/>
      <c r="T190" s="921"/>
      <c r="U190" s="921"/>
      <c r="V190" s="921"/>
      <c r="W190" s="921"/>
      <c r="X190" s="921"/>
      <c r="Y190" s="921"/>
      <c r="Z190" s="921"/>
      <c r="AA190" s="921"/>
      <c r="AB190" s="921"/>
      <c r="AC190" s="921"/>
      <c r="AD190" s="921"/>
      <c r="AE190" s="921"/>
      <c r="AF190" s="921"/>
      <c r="AG190" s="921"/>
      <c r="AH190" s="921"/>
      <c r="AI190" s="921"/>
      <c r="AJ190" s="921"/>
      <c r="AK190" s="921"/>
      <c r="AL190" s="921"/>
      <c r="AM190" s="921"/>
      <c r="AN190" s="921"/>
      <c r="AO190" s="921"/>
      <c r="AP190" s="921"/>
      <c r="AQ190" s="921"/>
      <c r="AR190" s="921"/>
      <c r="AS190" s="921"/>
      <c r="AT190" s="921"/>
      <c r="AU190" s="921"/>
      <c r="AV190" s="921"/>
      <c r="AW190" s="921"/>
      <c r="AX190" s="921"/>
      <c r="AY190" s="921"/>
      <c r="AZ190" s="921"/>
      <c r="BA190" s="921"/>
      <c r="BB190" s="921"/>
      <c r="BC190" s="921"/>
      <c r="BD190" s="921"/>
      <c r="BE190" s="921"/>
      <c r="BF190" s="921"/>
      <c r="BG190" s="921"/>
      <c r="BH190" s="921"/>
      <c r="BI190" s="921"/>
      <c r="BJ190" s="921"/>
      <c r="BK190" s="921"/>
      <c r="BL190" s="921"/>
      <c r="BM190" s="921"/>
      <c r="BN190" s="921"/>
      <c r="BO190" s="921"/>
      <c r="BP190" s="802"/>
    </row>
    <row r="191" spans="1:68" ht="20.100000000000001" hidden="1" customHeight="1" outlineLevel="1">
      <c r="A191" s="914"/>
      <c r="B191" s="1594"/>
      <c r="C191" s="1646"/>
      <c r="D191" s="1632"/>
      <c r="E191" s="925"/>
      <c r="F191" s="841"/>
      <c r="G191" s="852" t="s">
        <v>1281</v>
      </c>
      <c r="H191" s="921"/>
      <c r="I191" s="921"/>
      <c r="J191" s="921"/>
      <c r="K191" s="921"/>
      <c r="L191" s="921"/>
      <c r="M191" s="921"/>
      <c r="N191" s="921"/>
      <c r="O191" s="921"/>
      <c r="P191" s="921"/>
      <c r="Q191" s="921"/>
      <c r="R191" s="921"/>
      <c r="S191" s="921"/>
      <c r="T191" s="921"/>
      <c r="U191" s="921"/>
      <c r="V191" s="921"/>
      <c r="W191" s="921"/>
      <c r="X191" s="921"/>
      <c r="Y191" s="921"/>
      <c r="Z191" s="921"/>
      <c r="AA191" s="921"/>
      <c r="AB191" s="921"/>
      <c r="AC191" s="921"/>
      <c r="AD191" s="921"/>
      <c r="AE191" s="921"/>
      <c r="AF191" s="921"/>
      <c r="AG191" s="921"/>
      <c r="AH191" s="921"/>
      <c r="AI191" s="921"/>
      <c r="AJ191" s="921"/>
      <c r="AK191" s="921"/>
      <c r="AL191" s="921"/>
      <c r="AM191" s="921"/>
      <c r="AN191" s="921"/>
      <c r="AO191" s="921"/>
      <c r="AP191" s="921"/>
      <c r="AQ191" s="921"/>
      <c r="AR191" s="921"/>
      <c r="AS191" s="921"/>
      <c r="AT191" s="921"/>
      <c r="AU191" s="921"/>
      <c r="AV191" s="921"/>
      <c r="AW191" s="921"/>
      <c r="AX191" s="921"/>
      <c r="AY191" s="921"/>
      <c r="AZ191" s="921"/>
      <c r="BA191" s="921"/>
      <c r="BB191" s="921"/>
      <c r="BC191" s="921"/>
      <c r="BD191" s="921"/>
      <c r="BE191" s="921"/>
      <c r="BF191" s="921"/>
      <c r="BG191" s="921"/>
      <c r="BH191" s="921"/>
      <c r="BI191" s="921"/>
      <c r="BJ191" s="921"/>
      <c r="BK191" s="921"/>
      <c r="BL191" s="921"/>
      <c r="BM191" s="921"/>
      <c r="BN191" s="921"/>
      <c r="BO191" s="921"/>
      <c r="BP191" s="802"/>
    </row>
    <row r="192" spans="1:68" ht="20.100000000000001" hidden="1" customHeight="1" outlineLevel="1">
      <c r="A192" s="914"/>
      <c r="B192" s="1594"/>
      <c r="C192" s="1646"/>
      <c r="D192" s="1631" t="s">
        <v>800</v>
      </c>
      <c r="E192" s="924"/>
      <c r="F192" s="839"/>
      <c r="G192" s="852" t="s">
        <v>1281</v>
      </c>
      <c r="H192" s="921"/>
      <c r="I192" s="921"/>
      <c r="J192" s="921"/>
      <c r="K192" s="921"/>
      <c r="L192" s="921"/>
      <c r="M192" s="921"/>
      <c r="N192" s="921"/>
      <c r="O192" s="921"/>
      <c r="P192" s="921"/>
      <c r="Q192" s="921"/>
      <c r="R192" s="921"/>
      <c r="S192" s="921"/>
      <c r="T192" s="921"/>
      <c r="U192" s="921"/>
      <c r="V192" s="921"/>
      <c r="W192" s="921"/>
      <c r="X192" s="921"/>
      <c r="Y192" s="921"/>
      <c r="Z192" s="921"/>
      <c r="AA192" s="921"/>
      <c r="AB192" s="921"/>
      <c r="AC192" s="921"/>
      <c r="AD192" s="921"/>
      <c r="AE192" s="921"/>
      <c r="AF192" s="921"/>
      <c r="AG192" s="921"/>
      <c r="AH192" s="921"/>
      <c r="AI192" s="921"/>
      <c r="AJ192" s="921"/>
      <c r="AK192" s="921"/>
      <c r="AL192" s="921"/>
      <c r="AM192" s="921"/>
      <c r="AN192" s="921"/>
      <c r="AO192" s="921"/>
      <c r="AP192" s="921"/>
      <c r="AQ192" s="921"/>
      <c r="AR192" s="921"/>
      <c r="AS192" s="921"/>
      <c r="AT192" s="921"/>
      <c r="AU192" s="921"/>
      <c r="AV192" s="921"/>
      <c r="AW192" s="921"/>
      <c r="AX192" s="921"/>
      <c r="AY192" s="921"/>
      <c r="AZ192" s="921"/>
      <c r="BA192" s="921"/>
      <c r="BB192" s="921"/>
      <c r="BC192" s="921"/>
      <c r="BD192" s="921"/>
      <c r="BE192" s="921"/>
      <c r="BF192" s="921"/>
      <c r="BG192" s="921"/>
      <c r="BH192" s="921"/>
      <c r="BI192" s="921"/>
      <c r="BJ192" s="921"/>
      <c r="BK192" s="921"/>
      <c r="BL192" s="921"/>
      <c r="BM192" s="921"/>
      <c r="BN192" s="921"/>
      <c r="BO192" s="921"/>
      <c r="BP192" s="802"/>
    </row>
    <row r="193" spans="1:68" ht="20.100000000000001" hidden="1" customHeight="1" outlineLevel="1">
      <c r="A193" s="914"/>
      <c r="B193" s="1594"/>
      <c r="C193" s="1646"/>
      <c r="D193" s="1632"/>
      <c r="E193" s="925"/>
      <c r="F193" s="841"/>
      <c r="G193" s="852" t="s">
        <v>1281</v>
      </c>
      <c r="H193" s="921"/>
      <c r="I193" s="921"/>
      <c r="J193" s="921"/>
      <c r="K193" s="921"/>
      <c r="L193" s="921"/>
      <c r="M193" s="921"/>
      <c r="N193" s="921"/>
      <c r="O193" s="921"/>
      <c r="P193" s="921"/>
      <c r="Q193" s="921"/>
      <c r="R193" s="921"/>
      <c r="S193" s="921"/>
      <c r="T193" s="921"/>
      <c r="U193" s="921"/>
      <c r="V193" s="921"/>
      <c r="W193" s="921"/>
      <c r="X193" s="921"/>
      <c r="Y193" s="921"/>
      <c r="Z193" s="921"/>
      <c r="AA193" s="921"/>
      <c r="AB193" s="921"/>
      <c r="AC193" s="921"/>
      <c r="AD193" s="921"/>
      <c r="AE193" s="921"/>
      <c r="AF193" s="921"/>
      <c r="AG193" s="921"/>
      <c r="AH193" s="921"/>
      <c r="AI193" s="921"/>
      <c r="AJ193" s="921"/>
      <c r="AK193" s="921"/>
      <c r="AL193" s="921"/>
      <c r="AM193" s="921"/>
      <c r="AN193" s="921"/>
      <c r="AO193" s="921"/>
      <c r="AP193" s="921"/>
      <c r="AQ193" s="921"/>
      <c r="AR193" s="921"/>
      <c r="AS193" s="921"/>
      <c r="AT193" s="921"/>
      <c r="AU193" s="921"/>
      <c r="AV193" s="921"/>
      <c r="AW193" s="921"/>
      <c r="AX193" s="921"/>
      <c r="AY193" s="921"/>
      <c r="AZ193" s="921"/>
      <c r="BA193" s="921"/>
      <c r="BB193" s="921"/>
      <c r="BC193" s="921"/>
      <c r="BD193" s="921"/>
      <c r="BE193" s="921"/>
      <c r="BF193" s="921"/>
      <c r="BG193" s="921"/>
      <c r="BH193" s="921"/>
      <c r="BI193" s="921"/>
      <c r="BJ193" s="921"/>
      <c r="BK193" s="921"/>
      <c r="BL193" s="921"/>
      <c r="BM193" s="921"/>
      <c r="BN193" s="921"/>
      <c r="BO193" s="921"/>
      <c r="BP193" s="802"/>
    </row>
    <row r="194" spans="1:68" ht="20.100000000000001" hidden="1" customHeight="1" outlineLevel="1">
      <c r="A194" s="914"/>
      <c r="B194" s="1594"/>
      <c r="C194" s="1646"/>
      <c r="D194" s="923" t="s">
        <v>412</v>
      </c>
      <c r="E194" s="925"/>
      <c r="F194" s="786"/>
      <c r="G194" s="852" t="s">
        <v>1281</v>
      </c>
      <c r="H194" s="921"/>
      <c r="I194" s="921"/>
      <c r="J194" s="921"/>
      <c r="K194" s="921"/>
      <c r="L194" s="921"/>
      <c r="M194" s="921"/>
      <c r="N194" s="921"/>
      <c r="O194" s="921"/>
      <c r="P194" s="921"/>
      <c r="Q194" s="921"/>
      <c r="R194" s="921"/>
      <c r="S194" s="921"/>
      <c r="T194" s="921"/>
      <c r="U194" s="921"/>
      <c r="V194" s="921"/>
      <c r="W194" s="921"/>
      <c r="X194" s="921"/>
      <c r="Y194" s="921"/>
      <c r="Z194" s="921"/>
      <c r="AA194" s="921"/>
      <c r="AB194" s="921"/>
      <c r="AC194" s="921"/>
      <c r="AD194" s="921"/>
      <c r="AE194" s="921"/>
      <c r="AF194" s="921"/>
      <c r="AG194" s="921"/>
      <c r="AH194" s="921"/>
      <c r="AI194" s="921"/>
      <c r="AJ194" s="921"/>
      <c r="AK194" s="921"/>
      <c r="AL194" s="921"/>
      <c r="AM194" s="921"/>
      <c r="AN194" s="921"/>
      <c r="AO194" s="921"/>
      <c r="AP194" s="921"/>
      <c r="AQ194" s="921"/>
      <c r="AR194" s="921"/>
      <c r="AS194" s="921"/>
      <c r="AT194" s="921"/>
      <c r="AU194" s="921"/>
      <c r="AV194" s="921"/>
      <c r="AW194" s="921"/>
      <c r="AX194" s="921"/>
      <c r="AY194" s="921"/>
      <c r="AZ194" s="921"/>
      <c r="BA194" s="921"/>
      <c r="BB194" s="921"/>
      <c r="BC194" s="921"/>
      <c r="BD194" s="921"/>
      <c r="BE194" s="921"/>
      <c r="BF194" s="921"/>
      <c r="BG194" s="921"/>
      <c r="BH194" s="921"/>
      <c r="BI194" s="921"/>
      <c r="BJ194" s="921"/>
      <c r="BK194" s="921"/>
      <c r="BL194" s="921"/>
      <c r="BM194" s="921"/>
      <c r="BN194" s="921"/>
      <c r="BO194" s="921"/>
      <c r="BP194" s="802"/>
    </row>
    <row r="195" spans="1:68" ht="20.100000000000001" hidden="1" customHeight="1" outlineLevel="1">
      <c r="A195" s="914"/>
      <c r="B195" s="1594"/>
      <c r="C195" s="1646"/>
      <c r="D195" s="923" t="s">
        <v>414</v>
      </c>
      <c r="E195" s="925"/>
      <c r="F195" s="842"/>
      <c r="G195" s="852" t="s">
        <v>1281</v>
      </c>
      <c r="H195" s="921"/>
      <c r="I195" s="921"/>
      <c r="J195" s="921"/>
      <c r="K195" s="921"/>
      <c r="L195" s="921"/>
      <c r="M195" s="921"/>
      <c r="N195" s="921"/>
      <c r="O195" s="921"/>
      <c r="P195" s="921"/>
      <c r="Q195" s="921"/>
      <c r="R195" s="921"/>
      <c r="S195" s="921"/>
      <c r="T195" s="921"/>
      <c r="U195" s="921"/>
      <c r="V195" s="921"/>
      <c r="W195" s="921"/>
      <c r="X195" s="921"/>
      <c r="Y195" s="921"/>
      <c r="Z195" s="921"/>
      <c r="AA195" s="921"/>
      <c r="AB195" s="921"/>
      <c r="AC195" s="921"/>
      <c r="AD195" s="921"/>
      <c r="AE195" s="921"/>
      <c r="AF195" s="921"/>
      <c r="AG195" s="921"/>
      <c r="AH195" s="921"/>
      <c r="AI195" s="921"/>
      <c r="AJ195" s="921"/>
      <c r="AK195" s="921"/>
      <c r="AL195" s="921"/>
      <c r="AM195" s="921"/>
      <c r="AN195" s="921"/>
      <c r="AO195" s="921"/>
      <c r="AP195" s="921"/>
      <c r="AQ195" s="921"/>
      <c r="AR195" s="921"/>
      <c r="AS195" s="921"/>
      <c r="AT195" s="921"/>
      <c r="AU195" s="921"/>
      <c r="AV195" s="921"/>
      <c r="AW195" s="921"/>
      <c r="AX195" s="921"/>
      <c r="AY195" s="921"/>
      <c r="AZ195" s="921"/>
      <c r="BA195" s="921"/>
      <c r="BB195" s="921"/>
      <c r="BC195" s="921"/>
      <c r="BD195" s="921"/>
      <c r="BE195" s="921"/>
      <c r="BF195" s="921"/>
      <c r="BG195" s="921"/>
      <c r="BH195" s="921"/>
      <c r="BI195" s="921"/>
      <c r="BJ195" s="921"/>
      <c r="BK195" s="921"/>
      <c r="BL195" s="921"/>
      <c r="BM195" s="921"/>
      <c r="BN195" s="921"/>
      <c r="BO195" s="921"/>
      <c r="BP195" s="802"/>
    </row>
    <row r="196" spans="1:68" ht="20.100000000000001" hidden="1" customHeight="1" outlineLevel="1">
      <c r="A196" s="914"/>
      <c r="B196" s="1594"/>
      <c r="C196" s="1646"/>
      <c r="D196" s="923" t="s">
        <v>416</v>
      </c>
      <c r="E196" s="925"/>
      <c r="F196" s="842"/>
      <c r="G196" s="852" t="s">
        <v>1281</v>
      </c>
      <c r="H196" s="921"/>
      <c r="I196" s="921"/>
      <c r="J196" s="921"/>
      <c r="K196" s="921"/>
      <c r="L196" s="921"/>
      <c r="M196" s="921"/>
      <c r="N196" s="921"/>
      <c r="O196" s="921"/>
      <c r="P196" s="921"/>
      <c r="Q196" s="921"/>
      <c r="R196" s="921"/>
      <c r="S196" s="921"/>
      <c r="T196" s="921"/>
      <c r="U196" s="921"/>
      <c r="V196" s="921"/>
      <c r="W196" s="921"/>
      <c r="X196" s="921"/>
      <c r="Y196" s="921"/>
      <c r="Z196" s="921"/>
      <c r="AA196" s="921"/>
      <c r="AB196" s="921"/>
      <c r="AC196" s="921"/>
      <c r="AD196" s="921"/>
      <c r="AE196" s="921"/>
      <c r="AF196" s="921"/>
      <c r="AG196" s="921"/>
      <c r="AH196" s="921"/>
      <c r="AI196" s="921"/>
      <c r="AJ196" s="921"/>
      <c r="AK196" s="921"/>
      <c r="AL196" s="921"/>
      <c r="AM196" s="921"/>
      <c r="AN196" s="921"/>
      <c r="AO196" s="921"/>
      <c r="AP196" s="921"/>
      <c r="AQ196" s="921"/>
      <c r="AR196" s="921"/>
      <c r="AS196" s="921"/>
      <c r="AT196" s="921"/>
      <c r="AU196" s="921"/>
      <c r="AV196" s="921"/>
      <c r="AW196" s="921"/>
      <c r="AX196" s="921"/>
      <c r="AY196" s="921"/>
      <c r="AZ196" s="921"/>
      <c r="BA196" s="921"/>
      <c r="BB196" s="921"/>
      <c r="BC196" s="921"/>
      <c r="BD196" s="921"/>
      <c r="BE196" s="921"/>
      <c r="BF196" s="921"/>
      <c r="BG196" s="921"/>
      <c r="BH196" s="921"/>
      <c r="BI196" s="921"/>
      <c r="BJ196" s="921"/>
      <c r="BK196" s="921"/>
      <c r="BL196" s="921"/>
      <c r="BM196" s="921"/>
      <c r="BN196" s="921"/>
      <c r="BO196" s="921"/>
      <c r="BP196" s="802"/>
    </row>
    <row r="197" spans="1:68" ht="20.100000000000001" hidden="1" customHeight="1" outlineLevel="1">
      <c r="A197" s="914"/>
      <c r="B197" s="1594"/>
      <c r="C197" s="1646"/>
      <c r="D197" s="923" t="s">
        <v>418</v>
      </c>
      <c r="E197" s="925"/>
      <c r="F197" s="842"/>
      <c r="G197" s="852" t="s">
        <v>1281</v>
      </c>
      <c r="H197" s="921"/>
      <c r="I197" s="921"/>
      <c r="J197" s="921"/>
      <c r="K197" s="921"/>
      <c r="L197" s="921"/>
      <c r="M197" s="921"/>
      <c r="N197" s="921"/>
      <c r="O197" s="921"/>
      <c r="P197" s="921"/>
      <c r="Q197" s="921"/>
      <c r="R197" s="921"/>
      <c r="S197" s="921"/>
      <c r="T197" s="921"/>
      <c r="U197" s="921"/>
      <c r="V197" s="921"/>
      <c r="W197" s="921"/>
      <c r="X197" s="921"/>
      <c r="Y197" s="921"/>
      <c r="Z197" s="921"/>
      <c r="AA197" s="921"/>
      <c r="AB197" s="921"/>
      <c r="AC197" s="921"/>
      <c r="AD197" s="921"/>
      <c r="AE197" s="921"/>
      <c r="AF197" s="921"/>
      <c r="AG197" s="921"/>
      <c r="AH197" s="921"/>
      <c r="AI197" s="921"/>
      <c r="AJ197" s="921"/>
      <c r="AK197" s="921"/>
      <c r="AL197" s="921"/>
      <c r="AM197" s="921"/>
      <c r="AN197" s="921"/>
      <c r="AO197" s="921"/>
      <c r="AP197" s="921"/>
      <c r="AQ197" s="921"/>
      <c r="AR197" s="921"/>
      <c r="AS197" s="921"/>
      <c r="AT197" s="921"/>
      <c r="AU197" s="921"/>
      <c r="AV197" s="921"/>
      <c r="AW197" s="921"/>
      <c r="AX197" s="921"/>
      <c r="AY197" s="921"/>
      <c r="AZ197" s="921"/>
      <c r="BA197" s="921"/>
      <c r="BB197" s="921"/>
      <c r="BC197" s="921"/>
      <c r="BD197" s="921"/>
      <c r="BE197" s="921"/>
      <c r="BF197" s="921"/>
      <c r="BG197" s="921"/>
      <c r="BH197" s="921"/>
      <c r="BI197" s="921"/>
      <c r="BJ197" s="921"/>
      <c r="BK197" s="921"/>
      <c r="BL197" s="921"/>
      <c r="BM197" s="921"/>
      <c r="BN197" s="921"/>
      <c r="BO197" s="921"/>
      <c r="BP197" s="802"/>
    </row>
    <row r="198" spans="1:68" ht="19.5" customHeight="1" collapsed="1">
      <c r="B198" s="926" t="s">
        <v>913</v>
      </c>
      <c r="C198" s="839"/>
      <c r="D198" s="874" t="s">
        <v>914</v>
      </c>
      <c r="E198" s="927"/>
      <c r="F198" s="862" t="s">
        <v>865</v>
      </c>
      <c r="G198" s="852" t="s">
        <v>1281</v>
      </c>
      <c r="H198" s="921"/>
      <c r="I198" s="921"/>
      <c r="J198" s="921"/>
      <c r="K198" s="921"/>
      <c r="L198" s="928">
        <f ca="1">SUM(L118:L153,L160:L165)</f>
        <v>0</v>
      </c>
      <c r="M198" s="928">
        <f t="shared" ref="M198:BO198" ca="1" si="53">SUM(M118:M153,M160:M165)</f>
        <v>0</v>
      </c>
      <c r="N198" s="928">
        <f t="shared" ca="1" si="53"/>
        <v>0</v>
      </c>
      <c r="O198" s="928">
        <f t="shared" ca="1" si="53"/>
        <v>0</v>
      </c>
      <c r="P198" s="928">
        <f t="shared" ca="1" si="53"/>
        <v>0</v>
      </c>
      <c r="Q198" s="928">
        <f t="shared" ca="1" si="53"/>
        <v>0</v>
      </c>
      <c r="R198" s="928">
        <f t="shared" ca="1" si="53"/>
        <v>0</v>
      </c>
      <c r="S198" s="928">
        <f t="shared" ca="1" si="53"/>
        <v>0</v>
      </c>
      <c r="T198" s="928">
        <f t="shared" ca="1" si="53"/>
        <v>0</v>
      </c>
      <c r="U198" s="928">
        <f t="shared" ca="1" si="53"/>
        <v>0</v>
      </c>
      <c r="V198" s="928">
        <f t="shared" ca="1" si="53"/>
        <v>0</v>
      </c>
      <c r="W198" s="928">
        <f t="shared" ca="1" si="53"/>
        <v>0</v>
      </c>
      <c r="X198" s="928">
        <f t="shared" ca="1" si="53"/>
        <v>0</v>
      </c>
      <c r="Y198" s="928">
        <f t="shared" ca="1" si="53"/>
        <v>0</v>
      </c>
      <c r="Z198" s="928">
        <f t="shared" ca="1" si="53"/>
        <v>0</v>
      </c>
      <c r="AA198" s="928">
        <f t="shared" ca="1" si="53"/>
        <v>0</v>
      </c>
      <c r="AB198" s="928">
        <f t="shared" ca="1" si="53"/>
        <v>0</v>
      </c>
      <c r="AC198" s="928">
        <f t="shared" ca="1" si="53"/>
        <v>0</v>
      </c>
      <c r="AD198" s="928">
        <f t="shared" ca="1" si="53"/>
        <v>0</v>
      </c>
      <c r="AE198" s="928">
        <f t="shared" ca="1" si="53"/>
        <v>0</v>
      </c>
      <c r="AF198" s="928">
        <f t="shared" ca="1" si="53"/>
        <v>0</v>
      </c>
      <c r="AG198" s="928">
        <f t="shared" ca="1" si="53"/>
        <v>0</v>
      </c>
      <c r="AH198" s="928">
        <f t="shared" ca="1" si="53"/>
        <v>0</v>
      </c>
      <c r="AI198" s="928">
        <f t="shared" ca="1" si="53"/>
        <v>0</v>
      </c>
      <c r="AJ198" s="928">
        <f t="shared" ca="1" si="53"/>
        <v>0</v>
      </c>
      <c r="AK198" s="928">
        <f t="shared" ca="1" si="53"/>
        <v>0</v>
      </c>
      <c r="AL198" s="928">
        <f t="shared" ca="1" si="53"/>
        <v>0</v>
      </c>
      <c r="AM198" s="928">
        <f t="shared" ca="1" si="53"/>
        <v>0</v>
      </c>
      <c r="AN198" s="928">
        <f t="shared" ca="1" si="53"/>
        <v>0</v>
      </c>
      <c r="AO198" s="928">
        <f t="shared" ca="1" si="53"/>
        <v>0</v>
      </c>
      <c r="AP198" s="928">
        <f t="shared" ca="1" si="53"/>
        <v>0</v>
      </c>
      <c r="AQ198" s="928">
        <f t="shared" ca="1" si="53"/>
        <v>0</v>
      </c>
      <c r="AR198" s="928">
        <f t="shared" ca="1" si="53"/>
        <v>0</v>
      </c>
      <c r="AS198" s="928">
        <f t="shared" ca="1" si="53"/>
        <v>0</v>
      </c>
      <c r="AT198" s="928">
        <f t="shared" ca="1" si="53"/>
        <v>0</v>
      </c>
      <c r="AU198" s="928">
        <f t="shared" ca="1" si="53"/>
        <v>0</v>
      </c>
      <c r="AV198" s="928">
        <f t="shared" ca="1" si="53"/>
        <v>0</v>
      </c>
      <c r="AW198" s="928">
        <f t="shared" ca="1" si="53"/>
        <v>0</v>
      </c>
      <c r="AX198" s="928">
        <f t="shared" ca="1" si="53"/>
        <v>0</v>
      </c>
      <c r="AY198" s="928">
        <f t="shared" ca="1" si="53"/>
        <v>0</v>
      </c>
      <c r="AZ198" s="928">
        <f t="shared" ca="1" si="53"/>
        <v>0</v>
      </c>
      <c r="BA198" s="928">
        <f t="shared" ca="1" si="53"/>
        <v>0</v>
      </c>
      <c r="BB198" s="928">
        <f t="shared" ca="1" si="53"/>
        <v>0</v>
      </c>
      <c r="BC198" s="928">
        <f t="shared" ca="1" si="53"/>
        <v>0</v>
      </c>
      <c r="BD198" s="928">
        <f t="shared" ca="1" si="53"/>
        <v>0</v>
      </c>
      <c r="BE198" s="928">
        <f t="shared" ca="1" si="53"/>
        <v>0</v>
      </c>
      <c r="BF198" s="928">
        <f t="shared" ca="1" si="53"/>
        <v>0</v>
      </c>
      <c r="BG198" s="928">
        <f t="shared" ca="1" si="53"/>
        <v>0</v>
      </c>
      <c r="BH198" s="928">
        <f t="shared" ca="1" si="53"/>
        <v>0</v>
      </c>
      <c r="BI198" s="928">
        <f t="shared" ca="1" si="53"/>
        <v>0</v>
      </c>
      <c r="BJ198" s="928">
        <f t="shared" ca="1" si="53"/>
        <v>0</v>
      </c>
      <c r="BK198" s="928">
        <f t="shared" ca="1" si="53"/>
        <v>0</v>
      </c>
      <c r="BL198" s="928">
        <f t="shared" ca="1" si="53"/>
        <v>0</v>
      </c>
      <c r="BM198" s="928">
        <f t="shared" ca="1" si="53"/>
        <v>0</v>
      </c>
      <c r="BN198" s="928">
        <f t="shared" ca="1" si="53"/>
        <v>0</v>
      </c>
      <c r="BO198" s="928">
        <f t="shared" ca="1" si="53"/>
        <v>0</v>
      </c>
      <c r="BP198" s="802"/>
    </row>
    <row r="199" spans="1:68" ht="21">
      <c r="B199" s="930" t="s">
        <v>935</v>
      </c>
      <c r="C199" s="841"/>
      <c r="D199" s="989" t="s">
        <v>916</v>
      </c>
      <c r="E199" s="990"/>
      <c r="F199" s="931" t="s">
        <v>866</v>
      </c>
      <c r="G199" s="852" t="s">
        <v>1281</v>
      </c>
      <c r="H199" s="921"/>
      <c r="I199" s="921"/>
      <c r="J199" s="921"/>
      <c r="K199" s="921"/>
      <c r="L199" s="921"/>
      <c r="M199" s="921"/>
      <c r="N199" s="921"/>
      <c r="O199" s="921"/>
      <c r="P199" s="921"/>
      <c r="Q199" s="921"/>
      <c r="R199" s="921"/>
      <c r="S199" s="921"/>
      <c r="T199" s="921"/>
      <c r="U199" s="921"/>
      <c r="V199" s="921"/>
      <c r="W199" s="921"/>
      <c r="X199" s="921"/>
      <c r="Y199" s="921"/>
      <c r="Z199" s="921"/>
      <c r="AA199" s="921"/>
      <c r="AB199" s="921"/>
      <c r="AC199" s="921"/>
      <c r="AD199" s="921"/>
      <c r="AE199" s="921"/>
      <c r="AF199" s="921"/>
      <c r="AG199" s="921"/>
      <c r="AH199" s="921"/>
      <c r="AI199" s="921"/>
      <c r="AJ199" s="921"/>
      <c r="AK199" s="921"/>
      <c r="AL199" s="921"/>
      <c r="AM199" s="921"/>
      <c r="AN199" s="921"/>
      <c r="AO199" s="921"/>
      <c r="AP199" s="921"/>
      <c r="AQ199" s="921"/>
      <c r="AR199" s="921"/>
      <c r="AS199" s="921"/>
      <c r="AT199" s="921"/>
      <c r="AU199" s="921"/>
      <c r="AV199" s="921"/>
      <c r="AW199" s="921"/>
      <c r="AX199" s="921"/>
      <c r="AY199" s="921"/>
      <c r="AZ199" s="921"/>
      <c r="BA199" s="921"/>
      <c r="BB199" s="921"/>
      <c r="BC199" s="921"/>
      <c r="BD199" s="921"/>
      <c r="BE199" s="921"/>
      <c r="BF199" s="921"/>
      <c r="BG199" s="921"/>
      <c r="BH199" s="921"/>
      <c r="BI199" s="921"/>
      <c r="BJ199" s="921"/>
      <c r="BK199" s="921"/>
      <c r="BL199" s="921"/>
      <c r="BM199" s="921"/>
      <c r="BN199" s="921"/>
      <c r="BO199" s="921"/>
      <c r="BP199" s="802"/>
    </row>
    <row r="200" spans="1:68" ht="21">
      <c r="B200" s="926" t="s">
        <v>917</v>
      </c>
      <c r="C200" s="839"/>
      <c r="D200" s="874" t="s">
        <v>918</v>
      </c>
      <c r="E200" s="932"/>
      <c r="F200" s="862" t="s">
        <v>867</v>
      </c>
      <c r="G200" s="852" t="s">
        <v>1281</v>
      </c>
      <c r="H200" s="921"/>
      <c r="I200" s="921"/>
      <c r="J200" s="921"/>
      <c r="K200" s="921"/>
      <c r="L200" s="916">
        <f t="shared" ref="L200:O200" ca="1" si="54">SUM(L166:L176)</f>
        <v>0</v>
      </c>
      <c r="M200" s="916">
        <f t="shared" ca="1" si="54"/>
        <v>0</v>
      </c>
      <c r="N200" s="916">
        <f t="shared" ca="1" si="54"/>
        <v>0</v>
      </c>
      <c r="O200" s="916">
        <f t="shared" ca="1" si="54"/>
        <v>0</v>
      </c>
      <c r="P200" s="952">
        <f t="shared" ref="P200:S200" ca="1" si="55">SUM(P166:P176)</f>
        <v>0</v>
      </c>
      <c r="Q200" s="952">
        <f t="shared" ca="1" si="55"/>
        <v>0</v>
      </c>
      <c r="R200" s="952">
        <f t="shared" ca="1" si="55"/>
        <v>0</v>
      </c>
      <c r="S200" s="952">
        <f t="shared" ca="1" si="55"/>
        <v>0</v>
      </c>
      <c r="T200" s="952">
        <f ca="1">SUM(T166:T176)</f>
        <v>0</v>
      </c>
      <c r="U200" s="952">
        <f t="shared" ref="U200:BO200" ca="1" si="56">SUM(U166:U176)</f>
        <v>0</v>
      </c>
      <c r="V200" s="952">
        <f t="shared" ca="1" si="56"/>
        <v>0</v>
      </c>
      <c r="W200" s="952">
        <f t="shared" ca="1" si="56"/>
        <v>0</v>
      </c>
      <c r="X200" s="952">
        <f t="shared" ca="1" si="56"/>
        <v>0</v>
      </c>
      <c r="Y200" s="952">
        <f t="shared" ca="1" si="56"/>
        <v>0</v>
      </c>
      <c r="Z200" s="952">
        <f t="shared" ca="1" si="56"/>
        <v>0</v>
      </c>
      <c r="AA200" s="952">
        <f t="shared" ca="1" si="56"/>
        <v>0</v>
      </c>
      <c r="AB200" s="952">
        <f t="shared" ca="1" si="56"/>
        <v>0</v>
      </c>
      <c r="AC200" s="952">
        <f t="shared" ca="1" si="56"/>
        <v>0</v>
      </c>
      <c r="AD200" s="952">
        <f t="shared" ca="1" si="56"/>
        <v>0</v>
      </c>
      <c r="AE200" s="952">
        <f t="shared" ca="1" si="56"/>
        <v>0</v>
      </c>
      <c r="AF200" s="952">
        <f t="shared" ca="1" si="56"/>
        <v>0</v>
      </c>
      <c r="AG200" s="952">
        <f t="shared" ca="1" si="56"/>
        <v>0</v>
      </c>
      <c r="AH200" s="952">
        <f t="shared" ca="1" si="56"/>
        <v>0</v>
      </c>
      <c r="AI200" s="952">
        <f t="shared" ca="1" si="56"/>
        <v>0</v>
      </c>
      <c r="AJ200" s="952">
        <f t="shared" ca="1" si="56"/>
        <v>0</v>
      </c>
      <c r="AK200" s="952">
        <f t="shared" ca="1" si="56"/>
        <v>0</v>
      </c>
      <c r="AL200" s="952">
        <f t="shared" ca="1" si="56"/>
        <v>0</v>
      </c>
      <c r="AM200" s="952">
        <f t="shared" ca="1" si="56"/>
        <v>0</v>
      </c>
      <c r="AN200" s="952">
        <f t="shared" ca="1" si="56"/>
        <v>0</v>
      </c>
      <c r="AO200" s="952">
        <f t="shared" ca="1" si="56"/>
        <v>0</v>
      </c>
      <c r="AP200" s="952">
        <f t="shared" ca="1" si="56"/>
        <v>0</v>
      </c>
      <c r="AQ200" s="952">
        <f t="shared" ca="1" si="56"/>
        <v>0</v>
      </c>
      <c r="AR200" s="952">
        <f t="shared" ca="1" si="56"/>
        <v>0</v>
      </c>
      <c r="AS200" s="952">
        <f t="shared" ca="1" si="56"/>
        <v>0</v>
      </c>
      <c r="AT200" s="952">
        <f t="shared" ca="1" si="56"/>
        <v>0</v>
      </c>
      <c r="AU200" s="952">
        <f t="shared" ca="1" si="56"/>
        <v>0</v>
      </c>
      <c r="AV200" s="952">
        <f t="shared" ca="1" si="56"/>
        <v>0</v>
      </c>
      <c r="AW200" s="952">
        <f t="shared" ca="1" si="56"/>
        <v>0</v>
      </c>
      <c r="AX200" s="952">
        <f t="shared" ca="1" si="56"/>
        <v>0</v>
      </c>
      <c r="AY200" s="952">
        <f t="shared" ca="1" si="56"/>
        <v>0</v>
      </c>
      <c r="AZ200" s="952">
        <f t="shared" ca="1" si="56"/>
        <v>0</v>
      </c>
      <c r="BA200" s="952">
        <f t="shared" ca="1" si="56"/>
        <v>0</v>
      </c>
      <c r="BB200" s="952">
        <f t="shared" ca="1" si="56"/>
        <v>0</v>
      </c>
      <c r="BC200" s="952">
        <f t="shared" ca="1" si="56"/>
        <v>0</v>
      </c>
      <c r="BD200" s="952">
        <f t="shared" ca="1" si="56"/>
        <v>0</v>
      </c>
      <c r="BE200" s="952">
        <f t="shared" ca="1" si="56"/>
        <v>0</v>
      </c>
      <c r="BF200" s="952">
        <f t="shared" ca="1" si="56"/>
        <v>0</v>
      </c>
      <c r="BG200" s="952">
        <f t="shared" ca="1" si="56"/>
        <v>0</v>
      </c>
      <c r="BH200" s="952">
        <f t="shared" ca="1" si="56"/>
        <v>0</v>
      </c>
      <c r="BI200" s="952">
        <f t="shared" ca="1" si="56"/>
        <v>0</v>
      </c>
      <c r="BJ200" s="952">
        <f t="shared" ca="1" si="56"/>
        <v>0</v>
      </c>
      <c r="BK200" s="952">
        <f t="shared" ca="1" si="56"/>
        <v>0</v>
      </c>
      <c r="BL200" s="952">
        <f t="shared" ca="1" si="56"/>
        <v>0</v>
      </c>
      <c r="BM200" s="952">
        <f t="shared" ca="1" si="56"/>
        <v>0</v>
      </c>
      <c r="BN200" s="952">
        <f t="shared" ca="1" si="56"/>
        <v>0</v>
      </c>
      <c r="BO200" s="952">
        <f t="shared" ca="1" si="56"/>
        <v>0</v>
      </c>
      <c r="BP200" s="802"/>
    </row>
    <row r="201" spans="1:68" ht="21">
      <c r="B201" s="930" t="s">
        <v>935</v>
      </c>
      <c r="C201" s="933"/>
      <c r="D201" s="874" t="s">
        <v>919</v>
      </c>
      <c r="E201" s="932"/>
      <c r="F201" s="862" t="s">
        <v>868</v>
      </c>
      <c r="G201" s="852" t="s">
        <v>1281</v>
      </c>
      <c r="H201" s="921"/>
      <c r="I201" s="921"/>
      <c r="J201" s="921"/>
      <c r="K201" s="921"/>
      <c r="L201" s="916">
        <f t="shared" ref="L201:S201" ca="1" si="57">SUM(L177:L181)</f>
        <v>0</v>
      </c>
      <c r="M201" s="916">
        <f t="shared" ca="1" si="57"/>
        <v>0</v>
      </c>
      <c r="N201" s="916">
        <f t="shared" ca="1" si="57"/>
        <v>0</v>
      </c>
      <c r="O201" s="916">
        <f t="shared" ca="1" si="57"/>
        <v>0</v>
      </c>
      <c r="P201" s="952">
        <f t="shared" ca="1" si="57"/>
        <v>0</v>
      </c>
      <c r="Q201" s="952">
        <f t="shared" ca="1" si="57"/>
        <v>0</v>
      </c>
      <c r="R201" s="952">
        <f t="shared" ca="1" si="57"/>
        <v>0</v>
      </c>
      <c r="S201" s="952">
        <f t="shared" ca="1" si="57"/>
        <v>0</v>
      </c>
      <c r="T201" s="952">
        <f ca="1">SUM(T177:T181)</f>
        <v>0</v>
      </c>
      <c r="U201" s="952">
        <f t="shared" ref="U201:BO201" ca="1" si="58">SUM(U177:U181)</f>
        <v>0</v>
      </c>
      <c r="V201" s="952">
        <f t="shared" ca="1" si="58"/>
        <v>0</v>
      </c>
      <c r="W201" s="952">
        <f t="shared" ca="1" si="58"/>
        <v>0</v>
      </c>
      <c r="X201" s="952">
        <f t="shared" ca="1" si="58"/>
        <v>0</v>
      </c>
      <c r="Y201" s="952">
        <f t="shared" ca="1" si="58"/>
        <v>0</v>
      </c>
      <c r="Z201" s="952">
        <f t="shared" ca="1" si="58"/>
        <v>0</v>
      </c>
      <c r="AA201" s="952">
        <f t="shared" ca="1" si="58"/>
        <v>0</v>
      </c>
      <c r="AB201" s="952">
        <f t="shared" ca="1" si="58"/>
        <v>0</v>
      </c>
      <c r="AC201" s="952">
        <f t="shared" ca="1" si="58"/>
        <v>0</v>
      </c>
      <c r="AD201" s="952">
        <f t="shared" ca="1" si="58"/>
        <v>0</v>
      </c>
      <c r="AE201" s="952">
        <f t="shared" ca="1" si="58"/>
        <v>0</v>
      </c>
      <c r="AF201" s="952">
        <f t="shared" ca="1" si="58"/>
        <v>0</v>
      </c>
      <c r="AG201" s="952">
        <f t="shared" ca="1" si="58"/>
        <v>0</v>
      </c>
      <c r="AH201" s="952">
        <f t="shared" ca="1" si="58"/>
        <v>0</v>
      </c>
      <c r="AI201" s="952">
        <f t="shared" ca="1" si="58"/>
        <v>0</v>
      </c>
      <c r="AJ201" s="952">
        <f t="shared" ca="1" si="58"/>
        <v>0</v>
      </c>
      <c r="AK201" s="952">
        <f t="shared" ca="1" si="58"/>
        <v>0</v>
      </c>
      <c r="AL201" s="952">
        <f t="shared" ca="1" si="58"/>
        <v>0</v>
      </c>
      <c r="AM201" s="952">
        <f t="shared" ca="1" si="58"/>
        <v>0</v>
      </c>
      <c r="AN201" s="952">
        <f t="shared" ca="1" si="58"/>
        <v>0</v>
      </c>
      <c r="AO201" s="952">
        <f t="shared" ca="1" si="58"/>
        <v>0</v>
      </c>
      <c r="AP201" s="952">
        <f t="shared" ca="1" si="58"/>
        <v>0</v>
      </c>
      <c r="AQ201" s="952">
        <f t="shared" ca="1" si="58"/>
        <v>0</v>
      </c>
      <c r="AR201" s="952">
        <f t="shared" ca="1" si="58"/>
        <v>0</v>
      </c>
      <c r="AS201" s="952">
        <f t="shared" ca="1" si="58"/>
        <v>0</v>
      </c>
      <c r="AT201" s="952">
        <f t="shared" ca="1" si="58"/>
        <v>0</v>
      </c>
      <c r="AU201" s="952">
        <f t="shared" ca="1" si="58"/>
        <v>0</v>
      </c>
      <c r="AV201" s="952">
        <f t="shared" ca="1" si="58"/>
        <v>0</v>
      </c>
      <c r="AW201" s="952">
        <f t="shared" ca="1" si="58"/>
        <v>0</v>
      </c>
      <c r="AX201" s="952">
        <f t="shared" ca="1" si="58"/>
        <v>0</v>
      </c>
      <c r="AY201" s="952">
        <f t="shared" ca="1" si="58"/>
        <v>0</v>
      </c>
      <c r="AZ201" s="952">
        <f t="shared" ca="1" si="58"/>
        <v>0</v>
      </c>
      <c r="BA201" s="952">
        <f t="shared" ca="1" si="58"/>
        <v>0</v>
      </c>
      <c r="BB201" s="952">
        <f t="shared" ca="1" si="58"/>
        <v>0</v>
      </c>
      <c r="BC201" s="952">
        <f t="shared" ca="1" si="58"/>
        <v>0</v>
      </c>
      <c r="BD201" s="952">
        <f t="shared" ca="1" si="58"/>
        <v>0</v>
      </c>
      <c r="BE201" s="952">
        <f t="shared" ca="1" si="58"/>
        <v>0</v>
      </c>
      <c r="BF201" s="952">
        <f t="shared" ca="1" si="58"/>
        <v>0</v>
      </c>
      <c r="BG201" s="952">
        <f t="shared" ca="1" si="58"/>
        <v>0</v>
      </c>
      <c r="BH201" s="952">
        <f t="shared" ca="1" si="58"/>
        <v>0</v>
      </c>
      <c r="BI201" s="952">
        <f t="shared" ca="1" si="58"/>
        <v>0</v>
      </c>
      <c r="BJ201" s="952">
        <f t="shared" ca="1" si="58"/>
        <v>0</v>
      </c>
      <c r="BK201" s="952">
        <f t="shared" ca="1" si="58"/>
        <v>0</v>
      </c>
      <c r="BL201" s="952">
        <f t="shared" ca="1" si="58"/>
        <v>0</v>
      </c>
      <c r="BM201" s="952">
        <f t="shared" ca="1" si="58"/>
        <v>0</v>
      </c>
      <c r="BN201" s="952">
        <f t="shared" ca="1" si="58"/>
        <v>0</v>
      </c>
      <c r="BO201" s="952">
        <f t="shared" ca="1" si="58"/>
        <v>0</v>
      </c>
      <c r="BP201" s="802"/>
    </row>
    <row r="202" spans="1:68" ht="21">
      <c r="B202" s="934" t="s">
        <v>936</v>
      </c>
      <c r="C202" s="785"/>
      <c r="D202" s="853"/>
      <c r="E202" s="935"/>
      <c r="F202" s="862" t="s">
        <v>870</v>
      </c>
      <c r="G202" s="852" t="s">
        <v>1281</v>
      </c>
      <c r="H202" s="921"/>
      <c r="I202" s="921"/>
      <c r="J202" s="921"/>
      <c r="K202" s="921"/>
      <c r="L202" s="928">
        <f t="shared" ref="L202:O202" ca="1" si="59">L406</f>
        <v>0</v>
      </c>
      <c r="M202" s="928">
        <f t="shared" ca="1" si="59"/>
        <v>0</v>
      </c>
      <c r="N202" s="928">
        <f t="shared" ca="1" si="59"/>
        <v>0</v>
      </c>
      <c r="O202" s="928">
        <f t="shared" ca="1" si="59"/>
        <v>0</v>
      </c>
      <c r="P202" s="929">
        <f ca="1">P406</f>
        <v>0</v>
      </c>
      <c r="Q202" s="929">
        <f t="shared" ref="Q202:BO202" ca="1" si="60">Q406</f>
        <v>0</v>
      </c>
      <c r="R202" s="929">
        <f t="shared" ca="1" si="60"/>
        <v>0</v>
      </c>
      <c r="S202" s="929">
        <f t="shared" ca="1" si="60"/>
        <v>0</v>
      </c>
      <c r="T202" s="929">
        <f t="shared" ca="1" si="60"/>
        <v>0</v>
      </c>
      <c r="U202" s="929">
        <f t="shared" ca="1" si="60"/>
        <v>0</v>
      </c>
      <c r="V202" s="929">
        <f t="shared" ca="1" si="60"/>
        <v>0</v>
      </c>
      <c r="W202" s="929">
        <f t="shared" ca="1" si="60"/>
        <v>0</v>
      </c>
      <c r="X202" s="929">
        <f t="shared" ca="1" si="60"/>
        <v>0</v>
      </c>
      <c r="Y202" s="929">
        <f t="shared" ca="1" si="60"/>
        <v>0</v>
      </c>
      <c r="Z202" s="929">
        <f t="shared" ca="1" si="60"/>
        <v>0</v>
      </c>
      <c r="AA202" s="929">
        <f t="shared" ca="1" si="60"/>
        <v>0</v>
      </c>
      <c r="AB202" s="929">
        <f t="shared" ca="1" si="60"/>
        <v>0</v>
      </c>
      <c r="AC202" s="929">
        <f t="shared" ca="1" si="60"/>
        <v>0</v>
      </c>
      <c r="AD202" s="929">
        <f t="shared" ca="1" si="60"/>
        <v>0</v>
      </c>
      <c r="AE202" s="929">
        <f t="shared" ca="1" si="60"/>
        <v>0</v>
      </c>
      <c r="AF202" s="929">
        <f t="shared" ca="1" si="60"/>
        <v>0</v>
      </c>
      <c r="AG202" s="929">
        <f t="shared" ca="1" si="60"/>
        <v>0</v>
      </c>
      <c r="AH202" s="929">
        <f t="shared" ca="1" si="60"/>
        <v>0</v>
      </c>
      <c r="AI202" s="929">
        <f t="shared" ca="1" si="60"/>
        <v>0</v>
      </c>
      <c r="AJ202" s="929">
        <f t="shared" ca="1" si="60"/>
        <v>0</v>
      </c>
      <c r="AK202" s="929">
        <f t="shared" ca="1" si="60"/>
        <v>0</v>
      </c>
      <c r="AL202" s="929">
        <f t="shared" ca="1" si="60"/>
        <v>0</v>
      </c>
      <c r="AM202" s="929">
        <f t="shared" ca="1" si="60"/>
        <v>0</v>
      </c>
      <c r="AN202" s="929">
        <f t="shared" ca="1" si="60"/>
        <v>0</v>
      </c>
      <c r="AO202" s="929">
        <f t="shared" ca="1" si="60"/>
        <v>0</v>
      </c>
      <c r="AP202" s="929">
        <f t="shared" ca="1" si="60"/>
        <v>0</v>
      </c>
      <c r="AQ202" s="929">
        <f t="shared" ca="1" si="60"/>
        <v>0</v>
      </c>
      <c r="AR202" s="929">
        <f t="shared" ca="1" si="60"/>
        <v>0</v>
      </c>
      <c r="AS202" s="929">
        <f t="shared" ca="1" si="60"/>
        <v>0</v>
      </c>
      <c r="AT202" s="929">
        <f t="shared" ca="1" si="60"/>
        <v>0</v>
      </c>
      <c r="AU202" s="929">
        <f t="shared" ca="1" si="60"/>
        <v>0</v>
      </c>
      <c r="AV202" s="929">
        <f t="shared" ca="1" si="60"/>
        <v>0</v>
      </c>
      <c r="AW202" s="929">
        <f t="shared" ca="1" si="60"/>
        <v>0</v>
      </c>
      <c r="AX202" s="929">
        <f t="shared" ca="1" si="60"/>
        <v>0</v>
      </c>
      <c r="AY202" s="929">
        <f t="shared" ca="1" si="60"/>
        <v>0</v>
      </c>
      <c r="AZ202" s="929">
        <f t="shared" ca="1" si="60"/>
        <v>0</v>
      </c>
      <c r="BA202" s="929">
        <f t="shared" ca="1" si="60"/>
        <v>0</v>
      </c>
      <c r="BB202" s="929">
        <f t="shared" ca="1" si="60"/>
        <v>0</v>
      </c>
      <c r="BC202" s="929">
        <f t="shared" ca="1" si="60"/>
        <v>0</v>
      </c>
      <c r="BD202" s="929">
        <f t="shared" ca="1" si="60"/>
        <v>0</v>
      </c>
      <c r="BE202" s="929">
        <f t="shared" ca="1" si="60"/>
        <v>0</v>
      </c>
      <c r="BF202" s="929">
        <f t="shared" ca="1" si="60"/>
        <v>0</v>
      </c>
      <c r="BG202" s="929">
        <f t="shared" ca="1" si="60"/>
        <v>0</v>
      </c>
      <c r="BH202" s="929">
        <f t="shared" ca="1" si="60"/>
        <v>0</v>
      </c>
      <c r="BI202" s="929">
        <f t="shared" ca="1" si="60"/>
        <v>0</v>
      </c>
      <c r="BJ202" s="929">
        <f t="shared" ca="1" si="60"/>
        <v>0</v>
      </c>
      <c r="BK202" s="929">
        <f t="shared" ca="1" si="60"/>
        <v>0</v>
      </c>
      <c r="BL202" s="929">
        <f t="shared" ca="1" si="60"/>
        <v>0</v>
      </c>
      <c r="BM202" s="929">
        <f t="shared" ca="1" si="60"/>
        <v>0</v>
      </c>
      <c r="BN202" s="929">
        <f t="shared" ca="1" si="60"/>
        <v>0</v>
      </c>
      <c r="BO202" s="929">
        <f t="shared" ca="1" si="60"/>
        <v>0</v>
      </c>
      <c r="BP202" s="802"/>
    </row>
    <row r="203" spans="1:68" ht="21" customHeight="1">
      <c r="B203" s="1659" t="s">
        <v>921</v>
      </c>
      <c r="C203" s="1636" t="s">
        <v>466</v>
      </c>
      <c r="D203" s="936" t="s">
        <v>467</v>
      </c>
      <c r="E203" s="937"/>
      <c r="F203" s="810" t="s">
        <v>871</v>
      </c>
      <c r="G203" s="852" t="s">
        <v>1281</v>
      </c>
      <c r="H203" s="921"/>
      <c r="I203" s="921"/>
      <c r="J203" s="921"/>
      <c r="K203" s="921"/>
      <c r="L203" s="929">
        <f t="shared" ref="L203:W218" ca="1" si="61">L93</f>
        <v>0</v>
      </c>
      <c r="M203" s="929">
        <f t="shared" ca="1" si="61"/>
        <v>0</v>
      </c>
      <c r="N203" s="929">
        <f t="shared" ca="1" si="61"/>
        <v>0</v>
      </c>
      <c r="O203" s="929">
        <f t="shared" ca="1" si="61"/>
        <v>0</v>
      </c>
      <c r="P203" s="929">
        <f t="shared" ca="1" si="61"/>
        <v>0</v>
      </c>
      <c r="Q203" s="929">
        <f t="shared" ca="1" si="61"/>
        <v>0</v>
      </c>
      <c r="R203" s="929">
        <f t="shared" ca="1" si="61"/>
        <v>0</v>
      </c>
      <c r="S203" s="929">
        <f t="shared" ca="1" si="61"/>
        <v>0</v>
      </c>
      <c r="T203" s="929">
        <f t="shared" ca="1" si="61"/>
        <v>0</v>
      </c>
      <c r="U203" s="929">
        <f t="shared" ca="1" si="61"/>
        <v>0</v>
      </c>
      <c r="V203" s="929">
        <f t="shared" ca="1" si="61"/>
        <v>0</v>
      </c>
      <c r="W203" s="929">
        <f t="shared" ca="1" si="61"/>
        <v>0</v>
      </c>
      <c r="X203" s="921"/>
      <c r="Y203" s="921"/>
      <c r="Z203" s="921"/>
      <c r="AA203" s="921"/>
      <c r="AB203" s="921"/>
      <c r="AC203" s="921"/>
      <c r="AD203" s="921"/>
      <c r="AE203" s="921"/>
      <c r="AF203" s="921"/>
      <c r="AG203" s="921"/>
      <c r="AH203" s="921"/>
      <c r="AI203" s="921"/>
      <c r="AJ203" s="921"/>
      <c r="AK203" s="921"/>
      <c r="AL203" s="921"/>
      <c r="AM203" s="921"/>
      <c r="AN203" s="921"/>
      <c r="AO203" s="921"/>
      <c r="AP203" s="921"/>
      <c r="AQ203" s="921"/>
      <c r="AR203" s="921"/>
      <c r="AS203" s="921"/>
      <c r="AT203" s="921"/>
      <c r="AU203" s="921"/>
      <c r="AV203" s="921"/>
      <c r="AW203" s="921"/>
      <c r="AX203" s="921"/>
      <c r="AY203" s="921"/>
      <c r="AZ203" s="921"/>
      <c r="BA203" s="921"/>
      <c r="BB203" s="921"/>
      <c r="BC203" s="921"/>
      <c r="BD203" s="921"/>
      <c r="BE203" s="921"/>
      <c r="BF203" s="921"/>
      <c r="BG203" s="921"/>
      <c r="BH203" s="921"/>
      <c r="BI203" s="921"/>
      <c r="BJ203" s="921"/>
      <c r="BK203" s="921"/>
      <c r="BL203" s="921"/>
      <c r="BM203" s="921"/>
      <c r="BN203" s="921"/>
      <c r="BO203" s="921"/>
      <c r="BP203" s="802"/>
    </row>
    <row r="204" spans="1:68" ht="21" customHeight="1">
      <c r="B204" s="1660"/>
      <c r="C204" s="1637"/>
      <c r="D204" s="936" t="s">
        <v>434</v>
      </c>
      <c r="E204" s="937"/>
      <c r="F204" s="810" t="s">
        <v>873</v>
      </c>
      <c r="G204" s="852" t="s">
        <v>1281</v>
      </c>
      <c r="H204" s="921"/>
      <c r="I204" s="921"/>
      <c r="J204" s="921"/>
      <c r="K204" s="921"/>
      <c r="L204" s="929">
        <f t="shared" ca="1" si="61"/>
        <v>0</v>
      </c>
      <c r="M204" s="929">
        <f t="shared" ca="1" si="61"/>
        <v>0</v>
      </c>
      <c r="N204" s="929">
        <f t="shared" ca="1" si="61"/>
        <v>0</v>
      </c>
      <c r="O204" s="929">
        <f t="shared" ca="1" si="61"/>
        <v>0</v>
      </c>
      <c r="P204" s="929">
        <f t="shared" ca="1" si="61"/>
        <v>0</v>
      </c>
      <c r="Q204" s="929">
        <f t="shared" ca="1" si="61"/>
        <v>0</v>
      </c>
      <c r="R204" s="929">
        <f t="shared" ca="1" si="61"/>
        <v>0</v>
      </c>
      <c r="S204" s="929">
        <f t="shared" ca="1" si="61"/>
        <v>0</v>
      </c>
      <c r="T204" s="929">
        <f t="shared" ca="1" si="61"/>
        <v>0</v>
      </c>
      <c r="U204" s="929">
        <f t="shared" ca="1" si="61"/>
        <v>0</v>
      </c>
      <c r="V204" s="929">
        <f t="shared" ca="1" si="61"/>
        <v>0</v>
      </c>
      <c r="W204" s="929">
        <f t="shared" ca="1" si="61"/>
        <v>0</v>
      </c>
      <c r="X204" s="921"/>
      <c r="Y204" s="921"/>
      <c r="Z204" s="921"/>
      <c r="AA204" s="921"/>
      <c r="AB204" s="921"/>
      <c r="AC204" s="921"/>
      <c r="AD204" s="921"/>
      <c r="AE204" s="921"/>
      <c r="AF204" s="921"/>
      <c r="AG204" s="921"/>
      <c r="AH204" s="921"/>
      <c r="AI204" s="921"/>
      <c r="AJ204" s="921"/>
      <c r="AK204" s="921"/>
      <c r="AL204" s="921"/>
      <c r="AM204" s="921"/>
      <c r="AN204" s="921"/>
      <c r="AO204" s="921"/>
      <c r="AP204" s="921"/>
      <c r="AQ204" s="921"/>
      <c r="AR204" s="921"/>
      <c r="AS204" s="921"/>
      <c r="AT204" s="921"/>
      <c r="AU204" s="921"/>
      <c r="AV204" s="921"/>
      <c r="AW204" s="921"/>
      <c r="AX204" s="921"/>
      <c r="AY204" s="921"/>
      <c r="AZ204" s="921"/>
      <c r="BA204" s="921"/>
      <c r="BB204" s="921"/>
      <c r="BC204" s="921"/>
      <c r="BD204" s="921"/>
      <c r="BE204" s="921"/>
      <c r="BF204" s="921"/>
      <c r="BG204" s="921"/>
      <c r="BH204" s="921"/>
      <c r="BI204" s="921"/>
      <c r="BJ204" s="921"/>
      <c r="BK204" s="921"/>
      <c r="BL204" s="921"/>
      <c r="BM204" s="921"/>
      <c r="BN204" s="921"/>
      <c r="BO204" s="921"/>
      <c r="BP204" s="802"/>
    </row>
    <row r="205" spans="1:68" ht="21">
      <c r="B205" s="1660"/>
      <c r="C205" s="1637"/>
      <c r="D205" s="1639" t="s">
        <v>468</v>
      </c>
      <c r="E205" s="944" t="s">
        <v>435</v>
      </c>
      <c r="F205" s="949" t="s">
        <v>875</v>
      </c>
      <c r="G205" s="939" t="s">
        <v>1282</v>
      </c>
      <c r="H205" s="921"/>
      <c r="I205" s="921"/>
      <c r="J205" s="921"/>
      <c r="K205" s="921"/>
      <c r="L205" s="929">
        <f t="shared" ca="1" si="61"/>
        <v>0</v>
      </c>
      <c r="M205" s="929">
        <f t="shared" ca="1" si="61"/>
        <v>0</v>
      </c>
      <c r="N205" s="929">
        <f t="shared" ca="1" si="61"/>
        <v>0</v>
      </c>
      <c r="O205" s="929">
        <f t="shared" ca="1" si="61"/>
        <v>0</v>
      </c>
      <c r="P205" s="929">
        <f t="shared" ca="1" si="61"/>
        <v>0</v>
      </c>
      <c r="Q205" s="929">
        <f t="shared" ca="1" si="61"/>
        <v>0</v>
      </c>
      <c r="R205" s="929">
        <f t="shared" ca="1" si="61"/>
        <v>0</v>
      </c>
      <c r="S205" s="929">
        <f t="shared" ca="1" si="61"/>
        <v>0</v>
      </c>
      <c r="T205" s="929">
        <f t="shared" ca="1" si="61"/>
        <v>0</v>
      </c>
      <c r="U205" s="929">
        <f t="shared" ca="1" si="61"/>
        <v>0</v>
      </c>
      <c r="V205" s="929">
        <f t="shared" ca="1" si="61"/>
        <v>0</v>
      </c>
      <c r="W205" s="929">
        <f t="shared" ca="1" si="61"/>
        <v>0</v>
      </c>
      <c r="X205" s="921"/>
      <c r="Y205" s="921"/>
      <c r="Z205" s="921"/>
      <c r="AA205" s="921"/>
      <c r="AB205" s="921"/>
      <c r="AC205" s="921"/>
      <c r="AD205" s="921"/>
      <c r="AE205" s="921"/>
      <c r="AF205" s="921"/>
      <c r="AG205" s="921"/>
      <c r="AH205" s="921"/>
      <c r="AI205" s="921"/>
      <c r="AJ205" s="921"/>
      <c r="AK205" s="921"/>
      <c r="AL205" s="921"/>
      <c r="AM205" s="921"/>
      <c r="AN205" s="921"/>
      <c r="AO205" s="921"/>
      <c r="AP205" s="921"/>
      <c r="AQ205" s="921"/>
      <c r="AR205" s="921"/>
      <c r="AS205" s="921"/>
      <c r="AT205" s="921"/>
      <c r="AU205" s="921"/>
      <c r="AV205" s="921"/>
      <c r="AW205" s="921"/>
      <c r="AX205" s="921"/>
      <c r="AY205" s="921"/>
      <c r="AZ205" s="921"/>
      <c r="BA205" s="921"/>
      <c r="BB205" s="921"/>
      <c r="BC205" s="921"/>
      <c r="BD205" s="921"/>
      <c r="BE205" s="921"/>
      <c r="BF205" s="921"/>
      <c r="BG205" s="921"/>
      <c r="BH205" s="921"/>
      <c r="BI205" s="921"/>
      <c r="BJ205" s="921"/>
      <c r="BK205" s="921"/>
      <c r="BL205" s="921"/>
      <c r="BM205" s="921"/>
      <c r="BN205" s="921"/>
      <c r="BO205" s="921"/>
      <c r="BP205" s="802"/>
    </row>
    <row r="206" spans="1:68">
      <c r="B206" s="1660"/>
      <c r="C206" s="1637"/>
      <c r="D206" s="1640"/>
      <c r="E206" s="946"/>
      <c r="F206" s="991"/>
      <c r="G206" s="939" t="s">
        <v>922</v>
      </c>
      <c r="H206" s="921"/>
      <c r="I206" s="921"/>
      <c r="J206" s="921"/>
      <c r="K206" s="921"/>
      <c r="L206" s="929">
        <f t="shared" ca="1" si="61"/>
        <v>0</v>
      </c>
      <c r="M206" s="929">
        <f t="shared" ca="1" si="61"/>
        <v>0</v>
      </c>
      <c r="N206" s="929">
        <f t="shared" ca="1" si="61"/>
        <v>0</v>
      </c>
      <c r="O206" s="929">
        <f t="shared" ca="1" si="61"/>
        <v>0</v>
      </c>
      <c r="P206" s="929">
        <f t="shared" ca="1" si="61"/>
        <v>0</v>
      </c>
      <c r="Q206" s="929">
        <f t="shared" ca="1" si="61"/>
        <v>0</v>
      </c>
      <c r="R206" s="929">
        <f t="shared" ca="1" si="61"/>
        <v>0</v>
      </c>
      <c r="S206" s="929">
        <f t="shared" ca="1" si="61"/>
        <v>0</v>
      </c>
      <c r="T206" s="929">
        <f t="shared" ca="1" si="61"/>
        <v>0</v>
      </c>
      <c r="U206" s="929">
        <f t="shared" ca="1" si="61"/>
        <v>0</v>
      </c>
      <c r="V206" s="929">
        <f t="shared" ca="1" si="61"/>
        <v>0</v>
      </c>
      <c r="W206" s="929">
        <f t="shared" ca="1" si="61"/>
        <v>0</v>
      </c>
      <c r="X206" s="921"/>
      <c r="Y206" s="921"/>
      <c r="Z206" s="921"/>
      <c r="AA206" s="921"/>
      <c r="AB206" s="921"/>
      <c r="AC206" s="921"/>
      <c r="AD206" s="921"/>
      <c r="AE206" s="921"/>
      <c r="AF206" s="921"/>
      <c r="AG206" s="921"/>
      <c r="AH206" s="921"/>
      <c r="AI206" s="921"/>
      <c r="AJ206" s="921"/>
      <c r="AK206" s="921"/>
      <c r="AL206" s="921"/>
      <c r="AM206" s="921"/>
      <c r="AN206" s="921"/>
      <c r="AO206" s="921"/>
      <c r="AP206" s="921"/>
      <c r="AQ206" s="921"/>
      <c r="AR206" s="921"/>
      <c r="AS206" s="921"/>
      <c r="AT206" s="921"/>
      <c r="AU206" s="921"/>
      <c r="AV206" s="921"/>
      <c r="AW206" s="921"/>
      <c r="AX206" s="921"/>
      <c r="AY206" s="921"/>
      <c r="AZ206" s="921"/>
      <c r="BA206" s="921"/>
      <c r="BB206" s="921"/>
      <c r="BC206" s="921"/>
      <c r="BD206" s="921"/>
      <c r="BE206" s="921"/>
      <c r="BF206" s="921"/>
      <c r="BG206" s="921"/>
      <c r="BH206" s="921"/>
      <c r="BI206" s="921"/>
      <c r="BJ206" s="921"/>
      <c r="BK206" s="921"/>
      <c r="BL206" s="921"/>
      <c r="BM206" s="921"/>
      <c r="BN206" s="921"/>
      <c r="BO206" s="921"/>
      <c r="BP206" s="802"/>
    </row>
    <row r="207" spans="1:68" ht="21" customHeight="1">
      <c r="B207" s="1660"/>
      <c r="C207" s="1637"/>
      <c r="D207" s="1640"/>
      <c r="E207" s="944" t="s">
        <v>437</v>
      </c>
      <c r="F207" s="949" t="s">
        <v>820</v>
      </c>
      <c r="G207" s="852" t="s">
        <v>1281</v>
      </c>
      <c r="H207" s="921"/>
      <c r="I207" s="921"/>
      <c r="J207" s="921"/>
      <c r="K207" s="921"/>
      <c r="L207" s="929">
        <f t="shared" ca="1" si="61"/>
        <v>0</v>
      </c>
      <c r="M207" s="929">
        <f t="shared" ca="1" si="61"/>
        <v>0</v>
      </c>
      <c r="N207" s="929">
        <f t="shared" ca="1" si="61"/>
        <v>0</v>
      </c>
      <c r="O207" s="929">
        <f t="shared" ca="1" si="61"/>
        <v>0</v>
      </c>
      <c r="P207" s="929">
        <f t="shared" ca="1" si="61"/>
        <v>0</v>
      </c>
      <c r="Q207" s="929">
        <f t="shared" ca="1" si="61"/>
        <v>0</v>
      </c>
      <c r="R207" s="929">
        <f t="shared" ca="1" si="61"/>
        <v>0</v>
      </c>
      <c r="S207" s="929">
        <f t="shared" ca="1" si="61"/>
        <v>0</v>
      </c>
      <c r="T207" s="929">
        <f t="shared" ca="1" si="61"/>
        <v>0</v>
      </c>
      <c r="U207" s="929">
        <f t="shared" ca="1" si="61"/>
        <v>0</v>
      </c>
      <c r="V207" s="929">
        <f t="shared" ca="1" si="61"/>
        <v>0</v>
      </c>
      <c r="W207" s="929">
        <f t="shared" ca="1" si="61"/>
        <v>0</v>
      </c>
      <c r="X207" s="921"/>
      <c r="Y207" s="921"/>
      <c r="Z207" s="921"/>
      <c r="AA207" s="921"/>
      <c r="AB207" s="921"/>
      <c r="AC207" s="921"/>
      <c r="AD207" s="921"/>
      <c r="AE207" s="921"/>
      <c r="AF207" s="921"/>
      <c r="AG207" s="921"/>
      <c r="AH207" s="921"/>
      <c r="AI207" s="921"/>
      <c r="AJ207" s="921"/>
      <c r="AK207" s="921"/>
      <c r="AL207" s="921"/>
      <c r="AM207" s="921"/>
      <c r="AN207" s="921"/>
      <c r="AO207" s="921"/>
      <c r="AP207" s="921"/>
      <c r="AQ207" s="921"/>
      <c r="AR207" s="921"/>
      <c r="AS207" s="921"/>
      <c r="AT207" s="921"/>
      <c r="AU207" s="921"/>
      <c r="AV207" s="921"/>
      <c r="AW207" s="921"/>
      <c r="AX207" s="921"/>
      <c r="AY207" s="921"/>
      <c r="AZ207" s="921"/>
      <c r="BA207" s="921"/>
      <c r="BB207" s="921"/>
      <c r="BC207" s="921"/>
      <c r="BD207" s="921"/>
      <c r="BE207" s="921"/>
      <c r="BF207" s="921"/>
      <c r="BG207" s="921"/>
      <c r="BH207" s="921"/>
      <c r="BI207" s="921"/>
      <c r="BJ207" s="921"/>
      <c r="BK207" s="921"/>
      <c r="BL207" s="921"/>
      <c r="BM207" s="921"/>
      <c r="BN207" s="921"/>
      <c r="BO207" s="921"/>
      <c r="BP207" s="802"/>
    </row>
    <row r="208" spans="1:68" ht="21" customHeight="1">
      <c r="B208" s="1660"/>
      <c r="C208" s="1637"/>
      <c r="D208" s="1640"/>
      <c r="E208" s="946"/>
      <c r="F208" s="991"/>
      <c r="G208" s="852" t="s">
        <v>807</v>
      </c>
      <c r="H208" s="921"/>
      <c r="I208" s="921"/>
      <c r="J208" s="921"/>
      <c r="K208" s="921"/>
      <c r="L208" s="929">
        <f t="shared" ca="1" si="61"/>
        <v>0</v>
      </c>
      <c r="M208" s="929">
        <f t="shared" ca="1" si="61"/>
        <v>0</v>
      </c>
      <c r="N208" s="929">
        <f t="shared" ca="1" si="61"/>
        <v>0</v>
      </c>
      <c r="O208" s="929">
        <f t="shared" ca="1" si="61"/>
        <v>0</v>
      </c>
      <c r="P208" s="929">
        <f t="shared" ca="1" si="61"/>
        <v>0</v>
      </c>
      <c r="Q208" s="929">
        <f t="shared" ca="1" si="61"/>
        <v>0</v>
      </c>
      <c r="R208" s="929">
        <f t="shared" ca="1" si="61"/>
        <v>0</v>
      </c>
      <c r="S208" s="929">
        <f t="shared" ca="1" si="61"/>
        <v>0</v>
      </c>
      <c r="T208" s="929">
        <f t="shared" ca="1" si="61"/>
        <v>0</v>
      </c>
      <c r="U208" s="929">
        <f t="shared" ca="1" si="61"/>
        <v>0</v>
      </c>
      <c r="V208" s="929">
        <f t="shared" ca="1" si="61"/>
        <v>0</v>
      </c>
      <c r="W208" s="929">
        <f t="shared" ca="1" si="61"/>
        <v>0</v>
      </c>
      <c r="X208" s="921"/>
      <c r="Y208" s="921"/>
      <c r="Z208" s="921"/>
      <c r="AA208" s="921"/>
      <c r="AB208" s="921"/>
      <c r="AC208" s="921"/>
      <c r="AD208" s="921"/>
      <c r="AE208" s="921"/>
      <c r="AF208" s="921"/>
      <c r="AG208" s="921"/>
      <c r="AH208" s="921"/>
      <c r="AI208" s="921"/>
      <c r="AJ208" s="921"/>
      <c r="AK208" s="921"/>
      <c r="AL208" s="921"/>
      <c r="AM208" s="921"/>
      <c r="AN208" s="921"/>
      <c r="AO208" s="921"/>
      <c r="AP208" s="921"/>
      <c r="AQ208" s="921"/>
      <c r="AR208" s="921"/>
      <c r="AS208" s="921"/>
      <c r="AT208" s="921"/>
      <c r="AU208" s="921"/>
      <c r="AV208" s="921"/>
      <c r="AW208" s="921"/>
      <c r="AX208" s="921"/>
      <c r="AY208" s="921"/>
      <c r="AZ208" s="921"/>
      <c r="BA208" s="921"/>
      <c r="BB208" s="921"/>
      <c r="BC208" s="921"/>
      <c r="BD208" s="921"/>
      <c r="BE208" s="921"/>
      <c r="BF208" s="921"/>
      <c r="BG208" s="921"/>
      <c r="BH208" s="921"/>
      <c r="BI208" s="921"/>
      <c r="BJ208" s="921"/>
      <c r="BK208" s="921"/>
      <c r="BL208" s="921"/>
      <c r="BM208" s="921"/>
      <c r="BN208" s="921"/>
      <c r="BO208" s="921"/>
      <c r="BP208" s="802"/>
    </row>
    <row r="209" spans="2:68" ht="21">
      <c r="B209" s="1660"/>
      <c r="C209" s="1637"/>
      <c r="D209" s="1641"/>
      <c r="E209" s="992" t="s">
        <v>438</v>
      </c>
      <c r="F209" s="810" t="s">
        <v>824</v>
      </c>
      <c r="G209" s="852" t="s">
        <v>1281</v>
      </c>
      <c r="H209" s="921"/>
      <c r="I209" s="921"/>
      <c r="J209" s="921"/>
      <c r="K209" s="921"/>
      <c r="L209" s="929">
        <f t="shared" ca="1" si="61"/>
        <v>0</v>
      </c>
      <c r="M209" s="929">
        <f t="shared" ca="1" si="61"/>
        <v>0</v>
      </c>
      <c r="N209" s="929">
        <f t="shared" ca="1" si="61"/>
        <v>0</v>
      </c>
      <c r="O209" s="929">
        <f t="shared" ca="1" si="61"/>
        <v>0</v>
      </c>
      <c r="P209" s="929">
        <f t="shared" ca="1" si="61"/>
        <v>0</v>
      </c>
      <c r="Q209" s="929">
        <f t="shared" ca="1" si="61"/>
        <v>0</v>
      </c>
      <c r="R209" s="929">
        <f t="shared" ca="1" si="61"/>
        <v>0</v>
      </c>
      <c r="S209" s="929">
        <f t="shared" ca="1" si="61"/>
        <v>0</v>
      </c>
      <c r="T209" s="929">
        <f t="shared" ca="1" si="61"/>
        <v>0</v>
      </c>
      <c r="U209" s="929">
        <f t="shared" ca="1" si="61"/>
        <v>0</v>
      </c>
      <c r="V209" s="929">
        <f t="shared" ca="1" si="61"/>
        <v>0</v>
      </c>
      <c r="W209" s="929">
        <f t="shared" ca="1" si="61"/>
        <v>0</v>
      </c>
      <c r="X209" s="921"/>
      <c r="Y209" s="921"/>
      <c r="Z209" s="921"/>
      <c r="AA209" s="921"/>
      <c r="AB209" s="921"/>
      <c r="AC209" s="921"/>
      <c r="AD209" s="921"/>
      <c r="AE209" s="921"/>
      <c r="AF209" s="921"/>
      <c r="AG209" s="921"/>
      <c r="AH209" s="921"/>
      <c r="AI209" s="921"/>
      <c r="AJ209" s="921"/>
      <c r="AK209" s="921"/>
      <c r="AL209" s="921"/>
      <c r="AM209" s="921"/>
      <c r="AN209" s="921"/>
      <c r="AO209" s="921"/>
      <c r="AP209" s="921"/>
      <c r="AQ209" s="921"/>
      <c r="AR209" s="921"/>
      <c r="AS209" s="921"/>
      <c r="AT209" s="921"/>
      <c r="AU209" s="921"/>
      <c r="AV209" s="921"/>
      <c r="AW209" s="921"/>
      <c r="AX209" s="921"/>
      <c r="AY209" s="921"/>
      <c r="AZ209" s="921"/>
      <c r="BA209" s="921"/>
      <c r="BB209" s="921"/>
      <c r="BC209" s="921"/>
      <c r="BD209" s="921"/>
      <c r="BE209" s="921"/>
      <c r="BF209" s="921"/>
      <c r="BG209" s="921"/>
      <c r="BH209" s="921"/>
      <c r="BI209" s="921"/>
      <c r="BJ209" s="921"/>
      <c r="BK209" s="921"/>
      <c r="BL209" s="921"/>
      <c r="BM209" s="921"/>
      <c r="BN209" s="921"/>
      <c r="BO209" s="921"/>
      <c r="BP209" s="802"/>
    </row>
    <row r="210" spans="2:68" ht="21">
      <c r="B210" s="1660"/>
      <c r="C210" s="1637"/>
      <c r="D210" s="1642" t="s">
        <v>470</v>
      </c>
      <c r="E210" s="993" t="s">
        <v>923</v>
      </c>
      <c r="F210" s="949" t="s">
        <v>937</v>
      </c>
      <c r="G210" s="852" t="s">
        <v>1281</v>
      </c>
      <c r="H210" s="921"/>
      <c r="I210" s="921"/>
      <c r="J210" s="921"/>
      <c r="K210" s="921"/>
      <c r="L210" s="929">
        <f t="shared" ca="1" si="61"/>
        <v>0</v>
      </c>
      <c r="M210" s="929">
        <f t="shared" ca="1" si="61"/>
        <v>0</v>
      </c>
      <c r="N210" s="929">
        <f t="shared" ca="1" si="61"/>
        <v>0</v>
      </c>
      <c r="O210" s="929">
        <f t="shared" ca="1" si="61"/>
        <v>0</v>
      </c>
      <c r="P210" s="929">
        <f t="shared" ca="1" si="61"/>
        <v>0</v>
      </c>
      <c r="Q210" s="929">
        <f t="shared" ca="1" si="61"/>
        <v>0</v>
      </c>
      <c r="R210" s="929">
        <f t="shared" ca="1" si="61"/>
        <v>0</v>
      </c>
      <c r="S210" s="929">
        <f t="shared" ca="1" si="61"/>
        <v>0</v>
      </c>
      <c r="T210" s="929">
        <f t="shared" ca="1" si="61"/>
        <v>0</v>
      </c>
      <c r="U210" s="929">
        <f t="shared" ca="1" si="61"/>
        <v>0</v>
      </c>
      <c r="V210" s="929">
        <f t="shared" ca="1" si="61"/>
        <v>0</v>
      </c>
      <c r="W210" s="929">
        <f t="shared" ca="1" si="61"/>
        <v>0</v>
      </c>
      <c r="X210" s="921"/>
      <c r="Y210" s="921"/>
      <c r="Z210" s="921"/>
      <c r="AA210" s="921"/>
      <c r="AB210" s="921"/>
      <c r="AC210" s="921"/>
      <c r="AD210" s="921"/>
      <c r="AE210" s="921"/>
      <c r="AF210" s="921"/>
      <c r="AG210" s="921"/>
      <c r="AH210" s="921"/>
      <c r="AI210" s="921"/>
      <c r="AJ210" s="921"/>
      <c r="AK210" s="921"/>
      <c r="AL210" s="921"/>
      <c r="AM210" s="921"/>
      <c r="AN210" s="921"/>
      <c r="AO210" s="921"/>
      <c r="AP210" s="921"/>
      <c r="AQ210" s="921"/>
      <c r="AR210" s="921"/>
      <c r="AS210" s="921"/>
      <c r="AT210" s="921"/>
      <c r="AU210" s="921"/>
      <c r="AV210" s="921"/>
      <c r="AW210" s="921"/>
      <c r="AX210" s="921"/>
      <c r="AY210" s="921"/>
      <c r="AZ210" s="921"/>
      <c r="BA210" s="921"/>
      <c r="BB210" s="921"/>
      <c r="BC210" s="921"/>
      <c r="BD210" s="921"/>
      <c r="BE210" s="921"/>
      <c r="BF210" s="921"/>
      <c r="BG210" s="921"/>
      <c r="BH210" s="921"/>
      <c r="BI210" s="921"/>
      <c r="BJ210" s="921"/>
      <c r="BK210" s="921"/>
      <c r="BL210" s="921"/>
      <c r="BM210" s="921"/>
      <c r="BN210" s="921"/>
      <c r="BO210" s="921"/>
      <c r="BP210" s="802"/>
    </row>
    <row r="211" spans="2:68">
      <c r="B211" s="1660"/>
      <c r="C211" s="1637"/>
      <c r="D211" s="1643"/>
      <c r="E211" s="954"/>
      <c r="F211" s="991"/>
      <c r="G211" s="939" t="s">
        <v>922</v>
      </c>
      <c r="H211" s="921"/>
      <c r="I211" s="921"/>
      <c r="J211" s="921"/>
      <c r="K211" s="921"/>
      <c r="L211" s="929">
        <f t="shared" ca="1" si="61"/>
        <v>0</v>
      </c>
      <c r="M211" s="929">
        <f t="shared" ca="1" si="61"/>
        <v>0</v>
      </c>
      <c r="N211" s="929">
        <f t="shared" ca="1" si="61"/>
        <v>0</v>
      </c>
      <c r="O211" s="929">
        <f t="shared" ca="1" si="61"/>
        <v>0</v>
      </c>
      <c r="P211" s="929">
        <f t="shared" ca="1" si="61"/>
        <v>0</v>
      </c>
      <c r="Q211" s="929">
        <f t="shared" ca="1" si="61"/>
        <v>0</v>
      </c>
      <c r="R211" s="929">
        <f t="shared" ca="1" si="61"/>
        <v>0</v>
      </c>
      <c r="S211" s="929">
        <f t="shared" ca="1" si="61"/>
        <v>0</v>
      </c>
      <c r="T211" s="929">
        <f t="shared" ca="1" si="61"/>
        <v>0</v>
      </c>
      <c r="U211" s="929">
        <f t="shared" ca="1" si="61"/>
        <v>0</v>
      </c>
      <c r="V211" s="929">
        <f t="shared" ca="1" si="61"/>
        <v>0</v>
      </c>
      <c r="W211" s="929">
        <f t="shared" ca="1" si="61"/>
        <v>0</v>
      </c>
      <c r="X211" s="921"/>
      <c r="Y211" s="921"/>
      <c r="Z211" s="921"/>
      <c r="AA211" s="921"/>
      <c r="AB211" s="921"/>
      <c r="AC211" s="921"/>
      <c r="AD211" s="921"/>
      <c r="AE211" s="921"/>
      <c r="AF211" s="921"/>
      <c r="AG211" s="921"/>
      <c r="AH211" s="921"/>
      <c r="AI211" s="921"/>
      <c r="AJ211" s="921"/>
      <c r="AK211" s="921"/>
      <c r="AL211" s="921"/>
      <c r="AM211" s="921"/>
      <c r="AN211" s="921"/>
      <c r="AO211" s="921"/>
      <c r="AP211" s="921"/>
      <c r="AQ211" s="921"/>
      <c r="AR211" s="921"/>
      <c r="AS211" s="921"/>
      <c r="AT211" s="921"/>
      <c r="AU211" s="921"/>
      <c r="AV211" s="921"/>
      <c r="AW211" s="921"/>
      <c r="AX211" s="921"/>
      <c r="AY211" s="921"/>
      <c r="AZ211" s="921"/>
      <c r="BA211" s="921"/>
      <c r="BB211" s="921"/>
      <c r="BC211" s="921"/>
      <c r="BD211" s="921"/>
      <c r="BE211" s="921"/>
      <c r="BF211" s="921"/>
      <c r="BG211" s="921"/>
      <c r="BH211" s="921"/>
      <c r="BI211" s="921"/>
      <c r="BJ211" s="921"/>
      <c r="BK211" s="921"/>
      <c r="BL211" s="921"/>
      <c r="BM211" s="921"/>
      <c r="BN211" s="921"/>
      <c r="BO211" s="921"/>
      <c r="BP211" s="802"/>
    </row>
    <row r="212" spans="2:68" ht="21" customHeight="1">
      <c r="B212" s="1660"/>
      <c r="C212" s="1637"/>
      <c r="D212" s="1643"/>
      <c r="E212" s="955" t="s">
        <v>924</v>
      </c>
      <c r="F212" s="949" t="s">
        <v>830</v>
      </c>
      <c r="G212" s="852" t="s">
        <v>1281</v>
      </c>
      <c r="H212" s="921"/>
      <c r="I212" s="921"/>
      <c r="J212" s="921"/>
      <c r="K212" s="921"/>
      <c r="L212" s="929">
        <f t="shared" ca="1" si="61"/>
        <v>0</v>
      </c>
      <c r="M212" s="929">
        <f t="shared" ca="1" si="61"/>
        <v>0</v>
      </c>
      <c r="N212" s="929">
        <f t="shared" ca="1" si="61"/>
        <v>0</v>
      </c>
      <c r="O212" s="929">
        <f t="shared" ca="1" si="61"/>
        <v>0</v>
      </c>
      <c r="P212" s="929">
        <f t="shared" ca="1" si="61"/>
        <v>0</v>
      </c>
      <c r="Q212" s="929">
        <f t="shared" ca="1" si="61"/>
        <v>0</v>
      </c>
      <c r="R212" s="929">
        <f t="shared" ca="1" si="61"/>
        <v>0</v>
      </c>
      <c r="S212" s="929">
        <f t="shared" ca="1" si="61"/>
        <v>0</v>
      </c>
      <c r="T212" s="929">
        <f t="shared" ca="1" si="61"/>
        <v>0</v>
      </c>
      <c r="U212" s="929">
        <f t="shared" ca="1" si="61"/>
        <v>0</v>
      </c>
      <c r="V212" s="929">
        <f t="shared" ca="1" si="61"/>
        <v>0</v>
      </c>
      <c r="W212" s="929">
        <f t="shared" ca="1" si="61"/>
        <v>0</v>
      </c>
      <c r="X212" s="921"/>
      <c r="Y212" s="921"/>
      <c r="Z212" s="921"/>
      <c r="AA212" s="921"/>
      <c r="AB212" s="921"/>
      <c r="AC212" s="921"/>
      <c r="AD212" s="921"/>
      <c r="AE212" s="921"/>
      <c r="AF212" s="921"/>
      <c r="AG212" s="921"/>
      <c r="AH212" s="921"/>
      <c r="AI212" s="921"/>
      <c r="AJ212" s="921"/>
      <c r="AK212" s="921"/>
      <c r="AL212" s="921"/>
      <c r="AM212" s="921"/>
      <c r="AN212" s="921"/>
      <c r="AO212" s="921"/>
      <c r="AP212" s="921"/>
      <c r="AQ212" s="921"/>
      <c r="AR212" s="921"/>
      <c r="AS212" s="921"/>
      <c r="AT212" s="921"/>
      <c r="AU212" s="921"/>
      <c r="AV212" s="921"/>
      <c r="AW212" s="921"/>
      <c r="AX212" s="921"/>
      <c r="AY212" s="921"/>
      <c r="AZ212" s="921"/>
      <c r="BA212" s="921"/>
      <c r="BB212" s="921"/>
      <c r="BC212" s="921"/>
      <c r="BD212" s="921"/>
      <c r="BE212" s="921"/>
      <c r="BF212" s="921"/>
      <c r="BG212" s="921"/>
      <c r="BH212" s="921"/>
      <c r="BI212" s="921"/>
      <c r="BJ212" s="921"/>
      <c r="BK212" s="921"/>
      <c r="BL212" s="921"/>
      <c r="BM212" s="921"/>
      <c r="BN212" s="921"/>
      <c r="BO212" s="921"/>
      <c r="BP212" s="802"/>
    </row>
    <row r="213" spans="2:68">
      <c r="B213" s="1660"/>
      <c r="C213" s="1637"/>
      <c r="D213" s="1644"/>
      <c r="E213" s="956"/>
      <c r="F213" s="991"/>
      <c r="G213" s="852" t="s">
        <v>807</v>
      </c>
      <c r="H213" s="921"/>
      <c r="I213" s="921"/>
      <c r="J213" s="921"/>
      <c r="K213" s="921"/>
      <c r="L213" s="929">
        <f t="shared" ca="1" si="61"/>
        <v>0</v>
      </c>
      <c r="M213" s="929">
        <f t="shared" ca="1" si="61"/>
        <v>0</v>
      </c>
      <c r="N213" s="929">
        <f t="shared" ca="1" si="61"/>
        <v>0</v>
      </c>
      <c r="O213" s="929">
        <f t="shared" ca="1" si="61"/>
        <v>0</v>
      </c>
      <c r="P213" s="929">
        <f t="shared" ca="1" si="61"/>
        <v>0</v>
      </c>
      <c r="Q213" s="929">
        <f t="shared" ca="1" si="61"/>
        <v>0</v>
      </c>
      <c r="R213" s="929">
        <f t="shared" ca="1" si="61"/>
        <v>0</v>
      </c>
      <c r="S213" s="929">
        <f t="shared" ca="1" si="61"/>
        <v>0</v>
      </c>
      <c r="T213" s="929">
        <f t="shared" ca="1" si="61"/>
        <v>0</v>
      </c>
      <c r="U213" s="929">
        <f t="shared" ca="1" si="61"/>
        <v>0</v>
      </c>
      <c r="V213" s="929">
        <f t="shared" ca="1" si="61"/>
        <v>0</v>
      </c>
      <c r="W213" s="929">
        <f t="shared" ca="1" si="61"/>
        <v>0</v>
      </c>
      <c r="X213" s="921"/>
      <c r="Y213" s="921"/>
      <c r="Z213" s="921"/>
      <c r="AA213" s="921"/>
      <c r="AB213" s="921"/>
      <c r="AC213" s="921"/>
      <c r="AD213" s="921"/>
      <c r="AE213" s="921"/>
      <c r="AF213" s="921"/>
      <c r="AG213" s="921"/>
      <c r="AH213" s="921"/>
      <c r="AI213" s="921"/>
      <c r="AJ213" s="921"/>
      <c r="AK213" s="921"/>
      <c r="AL213" s="921"/>
      <c r="AM213" s="921"/>
      <c r="AN213" s="921"/>
      <c r="AO213" s="921"/>
      <c r="AP213" s="921"/>
      <c r="AQ213" s="921"/>
      <c r="AR213" s="921"/>
      <c r="AS213" s="921"/>
      <c r="AT213" s="921"/>
      <c r="AU213" s="921"/>
      <c r="AV213" s="921"/>
      <c r="AW213" s="921"/>
      <c r="AX213" s="921"/>
      <c r="AY213" s="921"/>
      <c r="AZ213" s="921"/>
      <c r="BA213" s="921"/>
      <c r="BB213" s="921"/>
      <c r="BC213" s="921"/>
      <c r="BD213" s="921"/>
      <c r="BE213" s="921"/>
      <c r="BF213" s="921"/>
      <c r="BG213" s="921"/>
      <c r="BH213" s="921"/>
      <c r="BI213" s="921"/>
      <c r="BJ213" s="921"/>
      <c r="BK213" s="921"/>
      <c r="BL213" s="921"/>
      <c r="BM213" s="921"/>
      <c r="BN213" s="921"/>
      <c r="BO213" s="921"/>
      <c r="BP213" s="802"/>
    </row>
    <row r="214" spans="2:68" ht="21" customHeight="1">
      <c r="B214" s="1660"/>
      <c r="C214" s="1638"/>
      <c r="D214" s="957" t="s">
        <v>342</v>
      </c>
      <c r="E214" s="958" t="str">
        <f ca="1">E104</f>
        <v/>
      </c>
      <c r="F214" s="810" t="s">
        <v>938</v>
      </c>
      <c r="G214" s="852" t="s">
        <v>1281</v>
      </c>
      <c r="H214" s="921"/>
      <c r="I214" s="921"/>
      <c r="J214" s="921"/>
      <c r="K214" s="921"/>
      <c r="L214" s="929">
        <f t="shared" ca="1" si="61"/>
        <v>0</v>
      </c>
      <c r="M214" s="929">
        <f t="shared" ca="1" si="61"/>
        <v>0</v>
      </c>
      <c r="N214" s="929">
        <f t="shared" ca="1" si="61"/>
        <v>0</v>
      </c>
      <c r="O214" s="929">
        <f t="shared" ca="1" si="61"/>
        <v>0</v>
      </c>
      <c r="P214" s="929">
        <f t="shared" ca="1" si="61"/>
        <v>0</v>
      </c>
      <c r="Q214" s="929">
        <f t="shared" ca="1" si="61"/>
        <v>0</v>
      </c>
      <c r="R214" s="929">
        <f t="shared" ca="1" si="61"/>
        <v>0</v>
      </c>
      <c r="S214" s="929">
        <f t="shared" ca="1" si="61"/>
        <v>0</v>
      </c>
      <c r="T214" s="929">
        <f t="shared" ca="1" si="61"/>
        <v>0</v>
      </c>
      <c r="U214" s="929">
        <f t="shared" ca="1" si="61"/>
        <v>0</v>
      </c>
      <c r="V214" s="929">
        <f t="shared" ca="1" si="61"/>
        <v>0</v>
      </c>
      <c r="W214" s="929">
        <f t="shared" ca="1" si="61"/>
        <v>0</v>
      </c>
      <c r="X214" s="921"/>
      <c r="Y214" s="921"/>
      <c r="Z214" s="921"/>
      <c r="AA214" s="921"/>
      <c r="AB214" s="921"/>
      <c r="AC214" s="921"/>
      <c r="AD214" s="921"/>
      <c r="AE214" s="921"/>
      <c r="AF214" s="921"/>
      <c r="AG214" s="921"/>
      <c r="AH214" s="921"/>
      <c r="AI214" s="921"/>
      <c r="AJ214" s="921"/>
      <c r="AK214" s="921"/>
      <c r="AL214" s="921"/>
      <c r="AM214" s="921"/>
      <c r="AN214" s="921"/>
      <c r="AO214" s="921"/>
      <c r="AP214" s="921"/>
      <c r="AQ214" s="921"/>
      <c r="AR214" s="921"/>
      <c r="AS214" s="921"/>
      <c r="AT214" s="921"/>
      <c r="AU214" s="921"/>
      <c r="AV214" s="921"/>
      <c r="AW214" s="921"/>
      <c r="AX214" s="921"/>
      <c r="AY214" s="921"/>
      <c r="AZ214" s="921"/>
      <c r="BA214" s="921"/>
      <c r="BB214" s="921"/>
      <c r="BC214" s="921"/>
      <c r="BD214" s="921"/>
      <c r="BE214" s="921"/>
      <c r="BF214" s="921"/>
      <c r="BG214" s="921"/>
      <c r="BH214" s="921"/>
      <c r="BI214" s="921"/>
      <c r="BJ214" s="921"/>
      <c r="BK214" s="921"/>
      <c r="BL214" s="921"/>
      <c r="BM214" s="921"/>
      <c r="BN214" s="921"/>
      <c r="BO214" s="921"/>
      <c r="BP214" s="802"/>
    </row>
    <row r="215" spans="2:68" ht="21">
      <c r="B215" s="1660"/>
      <c r="C215" s="959" t="s">
        <v>471</v>
      </c>
      <c r="D215" s="960"/>
      <c r="E215" s="960"/>
      <c r="F215" s="810" t="s">
        <v>939</v>
      </c>
      <c r="G215" s="852" t="s">
        <v>1281</v>
      </c>
      <c r="H215" s="921"/>
      <c r="I215" s="921"/>
      <c r="J215" s="921"/>
      <c r="K215" s="921"/>
      <c r="L215" s="929">
        <f t="shared" ca="1" si="61"/>
        <v>0</v>
      </c>
      <c r="M215" s="929">
        <f t="shared" ca="1" si="61"/>
        <v>0</v>
      </c>
      <c r="N215" s="929">
        <f t="shared" ca="1" si="61"/>
        <v>0</v>
      </c>
      <c r="O215" s="929">
        <f t="shared" ca="1" si="61"/>
        <v>0</v>
      </c>
      <c r="P215" s="929">
        <f t="shared" ca="1" si="61"/>
        <v>0</v>
      </c>
      <c r="Q215" s="929">
        <f t="shared" ca="1" si="61"/>
        <v>0</v>
      </c>
      <c r="R215" s="929">
        <f t="shared" ca="1" si="61"/>
        <v>0</v>
      </c>
      <c r="S215" s="929">
        <f t="shared" ca="1" si="61"/>
        <v>0</v>
      </c>
      <c r="T215" s="929">
        <f t="shared" ca="1" si="61"/>
        <v>0</v>
      </c>
      <c r="U215" s="929">
        <f t="shared" ca="1" si="61"/>
        <v>0</v>
      </c>
      <c r="V215" s="929">
        <f t="shared" ca="1" si="61"/>
        <v>0</v>
      </c>
      <c r="W215" s="929">
        <f t="shared" ca="1" si="61"/>
        <v>0</v>
      </c>
      <c r="X215" s="921"/>
      <c r="Y215" s="921"/>
      <c r="Z215" s="921"/>
      <c r="AA215" s="921"/>
      <c r="AB215" s="921"/>
      <c r="AC215" s="921"/>
      <c r="AD215" s="921"/>
      <c r="AE215" s="921"/>
      <c r="AF215" s="921"/>
      <c r="AG215" s="921"/>
      <c r="AH215" s="921"/>
      <c r="AI215" s="921"/>
      <c r="AJ215" s="921"/>
      <c r="AK215" s="921"/>
      <c r="AL215" s="921"/>
      <c r="AM215" s="921"/>
      <c r="AN215" s="921"/>
      <c r="AO215" s="921"/>
      <c r="AP215" s="921"/>
      <c r="AQ215" s="921"/>
      <c r="AR215" s="921"/>
      <c r="AS215" s="921"/>
      <c r="AT215" s="921"/>
      <c r="AU215" s="921"/>
      <c r="AV215" s="921"/>
      <c r="AW215" s="921"/>
      <c r="AX215" s="921"/>
      <c r="AY215" s="921"/>
      <c r="AZ215" s="921"/>
      <c r="BA215" s="921"/>
      <c r="BB215" s="921"/>
      <c r="BC215" s="921"/>
      <c r="BD215" s="921"/>
      <c r="BE215" s="921"/>
      <c r="BF215" s="921"/>
      <c r="BG215" s="921"/>
      <c r="BH215" s="921"/>
      <c r="BI215" s="921"/>
      <c r="BJ215" s="921"/>
      <c r="BK215" s="921"/>
      <c r="BL215" s="921"/>
      <c r="BM215" s="921"/>
      <c r="BN215" s="921"/>
      <c r="BO215" s="921"/>
      <c r="BP215" s="802"/>
    </row>
    <row r="216" spans="2:68" ht="21" customHeight="1">
      <c r="B216" s="1660"/>
      <c r="C216" s="1653" t="s">
        <v>472</v>
      </c>
      <c r="D216" s="1642" t="s">
        <v>473</v>
      </c>
      <c r="E216" s="936" t="s">
        <v>926</v>
      </c>
      <c r="F216" s="810" t="s">
        <v>940</v>
      </c>
      <c r="G216" s="852" t="s">
        <v>922</v>
      </c>
      <c r="H216" s="921"/>
      <c r="I216" s="921"/>
      <c r="J216" s="921"/>
      <c r="K216" s="921"/>
      <c r="L216" s="929">
        <f t="shared" ca="1" si="61"/>
        <v>0</v>
      </c>
      <c r="M216" s="929">
        <f t="shared" ca="1" si="61"/>
        <v>0</v>
      </c>
      <c r="N216" s="929">
        <f t="shared" ca="1" si="61"/>
        <v>0</v>
      </c>
      <c r="O216" s="929">
        <f t="shared" ca="1" si="61"/>
        <v>0</v>
      </c>
      <c r="P216" s="929">
        <f t="shared" ca="1" si="61"/>
        <v>0</v>
      </c>
      <c r="Q216" s="929">
        <f t="shared" ca="1" si="61"/>
        <v>0</v>
      </c>
      <c r="R216" s="929">
        <f t="shared" ca="1" si="61"/>
        <v>0</v>
      </c>
      <c r="S216" s="929">
        <f t="shared" ca="1" si="61"/>
        <v>0</v>
      </c>
      <c r="T216" s="929">
        <f t="shared" ca="1" si="61"/>
        <v>0</v>
      </c>
      <c r="U216" s="929">
        <f t="shared" ca="1" si="61"/>
        <v>0</v>
      </c>
      <c r="V216" s="929">
        <f t="shared" ca="1" si="61"/>
        <v>0</v>
      </c>
      <c r="W216" s="929">
        <f t="shared" ca="1" si="61"/>
        <v>0</v>
      </c>
      <c r="X216" s="921"/>
      <c r="Y216" s="921"/>
      <c r="Z216" s="921"/>
      <c r="AA216" s="921"/>
      <c r="AB216" s="921"/>
      <c r="AC216" s="921"/>
      <c r="AD216" s="921"/>
      <c r="AE216" s="921"/>
      <c r="AF216" s="921"/>
      <c r="AG216" s="921"/>
      <c r="AH216" s="921"/>
      <c r="AI216" s="921"/>
      <c r="AJ216" s="921"/>
      <c r="AK216" s="921"/>
      <c r="AL216" s="921"/>
      <c r="AM216" s="921"/>
      <c r="AN216" s="921"/>
      <c r="AO216" s="921"/>
      <c r="AP216" s="921"/>
      <c r="AQ216" s="921"/>
      <c r="AR216" s="921"/>
      <c r="AS216" s="921"/>
      <c r="AT216" s="921"/>
      <c r="AU216" s="921"/>
      <c r="AV216" s="921"/>
      <c r="AW216" s="921"/>
      <c r="AX216" s="921"/>
      <c r="AY216" s="921"/>
      <c r="AZ216" s="921"/>
      <c r="BA216" s="921"/>
      <c r="BB216" s="921"/>
      <c r="BC216" s="921"/>
      <c r="BD216" s="921"/>
      <c r="BE216" s="921"/>
      <c r="BF216" s="921"/>
      <c r="BG216" s="921"/>
      <c r="BH216" s="921"/>
      <c r="BI216" s="921"/>
      <c r="BJ216" s="921"/>
      <c r="BK216" s="921"/>
      <c r="BL216" s="921"/>
      <c r="BM216" s="921"/>
      <c r="BN216" s="921"/>
      <c r="BO216" s="921"/>
      <c r="BP216" s="802"/>
    </row>
    <row r="217" spans="2:68" ht="21">
      <c r="B217" s="1660"/>
      <c r="C217" s="1654"/>
      <c r="D217" s="1644"/>
      <c r="E217" s="936" t="s">
        <v>927</v>
      </c>
      <c r="F217" s="810"/>
      <c r="G217" s="852" t="s">
        <v>1281</v>
      </c>
      <c r="H217" s="921"/>
      <c r="I217" s="921"/>
      <c r="J217" s="921"/>
      <c r="K217" s="921"/>
      <c r="L217" s="929">
        <f t="shared" ca="1" si="61"/>
        <v>0</v>
      </c>
      <c r="M217" s="929">
        <f t="shared" ca="1" si="61"/>
        <v>0</v>
      </c>
      <c r="N217" s="929">
        <f t="shared" ca="1" si="61"/>
        <v>0</v>
      </c>
      <c r="O217" s="929">
        <f t="shared" ca="1" si="61"/>
        <v>0</v>
      </c>
      <c r="P217" s="929">
        <f t="shared" ca="1" si="61"/>
        <v>0</v>
      </c>
      <c r="Q217" s="929">
        <f t="shared" ca="1" si="61"/>
        <v>0</v>
      </c>
      <c r="R217" s="929">
        <f t="shared" ca="1" si="61"/>
        <v>0</v>
      </c>
      <c r="S217" s="929">
        <f t="shared" ca="1" si="61"/>
        <v>0</v>
      </c>
      <c r="T217" s="929">
        <f t="shared" ca="1" si="61"/>
        <v>0</v>
      </c>
      <c r="U217" s="929">
        <f t="shared" ca="1" si="61"/>
        <v>0</v>
      </c>
      <c r="V217" s="929">
        <f t="shared" ca="1" si="61"/>
        <v>0</v>
      </c>
      <c r="W217" s="929">
        <f t="shared" ca="1" si="61"/>
        <v>0</v>
      </c>
      <c r="X217" s="921"/>
      <c r="Y217" s="921"/>
      <c r="Z217" s="921"/>
      <c r="AA217" s="921"/>
      <c r="AB217" s="921"/>
      <c r="AC217" s="921"/>
      <c r="AD217" s="921"/>
      <c r="AE217" s="921"/>
      <c r="AF217" s="921"/>
      <c r="AG217" s="921"/>
      <c r="AH217" s="921"/>
      <c r="AI217" s="921"/>
      <c r="AJ217" s="921"/>
      <c r="AK217" s="921"/>
      <c r="AL217" s="921"/>
      <c r="AM217" s="921"/>
      <c r="AN217" s="921"/>
      <c r="AO217" s="921"/>
      <c r="AP217" s="921"/>
      <c r="AQ217" s="921"/>
      <c r="AR217" s="921"/>
      <c r="AS217" s="921"/>
      <c r="AT217" s="921"/>
      <c r="AU217" s="921"/>
      <c r="AV217" s="921"/>
      <c r="AW217" s="921"/>
      <c r="AX217" s="921"/>
      <c r="AY217" s="921"/>
      <c r="AZ217" s="921"/>
      <c r="BA217" s="921"/>
      <c r="BB217" s="921"/>
      <c r="BC217" s="921"/>
      <c r="BD217" s="921"/>
      <c r="BE217" s="921"/>
      <c r="BF217" s="921"/>
      <c r="BG217" s="921"/>
      <c r="BH217" s="921"/>
      <c r="BI217" s="921"/>
      <c r="BJ217" s="921"/>
      <c r="BK217" s="921"/>
      <c r="BL217" s="921"/>
      <c r="BM217" s="921"/>
      <c r="BN217" s="921"/>
      <c r="BO217" s="921"/>
      <c r="BP217" s="802"/>
    </row>
    <row r="218" spans="2:68">
      <c r="B218" s="1660"/>
      <c r="C218" s="1654"/>
      <c r="D218" s="1642" t="s">
        <v>941</v>
      </c>
      <c r="E218" s="936" t="s">
        <v>926</v>
      </c>
      <c r="F218" s="810" t="s">
        <v>942</v>
      </c>
      <c r="G218" s="852" t="s">
        <v>922</v>
      </c>
      <c r="H218" s="921"/>
      <c r="I218" s="921"/>
      <c r="J218" s="921"/>
      <c r="K218" s="921"/>
      <c r="L218" s="929">
        <f t="shared" ca="1" si="61"/>
        <v>0</v>
      </c>
      <c r="M218" s="929">
        <f t="shared" ca="1" si="61"/>
        <v>0</v>
      </c>
      <c r="N218" s="929">
        <f t="shared" ca="1" si="61"/>
        <v>0</v>
      </c>
      <c r="O218" s="929">
        <f t="shared" ca="1" si="61"/>
        <v>0</v>
      </c>
      <c r="P218" s="929">
        <f t="shared" ca="1" si="61"/>
        <v>0</v>
      </c>
      <c r="Q218" s="929">
        <f t="shared" ca="1" si="61"/>
        <v>0</v>
      </c>
      <c r="R218" s="929">
        <f t="shared" ca="1" si="61"/>
        <v>0</v>
      </c>
      <c r="S218" s="929">
        <f t="shared" ca="1" si="61"/>
        <v>0</v>
      </c>
      <c r="T218" s="929">
        <f t="shared" ca="1" si="61"/>
        <v>0</v>
      </c>
      <c r="U218" s="929">
        <f t="shared" ca="1" si="61"/>
        <v>0</v>
      </c>
      <c r="V218" s="929">
        <f t="shared" ca="1" si="61"/>
        <v>0</v>
      </c>
      <c r="W218" s="929">
        <f t="shared" ca="1" si="61"/>
        <v>0</v>
      </c>
      <c r="X218" s="921"/>
      <c r="Y218" s="921"/>
      <c r="Z218" s="921"/>
      <c r="AA218" s="921"/>
      <c r="AB218" s="921"/>
      <c r="AC218" s="921"/>
      <c r="AD218" s="921"/>
      <c r="AE218" s="921"/>
      <c r="AF218" s="921"/>
      <c r="AG218" s="921"/>
      <c r="AH218" s="921"/>
      <c r="AI218" s="921"/>
      <c r="AJ218" s="921"/>
      <c r="AK218" s="921"/>
      <c r="AL218" s="921"/>
      <c r="AM218" s="921"/>
      <c r="AN218" s="921"/>
      <c r="AO218" s="921"/>
      <c r="AP218" s="921"/>
      <c r="AQ218" s="921"/>
      <c r="AR218" s="921"/>
      <c r="AS218" s="921"/>
      <c r="AT218" s="921"/>
      <c r="AU218" s="921"/>
      <c r="AV218" s="921"/>
      <c r="AW218" s="921"/>
      <c r="AX218" s="921"/>
      <c r="AY218" s="921"/>
      <c r="AZ218" s="921"/>
      <c r="BA218" s="921"/>
      <c r="BB218" s="921"/>
      <c r="BC218" s="921"/>
      <c r="BD218" s="921"/>
      <c r="BE218" s="921"/>
      <c r="BF218" s="921"/>
      <c r="BG218" s="921"/>
      <c r="BH218" s="921"/>
      <c r="BI218" s="921"/>
      <c r="BJ218" s="921"/>
      <c r="BK218" s="921"/>
      <c r="BL218" s="921"/>
      <c r="BM218" s="921"/>
      <c r="BN218" s="921"/>
      <c r="BO218" s="921"/>
      <c r="BP218" s="802"/>
    </row>
    <row r="219" spans="2:68" ht="15.75" customHeight="1">
      <c r="B219" s="1660"/>
      <c r="C219" s="1654"/>
      <c r="D219" s="1644"/>
      <c r="E219" s="936" t="s">
        <v>927</v>
      </c>
      <c r="F219" s="810"/>
      <c r="G219" s="852" t="s">
        <v>1281</v>
      </c>
      <c r="H219" s="921"/>
      <c r="I219" s="921"/>
      <c r="J219" s="921"/>
      <c r="K219" s="921"/>
      <c r="L219" s="929">
        <f t="shared" ref="L219:W223" ca="1" si="62">L109</f>
        <v>0</v>
      </c>
      <c r="M219" s="929">
        <f t="shared" ca="1" si="62"/>
        <v>0</v>
      </c>
      <c r="N219" s="929">
        <f t="shared" ca="1" si="62"/>
        <v>0</v>
      </c>
      <c r="O219" s="929">
        <f t="shared" ca="1" si="62"/>
        <v>0</v>
      </c>
      <c r="P219" s="929">
        <f t="shared" ca="1" si="62"/>
        <v>0</v>
      </c>
      <c r="Q219" s="929">
        <f t="shared" ca="1" si="62"/>
        <v>0</v>
      </c>
      <c r="R219" s="929">
        <f t="shared" ca="1" si="62"/>
        <v>0</v>
      </c>
      <c r="S219" s="929">
        <f t="shared" ca="1" si="62"/>
        <v>0</v>
      </c>
      <c r="T219" s="929">
        <f t="shared" ca="1" si="62"/>
        <v>0</v>
      </c>
      <c r="U219" s="929">
        <f t="shared" ca="1" si="62"/>
        <v>0</v>
      </c>
      <c r="V219" s="929">
        <f t="shared" ca="1" si="62"/>
        <v>0</v>
      </c>
      <c r="W219" s="929">
        <f t="shared" ca="1" si="62"/>
        <v>0</v>
      </c>
      <c r="X219" s="921"/>
      <c r="Y219" s="921"/>
      <c r="Z219" s="921"/>
      <c r="AA219" s="921"/>
      <c r="AB219" s="921"/>
      <c r="AC219" s="921"/>
      <c r="AD219" s="921"/>
      <c r="AE219" s="921"/>
      <c r="AF219" s="921"/>
      <c r="AG219" s="921"/>
      <c r="AH219" s="921"/>
      <c r="AI219" s="921"/>
      <c r="AJ219" s="921"/>
      <c r="AK219" s="921"/>
      <c r="AL219" s="921"/>
      <c r="AM219" s="921"/>
      <c r="AN219" s="921"/>
      <c r="AO219" s="921"/>
      <c r="AP219" s="921"/>
      <c r="AQ219" s="921"/>
      <c r="AR219" s="921"/>
      <c r="AS219" s="921"/>
      <c r="AT219" s="921"/>
      <c r="AU219" s="921"/>
      <c r="AV219" s="921"/>
      <c r="AW219" s="921"/>
      <c r="AX219" s="921"/>
      <c r="AY219" s="921"/>
      <c r="AZ219" s="921"/>
      <c r="BA219" s="921"/>
      <c r="BB219" s="921"/>
      <c r="BC219" s="921"/>
      <c r="BD219" s="921"/>
      <c r="BE219" s="921"/>
      <c r="BF219" s="921"/>
      <c r="BG219" s="921"/>
      <c r="BH219" s="921"/>
      <c r="BI219" s="921"/>
      <c r="BJ219" s="921"/>
      <c r="BK219" s="921"/>
      <c r="BL219" s="921"/>
      <c r="BM219" s="921"/>
      <c r="BN219" s="921"/>
      <c r="BO219" s="921"/>
      <c r="BP219" s="802"/>
    </row>
    <row r="220" spans="2:68" ht="15.75" customHeight="1">
      <c r="B220" s="1660"/>
      <c r="C220" s="1654"/>
      <c r="D220" s="1642" t="s">
        <v>943</v>
      </c>
      <c r="E220" s="936" t="s">
        <v>926</v>
      </c>
      <c r="F220" s="810" t="s">
        <v>944</v>
      </c>
      <c r="G220" s="852" t="s">
        <v>922</v>
      </c>
      <c r="H220" s="921"/>
      <c r="I220" s="921"/>
      <c r="J220" s="921"/>
      <c r="K220" s="921"/>
      <c r="L220" s="929">
        <f t="shared" ca="1" si="62"/>
        <v>0</v>
      </c>
      <c r="M220" s="929">
        <f t="shared" ca="1" si="62"/>
        <v>0</v>
      </c>
      <c r="N220" s="929">
        <f t="shared" ca="1" si="62"/>
        <v>0</v>
      </c>
      <c r="O220" s="929">
        <f t="shared" ca="1" si="62"/>
        <v>0</v>
      </c>
      <c r="P220" s="929">
        <f t="shared" ca="1" si="62"/>
        <v>0</v>
      </c>
      <c r="Q220" s="929">
        <f t="shared" ca="1" si="62"/>
        <v>0</v>
      </c>
      <c r="R220" s="929">
        <f t="shared" ca="1" si="62"/>
        <v>0</v>
      </c>
      <c r="S220" s="929">
        <f t="shared" ca="1" si="62"/>
        <v>0</v>
      </c>
      <c r="T220" s="929">
        <f t="shared" ca="1" si="62"/>
        <v>0</v>
      </c>
      <c r="U220" s="929">
        <f t="shared" ca="1" si="62"/>
        <v>0</v>
      </c>
      <c r="V220" s="929">
        <f t="shared" ca="1" si="62"/>
        <v>0</v>
      </c>
      <c r="W220" s="929">
        <f t="shared" ca="1" si="62"/>
        <v>0</v>
      </c>
      <c r="X220" s="921"/>
      <c r="Y220" s="921"/>
      <c r="Z220" s="921"/>
      <c r="AA220" s="921"/>
      <c r="AB220" s="921"/>
      <c r="AC220" s="921"/>
      <c r="AD220" s="921"/>
      <c r="AE220" s="921"/>
      <c r="AF220" s="921"/>
      <c r="AG220" s="921"/>
      <c r="AH220" s="921"/>
      <c r="AI220" s="921"/>
      <c r="AJ220" s="921"/>
      <c r="AK220" s="921"/>
      <c r="AL220" s="921"/>
      <c r="AM220" s="921"/>
      <c r="AN220" s="921"/>
      <c r="AO220" s="921"/>
      <c r="AP220" s="921"/>
      <c r="AQ220" s="921"/>
      <c r="AR220" s="921"/>
      <c r="AS220" s="921"/>
      <c r="AT220" s="921"/>
      <c r="AU220" s="921"/>
      <c r="AV220" s="921"/>
      <c r="AW220" s="921"/>
      <c r="AX220" s="921"/>
      <c r="AY220" s="921"/>
      <c r="AZ220" s="921"/>
      <c r="BA220" s="921"/>
      <c r="BB220" s="921"/>
      <c r="BC220" s="921"/>
      <c r="BD220" s="921"/>
      <c r="BE220" s="921"/>
      <c r="BF220" s="921"/>
      <c r="BG220" s="921"/>
      <c r="BH220" s="921"/>
      <c r="BI220" s="921"/>
      <c r="BJ220" s="921"/>
      <c r="BK220" s="921"/>
      <c r="BL220" s="921"/>
      <c r="BM220" s="921"/>
      <c r="BN220" s="921"/>
      <c r="BO220" s="921"/>
      <c r="BP220" s="802"/>
    </row>
    <row r="221" spans="2:68" ht="15.75" customHeight="1">
      <c r="B221" s="1660"/>
      <c r="C221" s="1654"/>
      <c r="D221" s="1644"/>
      <c r="E221" s="936" t="s">
        <v>927</v>
      </c>
      <c r="F221" s="810"/>
      <c r="G221" s="852" t="s">
        <v>1281</v>
      </c>
      <c r="H221" s="921"/>
      <c r="I221" s="921"/>
      <c r="J221" s="921"/>
      <c r="K221" s="921"/>
      <c r="L221" s="929">
        <f t="shared" ca="1" si="62"/>
        <v>0</v>
      </c>
      <c r="M221" s="929">
        <f t="shared" ca="1" si="62"/>
        <v>0</v>
      </c>
      <c r="N221" s="929">
        <f t="shared" ca="1" si="62"/>
        <v>0</v>
      </c>
      <c r="O221" s="929">
        <f t="shared" ca="1" si="62"/>
        <v>0</v>
      </c>
      <c r="P221" s="929">
        <f t="shared" ca="1" si="62"/>
        <v>0</v>
      </c>
      <c r="Q221" s="929">
        <f t="shared" ca="1" si="62"/>
        <v>0</v>
      </c>
      <c r="R221" s="929">
        <f t="shared" ca="1" si="62"/>
        <v>0</v>
      </c>
      <c r="S221" s="929">
        <f t="shared" ca="1" si="62"/>
        <v>0</v>
      </c>
      <c r="T221" s="929">
        <f t="shared" ca="1" si="62"/>
        <v>0</v>
      </c>
      <c r="U221" s="929">
        <f t="shared" ca="1" si="62"/>
        <v>0</v>
      </c>
      <c r="V221" s="929">
        <f t="shared" ca="1" si="62"/>
        <v>0</v>
      </c>
      <c r="W221" s="929">
        <f t="shared" ca="1" si="62"/>
        <v>0</v>
      </c>
      <c r="X221" s="921"/>
      <c r="Y221" s="921"/>
      <c r="Z221" s="921"/>
      <c r="AA221" s="921"/>
      <c r="AB221" s="921"/>
      <c r="AC221" s="921"/>
      <c r="AD221" s="921"/>
      <c r="AE221" s="921"/>
      <c r="AF221" s="921"/>
      <c r="AG221" s="921"/>
      <c r="AH221" s="921"/>
      <c r="AI221" s="921"/>
      <c r="AJ221" s="921"/>
      <c r="AK221" s="921"/>
      <c r="AL221" s="921"/>
      <c r="AM221" s="921"/>
      <c r="AN221" s="921"/>
      <c r="AO221" s="921"/>
      <c r="AP221" s="921"/>
      <c r="AQ221" s="921"/>
      <c r="AR221" s="921"/>
      <c r="AS221" s="921"/>
      <c r="AT221" s="921"/>
      <c r="AU221" s="921"/>
      <c r="AV221" s="921"/>
      <c r="AW221" s="921"/>
      <c r="AX221" s="921"/>
      <c r="AY221" s="921"/>
      <c r="AZ221" s="921"/>
      <c r="BA221" s="921"/>
      <c r="BB221" s="921"/>
      <c r="BC221" s="921"/>
      <c r="BD221" s="921"/>
      <c r="BE221" s="921"/>
      <c r="BF221" s="921"/>
      <c r="BG221" s="921"/>
      <c r="BH221" s="921"/>
      <c r="BI221" s="921"/>
      <c r="BJ221" s="921"/>
      <c r="BK221" s="921"/>
      <c r="BL221" s="921"/>
      <c r="BM221" s="921"/>
      <c r="BN221" s="921"/>
      <c r="BO221" s="921"/>
      <c r="BP221" s="802"/>
    </row>
    <row r="222" spans="2:68" ht="15.75" customHeight="1">
      <c r="B222" s="1660"/>
      <c r="C222" s="1654"/>
      <c r="D222" s="1656" t="s">
        <v>813</v>
      </c>
      <c r="E222" s="936" t="s">
        <v>926</v>
      </c>
      <c r="F222" s="810" t="s">
        <v>945</v>
      </c>
      <c r="G222" s="852" t="s">
        <v>922</v>
      </c>
      <c r="H222" s="921"/>
      <c r="I222" s="921"/>
      <c r="J222" s="921"/>
      <c r="K222" s="921"/>
      <c r="L222" s="929">
        <f t="shared" ca="1" si="62"/>
        <v>0</v>
      </c>
      <c r="M222" s="929">
        <f t="shared" ca="1" si="62"/>
        <v>0</v>
      </c>
      <c r="N222" s="929">
        <f t="shared" ca="1" si="62"/>
        <v>0</v>
      </c>
      <c r="O222" s="929">
        <f t="shared" ca="1" si="62"/>
        <v>0</v>
      </c>
      <c r="P222" s="929">
        <f t="shared" ca="1" si="62"/>
        <v>0</v>
      </c>
      <c r="Q222" s="929">
        <f t="shared" ca="1" si="62"/>
        <v>0</v>
      </c>
      <c r="R222" s="929">
        <f t="shared" ca="1" si="62"/>
        <v>0</v>
      </c>
      <c r="S222" s="929">
        <f t="shared" ca="1" si="62"/>
        <v>0</v>
      </c>
      <c r="T222" s="929">
        <f t="shared" ca="1" si="62"/>
        <v>0</v>
      </c>
      <c r="U222" s="929">
        <f t="shared" ca="1" si="62"/>
        <v>0</v>
      </c>
      <c r="V222" s="929">
        <f t="shared" ca="1" si="62"/>
        <v>0</v>
      </c>
      <c r="W222" s="929">
        <f t="shared" ca="1" si="62"/>
        <v>0</v>
      </c>
      <c r="X222" s="921"/>
      <c r="Y222" s="921"/>
      <c r="Z222" s="921"/>
      <c r="AA222" s="921"/>
      <c r="AB222" s="921"/>
      <c r="AC222" s="921"/>
      <c r="AD222" s="921"/>
      <c r="AE222" s="921"/>
      <c r="AF222" s="921"/>
      <c r="AG222" s="921"/>
      <c r="AH222" s="921"/>
      <c r="AI222" s="921"/>
      <c r="AJ222" s="921"/>
      <c r="AK222" s="921"/>
      <c r="AL222" s="921"/>
      <c r="AM222" s="921"/>
      <c r="AN222" s="921"/>
      <c r="AO222" s="921"/>
      <c r="AP222" s="921"/>
      <c r="AQ222" s="921"/>
      <c r="AR222" s="921"/>
      <c r="AS222" s="921"/>
      <c r="AT222" s="921"/>
      <c r="AU222" s="921"/>
      <c r="AV222" s="921"/>
      <c r="AW222" s="921"/>
      <c r="AX222" s="921"/>
      <c r="AY222" s="921"/>
      <c r="AZ222" s="921"/>
      <c r="BA222" s="921"/>
      <c r="BB222" s="921"/>
      <c r="BC222" s="921"/>
      <c r="BD222" s="921"/>
      <c r="BE222" s="921"/>
      <c r="BF222" s="921"/>
      <c r="BG222" s="921"/>
      <c r="BH222" s="921"/>
      <c r="BI222" s="921"/>
      <c r="BJ222" s="921"/>
      <c r="BK222" s="921"/>
      <c r="BL222" s="921"/>
      <c r="BM222" s="921"/>
      <c r="BN222" s="921"/>
      <c r="BO222" s="921"/>
      <c r="BP222" s="802"/>
    </row>
    <row r="223" spans="2:68" ht="15.75" customHeight="1">
      <c r="B223" s="1660"/>
      <c r="C223" s="1655"/>
      <c r="D223" s="1657"/>
      <c r="E223" s="936" t="s">
        <v>927</v>
      </c>
      <c r="F223" s="810" t="s">
        <v>946</v>
      </c>
      <c r="G223" s="852" t="s">
        <v>1281</v>
      </c>
      <c r="H223" s="921"/>
      <c r="I223" s="921"/>
      <c r="J223" s="921"/>
      <c r="K223" s="921"/>
      <c r="L223" s="929">
        <f t="shared" ca="1" si="62"/>
        <v>0</v>
      </c>
      <c r="M223" s="929">
        <f t="shared" ca="1" si="62"/>
        <v>0</v>
      </c>
      <c r="N223" s="929">
        <f t="shared" ca="1" si="62"/>
        <v>0</v>
      </c>
      <c r="O223" s="929">
        <f t="shared" ca="1" si="62"/>
        <v>0</v>
      </c>
      <c r="P223" s="929">
        <f t="shared" ca="1" si="62"/>
        <v>0</v>
      </c>
      <c r="Q223" s="929">
        <f t="shared" ca="1" si="62"/>
        <v>0</v>
      </c>
      <c r="R223" s="929">
        <f t="shared" ca="1" si="62"/>
        <v>0</v>
      </c>
      <c r="S223" s="929">
        <f t="shared" ca="1" si="62"/>
        <v>0</v>
      </c>
      <c r="T223" s="929">
        <f t="shared" ca="1" si="62"/>
        <v>0</v>
      </c>
      <c r="U223" s="929">
        <f t="shared" ca="1" si="62"/>
        <v>0</v>
      </c>
      <c r="V223" s="929">
        <f t="shared" ca="1" si="62"/>
        <v>0</v>
      </c>
      <c r="W223" s="929">
        <f t="shared" ca="1" si="62"/>
        <v>0</v>
      </c>
      <c r="X223" s="921"/>
      <c r="Y223" s="921"/>
      <c r="Z223" s="921"/>
      <c r="AA223" s="921"/>
      <c r="AB223" s="921"/>
      <c r="AC223" s="921"/>
      <c r="AD223" s="921"/>
      <c r="AE223" s="921"/>
      <c r="AF223" s="921"/>
      <c r="AG223" s="921"/>
      <c r="AH223" s="921"/>
      <c r="AI223" s="921"/>
      <c r="AJ223" s="921"/>
      <c r="AK223" s="921"/>
      <c r="AL223" s="921"/>
      <c r="AM223" s="921"/>
      <c r="AN223" s="921"/>
      <c r="AO223" s="921"/>
      <c r="AP223" s="921"/>
      <c r="AQ223" s="921"/>
      <c r="AR223" s="921"/>
      <c r="AS223" s="921"/>
      <c r="AT223" s="921"/>
      <c r="AU223" s="921"/>
      <c r="AV223" s="921"/>
      <c r="AW223" s="921"/>
      <c r="AX223" s="921"/>
      <c r="AY223" s="921"/>
      <c r="AZ223" s="921"/>
      <c r="BA223" s="921"/>
      <c r="BB223" s="921"/>
      <c r="BC223" s="921"/>
      <c r="BD223" s="921"/>
      <c r="BE223" s="921"/>
      <c r="BF223" s="921"/>
      <c r="BG223" s="921"/>
      <c r="BH223" s="921"/>
      <c r="BI223" s="921"/>
      <c r="BJ223" s="921"/>
      <c r="BK223" s="921"/>
      <c r="BL223" s="921"/>
      <c r="BM223" s="921"/>
      <c r="BN223" s="921"/>
      <c r="BO223" s="921"/>
      <c r="BP223" s="802"/>
    </row>
    <row r="224" spans="2:68">
      <c r="B224" s="1660"/>
      <c r="C224" s="962" t="s">
        <v>947</v>
      </c>
      <c r="D224" s="961"/>
      <c r="E224" s="937"/>
      <c r="F224" s="810"/>
      <c r="G224" s="852" t="s">
        <v>922</v>
      </c>
      <c r="H224" s="921"/>
      <c r="I224" s="921"/>
      <c r="J224" s="921"/>
      <c r="K224" s="921"/>
      <c r="L224" s="916">
        <f t="shared" ref="L224:O224" ca="1" si="63">L206+L211+L216+L218</f>
        <v>0</v>
      </c>
      <c r="M224" s="916">
        <f t="shared" ca="1" si="63"/>
        <v>0</v>
      </c>
      <c r="N224" s="916">
        <f t="shared" ca="1" si="63"/>
        <v>0</v>
      </c>
      <c r="O224" s="916">
        <f t="shared" ca="1" si="63"/>
        <v>0</v>
      </c>
      <c r="P224" s="952">
        <f ca="1">P206+P211+P216+P218</f>
        <v>0</v>
      </c>
      <c r="Q224" s="952">
        <f t="shared" ref="Q224:W224" ca="1" si="64">Q206+Q211+Q216+Q218</f>
        <v>0</v>
      </c>
      <c r="R224" s="952">
        <f t="shared" ca="1" si="64"/>
        <v>0</v>
      </c>
      <c r="S224" s="952">
        <f t="shared" ca="1" si="64"/>
        <v>0</v>
      </c>
      <c r="T224" s="952">
        <f ca="1">T206+T211+T216+T218</f>
        <v>0</v>
      </c>
      <c r="U224" s="952">
        <f t="shared" ca="1" si="64"/>
        <v>0</v>
      </c>
      <c r="V224" s="952">
        <f t="shared" ca="1" si="64"/>
        <v>0</v>
      </c>
      <c r="W224" s="952">
        <f t="shared" ca="1" si="64"/>
        <v>0</v>
      </c>
      <c r="X224" s="921"/>
      <c r="Y224" s="921"/>
      <c r="Z224" s="921"/>
      <c r="AA224" s="921"/>
      <c r="AB224" s="921"/>
      <c r="AC224" s="921"/>
      <c r="AD224" s="921"/>
      <c r="AE224" s="921"/>
      <c r="AF224" s="921"/>
      <c r="AG224" s="921"/>
      <c r="AH224" s="921"/>
      <c r="AI224" s="921"/>
      <c r="AJ224" s="921"/>
      <c r="AK224" s="921"/>
      <c r="AL224" s="921"/>
      <c r="AM224" s="921"/>
      <c r="AN224" s="921"/>
      <c r="AO224" s="921"/>
      <c r="AP224" s="921"/>
      <c r="AQ224" s="921"/>
      <c r="AR224" s="921"/>
      <c r="AS224" s="921"/>
      <c r="AT224" s="921"/>
      <c r="AU224" s="921"/>
      <c r="AV224" s="921"/>
      <c r="AW224" s="921"/>
      <c r="AX224" s="921"/>
      <c r="AY224" s="921"/>
      <c r="AZ224" s="921"/>
      <c r="BA224" s="921"/>
      <c r="BB224" s="921"/>
      <c r="BC224" s="921"/>
      <c r="BD224" s="921"/>
      <c r="BE224" s="921"/>
      <c r="BF224" s="921"/>
      <c r="BG224" s="921"/>
      <c r="BH224" s="921"/>
      <c r="BI224" s="921"/>
      <c r="BJ224" s="921"/>
      <c r="BK224" s="921"/>
      <c r="BL224" s="921"/>
      <c r="BM224" s="921"/>
      <c r="BN224" s="921"/>
      <c r="BO224" s="921"/>
      <c r="BP224" s="802"/>
    </row>
    <row r="225" spans="1:68" ht="21">
      <c r="B225" s="1660"/>
      <c r="C225" s="959" t="s">
        <v>948</v>
      </c>
      <c r="D225" s="961"/>
      <c r="E225" s="937"/>
      <c r="F225" s="810"/>
      <c r="G225" s="852" t="s">
        <v>1281</v>
      </c>
      <c r="H225" s="921"/>
      <c r="I225" s="921"/>
      <c r="J225" s="921"/>
      <c r="K225" s="921"/>
      <c r="L225" s="916">
        <f ca="1">ROUNDDOWN(IF(L205+L210+L223&gt;=L201,L201,L205+L210+L223),0)</f>
        <v>0</v>
      </c>
      <c r="M225" s="916">
        <f t="shared" ref="M225:W225" ca="1" si="65">ROUNDDOWN(IF(M205+M210+M223&gt;=M201,M201,M205+M210+M223),0)</f>
        <v>0</v>
      </c>
      <c r="N225" s="916">
        <f t="shared" ca="1" si="65"/>
        <v>0</v>
      </c>
      <c r="O225" s="916">
        <f t="shared" ca="1" si="65"/>
        <v>0</v>
      </c>
      <c r="P225" s="916">
        <f t="shared" ca="1" si="65"/>
        <v>0</v>
      </c>
      <c r="Q225" s="916">
        <f t="shared" ca="1" si="65"/>
        <v>0</v>
      </c>
      <c r="R225" s="916">
        <f t="shared" ca="1" si="65"/>
        <v>0</v>
      </c>
      <c r="S225" s="916">
        <f t="shared" ca="1" si="65"/>
        <v>0</v>
      </c>
      <c r="T225" s="916">
        <f t="shared" ca="1" si="65"/>
        <v>0</v>
      </c>
      <c r="U225" s="916">
        <f t="shared" ca="1" si="65"/>
        <v>0</v>
      </c>
      <c r="V225" s="916">
        <f t="shared" ca="1" si="65"/>
        <v>0</v>
      </c>
      <c r="W225" s="916">
        <f t="shared" ca="1" si="65"/>
        <v>0</v>
      </c>
      <c r="X225" s="921"/>
      <c r="Y225" s="921"/>
      <c r="Z225" s="921"/>
      <c r="AA225" s="921"/>
      <c r="AB225" s="921"/>
      <c r="AC225" s="921"/>
      <c r="AD225" s="921"/>
      <c r="AE225" s="921"/>
      <c r="AF225" s="921"/>
      <c r="AG225" s="921"/>
      <c r="AH225" s="921"/>
      <c r="AI225" s="921"/>
      <c r="AJ225" s="921"/>
      <c r="AK225" s="921"/>
      <c r="AL225" s="921"/>
      <c r="AM225" s="921"/>
      <c r="AN225" s="921"/>
      <c r="AO225" s="921"/>
      <c r="AP225" s="921"/>
      <c r="AQ225" s="921"/>
      <c r="AR225" s="921"/>
      <c r="AS225" s="921"/>
      <c r="AT225" s="921"/>
      <c r="AU225" s="921"/>
      <c r="AV225" s="921"/>
      <c r="AW225" s="921"/>
      <c r="AX225" s="921"/>
      <c r="AY225" s="921"/>
      <c r="AZ225" s="921"/>
      <c r="BA225" s="921"/>
      <c r="BB225" s="921"/>
      <c r="BC225" s="921"/>
      <c r="BD225" s="921"/>
      <c r="BE225" s="921"/>
      <c r="BF225" s="921"/>
      <c r="BG225" s="921"/>
      <c r="BH225" s="921"/>
      <c r="BI225" s="921"/>
      <c r="BJ225" s="921"/>
      <c r="BK225" s="921"/>
      <c r="BL225" s="921"/>
      <c r="BM225" s="921"/>
      <c r="BN225" s="921"/>
      <c r="BO225" s="921"/>
      <c r="BP225" s="802"/>
    </row>
    <row r="226" spans="1:68" ht="21">
      <c r="B226" s="1661"/>
      <c r="C226" s="962" t="s">
        <v>949</v>
      </c>
      <c r="D226" s="961"/>
      <c r="E226" s="937"/>
      <c r="F226" s="810"/>
      <c r="G226" s="852" t="s">
        <v>1281</v>
      </c>
      <c r="H226" s="921"/>
      <c r="I226" s="921"/>
      <c r="J226" s="921"/>
      <c r="K226" s="921"/>
      <c r="L226" s="916">
        <f ca="1">ROUNDDOWN(IF(L207+L212&gt;=L200,L200,L207+L212),0)</f>
        <v>0</v>
      </c>
      <c r="M226" s="916">
        <f t="shared" ref="M226:W226" ca="1" si="66">ROUNDDOWN(IF(M207+M212&gt;=M200,M200,M207+M212),0)</f>
        <v>0</v>
      </c>
      <c r="N226" s="916">
        <f t="shared" ca="1" si="66"/>
        <v>0</v>
      </c>
      <c r="O226" s="916">
        <f t="shared" ca="1" si="66"/>
        <v>0</v>
      </c>
      <c r="P226" s="916">
        <f t="shared" ca="1" si="66"/>
        <v>0</v>
      </c>
      <c r="Q226" s="916">
        <f t="shared" ca="1" si="66"/>
        <v>0</v>
      </c>
      <c r="R226" s="916">
        <f t="shared" ca="1" si="66"/>
        <v>0</v>
      </c>
      <c r="S226" s="916">
        <f t="shared" ca="1" si="66"/>
        <v>0</v>
      </c>
      <c r="T226" s="916">
        <f t="shared" ca="1" si="66"/>
        <v>0</v>
      </c>
      <c r="U226" s="916">
        <f t="shared" ca="1" si="66"/>
        <v>0</v>
      </c>
      <c r="V226" s="916">
        <f t="shared" ca="1" si="66"/>
        <v>0</v>
      </c>
      <c r="W226" s="916">
        <f t="shared" ca="1" si="66"/>
        <v>0</v>
      </c>
      <c r="X226" s="921"/>
      <c r="Y226" s="921"/>
      <c r="Z226" s="921"/>
      <c r="AA226" s="921"/>
      <c r="AB226" s="921"/>
      <c r="AC226" s="921"/>
      <c r="AD226" s="921"/>
      <c r="AE226" s="921"/>
      <c r="AF226" s="921"/>
      <c r="AG226" s="921"/>
      <c r="AH226" s="921"/>
      <c r="AI226" s="921"/>
      <c r="AJ226" s="921"/>
      <c r="AK226" s="921"/>
      <c r="AL226" s="921"/>
      <c r="AM226" s="921"/>
      <c r="AN226" s="921"/>
      <c r="AO226" s="921"/>
      <c r="AP226" s="921"/>
      <c r="AQ226" s="921"/>
      <c r="AR226" s="921"/>
      <c r="AS226" s="921"/>
      <c r="AT226" s="921"/>
      <c r="AU226" s="921"/>
      <c r="AV226" s="921"/>
      <c r="AW226" s="921"/>
      <c r="AX226" s="921"/>
      <c r="AY226" s="921"/>
      <c r="AZ226" s="921"/>
      <c r="BA226" s="921"/>
      <c r="BB226" s="921"/>
      <c r="BC226" s="921"/>
      <c r="BD226" s="921"/>
      <c r="BE226" s="921"/>
      <c r="BF226" s="921"/>
      <c r="BG226" s="921"/>
      <c r="BH226" s="921"/>
      <c r="BI226" s="921"/>
      <c r="BJ226" s="921"/>
      <c r="BK226" s="921"/>
      <c r="BL226" s="921"/>
      <c r="BM226" s="921"/>
      <c r="BN226" s="921"/>
      <c r="BO226" s="921"/>
      <c r="BP226" s="802"/>
    </row>
    <row r="227" spans="1:68" ht="21">
      <c r="B227" s="930" t="s">
        <v>899</v>
      </c>
      <c r="C227" s="871"/>
      <c r="D227" s="853"/>
      <c r="E227" s="963" t="s">
        <v>950</v>
      </c>
      <c r="F227" s="862"/>
      <c r="G227" s="852" t="s">
        <v>1281</v>
      </c>
      <c r="H227" s="921"/>
      <c r="I227" s="921"/>
      <c r="J227" s="921"/>
      <c r="K227" s="921"/>
      <c r="L227" s="928">
        <f ca="1">IF(ROUNDDOWN(L198+L200+L201-L202-L203-L204-L209-L214-L215-L225-L226,0)&lt;=0,0,ROUND(ROUNDDOWN(L198+L200+L201-L202-L203-L204-L209-L214-L215-L225-L226,0),2-INT(LOG(ROUNDDOWN(L198+L200+L201-L202-L203-L204-L209-L214-L215-L225-L226,0)))))</f>
        <v>0</v>
      </c>
      <c r="M227" s="928">
        <f t="shared" ref="M227:BO227" ca="1" si="67">IF(ROUNDDOWN(M198+M200+M201-M202-M203-M204-M209-M214-M215-M225-M226,0)&lt;=0,0,ROUND(ROUNDDOWN(M198+M200+M201-M202-M203-M204-M209-M214-M215-M225-M226,0),2-INT(LOG(ROUNDDOWN(M198+M200+M201-M202-M203-M204-M209-M214-M215-M225-M226,0)))))</f>
        <v>0</v>
      </c>
      <c r="N227" s="928">
        <f t="shared" ca="1" si="67"/>
        <v>0</v>
      </c>
      <c r="O227" s="928">
        <f t="shared" ca="1" si="67"/>
        <v>0</v>
      </c>
      <c r="P227" s="928">
        <f t="shared" ca="1" si="67"/>
        <v>0</v>
      </c>
      <c r="Q227" s="928">
        <f t="shared" ca="1" si="67"/>
        <v>0</v>
      </c>
      <c r="R227" s="928">
        <f t="shared" ca="1" si="67"/>
        <v>0</v>
      </c>
      <c r="S227" s="928">
        <f t="shared" ca="1" si="67"/>
        <v>0</v>
      </c>
      <c r="T227" s="928">
        <f t="shared" ca="1" si="67"/>
        <v>0</v>
      </c>
      <c r="U227" s="928">
        <f t="shared" ca="1" si="67"/>
        <v>0</v>
      </c>
      <c r="V227" s="928">
        <f t="shared" ca="1" si="67"/>
        <v>0</v>
      </c>
      <c r="W227" s="928">
        <f t="shared" ca="1" si="67"/>
        <v>0</v>
      </c>
      <c r="X227" s="928">
        <f t="shared" ca="1" si="67"/>
        <v>0</v>
      </c>
      <c r="Y227" s="928">
        <f t="shared" ca="1" si="67"/>
        <v>0</v>
      </c>
      <c r="Z227" s="928">
        <f t="shared" ca="1" si="67"/>
        <v>0</v>
      </c>
      <c r="AA227" s="928">
        <f t="shared" ca="1" si="67"/>
        <v>0</v>
      </c>
      <c r="AB227" s="928">
        <f t="shared" ca="1" si="67"/>
        <v>0</v>
      </c>
      <c r="AC227" s="928">
        <f t="shared" ca="1" si="67"/>
        <v>0</v>
      </c>
      <c r="AD227" s="928">
        <f t="shared" ca="1" si="67"/>
        <v>0</v>
      </c>
      <c r="AE227" s="928">
        <f t="shared" ca="1" si="67"/>
        <v>0</v>
      </c>
      <c r="AF227" s="928">
        <f t="shared" ca="1" si="67"/>
        <v>0</v>
      </c>
      <c r="AG227" s="928">
        <f t="shared" ca="1" si="67"/>
        <v>0</v>
      </c>
      <c r="AH227" s="928">
        <f t="shared" ca="1" si="67"/>
        <v>0</v>
      </c>
      <c r="AI227" s="928">
        <f t="shared" ca="1" si="67"/>
        <v>0</v>
      </c>
      <c r="AJ227" s="928">
        <f t="shared" ca="1" si="67"/>
        <v>0</v>
      </c>
      <c r="AK227" s="928">
        <f t="shared" ca="1" si="67"/>
        <v>0</v>
      </c>
      <c r="AL227" s="928">
        <f t="shared" ca="1" si="67"/>
        <v>0</v>
      </c>
      <c r="AM227" s="928">
        <f t="shared" ca="1" si="67"/>
        <v>0</v>
      </c>
      <c r="AN227" s="928">
        <f t="shared" ca="1" si="67"/>
        <v>0</v>
      </c>
      <c r="AO227" s="928">
        <f t="shared" ca="1" si="67"/>
        <v>0</v>
      </c>
      <c r="AP227" s="928">
        <f t="shared" ca="1" si="67"/>
        <v>0</v>
      </c>
      <c r="AQ227" s="928">
        <f t="shared" ca="1" si="67"/>
        <v>0</v>
      </c>
      <c r="AR227" s="928">
        <f t="shared" ca="1" si="67"/>
        <v>0</v>
      </c>
      <c r="AS227" s="928">
        <f t="shared" ca="1" si="67"/>
        <v>0</v>
      </c>
      <c r="AT227" s="928">
        <f t="shared" ca="1" si="67"/>
        <v>0</v>
      </c>
      <c r="AU227" s="928">
        <f t="shared" ca="1" si="67"/>
        <v>0</v>
      </c>
      <c r="AV227" s="928">
        <f t="shared" ca="1" si="67"/>
        <v>0</v>
      </c>
      <c r="AW227" s="928">
        <f t="shared" ca="1" si="67"/>
        <v>0</v>
      </c>
      <c r="AX227" s="928">
        <f t="shared" ca="1" si="67"/>
        <v>0</v>
      </c>
      <c r="AY227" s="928">
        <f t="shared" ca="1" si="67"/>
        <v>0</v>
      </c>
      <c r="AZ227" s="928">
        <f t="shared" ca="1" si="67"/>
        <v>0</v>
      </c>
      <c r="BA227" s="928">
        <f t="shared" ca="1" si="67"/>
        <v>0</v>
      </c>
      <c r="BB227" s="928">
        <f t="shared" ca="1" si="67"/>
        <v>0</v>
      </c>
      <c r="BC227" s="928">
        <f t="shared" ca="1" si="67"/>
        <v>0</v>
      </c>
      <c r="BD227" s="928">
        <f t="shared" ca="1" si="67"/>
        <v>0</v>
      </c>
      <c r="BE227" s="928">
        <f t="shared" ca="1" si="67"/>
        <v>0</v>
      </c>
      <c r="BF227" s="928">
        <f t="shared" ca="1" si="67"/>
        <v>0</v>
      </c>
      <c r="BG227" s="928">
        <f t="shared" ca="1" si="67"/>
        <v>0</v>
      </c>
      <c r="BH227" s="928">
        <f t="shared" ca="1" si="67"/>
        <v>0</v>
      </c>
      <c r="BI227" s="928">
        <f t="shared" ca="1" si="67"/>
        <v>0</v>
      </c>
      <c r="BJ227" s="928">
        <f t="shared" ca="1" si="67"/>
        <v>0</v>
      </c>
      <c r="BK227" s="928">
        <f t="shared" ca="1" si="67"/>
        <v>0</v>
      </c>
      <c r="BL227" s="928">
        <f t="shared" ca="1" si="67"/>
        <v>0</v>
      </c>
      <c r="BM227" s="928">
        <f t="shared" ca="1" si="67"/>
        <v>0</v>
      </c>
      <c r="BN227" s="928">
        <f t="shared" ca="1" si="67"/>
        <v>0</v>
      </c>
      <c r="BO227" s="928">
        <f t="shared" ca="1" si="67"/>
        <v>0</v>
      </c>
      <c r="BP227" s="802"/>
    </row>
    <row r="228" spans="1:68" ht="20.100000000000001" customHeight="1">
      <c r="A228" s="780">
        <v>2</v>
      </c>
      <c r="B228" s="780" t="s">
        <v>849</v>
      </c>
      <c r="C228" s="781"/>
      <c r="D228" s="781"/>
      <c r="E228" s="781"/>
      <c r="F228" s="781"/>
      <c r="G228" s="782"/>
      <c r="H228" s="782"/>
      <c r="I228" s="782"/>
      <c r="J228" s="782"/>
      <c r="K228" s="782"/>
      <c r="L228" s="879"/>
      <c r="M228" s="879"/>
      <c r="N228" s="879"/>
      <c r="O228" s="879"/>
      <c r="P228" s="879"/>
      <c r="Q228" s="879"/>
      <c r="R228" s="879"/>
      <c r="S228" s="879"/>
      <c r="T228" s="879"/>
      <c r="U228" s="879"/>
      <c r="V228" s="879"/>
      <c r="W228" s="879"/>
      <c r="X228" s="879"/>
      <c r="Y228" s="879"/>
      <c r="Z228" s="879"/>
      <c r="AA228" s="879"/>
      <c r="AB228" s="879"/>
      <c r="AC228" s="879"/>
      <c r="AD228" s="879"/>
      <c r="AE228" s="879"/>
      <c r="AF228" s="879"/>
      <c r="AG228" s="879"/>
      <c r="AH228" s="879"/>
      <c r="AI228" s="879"/>
      <c r="AJ228" s="879"/>
      <c r="AK228" s="879"/>
      <c r="AL228" s="879"/>
      <c r="AM228" s="879"/>
      <c r="AN228" s="879"/>
      <c r="AO228" s="879"/>
      <c r="AP228" s="879"/>
      <c r="AQ228" s="879"/>
      <c r="AR228" s="879"/>
      <c r="AS228" s="879"/>
      <c r="AT228" s="879"/>
      <c r="AU228" s="879"/>
      <c r="AV228" s="879"/>
      <c r="AW228" s="879"/>
      <c r="AX228" s="879"/>
      <c r="AY228" s="879"/>
      <c r="AZ228" s="879"/>
      <c r="BA228" s="879"/>
      <c r="BB228" s="879"/>
      <c r="BC228" s="879"/>
      <c r="BD228" s="879"/>
      <c r="BE228" s="879"/>
      <c r="BF228" s="879"/>
      <c r="BG228" s="879"/>
      <c r="BH228" s="879"/>
      <c r="BI228" s="879"/>
      <c r="BJ228" s="879"/>
      <c r="BK228" s="879"/>
      <c r="BL228" s="879"/>
      <c r="BM228" s="879"/>
      <c r="BN228" s="879"/>
      <c r="BO228" s="879"/>
    </row>
    <row r="229" spans="1:68" ht="20.100000000000001" customHeight="1">
      <c r="B229" s="912">
        <v>1</v>
      </c>
      <c r="C229" s="913" t="s">
        <v>898</v>
      </c>
      <c r="D229" s="781"/>
      <c r="E229" s="781"/>
      <c r="F229" s="781"/>
      <c r="G229" s="781"/>
      <c r="H229" s="782"/>
      <c r="I229" s="782"/>
      <c r="J229" s="782"/>
      <c r="K229" s="782"/>
      <c r="L229" s="879"/>
      <c r="M229" s="879"/>
      <c r="N229" s="879"/>
      <c r="O229" s="879"/>
      <c r="P229" s="879"/>
      <c r="Q229" s="879"/>
      <c r="R229" s="879"/>
      <c r="S229" s="879"/>
      <c r="T229" s="879"/>
      <c r="U229" s="879"/>
      <c r="V229" s="879"/>
      <c r="W229" s="879"/>
      <c r="X229" s="879"/>
      <c r="Y229" s="879"/>
      <c r="Z229" s="879"/>
      <c r="AA229" s="879"/>
      <c r="AB229" s="879"/>
      <c r="AC229" s="879"/>
      <c r="AD229" s="879"/>
      <c r="AE229" s="879"/>
      <c r="AF229" s="879"/>
      <c r="AG229" s="879"/>
      <c r="AH229" s="879"/>
      <c r="AI229" s="879"/>
      <c r="AJ229" s="879"/>
      <c r="AK229" s="879"/>
      <c r="AL229" s="879"/>
      <c r="AM229" s="879"/>
      <c r="AN229" s="879"/>
      <c r="AO229" s="879"/>
      <c r="AP229" s="879"/>
      <c r="AQ229" s="879"/>
      <c r="AR229" s="879"/>
      <c r="AS229" s="879"/>
      <c r="AT229" s="879"/>
      <c r="AU229" s="879"/>
      <c r="AV229" s="879"/>
      <c r="AW229" s="879"/>
      <c r="AX229" s="879"/>
      <c r="AY229" s="879"/>
      <c r="AZ229" s="879"/>
      <c r="BA229" s="879"/>
      <c r="BB229" s="879"/>
      <c r="BC229" s="879"/>
      <c r="BD229" s="879"/>
      <c r="BE229" s="879"/>
      <c r="BF229" s="879"/>
      <c r="BG229" s="879"/>
      <c r="BH229" s="879"/>
      <c r="BI229" s="879"/>
      <c r="BJ229" s="879"/>
      <c r="BK229" s="879"/>
      <c r="BL229" s="879"/>
      <c r="BM229" s="879"/>
      <c r="BN229" s="879"/>
      <c r="BO229" s="879"/>
    </row>
    <row r="230" spans="1:68" ht="20.100000000000001" hidden="1" customHeight="1" outlineLevel="1">
      <c r="A230" s="747">
        <v>10</v>
      </c>
      <c r="B230" s="1595"/>
      <c r="C230" s="1596"/>
      <c r="D230" s="785" t="s">
        <v>350</v>
      </c>
      <c r="E230" s="785"/>
      <c r="F230" s="786"/>
      <c r="G230" s="852" t="s">
        <v>1281</v>
      </c>
      <c r="H230" s="915">
        <f t="shared" ref="H230:H236" ca="1" si="68">IFERROR(OFFSET(貼付け_2024実績,$A230,6),"")</f>
        <v>1.8700000000000001E-2</v>
      </c>
      <c r="I230" s="915">
        <f t="shared" ref="I230:I236" ca="1" si="69">IFERROR(OFFSET(貼付け_2025実績,$A230,6),"")</f>
        <v>1.8700000000000001E-2</v>
      </c>
      <c r="J230" s="915">
        <f t="shared" ref="J230:J236" ca="1" si="70">IFERROR(OFFSET(貼付け_2026実績,$A230,6),"")</f>
        <v>1.8700000000000001E-2</v>
      </c>
      <c r="K230" s="915">
        <f t="shared" ref="K230:K236" ca="1" si="71">IFERROR(OFFSET(貼付け_2027実績,$A230,6),"")</f>
        <v>1.8700000000000001E-2</v>
      </c>
      <c r="L230" s="916">
        <f ca="1">IFERROR($H230*44/12*参考2_エネ使用量経年!$H123*参考2_エネ使用量経年!L123,"")</f>
        <v>0</v>
      </c>
      <c r="M230" s="916">
        <f ca="1">IFERROR($I230*44/12*参考2_エネ使用量経年!$I123*参考2_エネ使用量経年!M123,"")</f>
        <v>0</v>
      </c>
      <c r="N230" s="916">
        <f ca="1">IFERROR($J230*44/12*参考2_エネ使用量経年!$J123*参考2_エネ使用量経年!N123,"")</f>
        <v>0</v>
      </c>
      <c r="O230" s="916">
        <f ca="1">IFERROR($K230*44/12*参考2_エネ使用量経年!$K123*参考2_エネ使用量経年!O123,"")</f>
        <v>0</v>
      </c>
      <c r="P230" s="916">
        <f ca="1">IFERROR($H230*44/12*参考2_エネ使用量経年!$H123*参考2_エネ使用量経年!P123,"")</f>
        <v>0</v>
      </c>
      <c r="Q230" s="916">
        <f ca="1">IFERROR($I230*44/12*参考2_エネ使用量経年!$I123*参考2_エネ使用量経年!Q123,"")</f>
        <v>0</v>
      </c>
      <c r="R230" s="916">
        <f ca="1">IFERROR($J230*44/12*参考2_エネ使用量経年!$J123*参考2_エネ使用量経年!R123,"")</f>
        <v>0</v>
      </c>
      <c r="S230" s="916">
        <f ca="1">IFERROR($K230*44/12*参考2_エネ使用量経年!$K123*参考2_エネ使用量経年!S123,"")</f>
        <v>0</v>
      </c>
      <c r="T230" s="916">
        <f ca="1">IFERROR($H230*44/12*参考2_エネ使用量経年!$H123*参考2_エネ使用量経年!T123,"")</f>
        <v>0</v>
      </c>
      <c r="U230" s="916">
        <f ca="1">IFERROR($I230*44/12*参考2_エネ使用量経年!$I123*参考2_エネ使用量経年!U123,"")</f>
        <v>0</v>
      </c>
      <c r="V230" s="916">
        <f ca="1">IFERROR($J230*44/12*参考2_エネ使用量経年!$J123*参考2_エネ使用量経年!V123,"")</f>
        <v>0</v>
      </c>
      <c r="W230" s="916">
        <f ca="1">IFERROR($K230*44/12*参考2_エネ使用量経年!$K123*参考2_エネ使用量経年!W123,"")</f>
        <v>0</v>
      </c>
      <c r="X230" s="921"/>
      <c r="Y230" s="921"/>
      <c r="Z230" s="921"/>
      <c r="AA230" s="921"/>
      <c r="AB230" s="921"/>
      <c r="AC230" s="921"/>
      <c r="AD230" s="921"/>
      <c r="AE230" s="921"/>
      <c r="AF230" s="921"/>
      <c r="AG230" s="921"/>
      <c r="AH230" s="921"/>
      <c r="AI230" s="921"/>
      <c r="AJ230" s="921"/>
      <c r="AK230" s="921"/>
      <c r="AL230" s="921"/>
      <c r="AM230" s="921"/>
      <c r="AN230" s="921"/>
      <c r="AO230" s="921"/>
      <c r="AP230" s="921"/>
      <c r="AQ230" s="921"/>
      <c r="AR230" s="921"/>
      <c r="AS230" s="921"/>
      <c r="AT230" s="921"/>
      <c r="AU230" s="921"/>
      <c r="AV230" s="921"/>
      <c r="AW230" s="921"/>
      <c r="AX230" s="921"/>
      <c r="AY230" s="921"/>
      <c r="AZ230" s="921"/>
      <c r="BA230" s="921"/>
      <c r="BB230" s="921"/>
      <c r="BC230" s="921"/>
      <c r="BD230" s="921"/>
      <c r="BE230" s="921"/>
      <c r="BF230" s="921"/>
      <c r="BG230" s="921"/>
      <c r="BH230" s="921"/>
      <c r="BI230" s="921"/>
      <c r="BJ230" s="921"/>
      <c r="BK230" s="921"/>
      <c r="BL230" s="921"/>
      <c r="BM230" s="921"/>
      <c r="BN230" s="921"/>
      <c r="BO230" s="921"/>
    </row>
    <row r="231" spans="1:68" ht="20.100000000000001" hidden="1" customHeight="1" outlineLevel="1">
      <c r="A231" s="747">
        <v>12</v>
      </c>
      <c r="B231" s="1594"/>
      <c r="C231" s="1596"/>
      <c r="D231" s="785" t="s">
        <v>352</v>
      </c>
      <c r="E231" s="785"/>
      <c r="F231" s="786"/>
      <c r="G231" s="852" t="s">
        <v>1281</v>
      </c>
      <c r="H231" s="915">
        <f t="shared" ca="1" si="68"/>
        <v>1.8599999999999998E-2</v>
      </c>
      <c r="I231" s="915">
        <f t="shared" ca="1" si="69"/>
        <v>1.8599999999999998E-2</v>
      </c>
      <c r="J231" s="915">
        <f t="shared" ca="1" si="70"/>
        <v>1.8599999999999998E-2</v>
      </c>
      <c r="K231" s="915">
        <f t="shared" ca="1" si="71"/>
        <v>1.8599999999999998E-2</v>
      </c>
      <c r="L231" s="916">
        <f ca="1">IFERROR($H231*44/12*参考2_エネ使用量経年!$H124*参考2_エネ使用量経年!L124,"")</f>
        <v>0</v>
      </c>
      <c r="M231" s="916">
        <f ca="1">IFERROR($I231*44/12*参考2_エネ使用量経年!$I124*参考2_エネ使用量経年!M124,"")</f>
        <v>0</v>
      </c>
      <c r="N231" s="916">
        <f ca="1">IFERROR($J231*44/12*参考2_エネ使用量経年!$J124*参考2_エネ使用量経年!N124,"")</f>
        <v>0</v>
      </c>
      <c r="O231" s="916">
        <f ca="1">IFERROR($K231*44/12*参考2_エネ使用量経年!$K124*参考2_エネ使用量経年!O124,"")</f>
        <v>0</v>
      </c>
      <c r="P231" s="916">
        <f ca="1">IFERROR($H231*44/12*参考2_エネ使用量経年!$H124*参考2_エネ使用量経年!P124,"")</f>
        <v>0</v>
      </c>
      <c r="Q231" s="916">
        <f ca="1">IFERROR($I231*44/12*参考2_エネ使用量経年!$I124*参考2_エネ使用量経年!Q124,"")</f>
        <v>0</v>
      </c>
      <c r="R231" s="916">
        <f ca="1">IFERROR($J231*44/12*参考2_エネ使用量経年!$J124*参考2_エネ使用量経年!R124,"")</f>
        <v>0</v>
      </c>
      <c r="S231" s="916">
        <f ca="1">IFERROR($K231*44/12*参考2_エネ使用量経年!$K124*参考2_エネ使用量経年!S124,"")</f>
        <v>0</v>
      </c>
      <c r="T231" s="916">
        <f ca="1">IFERROR($H231*44/12*参考2_エネ使用量経年!$H124*参考2_エネ使用量経年!T124,"")</f>
        <v>0</v>
      </c>
      <c r="U231" s="916">
        <f ca="1">IFERROR($I231*44/12*参考2_エネ使用量経年!$I124*参考2_エネ使用量経年!U124,"")</f>
        <v>0</v>
      </c>
      <c r="V231" s="916">
        <f ca="1">IFERROR($J231*44/12*参考2_エネ使用量経年!$J124*参考2_エネ使用量経年!V124,"")</f>
        <v>0</v>
      </c>
      <c r="W231" s="916">
        <f ca="1">IFERROR($K231*44/12*参考2_エネ使用量経年!$K124*参考2_エネ使用量経年!W124,"")</f>
        <v>0</v>
      </c>
      <c r="X231" s="921"/>
      <c r="Y231" s="921"/>
      <c r="Z231" s="921"/>
      <c r="AA231" s="921"/>
      <c r="AB231" s="921"/>
      <c r="AC231" s="921"/>
      <c r="AD231" s="921"/>
      <c r="AE231" s="921"/>
      <c r="AF231" s="921"/>
      <c r="AG231" s="921"/>
      <c r="AH231" s="921"/>
      <c r="AI231" s="921"/>
      <c r="AJ231" s="921"/>
      <c r="AK231" s="921"/>
      <c r="AL231" s="921"/>
      <c r="AM231" s="921"/>
      <c r="AN231" s="921"/>
      <c r="AO231" s="921"/>
      <c r="AP231" s="921"/>
      <c r="AQ231" s="921"/>
      <c r="AR231" s="921"/>
      <c r="AS231" s="921"/>
      <c r="AT231" s="921"/>
      <c r="AU231" s="921"/>
      <c r="AV231" s="921"/>
      <c r="AW231" s="921"/>
      <c r="AX231" s="921"/>
      <c r="AY231" s="921"/>
      <c r="AZ231" s="921"/>
      <c r="BA231" s="921"/>
      <c r="BB231" s="921"/>
      <c r="BC231" s="921"/>
      <c r="BD231" s="921"/>
      <c r="BE231" s="921"/>
      <c r="BF231" s="921"/>
      <c r="BG231" s="921"/>
      <c r="BH231" s="921"/>
      <c r="BI231" s="921"/>
      <c r="BJ231" s="921"/>
      <c r="BK231" s="921"/>
      <c r="BL231" s="921"/>
      <c r="BM231" s="921"/>
      <c r="BN231" s="921"/>
      <c r="BO231" s="921"/>
    </row>
    <row r="232" spans="1:68" ht="20.100000000000001" hidden="1" customHeight="1" outlineLevel="1">
      <c r="A232" s="747">
        <v>14</v>
      </c>
      <c r="B232" s="1595"/>
      <c r="C232" s="1596"/>
      <c r="D232" s="785" t="s">
        <v>354</v>
      </c>
      <c r="E232" s="785"/>
      <c r="F232" s="786"/>
      <c r="G232" s="852" t="s">
        <v>1281</v>
      </c>
      <c r="H232" s="915">
        <f t="shared" ca="1" si="68"/>
        <v>1.8800000000000001E-2</v>
      </c>
      <c r="I232" s="915">
        <f t="shared" ca="1" si="69"/>
        <v>1.8800000000000001E-2</v>
      </c>
      <c r="J232" s="915">
        <f t="shared" ca="1" si="70"/>
        <v>1.8800000000000001E-2</v>
      </c>
      <c r="K232" s="915">
        <f t="shared" ca="1" si="71"/>
        <v>1.8800000000000001E-2</v>
      </c>
      <c r="L232" s="916">
        <f ca="1">IFERROR($H232*44/12*参考2_エネ使用量経年!$H125*参考2_エネ使用量経年!L125,"")</f>
        <v>0</v>
      </c>
      <c r="M232" s="916">
        <f ca="1">IFERROR($I232*44/12*参考2_エネ使用量経年!$I125*参考2_エネ使用量経年!M125,"")</f>
        <v>0</v>
      </c>
      <c r="N232" s="916">
        <f ca="1">IFERROR($J232*44/12*参考2_エネ使用量経年!$J125*参考2_エネ使用量経年!N125,"")</f>
        <v>0</v>
      </c>
      <c r="O232" s="916">
        <f ca="1">IFERROR($K232*44/12*参考2_エネ使用量経年!$K125*参考2_エネ使用量経年!O125,"")</f>
        <v>0</v>
      </c>
      <c r="P232" s="916">
        <f ca="1">IFERROR($H232*44/12*参考2_エネ使用量経年!$H125*参考2_エネ使用量経年!P125,"")</f>
        <v>0</v>
      </c>
      <c r="Q232" s="916">
        <f ca="1">IFERROR($I232*44/12*参考2_エネ使用量経年!$I125*参考2_エネ使用量経年!Q125,"")</f>
        <v>0</v>
      </c>
      <c r="R232" s="916">
        <f ca="1">IFERROR($J232*44/12*参考2_エネ使用量経年!$J125*参考2_エネ使用量経年!R125,"")</f>
        <v>0</v>
      </c>
      <c r="S232" s="916">
        <f ca="1">IFERROR($K232*44/12*参考2_エネ使用量経年!$K125*参考2_エネ使用量経年!S125,"")</f>
        <v>0</v>
      </c>
      <c r="T232" s="916">
        <f ca="1">IFERROR($H232*44/12*参考2_エネ使用量経年!$H125*参考2_エネ使用量経年!T125,"")</f>
        <v>0</v>
      </c>
      <c r="U232" s="916">
        <f ca="1">IFERROR($I232*44/12*参考2_エネ使用量経年!$I125*参考2_エネ使用量経年!U125,"")</f>
        <v>0</v>
      </c>
      <c r="V232" s="916">
        <f ca="1">IFERROR($J232*44/12*参考2_エネ使用量経年!$J125*参考2_エネ使用量経年!V125,"")</f>
        <v>0</v>
      </c>
      <c r="W232" s="916">
        <f ca="1">IFERROR($K232*44/12*参考2_エネ使用量経年!$K125*参考2_エネ使用量経年!W125,"")</f>
        <v>0</v>
      </c>
      <c r="X232" s="921"/>
      <c r="Y232" s="921"/>
      <c r="Z232" s="921"/>
      <c r="AA232" s="921"/>
      <c r="AB232" s="921"/>
      <c r="AC232" s="921"/>
      <c r="AD232" s="921"/>
      <c r="AE232" s="921"/>
      <c r="AF232" s="921"/>
      <c r="AG232" s="921"/>
      <c r="AH232" s="921"/>
      <c r="AI232" s="921"/>
      <c r="AJ232" s="921"/>
      <c r="AK232" s="921"/>
      <c r="AL232" s="921"/>
      <c r="AM232" s="921"/>
      <c r="AN232" s="921"/>
      <c r="AO232" s="921"/>
      <c r="AP232" s="921"/>
      <c r="AQ232" s="921"/>
      <c r="AR232" s="921"/>
      <c r="AS232" s="921"/>
      <c r="AT232" s="921"/>
      <c r="AU232" s="921"/>
      <c r="AV232" s="921"/>
      <c r="AW232" s="921"/>
      <c r="AX232" s="921"/>
      <c r="AY232" s="921"/>
      <c r="AZ232" s="921"/>
      <c r="BA232" s="921"/>
      <c r="BB232" s="921"/>
      <c r="BC232" s="921"/>
      <c r="BD232" s="921"/>
      <c r="BE232" s="921"/>
      <c r="BF232" s="921"/>
      <c r="BG232" s="921"/>
      <c r="BH232" s="921"/>
      <c r="BI232" s="921"/>
      <c r="BJ232" s="921"/>
      <c r="BK232" s="921"/>
      <c r="BL232" s="921"/>
      <c r="BM232" s="921"/>
      <c r="BN232" s="921"/>
      <c r="BO232" s="921"/>
    </row>
    <row r="233" spans="1:68" ht="20.100000000000001" hidden="1" customHeight="1" outlineLevel="1">
      <c r="A233" s="747">
        <v>15</v>
      </c>
      <c r="B233" s="1594"/>
      <c r="C233" s="1596"/>
      <c r="D233" s="785" t="s">
        <v>355</v>
      </c>
      <c r="E233" s="785"/>
      <c r="F233" s="786"/>
      <c r="G233" s="852" t="s">
        <v>1281</v>
      </c>
      <c r="H233" s="915">
        <f t="shared" ca="1" si="68"/>
        <v>1.9300000000000001E-2</v>
      </c>
      <c r="I233" s="915">
        <f t="shared" ca="1" si="69"/>
        <v>1.9300000000000001E-2</v>
      </c>
      <c r="J233" s="915">
        <f t="shared" ca="1" si="70"/>
        <v>1.9300000000000001E-2</v>
      </c>
      <c r="K233" s="915">
        <f t="shared" ca="1" si="71"/>
        <v>1.9300000000000001E-2</v>
      </c>
      <c r="L233" s="916">
        <f ca="1">IFERROR($H233*44/12*参考2_エネ使用量経年!$H126*参考2_エネ使用量経年!L126,"")</f>
        <v>0</v>
      </c>
      <c r="M233" s="916">
        <f ca="1">IFERROR($I233*44/12*参考2_エネ使用量経年!$I126*参考2_エネ使用量経年!M126,"")</f>
        <v>0</v>
      </c>
      <c r="N233" s="916">
        <f ca="1">IFERROR($J233*44/12*参考2_エネ使用量経年!$J126*参考2_エネ使用量経年!N126,"")</f>
        <v>0</v>
      </c>
      <c r="O233" s="916">
        <f ca="1">IFERROR($K233*44/12*参考2_エネ使用量経年!$K126*参考2_エネ使用量経年!O126,"")</f>
        <v>0</v>
      </c>
      <c r="P233" s="916">
        <f ca="1">IFERROR($H233*44/12*参考2_エネ使用量経年!$H126*参考2_エネ使用量経年!P126,"")</f>
        <v>0</v>
      </c>
      <c r="Q233" s="916">
        <f ca="1">IFERROR($I233*44/12*参考2_エネ使用量経年!$I126*参考2_エネ使用量経年!Q126,"")</f>
        <v>0</v>
      </c>
      <c r="R233" s="916">
        <f ca="1">IFERROR($J233*44/12*参考2_エネ使用量経年!$J126*参考2_エネ使用量経年!R126,"")</f>
        <v>0</v>
      </c>
      <c r="S233" s="916">
        <f ca="1">IFERROR($K233*44/12*参考2_エネ使用量経年!$K126*参考2_エネ使用量経年!S126,"")</f>
        <v>0</v>
      </c>
      <c r="T233" s="916">
        <f ca="1">IFERROR($H233*44/12*参考2_エネ使用量経年!$H126*参考2_エネ使用量経年!T126,"")</f>
        <v>0</v>
      </c>
      <c r="U233" s="916">
        <f ca="1">IFERROR($I233*44/12*参考2_エネ使用量経年!$I126*参考2_エネ使用量経年!U126,"")</f>
        <v>0</v>
      </c>
      <c r="V233" s="916">
        <f ca="1">IFERROR($J233*44/12*参考2_エネ使用量経年!$J126*参考2_エネ使用量経年!V126,"")</f>
        <v>0</v>
      </c>
      <c r="W233" s="916">
        <f ca="1">IFERROR($K233*44/12*参考2_エネ使用量経年!$K126*参考2_エネ使用量経年!W126,"")</f>
        <v>0</v>
      </c>
      <c r="X233" s="921"/>
      <c r="Y233" s="921"/>
      <c r="Z233" s="921"/>
      <c r="AA233" s="921"/>
      <c r="AB233" s="921"/>
      <c r="AC233" s="921"/>
      <c r="AD233" s="921"/>
      <c r="AE233" s="921"/>
      <c r="AF233" s="921"/>
      <c r="AG233" s="921"/>
      <c r="AH233" s="921"/>
      <c r="AI233" s="921"/>
      <c r="AJ233" s="921"/>
      <c r="AK233" s="921"/>
      <c r="AL233" s="921"/>
      <c r="AM233" s="921"/>
      <c r="AN233" s="921"/>
      <c r="AO233" s="921"/>
      <c r="AP233" s="921"/>
      <c r="AQ233" s="921"/>
      <c r="AR233" s="921"/>
      <c r="AS233" s="921"/>
      <c r="AT233" s="921"/>
      <c r="AU233" s="921"/>
      <c r="AV233" s="921"/>
      <c r="AW233" s="921"/>
      <c r="AX233" s="921"/>
      <c r="AY233" s="921"/>
      <c r="AZ233" s="921"/>
      <c r="BA233" s="921"/>
      <c r="BB233" s="921"/>
      <c r="BC233" s="921"/>
      <c r="BD233" s="921"/>
      <c r="BE233" s="921"/>
      <c r="BF233" s="921"/>
      <c r="BG233" s="921"/>
      <c r="BH233" s="921"/>
      <c r="BI233" s="921"/>
      <c r="BJ233" s="921"/>
      <c r="BK233" s="921"/>
      <c r="BL233" s="921"/>
      <c r="BM233" s="921"/>
      <c r="BN233" s="921"/>
      <c r="BO233" s="921"/>
    </row>
    <row r="234" spans="1:68" ht="20.100000000000001" hidden="1" customHeight="1" outlineLevel="1">
      <c r="A234" s="747">
        <v>16</v>
      </c>
      <c r="B234" s="1594"/>
      <c r="C234" s="1596"/>
      <c r="D234" s="785" t="s">
        <v>356</v>
      </c>
      <c r="E234" s="779"/>
      <c r="F234" s="786"/>
      <c r="G234" s="852" t="s">
        <v>1281</v>
      </c>
      <c r="H234" s="915">
        <f t="shared" ca="1" si="68"/>
        <v>2.0199999999999999E-2</v>
      </c>
      <c r="I234" s="915">
        <f t="shared" ca="1" si="69"/>
        <v>2.0199999999999999E-2</v>
      </c>
      <c r="J234" s="915">
        <f t="shared" ca="1" si="70"/>
        <v>2.0199999999999999E-2</v>
      </c>
      <c r="K234" s="915">
        <f t="shared" ca="1" si="71"/>
        <v>2.0199999999999999E-2</v>
      </c>
      <c r="L234" s="916">
        <f ca="1">IFERROR($H234*44/12*参考2_エネ使用量経年!$H127*参考2_エネ使用量経年!L127,"")</f>
        <v>0</v>
      </c>
      <c r="M234" s="916">
        <f ca="1">IFERROR($I234*44/12*参考2_エネ使用量経年!$I127*参考2_エネ使用量経年!M127,"")</f>
        <v>0</v>
      </c>
      <c r="N234" s="916">
        <f ca="1">IFERROR($J234*44/12*参考2_エネ使用量経年!$J127*参考2_エネ使用量経年!N127,"")</f>
        <v>0</v>
      </c>
      <c r="O234" s="916">
        <f ca="1">IFERROR($K234*44/12*参考2_エネ使用量経年!$K127*参考2_エネ使用量経年!O127,"")</f>
        <v>0</v>
      </c>
      <c r="P234" s="916">
        <f ca="1">IFERROR($H234*44/12*参考2_エネ使用量経年!$H127*参考2_エネ使用量経年!P127,"")</f>
        <v>0</v>
      </c>
      <c r="Q234" s="916">
        <f ca="1">IFERROR($I234*44/12*参考2_エネ使用量経年!$I127*参考2_エネ使用量経年!Q127,"")</f>
        <v>0</v>
      </c>
      <c r="R234" s="916">
        <f ca="1">IFERROR($J234*44/12*参考2_エネ使用量経年!$J127*参考2_エネ使用量経年!R127,"")</f>
        <v>0</v>
      </c>
      <c r="S234" s="916">
        <f ca="1">IFERROR($K234*44/12*参考2_エネ使用量経年!$K127*参考2_エネ使用量経年!S127,"")</f>
        <v>0</v>
      </c>
      <c r="T234" s="916">
        <f ca="1">IFERROR($H234*44/12*参考2_エネ使用量経年!$H127*参考2_エネ使用量経年!T127,"")</f>
        <v>0</v>
      </c>
      <c r="U234" s="916">
        <f ca="1">IFERROR($I234*44/12*参考2_エネ使用量経年!$I127*参考2_エネ使用量経年!U127,"")</f>
        <v>0</v>
      </c>
      <c r="V234" s="916">
        <f ca="1">IFERROR($J234*44/12*参考2_エネ使用量経年!$J127*参考2_エネ使用量経年!V127,"")</f>
        <v>0</v>
      </c>
      <c r="W234" s="916">
        <f ca="1">IFERROR($K234*44/12*参考2_エネ使用量経年!$K127*参考2_エネ使用量経年!W127,"")</f>
        <v>0</v>
      </c>
      <c r="X234" s="921"/>
      <c r="Y234" s="921"/>
      <c r="Z234" s="921"/>
      <c r="AA234" s="921"/>
      <c r="AB234" s="921"/>
      <c r="AC234" s="921"/>
      <c r="AD234" s="921"/>
      <c r="AE234" s="921"/>
      <c r="AF234" s="921"/>
      <c r="AG234" s="921"/>
      <c r="AH234" s="921"/>
      <c r="AI234" s="921"/>
      <c r="AJ234" s="921"/>
      <c r="AK234" s="921"/>
      <c r="AL234" s="921"/>
      <c r="AM234" s="921"/>
      <c r="AN234" s="921"/>
      <c r="AO234" s="921"/>
      <c r="AP234" s="921"/>
      <c r="AQ234" s="921"/>
      <c r="AR234" s="921"/>
      <c r="AS234" s="921"/>
      <c r="AT234" s="921"/>
      <c r="AU234" s="921"/>
      <c r="AV234" s="921"/>
      <c r="AW234" s="921"/>
      <c r="AX234" s="921"/>
      <c r="AY234" s="921"/>
      <c r="AZ234" s="921"/>
      <c r="BA234" s="921"/>
      <c r="BB234" s="921"/>
      <c r="BC234" s="921"/>
      <c r="BD234" s="921"/>
      <c r="BE234" s="921"/>
      <c r="BF234" s="921"/>
      <c r="BG234" s="921"/>
      <c r="BH234" s="921"/>
      <c r="BI234" s="921"/>
      <c r="BJ234" s="921"/>
      <c r="BK234" s="921"/>
      <c r="BL234" s="921"/>
      <c r="BM234" s="921"/>
      <c r="BN234" s="921"/>
      <c r="BO234" s="921"/>
    </row>
    <row r="235" spans="1:68" ht="20.100000000000001" hidden="1" customHeight="1" outlineLevel="1">
      <c r="A235" s="747">
        <v>19</v>
      </c>
      <c r="B235" s="1595"/>
      <c r="C235" s="1596"/>
      <c r="D235" s="785" t="s">
        <v>360</v>
      </c>
      <c r="E235" s="785"/>
      <c r="F235" s="786"/>
      <c r="G235" s="852" t="s">
        <v>1281</v>
      </c>
      <c r="H235" s="915">
        <f t="shared" ca="1" si="68"/>
        <v>1.6299999999999999E-2</v>
      </c>
      <c r="I235" s="915">
        <f t="shared" ca="1" si="69"/>
        <v>1.6299999999999999E-2</v>
      </c>
      <c r="J235" s="915">
        <f t="shared" ca="1" si="70"/>
        <v>1.6299999999999999E-2</v>
      </c>
      <c r="K235" s="915">
        <f t="shared" ca="1" si="71"/>
        <v>1.6299999999999999E-2</v>
      </c>
      <c r="L235" s="916">
        <f ca="1">IFERROR($H235*44/12*参考2_エネ使用量経年!$H128*参考2_エネ使用量経年!L128,"")</f>
        <v>0</v>
      </c>
      <c r="M235" s="916">
        <f ca="1">IFERROR($I235*44/12*参考2_エネ使用量経年!$I128*参考2_エネ使用量経年!M128,"")</f>
        <v>0</v>
      </c>
      <c r="N235" s="916">
        <f ca="1">IFERROR($J235*44/12*参考2_エネ使用量経年!$J128*参考2_エネ使用量経年!N128,"")</f>
        <v>0</v>
      </c>
      <c r="O235" s="916">
        <f ca="1">IFERROR($K235*44/12*参考2_エネ使用量経年!$K128*参考2_エネ使用量経年!O128,"")</f>
        <v>0</v>
      </c>
      <c r="P235" s="916">
        <f ca="1">IFERROR($H235*44/12*参考2_エネ使用量経年!$H128*参考2_エネ使用量経年!P128,"")</f>
        <v>0</v>
      </c>
      <c r="Q235" s="916">
        <f ca="1">IFERROR($I235*44/12*参考2_エネ使用量経年!$I128*参考2_エネ使用量経年!Q128,"")</f>
        <v>0</v>
      </c>
      <c r="R235" s="916">
        <f ca="1">IFERROR($J235*44/12*参考2_エネ使用量経年!$J128*参考2_エネ使用量経年!R128,"")</f>
        <v>0</v>
      </c>
      <c r="S235" s="916">
        <f ca="1">IFERROR($K235*44/12*参考2_エネ使用量経年!$K128*参考2_エネ使用量経年!S128,"")</f>
        <v>0</v>
      </c>
      <c r="T235" s="916">
        <f ca="1">IFERROR($H235*44/12*参考2_エネ使用量経年!$H128*参考2_エネ使用量経年!T128,"")</f>
        <v>0</v>
      </c>
      <c r="U235" s="916">
        <f ca="1">IFERROR($I235*44/12*参考2_エネ使用量経年!$I128*参考2_エネ使用量経年!U128,"")</f>
        <v>0</v>
      </c>
      <c r="V235" s="916">
        <f ca="1">IFERROR($J235*44/12*参考2_エネ使用量経年!$J128*参考2_エネ使用量経年!V128,"")</f>
        <v>0</v>
      </c>
      <c r="W235" s="916">
        <f ca="1">IFERROR($K235*44/12*参考2_エネ使用量経年!$K128*参考2_エネ使用量経年!W128,"")</f>
        <v>0</v>
      </c>
      <c r="X235" s="921"/>
      <c r="Y235" s="921"/>
      <c r="Z235" s="921"/>
      <c r="AA235" s="921"/>
      <c r="AB235" s="921"/>
      <c r="AC235" s="921"/>
      <c r="AD235" s="921"/>
      <c r="AE235" s="921"/>
      <c r="AF235" s="921"/>
      <c r="AG235" s="921"/>
      <c r="AH235" s="921"/>
      <c r="AI235" s="921"/>
      <c r="AJ235" s="921"/>
      <c r="AK235" s="921"/>
      <c r="AL235" s="921"/>
      <c r="AM235" s="921"/>
      <c r="AN235" s="921"/>
      <c r="AO235" s="921"/>
      <c r="AP235" s="921"/>
      <c r="AQ235" s="921"/>
      <c r="AR235" s="921"/>
      <c r="AS235" s="921"/>
      <c r="AT235" s="921"/>
      <c r="AU235" s="921"/>
      <c r="AV235" s="921"/>
      <c r="AW235" s="921"/>
      <c r="AX235" s="921"/>
      <c r="AY235" s="921"/>
      <c r="AZ235" s="921"/>
      <c r="BA235" s="921"/>
      <c r="BB235" s="921"/>
      <c r="BC235" s="921"/>
      <c r="BD235" s="921"/>
      <c r="BE235" s="921"/>
      <c r="BF235" s="921"/>
      <c r="BG235" s="921"/>
      <c r="BH235" s="921"/>
      <c r="BI235" s="921"/>
      <c r="BJ235" s="921"/>
      <c r="BK235" s="921"/>
      <c r="BL235" s="921"/>
      <c r="BM235" s="921"/>
      <c r="BN235" s="921"/>
      <c r="BO235" s="921"/>
    </row>
    <row r="236" spans="1:68" ht="20.100000000000001" hidden="1" customHeight="1" outlineLevel="1">
      <c r="A236" s="747">
        <v>21</v>
      </c>
      <c r="B236" s="1595"/>
      <c r="C236" s="1596"/>
      <c r="D236" s="785" t="s">
        <v>362</v>
      </c>
      <c r="E236" s="779"/>
      <c r="F236" s="786"/>
      <c r="G236" s="852" t="s">
        <v>1281</v>
      </c>
      <c r="H236" s="915">
        <f t="shared" ca="1" si="68"/>
        <v>1.3899999999999999E-2</v>
      </c>
      <c r="I236" s="915">
        <f t="shared" ca="1" si="69"/>
        <v>1.3899999999999999E-2</v>
      </c>
      <c r="J236" s="915">
        <f t="shared" ca="1" si="70"/>
        <v>1.3899999999999999E-2</v>
      </c>
      <c r="K236" s="915">
        <f t="shared" ca="1" si="71"/>
        <v>1.3899999999999999E-2</v>
      </c>
      <c r="L236" s="916">
        <f ca="1">IFERROR($H236*44/12*参考2_エネ使用量経年!$H129*参考2_エネ使用量経年!L129,"")</f>
        <v>0</v>
      </c>
      <c r="M236" s="916">
        <f ca="1">IFERROR($I236*44/12*参考2_エネ使用量経年!$I129*参考2_エネ使用量経年!M129,"")</f>
        <v>0</v>
      </c>
      <c r="N236" s="916">
        <f ca="1">IFERROR($J236*44/12*参考2_エネ使用量経年!$J129*参考2_エネ使用量経年!N129,"")</f>
        <v>0</v>
      </c>
      <c r="O236" s="916">
        <f ca="1">IFERROR($K236*44/12*参考2_エネ使用量経年!$K129*参考2_エネ使用量経年!O129,"")</f>
        <v>0</v>
      </c>
      <c r="P236" s="916">
        <f ca="1">IFERROR($H236*44/12*参考2_エネ使用量経年!$H129*参考2_エネ使用量経年!P129,"")</f>
        <v>0</v>
      </c>
      <c r="Q236" s="916">
        <f ca="1">IFERROR($I236*44/12*参考2_エネ使用量経年!$I129*参考2_エネ使用量経年!Q129,"")</f>
        <v>0</v>
      </c>
      <c r="R236" s="916">
        <f ca="1">IFERROR($J236*44/12*参考2_エネ使用量経年!$J129*参考2_エネ使用量経年!R129,"")</f>
        <v>0</v>
      </c>
      <c r="S236" s="916">
        <f ca="1">IFERROR($K236*44/12*参考2_エネ使用量経年!$K129*参考2_エネ使用量経年!S129,"")</f>
        <v>0</v>
      </c>
      <c r="T236" s="916">
        <f ca="1">IFERROR($H236*44/12*参考2_エネ使用量経年!$H129*参考2_エネ使用量経年!T129,"")</f>
        <v>0</v>
      </c>
      <c r="U236" s="916">
        <f ca="1">IFERROR($I236*44/12*参考2_エネ使用量経年!$I129*参考2_エネ使用量経年!U129,"")</f>
        <v>0</v>
      </c>
      <c r="V236" s="916">
        <f ca="1">IFERROR($J236*44/12*参考2_エネ使用量経年!$J129*参考2_エネ使用量経年!V129,"")</f>
        <v>0</v>
      </c>
      <c r="W236" s="916">
        <f ca="1">IFERROR($K236*44/12*参考2_エネ使用量経年!$K129*参考2_エネ使用量経年!W129,"")</f>
        <v>0</v>
      </c>
      <c r="X236" s="921"/>
      <c r="Y236" s="921"/>
      <c r="Z236" s="921"/>
      <c r="AA236" s="921"/>
      <c r="AB236" s="921"/>
      <c r="AC236" s="921"/>
      <c r="AD236" s="921"/>
      <c r="AE236" s="921"/>
      <c r="AF236" s="921"/>
      <c r="AG236" s="921"/>
      <c r="AH236" s="921"/>
      <c r="AI236" s="921"/>
      <c r="AJ236" s="921"/>
      <c r="AK236" s="921"/>
      <c r="AL236" s="921"/>
      <c r="AM236" s="921"/>
      <c r="AN236" s="921"/>
      <c r="AO236" s="921"/>
      <c r="AP236" s="921"/>
      <c r="AQ236" s="921"/>
      <c r="AR236" s="921"/>
      <c r="AS236" s="921"/>
      <c r="AT236" s="921"/>
      <c r="AU236" s="921"/>
      <c r="AV236" s="921"/>
      <c r="AW236" s="921"/>
      <c r="AX236" s="921"/>
      <c r="AY236" s="921"/>
      <c r="AZ236" s="921"/>
      <c r="BA236" s="921"/>
      <c r="BB236" s="921"/>
      <c r="BC236" s="921"/>
      <c r="BD236" s="921"/>
      <c r="BE236" s="921"/>
      <c r="BF236" s="921"/>
      <c r="BG236" s="921"/>
      <c r="BH236" s="921"/>
      <c r="BI236" s="921"/>
      <c r="BJ236" s="921"/>
      <c r="BK236" s="921"/>
      <c r="BL236" s="921"/>
      <c r="BM236" s="921"/>
      <c r="BN236" s="921"/>
      <c r="BO236" s="921"/>
    </row>
    <row r="237" spans="1:68" ht="20.100000000000001" hidden="1" customHeight="1" outlineLevel="1">
      <c r="A237" s="747">
        <v>7</v>
      </c>
      <c r="B237" s="1595"/>
      <c r="C237" s="1596"/>
      <c r="D237" s="785" t="s">
        <v>782</v>
      </c>
      <c r="E237" s="790"/>
      <c r="F237" s="786"/>
      <c r="G237" s="852" t="s">
        <v>1281</v>
      </c>
      <c r="H237" s="917"/>
      <c r="I237" s="917"/>
      <c r="J237" s="917"/>
      <c r="K237" s="917"/>
      <c r="L237" s="916">
        <f ca="1">IFERROR(OFFSET(A1_集計2024,$A237,7)+OFFSET(A1_集計2024,$A237,8),0)</f>
        <v>0</v>
      </c>
      <c r="M237" s="916">
        <f ca="1">IFERROR(OFFSET(A1_集計2025,$A237,7)+OFFSET(A1_集計2025,$A237,8),0)</f>
        <v>0</v>
      </c>
      <c r="N237" s="916">
        <f ca="1">IFERROR(OFFSET(A1_集計2026,$A237,7)+OFFSET(A1_集計2026,$A237,8),0)</f>
        <v>0</v>
      </c>
      <c r="O237" s="916">
        <f ca="1">IFERROR(OFFSET(A1_集計2027,$A237,7)+OFFSET(A1_集計2027,$A237,8),0)</f>
        <v>0</v>
      </c>
      <c r="P237" s="916">
        <f ca="1">IFERROR(OFFSET(A1_集計2024,$A237,7),0)</f>
        <v>0</v>
      </c>
      <c r="Q237" s="916">
        <f ca="1">IFERROR(OFFSET(A1_集計2025,$A237,7),0)</f>
        <v>0</v>
      </c>
      <c r="R237" s="916">
        <f ca="1">IFERROR(OFFSET(A1_集計2026,$A237,7),0)</f>
        <v>0</v>
      </c>
      <c r="S237" s="916">
        <f ca="1">IFERROR(OFFSET(A1_集計2027,$A237,7),0)</f>
        <v>0</v>
      </c>
      <c r="T237" s="916">
        <f ca="1">IFERROR(OFFSET(A1_集計2024,$A237,8),0)</f>
        <v>0</v>
      </c>
      <c r="U237" s="916">
        <f ca="1">IFERROR(OFFSET(A1_集計2025,$A237,8),0)</f>
        <v>0</v>
      </c>
      <c r="V237" s="916">
        <f ca="1">IFERROR(OFFSET(A1_集計2026,$A237,8),0)</f>
        <v>0</v>
      </c>
      <c r="W237" s="916">
        <f ca="1">IFERROR(OFFSET(A1_集計2027,$A237,8),0)</f>
        <v>0</v>
      </c>
      <c r="X237" s="921"/>
      <c r="Y237" s="921"/>
      <c r="Z237" s="921"/>
      <c r="AA237" s="921"/>
      <c r="AB237" s="921"/>
      <c r="AC237" s="921"/>
      <c r="AD237" s="921"/>
      <c r="AE237" s="921"/>
      <c r="AF237" s="921"/>
      <c r="AG237" s="921"/>
      <c r="AH237" s="921"/>
      <c r="AI237" s="921"/>
      <c r="AJ237" s="921"/>
      <c r="AK237" s="921"/>
      <c r="AL237" s="921"/>
      <c r="AM237" s="921"/>
      <c r="AN237" s="921"/>
      <c r="AO237" s="921"/>
      <c r="AP237" s="921"/>
      <c r="AQ237" s="921"/>
      <c r="AR237" s="921"/>
      <c r="AS237" s="921"/>
      <c r="AT237" s="921"/>
      <c r="AU237" s="921"/>
      <c r="AV237" s="921"/>
      <c r="AW237" s="921"/>
      <c r="AX237" s="921"/>
      <c r="AY237" s="921"/>
      <c r="AZ237" s="921"/>
      <c r="BA237" s="921"/>
      <c r="BB237" s="921"/>
      <c r="BC237" s="921"/>
      <c r="BD237" s="921"/>
      <c r="BE237" s="921"/>
      <c r="BF237" s="921"/>
      <c r="BG237" s="921"/>
      <c r="BH237" s="921"/>
      <c r="BI237" s="921"/>
      <c r="BJ237" s="921"/>
      <c r="BK237" s="921"/>
      <c r="BL237" s="921"/>
      <c r="BM237" s="921"/>
      <c r="BN237" s="921"/>
      <c r="BO237" s="921"/>
    </row>
    <row r="238" spans="1:68" ht="20.100000000000001" hidden="1" customHeight="1" outlineLevel="1">
      <c r="A238" s="747">
        <v>200</v>
      </c>
      <c r="B238" s="1594"/>
      <c r="C238" s="1596"/>
      <c r="D238" s="785" t="s">
        <v>376</v>
      </c>
      <c r="E238" s="792" t="str">
        <f ca="1">参考2_エネ使用量経年!E131</f>
        <v/>
      </c>
      <c r="F238" s="786"/>
      <c r="G238" s="852" t="s">
        <v>1281</v>
      </c>
      <c r="H238" s="915">
        <f ca="1">IFERROR(OFFSET(貼付け_2024実績,$A238,16),"")</f>
        <v>0</v>
      </c>
      <c r="I238" s="915">
        <f ca="1">IFERROR(OFFSET(貼付け_2025実績,$A238,16),"")</f>
        <v>0</v>
      </c>
      <c r="J238" s="915">
        <f ca="1">IFERROR(OFFSET(貼付け_2026実績,$A238,16),"")</f>
        <v>0</v>
      </c>
      <c r="K238" s="915">
        <f ca="1">IFERROR(OFFSET(貼付け_2027実績,$A238,16),"")</f>
        <v>0</v>
      </c>
      <c r="L238" s="916">
        <f ca="1">IFERROR($H238*44/12*参考2_エネ使用量経年!$H131*参考2_エネ使用量経年!L131,"")</f>
        <v>0</v>
      </c>
      <c r="M238" s="916">
        <f ca="1">IFERROR($I238*44/12*参考2_エネ使用量経年!$I131*参考2_エネ使用量経年!M131,"")</f>
        <v>0</v>
      </c>
      <c r="N238" s="916">
        <f ca="1">IFERROR($J238*44/12*参考2_エネ使用量経年!$J131*参考2_エネ使用量経年!N131,"")</f>
        <v>0</v>
      </c>
      <c r="O238" s="916">
        <f ca="1">IFERROR($K238*44/12*参考2_エネ使用量経年!$K131*参考2_エネ使用量経年!O131,"")</f>
        <v>0</v>
      </c>
      <c r="P238" s="916">
        <f ca="1">IFERROR($H238*44/12*参考2_エネ使用量経年!$H131*参考2_エネ使用量経年!P131,"")</f>
        <v>0</v>
      </c>
      <c r="Q238" s="916">
        <f ca="1">IFERROR($I238*44/12*参考2_エネ使用量経年!$I131*参考2_エネ使用量経年!Q131,"")</f>
        <v>0</v>
      </c>
      <c r="R238" s="916">
        <f ca="1">IFERROR($J238*44/12*参考2_エネ使用量経年!$J131*参考2_エネ使用量経年!R131,"")</f>
        <v>0</v>
      </c>
      <c r="S238" s="916">
        <f ca="1">IFERROR($K238*44/12*参考2_エネ使用量経年!$K131*参考2_エネ使用量経年!S131,"")</f>
        <v>0</v>
      </c>
      <c r="T238" s="916">
        <f ca="1">IFERROR($H238*44/12*参考2_エネ使用量経年!$H131*参考2_エネ使用量経年!T131,"")</f>
        <v>0</v>
      </c>
      <c r="U238" s="916">
        <f ca="1">IFERROR($I238*44/12*参考2_エネ使用量経年!$I131*参考2_エネ使用量経年!U131,"")</f>
        <v>0</v>
      </c>
      <c r="V238" s="916">
        <f ca="1">IFERROR($J238*44/12*参考2_エネ使用量経年!$J131*参考2_エネ使用量経年!V131,"")</f>
        <v>0</v>
      </c>
      <c r="W238" s="916">
        <f ca="1">IFERROR($K238*44/12*参考2_エネ使用量経年!$K131*参考2_エネ使用量経年!W131,"")</f>
        <v>0</v>
      </c>
      <c r="X238" s="921"/>
      <c r="Y238" s="921"/>
      <c r="Z238" s="921"/>
      <c r="AA238" s="921"/>
      <c r="AB238" s="921"/>
      <c r="AC238" s="921"/>
      <c r="AD238" s="921"/>
      <c r="AE238" s="921"/>
      <c r="AF238" s="921"/>
      <c r="AG238" s="921"/>
      <c r="AH238" s="921"/>
      <c r="AI238" s="921"/>
      <c r="AJ238" s="921"/>
      <c r="AK238" s="921"/>
      <c r="AL238" s="921"/>
      <c r="AM238" s="921"/>
      <c r="AN238" s="921"/>
      <c r="AO238" s="921"/>
      <c r="AP238" s="921"/>
      <c r="AQ238" s="921"/>
      <c r="AR238" s="921"/>
      <c r="AS238" s="921"/>
      <c r="AT238" s="921"/>
      <c r="AU238" s="921"/>
      <c r="AV238" s="921"/>
      <c r="AW238" s="921"/>
      <c r="AX238" s="921"/>
      <c r="AY238" s="921"/>
      <c r="AZ238" s="921"/>
      <c r="BA238" s="921"/>
      <c r="BB238" s="921"/>
      <c r="BC238" s="921"/>
      <c r="BD238" s="921"/>
      <c r="BE238" s="921"/>
      <c r="BF238" s="921"/>
      <c r="BG238" s="921"/>
      <c r="BH238" s="921"/>
      <c r="BI238" s="921"/>
      <c r="BJ238" s="921"/>
      <c r="BK238" s="921"/>
      <c r="BL238" s="921"/>
      <c r="BM238" s="921"/>
      <c r="BN238" s="921"/>
      <c r="BO238" s="921"/>
    </row>
    <row r="239" spans="1:68" ht="20.100000000000001" hidden="1" customHeight="1" outlineLevel="1">
      <c r="A239" s="747">
        <v>40</v>
      </c>
      <c r="B239" s="1594"/>
      <c r="C239" s="1596" t="s">
        <v>951</v>
      </c>
      <c r="D239" s="785" t="s">
        <v>381</v>
      </c>
      <c r="E239" s="785"/>
      <c r="F239" s="786"/>
      <c r="G239" s="852" t="s">
        <v>1281</v>
      </c>
      <c r="H239" s="915">
        <f ca="1">IFERROR(OFFSET(貼付け_2024実績,$A239,6),"")</f>
        <v>0</v>
      </c>
      <c r="I239" s="915">
        <f ca="1">IFERROR(OFFSET(貼付け_2025実績,$A239,6),"")</f>
        <v>0</v>
      </c>
      <c r="J239" s="915">
        <f ca="1">IFERROR(OFFSET(貼付け_2026実績,$A239,6),"")</f>
        <v>0</v>
      </c>
      <c r="K239" s="915">
        <f ca="1">IFERROR(OFFSET(貼付け_2027実績,$A239,6),"")</f>
        <v>0</v>
      </c>
      <c r="L239" s="916">
        <f ca="1">IFERROR($H239*44/12*参考2_エネ使用量経年!$H132*参考2_エネ使用量経年!L132,"")</f>
        <v>0</v>
      </c>
      <c r="M239" s="916">
        <f ca="1">IFERROR($I239*44/12*参考2_エネ使用量経年!$I132*参考2_エネ使用量経年!M132,"")</f>
        <v>0</v>
      </c>
      <c r="N239" s="916">
        <f ca="1">IFERROR($J239*44/12*参考2_エネ使用量経年!$J132*参考2_エネ使用量経年!N132,"")</f>
        <v>0</v>
      </c>
      <c r="O239" s="916">
        <f ca="1">IFERROR($K239*44/12*参考2_エネ使用量経年!$K132*参考2_エネ使用量経年!O132,"")</f>
        <v>0</v>
      </c>
      <c r="P239" s="916">
        <f ca="1">IFERROR($H239*44/12*参考2_エネ使用量経年!$H132*参考2_エネ使用量経年!P132,"")</f>
        <v>0</v>
      </c>
      <c r="Q239" s="916">
        <f ca="1">IFERROR($I239*44/12*参考2_エネ使用量経年!$I132*参考2_エネ使用量経年!Q132,"")</f>
        <v>0</v>
      </c>
      <c r="R239" s="916">
        <f ca="1">IFERROR($J239*44/12*参考2_エネ使用量経年!$J132*参考2_エネ使用量経年!R132,"")</f>
        <v>0</v>
      </c>
      <c r="S239" s="916">
        <f ca="1">IFERROR($K239*44/12*参考2_エネ使用量経年!$K132*参考2_エネ使用量経年!S132,"")</f>
        <v>0</v>
      </c>
      <c r="T239" s="916">
        <f ca="1">IFERROR($H239*44/12*参考2_エネ使用量経年!$H132*参考2_エネ使用量経年!T132,"")</f>
        <v>0</v>
      </c>
      <c r="U239" s="916">
        <f ca="1">IFERROR($I239*44/12*参考2_エネ使用量経年!$I132*参考2_エネ使用量経年!U132,"")</f>
        <v>0</v>
      </c>
      <c r="V239" s="916">
        <f ca="1">IFERROR($J239*44/12*参考2_エネ使用量経年!$J132*参考2_エネ使用量経年!V132,"")</f>
        <v>0</v>
      </c>
      <c r="W239" s="916">
        <f ca="1">IFERROR($K239*44/12*参考2_エネ使用量経年!$K132*参考2_エネ使用量経年!W132,"")</f>
        <v>0</v>
      </c>
      <c r="X239" s="921"/>
      <c r="Y239" s="921"/>
      <c r="Z239" s="921"/>
      <c r="AA239" s="921"/>
      <c r="AB239" s="921"/>
      <c r="AC239" s="921"/>
      <c r="AD239" s="921"/>
      <c r="AE239" s="921"/>
      <c r="AF239" s="921"/>
      <c r="AG239" s="921"/>
      <c r="AH239" s="921"/>
      <c r="AI239" s="921"/>
      <c r="AJ239" s="921"/>
      <c r="AK239" s="921"/>
      <c r="AL239" s="921"/>
      <c r="AM239" s="921"/>
      <c r="AN239" s="921"/>
      <c r="AO239" s="921"/>
      <c r="AP239" s="921"/>
      <c r="AQ239" s="921"/>
      <c r="AR239" s="921"/>
      <c r="AS239" s="921"/>
      <c r="AT239" s="921"/>
      <c r="AU239" s="921"/>
      <c r="AV239" s="921"/>
      <c r="AW239" s="921"/>
      <c r="AX239" s="921"/>
      <c r="AY239" s="921"/>
      <c r="AZ239" s="921"/>
      <c r="BA239" s="921"/>
      <c r="BB239" s="921"/>
      <c r="BC239" s="921"/>
      <c r="BD239" s="921"/>
      <c r="BE239" s="921"/>
      <c r="BF239" s="921"/>
      <c r="BG239" s="921"/>
      <c r="BH239" s="921"/>
      <c r="BI239" s="921"/>
      <c r="BJ239" s="921"/>
      <c r="BK239" s="921"/>
      <c r="BL239" s="921"/>
      <c r="BM239" s="921"/>
      <c r="BN239" s="921"/>
      <c r="BO239" s="921"/>
    </row>
    <row r="240" spans="1:68" ht="20.100000000000001" hidden="1" customHeight="1" outlineLevel="1">
      <c r="A240" s="747">
        <v>41</v>
      </c>
      <c r="B240" s="1594"/>
      <c r="C240" s="1596"/>
      <c r="D240" s="785" t="s">
        <v>382</v>
      </c>
      <c r="E240" s="785"/>
      <c r="F240" s="786"/>
      <c r="G240" s="852" t="s">
        <v>1281</v>
      </c>
      <c r="H240" s="915">
        <f ca="1">IFERROR(OFFSET(貼付け_2024実績,$A240,6),"")</f>
        <v>0</v>
      </c>
      <c r="I240" s="915">
        <f ca="1">IFERROR(OFFSET(貼付け_2025実績,$A240,6),"")</f>
        <v>0</v>
      </c>
      <c r="J240" s="915">
        <f ca="1">IFERROR(OFFSET(貼付け_2026実績,$A240,6),"")</f>
        <v>0</v>
      </c>
      <c r="K240" s="915">
        <f ca="1">IFERROR(OFFSET(貼付け_2027実績,$A240,6),"")</f>
        <v>0</v>
      </c>
      <c r="L240" s="916">
        <f ca="1">IFERROR($H240*44/12*参考2_エネ使用量経年!$H133*参考2_エネ使用量経年!L133,"")</f>
        <v>0</v>
      </c>
      <c r="M240" s="916">
        <f ca="1">IFERROR($I240*44/12*参考2_エネ使用量経年!$I133*参考2_エネ使用量経年!M133,"")</f>
        <v>0</v>
      </c>
      <c r="N240" s="916">
        <f ca="1">IFERROR($J240*44/12*参考2_エネ使用量経年!$J133*参考2_エネ使用量経年!N133,"")</f>
        <v>0</v>
      </c>
      <c r="O240" s="916">
        <f ca="1">IFERROR($K240*44/12*参考2_エネ使用量経年!$K133*参考2_エネ使用量経年!O133,"")</f>
        <v>0</v>
      </c>
      <c r="P240" s="916">
        <f ca="1">IFERROR($H240*44/12*参考2_エネ使用量経年!$H133*参考2_エネ使用量経年!P133,"")</f>
        <v>0</v>
      </c>
      <c r="Q240" s="916">
        <f ca="1">IFERROR($I240*44/12*参考2_エネ使用量経年!$I133*参考2_エネ使用量経年!Q133,"")</f>
        <v>0</v>
      </c>
      <c r="R240" s="916">
        <f ca="1">IFERROR($J240*44/12*参考2_エネ使用量経年!$J133*参考2_エネ使用量経年!R133,"")</f>
        <v>0</v>
      </c>
      <c r="S240" s="916">
        <f ca="1">IFERROR($K240*44/12*参考2_エネ使用量経年!$K133*参考2_エネ使用量経年!S133,"")</f>
        <v>0</v>
      </c>
      <c r="T240" s="916">
        <f ca="1">IFERROR($H240*44/12*参考2_エネ使用量経年!$H133*参考2_エネ使用量経年!T133,"")</f>
        <v>0</v>
      </c>
      <c r="U240" s="916">
        <f ca="1">IFERROR($I240*44/12*参考2_エネ使用量経年!$I133*参考2_エネ使用量経年!U133,"")</f>
        <v>0</v>
      </c>
      <c r="V240" s="916">
        <f ca="1">IFERROR($J240*44/12*参考2_エネ使用量経年!$J133*参考2_エネ使用量経年!V133,"")</f>
        <v>0</v>
      </c>
      <c r="W240" s="916">
        <f ca="1">IFERROR($K240*44/12*参考2_エネ使用量経年!$K133*参考2_エネ使用量経年!W133,"")</f>
        <v>0</v>
      </c>
      <c r="X240" s="921"/>
      <c r="Y240" s="921"/>
      <c r="Z240" s="921"/>
      <c r="AA240" s="921"/>
      <c r="AB240" s="921"/>
      <c r="AC240" s="921"/>
      <c r="AD240" s="921"/>
      <c r="AE240" s="921"/>
      <c r="AF240" s="921"/>
      <c r="AG240" s="921"/>
      <c r="AH240" s="921"/>
      <c r="AI240" s="921"/>
      <c r="AJ240" s="921"/>
      <c r="AK240" s="921"/>
      <c r="AL240" s="921"/>
      <c r="AM240" s="921"/>
      <c r="AN240" s="921"/>
      <c r="AO240" s="921"/>
      <c r="AP240" s="921"/>
      <c r="AQ240" s="921"/>
      <c r="AR240" s="921"/>
      <c r="AS240" s="921"/>
      <c r="AT240" s="921"/>
      <c r="AU240" s="921"/>
      <c r="AV240" s="921"/>
      <c r="AW240" s="921"/>
      <c r="AX240" s="921"/>
      <c r="AY240" s="921"/>
      <c r="AZ240" s="921"/>
      <c r="BA240" s="921"/>
      <c r="BB240" s="921"/>
      <c r="BC240" s="921"/>
      <c r="BD240" s="921"/>
      <c r="BE240" s="921"/>
      <c r="BF240" s="921"/>
      <c r="BG240" s="921"/>
      <c r="BH240" s="921"/>
      <c r="BI240" s="921"/>
      <c r="BJ240" s="921"/>
      <c r="BK240" s="921"/>
      <c r="BL240" s="921"/>
      <c r="BM240" s="921"/>
      <c r="BN240" s="921"/>
      <c r="BO240" s="921"/>
    </row>
    <row r="241" spans="1:68" ht="20.100000000000001" hidden="1" customHeight="1" outlineLevel="1">
      <c r="A241" s="747">
        <v>52</v>
      </c>
      <c r="B241" s="1594"/>
      <c r="C241" s="1596"/>
      <c r="D241" s="785" t="s">
        <v>393</v>
      </c>
      <c r="E241" s="785"/>
      <c r="F241" s="786"/>
      <c r="G241" s="852" t="s">
        <v>1281</v>
      </c>
      <c r="H241" s="915">
        <f ca="1">IFERROR(OFFSET(貼付け_2024実績,$A241,6),"")</f>
        <v>0</v>
      </c>
      <c r="I241" s="915">
        <f ca="1">IFERROR(OFFSET(貼付け_2025実績,$A241,6),"")</f>
        <v>0</v>
      </c>
      <c r="J241" s="915">
        <f ca="1">IFERROR(OFFSET(貼付け_2026実績,$A241,6),"")</f>
        <v>0</v>
      </c>
      <c r="K241" s="915">
        <f ca="1">IFERROR(OFFSET(貼付け_2027実績,$A241,6),"")</f>
        <v>0</v>
      </c>
      <c r="L241" s="916">
        <f ca="1">IFERROR($H241*44/12*参考2_エネ使用量経年!$H134*参考2_エネ使用量経年!L134,"")</f>
        <v>0</v>
      </c>
      <c r="M241" s="916">
        <f ca="1">IFERROR($I241*44/12*参考2_エネ使用量経年!$I134*参考2_エネ使用量経年!M134,"")</f>
        <v>0</v>
      </c>
      <c r="N241" s="916">
        <f ca="1">IFERROR($J241*44/12*参考2_エネ使用量経年!$J134*参考2_エネ使用量経年!N134,"")</f>
        <v>0</v>
      </c>
      <c r="O241" s="916">
        <f ca="1">IFERROR($K241*44/12*参考2_エネ使用量経年!$K134*参考2_エネ使用量経年!O134,"")</f>
        <v>0</v>
      </c>
      <c r="P241" s="916">
        <f ca="1">IFERROR($H241*44/12*参考2_エネ使用量経年!$H134*参考2_エネ使用量経年!P134,"")</f>
        <v>0</v>
      </c>
      <c r="Q241" s="916">
        <f ca="1">IFERROR($I241*44/12*参考2_エネ使用量経年!$I134*参考2_エネ使用量経年!Q134,"")</f>
        <v>0</v>
      </c>
      <c r="R241" s="916">
        <f ca="1">IFERROR($J241*44/12*参考2_エネ使用量経年!$J134*参考2_エネ使用量経年!R134,"")</f>
        <v>0</v>
      </c>
      <c r="S241" s="916">
        <f ca="1">IFERROR($K241*44/12*参考2_エネ使用量経年!$K134*参考2_エネ使用量経年!S134,"")</f>
        <v>0</v>
      </c>
      <c r="T241" s="916">
        <f ca="1">IFERROR($H241*44/12*参考2_エネ使用量経年!$H134*参考2_エネ使用量経年!T134,"")</f>
        <v>0</v>
      </c>
      <c r="U241" s="916">
        <f ca="1">IFERROR($I241*44/12*参考2_エネ使用量経年!$I134*参考2_エネ使用量経年!U134,"")</f>
        <v>0</v>
      </c>
      <c r="V241" s="916">
        <f ca="1">IFERROR($J241*44/12*参考2_エネ使用量経年!$J134*参考2_エネ使用量経年!V134,"")</f>
        <v>0</v>
      </c>
      <c r="W241" s="916">
        <f ca="1">IFERROR($K241*44/12*参考2_エネ使用量経年!$K134*参考2_エネ使用量経年!W134,"")</f>
        <v>0</v>
      </c>
      <c r="X241" s="921"/>
      <c r="Y241" s="921"/>
      <c r="Z241" s="921"/>
      <c r="AA241" s="921"/>
      <c r="AB241" s="921"/>
      <c r="AC241" s="921"/>
      <c r="AD241" s="921"/>
      <c r="AE241" s="921"/>
      <c r="AF241" s="921"/>
      <c r="AG241" s="921"/>
      <c r="AH241" s="921"/>
      <c r="AI241" s="921"/>
      <c r="AJ241" s="921"/>
      <c r="AK241" s="921"/>
      <c r="AL241" s="921"/>
      <c r="AM241" s="921"/>
      <c r="AN241" s="921"/>
      <c r="AO241" s="921"/>
      <c r="AP241" s="921"/>
      <c r="AQ241" s="921"/>
      <c r="AR241" s="921"/>
      <c r="AS241" s="921"/>
      <c r="AT241" s="921"/>
      <c r="AU241" s="921"/>
      <c r="AV241" s="921"/>
      <c r="AW241" s="921"/>
      <c r="AX241" s="921"/>
      <c r="AY241" s="921"/>
      <c r="AZ241" s="921"/>
      <c r="BA241" s="921"/>
      <c r="BB241" s="921"/>
      <c r="BC241" s="921"/>
      <c r="BD241" s="921"/>
      <c r="BE241" s="921"/>
      <c r="BF241" s="921"/>
      <c r="BG241" s="921"/>
      <c r="BH241" s="921"/>
      <c r="BI241" s="921"/>
      <c r="BJ241" s="921"/>
      <c r="BK241" s="921"/>
      <c r="BL241" s="921"/>
      <c r="BM241" s="921"/>
      <c r="BN241" s="921"/>
      <c r="BO241" s="921"/>
    </row>
    <row r="242" spans="1:68" ht="20.100000000000001" hidden="1" customHeight="1" outlineLevel="1">
      <c r="A242" s="747">
        <v>53</v>
      </c>
      <c r="B242" s="1594"/>
      <c r="C242" s="1596"/>
      <c r="D242" s="785" t="s">
        <v>394</v>
      </c>
      <c r="E242" s="785"/>
      <c r="F242" s="786"/>
      <c r="G242" s="852" t="s">
        <v>1281</v>
      </c>
      <c r="H242" s="915">
        <f ca="1">IFERROR(OFFSET(貼付け_2024実績,$A242,6),"")</f>
        <v>0</v>
      </c>
      <c r="I242" s="915">
        <f ca="1">IFERROR(OFFSET(貼付け_2025実績,$A242,6),"")</f>
        <v>0</v>
      </c>
      <c r="J242" s="915">
        <f ca="1">IFERROR(OFFSET(貼付け_2026実績,$A242,6),"")</f>
        <v>0</v>
      </c>
      <c r="K242" s="915">
        <f ca="1">IFERROR(OFFSET(貼付け_2027実績,$A242,6),"")</f>
        <v>0</v>
      </c>
      <c r="L242" s="916">
        <f ca="1">IFERROR($H242*44/12*参考2_エネ使用量経年!$H135*参考2_エネ使用量経年!L135,"")</f>
        <v>0</v>
      </c>
      <c r="M242" s="916">
        <f ca="1">IFERROR($I242*44/12*参考2_エネ使用量経年!$I135*参考2_エネ使用量経年!M135,"")</f>
        <v>0</v>
      </c>
      <c r="N242" s="916">
        <f ca="1">IFERROR($J242*44/12*参考2_エネ使用量経年!$J135*参考2_エネ使用量経年!N135,"")</f>
        <v>0</v>
      </c>
      <c r="O242" s="916">
        <f ca="1">IFERROR($K242*44/12*参考2_エネ使用量経年!$K135*参考2_エネ使用量経年!O135,"")</f>
        <v>0</v>
      </c>
      <c r="P242" s="916">
        <f ca="1">IFERROR($H242*44/12*参考2_エネ使用量経年!$H135*参考2_エネ使用量経年!P135,"")</f>
        <v>0</v>
      </c>
      <c r="Q242" s="916">
        <f ca="1">IFERROR($I242*44/12*参考2_エネ使用量経年!$I135*参考2_エネ使用量経年!Q135,"")</f>
        <v>0</v>
      </c>
      <c r="R242" s="916">
        <f ca="1">IFERROR($J242*44/12*参考2_エネ使用量経年!$J135*参考2_エネ使用量経年!R135,"")</f>
        <v>0</v>
      </c>
      <c r="S242" s="916">
        <f ca="1">IFERROR($K242*44/12*参考2_エネ使用量経年!$K135*参考2_エネ使用量経年!S135,"")</f>
        <v>0</v>
      </c>
      <c r="T242" s="916">
        <f ca="1">IFERROR($H242*44/12*参考2_エネ使用量経年!$H135*参考2_エネ使用量経年!T135,"")</f>
        <v>0</v>
      </c>
      <c r="U242" s="916">
        <f ca="1">IFERROR($I242*44/12*参考2_エネ使用量経年!$I135*参考2_エネ使用量経年!U135,"")</f>
        <v>0</v>
      </c>
      <c r="V242" s="916">
        <f ca="1">IFERROR($J242*44/12*参考2_エネ使用量経年!$J135*参考2_エネ使用量経年!V135,"")</f>
        <v>0</v>
      </c>
      <c r="W242" s="916">
        <f ca="1">IFERROR($K242*44/12*参考2_エネ使用量経年!$K135*参考2_エネ使用量経年!W135,"")</f>
        <v>0</v>
      </c>
      <c r="X242" s="921"/>
      <c r="Y242" s="921"/>
      <c r="Z242" s="921"/>
      <c r="AA242" s="921"/>
      <c r="AB242" s="921"/>
      <c r="AC242" s="921"/>
      <c r="AD242" s="921"/>
      <c r="AE242" s="921"/>
      <c r="AF242" s="921"/>
      <c r="AG242" s="921"/>
      <c r="AH242" s="921"/>
      <c r="AI242" s="921"/>
      <c r="AJ242" s="921"/>
      <c r="AK242" s="921"/>
      <c r="AL242" s="921"/>
      <c r="AM242" s="921"/>
      <c r="AN242" s="921"/>
      <c r="AO242" s="921"/>
      <c r="AP242" s="921"/>
      <c r="AQ242" s="921"/>
      <c r="AR242" s="921"/>
      <c r="AS242" s="921"/>
      <c r="AT242" s="921"/>
      <c r="AU242" s="921"/>
      <c r="AV242" s="921"/>
      <c r="AW242" s="921"/>
      <c r="AX242" s="921"/>
      <c r="AY242" s="921"/>
      <c r="AZ242" s="921"/>
      <c r="BA242" s="921"/>
      <c r="BB242" s="921"/>
      <c r="BC242" s="921"/>
      <c r="BD242" s="921"/>
      <c r="BE242" s="921"/>
      <c r="BF242" s="921"/>
      <c r="BG242" s="921"/>
      <c r="BH242" s="921"/>
      <c r="BI242" s="921"/>
      <c r="BJ242" s="921"/>
      <c r="BK242" s="921"/>
      <c r="BL242" s="921"/>
      <c r="BM242" s="921"/>
      <c r="BN242" s="921"/>
      <c r="BO242" s="921"/>
    </row>
    <row r="243" spans="1:68" ht="20.100000000000001" hidden="1" customHeight="1" outlineLevel="1">
      <c r="A243" s="747">
        <v>200</v>
      </c>
      <c r="B243" s="1594"/>
      <c r="C243" s="1596"/>
      <c r="D243" s="785" t="s">
        <v>783</v>
      </c>
      <c r="E243" s="792" t="str">
        <f ca="1">参考2_エネ使用量経年!E136</f>
        <v/>
      </c>
      <c r="F243" s="794"/>
      <c r="G243" s="852" t="s">
        <v>1281</v>
      </c>
      <c r="H243" s="915">
        <f ca="1">IFERROR(OFFSET(貼付け_2024実績,$A243,16),"")</f>
        <v>0</v>
      </c>
      <c r="I243" s="915">
        <f ca="1">IFERROR(OFFSET(貼付け_2025実績,$A243,16),"")</f>
        <v>0</v>
      </c>
      <c r="J243" s="915">
        <f ca="1">IFERROR(OFFSET(貼付け_2026実績,$A243,16),"")</f>
        <v>0</v>
      </c>
      <c r="K243" s="915">
        <f ca="1">IFERROR(OFFSET(貼付け_2027実績,$A243,16),"")</f>
        <v>0</v>
      </c>
      <c r="L243" s="916">
        <f ca="1">IFERROR($H243*44/12*参考2_エネ使用量経年!$H136*参考2_エネ使用量経年!L136,"")</f>
        <v>0</v>
      </c>
      <c r="M243" s="916">
        <f ca="1">IFERROR($I243*44/12*参考2_エネ使用量経年!$I136*参考2_エネ使用量経年!M136,"")</f>
        <v>0</v>
      </c>
      <c r="N243" s="916">
        <f ca="1">IFERROR($J243*44/12*参考2_エネ使用量経年!$J136*参考2_エネ使用量経年!N136,"")</f>
        <v>0</v>
      </c>
      <c r="O243" s="916">
        <f ca="1">IFERROR($K243*44/12*参考2_エネ使用量経年!$K136*参考2_エネ使用量経年!O136,"")</f>
        <v>0</v>
      </c>
      <c r="P243" s="916">
        <f ca="1">IFERROR($H243*44/12*参考2_エネ使用量経年!$H136*参考2_エネ使用量経年!P136,"")</f>
        <v>0</v>
      </c>
      <c r="Q243" s="916">
        <f ca="1">IFERROR($I243*44/12*参考2_エネ使用量経年!$I136*参考2_エネ使用量経年!Q136,"")</f>
        <v>0</v>
      </c>
      <c r="R243" s="916">
        <f ca="1">IFERROR($J243*44/12*参考2_エネ使用量経年!$J136*参考2_エネ使用量経年!R136,"")</f>
        <v>0</v>
      </c>
      <c r="S243" s="916">
        <f ca="1">IFERROR($K243*44/12*参考2_エネ使用量経年!$K136*参考2_エネ使用量経年!S136,"")</f>
        <v>0</v>
      </c>
      <c r="T243" s="916">
        <f ca="1">IFERROR($H243*44/12*参考2_エネ使用量経年!$H136*参考2_エネ使用量経年!T136,"")</f>
        <v>0</v>
      </c>
      <c r="U243" s="916">
        <f ca="1">IFERROR($I243*44/12*参考2_エネ使用量経年!$I136*参考2_エネ使用量経年!U136,"")</f>
        <v>0</v>
      </c>
      <c r="V243" s="916">
        <f ca="1">IFERROR($J243*44/12*参考2_エネ使用量経年!$J136*参考2_エネ使用量経年!V136,"")</f>
        <v>0</v>
      </c>
      <c r="W243" s="916">
        <f ca="1">IFERROR($K243*44/12*参考2_エネ使用量経年!$K136*参考2_エネ使用量経年!W136,"")</f>
        <v>0</v>
      </c>
      <c r="X243" s="921"/>
      <c r="Y243" s="921"/>
      <c r="Z243" s="921"/>
      <c r="AA243" s="921"/>
      <c r="AB243" s="921"/>
      <c r="AC243" s="921"/>
      <c r="AD243" s="921"/>
      <c r="AE243" s="921"/>
      <c r="AF243" s="921"/>
      <c r="AG243" s="921"/>
      <c r="AH243" s="921"/>
      <c r="AI243" s="921"/>
      <c r="AJ243" s="921"/>
      <c r="AK243" s="921"/>
      <c r="AL243" s="921"/>
      <c r="AM243" s="921"/>
      <c r="AN243" s="921"/>
      <c r="AO243" s="921"/>
      <c r="AP243" s="921"/>
      <c r="AQ243" s="921"/>
      <c r="AR243" s="921"/>
      <c r="AS243" s="921"/>
      <c r="AT243" s="921"/>
      <c r="AU243" s="921"/>
      <c r="AV243" s="921"/>
      <c r="AW243" s="921"/>
      <c r="AX243" s="921"/>
      <c r="AY243" s="921"/>
      <c r="AZ243" s="921"/>
      <c r="BA243" s="921"/>
      <c r="BB243" s="921"/>
      <c r="BC243" s="921"/>
      <c r="BD243" s="921"/>
      <c r="BE243" s="921"/>
      <c r="BF243" s="921"/>
      <c r="BG243" s="921"/>
      <c r="BH243" s="921"/>
      <c r="BI243" s="921"/>
      <c r="BJ243" s="921"/>
      <c r="BK243" s="921"/>
      <c r="BL243" s="921"/>
      <c r="BM243" s="921"/>
      <c r="BN243" s="921"/>
      <c r="BO243" s="921"/>
    </row>
    <row r="244" spans="1:68" ht="20.100000000000001" hidden="1" customHeight="1" outlineLevel="1">
      <c r="A244" s="747">
        <v>15</v>
      </c>
      <c r="B244" s="1593" t="s">
        <v>422</v>
      </c>
      <c r="C244" s="894" t="s">
        <v>405</v>
      </c>
      <c r="D244" s="895"/>
      <c r="E244" s="790"/>
      <c r="F244" s="810"/>
      <c r="G244" s="852" t="s">
        <v>1281</v>
      </c>
      <c r="H244" s="917"/>
      <c r="I244" s="917"/>
      <c r="J244" s="917"/>
      <c r="K244" s="917"/>
      <c r="L244" s="916">
        <f ca="1">IFERROR(OFFSET(A1_集計2024,$A244,7)+OFFSET(A1_集計2024,$A244,8),0)</f>
        <v>0</v>
      </c>
      <c r="M244" s="916">
        <f ca="1">IFERROR(OFFSET(A1_集計2025,$A244,7)+OFFSET(A1_集計2025,$A244,8),0)</f>
        <v>0</v>
      </c>
      <c r="N244" s="916">
        <f ca="1">IFERROR(OFFSET(A1_集計2026,$A244,7)+OFFSET(A1_集計2026,$A244,8),0)</f>
        <v>0</v>
      </c>
      <c r="O244" s="916">
        <f ca="1">IFERROR(OFFSET(A1_集計2027,$A244,7)+OFFSET(A1_集計2027,$A244,8),0)</f>
        <v>0</v>
      </c>
      <c r="P244" s="916">
        <f ca="1">IFERROR(OFFSET(A1_集計2024,$A244,7),0)</f>
        <v>0</v>
      </c>
      <c r="Q244" s="916">
        <f ca="1">IFERROR(OFFSET(A1_集計2025,$A244,7),0)</f>
        <v>0</v>
      </c>
      <c r="R244" s="916">
        <f ca="1">IFERROR(OFFSET(A1_集計2026,$A244,7),0)</f>
        <v>0</v>
      </c>
      <c r="S244" s="916">
        <f ca="1">IFERROR(OFFSET(A1_集計2027,$A244,7),0)</f>
        <v>0</v>
      </c>
      <c r="T244" s="916">
        <f ca="1">IFERROR(OFFSET(A1_集計2024,$A244,8),0)</f>
        <v>0</v>
      </c>
      <c r="U244" s="916">
        <f ca="1">IFERROR(OFFSET(A1_集計2025,$A244,8),0)</f>
        <v>0</v>
      </c>
      <c r="V244" s="916">
        <f ca="1">IFERROR(OFFSET(A1_集計2026,$A244,8),0)</f>
        <v>0</v>
      </c>
      <c r="W244" s="916">
        <f ca="1">IFERROR(OFFSET(A1_集計2027,$A244,8),0)</f>
        <v>0</v>
      </c>
      <c r="X244" s="921"/>
      <c r="Y244" s="921"/>
      <c r="Z244" s="921"/>
      <c r="AA244" s="921"/>
      <c r="AB244" s="921"/>
      <c r="AC244" s="921"/>
      <c r="AD244" s="921"/>
      <c r="AE244" s="921"/>
      <c r="AF244" s="921"/>
      <c r="AG244" s="921"/>
      <c r="AH244" s="921"/>
      <c r="AI244" s="921"/>
      <c r="AJ244" s="921"/>
      <c r="AK244" s="921"/>
      <c r="AL244" s="921"/>
      <c r="AM244" s="921"/>
      <c r="AN244" s="921"/>
      <c r="AO244" s="921"/>
      <c r="AP244" s="921"/>
      <c r="AQ244" s="921"/>
      <c r="AR244" s="921"/>
      <c r="AS244" s="921"/>
      <c r="AT244" s="921"/>
      <c r="AU244" s="921"/>
      <c r="AV244" s="921"/>
      <c r="AW244" s="921"/>
      <c r="AX244" s="921"/>
      <c r="AY244" s="921"/>
      <c r="AZ244" s="921"/>
      <c r="BA244" s="921"/>
      <c r="BB244" s="921"/>
      <c r="BC244" s="921"/>
      <c r="BD244" s="921"/>
      <c r="BE244" s="921"/>
      <c r="BF244" s="921"/>
      <c r="BG244" s="921"/>
      <c r="BH244" s="921"/>
      <c r="BI244" s="921"/>
      <c r="BJ244" s="921"/>
      <c r="BK244" s="921"/>
      <c r="BL244" s="921"/>
      <c r="BM244" s="921"/>
      <c r="BN244" s="921"/>
      <c r="BO244" s="921"/>
      <c r="BP244" s="802"/>
    </row>
    <row r="245" spans="1:68" ht="20.100000000000001" hidden="1" customHeight="1" outlineLevel="1">
      <c r="A245" s="747">
        <v>74</v>
      </c>
      <c r="B245" s="1594"/>
      <c r="C245" s="1596" t="s">
        <v>406</v>
      </c>
      <c r="D245" s="812" t="s">
        <v>407</v>
      </c>
      <c r="E245" s="785"/>
      <c r="F245" s="810"/>
      <c r="G245" s="852" t="s">
        <v>1281</v>
      </c>
      <c r="H245" s="915">
        <f ca="1">IFERROR(OFFSET(貼付け_2024実績,$A245,6),"")</f>
        <v>0</v>
      </c>
      <c r="I245" s="915">
        <f ca="1">IFERROR(OFFSET(貼付け_2025実績,$A245,6),"")</f>
        <v>0</v>
      </c>
      <c r="J245" s="915">
        <f ca="1">IFERROR(OFFSET(貼付け_2026実績,$A245,6),"")</f>
        <v>0</v>
      </c>
      <c r="K245" s="915">
        <f ca="1">IFERROR(OFFSET(貼付け_2027実績,$A245,6),"")</f>
        <v>0</v>
      </c>
      <c r="L245" s="916">
        <f ca="1">IFERROR($H245*参考2_エネ使用量経年!L138*1000,"")</f>
        <v>0</v>
      </c>
      <c r="M245" s="916">
        <f ca="1">IFERROR($I245*参考2_エネ使用量経年!M138*1000,"")</f>
        <v>0</v>
      </c>
      <c r="N245" s="916">
        <f ca="1">IFERROR($J245*参考2_エネ使用量経年!N138*1000,"")</f>
        <v>0</v>
      </c>
      <c r="O245" s="916">
        <f ca="1">IFERROR($K245*参考2_エネ使用量経年!O138*1000,"")</f>
        <v>0</v>
      </c>
      <c r="P245" s="916">
        <f ca="1">IFERROR($H245*参考2_エネ使用量経年!P138*1000,"")</f>
        <v>0</v>
      </c>
      <c r="Q245" s="916">
        <f ca="1">IFERROR($I245*参考2_エネ使用量経年!Q138*1000,"")</f>
        <v>0</v>
      </c>
      <c r="R245" s="916">
        <f ca="1">IFERROR($J245*参考2_エネ使用量経年!R138*1000,"")</f>
        <v>0</v>
      </c>
      <c r="S245" s="916">
        <f ca="1">IFERROR($K245*参考2_エネ使用量経年!S138*1000,"")</f>
        <v>0</v>
      </c>
      <c r="T245" s="916">
        <f ca="1">IFERROR($H245*参考2_エネ使用量経年!T138*1000,"")</f>
        <v>0</v>
      </c>
      <c r="U245" s="916">
        <f ca="1">IFERROR($I245*参考2_エネ使用量経年!U138*1000,"")</f>
        <v>0</v>
      </c>
      <c r="V245" s="916">
        <f ca="1">IFERROR($J245*参考2_エネ使用量経年!V138*1000,"")</f>
        <v>0</v>
      </c>
      <c r="W245" s="916">
        <f ca="1">IFERROR($K245*参考2_エネ使用量経年!W138*1000,"")</f>
        <v>0</v>
      </c>
      <c r="X245" s="921"/>
      <c r="Y245" s="921"/>
      <c r="Z245" s="921"/>
      <c r="AA245" s="921"/>
      <c r="AB245" s="921"/>
      <c r="AC245" s="921"/>
      <c r="AD245" s="921"/>
      <c r="AE245" s="921"/>
      <c r="AF245" s="921"/>
      <c r="AG245" s="921"/>
      <c r="AH245" s="921"/>
      <c r="AI245" s="921"/>
      <c r="AJ245" s="921"/>
      <c r="AK245" s="921"/>
      <c r="AL245" s="921"/>
      <c r="AM245" s="921"/>
      <c r="AN245" s="921"/>
      <c r="AO245" s="921"/>
      <c r="AP245" s="921"/>
      <c r="AQ245" s="921"/>
      <c r="AR245" s="921"/>
      <c r="AS245" s="921"/>
      <c r="AT245" s="921"/>
      <c r="AU245" s="921"/>
      <c r="AV245" s="921"/>
      <c r="AW245" s="921"/>
      <c r="AX245" s="921"/>
      <c r="AY245" s="921"/>
      <c r="AZ245" s="921"/>
      <c r="BA245" s="921"/>
      <c r="BB245" s="921"/>
      <c r="BC245" s="921"/>
      <c r="BD245" s="921"/>
      <c r="BE245" s="921"/>
      <c r="BF245" s="921"/>
      <c r="BG245" s="921"/>
      <c r="BH245" s="921"/>
      <c r="BI245" s="921"/>
      <c r="BJ245" s="921"/>
      <c r="BK245" s="921"/>
      <c r="BL245" s="921"/>
      <c r="BM245" s="921"/>
      <c r="BN245" s="921"/>
      <c r="BO245" s="921"/>
      <c r="BP245" s="802"/>
    </row>
    <row r="246" spans="1:68" ht="20.100000000000001" hidden="1" customHeight="1" outlineLevel="1">
      <c r="A246" s="747">
        <v>76</v>
      </c>
      <c r="B246" s="1594"/>
      <c r="C246" s="1596"/>
      <c r="D246" s="814" t="s">
        <v>408</v>
      </c>
      <c r="E246" s="785"/>
      <c r="F246" s="810"/>
      <c r="G246" s="852" t="s">
        <v>1281</v>
      </c>
      <c r="H246" s="915">
        <f ca="1">IFERROR(OFFSET(貼付け_2024実績,$A246,6),"")</f>
        <v>0</v>
      </c>
      <c r="I246" s="915">
        <f ca="1">IFERROR(OFFSET(貼付け_2025実績,$A246,6),"")</f>
        <v>0</v>
      </c>
      <c r="J246" s="915">
        <f ca="1">IFERROR(OFFSET(貼付け_2026実績,$A246,6),"")</f>
        <v>0</v>
      </c>
      <c r="K246" s="915">
        <f ca="1">IFERROR(OFFSET(貼付け_2027実績,$A246,6),"")</f>
        <v>0</v>
      </c>
      <c r="L246" s="916">
        <f ca="1">IFERROR($H246*参考2_エネ使用量経年!L139*1000,"")</f>
        <v>0</v>
      </c>
      <c r="M246" s="916">
        <f ca="1">IFERROR($I246*参考2_エネ使用量経年!M139*1000,"")</f>
        <v>0</v>
      </c>
      <c r="N246" s="916">
        <f ca="1">IFERROR($J246*参考2_エネ使用量経年!N139*1000,"")</f>
        <v>0</v>
      </c>
      <c r="O246" s="916">
        <f ca="1">IFERROR($K246*参考2_エネ使用量経年!O139*1000,"")</f>
        <v>0</v>
      </c>
      <c r="P246" s="916">
        <f ca="1">IFERROR($H246*参考2_エネ使用量経年!P139*1000,"")</f>
        <v>0</v>
      </c>
      <c r="Q246" s="916">
        <f ca="1">IFERROR($I246*参考2_エネ使用量経年!Q139*1000,"")</f>
        <v>0</v>
      </c>
      <c r="R246" s="916">
        <f ca="1">IFERROR($J246*参考2_エネ使用量経年!R139*1000,"")</f>
        <v>0</v>
      </c>
      <c r="S246" s="916">
        <f ca="1">IFERROR($K246*参考2_エネ使用量経年!S139*1000,"")</f>
        <v>0</v>
      </c>
      <c r="T246" s="916">
        <f ca="1">IFERROR($H246*参考2_エネ使用量経年!T139*1000,"")</f>
        <v>0</v>
      </c>
      <c r="U246" s="916">
        <f ca="1">IFERROR($I246*参考2_エネ使用量経年!U139*1000,"")</f>
        <v>0</v>
      </c>
      <c r="V246" s="916">
        <f ca="1">IFERROR($J246*参考2_エネ使用量経年!V139*1000,"")</f>
        <v>0</v>
      </c>
      <c r="W246" s="916">
        <f ca="1">IFERROR($K246*参考2_エネ使用量経年!W139*1000,"")</f>
        <v>0</v>
      </c>
      <c r="X246" s="921"/>
      <c r="Y246" s="921"/>
      <c r="Z246" s="921"/>
      <c r="AA246" s="921"/>
      <c r="AB246" s="921"/>
      <c r="AC246" s="921"/>
      <c r="AD246" s="921"/>
      <c r="AE246" s="921"/>
      <c r="AF246" s="921"/>
      <c r="AG246" s="921"/>
      <c r="AH246" s="921"/>
      <c r="AI246" s="921"/>
      <c r="AJ246" s="921"/>
      <c r="AK246" s="921"/>
      <c r="AL246" s="921"/>
      <c r="AM246" s="921"/>
      <c r="AN246" s="921"/>
      <c r="AO246" s="921"/>
      <c r="AP246" s="921"/>
      <c r="AQ246" s="921"/>
      <c r="AR246" s="921"/>
      <c r="AS246" s="921"/>
      <c r="AT246" s="921"/>
      <c r="AU246" s="921"/>
      <c r="AV246" s="921"/>
      <c r="AW246" s="921"/>
      <c r="AX246" s="921"/>
      <c r="AY246" s="921"/>
      <c r="AZ246" s="921"/>
      <c r="BA246" s="921"/>
      <c r="BB246" s="921"/>
      <c r="BC246" s="921"/>
      <c r="BD246" s="921"/>
      <c r="BE246" s="921"/>
      <c r="BF246" s="921"/>
      <c r="BG246" s="921"/>
      <c r="BH246" s="921"/>
      <c r="BI246" s="921"/>
      <c r="BJ246" s="921"/>
      <c r="BK246" s="921"/>
      <c r="BL246" s="921"/>
      <c r="BM246" s="921"/>
      <c r="BN246" s="921"/>
      <c r="BO246" s="921"/>
      <c r="BP246" s="802"/>
    </row>
    <row r="247" spans="1:68" ht="20.100000000000001" hidden="1" customHeight="1" outlineLevel="1">
      <c r="A247" s="994">
        <v>202</v>
      </c>
      <c r="B247" s="1594"/>
      <c r="C247" s="1596"/>
      <c r="D247" s="814" t="s">
        <v>409</v>
      </c>
      <c r="E247" s="792" t="str">
        <f ca="1">参考2_エネ使用量経年!E140</f>
        <v/>
      </c>
      <c r="F247" s="794"/>
      <c r="G247" s="852" t="s">
        <v>1281</v>
      </c>
      <c r="H247" s="915">
        <f ca="1">IFERROR(OFFSET(貼付け_2024実績,$A247,16),"")</f>
        <v>0</v>
      </c>
      <c r="I247" s="915">
        <f ca="1">IFERROR(OFFSET(貼付け_2025実績,$A247,16),"")</f>
        <v>0</v>
      </c>
      <c r="J247" s="915">
        <f ca="1">IFERROR(OFFSET(貼付け_2026実績,$A247,16),"")</f>
        <v>0</v>
      </c>
      <c r="K247" s="915">
        <f ca="1">IFERROR(OFFSET(貼付け_2027実績,$A247,16),"")</f>
        <v>0</v>
      </c>
      <c r="L247" s="916">
        <f ca="1">IFERROR($H247*参考2_エネ使用量経年!L140*1000,"")</f>
        <v>0</v>
      </c>
      <c r="M247" s="916">
        <f ca="1">IFERROR($I247*参考2_エネ使用量経年!M140*1000,"")</f>
        <v>0</v>
      </c>
      <c r="N247" s="916">
        <f ca="1">IFERROR($J247*参考2_エネ使用量経年!N140*1000,"")</f>
        <v>0</v>
      </c>
      <c r="O247" s="916">
        <f ca="1">IFERROR($K247*参考2_エネ使用量経年!O140*1000,"")</f>
        <v>0</v>
      </c>
      <c r="P247" s="916">
        <f ca="1">IFERROR($H247*参考2_エネ使用量経年!P140*1000,"")</f>
        <v>0</v>
      </c>
      <c r="Q247" s="916">
        <f ca="1">IFERROR($I247*参考2_エネ使用量経年!Q140*1000,"")</f>
        <v>0</v>
      </c>
      <c r="R247" s="916">
        <f ca="1">IFERROR($J247*参考2_エネ使用量経年!R140*1000,"")</f>
        <v>0</v>
      </c>
      <c r="S247" s="916">
        <f ca="1">IFERROR($K247*参考2_エネ使用量経年!S140*1000,"")</f>
        <v>0</v>
      </c>
      <c r="T247" s="916">
        <f ca="1">IFERROR($H247*参考2_エネ使用量経年!T140*1000,"")</f>
        <v>0</v>
      </c>
      <c r="U247" s="916">
        <f ca="1">IFERROR($I247*参考2_エネ使用量経年!U140*1000,"")</f>
        <v>0</v>
      </c>
      <c r="V247" s="916">
        <f ca="1">IFERROR($J247*参考2_エネ使用量経年!V140*1000,"")</f>
        <v>0</v>
      </c>
      <c r="W247" s="916">
        <f ca="1">IFERROR($K247*参考2_エネ使用量経年!W140*1000,"")</f>
        <v>0</v>
      </c>
      <c r="X247" s="921"/>
      <c r="Y247" s="921"/>
      <c r="Z247" s="921"/>
      <c r="AA247" s="921"/>
      <c r="AB247" s="921"/>
      <c r="AC247" s="921"/>
      <c r="AD247" s="921"/>
      <c r="AE247" s="921"/>
      <c r="AF247" s="921"/>
      <c r="AG247" s="921"/>
      <c r="AH247" s="921"/>
      <c r="AI247" s="921"/>
      <c r="AJ247" s="921"/>
      <c r="AK247" s="921"/>
      <c r="AL247" s="921"/>
      <c r="AM247" s="921"/>
      <c r="AN247" s="921"/>
      <c r="AO247" s="921"/>
      <c r="AP247" s="921"/>
      <c r="AQ247" s="921"/>
      <c r="AR247" s="921"/>
      <c r="AS247" s="921"/>
      <c r="AT247" s="921"/>
      <c r="AU247" s="921"/>
      <c r="AV247" s="921"/>
      <c r="AW247" s="921"/>
      <c r="AX247" s="921"/>
      <c r="AY247" s="921"/>
      <c r="AZ247" s="921"/>
      <c r="BA247" s="921"/>
      <c r="BB247" s="921"/>
      <c r="BC247" s="921"/>
      <c r="BD247" s="921"/>
      <c r="BE247" s="921"/>
      <c r="BF247" s="921"/>
      <c r="BG247" s="921"/>
      <c r="BH247" s="921"/>
      <c r="BI247" s="921"/>
      <c r="BJ247" s="921"/>
      <c r="BK247" s="921"/>
      <c r="BL247" s="921"/>
      <c r="BM247" s="921"/>
      <c r="BN247" s="921"/>
      <c r="BO247" s="921"/>
      <c r="BP247" s="802"/>
    </row>
    <row r="248" spans="1:68" ht="20.100000000000001" hidden="1" customHeight="1" outlineLevel="1">
      <c r="A248" s="994">
        <v>203</v>
      </c>
      <c r="B248" s="1594"/>
      <c r="C248" s="1596"/>
      <c r="D248" s="905" t="s">
        <v>410</v>
      </c>
      <c r="E248" s="792" t="str">
        <f ca="1">参考2_エネ使用量経年!E141</f>
        <v/>
      </c>
      <c r="F248" s="794"/>
      <c r="G248" s="852" t="s">
        <v>1281</v>
      </c>
      <c r="H248" s="915">
        <f ca="1">IFERROR(OFFSET(貼付け_2024実績,$A248,16),"")</f>
        <v>0</v>
      </c>
      <c r="I248" s="915">
        <f ca="1">IFERROR(OFFSET(貼付け_2025実績,$A248,16),"")</f>
        <v>0</v>
      </c>
      <c r="J248" s="915">
        <f ca="1">IFERROR(OFFSET(貼付け_2026実績,$A248,16),"")</f>
        <v>0</v>
      </c>
      <c r="K248" s="915">
        <f ca="1">IFERROR(OFFSET(貼付け_2027実績,$A248,16),"")</f>
        <v>0</v>
      </c>
      <c r="L248" s="916">
        <f ca="1">IFERROR($H248*参考2_エネ使用量経年!L141*1000,"")</f>
        <v>0</v>
      </c>
      <c r="M248" s="916">
        <f ca="1">IFERROR($I248*参考2_エネ使用量経年!M141*1000,"")</f>
        <v>0</v>
      </c>
      <c r="N248" s="916">
        <f ca="1">IFERROR($J248*参考2_エネ使用量経年!N141*1000,"")</f>
        <v>0</v>
      </c>
      <c r="O248" s="916">
        <f ca="1">IFERROR($K248*参考2_エネ使用量経年!O141*1000,"")</f>
        <v>0</v>
      </c>
      <c r="P248" s="916">
        <f ca="1">IFERROR($H248*参考2_エネ使用量経年!P141*1000,"")</f>
        <v>0</v>
      </c>
      <c r="Q248" s="916">
        <f ca="1">IFERROR($I248*参考2_エネ使用量経年!Q141*1000,"")</f>
        <v>0</v>
      </c>
      <c r="R248" s="916">
        <f ca="1">IFERROR($J248*参考2_エネ使用量経年!R141*1000,"")</f>
        <v>0</v>
      </c>
      <c r="S248" s="916">
        <f ca="1">IFERROR($K248*参考2_エネ使用量経年!S141*1000,"")</f>
        <v>0</v>
      </c>
      <c r="T248" s="916">
        <f ca="1">IFERROR($H248*参考2_エネ使用量経年!T141*1000,"")</f>
        <v>0</v>
      </c>
      <c r="U248" s="916">
        <f ca="1">IFERROR($I248*参考2_エネ使用量経年!U141*1000,"")</f>
        <v>0</v>
      </c>
      <c r="V248" s="916">
        <f ca="1">IFERROR($J248*参考2_エネ使用量経年!V141*1000,"")</f>
        <v>0</v>
      </c>
      <c r="W248" s="916">
        <f ca="1">IFERROR($K248*参考2_エネ使用量経年!W141*1000,"")</f>
        <v>0</v>
      </c>
      <c r="X248" s="921"/>
      <c r="Y248" s="921"/>
      <c r="Z248" s="921"/>
      <c r="AA248" s="921"/>
      <c r="AB248" s="921"/>
      <c r="AC248" s="921"/>
      <c r="AD248" s="921"/>
      <c r="AE248" s="921"/>
      <c r="AF248" s="921"/>
      <c r="AG248" s="921"/>
      <c r="AH248" s="921"/>
      <c r="AI248" s="921"/>
      <c r="AJ248" s="921"/>
      <c r="AK248" s="921"/>
      <c r="AL248" s="921"/>
      <c r="AM248" s="921"/>
      <c r="AN248" s="921"/>
      <c r="AO248" s="921"/>
      <c r="AP248" s="921"/>
      <c r="AQ248" s="921"/>
      <c r="AR248" s="921"/>
      <c r="AS248" s="921"/>
      <c r="AT248" s="921"/>
      <c r="AU248" s="921"/>
      <c r="AV248" s="921"/>
      <c r="AW248" s="921"/>
      <c r="AX248" s="921"/>
      <c r="AY248" s="921"/>
      <c r="AZ248" s="921"/>
      <c r="BA248" s="921"/>
      <c r="BB248" s="921"/>
      <c r="BC248" s="921"/>
      <c r="BD248" s="921"/>
      <c r="BE248" s="921"/>
      <c r="BF248" s="921"/>
      <c r="BG248" s="921"/>
      <c r="BH248" s="921"/>
      <c r="BI248" s="921"/>
      <c r="BJ248" s="921"/>
      <c r="BK248" s="921"/>
      <c r="BL248" s="921"/>
      <c r="BM248" s="921"/>
      <c r="BN248" s="921"/>
      <c r="BO248" s="921"/>
      <c r="BP248" s="802"/>
    </row>
    <row r="249" spans="1:68" ht="19.5" customHeight="1" collapsed="1">
      <c r="B249" s="926" t="s">
        <v>913</v>
      </c>
      <c r="C249" s="839"/>
      <c r="D249" s="874" t="s">
        <v>914</v>
      </c>
      <c r="E249" s="927"/>
      <c r="F249" s="862" t="s">
        <v>413</v>
      </c>
      <c r="G249" s="852" t="s">
        <v>1281</v>
      </c>
      <c r="H249" s="921"/>
      <c r="I249" s="921"/>
      <c r="J249" s="921"/>
      <c r="K249" s="921"/>
      <c r="L249" s="916">
        <f t="shared" ref="L249:O249" ca="1" si="72">SUM(L230:L243)</f>
        <v>0</v>
      </c>
      <c r="M249" s="916">
        <f t="shared" ca="1" si="72"/>
        <v>0</v>
      </c>
      <c r="N249" s="916">
        <f t="shared" ca="1" si="72"/>
        <v>0</v>
      </c>
      <c r="O249" s="916">
        <f t="shared" ca="1" si="72"/>
        <v>0</v>
      </c>
      <c r="P249" s="952">
        <f ca="1">SUM(P230:P243)</f>
        <v>0</v>
      </c>
      <c r="Q249" s="952">
        <f t="shared" ref="Q249:W249" ca="1" si="73">SUM(Q230:Q243)</f>
        <v>0</v>
      </c>
      <c r="R249" s="952">
        <f t="shared" ca="1" si="73"/>
        <v>0</v>
      </c>
      <c r="S249" s="952">
        <f t="shared" ca="1" si="73"/>
        <v>0</v>
      </c>
      <c r="T249" s="952">
        <f t="shared" ca="1" si="73"/>
        <v>0</v>
      </c>
      <c r="U249" s="952">
        <f t="shared" ca="1" si="73"/>
        <v>0</v>
      </c>
      <c r="V249" s="952">
        <f t="shared" ca="1" si="73"/>
        <v>0</v>
      </c>
      <c r="W249" s="952">
        <f t="shared" ca="1" si="73"/>
        <v>0</v>
      </c>
      <c r="X249" s="921"/>
      <c r="Y249" s="921"/>
      <c r="Z249" s="921"/>
      <c r="AA249" s="921"/>
      <c r="AB249" s="921"/>
      <c r="AC249" s="921"/>
      <c r="AD249" s="921"/>
      <c r="AE249" s="921"/>
      <c r="AF249" s="921"/>
      <c r="AG249" s="921"/>
      <c r="AH249" s="921"/>
      <c r="AI249" s="921"/>
      <c r="AJ249" s="921"/>
      <c r="AK249" s="921"/>
      <c r="AL249" s="921"/>
      <c r="AM249" s="921"/>
      <c r="AN249" s="921"/>
      <c r="AO249" s="921"/>
      <c r="AP249" s="921"/>
      <c r="AQ249" s="921"/>
      <c r="AR249" s="921"/>
      <c r="AS249" s="921"/>
      <c r="AT249" s="921"/>
      <c r="AU249" s="921"/>
      <c r="AV249" s="921"/>
      <c r="AW249" s="921"/>
      <c r="AX249" s="921"/>
      <c r="AY249" s="921"/>
      <c r="AZ249" s="921"/>
      <c r="BA249" s="921"/>
      <c r="BB249" s="921"/>
      <c r="BC249" s="921"/>
      <c r="BD249" s="921"/>
      <c r="BE249" s="921"/>
      <c r="BF249" s="921"/>
      <c r="BG249" s="921"/>
      <c r="BH249" s="921"/>
      <c r="BI249" s="921"/>
      <c r="BJ249" s="921"/>
      <c r="BK249" s="921"/>
      <c r="BL249" s="921"/>
      <c r="BM249" s="921"/>
      <c r="BN249" s="921"/>
      <c r="BO249" s="921"/>
      <c r="BP249" s="802"/>
    </row>
    <row r="250" spans="1:68" ht="21">
      <c r="B250" s="930" t="s">
        <v>952</v>
      </c>
      <c r="C250" s="933"/>
      <c r="D250" s="874" t="s">
        <v>919</v>
      </c>
      <c r="E250" s="932"/>
      <c r="F250" s="862" t="s">
        <v>419</v>
      </c>
      <c r="G250" s="852" t="s">
        <v>1281</v>
      </c>
      <c r="H250" s="921"/>
      <c r="I250" s="921"/>
      <c r="J250" s="921"/>
      <c r="K250" s="921"/>
      <c r="L250" s="916">
        <f t="shared" ref="L250:O250" ca="1" si="74">SUM(L244:L248)</f>
        <v>0</v>
      </c>
      <c r="M250" s="916">
        <f t="shared" ca="1" si="74"/>
        <v>0</v>
      </c>
      <c r="N250" s="916">
        <f t="shared" ca="1" si="74"/>
        <v>0</v>
      </c>
      <c r="O250" s="916">
        <f t="shared" ca="1" si="74"/>
        <v>0</v>
      </c>
      <c r="P250" s="952">
        <f ca="1">SUM(P244:P248)</f>
        <v>0</v>
      </c>
      <c r="Q250" s="952">
        <f t="shared" ref="Q250:W250" ca="1" si="75">SUM(Q244:Q248)</f>
        <v>0</v>
      </c>
      <c r="R250" s="952">
        <f t="shared" ca="1" si="75"/>
        <v>0</v>
      </c>
      <c r="S250" s="952">
        <f t="shared" ca="1" si="75"/>
        <v>0</v>
      </c>
      <c r="T250" s="952">
        <f t="shared" ca="1" si="75"/>
        <v>0</v>
      </c>
      <c r="U250" s="952">
        <f t="shared" ca="1" si="75"/>
        <v>0</v>
      </c>
      <c r="V250" s="952">
        <f t="shared" ca="1" si="75"/>
        <v>0</v>
      </c>
      <c r="W250" s="952">
        <f t="shared" ca="1" si="75"/>
        <v>0</v>
      </c>
      <c r="X250" s="921"/>
      <c r="Y250" s="921"/>
      <c r="Z250" s="921"/>
      <c r="AA250" s="921"/>
      <c r="AB250" s="921"/>
      <c r="AC250" s="921"/>
      <c r="AD250" s="921"/>
      <c r="AE250" s="921"/>
      <c r="AF250" s="921"/>
      <c r="AG250" s="921"/>
      <c r="AH250" s="921"/>
      <c r="AI250" s="921"/>
      <c r="AJ250" s="921"/>
      <c r="AK250" s="921"/>
      <c r="AL250" s="921"/>
      <c r="AM250" s="921"/>
      <c r="AN250" s="921"/>
      <c r="AO250" s="921"/>
      <c r="AP250" s="921"/>
      <c r="AQ250" s="921"/>
      <c r="AR250" s="921"/>
      <c r="AS250" s="921"/>
      <c r="AT250" s="921"/>
      <c r="AU250" s="921"/>
      <c r="AV250" s="921"/>
      <c r="AW250" s="921"/>
      <c r="AX250" s="921"/>
      <c r="AY250" s="921"/>
      <c r="AZ250" s="921"/>
      <c r="BA250" s="921"/>
      <c r="BB250" s="921"/>
      <c r="BC250" s="921"/>
      <c r="BD250" s="921"/>
      <c r="BE250" s="921"/>
      <c r="BF250" s="921"/>
      <c r="BG250" s="921"/>
      <c r="BH250" s="921"/>
      <c r="BI250" s="921"/>
      <c r="BJ250" s="921"/>
      <c r="BK250" s="921"/>
      <c r="BL250" s="921"/>
      <c r="BM250" s="921"/>
      <c r="BN250" s="921"/>
      <c r="BO250" s="921"/>
      <c r="BP250" s="802"/>
    </row>
    <row r="251" spans="1:68" ht="21" customHeight="1">
      <c r="A251" s="747">
        <v>153</v>
      </c>
      <c r="B251" s="1633" t="s">
        <v>921</v>
      </c>
      <c r="C251" s="1636" t="s">
        <v>466</v>
      </c>
      <c r="D251" s="936" t="s">
        <v>467</v>
      </c>
      <c r="E251" s="937"/>
      <c r="F251" s="938" t="s">
        <v>809</v>
      </c>
      <c r="G251" s="939" t="s">
        <v>1282</v>
      </c>
      <c r="H251" s="921"/>
      <c r="I251" s="921"/>
      <c r="J251" s="921"/>
      <c r="K251" s="921"/>
      <c r="L251" s="941">
        <f t="shared" ref="L251:O264" ca="1" si="76">SUM(P251,T251)</f>
        <v>0</v>
      </c>
      <c r="M251" s="941">
        <f t="shared" ca="1" si="76"/>
        <v>0</v>
      </c>
      <c r="N251" s="941">
        <f t="shared" ca="1" si="76"/>
        <v>0</v>
      </c>
      <c r="O251" s="941">
        <f t="shared" ca="1" si="76"/>
        <v>0</v>
      </c>
      <c r="P251" s="943">
        <f t="shared" ref="P251:P264" ca="1" si="77">IFERROR(SUM(OFFSET(貼付け_2024実績,$A251,11,1,2)),"")</f>
        <v>0</v>
      </c>
      <c r="Q251" s="943">
        <f t="shared" ref="Q251:Q264" ca="1" si="78">IFERROR(SUM(OFFSET(貼付け_2025実績,$A251,11,1,2)),"")</f>
        <v>0</v>
      </c>
      <c r="R251" s="943">
        <f t="shared" ref="R251:R264" ca="1" si="79">IFERROR(SUM(OFFSET(貼付け_2026実績,$A251,11,1,2)),"")</f>
        <v>0</v>
      </c>
      <c r="S251" s="943">
        <f t="shared" ref="S251:S264" ca="1" si="80">IFERROR(SUM(OFFSET(貼付け_2027実績,$A251,11,1,2)),"")</f>
        <v>0</v>
      </c>
      <c r="T251" s="943">
        <f t="shared" ref="T251:T264" ca="1" si="81">IFERROR(OFFSET(貼付け_2024実績,$A251,10),"")</f>
        <v>0</v>
      </c>
      <c r="U251" s="943">
        <f t="shared" ref="U251:U264" ca="1" si="82">IFERROR(OFFSET(貼付け_2025実績,$A251,10),"")</f>
        <v>0</v>
      </c>
      <c r="V251" s="943">
        <f t="shared" ref="V251:V264" ca="1" si="83">IFERROR(OFFSET(貼付け_2026実績,$A251,10),"")</f>
        <v>0</v>
      </c>
      <c r="W251" s="943">
        <f t="shared" ref="W251:W264" ca="1" si="84">IFERROR(OFFSET(貼付け_2027実績,$A251,10),"")</f>
        <v>0</v>
      </c>
      <c r="X251" s="921"/>
      <c r="Y251" s="921"/>
      <c r="Z251" s="921"/>
      <c r="AA251" s="921"/>
      <c r="AB251" s="921"/>
      <c r="AC251" s="921"/>
      <c r="AD251" s="921"/>
      <c r="AE251" s="921"/>
      <c r="AF251" s="921"/>
      <c r="AG251" s="921"/>
      <c r="AH251" s="921"/>
      <c r="AI251" s="921"/>
      <c r="AJ251" s="921"/>
      <c r="AK251" s="921"/>
      <c r="AL251" s="921"/>
      <c r="AM251" s="921"/>
      <c r="AN251" s="921"/>
      <c r="AO251" s="921"/>
      <c r="AP251" s="921"/>
      <c r="AQ251" s="921"/>
      <c r="AR251" s="921"/>
      <c r="AS251" s="921"/>
      <c r="AT251" s="921"/>
      <c r="AU251" s="921"/>
      <c r="AV251" s="921"/>
      <c r="AW251" s="921"/>
      <c r="AX251" s="921"/>
      <c r="AY251" s="921"/>
      <c r="AZ251" s="921"/>
      <c r="BA251" s="921"/>
      <c r="BB251" s="921"/>
      <c r="BC251" s="921"/>
      <c r="BD251" s="921"/>
      <c r="BE251" s="921"/>
      <c r="BF251" s="921"/>
      <c r="BG251" s="921"/>
      <c r="BH251" s="921"/>
      <c r="BI251" s="921"/>
      <c r="BJ251" s="921"/>
      <c r="BK251" s="921"/>
      <c r="BL251" s="921"/>
      <c r="BM251" s="921"/>
      <c r="BN251" s="921"/>
      <c r="BO251" s="921"/>
      <c r="BP251" s="802"/>
    </row>
    <row r="252" spans="1:68" ht="21" customHeight="1">
      <c r="A252" s="747">
        <v>154</v>
      </c>
      <c r="B252" s="1634"/>
      <c r="C252" s="1637"/>
      <c r="D252" s="936" t="s">
        <v>434</v>
      </c>
      <c r="E252" s="937"/>
      <c r="F252" s="938" t="s">
        <v>812</v>
      </c>
      <c r="G252" s="939" t="s">
        <v>1282</v>
      </c>
      <c r="H252" s="921"/>
      <c r="I252" s="921"/>
      <c r="J252" s="921"/>
      <c r="K252" s="921"/>
      <c r="L252" s="941">
        <f t="shared" ca="1" si="76"/>
        <v>0</v>
      </c>
      <c r="M252" s="941">
        <f t="shared" ca="1" si="76"/>
        <v>0</v>
      </c>
      <c r="N252" s="941">
        <f t="shared" ca="1" si="76"/>
        <v>0</v>
      </c>
      <c r="O252" s="941">
        <f t="shared" ca="1" si="76"/>
        <v>0</v>
      </c>
      <c r="P252" s="943">
        <f t="shared" ca="1" si="77"/>
        <v>0</v>
      </c>
      <c r="Q252" s="943">
        <f t="shared" ca="1" si="78"/>
        <v>0</v>
      </c>
      <c r="R252" s="943">
        <f t="shared" ca="1" si="79"/>
        <v>0</v>
      </c>
      <c r="S252" s="943">
        <f t="shared" ca="1" si="80"/>
        <v>0</v>
      </c>
      <c r="T252" s="943">
        <f t="shared" ca="1" si="81"/>
        <v>0</v>
      </c>
      <c r="U252" s="943">
        <f t="shared" ca="1" si="82"/>
        <v>0</v>
      </c>
      <c r="V252" s="943">
        <f t="shared" ca="1" si="83"/>
        <v>0</v>
      </c>
      <c r="W252" s="943">
        <f t="shared" ca="1" si="84"/>
        <v>0</v>
      </c>
      <c r="X252" s="921"/>
      <c r="Y252" s="921"/>
      <c r="Z252" s="921"/>
      <c r="AA252" s="921"/>
      <c r="AB252" s="921"/>
      <c r="AC252" s="921"/>
      <c r="AD252" s="921"/>
      <c r="AE252" s="921"/>
      <c r="AF252" s="921"/>
      <c r="AG252" s="921"/>
      <c r="AH252" s="921"/>
      <c r="AI252" s="921"/>
      <c r="AJ252" s="921"/>
      <c r="AK252" s="921"/>
      <c r="AL252" s="921"/>
      <c r="AM252" s="921"/>
      <c r="AN252" s="921"/>
      <c r="AO252" s="921"/>
      <c r="AP252" s="921"/>
      <c r="AQ252" s="921"/>
      <c r="AR252" s="921"/>
      <c r="AS252" s="921"/>
      <c r="AT252" s="921"/>
      <c r="AU252" s="921"/>
      <c r="AV252" s="921"/>
      <c r="AW252" s="921"/>
      <c r="AX252" s="921"/>
      <c r="AY252" s="921"/>
      <c r="AZ252" s="921"/>
      <c r="BA252" s="921"/>
      <c r="BB252" s="921"/>
      <c r="BC252" s="921"/>
      <c r="BD252" s="921"/>
      <c r="BE252" s="921"/>
      <c r="BF252" s="921"/>
      <c r="BG252" s="921"/>
      <c r="BH252" s="921"/>
      <c r="BI252" s="921"/>
      <c r="BJ252" s="921"/>
      <c r="BK252" s="921"/>
      <c r="BL252" s="921"/>
      <c r="BM252" s="921"/>
      <c r="BN252" s="921"/>
      <c r="BO252" s="921"/>
      <c r="BP252" s="802"/>
    </row>
    <row r="253" spans="1:68">
      <c r="A253" s="747">
        <v>155</v>
      </c>
      <c r="B253" s="1634"/>
      <c r="C253" s="1637"/>
      <c r="D253" s="1639" t="s">
        <v>468</v>
      </c>
      <c r="E253" s="944" t="s">
        <v>435</v>
      </c>
      <c r="F253" s="938" t="s">
        <v>815</v>
      </c>
      <c r="G253" s="939" t="s">
        <v>433</v>
      </c>
      <c r="H253" s="921"/>
      <c r="I253" s="921"/>
      <c r="J253" s="921"/>
      <c r="K253" s="921"/>
      <c r="L253" s="941">
        <f t="shared" ca="1" si="76"/>
        <v>0</v>
      </c>
      <c r="M253" s="941">
        <f t="shared" ca="1" si="76"/>
        <v>0</v>
      </c>
      <c r="N253" s="941">
        <f t="shared" ca="1" si="76"/>
        <v>0</v>
      </c>
      <c r="O253" s="941">
        <f t="shared" ca="1" si="76"/>
        <v>0</v>
      </c>
      <c r="P253" s="943">
        <f t="shared" ca="1" si="77"/>
        <v>0</v>
      </c>
      <c r="Q253" s="943">
        <f t="shared" ca="1" si="78"/>
        <v>0</v>
      </c>
      <c r="R253" s="943">
        <f t="shared" ca="1" si="79"/>
        <v>0</v>
      </c>
      <c r="S253" s="943">
        <f t="shared" ca="1" si="80"/>
        <v>0</v>
      </c>
      <c r="T253" s="941">
        <f t="shared" ca="1" si="81"/>
        <v>0</v>
      </c>
      <c r="U253" s="941">
        <f t="shared" ca="1" si="82"/>
        <v>0</v>
      </c>
      <c r="V253" s="941">
        <f t="shared" ca="1" si="83"/>
        <v>0</v>
      </c>
      <c r="W253" s="941">
        <f t="shared" ca="1" si="84"/>
        <v>0</v>
      </c>
      <c r="X253" s="921"/>
      <c r="Y253" s="921"/>
      <c r="Z253" s="921"/>
      <c r="AA253" s="921"/>
      <c r="AB253" s="921"/>
      <c r="AC253" s="921"/>
      <c r="AD253" s="921"/>
      <c r="AE253" s="921"/>
      <c r="AF253" s="921"/>
      <c r="AG253" s="921"/>
      <c r="AH253" s="921"/>
      <c r="AI253" s="921"/>
      <c r="AJ253" s="921"/>
      <c r="AK253" s="921"/>
      <c r="AL253" s="921"/>
      <c r="AM253" s="921"/>
      <c r="AN253" s="921"/>
      <c r="AO253" s="921"/>
      <c r="AP253" s="921"/>
      <c r="AQ253" s="921"/>
      <c r="AR253" s="921"/>
      <c r="AS253" s="921"/>
      <c r="AT253" s="921"/>
      <c r="AU253" s="921"/>
      <c r="AV253" s="921"/>
      <c r="AW253" s="921"/>
      <c r="AX253" s="921"/>
      <c r="AY253" s="921"/>
      <c r="AZ253" s="921"/>
      <c r="BA253" s="921"/>
      <c r="BB253" s="921"/>
      <c r="BC253" s="921"/>
      <c r="BD253" s="921"/>
      <c r="BE253" s="921"/>
      <c r="BF253" s="921"/>
      <c r="BG253" s="921"/>
      <c r="BH253" s="921"/>
      <c r="BI253" s="921"/>
      <c r="BJ253" s="921"/>
      <c r="BK253" s="921"/>
      <c r="BL253" s="921"/>
      <c r="BM253" s="921"/>
      <c r="BN253" s="921"/>
      <c r="BO253" s="921"/>
      <c r="BP253" s="802"/>
    </row>
    <row r="254" spans="1:68">
      <c r="A254" s="747">
        <v>156</v>
      </c>
      <c r="B254" s="1634"/>
      <c r="C254" s="1637"/>
      <c r="D254" s="1640"/>
      <c r="E254" s="946"/>
      <c r="F254" s="938"/>
      <c r="G254" s="939" t="s">
        <v>436</v>
      </c>
      <c r="H254" s="921"/>
      <c r="I254" s="921"/>
      <c r="J254" s="921"/>
      <c r="K254" s="921"/>
      <c r="L254" s="941">
        <f t="shared" ca="1" si="76"/>
        <v>0</v>
      </c>
      <c r="M254" s="941">
        <f t="shared" ca="1" si="76"/>
        <v>0</v>
      </c>
      <c r="N254" s="941">
        <f t="shared" ca="1" si="76"/>
        <v>0</v>
      </c>
      <c r="O254" s="941">
        <f t="shared" ca="1" si="76"/>
        <v>0</v>
      </c>
      <c r="P254" s="943">
        <f t="shared" ca="1" si="77"/>
        <v>0</v>
      </c>
      <c r="Q254" s="943">
        <f t="shared" ca="1" si="78"/>
        <v>0</v>
      </c>
      <c r="R254" s="943">
        <f t="shared" ca="1" si="79"/>
        <v>0</v>
      </c>
      <c r="S254" s="943">
        <f t="shared" ca="1" si="80"/>
        <v>0</v>
      </c>
      <c r="T254" s="941">
        <f t="shared" ca="1" si="81"/>
        <v>0</v>
      </c>
      <c r="U254" s="941">
        <f t="shared" ca="1" si="82"/>
        <v>0</v>
      </c>
      <c r="V254" s="941">
        <f t="shared" ca="1" si="83"/>
        <v>0</v>
      </c>
      <c r="W254" s="941">
        <f t="shared" ca="1" si="84"/>
        <v>0</v>
      </c>
      <c r="X254" s="921"/>
      <c r="Y254" s="921"/>
      <c r="Z254" s="921"/>
      <c r="AA254" s="921"/>
      <c r="AB254" s="921"/>
      <c r="AC254" s="921"/>
      <c r="AD254" s="921"/>
      <c r="AE254" s="921"/>
      <c r="AF254" s="921"/>
      <c r="AG254" s="921"/>
      <c r="AH254" s="921"/>
      <c r="AI254" s="921"/>
      <c r="AJ254" s="921"/>
      <c r="AK254" s="921"/>
      <c r="AL254" s="921"/>
      <c r="AM254" s="921"/>
      <c r="AN254" s="921"/>
      <c r="AO254" s="921"/>
      <c r="AP254" s="921"/>
      <c r="AQ254" s="921"/>
      <c r="AR254" s="921"/>
      <c r="AS254" s="921"/>
      <c r="AT254" s="921"/>
      <c r="AU254" s="921"/>
      <c r="AV254" s="921"/>
      <c r="AW254" s="921"/>
      <c r="AX254" s="921"/>
      <c r="AY254" s="921"/>
      <c r="AZ254" s="921"/>
      <c r="BA254" s="921"/>
      <c r="BB254" s="921"/>
      <c r="BC254" s="921"/>
      <c r="BD254" s="921"/>
      <c r="BE254" s="921"/>
      <c r="BF254" s="921"/>
      <c r="BG254" s="921"/>
      <c r="BH254" s="921"/>
      <c r="BI254" s="921"/>
      <c r="BJ254" s="921"/>
      <c r="BK254" s="921"/>
      <c r="BL254" s="921"/>
      <c r="BM254" s="921"/>
      <c r="BN254" s="921"/>
      <c r="BO254" s="921"/>
      <c r="BP254" s="802"/>
    </row>
    <row r="255" spans="1:68" ht="21" customHeight="1">
      <c r="A255" s="747">
        <v>157</v>
      </c>
      <c r="B255" s="1634"/>
      <c r="C255" s="1637"/>
      <c r="D255" s="1640"/>
      <c r="E255" s="948" t="s">
        <v>437</v>
      </c>
      <c r="F255" s="810" t="s">
        <v>818</v>
      </c>
      <c r="G255" s="852" t="s">
        <v>433</v>
      </c>
      <c r="H255" s="921"/>
      <c r="I255" s="921"/>
      <c r="J255" s="921"/>
      <c r="K255" s="921"/>
      <c r="L255" s="952">
        <f t="shared" ca="1" si="76"/>
        <v>0</v>
      </c>
      <c r="M255" s="952">
        <f t="shared" ca="1" si="76"/>
        <v>0</v>
      </c>
      <c r="N255" s="952">
        <f t="shared" ca="1" si="76"/>
        <v>0</v>
      </c>
      <c r="O255" s="952">
        <f t="shared" ca="1" si="76"/>
        <v>0</v>
      </c>
      <c r="P255" s="929">
        <f t="shared" ca="1" si="77"/>
        <v>0</v>
      </c>
      <c r="Q255" s="929">
        <f t="shared" ca="1" si="78"/>
        <v>0</v>
      </c>
      <c r="R255" s="929">
        <f t="shared" ca="1" si="79"/>
        <v>0</v>
      </c>
      <c r="S255" s="929">
        <f t="shared" ca="1" si="80"/>
        <v>0</v>
      </c>
      <c r="T255" s="952">
        <f t="shared" ca="1" si="81"/>
        <v>0</v>
      </c>
      <c r="U255" s="952">
        <f t="shared" ca="1" si="82"/>
        <v>0</v>
      </c>
      <c r="V255" s="952">
        <f t="shared" ca="1" si="83"/>
        <v>0</v>
      </c>
      <c r="W255" s="952">
        <f t="shared" ca="1" si="84"/>
        <v>0</v>
      </c>
      <c r="X255" s="921"/>
      <c r="Y255" s="921"/>
      <c r="Z255" s="921"/>
      <c r="AA255" s="921"/>
      <c r="AB255" s="921"/>
      <c r="AC255" s="921"/>
      <c r="AD255" s="921"/>
      <c r="AE255" s="921"/>
      <c r="AF255" s="921"/>
      <c r="AG255" s="921"/>
      <c r="AH255" s="921"/>
      <c r="AI255" s="921"/>
      <c r="AJ255" s="921"/>
      <c r="AK255" s="921"/>
      <c r="AL255" s="921"/>
      <c r="AM255" s="921"/>
      <c r="AN255" s="921"/>
      <c r="AO255" s="921"/>
      <c r="AP255" s="921"/>
      <c r="AQ255" s="921"/>
      <c r="AR255" s="921"/>
      <c r="AS255" s="921"/>
      <c r="AT255" s="921"/>
      <c r="AU255" s="921"/>
      <c r="AV255" s="921"/>
      <c r="AW255" s="921"/>
      <c r="AX255" s="921"/>
      <c r="AY255" s="921"/>
      <c r="AZ255" s="921"/>
      <c r="BA255" s="921"/>
      <c r="BB255" s="921"/>
      <c r="BC255" s="921"/>
      <c r="BD255" s="921"/>
      <c r="BE255" s="921"/>
      <c r="BF255" s="921"/>
      <c r="BG255" s="921"/>
      <c r="BH255" s="921"/>
      <c r="BI255" s="921"/>
      <c r="BJ255" s="921"/>
      <c r="BK255" s="921"/>
      <c r="BL255" s="921"/>
      <c r="BM255" s="921"/>
      <c r="BN255" s="921"/>
      <c r="BO255" s="921"/>
      <c r="BP255" s="802"/>
    </row>
    <row r="256" spans="1:68" ht="21" customHeight="1">
      <c r="A256" s="747">
        <v>158</v>
      </c>
      <c r="B256" s="1634"/>
      <c r="C256" s="1637"/>
      <c r="D256" s="1640"/>
      <c r="E256" s="950"/>
      <c r="F256" s="810"/>
      <c r="G256" s="852" t="s">
        <v>461</v>
      </c>
      <c r="H256" s="921"/>
      <c r="I256" s="921"/>
      <c r="J256" s="921"/>
      <c r="K256" s="921"/>
      <c r="L256" s="952">
        <f t="shared" ca="1" si="76"/>
        <v>0</v>
      </c>
      <c r="M256" s="952">
        <f t="shared" ca="1" si="76"/>
        <v>0</v>
      </c>
      <c r="N256" s="952">
        <f t="shared" ca="1" si="76"/>
        <v>0</v>
      </c>
      <c r="O256" s="952">
        <f t="shared" ca="1" si="76"/>
        <v>0</v>
      </c>
      <c r="P256" s="929">
        <f t="shared" ca="1" si="77"/>
        <v>0</v>
      </c>
      <c r="Q256" s="929">
        <f t="shared" ca="1" si="78"/>
        <v>0</v>
      </c>
      <c r="R256" s="929">
        <f t="shared" ca="1" si="79"/>
        <v>0</v>
      </c>
      <c r="S256" s="929">
        <f t="shared" ca="1" si="80"/>
        <v>0</v>
      </c>
      <c r="T256" s="952">
        <f t="shared" ca="1" si="81"/>
        <v>0</v>
      </c>
      <c r="U256" s="952">
        <f t="shared" ca="1" si="82"/>
        <v>0</v>
      </c>
      <c r="V256" s="952">
        <f t="shared" ca="1" si="83"/>
        <v>0</v>
      </c>
      <c r="W256" s="952">
        <f t="shared" ca="1" si="84"/>
        <v>0</v>
      </c>
      <c r="X256" s="921"/>
      <c r="Y256" s="921"/>
      <c r="Z256" s="921"/>
      <c r="AA256" s="921"/>
      <c r="AB256" s="921"/>
      <c r="AC256" s="921"/>
      <c r="AD256" s="921"/>
      <c r="AE256" s="921"/>
      <c r="AF256" s="921"/>
      <c r="AG256" s="921"/>
      <c r="AH256" s="921"/>
      <c r="AI256" s="921"/>
      <c r="AJ256" s="921"/>
      <c r="AK256" s="921"/>
      <c r="AL256" s="921"/>
      <c r="AM256" s="921"/>
      <c r="AN256" s="921"/>
      <c r="AO256" s="921"/>
      <c r="AP256" s="921"/>
      <c r="AQ256" s="921"/>
      <c r="AR256" s="921"/>
      <c r="AS256" s="921"/>
      <c r="AT256" s="921"/>
      <c r="AU256" s="921"/>
      <c r="AV256" s="921"/>
      <c r="AW256" s="921"/>
      <c r="AX256" s="921"/>
      <c r="AY256" s="921"/>
      <c r="AZ256" s="921"/>
      <c r="BA256" s="921"/>
      <c r="BB256" s="921"/>
      <c r="BC256" s="921"/>
      <c r="BD256" s="921"/>
      <c r="BE256" s="921"/>
      <c r="BF256" s="921"/>
      <c r="BG256" s="921"/>
      <c r="BH256" s="921"/>
      <c r="BI256" s="921"/>
      <c r="BJ256" s="921"/>
      <c r="BK256" s="921"/>
      <c r="BL256" s="921"/>
      <c r="BM256" s="921"/>
      <c r="BN256" s="921"/>
      <c r="BO256" s="921"/>
      <c r="BP256" s="802"/>
    </row>
    <row r="257" spans="1:68">
      <c r="A257" s="747">
        <v>159</v>
      </c>
      <c r="B257" s="1634"/>
      <c r="C257" s="1637"/>
      <c r="D257" s="1641"/>
      <c r="E257" s="951" t="s">
        <v>438</v>
      </c>
      <c r="F257" s="810" t="s">
        <v>822</v>
      </c>
      <c r="G257" s="852" t="s">
        <v>433</v>
      </c>
      <c r="H257" s="921"/>
      <c r="I257" s="921"/>
      <c r="J257" s="921"/>
      <c r="K257" s="921"/>
      <c r="L257" s="952">
        <f t="shared" ca="1" si="76"/>
        <v>0</v>
      </c>
      <c r="M257" s="952">
        <f t="shared" ca="1" si="76"/>
        <v>0</v>
      </c>
      <c r="N257" s="952">
        <f t="shared" ca="1" si="76"/>
        <v>0</v>
      </c>
      <c r="O257" s="952">
        <f t="shared" ca="1" si="76"/>
        <v>0</v>
      </c>
      <c r="P257" s="929">
        <f t="shared" ca="1" si="77"/>
        <v>0</v>
      </c>
      <c r="Q257" s="929">
        <f t="shared" ca="1" si="78"/>
        <v>0</v>
      </c>
      <c r="R257" s="929">
        <f t="shared" ca="1" si="79"/>
        <v>0</v>
      </c>
      <c r="S257" s="929">
        <f t="shared" ca="1" si="80"/>
        <v>0</v>
      </c>
      <c r="T257" s="952">
        <f t="shared" ca="1" si="81"/>
        <v>0</v>
      </c>
      <c r="U257" s="952">
        <f t="shared" ca="1" si="82"/>
        <v>0</v>
      </c>
      <c r="V257" s="952">
        <f t="shared" ca="1" si="83"/>
        <v>0</v>
      </c>
      <c r="W257" s="952">
        <f t="shared" ca="1" si="84"/>
        <v>0</v>
      </c>
      <c r="X257" s="921"/>
      <c r="Y257" s="921"/>
      <c r="Z257" s="921"/>
      <c r="AA257" s="921"/>
      <c r="AB257" s="921"/>
      <c r="AC257" s="921"/>
      <c r="AD257" s="921"/>
      <c r="AE257" s="921"/>
      <c r="AF257" s="921"/>
      <c r="AG257" s="921"/>
      <c r="AH257" s="921"/>
      <c r="AI257" s="921"/>
      <c r="AJ257" s="921"/>
      <c r="AK257" s="921"/>
      <c r="AL257" s="921"/>
      <c r="AM257" s="921"/>
      <c r="AN257" s="921"/>
      <c r="AO257" s="921"/>
      <c r="AP257" s="921"/>
      <c r="AQ257" s="921"/>
      <c r="AR257" s="921"/>
      <c r="AS257" s="921"/>
      <c r="AT257" s="921"/>
      <c r="AU257" s="921"/>
      <c r="AV257" s="921"/>
      <c r="AW257" s="921"/>
      <c r="AX257" s="921"/>
      <c r="AY257" s="921"/>
      <c r="AZ257" s="921"/>
      <c r="BA257" s="921"/>
      <c r="BB257" s="921"/>
      <c r="BC257" s="921"/>
      <c r="BD257" s="921"/>
      <c r="BE257" s="921"/>
      <c r="BF257" s="921"/>
      <c r="BG257" s="921"/>
      <c r="BH257" s="921"/>
      <c r="BI257" s="921"/>
      <c r="BJ257" s="921"/>
      <c r="BK257" s="921"/>
      <c r="BL257" s="921"/>
      <c r="BM257" s="921"/>
      <c r="BN257" s="921"/>
      <c r="BO257" s="921"/>
      <c r="BP257" s="802"/>
    </row>
    <row r="258" spans="1:68">
      <c r="A258" s="747">
        <v>160</v>
      </c>
      <c r="B258" s="1634"/>
      <c r="C258" s="1637"/>
      <c r="D258" s="1642" t="s">
        <v>470</v>
      </c>
      <c r="E258" s="993" t="s">
        <v>923</v>
      </c>
      <c r="F258" s="810" t="s">
        <v>826</v>
      </c>
      <c r="G258" s="852" t="s">
        <v>433</v>
      </c>
      <c r="H258" s="921"/>
      <c r="I258" s="921"/>
      <c r="J258" s="921"/>
      <c r="K258" s="921"/>
      <c r="L258" s="952">
        <f t="shared" ca="1" si="76"/>
        <v>0</v>
      </c>
      <c r="M258" s="952">
        <f t="shared" ca="1" si="76"/>
        <v>0</v>
      </c>
      <c r="N258" s="952">
        <f t="shared" ca="1" si="76"/>
        <v>0</v>
      </c>
      <c r="O258" s="952">
        <f t="shared" ca="1" si="76"/>
        <v>0</v>
      </c>
      <c r="P258" s="929">
        <f t="shared" ca="1" si="77"/>
        <v>0</v>
      </c>
      <c r="Q258" s="929">
        <f t="shared" ca="1" si="78"/>
        <v>0</v>
      </c>
      <c r="R258" s="929">
        <f t="shared" ca="1" si="79"/>
        <v>0</v>
      </c>
      <c r="S258" s="929">
        <f t="shared" ca="1" si="80"/>
        <v>0</v>
      </c>
      <c r="T258" s="952">
        <f t="shared" ca="1" si="81"/>
        <v>0</v>
      </c>
      <c r="U258" s="952">
        <f t="shared" ca="1" si="82"/>
        <v>0</v>
      </c>
      <c r="V258" s="952">
        <f t="shared" ca="1" si="83"/>
        <v>0</v>
      </c>
      <c r="W258" s="952">
        <f t="shared" ca="1" si="84"/>
        <v>0</v>
      </c>
      <c r="X258" s="921"/>
      <c r="Y258" s="921"/>
      <c r="Z258" s="921"/>
      <c r="AA258" s="921"/>
      <c r="AB258" s="921"/>
      <c r="AC258" s="921"/>
      <c r="AD258" s="921"/>
      <c r="AE258" s="921"/>
      <c r="AF258" s="921"/>
      <c r="AG258" s="921"/>
      <c r="AH258" s="921"/>
      <c r="AI258" s="921"/>
      <c r="AJ258" s="921"/>
      <c r="AK258" s="921"/>
      <c r="AL258" s="921"/>
      <c r="AM258" s="921"/>
      <c r="AN258" s="921"/>
      <c r="AO258" s="921"/>
      <c r="AP258" s="921"/>
      <c r="AQ258" s="921"/>
      <c r="AR258" s="921"/>
      <c r="AS258" s="921"/>
      <c r="AT258" s="921"/>
      <c r="AU258" s="921"/>
      <c r="AV258" s="921"/>
      <c r="AW258" s="921"/>
      <c r="AX258" s="921"/>
      <c r="AY258" s="921"/>
      <c r="AZ258" s="921"/>
      <c r="BA258" s="921"/>
      <c r="BB258" s="921"/>
      <c r="BC258" s="921"/>
      <c r="BD258" s="921"/>
      <c r="BE258" s="921"/>
      <c r="BF258" s="921"/>
      <c r="BG258" s="921"/>
      <c r="BH258" s="921"/>
      <c r="BI258" s="921"/>
      <c r="BJ258" s="921"/>
      <c r="BK258" s="921"/>
      <c r="BL258" s="921"/>
      <c r="BM258" s="921"/>
      <c r="BN258" s="921"/>
      <c r="BO258" s="921"/>
      <c r="BP258" s="802"/>
    </row>
    <row r="259" spans="1:68">
      <c r="A259" s="747">
        <v>161</v>
      </c>
      <c r="B259" s="1634"/>
      <c r="C259" s="1637"/>
      <c r="D259" s="1643"/>
      <c r="E259" s="954"/>
      <c r="F259" s="810"/>
      <c r="G259" s="852" t="s">
        <v>436</v>
      </c>
      <c r="H259" s="921"/>
      <c r="I259" s="921"/>
      <c r="J259" s="921"/>
      <c r="K259" s="921"/>
      <c r="L259" s="952">
        <f t="shared" ca="1" si="76"/>
        <v>0</v>
      </c>
      <c r="M259" s="952">
        <f t="shared" ca="1" si="76"/>
        <v>0</v>
      </c>
      <c r="N259" s="952">
        <f t="shared" ca="1" si="76"/>
        <v>0</v>
      </c>
      <c r="O259" s="952">
        <f t="shared" ca="1" si="76"/>
        <v>0</v>
      </c>
      <c r="P259" s="929">
        <f t="shared" ca="1" si="77"/>
        <v>0</v>
      </c>
      <c r="Q259" s="929">
        <f t="shared" ca="1" si="78"/>
        <v>0</v>
      </c>
      <c r="R259" s="929">
        <f t="shared" ca="1" si="79"/>
        <v>0</v>
      </c>
      <c r="S259" s="929">
        <f t="shared" ca="1" si="80"/>
        <v>0</v>
      </c>
      <c r="T259" s="952">
        <f t="shared" ca="1" si="81"/>
        <v>0</v>
      </c>
      <c r="U259" s="952">
        <f t="shared" ca="1" si="82"/>
        <v>0</v>
      </c>
      <c r="V259" s="952">
        <f t="shared" ca="1" si="83"/>
        <v>0</v>
      </c>
      <c r="W259" s="952">
        <f t="shared" ca="1" si="84"/>
        <v>0</v>
      </c>
      <c r="X259" s="921"/>
      <c r="Y259" s="921"/>
      <c r="Z259" s="921"/>
      <c r="AA259" s="921"/>
      <c r="AB259" s="921"/>
      <c r="AC259" s="921"/>
      <c r="AD259" s="921"/>
      <c r="AE259" s="921"/>
      <c r="AF259" s="921"/>
      <c r="AG259" s="921"/>
      <c r="AH259" s="921"/>
      <c r="AI259" s="921"/>
      <c r="AJ259" s="921"/>
      <c r="AK259" s="921"/>
      <c r="AL259" s="921"/>
      <c r="AM259" s="921"/>
      <c r="AN259" s="921"/>
      <c r="AO259" s="921"/>
      <c r="AP259" s="921"/>
      <c r="AQ259" s="921"/>
      <c r="AR259" s="921"/>
      <c r="AS259" s="921"/>
      <c r="AT259" s="921"/>
      <c r="AU259" s="921"/>
      <c r="AV259" s="921"/>
      <c r="AW259" s="921"/>
      <c r="AX259" s="921"/>
      <c r="AY259" s="921"/>
      <c r="AZ259" s="921"/>
      <c r="BA259" s="921"/>
      <c r="BB259" s="921"/>
      <c r="BC259" s="921"/>
      <c r="BD259" s="921"/>
      <c r="BE259" s="921"/>
      <c r="BF259" s="921"/>
      <c r="BG259" s="921"/>
      <c r="BH259" s="921"/>
      <c r="BI259" s="921"/>
      <c r="BJ259" s="921"/>
      <c r="BK259" s="921"/>
      <c r="BL259" s="921"/>
      <c r="BM259" s="921"/>
      <c r="BN259" s="921"/>
      <c r="BO259" s="921"/>
      <c r="BP259" s="802"/>
    </row>
    <row r="260" spans="1:68" ht="21" customHeight="1">
      <c r="A260" s="747">
        <v>162</v>
      </c>
      <c r="B260" s="1634"/>
      <c r="C260" s="1637"/>
      <c r="D260" s="1643"/>
      <c r="E260" s="955" t="s">
        <v>924</v>
      </c>
      <c r="F260" s="810" t="s">
        <v>828</v>
      </c>
      <c r="G260" s="852" t="s">
        <v>433</v>
      </c>
      <c r="H260" s="921"/>
      <c r="I260" s="921"/>
      <c r="J260" s="921"/>
      <c r="K260" s="921"/>
      <c r="L260" s="952">
        <f t="shared" ca="1" si="76"/>
        <v>0</v>
      </c>
      <c r="M260" s="952">
        <f t="shared" ca="1" si="76"/>
        <v>0</v>
      </c>
      <c r="N260" s="952">
        <f t="shared" ca="1" si="76"/>
        <v>0</v>
      </c>
      <c r="O260" s="952">
        <f t="shared" ca="1" si="76"/>
        <v>0</v>
      </c>
      <c r="P260" s="929">
        <f t="shared" ca="1" si="77"/>
        <v>0</v>
      </c>
      <c r="Q260" s="929">
        <f t="shared" ca="1" si="78"/>
        <v>0</v>
      </c>
      <c r="R260" s="929">
        <f t="shared" ca="1" si="79"/>
        <v>0</v>
      </c>
      <c r="S260" s="929">
        <f t="shared" ca="1" si="80"/>
        <v>0</v>
      </c>
      <c r="T260" s="952">
        <f t="shared" ca="1" si="81"/>
        <v>0</v>
      </c>
      <c r="U260" s="952">
        <f t="shared" ca="1" si="82"/>
        <v>0</v>
      </c>
      <c r="V260" s="952">
        <f t="shared" ca="1" si="83"/>
        <v>0</v>
      </c>
      <c r="W260" s="952">
        <f t="shared" ca="1" si="84"/>
        <v>0</v>
      </c>
      <c r="X260" s="921"/>
      <c r="Y260" s="921"/>
      <c r="Z260" s="921"/>
      <c r="AA260" s="921"/>
      <c r="AB260" s="921"/>
      <c r="AC260" s="921"/>
      <c r="AD260" s="921"/>
      <c r="AE260" s="921"/>
      <c r="AF260" s="921"/>
      <c r="AG260" s="921"/>
      <c r="AH260" s="921"/>
      <c r="AI260" s="921"/>
      <c r="AJ260" s="921"/>
      <c r="AK260" s="921"/>
      <c r="AL260" s="921"/>
      <c r="AM260" s="921"/>
      <c r="AN260" s="921"/>
      <c r="AO260" s="921"/>
      <c r="AP260" s="921"/>
      <c r="AQ260" s="921"/>
      <c r="AR260" s="921"/>
      <c r="AS260" s="921"/>
      <c r="AT260" s="921"/>
      <c r="AU260" s="921"/>
      <c r="AV260" s="921"/>
      <c r="AW260" s="921"/>
      <c r="AX260" s="921"/>
      <c r="AY260" s="921"/>
      <c r="AZ260" s="921"/>
      <c r="BA260" s="921"/>
      <c r="BB260" s="921"/>
      <c r="BC260" s="921"/>
      <c r="BD260" s="921"/>
      <c r="BE260" s="921"/>
      <c r="BF260" s="921"/>
      <c r="BG260" s="921"/>
      <c r="BH260" s="921"/>
      <c r="BI260" s="921"/>
      <c r="BJ260" s="921"/>
      <c r="BK260" s="921"/>
      <c r="BL260" s="921"/>
      <c r="BM260" s="921"/>
      <c r="BN260" s="921"/>
      <c r="BO260" s="921"/>
      <c r="BP260" s="802"/>
    </row>
    <row r="261" spans="1:68">
      <c r="A261" s="747">
        <v>163</v>
      </c>
      <c r="B261" s="1634"/>
      <c r="C261" s="1637"/>
      <c r="D261" s="1644"/>
      <c r="E261" s="956"/>
      <c r="F261" s="810"/>
      <c r="G261" s="852" t="s">
        <v>461</v>
      </c>
      <c r="H261" s="921"/>
      <c r="I261" s="921"/>
      <c r="J261" s="921"/>
      <c r="K261" s="921"/>
      <c r="L261" s="952">
        <f t="shared" ca="1" si="76"/>
        <v>0</v>
      </c>
      <c r="M261" s="952">
        <f t="shared" ca="1" si="76"/>
        <v>0</v>
      </c>
      <c r="N261" s="952">
        <f t="shared" ca="1" si="76"/>
        <v>0</v>
      </c>
      <c r="O261" s="952">
        <f t="shared" ca="1" si="76"/>
        <v>0</v>
      </c>
      <c r="P261" s="929">
        <f t="shared" ca="1" si="77"/>
        <v>0</v>
      </c>
      <c r="Q261" s="929">
        <f t="shared" ca="1" si="78"/>
        <v>0</v>
      </c>
      <c r="R261" s="929">
        <f t="shared" ca="1" si="79"/>
        <v>0</v>
      </c>
      <c r="S261" s="929">
        <f t="shared" ca="1" si="80"/>
        <v>0</v>
      </c>
      <c r="T261" s="952">
        <f t="shared" ca="1" si="81"/>
        <v>0</v>
      </c>
      <c r="U261" s="952">
        <f t="shared" ca="1" si="82"/>
        <v>0</v>
      </c>
      <c r="V261" s="952">
        <f t="shared" ca="1" si="83"/>
        <v>0</v>
      </c>
      <c r="W261" s="952">
        <f t="shared" ca="1" si="84"/>
        <v>0</v>
      </c>
      <c r="X261" s="921"/>
      <c r="Y261" s="921"/>
      <c r="Z261" s="921"/>
      <c r="AA261" s="921"/>
      <c r="AB261" s="921"/>
      <c r="AC261" s="921"/>
      <c r="AD261" s="921"/>
      <c r="AE261" s="921"/>
      <c r="AF261" s="921"/>
      <c r="AG261" s="921"/>
      <c r="AH261" s="921"/>
      <c r="AI261" s="921"/>
      <c r="AJ261" s="921"/>
      <c r="AK261" s="921"/>
      <c r="AL261" s="921"/>
      <c r="AM261" s="921"/>
      <c r="AN261" s="921"/>
      <c r="AO261" s="921"/>
      <c r="AP261" s="921"/>
      <c r="AQ261" s="921"/>
      <c r="AR261" s="921"/>
      <c r="AS261" s="921"/>
      <c r="AT261" s="921"/>
      <c r="AU261" s="921"/>
      <c r="AV261" s="921"/>
      <c r="AW261" s="921"/>
      <c r="AX261" s="921"/>
      <c r="AY261" s="921"/>
      <c r="AZ261" s="921"/>
      <c r="BA261" s="921"/>
      <c r="BB261" s="921"/>
      <c r="BC261" s="921"/>
      <c r="BD261" s="921"/>
      <c r="BE261" s="921"/>
      <c r="BF261" s="921"/>
      <c r="BG261" s="921"/>
      <c r="BH261" s="921"/>
      <c r="BI261" s="921"/>
      <c r="BJ261" s="921"/>
      <c r="BK261" s="921"/>
      <c r="BL261" s="921"/>
      <c r="BM261" s="921"/>
      <c r="BN261" s="921"/>
      <c r="BO261" s="921"/>
      <c r="BP261" s="802"/>
    </row>
    <row r="262" spans="1:68" ht="19.5" customHeight="1">
      <c r="A262" s="747">
        <v>164</v>
      </c>
      <c r="B262" s="1634"/>
      <c r="C262" s="1638"/>
      <c r="D262" s="957" t="s">
        <v>342</v>
      </c>
      <c r="E262" s="958" t="str">
        <f ca="1">E214</f>
        <v/>
      </c>
      <c r="F262" s="810" t="s">
        <v>834</v>
      </c>
      <c r="G262" s="852" t="s">
        <v>1281</v>
      </c>
      <c r="H262" s="921"/>
      <c r="I262" s="921"/>
      <c r="J262" s="921"/>
      <c r="K262" s="921"/>
      <c r="L262" s="952">
        <f t="shared" ca="1" si="76"/>
        <v>0</v>
      </c>
      <c r="M262" s="952">
        <f t="shared" ca="1" si="76"/>
        <v>0</v>
      </c>
      <c r="N262" s="952">
        <f t="shared" ca="1" si="76"/>
        <v>0</v>
      </c>
      <c r="O262" s="952">
        <f t="shared" ca="1" si="76"/>
        <v>0</v>
      </c>
      <c r="P262" s="929">
        <f t="shared" ca="1" si="77"/>
        <v>0</v>
      </c>
      <c r="Q262" s="929">
        <f t="shared" ca="1" si="78"/>
        <v>0</v>
      </c>
      <c r="R262" s="929">
        <f t="shared" ca="1" si="79"/>
        <v>0</v>
      </c>
      <c r="S262" s="929">
        <f t="shared" ca="1" si="80"/>
        <v>0</v>
      </c>
      <c r="T262" s="952">
        <f t="shared" ca="1" si="81"/>
        <v>0</v>
      </c>
      <c r="U262" s="952">
        <f t="shared" ca="1" si="82"/>
        <v>0</v>
      </c>
      <c r="V262" s="952">
        <f t="shared" ca="1" si="83"/>
        <v>0</v>
      </c>
      <c r="W262" s="952">
        <f t="shared" ca="1" si="84"/>
        <v>0</v>
      </c>
      <c r="X262" s="921"/>
      <c r="Y262" s="921"/>
      <c r="Z262" s="921"/>
      <c r="AA262" s="921"/>
      <c r="AB262" s="921"/>
      <c r="AC262" s="921"/>
      <c r="AD262" s="921"/>
      <c r="AE262" s="921"/>
      <c r="AF262" s="921"/>
      <c r="AG262" s="921"/>
      <c r="AH262" s="921"/>
      <c r="AI262" s="921"/>
      <c r="AJ262" s="921"/>
      <c r="AK262" s="921"/>
      <c r="AL262" s="921"/>
      <c r="AM262" s="921"/>
      <c r="AN262" s="921"/>
      <c r="AO262" s="921"/>
      <c r="AP262" s="921"/>
      <c r="AQ262" s="921"/>
      <c r="AR262" s="921"/>
      <c r="AS262" s="921"/>
      <c r="AT262" s="921"/>
      <c r="AU262" s="921"/>
      <c r="AV262" s="921"/>
      <c r="AW262" s="921"/>
      <c r="AX262" s="921"/>
      <c r="AY262" s="921"/>
      <c r="AZ262" s="921"/>
      <c r="BA262" s="921"/>
      <c r="BB262" s="921"/>
      <c r="BC262" s="921"/>
      <c r="BD262" s="921"/>
      <c r="BE262" s="921"/>
      <c r="BF262" s="921"/>
      <c r="BG262" s="921"/>
      <c r="BH262" s="921"/>
      <c r="BI262" s="921"/>
      <c r="BJ262" s="921"/>
      <c r="BK262" s="921"/>
      <c r="BL262" s="921"/>
      <c r="BM262" s="921"/>
      <c r="BN262" s="921"/>
      <c r="BO262" s="921"/>
      <c r="BP262" s="802"/>
    </row>
    <row r="263" spans="1:68" ht="21">
      <c r="A263" s="747">
        <v>165</v>
      </c>
      <c r="B263" s="1634"/>
      <c r="C263" s="959" t="s">
        <v>471</v>
      </c>
      <c r="D263" s="960"/>
      <c r="E263" s="960"/>
      <c r="F263" s="810" t="s">
        <v>835</v>
      </c>
      <c r="G263" s="852" t="s">
        <v>1281</v>
      </c>
      <c r="H263" s="1650" t="s">
        <v>925</v>
      </c>
      <c r="I263" s="1651"/>
      <c r="J263" s="1651"/>
      <c r="K263" s="1652"/>
      <c r="L263" s="952">
        <f t="shared" ca="1" si="76"/>
        <v>0</v>
      </c>
      <c r="M263" s="952">
        <f t="shared" ca="1" si="76"/>
        <v>0</v>
      </c>
      <c r="N263" s="952">
        <f t="shared" ca="1" si="76"/>
        <v>0</v>
      </c>
      <c r="O263" s="952">
        <f t="shared" ca="1" si="76"/>
        <v>0</v>
      </c>
      <c r="P263" s="929">
        <f t="shared" ca="1" si="77"/>
        <v>0</v>
      </c>
      <c r="Q263" s="929">
        <f t="shared" ca="1" si="78"/>
        <v>0</v>
      </c>
      <c r="R263" s="929">
        <f t="shared" ca="1" si="79"/>
        <v>0</v>
      </c>
      <c r="S263" s="929">
        <f t="shared" ca="1" si="80"/>
        <v>0</v>
      </c>
      <c r="T263" s="952">
        <f t="shared" ca="1" si="81"/>
        <v>0</v>
      </c>
      <c r="U263" s="952">
        <f t="shared" ca="1" si="82"/>
        <v>0</v>
      </c>
      <c r="V263" s="952">
        <f t="shared" ca="1" si="83"/>
        <v>0</v>
      </c>
      <c r="W263" s="952">
        <f t="shared" ca="1" si="84"/>
        <v>0</v>
      </c>
      <c r="X263" s="921"/>
      <c r="Y263" s="921"/>
      <c r="Z263" s="921"/>
      <c r="AA263" s="921"/>
      <c r="AB263" s="921"/>
      <c r="AC263" s="921"/>
      <c r="AD263" s="921"/>
      <c r="AE263" s="921"/>
      <c r="AF263" s="921"/>
      <c r="AG263" s="921"/>
      <c r="AH263" s="921"/>
      <c r="AI263" s="921"/>
      <c r="AJ263" s="921"/>
      <c r="AK263" s="921"/>
      <c r="AL263" s="921"/>
      <c r="AM263" s="921"/>
      <c r="AN263" s="921"/>
      <c r="AO263" s="921"/>
      <c r="AP263" s="921"/>
      <c r="AQ263" s="921"/>
      <c r="AR263" s="921"/>
      <c r="AS263" s="921"/>
      <c r="AT263" s="921"/>
      <c r="AU263" s="921"/>
      <c r="AV263" s="921"/>
      <c r="AW263" s="921"/>
      <c r="AX263" s="921"/>
      <c r="AY263" s="921"/>
      <c r="AZ263" s="921"/>
      <c r="BA263" s="921"/>
      <c r="BB263" s="921"/>
      <c r="BC263" s="921"/>
      <c r="BD263" s="921"/>
      <c r="BE263" s="921"/>
      <c r="BF263" s="921"/>
      <c r="BG263" s="921"/>
      <c r="BH263" s="921"/>
      <c r="BI263" s="921"/>
      <c r="BJ263" s="921"/>
      <c r="BK263" s="921"/>
      <c r="BL263" s="921"/>
      <c r="BM263" s="921"/>
      <c r="BN263" s="921"/>
      <c r="BO263" s="921"/>
      <c r="BP263" s="802"/>
    </row>
    <row r="264" spans="1:68" ht="19.5" customHeight="1">
      <c r="A264" s="747">
        <v>166</v>
      </c>
      <c r="B264" s="1634"/>
      <c r="C264" s="1653" t="s">
        <v>472</v>
      </c>
      <c r="D264" s="1642" t="s">
        <v>953</v>
      </c>
      <c r="E264" s="936" t="s">
        <v>926</v>
      </c>
      <c r="F264" s="810"/>
      <c r="G264" s="852" t="s">
        <v>922</v>
      </c>
      <c r="H264" s="858">
        <f ca="1">H106</f>
        <v>0</v>
      </c>
      <c r="I264" s="858">
        <f ca="1">I106</f>
        <v>0</v>
      </c>
      <c r="J264" s="858">
        <f ca="1">J106</f>
        <v>0</v>
      </c>
      <c r="K264" s="858">
        <f ca="1">K106</f>
        <v>0</v>
      </c>
      <c r="L264" s="952">
        <f t="shared" ca="1" si="76"/>
        <v>0</v>
      </c>
      <c r="M264" s="952">
        <f t="shared" ca="1" si="76"/>
        <v>0</v>
      </c>
      <c r="N264" s="952">
        <f t="shared" ca="1" si="76"/>
        <v>0</v>
      </c>
      <c r="O264" s="952">
        <f t="shared" ca="1" si="76"/>
        <v>0</v>
      </c>
      <c r="P264" s="929">
        <f t="shared" ca="1" si="77"/>
        <v>0</v>
      </c>
      <c r="Q264" s="929">
        <f t="shared" ca="1" si="78"/>
        <v>0</v>
      </c>
      <c r="R264" s="929">
        <f t="shared" ca="1" si="79"/>
        <v>0</v>
      </c>
      <c r="S264" s="929">
        <f t="shared" ca="1" si="80"/>
        <v>0</v>
      </c>
      <c r="T264" s="952">
        <f t="shared" ca="1" si="81"/>
        <v>0</v>
      </c>
      <c r="U264" s="952">
        <f t="shared" ca="1" si="82"/>
        <v>0</v>
      </c>
      <c r="V264" s="952">
        <f t="shared" ca="1" si="83"/>
        <v>0</v>
      </c>
      <c r="W264" s="952">
        <f t="shared" ca="1" si="84"/>
        <v>0</v>
      </c>
      <c r="X264" s="921"/>
      <c r="Y264" s="921"/>
      <c r="Z264" s="921"/>
      <c r="AA264" s="921"/>
      <c r="AB264" s="921"/>
      <c r="AC264" s="921"/>
      <c r="AD264" s="921"/>
      <c r="AE264" s="921"/>
      <c r="AF264" s="921"/>
      <c r="AG264" s="921"/>
      <c r="AH264" s="921"/>
      <c r="AI264" s="921"/>
      <c r="AJ264" s="921"/>
      <c r="AK264" s="921"/>
      <c r="AL264" s="921"/>
      <c r="AM264" s="921"/>
      <c r="AN264" s="921"/>
      <c r="AO264" s="921"/>
      <c r="AP264" s="921"/>
      <c r="AQ264" s="921"/>
      <c r="AR264" s="921"/>
      <c r="AS264" s="921"/>
      <c r="AT264" s="921"/>
      <c r="AU264" s="921"/>
      <c r="AV264" s="921"/>
      <c r="AW264" s="921"/>
      <c r="AX264" s="921"/>
      <c r="AY264" s="921"/>
      <c r="AZ264" s="921"/>
      <c r="BA264" s="921"/>
      <c r="BB264" s="921"/>
      <c r="BC264" s="921"/>
      <c r="BD264" s="921"/>
      <c r="BE264" s="921"/>
      <c r="BF264" s="921"/>
      <c r="BG264" s="921"/>
      <c r="BH264" s="921"/>
      <c r="BI264" s="921"/>
      <c r="BJ264" s="921"/>
      <c r="BK264" s="921"/>
      <c r="BL264" s="921"/>
      <c r="BM264" s="921"/>
      <c r="BN264" s="921"/>
      <c r="BO264" s="921"/>
      <c r="BP264" s="802"/>
    </row>
    <row r="265" spans="1:68" ht="21">
      <c r="B265" s="1634"/>
      <c r="C265" s="1654"/>
      <c r="D265" s="1644"/>
      <c r="E265" s="936" t="s">
        <v>927</v>
      </c>
      <c r="F265" s="810"/>
      <c r="G265" s="852" t="s">
        <v>1281</v>
      </c>
      <c r="H265" s="1650" t="s">
        <v>928</v>
      </c>
      <c r="I265" s="1651"/>
      <c r="J265" s="1651"/>
      <c r="K265" s="1652"/>
      <c r="L265" s="916">
        <f ca="1">L264*H264*H266</f>
        <v>0</v>
      </c>
      <c r="M265" s="916">
        <f ca="1">M264*I264*I266</f>
        <v>0</v>
      </c>
      <c r="N265" s="916">
        <f ca="1">N264*J264*J266</f>
        <v>0</v>
      </c>
      <c r="O265" s="916">
        <f ca="1">O264*K264*K266</f>
        <v>0</v>
      </c>
      <c r="P265" s="916">
        <f ca="1">P264*H264*H266</f>
        <v>0</v>
      </c>
      <c r="Q265" s="916">
        <f ca="1">Q264*I264*I266</f>
        <v>0</v>
      </c>
      <c r="R265" s="916">
        <f ca="1">R264*J264*J266</f>
        <v>0</v>
      </c>
      <c r="S265" s="916">
        <f ca="1">S264*K264*K266</f>
        <v>0</v>
      </c>
      <c r="T265" s="916">
        <f ca="1">T264*H264*H266</f>
        <v>0</v>
      </c>
      <c r="U265" s="916">
        <f ca="1">U264*I264*I266</f>
        <v>0</v>
      </c>
      <c r="V265" s="916">
        <f ca="1">V264*J264*J266</f>
        <v>0</v>
      </c>
      <c r="W265" s="916">
        <f ca="1">W264*K264*K266</f>
        <v>0</v>
      </c>
      <c r="X265" s="921"/>
      <c r="Y265" s="921"/>
      <c r="Z265" s="921"/>
      <c r="AA265" s="921"/>
      <c r="AB265" s="921"/>
      <c r="AC265" s="921"/>
      <c r="AD265" s="921"/>
      <c r="AE265" s="921"/>
      <c r="AF265" s="921"/>
      <c r="AG265" s="921"/>
      <c r="AH265" s="921"/>
      <c r="AI265" s="921"/>
      <c r="AJ265" s="921"/>
      <c r="AK265" s="921"/>
      <c r="AL265" s="921"/>
      <c r="AM265" s="921"/>
      <c r="AN265" s="921"/>
      <c r="AO265" s="921"/>
      <c r="AP265" s="921"/>
      <c r="AQ265" s="921"/>
      <c r="AR265" s="921"/>
      <c r="AS265" s="921"/>
      <c r="AT265" s="921"/>
      <c r="AU265" s="921"/>
      <c r="AV265" s="921"/>
      <c r="AW265" s="921"/>
      <c r="AX265" s="921"/>
      <c r="AY265" s="921"/>
      <c r="AZ265" s="921"/>
      <c r="BA265" s="921"/>
      <c r="BB265" s="921"/>
      <c r="BC265" s="921"/>
      <c r="BD265" s="921"/>
      <c r="BE265" s="921"/>
      <c r="BF265" s="921"/>
      <c r="BG265" s="921"/>
      <c r="BH265" s="921"/>
      <c r="BI265" s="921"/>
      <c r="BJ265" s="921"/>
      <c r="BK265" s="921"/>
      <c r="BL265" s="921"/>
      <c r="BM265" s="921"/>
      <c r="BN265" s="921"/>
      <c r="BO265" s="921"/>
      <c r="BP265" s="802"/>
    </row>
    <row r="266" spans="1:68">
      <c r="A266" s="747">
        <v>167</v>
      </c>
      <c r="B266" s="1634"/>
      <c r="C266" s="1654"/>
      <c r="D266" s="1642" t="s">
        <v>954</v>
      </c>
      <c r="E266" s="936" t="s">
        <v>926</v>
      </c>
      <c r="F266" s="810"/>
      <c r="G266" s="852" t="s">
        <v>922</v>
      </c>
      <c r="H266" s="858">
        <f ca="1">H108</f>
        <v>0</v>
      </c>
      <c r="I266" s="858">
        <f ca="1">I108</f>
        <v>0</v>
      </c>
      <c r="J266" s="858">
        <f ca="1">J108</f>
        <v>0</v>
      </c>
      <c r="K266" s="858">
        <f ca="1">K108</f>
        <v>0</v>
      </c>
      <c r="L266" s="952">
        <f ca="1">SUM(P266,T266)</f>
        <v>0</v>
      </c>
      <c r="M266" s="952">
        <f ca="1">SUM(Q266,U266)</f>
        <v>0</v>
      </c>
      <c r="N266" s="952">
        <f ca="1">SUM(R266,V266)</f>
        <v>0</v>
      </c>
      <c r="O266" s="952">
        <f ca="1">SUM(S266,W266)</f>
        <v>0</v>
      </c>
      <c r="P266" s="929">
        <f ca="1">IFERROR(SUM(OFFSET(貼付け_2024実績,$A266,11,1,2)),"")</f>
        <v>0</v>
      </c>
      <c r="Q266" s="929">
        <f ca="1">IFERROR(SUM(OFFSET(貼付け_2025実績,$A266,11,1,2)),"")</f>
        <v>0</v>
      </c>
      <c r="R266" s="929">
        <f ca="1">IFERROR(SUM(OFFSET(貼付け_2026実績,$A266,11,1,2)),"")</f>
        <v>0</v>
      </c>
      <c r="S266" s="929">
        <f ca="1">IFERROR(SUM(OFFSET(貼付け_2027実績,$A266,11,1,2)),"")</f>
        <v>0</v>
      </c>
      <c r="T266" s="952">
        <f ca="1">IFERROR(OFFSET(貼付け_2024実績,$A266,10),"")</f>
        <v>0</v>
      </c>
      <c r="U266" s="952">
        <f ca="1">IFERROR(OFFSET(貼付け_2025実績,$A266,10),"")</f>
        <v>0</v>
      </c>
      <c r="V266" s="952">
        <f ca="1">IFERROR(OFFSET(貼付け_2026実績,$A266,10),"")</f>
        <v>0</v>
      </c>
      <c r="W266" s="952">
        <f ca="1">IFERROR(OFFSET(貼付け_2027実績,$A266,10),"")</f>
        <v>0</v>
      </c>
      <c r="X266" s="921"/>
      <c r="Y266" s="921"/>
      <c r="Z266" s="921"/>
      <c r="AA266" s="921"/>
      <c r="AB266" s="921"/>
      <c r="AC266" s="921"/>
      <c r="AD266" s="921"/>
      <c r="AE266" s="921"/>
      <c r="AF266" s="921"/>
      <c r="AG266" s="921"/>
      <c r="AH266" s="921"/>
      <c r="AI266" s="921"/>
      <c r="AJ266" s="921"/>
      <c r="AK266" s="921"/>
      <c r="AL266" s="921"/>
      <c r="AM266" s="921"/>
      <c r="AN266" s="921"/>
      <c r="AO266" s="921"/>
      <c r="AP266" s="921"/>
      <c r="AQ266" s="921"/>
      <c r="AR266" s="921"/>
      <c r="AS266" s="921"/>
      <c r="AT266" s="921"/>
      <c r="AU266" s="921"/>
      <c r="AV266" s="921"/>
      <c r="AW266" s="921"/>
      <c r="AX266" s="921"/>
      <c r="AY266" s="921"/>
      <c r="AZ266" s="921"/>
      <c r="BA266" s="921"/>
      <c r="BB266" s="921"/>
      <c r="BC266" s="921"/>
      <c r="BD266" s="921"/>
      <c r="BE266" s="921"/>
      <c r="BF266" s="921"/>
      <c r="BG266" s="921"/>
      <c r="BH266" s="921"/>
      <c r="BI266" s="921"/>
      <c r="BJ266" s="921"/>
      <c r="BK266" s="921"/>
      <c r="BL266" s="921"/>
      <c r="BM266" s="921"/>
      <c r="BN266" s="921"/>
      <c r="BO266" s="921"/>
      <c r="BP266" s="802"/>
    </row>
    <row r="267" spans="1:68" ht="21">
      <c r="B267" s="1634"/>
      <c r="C267" s="1654"/>
      <c r="D267" s="1644"/>
      <c r="E267" s="936" t="s">
        <v>927</v>
      </c>
      <c r="F267" s="810"/>
      <c r="G267" s="852" t="s">
        <v>1281</v>
      </c>
      <c r="H267" s="1650" t="s">
        <v>930</v>
      </c>
      <c r="I267" s="1651"/>
      <c r="J267" s="1651"/>
      <c r="K267" s="1652"/>
      <c r="L267" s="916">
        <f ca="1">L266*$H264*$H268</f>
        <v>0</v>
      </c>
      <c r="M267" s="916">
        <f ca="1">M266*$I264*$I268</f>
        <v>0</v>
      </c>
      <c r="N267" s="916">
        <f ca="1">N266*$J264*$J268</f>
        <v>0</v>
      </c>
      <c r="O267" s="916">
        <f ca="1">O266*$K264*$K268</f>
        <v>0</v>
      </c>
      <c r="P267" s="916">
        <f ca="1">P266*$H264*$H268</f>
        <v>0</v>
      </c>
      <c r="Q267" s="916">
        <f ca="1">Q266*$I264*$I268</f>
        <v>0</v>
      </c>
      <c r="R267" s="916">
        <f ca="1">R266*$J264*$J268</f>
        <v>0</v>
      </c>
      <c r="S267" s="916">
        <f ca="1">S266*$K264*$K268</f>
        <v>0</v>
      </c>
      <c r="T267" s="916">
        <f ca="1">T266*$H264*$H268</f>
        <v>0</v>
      </c>
      <c r="U267" s="916">
        <f ca="1">U266*$I264*$I268</f>
        <v>0</v>
      </c>
      <c r="V267" s="916">
        <f ca="1">V266*$J264*$J268</f>
        <v>0</v>
      </c>
      <c r="W267" s="916">
        <f ca="1">W266*$K264*$K268</f>
        <v>0</v>
      </c>
      <c r="X267" s="921"/>
      <c r="Y267" s="921"/>
      <c r="Z267" s="921"/>
      <c r="AA267" s="921"/>
      <c r="AB267" s="921"/>
      <c r="AC267" s="921"/>
      <c r="AD267" s="921"/>
      <c r="AE267" s="921"/>
      <c r="AF267" s="921"/>
      <c r="AG267" s="921"/>
      <c r="AH267" s="921"/>
      <c r="AI267" s="921"/>
      <c r="AJ267" s="921"/>
      <c r="AK267" s="921"/>
      <c r="AL267" s="921"/>
      <c r="AM267" s="921"/>
      <c r="AN267" s="921"/>
      <c r="AO267" s="921"/>
      <c r="AP267" s="921"/>
      <c r="AQ267" s="921"/>
      <c r="AR267" s="921"/>
      <c r="AS267" s="921"/>
      <c r="AT267" s="921"/>
      <c r="AU267" s="921"/>
      <c r="AV267" s="921"/>
      <c r="AW267" s="921"/>
      <c r="AX267" s="921"/>
      <c r="AY267" s="921"/>
      <c r="AZ267" s="921"/>
      <c r="BA267" s="921"/>
      <c r="BB267" s="921"/>
      <c r="BC267" s="921"/>
      <c r="BD267" s="921"/>
      <c r="BE267" s="921"/>
      <c r="BF267" s="921"/>
      <c r="BG267" s="921"/>
      <c r="BH267" s="921"/>
      <c r="BI267" s="921"/>
      <c r="BJ267" s="921"/>
      <c r="BK267" s="921"/>
      <c r="BL267" s="921"/>
      <c r="BM267" s="921"/>
      <c r="BN267" s="921"/>
      <c r="BO267" s="921"/>
      <c r="BP267" s="802"/>
    </row>
    <row r="268" spans="1:68">
      <c r="A268" s="747">
        <v>168</v>
      </c>
      <c r="B268" s="1634"/>
      <c r="C268" s="1654"/>
      <c r="D268" s="1642" t="s">
        <v>955</v>
      </c>
      <c r="E268" s="936" t="s">
        <v>926</v>
      </c>
      <c r="F268" s="810"/>
      <c r="G268" s="852" t="s">
        <v>922</v>
      </c>
      <c r="H268" s="858">
        <f ca="1">H110</f>
        <v>0</v>
      </c>
      <c r="I268" s="858">
        <f ca="1">I110</f>
        <v>0</v>
      </c>
      <c r="J268" s="858">
        <f ca="1">J110</f>
        <v>0</v>
      </c>
      <c r="K268" s="858">
        <f ca="1">K110</f>
        <v>0</v>
      </c>
      <c r="L268" s="952">
        <f ca="1">SUM(P268,T268)</f>
        <v>0</v>
      </c>
      <c r="M268" s="952">
        <f ca="1">SUM(Q268,U268)</f>
        <v>0</v>
      </c>
      <c r="N268" s="952">
        <f ca="1">SUM(R268,V268)</f>
        <v>0</v>
      </c>
      <c r="O268" s="952">
        <f ca="1">SUM(S268,W268)</f>
        <v>0</v>
      </c>
      <c r="P268" s="929">
        <f ca="1">IFERROR(SUM(OFFSET(貼付け_2024実績,$A268,11,1,2)),"")</f>
        <v>0</v>
      </c>
      <c r="Q268" s="929">
        <f ca="1">IFERROR(SUM(OFFSET(貼付け_2025実績,$A268,11,1,2)),"")</f>
        <v>0</v>
      </c>
      <c r="R268" s="929">
        <f ca="1">IFERROR(SUM(OFFSET(貼付け_2026実績,$A268,11,1,2)),"")</f>
        <v>0</v>
      </c>
      <c r="S268" s="929">
        <f ca="1">IFERROR(SUM(OFFSET(貼付け_2027実績,$A268,11,1,2)),"")</f>
        <v>0</v>
      </c>
      <c r="T268" s="952">
        <f ca="1">IFERROR(OFFSET(貼付け_2024実績,$A268,10),"")</f>
        <v>0</v>
      </c>
      <c r="U268" s="952">
        <f ca="1">IFERROR(OFFSET(貼付け_2025実績,$A268,10),"")</f>
        <v>0</v>
      </c>
      <c r="V268" s="952">
        <f ca="1">IFERROR(OFFSET(貼付け_2026実績,$A268,10),"")</f>
        <v>0</v>
      </c>
      <c r="W268" s="952">
        <f ca="1">IFERROR(OFFSET(貼付け_2027実績,$A268,10),"")</f>
        <v>0</v>
      </c>
      <c r="X268" s="921"/>
      <c r="Y268" s="921"/>
      <c r="Z268" s="921"/>
      <c r="AA268" s="921"/>
      <c r="AB268" s="921"/>
      <c r="AC268" s="921"/>
      <c r="AD268" s="921"/>
      <c r="AE268" s="921"/>
      <c r="AF268" s="921"/>
      <c r="AG268" s="921"/>
      <c r="AH268" s="921"/>
      <c r="AI268" s="921"/>
      <c r="AJ268" s="921"/>
      <c r="AK268" s="921"/>
      <c r="AL268" s="921"/>
      <c r="AM268" s="921"/>
      <c r="AN268" s="921"/>
      <c r="AO268" s="921"/>
      <c r="AP268" s="921"/>
      <c r="AQ268" s="921"/>
      <c r="AR268" s="921"/>
      <c r="AS268" s="921"/>
      <c r="AT268" s="921"/>
      <c r="AU268" s="921"/>
      <c r="AV268" s="921"/>
      <c r="AW268" s="921"/>
      <c r="AX268" s="921"/>
      <c r="AY268" s="921"/>
      <c r="AZ268" s="921"/>
      <c r="BA268" s="921"/>
      <c r="BB268" s="921"/>
      <c r="BC268" s="921"/>
      <c r="BD268" s="921"/>
      <c r="BE268" s="921"/>
      <c r="BF268" s="921"/>
      <c r="BG268" s="921"/>
      <c r="BH268" s="921"/>
      <c r="BI268" s="921"/>
      <c r="BJ268" s="921"/>
      <c r="BK268" s="921"/>
      <c r="BL268" s="921"/>
      <c r="BM268" s="921"/>
      <c r="BN268" s="921"/>
      <c r="BO268" s="921"/>
      <c r="BP268" s="802"/>
    </row>
    <row r="269" spans="1:68" ht="21">
      <c r="B269" s="1634"/>
      <c r="C269" s="1654"/>
      <c r="D269" s="1644"/>
      <c r="E269" s="936" t="s">
        <v>927</v>
      </c>
      <c r="F269" s="810"/>
      <c r="G269" s="852" t="s">
        <v>1281</v>
      </c>
      <c r="H269" s="995"/>
      <c r="I269" s="995"/>
      <c r="J269" s="995"/>
      <c r="K269" s="995"/>
      <c r="L269" s="916">
        <f ca="1">L268*$H264*$H268</f>
        <v>0</v>
      </c>
      <c r="M269" s="916">
        <f ca="1">M268*$I264*$I268</f>
        <v>0</v>
      </c>
      <c r="N269" s="916">
        <f ca="1">N268*$J264*$J268</f>
        <v>0</v>
      </c>
      <c r="O269" s="916">
        <f ca="1">O268*$K264*$K268</f>
        <v>0</v>
      </c>
      <c r="P269" s="916">
        <f ca="1">P268*$H264*$H268</f>
        <v>0</v>
      </c>
      <c r="Q269" s="916">
        <f ca="1">Q268*$I264*$I268</f>
        <v>0</v>
      </c>
      <c r="R269" s="916">
        <f ca="1">R268*$J264*$J268</f>
        <v>0</v>
      </c>
      <c r="S269" s="916">
        <f ca="1">S268*$K264*$K268</f>
        <v>0</v>
      </c>
      <c r="T269" s="916">
        <f ca="1">T268*$H264*$H268</f>
        <v>0</v>
      </c>
      <c r="U269" s="916">
        <f ca="1">U268*$I264*$I268</f>
        <v>0</v>
      </c>
      <c r="V269" s="916">
        <f ca="1">V268*$J264*$J268</f>
        <v>0</v>
      </c>
      <c r="W269" s="916">
        <f ca="1">W268*$K264*$K268</f>
        <v>0</v>
      </c>
      <c r="X269" s="921"/>
      <c r="Y269" s="921"/>
      <c r="Z269" s="921"/>
      <c r="AA269" s="921"/>
      <c r="AB269" s="921"/>
      <c r="AC269" s="921"/>
      <c r="AD269" s="921"/>
      <c r="AE269" s="921"/>
      <c r="AF269" s="921"/>
      <c r="AG269" s="921"/>
      <c r="AH269" s="921"/>
      <c r="AI269" s="921"/>
      <c r="AJ269" s="921"/>
      <c r="AK269" s="921"/>
      <c r="AL269" s="921"/>
      <c r="AM269" s="921"/>
      <c r="AN269" s="921"/>
      <c r="AO269" s="921"/>
      <c r="AP269" s="921"/>
      <c r="AQ269" s="921"/>
      <c r="AR269" s="921"/>
      <c r="AS269" s="921"/>
      <c r="AT269" s="921"/>
      <c r="AU269" s="921"/>
      <c r="AV269" s="921"/>
      <c r="AW269" s="921"/>
      <c r="AX269" s="921"/>
      <c r="AY269" s="921"/>
      <c r="AZ269" s="921"/>
      <c r="BA269" s="921"/>
      <c r="BB269" s="921"/>
      <c r="BC269" s="921"/>
      <c r="BD269" s="921"/>
      <c r="BE269" s="921"/>
      <c r="BF269" s="921"/>
      <c r="BG269" s="921"/>
      <c r="BH269" s="921"/>
      <c r="BI269" s="921"/>
      <c r="BJ269" s="921"/>
      <c r="BK269" s="921"/>
      <c r="BL269" s="921"/>
      <c r="BM269" s="921"/>
      <c r="BN269" s="921"/>
      <c r="BO269" s="921"/>
      <c r="BP269" s="802"/>
    </row>
    <row r="270" spans="1:68">
      <c r="B270" s="1634"/>
      <c r="C270" s="1654"/>
      <c r="D270" s="1656" t="s">
        <v>813</v>
      </c>
      <c r="E270" s="936" t="s">
        <v>926</v>
      </c>
      <c r="F270" s="810" t="s">
        <v>837</v>
      </c>
      <c r="G270" s="852" t="s">
        <v>922</v>
      </c>
      <c r="H270" s="921"/>
      <c r="I270" s="921"/>
      <c r="J270" s="921"/>
      <c r="K270" s="921"/>
      <c r="L270" s="929">
        <f t="shared" ref="L270:O270" ca="1" si="85">SUM(P270,T270)</f>
        <v>0</v>
      </c>
      <c r="M270" s="929">
        <f t="shared" ca="1" si="85"/>
        <v>0</v>
      </c>
      <c r="N270" s="929">
        <f t="shared" ca="1" si="85"/>
        <v>0</v>
      </c>
      <c r="O270" s="929">
        <f t="shared" ca="1" si="85"/>
        <v>0</v>
      </c>
      <c r="P270" s="929">
        <f t="shared" ref="P270:W271" ca="1" si="86">SUM(P264,P266,P268)</f>
        <v>0</v>
      </c>
      <c r="Q270" s="929">
        <f t="shared" ca="1" si="86"/>
        <v>0</v>
      </c>
      <c r="R270" s="929">
        <f t="shared" ca="1" si="86"/>
        <v>0</v>
      </c>
      <c r="S270" s="929">
        <f t="shared" ca="1" si="86"/>
        <v>0</v>
      </c>
      <c r="T270" s="929">
        <f ca="1">SUM(T264,T266,T268)</f>
        <v>0</v>
      </c>
      <c r="U270" s="929">
        <f t="shared" ref="U270:W270" ca="1" si="87">SUM(U264,U266,U268)</f>
        <v>0</v>
      </c>
      <c r="V270" s="929">
        <f t="shared" ca="1" si="87"/>
        <v>0</v>
      </c>
      <c r="W270" s="929">
        <f t="shared" ca="1" si="87"/>
        <v>0</v>
      </c>
      <c r="X270" s="921"/>
      <c r="Y270" s="921"/>
      <c r="Z270" s="921"/>
      <c r="AA270" s="921"/>
      <c r="AB270" s="921"/>
      <c r="AC270" s="921"/>
      <c r="AD270" s="921"/>
      <c r="AE270" s="921"/>
      <c r="AF270" s="921"/>
      <c r="AG270" s="921"/>
      <c r="AH270" s="921"/>
      <c r="AI270" s="921"/>
      <c r="AJ270" s="921"/>
      <c r="AK270" s="921"/>
      <c r="AL270" s="921"/>
      <c r="AM270" s="921"/>
      <c r="AN270" s="921"/>
      <c r="AO270" s="921"/>
      <c r="AP270" s="921"/>
      <c r="AQ270" s="921"/>
      <c r="AR270" s="921"/>
      <c r="AS270" s="921"/>
      <c r="AT270" s="921"/>
      <c r="AU270" s="921"/>
      <c r="AV270" s="921"/>
      <c r="AW270" s="921"/>
      <c r="AX270" s="921"/>
      <c r="AY270" s="921"/>
      <c r="AZ270" s="921"/>
      <c r="BA270" s="921"/>
      <c r="BB270" s="921"/>
      <c r="BC270" s="921"/>
      <c r="BD270" s="921"/>
      <c r="BE270" s="921"/>
      <c r="BF270" s="921"/>
      <c r="BG270" s="921"/>
      <c r="BH270" s="921"/>
      <c r="BI270" s="921"/>
      <c r="BJ270" s="921"/>
      <c r="BK270" s="921"/>
      <c r="BL270" s="921"/>
      <c r="BM270" s="921"/>
      <c r="BN270" s="921"/>
      <c r="BO270" s="921"/>
      <c r="BP270" s="802"/>
    </row>
    <row r="271" spans="1:68" ht="21">
      <c r="B271" s="1634"/>
      <c r="C271" s="1655"/>
      <c r="D271" s="1657"/>
      <c r="E271" s="936" t="s">
        <v>927</v>
      </c>
      <c r="F271" s="810" t="s">
        <v>838</v>
      </c>
      <c r="G271" s="852" t="s">
        <v>1281</v>
      </c>
      <c r="H271" s="921"/>
      <c r="I271" s="921"/>
      <c r="J271" s="921"/>
      <c r="K271" s="921"/>
      <c r="L271" s="929">
        <f t="shared" ref="L271:O271" ca="1" si="88">SUM(L265,L267,L269)</f>
        <v>0</v>
      </c>
      <c r="M271" s="929">
        <f t="shared" ca="1" si="88"/>
        <v>0</v>
      </c>
      <c r="N271" s="929">
        <f t="shared" ca="1" si="88"/>
        <v>0</v>
      </c>
      <c r="O271" s="929">
        <f t="shared" ca="1" si="88"/>
        <v>0</v>
      </c>
      <c r="P271" s="929">
        <f ca="1">SUM(P265,P267,P269)</f>
        <v>0</v>
      </c>
      <c r="Q271" s="929">
        <f t="shared" ca="1" si="86"/>
        <v>0</v>
      </c>
      <c r="R271" s="929">
        <f t="shared" ca="1" si="86"/>
        <v>0</v>
      </c>
      <c r="S271" s="929">
        <f t="shared" ca="1" si="86"/>
        <v>0</v>
      </c>
      <c r="T271" s="929">
        <f t="shared" ca="1" si="86"/>
        <v>0</v>
      </c>
      <c r="U271" s="929">
        <f t="shared" ca="1" si="86"/>
        <v>0</v>
      </c>
      <c r="V271" s="929">
        <f t="shared" ca="1" si="86"/>
        <v>0</v>
      </c>
      <c r="W271" s="929">
        <f t="shared" ca="1" si="86"/>
        <v>0</v>
      </c>
      <c r="X271" s="921"/>
      <c r="Y271" s="921"/>
      <c r="Z271" s="921"/>
      <c r="AA271" s="921"/>
      <c r="AB271" s="921"/>
      <c r="AC271" s="921"/>
      <c r="AD271" s="921"/>
      <c r="AE271" s="921"/>
      <c r="AF271" s="921"/>
      <c r="AG271" s="921"/>
      <c r="AH271" s="921"/>
      <c r="AI271" s="921"/>
      <c r="AJ271" s="921"/>
      <c r="AK271" s="921"/>
      <c r="AL271" s="921"/>
      <c r="AM271" s="921"/>
      <c r="AN271" s="921"/>
      <c r="AO271" s="921"/>
      <c r="AP271" s="921"/>
      <c r="AQ271" s="921"/>
      <c r="AR271" s="921"/>
      <c r="AS271" s="921"/>
      <c r="AT271" s="921"/>
      <c r="AU271" s="921"/>
      <c r="AV271" s="921"/>
      <c r="AW271" s="921"/>
      <c r="AX271" s="921"/>
      <c r="AY271" s="921"/>
      <c r="AZ271" s="921"/>
      <c r="BA271" s="921"/>
      <c r="BB271" s="921"/>
      <c r="BC271" s="921"/>
      <c r="BD271" s="921"/>
      <c r="BE271" s="921"/>
      <c r="BF271" s="921"/>
      <c r="BG271" s="921"/>
      <c r="BH271" s="921"/>
      <c r="BI271" s="921"/>
      <c r="BJ271" s="921"/>
      <c r="BK271" s="921"/>
      <c r="BL271" s="921"/>
      <c r="BM271" s="921"/>
      <c r="BN271" s="921"/>
      <c r="BO271" s="921"/>
      <c r="BP271" s="802"/>
    </row>
    <row r="272" spans="1:68" ht="21">
      <c r="B272" s="1634"/>
      <c r="C272" s="959" t="s">
        <v>932</v>
      </c>
      <c r="D272" s="961"/>
      <c r="E272" s="937"/>
      <c r="F272" s="810"/>
      <c r="G272" s="852" t="s">
        <v>1281</v>
      </c>
      <c r="H272" s="921"/>
      <c r="I272" s="921"/>
      <c r="J272" s="921"/>
      <c r="K272" s="921"/>
      <c r="L272" s="916">
        <f ca="1">ROUNDDOWN(IF(L253+L258+L271&gt;=L250,L250,L253+L258+L271),0)</f>
        <v>0</v>
      </c>
      <c r="M272" s="916">
        <f t="shared" ref="M272:W272" ca="1" si="89">ROUNDDOWN(IF(M253+M258+M271&gt;=M250,M250,M253+M258+M271),0)</f>
        <v>0</v>
      </c>
      <c r="N272" s="916">
        <f t="shared" ca="1" si="89"/>
        <v>0</v>
      </c>
      <c r="O272" s="916">
        <f t="shared" ca="1" si="89"/>
        <v>0</v>
      </c>
      <c r="P272" s="916">
        <f t="shared" ca="1" si="89"/>
        <v>0</v>
      </c>
      <c r="Q272" s="916">
        <f t="shared" ca="1" si="89"/>
        <v>0</v>
      </c>
      <c r="R272" s="916">
        <f t="shared" ca="1" si="89"/>
        <v>0</v>
      </c>
      <c r="S272" s="916">
        <f t="shared" ca="1" si="89"/>
        <v>0</v>
      </c>
      <c r="T272" s="916">
        <f t="shared" ca="1" si="89"/>
        <v>0</v>
      </c>
      <c r="U272" s="916">
        <f t="shared" ca="1" si="89"/>
        <v>0</v>
      </c>
      <c r="V272" s="916">
        <f t="shared" ca="1" si="89"/>
        <v>0</v>
      </c>
      <c r="W272" s="916">
        <f t="shared" ca="1" si="89"/>
        <v>0</v>
      </c>
      <c r="X272" s="921"/>
      <c r="Y272" s="921"/>
      <c r="Z272" s="921"/>
      <c r="AA272" s="921"/>
      <c r="AB272" s="921"/>
      <c r="AC272" s="921"/>
      <c r="AD272" s="921"/>
      <c r="AE272" s="921"/>
      <c r="AF272" s="921"/>
      <c r="AG272" s="921"/>
      <c r="AH272" s="921"/>
      <c r="AI272" s="921"/>
      <c r="AJ272" s="921"/>
      <c r="AK272" s="921"/>
      <c r="AL272" s="921"/>
      <c r="AM272" s="921"/>
      <c r="AN272" s="921"/>
      <c r="AO272" s="921"/>
      <c r="AP272" s="921"/>
      <c r="AQ272" s="921"/>
      <c r="AR272" s="921"/>
      <c r="AS272" s="921"/>
      <c r="AT272" s="921"/>
      <c r="AU272" s="921"/>
      <c r="AV272" s="921"/>
      <c r="AW272" s="921"/>
      <c r="AX272" s="921"/>
      <c r="AY272" s="921"/>
      <c r="AZ272" s="921"/>
      <c r="BA272" s="921"/>
      <c r="BB272" s="921"/>
      <c r="BC272" s="921"/>
      <c r="BD272" s="921"/>
      <c r="BE272" s="921"/>
      <c r="BF272" s="921"/>
      <c r="BG272" s="921"/>
      <c r="BH272" s="921"/>
      <c r="BI272" s="921"/>
      <c r="BJ272" s="921"/>
      <c r="BK272" s="921"/>
      <c r="BL272" s="921"/>
      <c r="BM272" s="921"/>
      <c r="BN272" s="921"/>
      <c r="BO272" s="921"/>
      <c r="BP272" s="802"/>
    </row>
    <row r="273" spans="1:68" ht="21">
      <c r="B273" s="930" t="s">
        <v>898</v>
      </c>
      <c r="C273" s="871"/>
      <c r="D273" s="853"/>
      <c r="E273" s="935" t="s">
        <v>956</v>
      </c>
      <c r="F273" s="862"/>
      <c r="G273" s="852" t="s">
        <v>1281</v>
      </c>
      <c r="H273" s="921"/>
      <c r="I273" s="921"/>
      <c r="J273" s="921"/>
      <c r="K273" s="921"/>
      <c r="L273" s="928">
        <f ca="1">IF(ROUNDDOWN(L249+L250-L272-L262,0)&lt;=0,0,ROUND(ROUNDDOWN(L249+L250-L272-L262,0),2-INT(LOG(ROUNDDOWN(L249+L250-L272-L262,0)))))</f>
        <v>0</v>
      </c>
      <c r="M273" s="928">
        <f t="shared" ref="M273:W273" ca="1" si="90">IF(ROUNDDOWN(M249+M250-M272-M262,0)&lt;=0,0,ROUND(ROUNDDOWN(M249+M250-M272-M262,0),2-INT(LOG(ROUNDDOWN(M249+M250-M272-M262,0)))))</f>
        <v>0</v>
      </c>
      <c r="N273" s="928">
        <f t="shared" ca="1" si="90"/>
        <v>0</v>
      </c>
      <c r="O273" s="928">
        <f t="shared" ca="1" si="90"/>
        <v>0</v>
      </c>
      <c r="P273" s="928">
        <f t="shared" ca="1" si="90"/>
        <v>0</v>
      </c>
      <c r="Q273" s="928">
        <f t="shared" ca="1" si="90"/>
        <v>0</v>
      </c>
      <c r="R273" s="928">
        <f t="shared" ca="1" si="90"/>
        <v>0</v>
      </c>
      <c r="S273" s="928">
        <f t="shared" ca="1" si="90"/>
        <v>0</v>
      </c>
      <c r="T273" s="928">
        <f t="shared" ca="1" si="90"/>
        <v>0</v>
      </c>
      <c r="U273" s="928">
        <f t="shared" ca="1" si="90"/>
        <v>0</v>
      </c>
      <c r="V273" s="928">
        <f t="shared" ca="1" si="90"/>
        <v>0</v>
      </c>
      <c r="W273" s="928">
        <f t="shared" ca="1" si="90"/>
        <v>0</v>
      </c>
      <c r="X273" s="921"/>
      <c r="Y273" s="921"/>
      <c r="Z273" s="921"/>
      <c r="AA273" s="921"/>
      <c r="AB273" s="921"/>
      <c r="AC273" s="921"/>
      <c r="AD273" s="921"/>
      <c r="AE273" s="921"/>
      <c r="AF273" s="921"/>
      <c r="AG273" s="921"/>
      <c r="AH273" s="921"/>
      <c r="AI273" s="921"/>
      <c r="AJ273" s="921"/>
      <c r="AK273" s="921"/>
      <c r="AL273" s="921"/>
      <c r="AM273" s="921"/>
      <c r="AN273" s="921"/>
      <c r="AO273" s="921"/>
      <c r="AP273" s="921"/>
      <c r="AQ273" s="921"/>
      <c r="AR273" s="921"/>
      <c r="AS273" s="921"/>
      <c r="AT273" s="921"/>
      <c r="AU273" s="921"/>
      <c r="AV273" s="921"/>
      <c r="AW273" s="921"/>
      <c r="AX273" s="921"/>
      <c r="AY273" s="921"/>
      <c r="AZ273" s="921"/>
      <c r="BA273" s="921"/>
      <c r="BB273" s="921"/>
      <c r="BC273" s="921"/>
      <c r="BD273" s="921"/>
      <c r="BE273" s="921"/>
      <c r="BF273" s="921"/>
      <c r="BG273" s="921"/>
      <c r="BH273" s="921"/>
      <c r="BI273" s="921"/>
      <c r="BJ273" s="921"/>
      <c r="BK273" s="921"/>
      <c r="BL273" s="921"/>
      <c r="BM273" s="921"/>
      <c r="BN273" s="921"/>
      <c r="BO273" s="921"/>
      <c r="BP273" s="802"/>
    </row>
    <row r="274" spans="1:68" ht="20.100000000000001" customHeight="1">
      <c r="B274" s="912">
        <v>2</v>
      </c>
      <c r="C274" s="913" t="s">
        <v>899</v>
      </c>
      <c r="D274" s="781"/>
      <c r="E274" s="781"/>
      <c r="F274" s="781"/>
      <c r="G274" s="781"/>
      <c r="H274" s="782"/>
      <c r="I274" s="782"/>
      <c r="J274" s="782"/>
      <c r="K274" s="782"/>
      <c r="L274" s="879"/>
      <c r="M274" s="879"/>
      <c r="N274" s="879"/>
      <c r="O274" s="879"/>
      <c r="P274" s="879"/>
      <c r="Q274" s="879"/>
      <c r="R274" s="879"/>
      <c r="S274" s="879"/>
      <c r="T274" s="879"/>
      <c r="U274" s="879"/>
      <c r="V274" s="879"/>
      <c r="W274" s="879"/>
      <c r="X274" s="879"/>
      <c r="Y274" s="879"/>
      <c r="Z274" s="879"/>
      <c r="AA274" s="879"/>
      <c r="AB274" s="879"/>
      <c r="AC274" s="879"/>
      <c r="AD274" s="879"/>
      <c r="AE274" s="879"/>
      <c r="AF274" s="879"/>
      <c r="AG274" s="879"/>
      <c r="AH274" s="879"/>
      <c r="AI274" s="879"/>
      <c r="AJ274" s="879"/>
      <c r="AK274" s="879"/>
      <c r="AL274" s="879"/>
      <c r="AM274" s="879"/>
      <c r="AN274" s="879"/>
      <c r="AO274" s="879"/>
      <c r="AP274" s="879"/>
      <c r="AQ274" s="879"/>
      <c r="AR274" s="879"/>
      <c r="AS274" s="879"/>
      <c r="AT274" s="879"/>
      <c r="AU274" s="879"/>
      <c r="AV274" s="879"/>
      <c r="AW274" s="879"/>
      <c r="AX274" s="879"/>
      <c r="AY274" s="879"/>
      <c r="AZ274" s="879"/>
      <c r="BA274" s="879"/>
      <c r="BB274" s="879"/>
      <c r="BC274" s="879"/>
      <c r="BD274" s="879"/>
      <c r="BE274" s="879"/>
      <c r="BF274" s="879"/>
      <c r="BG274" s="879"/>
      <c r="BH274" s="879"/>
      <c r="BI274" s="879"/>
      <c r="BJ274" s="879"/>
      <c r="BK274" s="879"/>
      <c r="BL274" s="879"/>
      <c r="BM274" s="879"/>
      <c r="BN274" s="879"/>
      <c r="BO274" s="879"/>
    </row>
    <row r="275" spans="1:68" ht="20.100000000000001" hidden="1" customHeight="1" outlineLevel="1">
      <c r="A275" s="747">
        <v>10</v>
      </c>
      <c r="B275" s="1595"/>
      <c r="C275" s="1596"/>
      <c r="D275" s="785" t="s">
        <v>350</v>
      </c>
      <c r="E275" s="785"/>
      <c r="F275" s="786"/>
      <c r="G275" s="852" t="s">
        <v>1281</v>
      </c>
      <c r="H275" s="915">
        <f t="shared" ref="H275:H281" ca="1" si="91">IFERROR(OFFSET(貼付け_2024実績,$A275,6),"")</f>
        <v>1.8700000000000001E-2</v>
      </c>
      <c r="I275" s="915">
        <f t="shared" ref="I275:I281" ca="1" si="92">IFERROR(OFFSET(貼付け_2025実績,$A275,6),"")</f>
        <v>1.8700000000000001E-2</v>
      </c>
      <c r="J275" s="915">
        <f t="shared" ref="J275:J281" ca="1" si="93">IFERROR(OFFSET(貼付け_2026実績,$A275,6),"")</f>
        <v>1.8700000000000001E-2</v>
      </c>
      <c r="K275" s="915">
        <f t="shared" ref="K275:K281" ca="1" si="94">IFERROR(OFFSET(貼付け_2027実績,$A275,6),"")</f>
        <v>1.8700000000000001E-2</v>
      </c>
      <c r="L275" s="916">
        <f t="shared" ref="L275:W281" ca="1" si="95">L230</f>
        <v>0</v>
      </c>
      <c r="M275" s="916">
        <f t="shared" ca="1" si="95"/>
        <v>0</v>
      </c>
      <c r="N275" s="916">
        <f t="shared" ca="1" si="95"/>
        <v>0</v>
      </c>
      <c r="O275" s="916">
        <f t="shared" ca="1" si="95"/>
        <v>0</v>
      </c>
      <c r="P275" s="952">
        <f ca="1">P230</f>
        <v>0</v>
      </c>
      <c r="Q275" s="952">
        <f t="shared" ref="Q275:W275" ca="1" si="96">Q230</f>
        <v>0</v>
      </c>
      <c r="R275" s="952">
        <f t="shared" ca="1" si="96"/>
        <v>0</v>
      </c>
      <c r="S275" s="952">
        <f t="shared" ca="1" si="96"/>
        <v>0</v>
      </c>
      <c r="T275" s="952">
        <f t="shared" ca="1" si="96"/>
        <v>0</v>
      </c>
      <c r="U275" s="952">
        <f t="shared" ca="1" si="96"/>
        <v>0</v>
      </c>
      <c r="V275" s="952">
        <f t="shared" ca="1" si="96"/>
        <v>0</v>
      </c>
      <c r="W275" s="952">
        <f t="shared" ca="1" si="96"/>
        <v>0</v>
      </c>
      <c r="X275" s="921"/>
      <c r="Y275" s="921"/>
      <c r="Z275" s="921"/>
      <c r="AA275" s="921"/>
      <c r="AB275" s="921"/>
      <c r="AC275" s="921"/>
      <c r="AD275" s="921"/>
      <c r="AE275" s="921"/>
      <c r="AF275" s="921"/>
      <c r="AG275" s="921"/>
      <c r="AH275" s="921"/>
      <c r="AI275" s="921"/>
      <c r="AJ275" s="921"/>
      <c r="AK275" s="921"/>
      <c r="AL275" s="921"/>
      <c r="AM275" s="921"/>
      <c r="AN275" s="921"/>
      <c r="AO275" s="921"/>
      <c r="AP275" s="921"/>
      <c r="AQ275" s="921"/>
      <c r="AR275" s="921"/>
      <c r="AS275" s="921"/>
      <c r="AT275" s="921"/>
      <c r="AU275" s="921"/>
      <c r="AV275" s="921"/>
      <c r="AW275" s="921"/>
      <c r="AX275" s="921"/>
      <c r="AY275" s="921"/>
      <c r="AZ275" s="921"/>
      <c r="BA275" s="921"/>
      <c r="BB275" s="921"/>
      <c r="BC275" s="921"/>
      <c r="BD275" s="921"/>
      <c r="BE275" s="921"/>
      <c r="BF275" s="921"/>
      <c r="BG275" s="921"/>
      <c r="BH275" s="921"/>
      <c r="BI275" s="921"/>
      <c r="BJ275" s="921"/>
      <c r="BK275" s="921"/>
      <c r="BL275" s="921"/>
      <c r="BM275" s="921"/>
      <c r="BN275" s="921"/>
      <c r="BO275" s="921"/>
    </row>
    <row r="276" spans="1:68" ht="20.100000000000001" hidden="1" customHeight="1" outlineLevel="1">
      <c r="A276" s="747">
        <v>12</v>
      </c>
      <c r="B276" s="1594"/>
      <c r="C276" s="1596"/>
      <c r="D276" s="785" t="s">
        <v>352</v>
      </c>
      <c r="E276" s="785"/>
      <c r="F276" s="786"/>
      <c r="G276" s="852" t="s">
        <v>1281</v>
      </c>
      <c r="H276" s="915">
        <f t="shared" ca="1" si="91"/>
        <v>1.8599999999999998E-2</v>
      </c>
      <c r="I276" s="915">
        <f t="shared" ca="1" si="92"/>
        <v>1.8599999999999998E-2</v>
      </c>
      <c r="J276" s="915">
        <f t="shared" ca="1" si="93"/>
        <v>1.8599999999999998E-2</v>
      </c>
      <c r="K276" s="915">
        <f t="shared" ca="1" si="94"/>
        <v>1.8599999999999998E-2</v>
      </c>
      <c r="L276" s="916">
        <f t="shared" ca="1" si="95"/>
        <v>0</v>
      </c>
      <c r="M276" s="916">
        <f t="shared" ca="1" si="95"/>
        <v>0</v>
      </c>
      <c r="N276" s="916">
        <f t="shared" ca="1" si="95"/>
        <v>0</v>
      </c>
      <c r="O276" s="916">
        <f t="shared" ca="1" si="95"/>
        <v>0</v>
      </c>
      <c r="P276" s="952">
        <f t="shared" ca="1" si="95"/>
        <v>0</v>
      </c>
      <c r="Q276" s="952">
        <f t="shared" ca="1" si="95"/>
        <v>0</v>
      </c>
      <c r="R276" s="952">
        <f t="shared" ca="1" si="95"/>
        <v>0</v>
      </c>
      <c r="S276" s="952">
        <f t="shared" ca="1" si="95"/>
        <v>0</v>
      </c>
      <c r="T276" s="952">
        <f t="shared" ca="1" si="95"/>
        <v>0</v>
      </c>
      <c r="U276" s="952">
        <f t="shared" ca="1" si="95"/>
        <v>0</v>
      </c>
      <c r="V276" s="952">
        <f t="shared" ca="1" si="95"/>
        <v>0</v>
      </c>
      <c r="W276" s="952">
        <f t="shared" ca="1" si="95"/>
        <v>0</v>
      </c>
      <c r="X276" s="921"/>
      <c r="Y276" s="921"/>
      <c r="Z276" s="921"/>
      <c r="AA276" s="921"/>
      <c r="AB276" s="921"/>
      <c r="AC276" s="921"/>
      <c r="AD276" s="921"/>
      <c r="AE276" s="921"/>
      <c r="AF276" s="921"/>
      <c r="AG276" s="921"/>
      <c r="AH276" s="921"/>
      <c r="AI276" s="921"/>
      <c r="AJ276" s="921"/>
      <c r="AK276" s="921"/>
      <c r="AL276" s="921"/>
      <c r="AM276" s="921"/>
      <c r="AN276" s="921"/>
      <c r="AO276" s="921"/>
      <c r="AP276" s="921"/>
      <c r="AQ276" s="921"/>
      <c r="AR276" s="921"/>
      <c r="AS276" s="921"/>
      <c r="AT276" s="921"/>
      <c r="AU276" s="921"/>
      <c r="AV276" s="921"/>
      <c r="AW276" s="921"/>
      <c r="AX276" s="921"/>
      <c r="AY276" s="921"/>
      <c r="AZ276" s="921"/>
      <c r="BA276" s="921"/>
      <c r="BB276" s="921"/>
      <c r="BC276" s="921"/>
      <c r="BD276" s="921"/>
      <c r="BE276" s="921"/>
      <c r="BF276" s="921"/>
      <c r="BG276" s="921"/>
      <c r="BH276" s="921"/>
      <c r="BI276" s="921"/>
      <c r="BJ276" s="921"/>
      <c r="BK276" s="921"/>
      <c r="BL276" s="921"/>
      <c r="BM276" s="921"/>
      <c r="BN276" s="921"/>
      <c r="BO276" s="921"/>
    </row>
    <row r="277" spans="1:68" ht="20.100000000000001" hidden="1" customHeight="1" outlineLevel="1">
      <c r="A277" s="747">
        <v>14</v>
      </c>
      <c r="B277" s="1595"/>
      <c r="C277" s="1596"/>
      <c r="D277" s="785" t="s">
        <v>354</v>
      </c>
      <c r="E277" s="785"/>
      <c r="F277" s="786"/>
      <c r="G277" s="852" t="s">
        <v>1281</v>
      </c>
      <c r="H277" s="915">
        <f t="shared" ca="1" si="91"/>
        <v>1.8800000000000001E-2</v>
      </c>
      <c r="I277" s="915">
        <f t="shared" ca="1" si="92"/>
        <v>1.8800000000000001E-2</v>
      </c>
      <c r="J277" s="915">
        <f t="shared" ca="1" si="93"/>
        <v>1.8800000000000001E-2</v>
      </c>
      <c r="K277" s="915">
        <f t="shared" ca="1" si="94"/>
        <v>1.8800000000000001E-2</v>
      </c>
      <c r="L277" s="916">
        <f t="shared" ca="1" si="95"/>
        <v>0</v>
      </c>
      <c r="M277" s="916">
        <f t="shared" ca="1" si="95"/>
        <v>0</v>
      </c>
      <c r="N277" s="916">
        <f t="shared" ca="1" si="95"/>
        <v>0</v>
      </c>
      <c r="O277" s="916">
        <f t="shared" ca="1" si="95"/>
        <v>0</v>
      </c>
      <c r="P277" s="952">
        <f t="shared" ca="1" si="95"/>
        <v>0</v>
      </c>
      <c r="Q277" s="952">
        <f t="shared" ca="1" si="95"/>
        <v>0</v>
      </c>
      <c r="R277" s="952">
        <f t="shared" ca="1" si="95"/>
        <v>0</v>
      </c>
      <c r="S277" s="952">
        <f t="shared" ca="1" si="95"/>
        <v>0</v>
      </c>
      <c r="T277" s="952">
        <f t="shared" ca="1" si="95"/>
        <v>0</v>
      </c>
      <c r="U277" s="952">
        <f t="shared" ca="1" si="95"/>
        <v>0</v>
      </c>
      <c r="V277" s="952">
        <f t="shared" ca="1" si="95"/>
        <v>0</v>
      </c>
      <c r="W277" s="952">
        <f t="shared" ca="1" si="95"/>
        <v>0</v>
      </c>
      <c r="X277" s="921"/>
      <c r="Y277" s="921"/>
      <c r="Z277" s="921"/>
      <c r="AA277" s="921"/>
      <c r="AB277" s="921"/>
      <c r="AC277" s="921"/>
      <c r="AD277" s="921"/>
      <c r="AE277" s="921"/>
      <c r="AF277" s="921"/>
      <c r="AG277" s="921"/>
      <c r="AH277" s="921"/>
      <c r="AI277" s="921"/>
      <c r="AJ277" s="921"/>
      <c r="AK277" s="921"/>
      <c r="AL277" s="921"/>
      <c r="AM277" s="921"/>
      <c r="AN277" s="921"/>
      <c r="AO277" s="921"/>
      <c r="AP277" s="921"/>
      <c r="AQ277" s="921"/>
      <c r="AR277" s="921"/>
      <c r="AS277" s="921"/>
      <c r="AT277" s="921"/>
      <c r="AU277" s="921"/>
      <c r="AV277" s="921"/>
      <c r="AW277" s="921"/>
      <c r="AX277" s="921"/>
      <c r="AY277" s="921"/>
      <c r="AZ277" s="921"/>
      <c r="BA277" s="921"/>
      <c r="BB277" s="921"/>
      <c r="BC277" s="921"/>
      <c r="BD277" s="921"/>
      <c r="BE277" s="921"/>
      <c r="BF277" s="921"/>
      <c r="BG277" s="921"/>
      <c r="BH277" s="921"/>
      <c r="BI277" s="921"/>
      <c r="BJ277" s="921"/>
      <c r="BK277" s="921"/>
      <c r="BL277" s="921"/>
      <c r="BM277" s="921"/>
      <c r="BN277" s="921"/>
      <c r="BO277" s="921"/>
    </row>
    <row r="278" spans="1:68" ht="20.100000000000001" hidden="1" customHeight="1" outlineLevel="1">
      <c r="A278" s="747">
        <v>15</v>
      </c>
      <c r="B278" s="1594"/>
      <c r="C278" s="1596"/>
      <c r="D278" s="785" t="s">
        <v>355</v>
      </c>
      <c r="E278" s="785"/>
      <c r="F278" s="786"/>
      <c r="G278" s="852" t="s">
        <v>1281</v>
      </c>
      <c r="H278" s="915">
        <f t="shared" ca="1" si="91"/>
        <v>1.9300000000000001E-2</v>
      </c>
      <c r="I278" s="915">
        <f t="shared" ca="1" si="92"/>
        <v>1.9300000000000001E-2</v>
      </c>
      <c r="J278" s="915">
        <f t="shared" ca="1" si="93"/>
        <v>1.9300000000000001E-2</v>
      </c>
      <c r="K278" s="915">
        <f t="shared" ca="1" si="94"/>
        <v>1.9300000000000001E-2</v>
      </c>
      <c r="L278" s="916">
        <f t="shared" ca="1" si="95"/>
        <v>0</v>
      </c>
      <c r="M278" s="916">
        <f t="shared" ca="1" si="95"/>
        <v>0</v>
      </c>
      <c r="N278" s="916">
        <f t="shared" ca="1" si="95"/>
        <v>0</v>
      </c>
      <c r="O278" s="916">
        <f t="shared" ca="1" si="95"/>
        <v>0</v>
      </c>
      <c r="P278" s="952">
        <f t="shared" ca="1" si="95"/>
        <v>0</v>
      </c>
      <c r="Q278" s="952">
        <f t="shared" ca="1" si="95"/>
        <v>0</v>
      </c>
      <c r="R278" s="952">
        <f t="shared" ca="1" si="95"/>
        <v>0</v>
      </c>
      <c r="S278" s="952">
        <f t="shared" ca="1" si="95"/>
        <v>0</v>
      </c>
      <c r="T278" s="952">
        <f t="shared" ca="1" si="95"/>
        <v>0</v>
      </c>
      <c r="U278" s="952">
        <f t="shared" ca="1" si="95"/>
        <v>0</v>
      </c>
      <c r="V278" s="952">
        <f t="shared" ca="1" si="95"/>
        <v>0</v>
      </c>
      <c r="W278" s="952">
        <f t="shared" ca="1" si="95"/>
        <v>0</v>
      </c>
      <c r="X278" s="921"/>
      <c r="Y278" s="921"/>
      <c r="Z278" s="921"/>
      <c r="AA278" s="921"/>
      <c r="AB278" s="921"/>
      <c r="AC278" s="921"/>
      <c r="AD278" s="921"/>
      <c r="AE278" s="921"/>
      <c r="AF278" s="921"/>
      <c r="AG278" s="921"/>
      <c r="AH278" s="921"/>
      <c r="AI278" s="921"/>
      <c r="AJ278" s="921"/>
      <c r="AK278" s="921"/>
      <c r="AL278" s="921"/>
      <c r="AM278" s="921"/>
      <c r="AN278" s="921"/>
      <c r="AO278" s="921"/>
      <c r="AP278" s="921"/>
      <c r="AQ278" s="921"/>
      <c r="AR278" s="921"/>
      <c r="AS278" s="921"/>
      <c r="AT278" s="921"/>
      <c r="AU278" s="921"/>
      <c r="AV278" s="921"/>
      <c r="AW278" s="921"/>
      <c r="AX278" s="921"/>
      <c r="AY278" s="921"/>
      <c r="AZ278" s="921"/>
      <c r="BA278" s="921"/>
      <c r="BB278" s="921"/>
      <c r="BC278" s="921"/>
      <c r="BD278" s="921"/>
      <c r="BE278" s="921"/>
      <c r="BF278" s="921"/>
      <c r="BG278" s="921"/>
      <c r="BH278" s="921"/>
      <c r="BI278" s="921"/>
      <c r="BJ278" s="921"/>
      <c r="BK278" s="921"/>
      <c r="BL278" s="921"/>
      <c r="BM278" s="921"/>
      <c r="BN278" s="921"/>
      <c r="BO278" s="921"/>
    </row>
    <row r="279" spans="1:68" ht="20.100000000000001" hidden="1" customHeight="1" outlineLevel="1">
      <c r="A279" s="747">
        <v>16</v>
      </c>
      <c r="B279" s="1594"/>
      <c r="C279" s="1596"/>
      <c r="D279" s="785" t="s">
        <v>356</v>
      </c>
      <c r="E279" s="779"/>
      <c r="F279" s="786"/>
      <c r="G279" s="852" t="s">
        <v>1281</v>
      </c>
      <c r="H279" s="915">
        <f t="shared" ca="1" si="91"/>
        <v>2.0199999999999999E-2</v>
      </c>
      <c r="I279" s="915">
        <f t="shared" ca="1" si="92"/>
        <v>2.0199999999999999E-2</v>
      </c>
      <c r="J279" s="915">
        <f t="shared" ca="1" si="93"/>
        <v>2.0199999999999999E-2</v>
      </c>
      <c r="K279" s="915">
        <f t="shared" ca="1" si="94"/>
        <v>2.0199999999999999E-2</v>
      </c>
      <c r="L279" s="916">
        <f t="shared" ca="1" si="95"/>
        <v>0</v>
      </c>
      <c r="M279" s="916">
        <f t="shared" ca="1" si="95"/>
        <v>0</v>
      </c>
      <c r="N279" s="916">
        <f t="shared" ca="1" si="95"/>
        <v>0</v>
      </c>
      <c r="O279" s="916">
        <f t="shared" ca="1" si="95"/>
        <v>0</v>
      </c>
      <c r="P279" s="952">
        <f t="shared" ca="1" si="95"/>
        <v>0</v>
      </c>
      <c r="Q279" s="952">
        <f t="shared" ca="1" si="95"/>
        <v>0</v>
      </c>
      <c r="R279" s="952">
        <f t="shared" ca="1" si="95"/>
        <v>0</v>
      </c>
      <c r="S279" s="952">
        <f t="shared" ca="1" si="95"/>
        <v>0</v>
      </c>
      <c r="T279" s="952">
        <f t="shared" ca="1" si="95"/>
        <v>0</v>
      </c>
      <c r="U279" s="952">
        <f t="shared" ca="1" si="95"/>
        <v>0</v>
      </c>
      <c r="V279" s="952">
        <f t="shared" ca="1" si="95"/>
        <v>0</v>
      </c>
      <c r="W279" s="952">
        <f t="shared" ca="1" si="95"/>
        <v>0</v>
      </c>
      <c r="X279" s="921"/>
      <c r="Y279" s="921"/>
      <c r="Z279" s="921"/>
      <c r="AA279" s="921"/>
      <c r="AB279" s="921"/>
      <c r="AC279" s="921"/>
      <c r="AD279" s="921"/>
      <c r="AE279" s="921"/>
      <c r="AF279" s="921"/>
      <c r="AG279" s="921"/>
      <c r="AH279" s="921"/>
      <c r="AI279" s="921"/>
      <c r="AJ279" s="921"/>
      <c r="AK279" s="921"/>
      <c r="AL279" s="921"/>
      <c r="AM279" s="921"/>
      <c r="AN279" s="921"/>
      <c r="AO279" s="921"/>
      <c r="AP279" s="921"/>
      <c r="AQ279" s="921"/>
      <c r="AR279" s="921"/>
      <c r="AS279" s="921"/>
      <c r="AT279" s="921"/>
      <c r="AU279" s="921"/>
      <c r="AV279" s="921"/>
      <c r="AW279" s="921"/>
      <c r="AX279" s="921"/>
      <c r="AY279" s="921"/>
      <c r="AZ279" s="921"/>
      <c r="BA279" s="921"/>
      <c r="BB279" s="921"/>
      <c r="BC279" s="921"/>
      <c r="BD279" s="921"/>
      <c r="BE279" s="921"/>
      <c r="BF279" s="921"/>
      <c r="BG279" s="921"/>
      <c r="BH279" s="921"/>
      <c r="BI279" s="921"/>
      <c r="BJ279" s="921"/>
      <c r="BK279" s="921"/>
      <c r="BL279" s="921"/>
      <c r="BM279" s="921"/>
      <c r="BN279" s="921"/>
      <c r="BO279" s="921"/>
    </row>
    <row r="280" spans="1:68" ht="20.100000000000001" hidden="1" customHeight="1" outlineLevel="1">
      <c r="A280" s="747">
        <v>19</v>
      </c>
      <c r="B280" s="1595"/>
      <c r="C280" s="1596"/>
      <c r="D280" s="785" t="s">
        <v>360</v>
      </c>
      <c r="E280" s="785"/>
      <c r="F280" s="786"/>
      <c r="G280" s="852" t="s">
        <v>1281</v>
      </c>
      <c r="H280" s="915">
        <f t="shared" ca="1" si="91"/>
        <v>1.6299999999999999E-2</v>
      </c>
      <c r="I280" s="915">
        <f t="shared" ca="1" si="92"/>
        <v>1.6299999999999999E-2</v>
      </c>
      <c r="J280" s="915">
        <f t="shared" ca="1" si="93"/>
        <v>1.6299999999999999E-2</v>
      </c>
      <c r="K280" s="915">
        <f t="shared" ca="1" si="94"/>
        <v>1.6299999999999999E-2</v>
      </c>
      <c r="L280" s="916">
        <f t="shared" ca="1" si="95"/>
        <v>0</v>
      </c>
      <c r="M280" s="916">
        <f t="shared" ca="1" si="95"/>
        <v>0</v>
      </c>
      <c r="N280" s="916">
        <f t="shared" ca="1" si="95"/>
        <v>0</v>
      </c>
      <c r="O280" s="916">
        <f t="shared" ca="1" si="95"/>
        <v>0</v>
      </c>
      <c r="P280" s="952">
        <f t="shared" ca="1" si="95"/>
        <v>0</v>
      </c>
      <c r="Q280" s="952">
        <f t="shared" ca="1" si="95"/>
        <v>0</v>
      </c>
      <c r="R280" s="952">
        <f t="shared" ca="1" si="95"/>
        <v>0</v>
      </c>
      <c r="S280" s="952">
        <f t="shared" ca="1" si="95"/>
        <v>0</v>
      </c>
      <c r="T280" s="952">
        <f t="shared" ca="1" si="95"/>
        <v>0</v>
      </c>
      <c r="U280" s="952">
        <f t="shared" ca="1" si="95"/>
        <v>0</v>
      </c>
      <c r="V280" s="952">
        <f t="shared" ca="1" si="95"/>
        <v>0</v>
      </c>
      <c r="W280" s="952">
        <f t="shared" ca="1" si="95"/>
        <v>0</v>
      </c>
      <c r="X280" s="921"/>
      <c r="Y280" s="921"/>
      <c r="Z280" s="921"/>
      <c r="AA280" s="921"/>
      <c r="AB280" s="921"/>
      <c r="AC280" s="921"/>
      <c r="AD280" s="921"/>
      <c r="AE280" s="921"/>
      <c r="AF280" s="921"/>
      <c r="AG280" s="921"/>
      <c r="AH280" s="921"/>
      <c r="AI280" s="921"/>
      <c r="AJ280" s="921"/>
      <c r="AK280" s="921"/>
      <c r="AL280" s="921"/>
      <c r="AM280" s="921"/>
      <c r="AN280" s="921"/>
      <c r="AO280" s="921"/>
      <c r="AP280" s="921"/>
      <c r="AQ280" s="921"/>
      <c r="AR280" s="921"/>
      <c r="AS280" s="921"/>
      <c r="AT280" s="921"/>
      <c r="AU280" s="921"/>
      <c r="AV280" s="921"/>
      <c r="AW280" s="921"/>
      <c r="AX280" s="921"/>
      <c r="AY280" s="921"/>
      <c r="AZ280" s="921"/>
      <c r="BA280" s="921"/>
      <c r="BB280" s="921"/>
      <c r="BC280" s="921"/>
      <c r="BD280" s="921"/>
      <c r="BE280" s="921"/>
      <c r="BF280" s="921"/>
      <c r="BG280" s="921"/>
      <c r="BH280" s="921"/>
      <c r="BI280" s="921"/>
      <c r="BJ280" s="921"/>
      <c r="BK280" s="921"/>
      <c r="BL280" s="921"/>
      <c r="BM280" s="921"/>
      <c r="BN280" s="921"/>
      <c r="BO280" s="921"/>
    </row>
    <row r="281" spans="1:68" ht="20.100000000000001" hidden="1" customHeight="1" outlineLevel="1">
      <c r="A281" s="747">
        <v>21</v>
      </c>
      <c r="B281" s="1595"/>
      <c r="C281" s="1596"/>
      <c r="D281" s="785" t="s">
        <v>362</v>
      </c>
      <c r="E281" s="779"/>
      <c r="F281" s="786"/>
      <c r="G281" s="852" t="s">
        <v>1281</v>
      </c>
      <c r="H281" s="915">
        <f t="shared" ca="1" si="91"/>
        <v>1.3899999999999999E-2</v>
      </c>
      <c r="I281" s="915">
        <f t="shared" ca="1" si="92"/>
        <v>1.3899999999999999E-2</v>
      </c>
      <c r="J281" s="915">
        <f t="shared" ca="1" si="93"/>
        <v>1.3899999999999999E-2</v>
      </c>
      <c r="K281" s="915">
        <f t="shared" ca="1" si="94"/>
        <v>1.3899999999999999E-2</v>
      </c>
      <c r="L281" s="916">
        <f t="shared" ca="1" si="95"/>
        <v>0</v>
      </c>
      <c r="M281" s="916">
        <f t="shared" ca="1" si="95"/>
        <v>0</v>
      </c>
      <c r="N281" s="916">
        <f t="shared" ca="1" si="95"/>
        <v>0</v>
      </c>
      <c r="O281" s="916">
        <f t="shared" ca="1" si="95"/>
        <v>0</v>
      </c>
      <c r="P281" s="952">
        <f t="shared" ca="1" si="95"/>
        <v>0</v>
      </c>
      <c r="Q281" s="952">
        <f t="shared" ca="1" si="95"/>
        <v>0</v>
      </c>
      <c r="R281" s="952">
        <f t="shared" ca="1" si="95"/>
        <v>0</v>
      </c>
      <c r="S281" s="952">
        <f t="shared" ca="1" si="95"/>
        <v>0</v>
      </c>
      <c r="T281" s="952">
        <f t="shared" ca="1" si="95"/>
        <v>0</v>
      </c>
      <c r="U281" s="952">
        <f t="shared" ca="1" si="95"/>
        <v>0</v>
      </c>
      <c r="V281" s="952">
        <f t="shared" ca="1" si="95"/>
        <v>0</v>
      </c>
      <c r="W281" s="952">
        <f t="shared" ca="1" si="95"/>
        <v>0</v>
      </c>
      <c r="X281" s="921"/>
      <c r="Y281" s="921"/>
      <c r="Z281" s="921"/>
      <c r="AA281" s="921"/>
      <c r="AB281" s="921"/>
      <c r="AC281" s="921"/>
      <c r="AD281" s="921"/>
      <c r="AE281" s="921"/>
      <c r="AF281" s="921"/>
      <c r="AG281" s="921"/>
      <c r="AH281" s="921"/>
      <c r="AI281" s="921"/>
      <c r="AJ281" s="921"/>
      <c r="AK281" s="921"/>
      <c r="AL281" s="921"/>
      <c r="AM281" s="921"/>
      <c r="AN281" s="921"/>
      <c r="AO281" s="921"/>
      <c r="AP281" s="921"/>
      <c r="AQ281" s="921"/>
      <c r="AR281" s="921"/>
      <c r="AS281" s="921"/>
      <c r="AT281" s="921"/>
      <c r="AU281" s="921"/>
      <c r="AV281" s="921"/>
      <c r="AW281" s="921"/>
      <c r="AX281" s="921"/>
      <c r="AY281" s="921"/>
      <c r="AZ281" s="921"/>
      <c r="BA281" s="921"/>
      <c r="BB281" s="921"/>
      <c r="BC281" s="921"/>
      <c r="BD281" s="921"/>
      <c r="BE281" s="921"/>
      <c r="BF281" s="921"/>
      <c r="BG281" s="921"/>
      <c r="BH281" s="921"/>
      <c r="BI281" s="921"/>
      <c r="BJ281" s="921"/>
      <c r="BK281" s="921"/>
      <c r="BL281" s="921"/>
      <c r="BM281" s="921"/>
      <c r="BN281" s="921"/>
      <c r="BO281" s="921"/>
    </row>
    <row r="282" spans="1:68" ht="20.100000000000001" hidden="1" customHeight="1" outlineLevel="1">
      <c r="A282" s="747">
        <v>8</v>
      </c>
      <c r="B282" s="1595"/>
      <c r="C282" s="1596"/>
      <c r="D282" s="785" t="s">
        <v>782</v>
      </c>
      <c r="E282" s="790"/>
      <c r="F282" s="786"/>
      <c r="G282" s="852" t="s">
        <v>1281</v>
      </c>
      <c r="H282" s="917"/>
      <c r="I282" s="917"/>
      <c r="J282" s="917"/>
      <c r="K282" s="917"/>
      <c r="L282" s="916">
        <f ca="1">IFERROR(OFFSET(A1_集計2024,$A282,7)+OFFSET(A1_集計2024,$A282,8),0)</f>
        <v>0</v>
      </c>
      <c r="M282" s="916">
        <f ca="1">IFERROR(OFFSET(A1_集計2025,$A282,7)+OFFSET(A1_集計2025,$A282,8),0)</f>
        <v>0</v>
      </c>
      <c r="N282" s="916">
        <f ca="1">IFERROR(OFFSET(A1_集計2026,$A282,7)+OFFSET(A1_集計2026,$A282,8),0)</f>
        <v>0</v>
      </c>
      <c r="O282" s="916">
        <f ca="1">IFERROR(OFFSET(A1_集計2027,$A282,7)+OFFSET(A1_集計2027,$A282,8),0)</f>
        <v>0</v>
      </c>
      <c r="P282" s="916">
        <f ca="1">IFERROR(OFFSET(A1_集計2024,$A282,7),0)</f>
        <v>0</v>
      </c>
      <c r="Q282" s="916">
        <f ca="1">IFERROR(OFFSET(A1_集計2025,$A282,7),0)</f>
        <v>0</v>
      </c>
      <c r="R282" s="916">
        <f ca="1">IFERROR(OFFSET(A1_集計2026,$A282,7),0)</f>
        <v>0</v>
      </c>
      <c r="S282" s="916">
        <f ca="1">IFERROR(OFFSET(A1_集計2027,$A282,7),0)</f>
        <v>0</v>
      </c>
      <c r="T282" s="916">
        <f ca="1">IFERROR(OFFSET(A1_集計2024,$A282,8),0)</f>
        <v>0</v>
      </c>
      <c r="U282" s="916">
        <f ca="1">IFERROR(OFFSET(A1_集計2025,$A282,8),0)</f>
        <v>0</v>
      </c>
      <c r="V282" s="916">
        <f ca="1">IFERROR(OFFSET(A1_集計2026,$A282,8),0)</f>
        <v>0</v>
      </c>
      <c r="W282" s="916">
        <f ca="1">IFERROR(OFFSET(A1_集計2027,$A282,8),0)</f>
        <v>0</v>
      </c>
      <c r="X282" s="921"/>
      <c r="Y282" s="921"/>
      <c r="Z282" s="921"/>
      <c r="AA282" s="921"/>
      <c r="AB282" s="921"/>
      <c r="AC282" s="921"/>
      <c r="AD282" s="921"/>
      <c r="AE282" s="921"/>
      <c r="AF282" s="921"/>
      <c r="AG282" s="921"/>
      <c r="AH282" s="921"/>
      <c r="AI282" s="921"/>
      <c r="AJ282" s="921"/>
      <c r="AK282" s="921"/>
      <c r="AL282" s="921"/>
      <c r="AM282" s="921"/>
      <c r="AN282" s="921"/>
      <c r="AO282" s="921"/>
      <c r="AP282" s="921"/>
      <c r="AQ282" s="921"/>
      <c r="AR282" s="921"/>
      <c r="AS282" s="921"/>
      <c r="AT282" s="921"/>
      <c r="AU282" s="921"/>
      <c r="AV282" s="921"/>
      <c r="AW282" s="921"/>
      <c r="AX282" s="921"/>
      <c r="AY282" s="921"/>
      <c r="AZ282" s="921"/>
      <c r="BA282" s="921"/>
      <c r="BB282" s="921"/>
      <c r="BC282" s="921"/>
      <c r="BD282" s="921"/>
      <c r="BE282" s="921"/>
      <c r="BF282" s="921"/>
      <c r="BG282" s="921"/>
      <c r="BH282" s="921"/>
      <c r="BI282" s="921"/>
      <c r="BJ282" s="921"/>
      <c r="BK282" s="921"/>
      <c r="BL282" s="921"/>
      <c r="BM282" s="921"/>
      <c r="BN282" s="921"/>
      <c r="BO282" s="921"/>
    </row>
    <row r="283" spans="1:68" ht="20.100000000000001" hidden="1" customHeight="1" outlineLevel="1">
      <c r="A283" s="747">
        <v>200</v>
      </c>
      <c r="B283" s="1594"/>
      <c r="C283" s="1596"/>
      <c r="D283" s="785" t="s">
        <v>376</v>
      </c>
      <c r="E283" s="792" t="str">
        <f ca="1">E238</f>
        <v/>
      </c>
      <c r="F283" s="786"/>
      <c r="G283" s="852" t="s">
        <v>1281</v>
      </c>
      <c r="H283" s="915">
        <f ca="1">IFERROR(OFFSET(貼付け_2024実績,$A283,17),"")</f>
        <v>0</v>
      </c>
      <c r="I283" s="915">
        <f ca="1">IFERROR(OFFSET(貼付け_2025実績,$A283,17),"")</f>
        <v>0</v>
      </c>
      <c r="J283" s="915">
        <f ca="1">IFERROR(OFFSET(貼付け_2026実績,$A283,17),"")</f>
        <v>0</v>
      </c>
      <c r="K283" s="915">
        <f ca="1">IFERROR(OFFSET(貼付け_2027実績,$A283,17),"")</f>
        <v>0</v>
      </c>
      <c r="L283" s="916">
        <f t="shared" ref="L283:W288" ca="1" si="97">L238</f>
        <v>0</v>
      </c>
      <c r="M283" s="916">
        <f t="shared" ca="1" si="97"/>
        <v>0</v>
      </c>
      <c r="N283" s="916">
        <f t="shared" ca="1" si="97"/>
        <v>0</v>
      </c>
      <c r="O283" s="916">
        <f t="shared" ca="1" si="97"/>
        <v>0</v>
      </c>
      <c r="P283" s="952">
        <f t="shared" ca="1" si="97"/>
        <v>0</v>
      </c>
      <c r="Q283" s="952">
        <f t="shared" ca="1" si="97"/>
        <v>0</v>
      </c>
      <c r="R283" s="952">
        <f t="shared" ca="1" si="97"/>
        <v>0</v>
      </c>
      <c r="S283" s="952">
        <f t="shared" ca="1" si="97"/>
        <v>0</v>
      </c>
      <c r="T283" s="952">
        <f t="shared" ca="1" si="97"/>
        <v>0</v>
      </c>
      <c r="U283" s="952">
        <f t="shared" ca="1" si="97"/>
        <v>0</v>
      </c>
      <c r="V283" s="952">
        <f t="shared" ca="1" si="97"/>
        <v>0</v>
      </c>
      <c r="W283" s="952">
        <f t="shared" ca="1" si="97"/>
        <v>0</v>
      </c>
      <c r="X283" s="921"/>
      <c r="Y283" s="921"/>
      <c r="Z283" s="921"/>
      <c r="AA283" s="921"/>
      <c r="AB283" s="921"/>
      <c r="AC283" s="921"/>
      <c r="AD283" s="921"/>
      <c r="AE283" s="921"/>
      <c r="AF283" s="921"/>
      <c r="AG283" s="921"/>
      <c r="AH283" s="921"/>
      <c r="AI283" s="921"/>
      <c r="AJ283" s="921"/>
      <c r="AK283" s="921"/>
      <c r="AL283" s="921"/>
      <c r="AM283" s="921"/>
      <c r="AN283" s="921"/>
      <c r="AO283" s="921"/>
      <c r="AP283" s="921"/>
      <c r="AQ283" s="921"/>
      <c r="AR283" s="921"/>
      <c r="AS283" s="921"/>
      <c r="AT283" s="921"/>
      <c r="AU283" s="921"/>
      <c r="AV283" s="921"/>
      <c r="AW283" s="921"/>
      <c r="AX283" s="921"/>
      <c r="AY283" s="921"/>
      <c r="AZ283" s="921"/>
      <c r="BA283" s="921"/>
      <c r="BB283" s="921"/>
      <c r="BC283" s="921"/>
      <c r="BD283" s="921"/>
      <c r="BE283" s="921"/>
      <c r="BF283" s="921"/>
      <c r="BG283" s="921"/>
      <c r="BH283" s="921"/>
      <c r="BI283" s="921"/>
      <c r="BJ283" s="921"/>
      <c r="BK283" s="921"/>
      <c r="BL283" s="921"/>
      <c r="BM283" s="921"/>
      <c r="BN283" s="921"/>
      <c r="BO283" s="921"/>
    </row>
    <row r="284" spans="1:68" ht="20.100000000000001" hidden="1" customHeight="1" outlineLevel="1">
      <c r="A284" s="747">
        <v>40</v>
      </c>
      <c r="B284" s="1594"/>
      <c r="C284" s="1596" t="s">
        <v>951</v>
      </c>
      <c r="D284" s="785" t="s">
        <v>381</v>
      </c>
      <c r="E284" s="785"/>
      <c r="F284" s="786"/>
      <c r="G284" s="852" t="s">
        <v>1281</v>
      </c>
      <c r="H284" s="915">
        <f ca="1">IFERROR(OFFSET(貼付け_2024実績,$A284,6),"")</f>
        <v>0</v>
      </c>
      <c r="I284" s="915">
        <f ca="1">IFERROR(OFFSET(貼付け_2025実績,$A284,6),"")</f>
        <v>0</v>
      </c>
      <c r="J284" s="915">
        <f ca="1">IFERROR(OFFSET(貼付け_2026実績,$A284,6),"")</f>
        <v>0</v>
      </c>
      <c r="K284" s="915">
        <f ca="1">IFERROR(OFFSET(貼付け_2027実績,$A284,6),"")</f>
        <v>0</v>
      </c>
      <c r="L284" s="916">
        <f t="shared" ca="1" si="97"/>
        <v>0</v>
      </c>
      <c r="M284" s="916">
        <f t="shared" ca="1" si="97"/>
        <v>0</v>
      </c>
      <c r="N284" s="916">
        <f t="shared" ca="1" si="97"/>
        <v>0</v>
      </c>
      <c r="O284" s="916">
        <f t="shared" ca="1" si="97"/>
        <v>0</v>
      </c>
      <c r="P284" s="952">
        <f t="shared" ca="1" si="97"/>
        <v>0</v>
      </c>
      <c r="Q284" s="952">
        <f t="shared" ca="1" si="97"/>
        <v>0</v>
      </c>
      <c r="R284" s="952">
        <f t="shared" ca="1" si="97"/>
        <v>0</v>
      </c>
      <c r="S284" s="952">
        <f t="shared" ca="1" si="97"/>
        <v>0</v>
      </c>
      <c r="T284" s="952">
        <f t="shared" ca="1" si="97"/>
        <v>0</v>
      </c>
      <c r="U284" s="952">
        <f t="shared" ca="1" si="97"/>
        <v>0</v>
      </c>
      <c r="V284" s="952">
        <f t="shared" ca="1" si="97"/>
        <v>0</v>
      </c>
      <c r="W284" s="952">
        <f t="shared" ca="1" si="97"/>
        <v>0</v>
      </c>
      <c r="X284" s="921"/>
      <c r="Y284" s="921"/>
      <c r="Z284" s="921"/>
      <c r="AA284" s="921"/>
      <c r="AB284" s="921"/>
      <c r="AC284" s="921"/>
      <c r="AD284" s="921"/>
      <c r="AE284" s="921"/>
      <c r="AF284" s="921"/>
      <c r="AG284" s="921"/>
      <c r="AH284" s="921"/>
      <c r="AI284" s="921"/>
      <c r="AJ284" s="921"/>
      <c r="AK284" s="921"/>
      <c r="AL284" s="921"/>
      <c r="AM284" s="921"/>
      <c r="AN284" s="921"/>
      <c r="AO284" s="921"/>
      <c r="AP284" s="921"/>
      <c r="AQ284" s="921"/>
      <c r="AR284" s="921"/>
      <c r="AS284" s="921"/>
      <c r="AT284" s="921"/>
      <c r="AU284" s="921"/>
      <c r="AV284" s="921"/>
      <c r="AW284" s="921"/>
      <c r="AX284" s="921"/>
      <c r="AY284" s="921"/>
      <c r="AZ284" s="921"/>
      <c r="BA284" s="921"/>
      <c r="BB284" s="921"/>
      <c r="BC284" s="921"/>
      <c r="BD284" s="921"/>
      <c r="BE284" s="921"/>
      <c r="BF284" s="921"/>
      <c r="BG284" s="921"/>
      <c r="BH284" s="921"/>
      <c r="BI284" s="921"/>
      <c r="BJ284" s="921"/>
      <c r="BK284" s="921"/>
      <c r="BL284" s="921"/>
      <c r="BM284" s="921"/>
      <c r="BN284" s="921"/>
      <c r="BO284" s="921"/>
    </row>
    <row r="285" spans="1:68" ht="20.100000000000001" hidden="1" customHeight="1" outlineLevel="1">
      <c r="A285" s="747">
        <v>41</v>
      </c>
      <c r="B285" s="1594"/>
      <c r="C285" s="1596"/>
      <c r="D285" s="785" t="s">
        <v>382</v>
      </c>
      <c r="E285" s="785"/>
      <c r="F285" s="786"/>
      <c r="G285" s="852" t="s">
        <v>1281</v>
      </c>
      <c r="H285" s="915">
        <f ca="1">IFERROR(OFFSET(貼付け_2024実績,$A285,6),"")</f>
        <v>0</v>
      </c>
      <c r="I285" s="915">
        <f ca="1">IFERROR(OFFSET(貼付け_2025実績,$A285,6),"")</f>
        <v>0</v>
      </c>
      <c r="J285" s="915">
        <f ca="1">IFERROR(OFFSET(貼付け_2026実績,$A285,6),"")</f>
        <v>0</v>
      </c>
      <c r="K285" s="915">
        <f ca="1">IFERROR(OFFSET(貼付け_2027実績,$A285,6),"")</f>
        <v>0</v>
      </c>
      <c r="L285" s="916">
        <f t="shared" ca="1" si="97"/>
        <v>0</v>
      </c>
      <c r="M285" s="916">
        <f t="shared" ca="1" si="97"/>
        <v>0</v>
      </c>
      <c r="N285" s="916">
        <f t="shared" ca="1" si="97"/>
        <v>0</v>
      </c>
      <c r="O285" s="916">
        <f t="shared" ca="1" si="97"/>
        <v>0</v>
      </c>
      <c r="P285" s="952">
        <f t="shared" ca="1" si="97"/>
        <v>0</v>
      </c>
      <c r="Q285" s="952">
        <f t="shared" ca="1" si="97"/>
        <v>0</v>
      </c>
      <c r="R285" s="952">
        <f t="shared" ca="1" si="97"/>
        <v>0</v>
      </c>
      <c r="S285" s="952">
        <f t="shared" ca="1" si="97"/>
        <v>0</v>
      </c>
      <c r="T285" s="952">
        <f t="shared" ca="1" si="97"/>
        <v>0</v>
      </c>
      <c r="U285" s="952">
        <f t="shared" ca="1" si="97"/>
        <v>0</v>
      </c>
      <c r="V285" s="952">
        <f t="shared" ca="1" si="97"/>
        <v>0</v>
      </c>
      <c r="W285" s="952">
        <f t="shared" ca="1" si="97"/>
        <v>0</v>
      </c>
      <c r="X285" s="921"/>
      <c r="Y285" s="921"/>
      <c r="Z285" s="921"/>
      <c r="AA285" s="921"/>
      <c r="AB285" s="921"/>
      <c r="AC285" s="921"/>
      <c r="AD285" s="921"/>
      <c r="AE285" s="921"/>
      <c r="AF285" s="921"/>
      <c r="AG285" s="921"/>
      <c r="AH285" s="921"/>
      <c r="AI285" s="921"/>
      <c r="AJ285" s="921"/>
      <c r="AK285" s="921"/>
      <c r="AL285" s="921"/>
      <c r="AM285" s="921"/>
      <c r="AN285" s="921"/>
      <c r="AO285" s="921"/>
      <c r="AP285" s="921"/>
      <c r="AQ285" s="921"/>
      <c r="AR285" s="921"/>
      <c r="AS285" s="921"/>
      <c r="AT285" s="921"/>
      <c r="AU285" s="921"/>
      <c r="AV285" s="921"/>
      <c r="AW285" s="921"/>
      <c r="AX285" s="921"/>
      <c r="AY285" s="921"/>
      <c r="AZ285" s="921"/>
      <c r="BA285" s="921"/>
      <c r="BB285" s="921"/>
      <c r="BC285" s="921"/>
      <c r="BD285" s="921"/>
      <c r="BE285" s="921"/>
      <c r="BF285" s="921"/>
      <c r="BG285" s="921"/>
      <c r="BH285" s="921"/>
      <c r="BI285" s="921"/>
      <c r="BJ285" s="921"/>
      <c r="BK285" s="921"/>
      <c r="BL285" s="921"/>
      <c r="BM285" s="921"/>
      <c r="BN285" s="921"/>
      <c r="BO285" s="921"/>
    </row>
    <row r="286" spans="1:68" ht="20.100000000000001" hidden="1" customHeight="1" outlineLevel="1">
      <c r="A286" s="747">
        <v>52</v>
      </c>
      <c r="B286" s="1594"/>
      <c r="C286" s="1596"/>
      <c r="D286" s="785" t="s">
        <v>393</v>
      </c>
      <c r="E286" s="785"/>
      <c r="F286" s="786"/>
      <c r="G286" s="852" t="s">
        <v>1281</v>
      </c>
      <c r="H286" s="915">
        <f ca="1">IFERROR(OFFSET(貼付け_2024実績,$A286,6),"")</f>
        <v>0</v>
      </c>
      <c r="I286" s="915">
        <f ca="1">IFERROR(OFFSET(貼付け_2025実績,$A286,6),"")</f>
        <v>0</v>
      </c>
      <c r="J286" s="915">
        <f ca="1">IFERROR(OFFSET(貼付け_2026実績,$A286,6),"")</f>
        <v>0</v>
      </c>
      <c r="K286" s="915">
        <f ca="1">IFERROR(OFFSET(貼付け_2027実績,$A286,6),"")</f>
        <v>0</v>
      </c>
      <c r="L286" s="916">
        <f t="shared" ca="1" si="97"/>
        <v>0</v>
      </c>
      <c r="M286" s="916">
        <f t="shared" ca="1" si="97"/>
        <v>0</v>
      </c>
      <c r="N286" s="916">
        <f t="shared" ca="1" si="97"/>
        <v>0</v>
      </c>
      <c r="O286" s="916">
        <f t="shared" ca="1" si="97"/>
        <v>0</v>
      </c>
      <c r="P286" s="952">
        <f t="shared" ca="1" si="97"/>
        <v>0</v>
      </c>
      <c r="Q286" s="952">
        <f t="shared" ca="1" si="97"/>
        <v>0</v>
      </c>
      <c r="R286" s="952">
        <f t="shared" ca="1" si="97"/>
        <v>0</v>
      </c>
      <c r="S286" s="952">
        <f t="shared" ca="1" si="97"/>
        <v>0</v>
      </c>
      <c r="T286" s="952">
        <f t="shared" ca="1" si="97"/>
        <v>0</v>
      </c>
      <c r="U286" s="952">
        <f t="shared" ca="1" si="97"/>
        <v>0</v>
      </c>
      <c r="V286" s="952">
        <f t="shared" ca="1" si="97"/>
        <v>0</v>
      </c>
      <c r="W286" s="952">
        <f t="shared" ca="1" si="97"/>
        <v>0</v>
      </c>
      <c r="X286" s="921"/>
      <c r="Y286" s="921"/>
      <c r="Z286" s="921"/>
      <c r="AA286" s="921"/>
      <c r="AB286" s="921"/>
      <c r="AC286" s="921"/>
      <c r="AD286" s="921"/>
      <c r="AE286" s="921"/>
      <c r="AF286" s="921"/>
      <c r="AG286" s="921"/>
      <c r="AH286" s="921"/>
      <c r="AI286" s="921"/>
      <c r="AJ286" s="921"/>
      <c r="AK286" s="921"/>
      <c r="AL286" s="921"/>
      <c r="AM286" s="921"/>
      <c r="AN286" s="921"/>
      <c r="AO286" s="921"/>
      <c r="AP286" s="921"/>
      <c r="AQ286" s="921"/>
      <c r="AR286" s="921"/>
      <c r="AS286" s="921"/>
      <c r="AT286" s="921"/>
      <c r="AU286" s="921"/>
      <c r="AV286" s="921"/>
      <c r="AW286" s="921"/>
      <c r="AX286" s="921"/>
      <c r="AY286" s="921"/>
      <c r="AZ286" s="921"/>
      <c r="BA286" s="921"/>
      <c r="BB286" s="921"/>
      <c r="BC286" s="921"/>
      <c r="BD286" s="921"/>
      <c r="BE286" s="921"/>
      <c r="BF286" s="921"/>
      <c r="BG286" s="921"/>
      <c r="BH286" s="921"/>
      <c r="BI286" s="921"/>
      <c r="BJ286" s="921"/>
      <c r="BK286" s="921"/>
      <c r="BL286" s="921"/>
      <c r="BM286" s="921"/>
      <c r="BN286" s="921"/>
      <c r="BO286" s="921"/>
    </row>
    <row r="287" spans="1:68" ht="20.100000000000001" hidden="1" customHeight="1" outlineLevel="1">
      <c r="A287" s="747">
        <v>53</v>
      </c>
      <c r="B287" s="1594"/>
      <c r="C287" s="1596"/>
      <c r="D287" s="785" t="s">
        <v>394</v>
      </c>
      <c r="E287" s="785"/>
      <c r="F287" s="786"/>
      <c r="G287" s="852" t="s">
        <v>1281</v>
      </c>
      <c r="H287" s="915">
        <f ca="1">IFERROR(OFFSET(貼付け_2024実績,$A287,6),"")</f>
        <v>0</v>
      </c>
      <c r="I287" s="915">
        <f ca="1">IFERROR(OFFSET(貼付け_2025実績,$A287,6),"")</f>
        <v>0</v>
      </c>
      <c r="J287" s="915">
        <f ca="1">IFERROR(OFFSET(貼付け_2026実績,$A287,6),"")</f>
        <v>0</v>
      </c>
      <c r="K287" s="915">
        <f ca="1">IFERROR(OFFSET(貼付け_2027実績,$A287,6),"")</f>
        <v>0</v>
      </c>
      <c r="L287" s="916">
        <f t="shared" ca="1" si="97"/>
        <v>0</v>
      </c>
      <c r="M287" s="916">
        <f t="shared" ca="1" si="97"/>
        <v>0</v>
      </c>
      <c r="N287" s="916">
        <f t="shared" ca="1" si="97"/>
        <v>0</v>
      </c>
      <c r="O287" s="916">
        <f t="shared" ca="1" si="97"/>
        <v>0</v>
      </c>
      <c r="P287" s="952">
        <f t="shared" ca="1" si="97"/>
        <v>0</v>
      </c>
      <c r="Q287" s="952">
        <f t="shared" ca="1" si="97"/>
        <v>0</v>
      </c>
      <c r="R287" s="952">
        <f t="shared" ca="1" si="97"/>
        <v>0</v>
      </c>
      <c r="S287" s="952">
        <f t="shared" ca="1" si="97"/>
        <v>0</v>
      </c>
      <c r="T287" s="952">
        <f t="shared" ca="1" si="97"/>
        <v>0</v>
      </c>
      <c r="U287" s="952">
        <f t="shared" ca="1" si="97"/>
        <v>0</v>
      </c>
      <c r="V287" s="952">
        <f t="shared" ca="1" si="97"/>
        <v>0</v>
      </c>
      <c r="W287" s="952">
        <f t="shared" ca="1" si="97"/>
        <v>0</v>
      </c>
      <c r="X287" s="921"/>
      <c r="Y287" s="921"/>
      <c r="Z287" s="921"/>
      <c r="AA287" s="921"/>
      <c r="AB287" s="921"/>
      <c r="AC287" s="921"/>
      <c r="AD287" s="921"/>
      <c r="AE287" s="921"/>
      <c r="AF287" s="921"/>
      <c r="AG287" s="921"/>
      <c r="AH287" s="921"/>
      <c r="AI287" s="921"/>
      <c r="AJ287" s="921"/>
      <c r="AK287" s="921"/>
      <c r="AL287" s="921"/>
      <c r="AM287" s="921"/>
      <c r="AN287" s="921"/>
      <c r="AO287" s="921"/>
      <c r="AP287" s="921"/>
      <c r="AQ287" s="921"/>
      <c r="AR287" s="921"/>
      <c r="AS287" s="921"/>
      <c r="AT287" s="921"/>
      <c r="AU287" s="921"/>
      <c r="AV287" s="921"/>
      <c r="AW287" s="921"/>
      <c r="AX287" s="921"/>
      <c r="AY287" s="921"/>
      <c r="AZ287" s="921"/>
      <c r="BA287" s="921"/>
      <c r="BB287" s="921"/>
      <c r="BC287" s="921"/>
      <c r="BD287" s="921"/>
      <c r="BE287" s="921"/>
      <c r="BF287" s="921"/>
      <c r="BG287" s="921"/>
      <c r="BH287" s="921"/>
      <c r="BI287" s="921"/>
      <c r="BJ287" s="921"/>
      <c r="BK287" s="921"/>
      <c r="BL287" s="921"/>
      <c r="BM287" s="921"/>
      <c r="BN287" s="921"/>
      <c r="BO287" s="921"/>
    </row>
    <row r="288" spans="1:68" ht="20.100000000000001" hidden="1" customHeight="1" outlineLevel="1">
      <c r="A288" s="747">
        <v>200</v>
      </c>
      <c r="B288" s="1594"/>
      <c r="C288" s="1596"/>
      <c r="D288" s="785" t="s">
        <v>783</v>
      </c>
      <c r="E288" s="792" t="str">
        <f ca="1">E243</f>
        <v/>
      </c>
      <c r="F288" s="794"/>
      <c r="G288" s="852" t="s">
        <v>1281</v>
      </c>
      <c r="H288" s="915">
        <f ca="1">IFERROR(OFFSET(貼付け_2024実績,$A288,17),"")</f>
        <v>0</v>
      </c>
      <c r="I288" s="915">
        <f ca="1">IFERROR(OFFSET(貼付け_2025実績,$A288,17),"")</f>
        <v>0</v>
      </c>
      <c r="J288" s="915">
        <f ca="1">IFERROR(OFFSET(貼付け_2026実績,$A288,17),"")</f>
        <v>0</v>
      </c>
      <c r="K288" s="915">
        <f ca="1">IFERROR(OFFSET(貼付け_2027実績,$A288,17),"")</f>
        <v>0</v>
      </c>
      <c r="L288" s="916">
        <f t="shared" ca="1" si="97"/>
        <v>0</v>
      </c>
      <c r="M288" s="916">
        <f t="shared" ca="1" si="97"/>
        <v>0</v>
      </c>
      <c r="N288" s="916">
        <f t="shared" ca="1" si="97"/>
        <v>0</v>
      </c>
      <c r="O288" s="916">
        <f t="shared" ca="1" si="97"/>
        <v>0</v>
      </c>
      <c r="P288" s="952">
        <f t="shared" ca="1" si="97"/>
        <v>0</v>
      </c>
      <c r="Q288" s="952">
        <f t="shared" ca="1" si="97"/>
        <v>0</v>
      </c>
      <c r="R288" s="952">
        <f t="shared" ca="1" si="97"/>
        <v>0</v>
      </c>
      <c r="S288" s="952">
        <f t="shared" ca="1" si="97"/>
        <v>0</v>
      </c>
      <c r="T288" s="952">
        <f t="shared" ca="1" si="97"/>
        <v>0</v>
      </c>
      <c r="U288" s="952">
        <f t="shared" ca="1" si="97"/>
        <v>0</v>
      </c>
      <c r="V288" s="952">
        <f t="shared" ca="1" si="97"/>
        <v>0</v>
      </c>
      <c r="W288" s="952">
        <f t="shared" ca="1" si="97"/>
        <v>0</v>
      </c>
      <c r="X288" s="921"/>
      <c r="Y288" s="921"/>
      <c r="Z288" s="921"/>
      <c r="AA288" s="921"/>
      <c r="AB288" s="921"/>
      <c r="AC288" s="921"/>
      <c r="AD288" s="921"/>
      <c r="AE288" s="921"/>
      <c r="AF288" s="921"/>
      <c r="AG288" s="921"/>
      <c r="AH288" s="921"/>
      <c r="AI288" s="921"/>
      <c r="AJ288" s="921"/>
      <c r="AK288" s="921"/>
      <c r="AL288" s="921"/>
      <c r="AM288" s="921"/>
      <c r="AN288" s="921"/>
      <c r="AO288" s="921"/>
      <c r="AP288" s="921"/>
      <c r="AQ288" s="921"/>
      <c r="AR288" s="921"/>
      <c r="AS288" s="921"/>
      <c r="AT288" s="921"/>
      <c r="AU288" s="921"/>
      <c r="AV288" s="921"/>
      <c r="AW288" s="921"/>
      <c r="AX288" s="921"/>
      <c r="AY288" s="921"/>
      <c r="AZ288" s="921"/>
      <c r="BA288" s="921"/>
      <c r="BB288" s="921"/>
      <c r="BC288" s="921"/>
      <c r="BD288" s="921"/>
      <c r="BE288" s="921"/>
      <c r="BF288" s="921"/>
      <c r="BG288" s="921"/>
      <c r="BH288" s="921"/>
      <c r="BI288" s="921"/>
      <c r="BJ288" s="921"/>
      <c r="BK288" s="921"/>
      <c r="BL288" s="921"/>
      <c r="BM288" s="921"/>
      <c r="BN288" s="921"/>
      <c r="BO288" s="921"/>
    </row>
    <row r="289" spans="1:68" ht="20.100000000000001" hidden="1" customHeight="1" outlineLevel="1">
      <c r="A289" s="747">
        <v>16</v>
      </c>
      <c r="B289" s="1593" t="s">
        <v>422</v>
      </c>
      <c r="C289" s="894" t="s">
        <v>405</v>
      </c>
      <c r="D289" s="895"/>
      <c r="E289" s="790"/>
      <c r="F289" s="810"/>
      <c r="G289" s="852" t="s">
        <v>1281</v>
      </c>
      <c r="H289" s="917"/>
      <c r="I289" s="917"/>
      <c r="J289" s="917"/>
      <c r="K289" s="917"/>
      <c r="L289" s="916">
        <f ca="1">IFERROR(OFFSET(A1_集計2024,$A289,7)+OFFSET(A1_集計2024,$A289,8),0)</f>
        <v>0</v>
      </c>
      <c r="M289" s="916">
        <f ca="1">IFERROR(OFFSET(A1_集計2025,$A289,7)+OFFSET(A1_集計2025,$A289,8),0)</f>
        <v>0</v>
      </c>
      <c r="N289" s="916">
        <f ca="1">IFERROR(OFFSET(A1_集計2026,$A289,7)+OFFSET(A1_集計2026,$A289,8),0)</f>
        <v>0</v>
      </c>
      <c r="O289" s="916">
        <f ca="1">IFERROR(OFFSET(A1_集計2027,$A289,7)+OFFSET(A1_集計2027,$A289,8),0)</f>
        <v>0</v>
      </c>
      <c r="P289" s="916">
        <f ca="1">IFERROR(OFFSET(A1_集計2024,$A289,7),0)</f>
        <v>0</v>
      </c>
      <c r="Q289" s="916">
        <f ca="1">IFERROR(OFFSET(A1_集計2025,$A289,7),0)</f>
        <v>0</v>
      </c>
      <c r="R289" s="916">
        <f ca="1">IFERROR(OFFSET(A1_集計2026,$A289,7),0)</f>
        <v>0</v>
      </c>
      <c r="S289" s="916">
        <f ca="1">IFERROR(OFFSET(A1_集計2027,$A289,7),0)</f>
        <v>0</v>
      </c>
      <c r="T289" s="916">
        <f ca="1">IFERROR(OFFSET(A1_集計2024,$A289,8),0)</f>
        <v>0</v>
      </c>
      <c r="U289" s="916">
        <f ca="1">IFERROR(OFFSET(A1_集計2025,$A289,8),0)</f>
        <v>0</v>
      </c>
      <c r="V289" s="916">
        <f ca="1">IFERROR(OFFSET(A1_集計2026,$A289,8),0)</f>
        <v>0</v>
      </c>
      <c r="W289" s="916">
        <f ca="1">IFERROR(OFFSET(A1_集計2027,$A289,8),0)</f>
        <v>0</v>
      </c>
      <c r="X289" s="921"/>
      <c r="Y289" s="921"/>
      <c r="Z289" s="921"/>
      <c r="AA289" s="921"/>
      <c r="AB289" s="921"/>
      <c r="AC289" s="921"/>
      <c r="AD289" s="921"/>
      <c r="AE289" s="921"/>
      <c r="AF289" s="921"/>
      <c r="AG289" s="921"/>
      <c r="AH289" s="921"/>
      <c r="AI289" s="921"/>
      <c r="AJ289" s="921"/>
      <c r="AK289" s="921"/>
      <c r="AL289" s="921"/>
      <c r="AM289" s="921"/>
      <c r="AN289" s="921"/>
      <c r="AO289" s="921"/>
      <c r="AP289" s="921"/>
      <c r="AQ289" s="921"/>
      <c r="AR289" s="921"/>
      <c r="AS289" s="921"/>
      <c r="AT289" s="921"/>
      <c r="AU289" s="921"/>
      <c r="AV289" s="921"/>
      <c r="AW289" s="921"/>
      <c r="AX289" s="921"/>
      <c r="AY289" s="921"/>
      <c r="AZ289" s="921"/>
      <c r="BA289" s="921"/>
      <c r="BB289" s="921"/>
      <c r="BC289" s="921"/>
      <c r="BD289" s="921"/>
      <c r="BE289" s="921"/>
      <c r="BF289" s="921"/>
      <c r="BG289" s="921"/>
      <c r="BH289" s="921"/>
      <c r="BI289" s="921"/>
      <c r="BJ289" s="921"/>
      <c r="BK289" s="921"/>
      <c r="BL289" s="921"/>
      <c r="BM289" s="921"/>
      <c r="BN289" s="921"/>
      <c r="BO289" s="921"/>
      <c r="BP289" s="802"/>
    </row>
    <row r="290" spans="1:68" ht="20.100000000000001" hidden="1" customHeight="1" outlineLevel="1">
      <c r="A290" s="747">
        <v>74</v>
      </c>
      <c r="B290" s="1594"/>
      <c r="C290" s="1596" t="s">
        <v>406</v>
      </c>
      <c r="D290" s="812" t="s">
        <v>407</v>
      </c>
      <c r="E290" s="785"/>
      <c r="F290" s="810"/>
      <c r="G290" s="852" t="s">
        <v>1281</v>
      </c>
      <c r="H290" s="915">
        <f ca="1">IFERROR(OFFSET(貼付け_2024実績,$A290,6),"")</f>
        <v>0</v>
      </c>
      <c r="I290" s="915">
        <f ca="1">IFERROR(OFFSET(貼付け_2025実績,$A290,6),"")</f>
        <v>0</v>
      </c>
      <c r="J290" s="915">
        <f ca="1">IFERROR(OFFSET(貼付け_2026実績,$A290,6),"")</f>
        <v>0</v>
      </c>
      <c r="K290" s="915">
        <f ca="1">IFERROR(OFFSET(貼付け_2027実績,$A290,6),"")</f>
        <v>0</v>
      </c>
      <c r="L290" s="916">
        <f t="shared" ref="L290:W293" ca="1" si="98">L245</f>
        <v>0</v>
      </c>
      <c r="M290" s="916">
        <f t="shared" ca="1" si="98"/>
        <v>0</v>
      </c>
      <c r="N290" s="916">
        <f t="shared" ca="1" si="98"/>
        <v>0</v>
      </c>
      <c r="O290" s="916">
        <f t="shared" ca="1" si="98"/>
        <v>0</v>
      </c>
      <c r="P290" s="952">
        <f t="shared" ca="1" si="98"/>
        <v>0</v>
      </c>
      <c r="Q290" s="952">
        <f t="shared" ca="1" si="98"/>
        <v>0</v>
      </c>
      <c r="R290" s="952">
        <f t="shared" ca="1" si="98"/>
        <v>0</v>
      </c>
      <c r="S290" s="952">
        <f t="shared" ca="1" si="98"/>
        <v>0</v>
      </c>
      <c r="T290" s="952">
        <f t="shared" ca="1" si="98"/>
        <v>0</v>
      </c>
      <c r="U290" s="952">
        <f t="shared" ca="1" si="98"/>
        <v>0</v>
      </c>
      <c r="V290" s="952">
        <f t="shared" ca="1" si="98"/>
        <v>0</v>
      </c>
      <c r="W290" s="952">
        <f t="shared" ca="1" si="98"/>
        <v>0</v>
      </c>
      <c r="X290" s="921"/>
      <c r="Y290" s="921"/>
      <c r="Z290" s="921"/>
      <c r="AA290" s="921"/>
      <c r="AB290" s="921"/>
      <c r="AC290" s="921"/>
      <c r="AD290" s="921"/>
      <c r="AE290" s="921"/>
      <c r="AF290" s="921"/>
      <c r="AG290" s="921"/>
      <c r="AH290" s="921"/>
      <c r="AI290" s="921"/>
      <c r="AJ290" s="921"/>
      <c r="AK290" s="921"/>
      <c r="AL290" s="921"/>
      <c r="AM290" s="921"/>
      <c r="AN290" s="921"/>
      <c r="AO290" s="921"/>
      <c r="AP290" s="921"/>
      <c r="AQ290" s="921"/>
      <c r="AR290" s="921"/>
      <c r="AS290" s="921"/>
      <c r="AT290" s="921"/>
      <c r="AU290" s="921"/>
      <c r="AV290" s="921"/>
      <c r="AW290" s="921"/>
      <c r="AX290" s="921"/>
      <c r="AY290" s="921"/>
      <c r="AZ290" s="921"/>
      <c r="BA290" s="921"/>
      <c r="BB290" s="921"/>
      <c r="BC290" s="921"/>
      <c r="BD290" s="921"/>
      <c r="BE290" s="921"/>
      <c r="BF290" s="921"/>
      <c r="BG290" s="921"/>
      <c r="BH290" s="921"/>
      <c r="BI290" s="921"/>
      <c r="BJ290" s="921"/>
      <c r="BK290" s="921"/>
      <c r="BL290" s="921"/>
      <c r="BM290" s="921"/>
      <c r="BN290" s="921"/>
      <c r="BO290" s="921"/>
      <c r="BP290" s="802"/>
    </row>
    <row r="291" spans="1:68" ht="20.100000000000001" hidden="1" customHeight="1" outlineLevel="1">
      <c r="A291" s="747">
        <v>76</v>
      </c>
      <c r="B291" s="1594"/>
      <c r="C291" s="1596"/>
      <c r="D291" s="814" t="s">
        <v>408</v>
      </c>
      <c r="E291" s="785"/>
      <c r="F291" s="810"/>
      <c r="G291" s="852" t="s">
        <v>1281</v>
      </c>
      <c r="H291" s="915">
        <f ca="1">IFERROR(OFFSET(貼付け_2024実績,$A291,6),"")</f>
        <v>0</v>
      </c>
      <c r="I291" s="915">
        <f ca="1">IFERROR(OFFSET(貼付け_2025実績,$A291,6),"")</f>
        <v>0</v>
      </c>
      <c r="J291" s="915">
        <f ca="1">IFERROR(OFFSET(貼付け_2026実績,$A291,6),"")</f>
        <v>0</v>
      </c>
      <c r="K291" s="915">
        <f ca="1">IFERROR(OFFSET(貼付け_2027実績,$A291,6),"")</f>
        <v>0</v>
      </c>
      <c r="L291" s="916">
        <f t="shared" ca="1" si="98"/>
        <v>0</v>
      </c>
      <c r="M291" s="916">
        <f t="shared" ca="1" si="98"/>
        <v>0</v>
      </c>
      <c r="N291" s="916">
        <f t="shared" ca="1" si="98"/>
        <v>0</v>
      </c>
      <c r="O291" s="916">
        <f t="shared" ca="1" si="98"/>
        <v>0</v>
      </c>
      <c r="P291" s="952">
        <f t="shared" ca="1" si="98"/>
        <v>0</v>
      </c>
      <c r="Q291" s="952">
        <f t="shared" ca="1" si="98"/>
        <v>0</v>
      </c>
      <c r="R291" s="952">
        <f t="shared" ca="1" si="98"/>
        <v>0</v>
      </c>
      <c r="S291" s="952">
        <f t="shared" ca="1" si="98"/>
        <v>0</v>
      </c>
      <c r="T291" s="952">
        <f t="shared" ca="1" si="98"/>
        <v>0</v>
      </c>
      <c r="U291" s="952">
        <f t="shared" ca="1" si="98"/>
        <v>0</v>
      </c>
      <c r="V291" s="952">
        <f t="shared" ca="1" si="98"/>
        <v>0</v>
      </c>
      <c r="W291" s="952">
        <f t="shared" ca="1" si="98"/>
        <v>0</v>
      </c>
      <c r="X291" s="921"/>
      <c r="Y291" s="921"/>
      <c r="Z291" s="921"/>
      <c r="AA291" s="921"/>
      <c r="AB291" s="921"/>
      <c r="AC291" s="921"/>
      <c r="AD291" s="921"/>
      <c r="AE291" s="921"/>
      <c r="AF291" s="921"/>
      <c r="AG291" s="921"/>
      <c r="AH291" s="921"/>
      <c r="AI291" s="921"/>
      <c r="AJ291" s="921"/>
      <c r="AK291" s="921"/>
      <c r="AL291" s="921"/>
      <c r="AM291" s="921"/>
      <c r="AN291" s="921"/>
      <c r="AO291" s="921"/>
      <c r="AP291" s="921"/>
      <c r="AQ291" s="921"/>
      <c r="AR291" s="921"/>
      <c r="AS291" s="921"/>
      <c r="AT291" s="921"/>
      <c r="AU291" s="921"/>
      <c r="AV291" s="921"/>
      <c r="AW291" s="921"/>
      <c r="AX291" s="921"/>
      <c r="AY291" s="921"/>
      <c r="AZ291" s="921"/>
      <c r="BA291" s="921"/>
      <c r="BB291" s="921"/>
      <c r="BC291" s="921"/>
      <c r="BD291" s="921"/>
      <c r="BE291" s="921"/>
      <c r="BF291" s="921"/>
      <c r="BG291" s="921"/>
      <c r="BH291" s="921"/>
      <c r="BI291" s="921"/>
      <c r="BJ291" s="921"/>
      <c r="BK291" s="921"/>
      <c r="BL291" s="921"/>
      <c r="BM291" s="921"/>
      <c r="BN291" s="921"/>
      <c r="BO291" s="921"/>
      <c r="BP291" s="802"/>
    </row>
    <row r="292" spans="1:68" ht="20.100000000000001" hidden="1" customHeight="1" outlineLevel="1">
      <c r="A292" s="747">
        <v>201</v>
      </c>
      <c r="B292" s="1594"/>
      <c r="C292" s="1596"/>
      <c r="D292" s="814" t="s">
        <v>409</v>
      </c>
      <c r="E292" s="792" t="str">
        <f ca="1">E247</f>
        <v/>
      </c>
      <c r="F292" s="794"/>
      <c r="G292" s="852" t="s">
        <v>1281</v>
      </c>
      <c r="H292" s="915">
        <f ca="1">IFERROR(OFFSET(貼付け_2024実績,$A292,17),"")</f>
        <v>0</v>
      </c>
      <c r="I292" s="915">
        <f ca="1">IFERROR(OFFSET(貼付け_2025実績,$A292,17),"")</f>
        <v>0</v>
      </c>
      <c r="J292" s="915">
        <f ca="1">IFERROR(OFFSET(貼付け_2026実績,$A292,17),"")</f>
        <v>0</v>
      </c>
      <c r="K292" s="915">
        <f ca="1">IFERROR(OFFSET(貼付け_2027実績,$A292,17),"")</f>
        <v>0</v>
      </c>
      <c r="L292" s="916">
        <f t="shared" ca="1" si="98"/>
        <v>0</v>
      </c>
      <c r="M292" s="916">
        <f t="shared" ca="1" si="98"/>
        <v>0</v>
      </c>
      <c r="N292" s="916">
        <f t="shared" ca="1" si="98"/>
        <v>0</v>
      </c>
      <c r="O292" s="916">
        <f t="shared" ca="1" si="98"/>
        <v>0</v>
      </c>
      <c r="P292" s="952">
        <f t="shared" ca="1" si="98"/>
        <v>0</v>
      </c>
      <c r="Q292" s="952">
        <f t="shared" ca="1" si="98"/>
        <v>0</v>
      </c>
      <c r="R292" s="952">
        <f t="shared" ca="1" si="98"/>
        <v>0</v>
      </c>
      <c r="S292" s="952">
        <f t="shared" ca="1" si="98"/>
        <v>0</v>
      </c>
      <c r="T292" s="952">
        <f t="shared" ca="1" si="98"/>
        <v>0</v>
      </c>
      <c r="U292" s="952">
        <f t="shared" ca="1" si="98"/>
        <v>0</v>
      </c>
      <c r="V292" s="952">
        <f t="shared" ca="1" si="98"/>
        <v>0</v>
      </c>
      <c r="W292" s="952">
        <f t="shared" ca="1" si="98"/>
        <v>0</v>
      </c>
      <c r="X292" s="921"/>
      <c r="Y292" s="921"/>
      <c r="Z292" s="921"/>
      <c r="AA292" s="921"/>
      <c r="AB292" s="921"/>
      <c r="AC292" s="921"/>
      <c r="AD292" s="921"/>
      <c r="AE292" s="921"/>
      <c r="AF292" s="921"/>
      <c r="AG292" s="921"/>
      <c r="AH292" s="921"/>
      <c r="AI292" s="921"/>
      <c r="AJ292" s="921"/>
      <c r="AK292" s="921"/>
      <c r="AL292" s="921"/>
      <c r="AM292" s="921"/>
      <c r="AN292" s="921"/>
      <c r="AO292" s="921"/>
      <c r="AP292" s="921"/>
      <c r="AQ292" s="921"/>
      <c r="AR292" s="921"/>
      <c r="AS292" s="921"/>
      <c r="AT292" s="921"/>
      <c r="AU292" s="921"/>
      <c r="AV292" s="921"/>
      <c r="AW292" s="921"/>
      <c r="AX292" s="921"/>
      <c r="AY292" s="921"/>
      <c r="AZ292" s="921"/>
      <c r="BA292" s="921"/>
      <c r="BB292" s="921"/>
      <c r="BC292" s="921"/>
      <c r="BD292" s="921"/>
      <c r="BE292" s="921"/>
      <c r="BF292" s="921"/>
      <c r="BG292" s="921"/>
      <c r="BH292" s="921"/>
      <c r="BI292" s="921"/>
      <c r="BJ292" s="921"/>
      <c r="BK292" s="921"/>
      <c r="BL292" s="921"/>
      <c r="BM292" s="921"/>
      <c r="BN292" s="921"/>
      <c r="BO292" s="921"/>
      <c r="BP292" s="802"/>
    </row>
    <row r="293" spans="1:68" ht="20.100000000000001" hidden="1" customHeight="1" outlineLevel="1">
      <c r="A293" s="747">
        <v>202</v>
      </c>
      <c r="B293" s="1594"/>
      <c r="C293" s="1596"/>
      <c r="D293" s="905" t="s">
        <v>410</v>
      </c>
      <c r="E293" s="792" t="str">
        <f ca="1">E248</f>
        <v/>
      </c>
      <c r="F293" s="794"/>
      <c r="G293" s="852" t="s">
        <v>1281</v>
      </c>
      <c r="H293" s="915">
        <f ca="1">IFERROR(OFFSET(貼付け_2024実績,$A293,17),"")</f>
        <v>0</v>
      </c>
      <c r="I293" s="915">
        <f ca="1">IFERROR(OFFSET(貼付け_2025実績,$A293,17),"")</f>
        <v>0</v>
      </c>
      <c r="J293" s="915">
        <f ca="1">IFERROR(OFFSET(貼付け_2026実績,$A293,17),"")</f>
        <v>0</v>
      </c>
      <c r="K293" s="915">
        <f ca="1">IFERROR(OFFSET(貼付け_2027実績,$A293,17),"")</f>
        <v>0</v>
      </c>
      <c r="L293" s="916">
        <f t="shared" ca="1" si="98"/>
        <v>0</v>
      </c>
      <c r="M293" s="916">
        <f t="shared" ca="1" si="98"/>
        <v>0</v>
      </c>
      <c r="N293" s="916">
        <f t="shared" ca="1" si="98"/>
        <v>0</v>
      </c>
      <c r="O293" s="916">
        <f t="shared" ca="1" si="98"/>
        <v>0</v>
      </c>
      <c r="P293" s="952">
        <f t="shared" ca="1" si="98"/>
        <v>0</v>
      </c>
      <c r="Q293" s="952">
        <f t="shared" ca="1" si="98"/>
        <v>0</v>
      </c>
      <c r="R293" s="952">
        <f t="shared" ca="1" si="98"/>
        <v>0</v>
      </c>
      <c r="S293" s="952">
        <f t="shared" ca="1" si="98"/>
        <v>0</v>
      </c>
      <c r="T293" s="952">
        <f t="shared" ca="1" si="98"/>
        <v>0</v>
      </c>
      <c r="U293" s="952">
        <f t="shared" ca="1" si="98"/>
        <v>0</v>
      </c>
      <c r="V293" s="952">
        <f t="shared" ca="1" si="98"/>
        <v>0</v>
      </c>
      <c r="W293" s="952">
        <f t="shared" ca="1" si="98"/>
        <v>0</v>
      </c>
      <c r="X293" s="921"/>
      <c r="Y293" s="921"/>
      <c r="Z293" s="921"/>
      <c r="AA293" s="921"/>
      <c r="AB293" s="921"/>
      <c r="AC293" s="921"/>
      <c r="AD293" s="921"/>
      <c r="AE293" s="921"/>
      <c r="AF293" s="921"/>
      <c r="AG293" s="921"/>
      <c r="AH293" s="921"/>
      <c r="AI293" s="921"/>
      <c r="AJ293" s="921"/>
      <c r="AK293" s="921"/>
      <c r="AL293" s="921"/>
      <c r="AM293" s="921"/>
      <c r="AN293" s="921"/>
      <c r="AO293" s="921"/>
      <c r="AP293" s="921"/>
      <c r="AQ293" s="921"/>
      <c r="AR293" s="921"/>
      <c r="AS293" s="921"/>
      <c r="AT293" s="921"/>
      <c r="AU293" s="921"/>
      <c r="AV293" s="921"/>
      <c r="AW293" s="921"/>
      <c r="AX293" s="921"/>
      <c r="AY293" s="921"/>
      <c r="AZ293" s="921"/>
      <c r="BA293" s="921"/>
      <c r="BB293" s="921"/>
      <c r="BC293" s="921"/>
      <c r="BD293" s="921"/>
      <c r="BE293" s="921"/>
      <c r="BF293" s="921"/>
      <c r="BG293" s="921"/>
      <c r="BH293" s="921"/>
      <c r="BI293" s="921"/>
      <c r="BJ293" s="921"/>
      <c r="BK293" s="921"/>
      <c r="BL293" s="921"/>
      <c r="BM293" s="921"/>
      <c r="BN293" s="921"/>
      <c r="BO293" s="921"/>
      <c r="BP293" s="802"/>
    </row>
    <row r="294" spans="1:68" ht="19.5" customHeight="1" collapsed="1">
      <c r="B294" s="926" t="s">
        <v>913</v>
      </c>
      <c r="C294" s="839"/>
      <c r="D294" s="874" t="s">
        <v>914</v>
      </c>
      <c r="E294" s="927"/>
      <c r="F294" s="862" t="s">
        <v>957</v>
      </c>
      <c r="G294" s="852" t="s">
        <v>1281</v>
      </c>
      <c r="H294" s="921"/>
      <c r="I294" s="921"/>
      <c r="J294" s="921"/>
      <c r="K294" s="921"/>
      <c r="L294" s="928">
        <f t="shared" ref="L294:O294" ca="1" si="99">SUM(L275:L288)</f>
        <v>0</v>
      </c>
      <c r="M294" s="928">
        <f t="shared" ca="1" si="99"/>
        <v>0</v>
      </c>
      <c r="N294" s="928">
        <f t="shared" ca="1" si="99"/>
        <v>0</v>
      </c>
      <c r="O294" s="928">
        <f t="shared" ca="1" si="99"/>
        <v>0</v>
      </c>
      <c r="P294" s="929">
        <f ca="1">SUM(P275:P288)</f>
        <v>0</v>
      </c>
      <c r="Q294" s="929">
        <f t="shared" ref="Q294:W294" ca="1" si="100">SUM(Q275:Q288)</f>
        <v>0</v>
      </c>
      <c r="R294" s="929">
        <f t="shared" ca="1" si="100"/>
        <v>0</v>
      </c>
      <c r="S294" s="929">
        <f t="shared" ca="1" si="100"/>
        <v>0</v>
      </c>
      <c r="T294" s="929">
        <f t="shared" ca="1" si="100"/>
        <v>0</v>
      </c>
      <c r="U294" s="929">
        <f t="shared" ca="1" si="100"/>
        <v>0</v>
      </c>
      <c r="V294" s="929">
        <f t="shared" ca="1" si="100"/>
        <v>0</v>
      </c>
      <c r="W294" s="929">
        <f t="shared" ca="1" si="100"/>
        <v>0</v>
      </c>
      <c r="X294" s="921"/>
      <c r="Y294" s="921"/>
      <c r="Z294" s="921"/>
      <c r="AA294" s="921"/>
      <c r="AB294" s="921"/>
      <c r="AC294" s="921"/>
      <c r="AD294" s="921"/>
      <c r="AE294" s="921"/>
      <c r="AF294" s="921"/>
      <c r="AG294" s="921"/>
      <c r="AH294" s="921"/>
      <c r="AI294" s="921"/>
      <c r="AJ294" s="921"/>
      <c r="AK294" s="921"/>
      <c r="AL294" s="921"/>
      <c r="AM294" s="921"/>
      <c r="AN294" s="921"/>
      <c r="AO294" s="921"/>
      <c r="AP294" s="921"/>
      <c r="AQ294" s="921"/>
      <c r="AR294" s="921"/>
      <c r="AS294" s="921"/>
      <c r="AT294" s="921"/>
      <c r="AU294" s="921"/>
      <c r="AV294" s="921"/>
      <c r="AW294" s="921"/>
      <c r="AX294" s="921"/>
      <c r="AY294" s="921"/>
      <c r="AZ294" s="921"/>
      <c r="BA294" s="921"/>
      <c r="BB294" s="921"/>
      <c r="BC294" s="921"/>
      <c r="BD294" s="921"/>
      <c r="BE294" s="921"/>
      <c r="BF294" s="921"/>
      <c r="BG294" s="921"/>
      <c r="BH294" s="921"/>
      <c r="BI294" s="921"/>
      <c r="BJ294" s="921"/>
      <c r="BK294" s="921"/>
      <c r="BL294" s="921"/>
      <c r="BM294" s="921"/>
      <c r="BN294" s="921"/>
      <c r="BO294" s="921"/>
      <c r="BP294" s="802"/>
    </row>
    <row r="295" spans="1:68" ht="21">
      <c r="B295" s="930" t="s">
        <v>952</v>
      </c>
      <c r="C295" s="933"/>
      <c r="D295" s="874" t="s">
        <v>919</v>
      </c>
      <c r="E295" s="932"/>
      <c r="F295" s="862" t="s">
        <v>958</v>
      </c>
      <c r="G295" s="852" t="s">
        <v>1281</v>
      </c>
      <c r="H295" s="921"/>
      <c r="I295" s="921"/>
      <c r="J295" s="921"/>
      <c r="K295" s="921"/>
      <c r="L295" s="928">
        <f t="shared" ref="L295:O295" ca="1" si="101">SUM(L289:L293)</f>
        <v>0</v>
      </c>
      <c r="M295" s="928">
        <f t="shared" ca="1" si="101"/>
        <v>0</v>
      </c>
      <c r="N295" s="928">
        <f t="shared" ca="1" si="101"/>
        <v>0</v>
      </c>
      <c r="O295" s="928">
        <f t="shared" ca="1" si="101"/>
        <v>0</v>
      </c>
      <c r="P295" s="929">
        <f ca="1">SUM(P289:P293)</f>
        <v>0</v>
      </c>
      <c r="Q295" s="929">
        <f t="shared" ref="Q295:W295" ca="1" si="102">SUM(Q289:Q293)</f>
        <v>0</v>
      </c>
      <c r="R295" s="929">
        <f t="shared" ca="1" si="102"/>
        <v>0</v>
      </c>
      <c r="S295" s="929">
        <f t="shared" ca="1" si="102"/>
        <v>0</v>
      </c>
      <c r="T295" s="929">
        <f t="shared" ca="1" si="102"/>
        <v>0</v>
      </c>
      <c r="U295" s="929">
        <f t="shared" ca="1" si="102"/>
        <v>0</v>
      </c>
      <c r="V295" s="929">
        <f t="shared" ca="1" si="102"/>
        <v>0</v>
      </c>
      <c r="W295" s="929">
        <f t="shared" ca="1" si="102"/>
        <v>0</v>
      </c>
      <c r="X295" s="921"/>
      <c r="Y295" s="921"/>
      <c r="Z295" s="921"/>
      <c r="AA295" s="921"/>
      <c r="AB295" s="921"/>
      <c r="AC295" s="921"/>
      <c r="AD295" s="921"/>
      <c r="AE295" s="921"/>
      <c r="AF295" s="921"/>
      <c r="AG295" s="921"/>
      <c r="AH295" s="921"/>
      <c r="AI295" s="921"/>
      <c r="AJ295" s="921"/>
      <c r="AK295" s="921"/>
      <c r="AL295" s="921"/>
      <c r="AM295" s="921"/>
      <c r="AN295" s="921"/>
      <c r="AO295" s="921"/>
      <c r="AP295" s="921"/>
      <c r="AQ295" s="921"/>
      <c r="AR295" s="921"/>
      <c r="AS295" s="921"/>
      <c r="AT295" s="921"/>
      <c r="AU295" s="921"/>
      <c r="AV295" s="921"/>
      <c r="AW295" s="921"/>
      <c r="AX295" s="921"/>
      <c r="AY295" s="921"/>
      <c r="AZ295" s="921"/>
      <c r="BA295" s="921"/>
      <c r="BB295" s="921"/>
      <c r="BC295" s="921"/>
      <c r="BD295" s="921"/>
      <c r="BE295" s="921"/>
      <c r="BF295" s="921"/>
      <c r="BG295" s="921"/>
      <c r="BH295" s="921"/>
      <c r="BI295" s="921"/>
      <c r="BJ295" s="921"/>
      <c r="BK295" s="921"/>
      <c r="BL295" s="921"/>
      <c r="BM295" s="921"/>
      <c r="BN295" s="921"/>
      <c r="BO295" s="921"/>
      <c r="BP295" s="802"/>
    </row>
    <row r="296" spans="1:68" ht="21" customHeight="1">
      <c r="A296" s="747">
        <v>153</v>
      </c>
      <c r="B296" s="1659" t="s">
        <v>921</v>
      </c>
      <c r="C296" s="1636" t="s">
        <v>466</v>
      </c>
      <c r="D296" s="936" t="s">
        <v>467</v>
      </c>
      <c r="E296" s="937"/>
      <c r="F296" s="810" t="s">
        <v>959</v>
      </c>
      <c r="G296" s="852" t="s">
        <v>1281</v>
      </c>
      <c r="H296" s="921"/>
      <c r="I296" s="921"/>
      <c r="J296" s="921"/>
      <c r="K296" s="921"/>
      <c r="L296" s="952">
        <f t="shared" ref="L296:O307" ca="1" si="103">SUM(P296,T296)</f>
        <v>0</v>
      </c>
      <c r="M296" s="952">
        <f t="shared" ca="1" si="103"/>
        <v>0</v>
      </c>
      <c r="N296" s="952">
        <f t="shared" ca="1" si="103"/>
        <v>0</v>
      </c>
      <c r="O296" s="952">
        <f t="shared" ca="1" si="103"/>
        <v>0</v>
      </c>
      <c r="P296" s="929">
        <f ca="1">P251</f>
        <v>0</v>
      </c>
      <c r="Q296" s="929">
        <f t="shared" ref="Q296:W296" ca="1" si="104">Q251</f>
        <v>0</v>
      </c>
      <c r="R296" s="929">
        <f t="shared" ca="1" si="104"/>
        <v>0</v>
      </c>
      <c r="S296" s="929">
        <f t="shared" ca="1" si="104"/>
        <v>0</v>
      </c>
      <c r="T296" s="929">
        <f t="shared" ca="1" si="104"/>
        <v>0</v>
      </c>
      <c r="U296" s="929">
        <f t="shared" ca="1" si="104"/>
        <v>0</v>
      </c>
      <c r="V296" s="929">
        <f t="shared" ca="1" si="104"/>
        <v>0</v>
      </c>
      <c r="W296" s="929">
        <f t="shared" ca="1" si="104"/>
        <v>0</v>
      </c>
      <c r="X296" s="921"/>
      <c r="Y296" s="921"/>
      <c r="Z296" s="921"/>
      <c r="AA296" s="921"/>
      <c r="AB296" s="921"/>
      <c r="AC296" s="921"/>
      <c r="AD296" s="921"/>
      <c r="AE296" s="921"/>
      <c r="AF296" s="921"/>
      <c r="AG296" s="921"/>
      <c r="AH296" s="921"/>
      <c r="AI296" s="921"/>
      <c r="AJ296" s="921"/>
      <c r="AK296" s="921"/>
      <c r="AL296" s="921"/>
      <c r="AM296" s="921"/>
      <c r="AN296" s="921"/>
      <c r="AO296" s="921"/>
      <c r="AP296" s="921"/>
      <c r="AQ296" s="921"/>
      <c r="AR296" s="921"/>
      <c r="AS296" s="921"/>
      <c r="AT296" s="921"/>
      <c r="AU296" s="921"/>
      <c r="AV296" s="921"/>
      <c r="AW296" s="921"/>
      <c r="AX296" s="921"/>
      <c r="AY296" s="921"/>
      <c r="AZ296" s="921"/>
      <c r="BA296" s="921"/>
      <c r="BB296" s="921"/>
      <c r="BC296" s="921"/>
      <c r="BD296" s="921"/>
      <c r="BE296" s="921"/>
      <c r="BF296" s="921"/>
      <c r="BG296" s="921"/>
      <c r="BH296" s="921"/>
      <c r="BI296" s="921"/>
      <c r="BJ296" s="921"/>
      <c r="BK296" s="921"/>
      <c r="BL296" s="921"/>
      <c r="BM296" s="921"/>
      <c r="BN296" s="921"/>
      <c r="BO296" s="921"/>
      <c r="BP296" s="802"/>
    </row>
    <row r="297" spans="1:68" ht="21" customHeight="1">
      <c r="A297" s="747">
        <v>154</v>
      </c>
      <c r="B297" s="1660"/>
      <c r="C297" s="1637"/>
      <c r="D297" s="936" t="s">
        <v>434</v>
      </c>
      <c r="E297" s="937"/>
      <c r="F297" s="810" t="s">
        <v>960</v>
      </c>
      <c r="G297" s="852" t="s">
        <v>1281</v>
      </c>
      <c r="H297" s="921"/>
      <c r="I297" s="921"/>
      <c r="J297" s="921"/>
      <c r="K297" s="921"/>
      <c r="L297" s="952">
        <f t="shared" ca="1" si="103"/>
        <v>0</v>
      </c>
      <c r="M297" s="952">
        <f t="shared" ca="1" si="103"/>
        <v>0</v>
      </c>
      <c r="N297" s="952">
        <f t="shared" ca="1" si="103"/>
        <v>0</v>
      </c>
      <c r="O297" s="952">
        <f t="shared" ca="1" si="103"/>
        <v>0</v>
      </c>
      <c r="P297" s="929">
        <f t="shared" ref="P297:W312" ca="1" si="105">P252</f>
        <v>0</v>
      </c>
      <c r="Q297" s="929">
        <f t="shared" ca="1" si="105"/>
        <v>0</v>
      </c>
      <c r="R297" s="929">
        <f t="shared" ca="1" si="105"/>
        <v>0</v>
      </c>
      <c r="S297" s="929">
        <f t="shared" ca="1" si="105"/>
        <v>0</v>
      </c>
      <c r="T297" s="929">
        <f t="shared" ca="1" si="105"/>
        <v>0</v>
      </c>
      <c r="U297" s="929">
        <f t="shared" ca="1" si="105"/>
        <v>0</v>
      </c>
      <c r="V297" s="929">
        <f t="shared" ca="1" si="105"/>
        <v>0</v>
      </c>
      <c r="W297" s="929">
        <f t="shared" ca="1" si="105"/>
        <v>0</v>
      </c>
      <c r="X297" s="921"/>
      <c r="Y297" s="921"/>
      <c r="Z297" s="921"/>
      <c r="AA297" s="921"/>
      <c r="AB297" s="921"/>
      <c r="AC297" s="921"/>
      <c r="AD297" s="921"/>
      <c r="AE297" s="921"/>
      <c r="AF297" s="921"/>
      <c r="AG297" s="921"/>
      <c r="AH297" s="921"/>
      <c r="AI297" s="921"/>
      <c r="AJ297" s="921"/>
      <c r="AK297" s="921"/>
      <c r="AL297" s="921"/>
      <c r="AM297" s="921"/>
      <c r="AN297" s="921"/>
      <c r="AO297" s="921"/>
      <c r="AP297" s="921"/>
      <c r="AQ297" s="921"/>
      <c r="AR297" s="921"/>
      <c r="AS297" s="921"/>
      <c r="AT297" s="921"/>
      <c r="AU297" s="921"/>
      <c r="AV297" s="921"/>
      <c r="AW297" s="921"/>
      <c r="AX297" s="921"/>
      <c r="AY297" s="921"/>
      <c r="AZ297" s="921"/>
      <c r="BA297" s="921"/>
      <c r="BB297" s="921"/>
      <c r="BC297" s="921"/>
      <c r="BD297" s="921"/>
      <c r="BE297" s="921"/>
      <c r="BF297" s="921"/>
      <c r="BG297" s="921"/>
      <c r="BH297" s="921"/>
      <c r="BI297" s="921"/>
      <c r="BJ297" s="921"/>
      <c r="BK297" s="921"/>
      <c r="BL297" s="921"/>
      <c r="BM297" s="921"/>
      <c r="BN297" s="921"/>
      <c r="BO297" s="921"/>
      <c r="BP297" s="802"/>
    </row>
    <row r="298" spans="1:68">
      <c r="A298" s="747">
        <v>155</v>
      </c>
      <c r="B298" s="1660"/>
      <c r="C298" s="1637"/>
      <c r="D298" s="1639" t="s">
        <v>468</v>
      </c>
      <c r="E298" s="944" t="s">
        <v>435</v>
      </c>
      <c r="F298" s="949" t="s">
        <v>961</v>
      </c>
      <c r="G298" s="852" t="s">
        <v>433</v>
      </c>
      <c r="H298" s="921"/>
      <c r="I298" s="921"/>
      <c r="J298" s="921"/>
      <c r="K298" s="921"/>
      <c r="L298" s="952">
        <f t="shared" ca="1" si="103"/>
        <v>0</v>
      </c>
      <c r="M298" s="952">
        <f t="shared" ca="1" si="103"/>
        <v>0</v>
      </c>
      <c r="N298" s="952">
        <f t="shared" ca="1" si="103"/>
        <v>0</v>
      </c>
      <c r="O298" s="952">
        <f t="shared" ca="1" si="103"/>
        <v>0</v>
      </c>
      <c r="P298" s="929">
        <f t="shared" ca="1" si="105"/>
        <v>0</v>
      </c>
      <c r="Q298" s="929">
        <f t="shared" ca="1" si="105"/>
        <v>0</v>
      </c>
      <c r="R298" s="929">
        <f t="shared" ca="1" si="105"/>
        <v>0</v>
      </c>
      <c r="S298" s="929">
        <f t="shared" ca="1" si="105"/>
        <v>0</v>
      </c>
      <c r="T298" s="929">
        <f t="shared" ca="1" si="105"/>
        <v>0</v>
      </c>
      <c r="U298" s="929">
        <f t="shared" ca="1" si="105"/>
        <v>0</v>
      </c>
      <c r="V298" s="929">
        <f t="shared" ca="1" si="105"/>
        <v>0</v>
      </c>
      <c r="W298" s="929">
        <f t="shared" ca="1" si="105"/>
        <v>0</v>
      </c>
      <c r="X298" s="921"/>
      <c r="Y298" s="921"/>
      <c r="Z298" s="921"/>
      <c r="AA298" s="921"/>
      <c r="AB298" s="921"/>
      <c r="AC298" s="921"/>
      <c r="AD298" s="921"/>
      <c r="AE298" s="921"/>
      <c r="AF298" s="921"/>
      <c r="AG298" s="921"/>
      <c r="AH298" s="921"/>
      <c r="AI298" s="921"/>
      <c r="AJ298" s="921"/>
      <c r="AK298" s="921"/>
      <c r="AL298" s="921"/>
      <c r="AM298" s="921"/>
      <c r="AN298" s="921"/>
      <c r="AO298" s="921"/>
      <c r="AP298" s="921"/>
      <c r="AQ298" s="921"/>
      <c r="AR298" s="921"/>
      <c r="AS298" s="921"/>
      <c r="AT298" s="921"/>
      <c r="AU298" s="921"/>
      <c r="AV298" s="921"/>
      <c r="AW298" s="921"/>
      <c r="AX298" s="921"/>
      <c r="AY298" s="921"/>
      <c r="AZ298" s="921"/>
      <c r="BA298" s="921"/>
      <c r="BB298" s="921"/>
      <c r="BC298" s="921"/>
      <c r="BD298" s="921"/>
      <c r="BE298" s="921"/>
      <c r="BF298" s="921"/>
      <c r="BG298" s="921"/>
      <c r="BH298" s="921"/>
      <c r="BI298" s="921"/>
      <c r="BJ298" s="921"/>
      <c r="BK298" s="921"/>
      <c r="BL298" s="921"/>
      <c r="BM298" s="921"/>
      <c r="BN298" s="921"/>
      <c r="BO298" s="921"/>
      <c r="BP298" s="802"/>
    </row>
    <row r="299" spans="1:68">
      <c r="A299" s="747">
        <v>156</v>
      </c>
      <c r="B299" s="1660"/>
      <c r="C299" s="1637"/>
      <c r="D299" s="1640"/>
      <c r="E299" s="946"/>
      <c r="F299" s="991"/>
      <c r="G299" s="852" t="s">
        <v>436</v>
      </c>
      <c r="H299" s="921"/>
      <c r="I299" s="921"/>
      <c r="J299" s="921"/>
      <c r="K299" s="921"/>
      <c r="L299" s="952">
        <f t="shared" ca="1" si="103"/>
        <v>0</v>
      </c>
      <c r="M299" s="952">
        <f t="shared" ca="1" si="103"/>
        <v>0</v>
      </c>
      <c r="N299" s="952">
        <f t="shared" ca="1" si="103"/>
        <v>0</v>
      </c>
      <c r="O299" s="952">
        <f t="shared" ca="1" si="103"/>
        <v>0</v>
      </c>
      <c r="P299" s="929">
        <f t="shared" ca="1" si="105"/>
        <v>0</v>
      </c>
      <c r="Q299" s="929">
        <f t="shared" ca="1" si="105"/>
        <v>0</v>
      </c>
      <c r="R299" s="929">
        <f t="shared" ca="1" si="105"/>
        <v>0</v>
      </c>
      <c r="S299" s="929">
        <f t="shared" ca="1" si="105"/>
        <v>0</v>
      </c>
      <c r="T299" s="929">
        <f t="shared" ca="1" si="105"/>
        <v>0</v>
      </c>
      <c r="U299" s="929">
        <f t="shared" ca="1" si="105"/>
        <v>0</v>
      </c>
      <c r="V299" s="929">
        <f t="shared" ca="1" si="105"/>
        <v>0</v>
      </c>
      <c r="W299" s="929">
        <f t="shared" ca="1" si="105"/>
        <v>0</v>
      </c>
      <c r="X299" s="921"/>
      <c r="Y299" s="921"/>
      <c r="Z299" s="921"/>
      <c r="AA299" s="921"/>
      <c r="AB299" s="921"/>
      <c r="AC299" s="921"/>
      <c r="AD299" s="921"/>
      <c r="AE299" s="921"/>
      <c r="AF299" s="921"/>
      <c r="AG299" s="921"/>
      <c r="AH299" s="921"/>
      <c r="AI299" s="921"/>
      <c r="AJ299" s="921"/>
      <c r="AK299" s="921"/>
      <c r="AL299" s="921"/>
      <c r="AM299" s="921"/>
      <c r="AN299" s="921"/>
      <c r="AO299" s="921"/>
      <c r="AP299" s="921"/>
      <c r="AQ299" s="921"/>
      <c r="AR299" s="921"/>
      <c r="AS299" s="921"/>
      <c r="AT299" s="921"/>
      <c r="AU299" s="921"/>
      <c r="AV299" s="921"/>
      <c r="AW299" s="921"/>
      <c r="AX299" s="921"/>
      <c r="AY299" s="921"/>
      <c r="AZ299" s="921"/>
      <c r="BA299" s="921"/>
      <c r="BB299" s="921"/>
      <c r="BC299" s="921"/>
      <c r="BD299" s="921"/>
      <c r="BE299" s="921"/>
      <c r="BF299" s="921"/>
      <c r="BG299" s="921"/>
      <c r="BH299" s="921"/>
      <c r="BI299" s="921"/>
      <c r="BJ299" s="921"/>
      <c r="BK299" s="921"/>
      <c r="BL299" s="921"/>
      <c r="BM299" s="921"/>
      <c r="BN299" s="921"/>
      <c r="BO299" s="921"/>
      <c r="BP299" s="802"/>
    </row>
    <row r="300" spans="1:68" ht="21" customHeight="1">
      <c r="A300" s="747">
        <v>157</v>
      </c>
      <c r="B300" s="1660"/>
      <c r="C300" s="1637"/>
      <c r="D300" s="1640"/>
      <c r="E300" s="944" t="s">
        <v>437</v>
      </c>
      <c r="F300" s="949" t="s">
        <v>962</v>
      </c>
      <c r="G300" s="852" t="s">
        <v>433</v>
      </c>
      <c r="H300" s="921"/>
      <c r="I300" s="921"/>
      <c r="J300" s="921"/>
      <c r="K300" s="921"/>
      <c r="L300" s="952">
        <f t="shared" ca="1" si="103"/>
        <v>0</v>
      </c>
      <c r="M300" s="952">
        <f t="shared" ca="1" si="103"/>
        <v>0</v>
      </c>
      <c r="N300" s="952">
        <f t="shared" ca="1" si="103"/>
        <v>0</v>
      </c>
      <c r="O300" s="952">
        <f t="shared" ca="1" si="103"/>
        <v>0</v>
      </c>
      <c r="P300" s="929">
        <f t="shared" ca="1" si="105"/>
        <v>0</v>
      </c>
      <c r="Q300" s="929">
        <f t="shared" ca="1" si="105"/>
        <v>0</v>
      </c>
      <c r="R300" s="929">
        <f t="shared" ca="1" si="105"/>
        <v>0</v>
      </c>
      <c r="S300" s="929">
        <f t="shared" ca="1" si="105"/>
        <v>0</v>
      </c>
      <c r="T300" s="929">
        <f t="shared" ca="1" si="105"/>
        <v>0</v>
      </c>
      <c r="U300" s="929">
        <f t="shared" ca="1" si="105"/>
        <v>0</v>
      </c>
      <c r="V300" s="929">
        <f t="shared" ca="1" si="105"/>
        <v>0</v>
      </c>
      <c r="W300" s="929">
        <f t="shared" ca="1" si="105"/>
        <v>0</v>
      </c>
      <c r="X300" s="921"/>
      <c r="Y300" s="921"/>
      <c r="Z300" s="921"/>
      <c r="AA300" s="921"/>
      <c r="AB300" s="921"/>
      <c r="AC300" s="921"/>
      <c r="AD300" s="921"/>
      <c r="AE300" s="921"/>
      <c r="AF300" s="921"/>
      <c r="AG300" s="921"/>
      <c r="AH300" s="921"/>
      <c r="AI300" s="921"/>
      <c r="AJ300" s="921"/>
      <c r="AK300" s="921"/>
      <c r="AL300" s="921"/>
      <c r="AM300" s="921"/>
      <c r="AN300" s="921"/>
      <c r="AO300" s="921"/>
      <c r="AP300" s="921"/>
      <c r="AQ300" s="921"/>
      <c r="AR300" s="921"/>
      <c r="AS300" s="921"/>
      <c r="AT300" s="921"/>
      <c r="AU300" s="921"/>
      <c r="AV300" s="921"/>
      <c r="AW300" s="921"/>
      <c r="AX300" s="921"/>
      <c r="AY300" s="921"/>
      <c r="AZ300" s="921"/>
      <c r="BA300" s="921"/>
      <c r="BB300" s="921"/>
      <c r="BC300" s="921"/>
      <c r="BD300" s="921"/>
      <c r="BE300" s="921"/>
      <c r="BF300" s="921"/>
      <c r="BG300" s="921"/>
      <c r="BH300" s="921"/>
      <c r="BI300" s="921"/>
      <c r="BJ300" s="921"/>
      <c r="BK300" s="921"/>
      <c r="BL300" s="921"/>
      <c r="BM300" s="921"/>
      <c r="BN300" s="921"/>
      <c r="BO300" s="921"/>
      <c r="BP300" s="802"/>
    </row>
    <row r="301" spans="1:68" ht="21" customHeight="1">
      <c r="A301" s="747">
        <v>158</v>
      </c>
      <c r="B301" s="1660"/>
      <c r="C301" s="1637"/>
      <c r="D301" s="1640"/>
      <c r="E301" s="946"/>
      <c r="F301" s="991"/>
      <c r="G301" s="852" t="s">
        <v>461</v>
      </c>
      <c r="H301" s="921"/>
      <c r="I301" s="921"/>
      <c r="J301" s="921"/>
      <c r="K301" s="921"/>
      <c r="L301" s="952">
        <f t="shared" ca="1" si="103"/>
        <v>0</v>
      </c>
      <c r="M301" s="952">
        <f t="shared" ca="1" si="103"/>
        <v>0</v>
      </c>
      <c r="N301" s="952">
        <f t="shared" ca="1" si="103"/>
        <v>0</v>
      </c>
      <c r="O301" s="952">
        <f t="shared" ca="1" si="103"/>
        <v>0</v>
      </c>
      <c r="P301" s="929">
        <f t="shared" ca="1" si="105"/>
        <v>0</v>
      </c>
      <c r="Q301" s="929">
        <f t="shared" ca="1" si="105"/>
        <v>0</v>
      </c>
      <c r="R301" s="929">
        <f t="shared" ca="1" si="105"/>
        <v>0</v>
      </c>
      <c r="S301" s="929">
        <f t="shared" ca="1" si="105"/>
        <v>0</v>
      </c>
      <c r="T301" s="929">
        <f t="shared" ca="1" si="105"/>
        <v>0</v>
      </c>
      <c r="U301" s="929">
        <f t="shared" ca="1" si="105"/>
        <v>0</v>
      </c>
      <c r="V301" s="929">
        <f t="shared" ca="1" si="105"/>
        <v>0</v>
      </c>
      <c r="W301" s="929">
        <f t="shared" ca="1" si="105"/>
        <v>0</v>
      </c>
      <c r="X301" s="921"/>
      <c r="Y301" s="921"/>
      <c r="Z301" s="921"/>
      <c r="AA301" s="921"/>
      <c r="AB301" s="921"/>
      <c r="AC301" s="921"/>
      <c r="AD301" s="921"/>
      <c r="AE301" s="921"/>
      <c r="AF301" s="921"/>
      <c r="AG301" s="921"/>
      <c r="AH301" s="921"/>
      <c r="AI301" s="921"/>
      <c r="AJ301" s="921"/>
      <c r="AK301" s="921"/>
      <c r="AL301" s="921"/>
      <c r="AM301" s="921"/>
      <c r="AN301" s="921"/>
      <c r="AO301" s="921"/>
      <c r="AP301" s="921"/>
      <c r="AQ301" s="921"/>
      <c r="AR301" s="921"/>
      <c r="AS301" s="921"/>
      <c r="AT301" s="921"/>
      <c r="AU301" s="921"/>
      <c r="AV301" s="921"/>
      <c r="AW301" s="921"/>
      <c r="AX301" s="921"/>
      <c r="AY301" s="921"/>
      <c r="AZ301" s="921"/>
      <c r="BA301" s="921"/>
      <c r="BB301" s="921"/>
      <c r="BC301" s="921"/>
      <c r="BD301" s="921"/>
      <c r="BE301" s="921"/>
      <c r="BF301" s="921"/>
      <c r="BG301" s="921"/>
      <c r="BH301" s="921"/>
      <c r="BI301" s="921"/>
      <c r="BJ301" s="921"/>
      <c r="BK301" s="921"/>
      <c r="BL301" s="921"/>
      <c r="BM301" s="921"/>
      <c r="BN301" s="921"/>
      <c r="BO301" s="921"/>
      <c r="BP301" s="802"/>
    </row>
    <row r="302" spans="1:68">
      <c r="A302" s="747">
        <v>159</v>
      </c>
      <c r="B302" s="1660"/>
      <c r="C302" s="1637"/>
      <c r="D302" s="1641"/>
      <c r="E302" s="992" t="s">
        <v>438</v>
      </c>
      <c r="F302" s="810" t="s">
        <v>963</v>
      </c>
      <c r="G302" s="852" t="s">
        <v>433</v>
      </c>
      <c r="H302" s="921"/>
      <c r="I302" s="921"/>
      <c r="J302" s="921"/>
      <c r="K302" s="921"/>
      <c r="L302" s="952">
        <f t="shared" ca="1" si="103"/>
        <v>0</v>
      </c>
      <c r="M302" s="952">
        <f t="shared" ca="1" si="103"/>
        <v>0</v>
      </c>
      <c r="N302" s="952">
        <f t="shared" ca="1" si="103"/>
        <v>0</v>
      </c>
      <c r="O302" s="952">
        <f t="shared" ca="1" si="103"/>
        <v>0</v>
      </c>
      <c r="P302" s="929">
        <f t="shared" ca="1" si="105"/>
        <v>0</v>
      </c>
      <c r="Q302" s="929">
        <f t="shared" ca="1" si="105"/>
        <v>0</v>
      </c>
      <c r="R302" s="929">
        <f t="shared" ca="1" si="105"/>
        <v>0</v>
      </c>
      <c r="S302" s="929">
        <f t="shared" ca="1" si="105"/>
        <v>0</v>
      </c>
      <c r="T302" s="929">
        <f t="shared" ca="1" si="105"/>
        <v>0</v>
      </c>
      <c r="U302" s="929">
        <f t="shared" ca="1" si="105"/>
        <v>0</v>
      </c>
      <c r="V302" s="929">
        <f t="shared" ca="1" si="105"/>
        <v>0</v>
      </c>
      <c r="W302" s="929">
        <f t="shared" ca="1" si="105"/>
        <v>0</v>
      </c>
      <c r="X302" s="921"/>
      <c r="Y302" s="921"/>
      <c r="Z302" s="921"/>
      <c r="AA302" s="921"/>
      <c r="AB302" s="921"/>
      <c r="AC302" s="921"/>
      <c r="AD302" s="921"/>
      <c r="AE302" s="921"/>
      <c r="AF302" s="921"/>
      <c r="AG302" s="921"/>
      <c r="AH302" s="921"/>
      <c r="AI302" s="921"/>
      <c r="AJ302" s="921"/>
      <c r="AK302" s="921"/>
      <c r="AL302" s="921"/>
      <c r="AM302" s="921"/>
      <c r="AN302" s="921"/>
      <c r="AO302" s="921"/>
      <c r="AP302" s="921"/>
      <c r="AQ302" s="921"/>
      <c r="AR302" s="921"/>
      <c r="AS302" s="921"/>
      <c r="AT302" s="921"/>
      <c r="AU302" s="921"/>
      <c r="AV302" s="921"/>
      <c r="AW302" s="921"/>
      <c r="AX302" s="921"/>
      <c r="AY302" s="921"/>
      <c r="AZ302" s="921"/>
      <c r="BA302" s="921"/>
      <c r="BB302" s="921"/>
      <c r="BC302" s="921"/>
      <c r="BD302" s="921"/>
      <c r="BE302" s="921"/>
      <c r="BF302" s="921"/>
      <c r="BG302" s="921"/>
      <c r="BH302" s="921"/>
      <c r="BI302" s="921"/>
      <c r="BJ302" s="921"/>
      <c r="BK302" s="921"/>
      <c r="BL302" s="921"/>
      <c r="BM302" s="921"/>
      <c r="BN302" s="921"/>
      <c r="BO302" s="921"/>
      <c r="BP302" s="802"/>
    </row>
    <row r="303" spans="1:68">
      <c r="A303" s="747">
        <v>160</v>
      </c>
      <c r="B303" s="1660"/>
      <c r="C303" s="1637"/>
      <c r="D303" s="1642" t="s">
        <v>470</v>
      </c>
      <c r="E303" s="993" t="s">
        <v>923</v>
      </c>
      <c r="F303" s="949" t="s">
        <v>964</v>
      </c>
      <c r="G303" s="852" t="s">
        <v>433</v>
      </c>
      <c r="H303" s="921"/>
      <c r="I303" s="921"/>
      <c r="J303" s="921"/>
      <c r="K303" s="921"/>
      <c r="L303" s="952">
        <f t="shared" ca="1" si="103"/>
        <v>0</v>
      </c>
      <c r="M303" s="952">
        <f t="shared" ca="1" si="103"/>
        <v>0</v>
      </c>
      <c r="N303" s="952">
        <f t="shared" ca="1" si="103"/>
        <v>0</v>
      </c>
      <c r="O303" s="952">
        <f t="shared" ca="1" si="103"/>
        <v>0</v>
      </c>
      <c r="P303" s="929">
        <f t="shared" ca="1" si="105"/>
        <v>0</v>
      </c>
      <c r="Q303" s="929">
        <f t="shared" ca="1" si="105"/>
        <v>0</v>
      </c>
      <c r="R303" s="929">
        <f t="shared" ca="1" si="105"/>
        <v>0</v>
      </c>
      <c r="S303" s="929">
        <f t="shared" ca="1" si="105"/>
        <v>0</v>
      </c>
      <c r="T303" s="929">
        <f t="shared" ca="1" si="105"/>
        <v>0</v>
      </c>
      <c r="U303" s="929">
        <f t="shared" ca="1" si="105"/>
        <v>0</v>
      </c>
      <c r="V303" s="929">
        <f t="shared" ca="1" si="105"/>
        <v>0</v>
      </c>
      <c r="W303" s="929">
        <f t="shared" ca="1" si="105"/>
        <v>0</v>
      </c>
      <c r="X303" s="921"/>
      <c r="Y303" s="921"/>
      <c r="Z303" s="921"/>
      <c r="AA303" s="921"/>
      <c r="AB303" s="921"/>
      <c r="AC303" s="921"/>
      <c r="AD303" s="921"/>
      <c r="AE303" s="921"/>
      <c r="AF303" s="921"/>
      <c r="AG303" s="921"/>
      <c r="AH303" s="921"/>
      <c r="AI303" s="921"/>
      <c r="AJ303" s="921"/>
      <c r="AK303" s="921"/>
      <c r="AL303" s="921"/>
      <c r="AM303" s="921"/>
      <c r="AN303" s="921"/>
      <c r="AO303" s="921"/>
      <c r="AP303" s="921"/>
      <c r="AQ303" s="921"/>
      <c r="AR303" s="921"/>
      <c r="AS303" s="921"/>
      <c r="AT303" s="921"/>
      <c r="AU303" s="921"/>
      <c r="AV303" s="921"/>
      <c r="AW303" s="921"/>
      <c r="AX303" s="921"/>
      <c r="AY303" s="921"/>
      <c r="AZ303" s="921"/>
      <c r="BA303" s="921"/>
      <c r="BB303" s="921"/>
      <c r="BC303" s="921"/>
      <c r="BD303" s="921"/>
      <c r="BE303" s="921"/>
      <c r="BF303" s="921"/>
      <c r="BG303" s="921"/>
      <c r="BH303" s="921"/>
      <c r="BI303" s="921"/>
      <c r="BJ303" s="921"/>
      <c r="BK303" s="921"/>
      <c r="BL303" s="921"/>
      <c r="BM303" s="921"/>
      <c r="BN303" s="921"/>
      <c r="BO303" s="921"/>
      <c r="BP303" s="802"/>
    </row>
    <row r="304" spans="1:68">
      <c r="A304" s="747">
        <v>161</v>
      </c>
      <c r="B304" s="1660"/>
      <c r="C304" s="1637"/>
      <c r="D304" s="1643"/>
      <c r="E304" s="954"/>
      <c r="F304" s="991"/>
      <c r="G304" s="852" t="s">
        <v>436</v>
      </c>
      <c r="H304" s="921"/>
      <c r="I304" s="921"/>
      <c r="J304" s="921"/>
      <c r="K304" s="921"/>
      <c r="L304" s="952">
        <f t="shared" ca="1" si="103"/>
        <v>0</v>
      </c>
      <c r="M304" s="952">
        <f t="shared" ca="1" si="103"/>
        <v>0</v>
      </c>
      <c r="N304" s="952">
        <f t="shared" ca="1" si="103"/>
        <v>0</v>
      </c>
      <c r="O304" s="952">
        <f t="shared" ca="1" si="103"/>
        <v>0</v>
      </c>
      <c r="P304" s="929">
        <f t="shared" ca="1" si="105"/>
        <v>0</v>
      </c>
      <c r="Q304" s="929">
        <f t="shared" ca="1" si="105"/>
        <v>0</v>
      </c>
      <c r="R304" s="929">
        <f t="shared" ca="1" si="105"/>
        <v>0</v>
      </c>
      <c r="S304" s="929">
        <f t="shared" ca="1" si="105"/>
        <v>0</v>
      </c>
      <c r="T304" s="929">
        <f t="shared" ca="1" si="105"/>
        <v>0</v>
      </c>
      <c r="U304" s="929">
        <f t="shared" ca="1" si="105"/>
        <v>0</v>
      </c>
      <c r="V304" s="929">
        <f t="shared" ca="1" si="105"/>
        <v>0</v>
      </c>
      <c r="W304" s="929">
        <f t="shared" ca="1" si="105"/>
        <v>0</v>
      </c>
      <c r="X304" s="921"/>
      <c r="Y304" s="921"/>
      <c r="Z304" s="921"/>
      <c r="AA304" s="921"/>
      <c r="AB304" s="921"/>
      <c r="AC304" s="921"/>
      <c r="AD304" s="921"/>
      <c r="AE304" s="921"/>
      <c r="AF304" s="921"/>
      <c r="AG304" s="921"/>
      <c r="AH304" s="921"/>
      <c r="AI304" s="921"/>
      <c r="AJ304" s="921"/>
      <c r="AK304" s="921"/>
      <c r="AL304" s="921"/>
      <c r="AM304" s="921"/>
      <c r="AN304" s="921"/>
      <c r="AO304" s="921"/>
      <c r="AP304" s="921"/>
      <c r="AQ304" s="921"/>
      <c r="AR304" s="921"/>
      <c r="AS304" s="921"/>
      <c r="AT304" s="921"/>
      <c r="AU304" s="921"/>
      <c r="AV304" s="921"/>
      <c r="AW304" s="921"/>
      <c r="AX304" s="921"/>
      <c r="AY304" s="921"/>
      <c r="AZ304" s="921"/>
      <c r="BA304" s="921"/>
      <c r="BB304" s="921"/>
      <c r="BC304" s="921"/>
      <c r="BD304" s="921"/>
      <c r="BE304" s="921"/>
      <c r="BF304" s="921"/>
      <c r="BG304" s="921"/>
      <c r="BH304" s="921"/>
      <c r="BI304" s="921"/>
      <c r="BJ304" s="921"/>
      <c r="BK304" s="921"/>
      <c r="BL304" s="921"/>
      <c r="BM304" s="921"/>
      <c r="BN304" s="921"/>
      <c r="BO304" s="921"/>
      <c r="BP304" s="802"/>
    </row>
    <row r="305" spans="1:68" ht="21" customHeight="1">
      <c r="A305" s="747">
        <v>162</v>
      </c>
      <c r="B305" s="1660"/>
      <c r="C305" s="1637"/>
      <c r="D305" s="1643"/>
      <c r="E305" s="955" t="s">
        <v>924</v>
      </c>
      <c r="F305" s="949" t="s">
        <v>965</v>
      </c>
      <c r="G305" s="852" t="s">
        <v>433</v>
      </c>
      <c r="H305" s="921"/>
      <c r="I305" s="921"/>
      <c r="J305" s="921"/>
      <c r="K305" s="921"/>
      <c r="L305" s="952">
        <f t="shared" ca="1" si="103"/>
        <v>0</v>
      </c>
      <c r="M305" s="952">
        <f t="shared" ca="1" si="103"/>
        <v>0</v>
      </c>
      <c r="N305" s="952">
        <f t="shared" ca="1" si="103"/>
        <v>0</v>
      </c>
      <c r="O305" s="952">
        <f t="shared" ca="1" si="103"/>
        <v>0</v>
      </c>
      <c r="P305" s="929">
        <f t="shared" ca="1" si="105"/>
        <v>0</v>
      </c>
      <c r="Q305" s="929">
        <f t="shared" ca="1" si="105"/>
        <v>0</v>
      </c>
      <c r="R305" s="929">
        <f t="shared" ca="1" si="105"/>
        <v>0</v>
      </c>
      <c r="S305" s="929">
        <f t="shared" ca="1" si="105"/>
        <v>0</v>
      </c>
      <c r="T305" s="929">
        <f t="shared" ca="1" si="105"/>
        <v>0</v>
      </c>
      <c r="U305" s="929">
        <f t="shared" ca="1" si="105"/>
        <v>0</v>
      </c>
      <c r="V305" s="929">
        <f t="shared" ca="1" si="105"/>
        <v>0</v>
      </c>
      <c r="W305" s="929">
        <f t="shared" ca="1" si="105"/>
        <v>0</v>
      </c>
      <c r="X305" s="921"/>
      <c r="Y305" s="921"/>
      <c r="Z305" s="921"/>
      <c r="AA305" s="921"/>
      <c r="AB305" s="921"/>
      <c r="AC305" s="921"/>
      <c r="AD305" s="921"/>
      <c r="AE305" s="921"/>
      <c r="AF305" s="921"/>
      <c r="AG305" s="921"/>
      <c r="AH305" s="921"/>
      <c r="AI305" s="921"/>
      <c r="AJ305" s="921"/>
      <c r="AK305" s="921"/>
      <c r="AL305" s="921"/>
      <c r="AM305" s="921"/>
      <c r="AN305" s="921"/>
      <c r="AO305" s="921"/>
      <c r="AP305" s="921"/>
      <c r="AQ305" s="921"/>
      <c r="AR305" s="921"/>
      <c r="AS305" s="921"/>
      <c r="AT305" s="921"/>
      <c r="AU305" s="921"/>
      <c r="AV305" s="921"/>
      <c r="AW305" s="921"/>
      <c r="AX305" s="921"/>
      <c r="AY305" s="921"/>
      <c r="AZ305" s="921"/>
      <c r="BA305" s="921"/>
      <c r="BB305" s="921"/>
      <c r="BC305" s="921"/>
      <c r="BD305" s="921"/>
      <c r="BE305" s="921"/>
      <c r="BF305" s="921"/>
      <c r="BG305" s="921"/>
      <c r="BH305" s="921"/>
      <c r="BI305" s="921"/>
      <c r="BJ305" s="921"/>
      <c r="BK305" s="921"/>
      <c r="BL305" s="921"/>
      <c r="BM305" s="921"/>
      <c r="BN305" s="921"/>
      <c r="BO305" s="921"/>
      <c r="BP305" s="802"/>
    </row>
    <row r="306" spans="1:68">
      <c r="A306" s="747">
        <v>163</v>
      </c>
      <c r="B306" s="1660"/>
      <c r="C306" s="1637"/>
      <c r="D306" s="1644"/>
      <c r="E306" s="956"/>
      <c r="F306" s="991"/>
      <c r="G306" s="852" t="s">
        <v>461</v>
      </c>
      <c r="H306" s="921"/>
      <c r="I306" s="921"/>
      <c r="J306" s="921"/>
      <c r="K306" s="921"/>
      <c r="L306" s="952">
        <f t="shared" ca="1" si="103"/>
        <v>0</v>
      </c>
      <c r="M306" s="952">
        <f t="shared" ca="1" si="103"/>
        <v>0</v>
      </c>
      <c r="N306" s="952">
        <f t="shared" ca="1" si="103"/>
        <v>0</v>
      </c>
      <c r="O306" s="952">
        <f t="shared" ca="1" si="103"/>
        <v>0</v>
      </c>
      <c r="P306" s="929">
        <f t="shared" ca="1" si="105"/>
        <v>0</v>
      </c>
      <c r="Q306" s="929">
        <f t="shared" ca="1" si="105"/>
        <v>0</v>
      </c>
      <c r="R306" s="929">
        <f t="shared" ca="1" si="105"/>
        <v>0</v>
      </c>
      <c r="S306" s="929">
        <f t="shared" ca="1" si="105"/>
        <v>0</v>
      </c>
      <c r="T306" s="929">
        <f t="shared" ca="1" si="105"/>
        <v>0</v>
      </c>
      <c r="U306" s="929">
        <f t="shared" ca="1" si="105"/>
        <v>0</v>
      </c>
      <c r="V306" s="929">
        <f t="shared" ca="1" si="105"/>
        <v>0</v>
      </c>
      <c r="W306" s="929">
        <f t="shared" ca="1" si="105"/>
        <v>0</v>
      </c>
      <c r="X306" s="921"/>
      <c r="Y306" s="921"/>
      <c r="Z306" s="921"/>
      <c r="AA306" s="921"/>
      <c r="AB306" s="921"/>
      <c r="AC306" s="921"/>
      <c r="AD306" s="921"/>
      <c r="AE306" s="921"/>
      <c r="AF306" s="921"/>
      <c r="AG306" s="921"/>
      <c r="AH306" s="921"/>
      <c r="AI306" s="921"/>
      <c r="AJ306" s="921"/>
      <c r="AK306" s="921"/>
      <c r="AL306" s="921"/>
      <c r="AM306" s="921"/>
      <c r="AN306" s="921"/>
      <c r="AO306" s="921"/>
      <c r="AP306" s="921"/>
      <c r="AQ306" s="921"/>
      <c r="AR306" s="921"/>
      <c r="AS306" s="921"/>
      <c r="AT306" s="921"/>
      <c r="AU306" s="921"/>
      <c r="AV306" s="921"/>
      <c r="AW306" s="921"/>
      <c r="AX306" s="921"/>
      <c r="AY306" s="921"/>
      <c r="AZ306" s="921"/>
      <c r="BA306" s="921"/>
      <c r="BB306" s="921"/>
      <c r="BC306" s="921"/>
      <c r="BD306" s="921"/>
      <c r="BE306" s="921"/>
      <c r="BF306" s="921"/>
      <c r="BG306" s="921"/>
      <c r="BH306" s="921"/>
      <c r="BI306" s="921"/>
      <c r="BJ306" s="921"/>
      <c r="BK306" s="921"/>
      <c r="BL306" s="921"/>
      <c r="BM306" s="921"/>
      <c r="BN306" s="921"/>
      <c r="BO306" s="921"/>
      <c r="BP306" s="802"/>
    </row>
    <row r="307" spans="1:68" ht="21" customHeight="1">
      <c r="A307" s="747">
        <v>164</v>
      </c>
      <c r="B307" s="1660"/>
      <c r="C307" s="1638"/>
      <c r="D307" s="957" t="s">
        <v>342</v>
      </c>
      <c r="E307" s="958" t="str">
        <f ca="1">E262</f>
        <v/>
      </c>
      <c r="F307" s="810" t="s">
        <v>966</v>
      </c>
      <c r="G307" s="852" t="s">
        <v>433</v>
      </c>
      <c r="H307" s="921"/>
      <c r="I307" s="921"/>
      <c r="J307" s="921"/>
      <c r="K307" s="921"/>
      <c r="L307" s="952">
        <f t="shared" ca="1" si="103"/>
        <v>0</v>
      </c>
      <c r="M307" s="952">
        <f t="shared" ca="1" si="103"/>
        <v>0</v>
      </c>
      <c r="N307" s="952">
        <f t="shared" ca="1" si="103"/>
        <v>0</v>
      </c>
      <c r="O307" s="952">
        <f t="shared" ca="1" si="103"/>
        <v>0</v>
      </c>
      <c r="P307" s="929">
        <f t="shared" ca="1" si="105"/>
        <v>0</v>
      </c>
      <c r="Q307" s="929">
        <f t="shared" ca="1" si="105"/>
        <v>0</v>
      </c>
      <c r="R307" s="929">
        <f t="shared" ca="1" si="105"/>
        <v>0</v>
      </c>
      <c r="S307" s="929">
        <f t="shared" ca="1" si="105"/>
        <v>0</v>
      </c>
      <c r="T307" s="929">
        <f t="shared" ca="1" si="105"/>
        <v>0</v>
      </c>
      <c r="U307" s="929">
        <f t="shared" ca="1" si="105"/>
        <v>0</v>
      </c>
      <c r="V307" s="929">
        <f t="shared" ca="1" si="105"/>
        <v>0</v>
      </c>
      <c r="W307" s="929">
        <f t="shared" ca="1" si="105"/>
        <v>0</v>
      </c>
      <c r="X307" s="921"/>
      <c r="Y307" s="921"/>
      <c r="Z307" s="921"/>
      <c r="AA307" s="921"/>
      <c r="AB307" s="921"/>
      <c r="AC307" s="921"/>
      <c r="AD307" s="921"/>
      <c r="AE307" s="921"/>
      <c r="AF307" s="921"/>
      <c r="AG307" s="921"/>
      <c r="AH307" s="921"/>
      <c r="AI307" s="921"/>
      <c r="AJ307" s="921"/>
      <c r="AK307" s="921"/>
      <c r="AL307" s="921"/>
      <c r="AM307" s="921"/>
      <c r="AN307" s="921"/>
      <c r="AO307" s="921"/>
      <c r="AP307" s="921"/>
      <c r="AQ307" s="921"/>
      <c r="AR307" s="921"/>
      <c r="AS307" s="921"/>
      <c r="AT307" s="921"/>
      <c r="AU307" s="921"/>
      <c r="AV307" s="921"/>
      <c r="AW307" s="921"/>
      <c r="AX307" s="921"/>
      <c r="AY307" s="921"/>
      <c r="AZ307" s="921"/>
      <c r="BA307" s="921"/>
      <c r="BB307" s="921"/>
      <c r="BC307" s="921"/>
      <c r="BD307" s="921"/>
      <c r="BE307" s="921"/>
      <c r="BF307" s="921"/>
      <c r="BG307" s="921"/>
      <c r="BH307" s="921"/>
      <c r="BI307" s="921"/>
      <c r="BJ307" s="921"/>
      <c r="BK307" s="921"/>
      <c r="BL307" s="921"/>
      <c r="BM307" s="921"/>
      <c r="BN307" s="921"/>
      <c r="BO307" s="921"/>
      <c r="BP307" s="802"/>
    </row>
    <row r="308" spans="1:68" ht="21">
      <c r="A308" s="747">
        <v>165</v>
      </c>
      <c r="B308" s="1660"/>
      <c r="C308" s="959" t="s">
        <v>471</v>
      </c>
      <c r="D308" s="960"/>
      <c r="E308" s="960"/>
      <c r="F308" s="810" t="s">
        <v>967</v>
      </c>
      <c r="G308" s="852" t="s">
        <v>1281</v>
      </c>
      <c r="H308" s="921"/>
      <c r="I308" s="921"/>
      <c r="J308" s="921"/>
      <c r="K308" s="921"/>
      <c r="L308" s="929">
        <f t="shared" ref="L308:W316" ca="1" si="106">L263</f>
        <v>0</v>
      </c>
      <c r="M308" s="929">
        <f t="shared" ca="1" si="106"/>
        <v>0</v>
      </c>
      <c r="N308" s="929">
        <f t="shared" ca="1" si="106"/>
        <v>0</v>
      </c>
      <c r="O308" s="929">
        <f t="shared" ca="1" si="106"/>
        <v>0</v>
      </c>
      <c r="P308" s="929">
        <f t="shared" ca="1" si="105"/>
        <v>0</v>
      </c>
      <c r="Q308" s="929">
        <f t="shared" ca="1" si="105"/>
        <v>0</v>
      </c>
      <c r="R308" s="929">
        <f t="shared" ca="1" si="105"/>
        <v>0</v>
      </c>
      <c r="S308" s="929">
        <f t="shared" ca="1" si="105"/>
        <v>0</v>
      </c>
      <c r="T308" s="929">
        <f t="shared" ca="1" si="105"/>
        <v>0</v>
      </c>
      <c r="U308" s="929">
        <f t="shared" ca="1" si="105"/>
        <v>0</v>
      </c>
      <c r="V308" s="929">
        <f t="shared" ca="1" si="105"/>
        <v>0</v>
      </c>
      <c r="W308" s="929">
        <f t="shared" ca="1" si="105"/>
        <v>0</v>
      </c>
      <c r="X308" s="921"/>
      <c r="Y308" s="921"/>
      <c r="Z308" s="921"/>
      <c r="AA308" s="921"/>
      <c r="AB308" s="921"/>
      <c r="AC308" s="921"/>
      <c r="AD308" s="921"/>
      <c r="AE308" s="921"/>
      <c r="AF308" s="921"/>
      <c r="AG308" s="921"/>
      <c r="AH308" s="921"/>
      <c r="AI308" s="921"/>
      <c r="AJ308" s="921"/>
      <c r="AK308" s="921"/>
      <c r="AL308" s="921"/>
      <c r="AM308" s="921"/>
      <c r="AN308" s="921"/>
      <c r="AO308" s="921"/>
      <c r="AP308" s="921"/>
      <c r="AQ308" s="921"/>
      <c r="AR308" s="921"/>
      <c r="AS308" s="921"/>
      <c r="AT308" s="921"/>
      <c r="AU308" s="921"/>
      <c r="AV308" s="921"/>
      <c r="AW308" s="921"/>
      <c r="AX308" s="921"/>
      <c r="AY308" s="921"/>
      <c r="AZ308" s="921"/>
      <c r="BA308" s="921"/>
      <c r="BB308" s="921"/>
      <c r="BC308" s="921"/>
      <c r="BD308" s="921"/>
      <c r="BE308" s="921"/>
      <c r="BF308" s="921"/>
      <c r="BG308" s="921"/>
      <c r="BH308" s="921"/>
      <c r="BI308" s="921"/>
      <c r="BJ308" s="921"/>
      <c r="BK308" s="921"/>
      <c r="BL308" s="921"/>
      <c r="BM308" s="921"/>
      <c r="BN308" s="921"/>
      <c r="BO308" s="921"/>
      <c r="BP308" s="802"/>
    </row>
    <row r="309" spans="1:68" ht="21" customHeight="1">
      <c r="A309" s="747">
        <v>166</v>
      </c>
      <c r="B309" s="1660"/>
      <c r="C309" s="1653" t="s">
        <v>472</v>
      </c>
      <c r="D309" s="1642" t="s">
        <v>953</v>
      </c>
      <c r="E309" s="936" t="s">
        <v>926</v>
      </c>
      <c r="F309" s="810"/>
      <c r="G309" s="852" t="s">
        <v>922</v>
      </c>
      <c r="H309" s="921"/>
      <c r="I309" s="921"/>
      <c r="J309" s="921"/>
      <c r="K309" s="921"/>
      <c r="L309" s="929">
        <f t="shared" ca="1" si="106"/>
        <v>0</v>
      </c>
      <c r="M309" s="929">
        <f t="shared" ca="1" si="106"/>
        <v>0</v>
      </c>
      <c r="N309" s="929">
        <f t="shared" ca="1" si="106"/>
        <v>0</v>
      </c>
      <c r="O309" s="929">
        <f t="shared" ca="1" si="106"/>
        <v>0</v>
      </c>
      <c r="P309" s="929">
        <f t="shared" ca="1" si="105"/>
        <v>0</v>
      </c>
      <c r="Q309" s="929">
        <f t="shared" ca="1" si="105"/>
        <v>0</v>
      </c>
      <c r="R309" s="929">
        <f t="shared" ca="1" si="105"/>
        <v>0</v>
      </c>
      <c r="S309" s="929">
        <f t="shared" ca="1" si="105"/>
        <v>0</v>
      </c>
      <c r="T309" s="929">
        <f t="shared" ca="1" si="105"/>
        <v>0</v>
      </c>
      <c r="U309" s="929">
        <f t="shared" ca="1" si="105"/>
        <v>0</v>
      </c>
      <c r="V309" s="929">
        <f t="shared" ca="1" si="105"/>
        <v>0</v>
      </c>
      <c r="W309" s="929">
        <f t="shared" ca="1" si="105"/>
        <v>0</v>
      </c>
      <c r="X309" s="921"/>
      <c r="Y309" s="921"/>
      <c r="Z309" s="921"/>
      <c r="AA309" s="921"/>
      <c r="AB309" s="921"/>
      <c r="AC309" s="921"/>
      <c r="AD309" s="921"/>
      <c r="AE309" s="921"/>
      <c r="AF309" s="921"/>
      <c r="AG309" s="921"/>
      <c r="AH309" s="921"/>
      <c r="AI309" s="921"/>
      <c r="AJ309" s="921"/>
      <c r="AK309" s="921"/>
      <c r="AL309" s="921"/>
      <c r="AM309" s="921"/>
      <c r="AN309" s="921"/>
      <c r="AO309" s="921"/>
      <c r="AP309" s="921"/>
      <c r="AQ309" s="921"/>
      <c r="AR309" s="921"/>
      <c r="AS309" s="921"/>
      <c r="AT309" s="921"/>
      <c r="AU309" s="921"/>
      <c r="AV309" s="921"/>
      <c r="AW309" s="921"/>
      <c r="AX309" s="921"/>
      <c r="AY309" s="921"/>
      <c r="AZ309" s="921"/>
      <c r="BA309" s="921"/>
      <c r="BB309" s="921"/>
      <c r="BC309" s="921"/>
      <c r="BD309" s="921"/>
      <c r="BE309" s="921"/>
      <c r="BF309" s="921"/>
      <c r="BG309" s="921"/>
      <c r="BH309" s="921"/>
      <c r="BI309" s="921"/>
      <c r="BJ309" s="921"/>
      <c r="BK309" s="921"/>
      <c r="BL309" s="921"/>
      <c r="BM309" s="921"/>
      <c r="BN309" s="921"/>
      <c r="BO309" s="921"/>
      <c r="BP309" s="802"/>
    </row>
    <row r="310" spans="1:68" ht="21">
      <c r="B310" s="1660"/>
      <c r="C310" s="1654"/>
      <c r="D310" s="1644"/>
      <c r="E310" s="936" t="s">
        <v>927</v>
      </c>
      <c r="F310" s="810"/>
      <c r="G310" s="852" t="s">
        <v>1281</v>
      </c>
      <c r="H310" s="921"/>
      <c r="I310" s="921"/>
      <c r="J310" s="921"/>
      <c r="K310" s="921"/>
      <c r="L310" s="929">
        <f t="shared" ca="1" si="106"/>
        <v>0</v>
      </c>
      <c r="M310" s="929">
        <f t="shared" ca="1" si="106"/>
        <v>0</v>
      </c>
      <c r="N310" s="929">
        <f t="shared" ca="1" si="106"/>
        <v>0</v>
      </c>
      <c r="O310" s="929">
        <f t="shared" ca="1" si="106"/>
        <v>0</v>
      </c>
      <c r="P310" s="929">
        <f t="shared" ca="1" si="105"/>
        <v>0</v>
      </c>
      <c r="Q310" s="929">
        <f t="shared" ca="1" si="105"/>
        <v>0</v>
      </c>
      <c r="R310" s="929">
        <f t="shared" ca="1" si="105"/>
        <v>0</v>
      </c>
      <c r="S310" s="929">
        <f t="shared" ca="1" si="105"/>
        <v>0</v>
      </c>
      <c r="T310" s="929">
        <f t="shared" ca="1" si="105"/>
        <v>0</v>
      </c>
      <c r="U310" s="929">
        <f t="shared" ca="1" si="105"/>
        <v>0</v>
      </c>
      <c r="V310" s="929">
        <f t="shared" ca="1" si="105"/>
        <v>0</v>
      </c>
      <c r="W310" s="929">
        <f t="shared" ca="1" si="105"/>
        <v>0</v>
      </c>
      <c r="X310" s="921"/>
      <c r="Y310" s="921"/>
      <c r="Z310" s="921"/>
      <c r="AA310" s="921"/>
      <c r="AB310" s="921"/>
      <c r="AC310" s="921"/>
      <c r="AD310" s="921"/>
      <c r="AE310" s="921"/>
      <c r="AF310" s="921"/>
      <c r="AG310" s="921"/>
      <c r="AH310" s="921"/>
      <c r="AI310" s="921"/>
      <c r="AJ310" s="921"/>
      <c r="AK310" s="921"/>
      <c r="AL310" s="921"/>
      <c r="AM310" s="921"/>
      <c r="AN310" s="921"/>
      <c r="AO310" s="921"/>
      <c r="AP310" s="921"/>
      <c r="AQ310" s="921"/>
      <c r="AR310" s="921"/>
      <c r="AS310" s="921"/>
      <c r="AT310" s="921"/>
      <c r="AU310" s="921"/>
      <c r="AV310" s="921"/>
      <c r="AW310" s="921"/>
      <c r="AX310" s="921"/>
      <c r="AY310" s="921"/>
      <c r="AZ310" s="921"/>
      <c r="BA310" s="921"/>
      <c r="BB310" s="921"/>
      <c r="BC310" s="921"/>
      <c r="BD310" s="921"/>
      <c r="BE310" s="921"/>
      <c r="BF310" s="921"/>
      <c r="BG310" s="921"/>
      <c r="BH310" s="921"/>
      <c r="BI310" s="921"/>
      <c r="BJ310" s="921"/>
      <c r="BK310" s="921"/>
      <c r="BL310" s="921"/>
      <c r="BM310" s="921"/>
      <c r="BN310" s="921"/>
      <c r="BO310" s="921"/>
      <c r="BP310" s="802"/>
    </row>
    <row r="311" spans="1:68">
      <c r="A311" s="747">
        <v>167</v>
      </c>
      <c r="B311" s="1660"/>
      <c r="C311" s="1654"/>
      <c r="D311" s="1642" t="s">
        <v>954</v>
      </c>
      <c r="E311" s="936" t="s">
        <v>926</v>
      </c>
      <c r="F311" s="810"/>
      <c r="G311" s="852" t="s">
        <v>922</v>
      </c>
      <c r="H311" s="921"/>
      <c r="I311" s="921"/>
      <c r="J311" s="921"/>
      <c r="K311" s="921"/>
      <c r="L311" s="929">
        <f t="shared" ca="1" si="106"/>
        <v>0</v>
      </c>
      <c r="M311" s="929">
        <f t="shared" ca="1" si="106"/>
        <v>0</v>
      </c>
      <c r="N311" s="929">
        <f t="shared" ca="1" si="106"/>
        <v>0</v>
      </c>
      <c r="O311" s="929">
        <f t="shared" ca="1" si="106"/>
        <v>0</v>
      </c>
      <c r="P311" s="929">
        <f t="shared" ca="1" si="105"/>
        <v>0</v>
      </c>
      <c r="Q311" s="929">
        <f t="shared" ca="1" si="105"/>
        <v>0</v>
      </c>
      <c r="R311" s="929">
        <f t="shared" ca="1" si="105"/>
        <v>0</v>
      </c>
      <c r="S311" s="929">
        <f t="shared" ca="1" si="105"/>
        <v>0</v>
      </c>
      <c r="T311" s="929">
        <f t="shared" ca="1" si="105"/>
        <v>0</v>
      </c>
      <c r="U311" s="929">
        <f t="shared" ca="1" si="105"/>
        <v>0</v>
      </c>
      <c r="V311" s="929">
        <f t="shared" ca="1" si="105"/>
        <v>0</v>
      </c>
      <c r="W311" s="929">
        <f t="shared" ca="1" si="105"/>
        <v>0</v>
      </c>
      <c r="X311" s="921"/>
      <c r="Y311" s="921"/>
      <c r="Z311" s="921"/>
      <c r="AA311" s="921"/>
      <c r="AB311" s="921"/>
      <c r="AC311" s="921"/>
      <c r="AD311" s="921"/>
      <c r="AE311" s="921"/>
      <c r="AF311" s="921"/>
      <c r="AG311" s="921"/>
      <c r="AH311" s="921"/>
      <c r="AI311" s="921"/>
      <c r="AJ311" s="921"/>
      <c r="AK311" s="921"/>
      <c r="AL311" s="921"/>
      <c r="AM311" s="921"/>
      <c r="AN311" s="921"/>
      <c r="AO311" s="921"/>
      <c r="AP311" s="921"/>
      <c r="AQ311" s="921"/>
      <c r="AR311" s="921"/>
      <c r="AS311" s="921"/>
      <c r="AT311" s="921"/>
      <c r="AU311" s="921"/>
      <c r="AV311" s="921"/>
      <c r="AW311" s="921"/>
      <c r="AX311" s="921"/>
      <c r="AY311" s="921"/>
      <c r="AZ311" s="921"/>
      <c r="BA311" s="921"/>
      <c r="BB311" s="921"/>
      <c r="BC311" s="921"/>
      <c r="BD311" s="921"/>
      <c r="BE311" s="921"/>
      <c r="BF311" s="921"/>
      <c r="BG311" s="921"/>
      <c r="BH311" s="921"/>
      <c r="BI311" s="921"/>
      <c r="BJ311" s="921"/>
      <c r="BK311" s="921"/>
      <c r="BL311" s="921"/>
      <c r="BM311" s="921"/>
      <c r="BN311" s="921"/>
      <c r="BO311" s="921"/>
      <c r="BP311" s="802"/>
    </row>
    <row r="312" spans="1:68" ht="21">
      <c r="B312" s="1660"/>
      <c r="C312" s="1654"/>
      <c r="D312" s="1644"/>
      <c r="E312" s="936" t="s">
        <v>927</v>
      </c>
      <c r="F312" s="810"/>
      <c r="G312" s="852" t="s">
        <v>1281</v>
      </c>
      <c r="H312" s="921"/>
      <c r="I312" s="921"/>
      <c r="J312" s="921"/>
      <c r="K312" s="921"/>
      <c r="L312" s="929">
        <f t="shared" ca="1" si="106"/>
        <v>0</v>
      </c>
      <c r="M312" s="929">
        <f t="shared" ca="1" si="106"/>
        <v>0</v>
      </c>
      <c r="N312" s="929">
        <f t="shared" ca="1" si="106"/>
        <v>0</v>
      </c>
      <c r="O312" s="929">
        <f t="shared" ca="1" si="106"/>
        <v>0</v>
      </c>
      <c r="P312" s="929">
        <f t="shared" ca="1" si="105"/>
        <v>0</v>
      </c>
      <c r="Q312" s="929">
        <f t="shared" ca="1" si="105"/>
        <v>0</v>
      </c>
      <c r="R312" s="929">
        <f t="shared" ca="1" si="105"/>
        <v>0</v>
      </c>
      <c r="S312" s="929">
        <f t="shared" ca="1" si="105"/>
        <v>0</v>
      </c>
      <c r="T312" s="929">
        <f t="shared" ca="1" si="105"/>
        <v>0</v>
      </c>
      <c r="U312" s="929">
        <f t="shared" ca="1" si="105"/>
        <v>0</v>
      </c>
      <c r="V312" s="929">
        <f t="shared" ca="1" si="105"/>
        <v>0</v>
      </c>
      <c r="W312" s="929">
        <f t="shared" ca="1" si="105"/>
        <v>0</v>
      </c>
      <c r="X312" s="921"/>
      <c r="Y312" s="921"/>
      <c r="Z312" s="921"/>
      <c r="AA312" s="921"/>
      <c r="AB312" s="921"/>
      <c r="AC312" s="921"/>
      <c r="AD312" s="921"/>
      <c r="AE312" s="921"/>
      <c r="AF312" s="921"/>
      <c r="AG312" s="921"/>
      <c r="AH312" s="921"/>
      <c r="AI312" s="921"/>
      <c r="AJ312" s="921"/>
      <c r="AK312" s="921"/>
      <c r="AL312" s="921"/>
      <c r="AM312" s="921"/>
      <c r="AN312" s="921"/>
      <c r="AO312" s="921"/>
      <c r="AP312" s="921"/>
      <c r="AQ312" s="921"/>
      <c r="AR312" s="921"/>
      <c r="AS312" s="921"/>
      <c r="AT312" s="921"/>
      <c r="AU312" s="921"/>
      <c r="AV312" s="921"/>
      <c r="AW312" s="921"/>
      <c r="AX312" s="921"/>
      <c r="AY312" s="921"/>
      <c r="AZ312" s="921"/>
      <c r="BA312" s="921"/>
      <c r="BB312" s="921"/>
      <c r="BC312" s="921"/>
      <c r="BD312" s="921"/>
      <c r="BE312" s="921"/>
      <c r="BF312" s="921"/>
      <c r="BG312" s="921"/>
      <c r="BH312" s="921"/>
      <c r="BI312" s="921"/>
      <c r="BJ312" s="921"/>
      <c r="BK312" s="921"/>
      <c r="BL312" s="921"/>
      <c r="BM312" s="921"/>
      <c r="BN312" s="921"/>
      <c r="BO312" s="921"/>
      <c r="BP312" s="802"/>
    </row>
    <row r="313" spans="1:68">
      <c r="A313" s="747">
        <v>168</v>
      </c>
      <c r="B313" s="1660"/>
      <c r="C313" s="1654"/>
      <c r="D313" s="1642" t="s">
        <v>955</v>
      </c>
      <c r="E313" s="936" t="s">
        <v>926</v>
      </c>
      <c r="F313" s="810"/>
      <c r="G313" s="852" t="s">
        <v>922</v>
      </c>
      <c r="H313" s="921"/>
      <c r="I313" s="921"/>
      <c r="J313" s="921"/>
      <c r="K313" s="921"/>
      <c r="L313" s="929">
        <f t="shared" ca="1" si="106"/>
        <v>0</v>
      </c>
      <c r="M313" s="929">
        <f t="shared" ca="1" si="106"/>
        <v>0</v>
      </c>
      <c r="N313" s="929">
        <f t="shared" ca="1" si="106"/>
        <v>0</v>
      </c>
      <c r="O313" s="929">
        <f t="shared" ca="1" si="106"/>
        <v>0</v>
      </c>
      <c r="P313" s="929">
        <f t="shared" ca="1" si="106"/>
        <v>0</v>
      </c>
      <c r="Q313" s="929">
        <f t="shared" ca="1" si="106"/>
        <v>0</v>
      </c>
      <c r="R313" s="929">
        <f t="shared" ca="1" si="106"/>
        <v>0</v>
      </c>
      <c r="S313" s="929">
        <f t="shared" ca="1" si="106"/>
        <v>0</v>
      </c>
      <c r="T313" s="929">
        <f t="shared" ca="1" si="106"/>
        <v>0</v>
      </c>
      <c r="U313" s="929">
        <f t="shared" ca="1" si="106"/>
        <v>0</v>
      </c>
      <c r="V313" s="929">
        <f t="shared" ca="1" si="106"/>
        <v>0</v>
      </c>
      <c r="W313" s="929">
        <f t="shared" ca="1" si="106"/>
        <v>0</v>
      </c>
      <c r="X313" s="921"/>
      <c r="Y313" s="921"/>
      <c r="Z313" s="921"/>
      <c r="AA313" s="921"/>
      <c r="AB313" s="921"/>
      <c r="AC313" s="921"/>
      <c r="AD313" s="921"/>
      <c r="AE313" s="921"/>
      <c r="AF313" s="921"/>
      <c r="AG313" s="921"/>
      <c r="AH313" s="921"/>
      <c r="AI313" s="921"/>
      <c r="AJ313" s="921"/>
      <c r="AK313" s="921"/>
      <c r="AL313" s="921"/>
      <c r="AM313" s="921"/>
      <c r="AN313" s="921"/>
      <c r="AO313" s="921"/>
      <c r="AP313" s="921"/>
      <c r="AQ313" s="921"/>
      <c r="AR313" s="921"/>
      <c r="AS313" s="921"/>
      <c r="AT313" s="921"/>
      <c r="AU313" s="921"/>
      <c r="AV313" s="921"/>
      <c r="AW313" s="921"/>
      <c r="AX313" s="921"/>
      <c r="AY313" s="921"/>
      <c r="AZ313" s="921"/>
      <c r="BA313" s="921"/>
      <c r="BB313" s="921"/>
      <c r="BC313" s="921"/>
      <c r="BD313" s="921"/>
      <c r="BE313" s="921"/>
      <c r="BF313" s="921"/>
      <c r="BG313" s="921"/>
      <c r="BH313" s="921"/>
      <c r="BI313" s="921"/>
      <c r="BJ313" s="921"/>
      <c r="BK313" s="921"/>
      <c r="BL313" s="921"/>
      <c r="BM313" s="921"/>
      <c r="BN313" s="921"/>
      <c r="BO313" s="921"/>
      <c r="BP313" s="802"/>
    </row>
    <row r="314" spans="1:68" ht="21">
      <c r="B314" s="1660"/>
      <c r="C314" s="1654"/>
      <c r="D314" s="1644"/>
      <c r="E314" s="936" t="s">
        <v>927</v>
      </c>
      <c r="F314" s="810"/>
      <c r="G314" s="852" t="s">
        <v>1281</v>
      </c>
      <c r="H314" s="921"/>
      <c r="I314" s="921"/>
      <c r="J314" s="921"/>
      <c r="K314" s="921"/>
      <c r="L314" s="929">
        <f t="shared" ca="1" si="106"/>
        <v>0</v>
      </c>
      <c r="M314" s="929">
        <f t="shared" ca="1" si="106"/>
        <v>0</v>
      </c>
      <c r="N314" s="929">
        <f t="shared" ca="1" si="106"/>
        <v>0</v>
      </c>
      <c r="O314" s="929">
        <f t="shared" ca="1" si="106"/>
        <v>0</v>
      </c>
      <c r="P314" s="929">
        <f t="shared" ca="1" si="106"/>
        <v>0</v>
      </c>
      <c r="Q314" s="929">
        <f t="shared" ca="1" si="106"/>
        <v>0</v>
      </c>
      <c r="R314" s="929">
        <f t="shared" ca="1" si="106"/>
        <v>0</v>
      </c>
      <c r="S314" s="929">
        <f t="shared" ca="1" si="106"/>
        <v>0</v>
      </c>
      <c r="T314" s="929">
        <f t="shared" ca="1" si="106"/>
        <v>0</v>
      </c>
      <c r="U314" s="929">
        <f t="shared" ca="1" si="106"/>
        <v>0</v>
      </c>
      <c r="V314" s="929">
        <f t="shared" ca="1" si="106"/>
        <v>0</v>
      </c>
      <c r="W314" s="929">
        <f t="shared" ca="1" si="106"/>
        <v>0</v>
      </c>
      <c r="X314" s="921"/>
      <c r="Y314" s="921"/>
      <c r="Z314" s="921"/>
      <c r="AA314" s="921"/>
      <c r="AB314" s="921"/>
      <c r="AC314" s="921"/>
      <c r="AD314" s="921"/>
      <c r="AE314" s="921"/>
      <c r="AF314" s="921"/>
      <c r="AG314" s="921"/>
      <c r="AH314" s="921"/>
      <c r="AI314" s="921"/>
      <c r="AJ314" s="921"/>
      <c r="AK314" s="921"/>
      <c r="AL314" s="921"/>
      <c r="AM314" s="921"/>
      <c r="AN314" s="921"/>
      <c r="AO314" s="921"/>
      <c r="AP314" s="921"/>
      <c r="AQ314" s="921"/>
      <c r="AR314" s="921"/>
      <c r="AS314" s="921"/>
      <c r="AT314" s="921"/>
      <c r="AU314" s="921"/>
      <c r="AV314" s="921"/>
      <c r="AW314" s="921"/>
      <c r="AX314" s="921"/>
      <c r="AY314" s="921"/>
      <c r="AZ314" s="921"/>
      <c r="BA314" s="921"/>
      <c r="BB314" s="921"/>
      <c r="BC314" s="921"/>
      <c r="BD314" s="921"/>
      <c r="BE314" s="921"/>
      <c r="BF314" s="921"/>
      <c r="BG314" s="921"/>
      <c r="BH314" s="921"/>
      <c r="BI314" s="921"/>
      <c r="BJ314" s="921"/>
      <c r="BK314" s="921"/>
      <c r="BL314" s="921"/>
      <c r="BM314" s="921"/>
      <c r="BN314" s="921"/>
      <c r="BO314" s="921"/>
      <c r="BP314" s="802"/>
    </row>
    <row r="315" spans="1:68">
      <c r="B315" s="1660"/>
      <c r="C315" s="1654"/>
      <c r="D315" s="1656" t="s">
        <v>813</v>
      </c>
      <c r="E315" s="936" t="s">
        <v>926</v>
      </c>
      <c r="F315" s="810" t="s">
        <v>968</v>
      </c>
      <c r="G315" s="852" t="s">
        <v>922</v>
      </c>
      <c r="H315" s="921"/>
      <c r="I315" s="921"/>
      <c r="J315" s="921"/>
      <c r="K315" s="921"/>
      <c r="L315" s="929">
        <f t="shared" ca="1" si="106"/>
        <v>0</v>
      </c>
      <c r="M315" s="929">
        <f t="shared" ca="1" si="106"/>
        <v>0</v>
      </c>
      <c r="N315" s="929">
        <f t="shared" ca="1" si="106"/>
        <v>0</v>
      </c>
      <c r="O315" s="929">
        <f t="shared" ca="1" si="106"/>
        <v>0</v>
      </c>
      <c r="P315" s="929">
        <f t="shared" ca="1" si="106"/>
        <v>0</v>
      </c>
      <c r="Q315" s="929">
        <f t="shared" ca="1" si="106"/>
        <v>0</v>
      </c>
      <c r="R315" s="929">
        <f t="shared" ca="1" si="106"/>
        <v>0</v>
      </c>
      <c r="S315" s="929">
        <f t="shared" ca="1" si="106"/>
        <v>0</v>
      </c>
      <c r="T315" s="929">
        <f t="shared" ca="1" si="106"/>
        <v>0</v>
      </c>
      <c r="U315" s="929">
        <f t="shared" ca="1" si="106"/>
        <v>0</v>
      </c>
      <c r="V315" s="929">
        <f t="shared" ca="1" si="106"/>
        <v>0</v>
      </c>
      <c r="W315" s="929">
        <f t="shared" ca="1" si="106"/>
        <v>0</v>
      </c>
      <c r="X315" s="921"/>
      <c r="Y315" s="921"/>
      <c r="Z315" s="921"/>
      <c r="AA315" s="921"/>
      <c r="AB315" s="921"/>
      <c r="AC315" s="921"/>
      <c r="AD315" s="921"/>
      <c r="AE315" s="921"/>
      <c r="AF315" s="921"/>
      <c r="AG315" s="921"/>
      <c r="AH315" s="921"/>
      <c r="AI315" s="921"/>
      <c r="AJ315" s="921"/>
      <c r="AK315" s="921"/>
      <c r="AL315" s="921"/>
      <c r="AM315" s="921"/>
      <c r="AN315" s="921"/>
      <c r="AO315" s="921"/>
      <c r="AP315" s="921"/>
      <c r="AQ315" s="921"/>
      <c r="AR315" s="921"/>
      <c r="AS315" s="921"/>
      <c r="AT315" s="921"/>
      <c r="AU315" s="921"/>
      <c r="AV315" s="921"/>
      <c r="AW315" s="921"/>
      <c r="AX315" s="921"/>
      <c r="AY315" s="921"/>
      <c r="AZ315" s="921"/>
      <c r="BA315" s="921"/>
      <c r="BB315" s="921"/>
      <c r="BC315" s="921"/>
      <c r="BD315" s="921"/>
      <c r="BE315" s="921"/>
      <c r="BF315" s="921"/>
      <c r="BG315" s="921"/>
      <c r="BH315" s="921"/>
      <c r="BI315" s="921"/>
      <c r="BJ315" s="921"/>
      <c r="BK315" s="921"/>
      <c r="BL315" s="921"/>
      <c r="BM315" s="921"/>
      <c r="BN315" s="921"/>
      <c r="BO315" s="921"/>
      <c r="BP315" s="802"/>
    </row>
    <row r="316" spans="1:68" ht="21">
      <c r="B316" s="1660"/>
      <c r="C316" s="1655"/>
      <c r="D316" s="1657"/>
      <c r="E316" s="936" t="s">
        <v>927</v>
      </c>
      <c r="F316" s="810" t="s">
        <v>969</v>
      </c>
      <c r="G316" s="852" t="s">
        <v>1281</v>
      </c>
      <c r="H316" s="921"/>
      <c r="I316" s="921"/>
      <c r="J316" s="921"/>
      <c r="K316" s="921"/>
      <c r="L316" s="929">
        <f ca="1">L271</f>
        <v>0</v>
      </c>
      <c r="M316" s="929">
        <f t="shared" ca="1" si="106"/>
        <v>0</v>
      </c>
      <c r="N316" s="929">
        <f t="shared" ca="1" si="106"/>
        <v>0</v>
      </c>
      <c r="O316" s="929">
        <f t="shared" ca="1" si="106"/>
        <v>0</v>
      </c>
      <c r="P316" s="929">
        <f t="shared" ca="1" si="106"/>
        <v>0</v>
      </c>
      <c r="Q316" s="929">
        <f t="shared" ca="1" si="106"/>
        <v>0</v>
      </c>
      <c r="R316" s="929">
        <f t="shared" ca="1" si="106"/>
        <v>0</v>
      </c>
      <c r="S316" s="929">
        <f t="shared" ca="1" si="106"/>
        <v>0</v>
      </c>
      <c r="T316" s="929">
        <f t="shared" ca="1" si="106"/>
        <v>0</v>
      </c>
      <c r="U316" s="929">
        <f t="shared" ca="1" si="106"/>
        <v>0</v>
      </c>
      <c r="V316" s="929">
        <f t="shared" ca="1" si="106"/>
        <v>0</v>
      </c>
      <c r="W316" s="929">
        <f t="shared" ca="1" si="106"/>
        <v>0</v>
      </c>
      <c r="X316" s="921"/>
      <c r="Y316" s="921"/>
      <c r="Z316" s="921"/>
      <c r="AA316" s="921"/>
      <c r="AB316" s="921"/>
      <c r="AC316" s="921"/>
      <c r="AD316" s="921"/>
      <c r="AE316" s="921"/>
      <c r="AF316" s="921"/>
      <c r="AG316" s="921"/>
      <c r="AH316" s="921"/>
      <c r="AI316" s="921"/>
      <c r="AJ316" s="921"/>
      <c r="AK316" s="921"/>
      <c r="AL316" s="921"/>
      <c r="AM316" s="921"/>
      <c r="AN316" s="921"/>
      <c r="AO316" s="921"/>
      <c r="AP316" s="921"/>
      <c r="AQ316" s="921"/>
      <c r="AR316" s="921"/>
      <c r="AS316" s="921"/>
      <c r="AT316" s="921"/>
      <c r="AU316" s="921"/>
      <c r="AV316" s="921"/>
      <c r="AW316" s="921"/>
      <c r="AX316" s="921"/>
      <c r="AY316" s="921"/>
      <c r="AZ316" s="921"/>
      <c r="BA316" s="921"/>
      <c r="BB316" s="921"/>
      <c r="BC316" s="921"/>
      <c r="BD316" s="921"/>
      <c r="BE316" s="921"/>
      <c r="BF316" s="921"/>
      <c r="BG316" s="921"/>
      <c r="BH316" s="921"/>
      <c r="BI316" s="921"/>
      <c r="BJ316" s="921"/>
      <c r="BK316" s="921"/>
      <c r="BL316" s="921"/>
      <c r="BM316" s="921"/>
      <c r="BN316" s="921"/>
      <c r="BO316" s="921"/>
      <c r="BP316" s="802"/>
    </row>
    <row r="317" spans="1:68" ht="21">
      <c r="B317" s="1660"/>
      <c r="C317" s="959" t="s">
        <v>948</v>
      </c>
      <c r="D317" s="961"/>
      <c r="E317" s="937"/>
      <c r="F317" s="810"/>
      <c r="G317" s="852" t="s">
        <v>1281</v>
      </c>
      <c r="H317" s="921"/>
      <c r="I317" s="921"/>
      <c r="J317" s="921"/>
      <c r="K317" s="921"/>
      <c r="L317" s="916">
        <f ca="1">ROUNDDOWN(IF(L298+L303+L316&gt;=L295,L295,L298+L303+L316),0)</f>
        <v>0</v>
      </c>
      <c r="M317" s="916">
        <f t="shared" ref="M317:W317" ca="1" si="107">ROUNDDOWN(IF(M298+M303+M316&gt;=M295,M295,M298+M303+M316),0)</f>
        <v>0</v>
      </c>
      <c r="N317" s="916">
        <f t="shared" ca="1" si="107"/>
        <v>0</v>
      </c>
      <c r="O317" s="916">
        <f t="shared" ca="1" si="107"/>
        <v>0</v>
      </c>
      <c r="P317" s="916">
        <f t="shared" ca="1" si="107"/>
        <v>0</v>
      </c>
      <c r="Q317" s="916">
        <f t="shared" ca="1" si="107"/>
        <v>0</v>
      </c>
      <c r="R317" s="916">
        <f t="shared" ca="1" si="107"/>
        <v>0</v>
      </c>
      <c r="S317" s="916">
        <f t="shared" ca="1" si="107"/>
        <v>0</v>
      </c>
      <c r="T317" s="916">
        <f t="shared" ca="1" si="107"/>
        <v>0</v>
      </c>
      <c r="U317" s="916">
        <f t="shared" ca="1" si="107"/>
        <v>0</v>
      </c>
      <c r="V317" s="916">
        <f t="shared" ca="1" si="107"/>
        <v>0</v>
      </c>
      <c r="W317" s="916">
        <f t="shared" ca="1" si="107"/>
        <v>0</v>
      </c>
      <c r="X317" s="921"/>
      <c r="Y317" s="921"/>
      <c r="Z317" s="921"/>
      <c r="AA317" s="921"/>
      <c r="AB317" s="921"/>
      <c r="AC317" s="921"/>
      <c r="AD317" s="921"/>
      <c r="AE317" s="921"/>
      <c r="AF317" s="921"/>
      <c r="AG317" s="921"/>
      <c r="AH317" s="921"/>
      <c r="AI317" s="921"/>
      <c r="AJ317" s="921"/>
      <c r="AK317" s="921"/>
      <c r="AL317" s="921"/>
      <c r="AM317" s="921"/>
      <c r="AN317" s="921"/>
      <c r="AO317" s="921"/>
      <c r="AP317" s="921"/>
      <c r="AQ317" s="921"/>
      <c r="AR317" s="921"/>
      <c r="AS317" s="921"/>
      <c r="AT317" s="921"/>
      <c r="AU317" s="921"/>
      <c r="AV317" s="921"/>
      <c r="AW317" s="921"/>
      <c r="AX317" s="921"/>
      <c r="AY317" s="921"/>
      <c r="AZ317" s="921"/>
      <c r="BA317" s="921"/>
      <c r="BB317" s="921"/>
      <c r="BC317" s="921"/>
      <c r="BD317" s="921"/>
      <c r="BE317" s="921"/>
      <c r="BF317" s="921"/>
      <c r="BG317" s="921"/>
      <c r="BH317" s="921"/>
      <c r="BI317" s="921"/>
      <c r="BJ317" s="921"/>
      <c r="BK317" s="921"/>
      <c r="BL317" s="921"/>
      <c r="BM317" s="921"/>
      <c r="BN317" s="921"/>
      <c r="BO317" s="921"/>
      <c r="BP317" s="802"/>
    </row>
    <row r="318" spans="1:68" ht="21">
      <c r="B318" s="930" t="s">
        <v>899</v>
      </c>
      <c r="C318" s="871"/>
      <c r="D318" s="853"/>
      <c r="E318" s="963" t="s">
        <v>970</v>
      </c>
      <c r="F318" s="862"/>
      <c r="G318" s="852" t="s">
        <v>1281</v>
      </c>
      <c r="H318" s="921"/>
      <c r="I318" s="921"/>
      <c r="J318" s="921"/>
      <c r="K318" s="921"/>
      <c r="L318" s="928">
        <f ca="1">IF(ROUNDDOWN(L294+L295-L296-L297-L300-L307-L308-L317,0)&lt;=0,0,ROUND(ROUNDDOWN(L294+L295-L296-L297-L300-L307-L308-L317,0),2-INT(LOG(ROUNDDOWN(L294+L295-L296-L297-L300-L307-L308-L317,0)))))</f>
        <v>0</v>
      </c>
      <c r="M318" s="928">
        <f t="shared" ref="M318:W318" ca="1" si="108">IF(ROUNDDOWN(M294+M295-M296-M297-M300-M307-M308-M317,0)&lt;=0,0,ROUND(ROUNDDOWN(M294+M295-M296-M297-M300-M307-M308-M317,0),2-INT(LOG(ROUNDDOWN(M294+M295-M296-M297-M300-M307-M308-M317,0)))))</f>
        <v>0</v>
      </c>
      <c r="N318" s="928">
        <f t="shared" ca="1" si="108"/>
        <v>0</v>
      </c>
      <c r="O318" s="928">
        <f t="shared" ca="1" si="108"/>
        <v>0</v>
      </c>
      <c r="P318" s="928">
        <f t="shared" ca="1" si="108"/>
        <v>0</v>
      </c>
      <c r="Q318" s="928">
        <f t="shared" ca="1" si="108"/>
        <v>0</v>
      </c>
      <c r="R318" s="928">
        <f t="shared" ca="1" si="108"/>
        <v>0</v>
      </c>
      <c r="S318" s="928">
        <f t="shared" ca="1" si="108"/>
        <v>0</v>
      </c>
      <c r="T318" s="928">
        <f t="shared" ca="1" si="108"/>
        <v>0</v>
      </c>
      <c r="U318" s="928">
        <f t="shared" ca="1" si="108"/>
        <v>0</v>
      </c>
      <c r="V318" s="928">
        <f t="shared" ca="1" si="108"/>
        <v>0</v>
      </c>
      <c r="W318" s="928">
        <f t="shared" ca="1" si="108"/>
        <v>0</v>
      </c>
      <c r="X318" s="921"/>
      <c r="Y318" s="921"/>
      <c r="Z318" s="921"/>
      <c r="AA318" s="921"/>
      <c r="AB318" s="921"/>
      <c r="AC318" s="921"/>
      <c r="AD318" s="921"/>
      <c r="AE318" s="921"/>
      <c r="AF318" s="921"/>
      <c r="AG318" s="921"/>
      <c r="AH318" s="921"/>
      <c r="AI318" s="921"/>
      <c r="AJ318" s="921"/>
      <c r="AK318" s="921"/>
      <c r="AL318" s="921"/>
      <c r="AM318" s="921"/>
      <c r="AN318" s="921"/>
      <c r="AO318" s="921"/>
      <c r="AP318" s="921"/>
      <c r="AQ318" s="921"/>
      <c r="AR318" s="921"/>
      <c r="AS318" s="921"/>
      <c r="AT318" s="921"/>
      <c r="AU318" s="921"/>
      <c r="AV318" s="921"/>
      <c r="AW318" s="921"/>
      <c r="AX318" s="921"/>
      <c r="AY318" s="921"/>
      <c r="AZ318" s="921"/>
      <c r="BA318" s="921"/>
      <c r="BB318" s="921"/>
      <c r="BC318" s="921"/>
      <c r="BD318" s="921"/>
      <c r="BE318" s="921"/>
      <c r="BF318" s="921"/>
      <c r="BG318" s="921"/>
      <c r="BH318" s="921"/>
      <c r="BI318" s="921"/>
      <c r="BJ318" s="921"/>
      <c r="BK318" s="921"/>
      <c r="BL318" s="921"/>
      <c r="BM318" s="921"/>
      <c r="BN318" s="921"/>
      <c r="BO318" s="921"/>
      <c r="BP318" s="802"/>
    </row>
    <row r="319" spans="1:68" ht="20.100000000000001" customHeight="1">
      <c r="A319" s="780" t="s">
        <v>480</v>
      </c>
      <c r="B319" s="780" t="s">
        <v>971</v>
      </c>
      <c r="C319" s="781"/>
      <c r="D319" s="781"/>
      <c r="E319" s="781"/>
      <c r="F319" s="781"/>
      <c r="G319" s="782"/>
      <c r="H319" s="782"/>
      <c r="I319" s="782"/>
      <c r="J319" s="782"/>
      <c r="K319" s="782"/>
      <c r="L319" s="879"/>
      <c r="M319" s="879"/>
      <c r="N319" s="879"/>
      <c r="O319" s="879"/>
      <c r="P319" s="879"/>
      <c r="Q319" s="879"/>
      <c r="R319" s="879"/>
      <c r="S319" s="879"/>
      <c r="T319" s="879"/>
      <c r="U319" s="879"/>
      <c r="V319" s="879"/>
      <c r="W319" s="879"/>
      <c r="X319" s="879"/>
      <c r="Y319" s="879"/>
      <c r="Z319" s="879"/>
      <c r="AA319" s="879"/>
      <c r="AB319" s="879"/>
      <c r="AC319" s="879"/>
      <c r="AD319" s="879"/>
      <c r="AE319" s="879"/>
      <c r="AF319" s="879"/>
      <c r="AG319" s="879"/>
      <c r="AH319" s="879"/>
      <c r="AI319" s="879"/>
      <c r="AJ319" s="879"/>
      <c r="AK319" s="879"/>
      <c r="AL319" s="879"/>
      <c r="AM319" s="879"/>
      <c r="AN319" s="879"/>
      <c r="AO319" s="879"/>
      <c r="AP319" s="879"/>
      <c r="AQ319" s="879"/>
      <c r="AR319" s="879"/>
      <c r="AS319" s="879"/>
      <c r="AT319" s="879"/>
      <c r="AU319" s="879"/>
      <c r="AV319" s="879"/>
      <c r="AW319" s="879"/>
      <c r="AX319" s="879"/>
      <c r="AY319" s="879"/>
      <c r="AZ319" s="879"/>
      <c r="BA319" s="879"/>
      <c r="BB319" s="879"/>
      <c r="BC319" s="879"/>
      <c r="BD319" s="879"/>
      <c r="BE319" s="879"/>
      <c r="BF319" s="879"/>
      <c r="BG319" s="879"/>
      <c r="BH319" s="879"/>
      <c r="BI319" s="879"/>
      <c r="BJ319" s="879"/>
      <c r="BK319" s="879"/>
      <c r="BL319" s="879"/>
      <c r="BM319" s="879"/>
      <c r="BN319" s="879"/>
      <c r="BO319" s="879"/>
    </row>
    <row r="320" spans="1:68" ht="20.100000000000001" customHeight="1">
      <c r="B320" s="780" t="s">
        <v>781</v>
      </c>
      <c r="C320" s="781"/>
      <c r="D320" s="781"/>
      <c r="E320" s="781"/>
      <c r="F320" s="781"/>
      <c r="G320" s="782"/>
      <c r="H320" s="782"/>
      <c r="I320" s="782"/>
      <c r="J320" s="782"/>
      <c r="K320" s="782"/>
      <c r="L320" s="879"/>
      <c r="M320" s="879"/>
      <c r="N320" s="879"/>
      <c r="O320" s="879"/>
      <c r="P320" s="879"/>
      <c r="Q320" s="879"/>
      <c r="R320" s="879"/>
      <c r="S320" s="879"/>
      <c r="T320" s="879"/>
      <c r="U320" s="879"/>
      <c r="V320" s="879"/>
      <c r="W320" s="879"/>
      <c r="X320" s="879"/>
      <c r="Y320" s="879"/>
      <c r="Z320" s="879"/>
      <c r="AA320" s="879"/>
      <c r="AB320" s="879"/>
      <c r="AC320" s="879"/>
      <c r="AD320" s="879"/>
      <c r="AE320" s="879"/>
      <c r="AF320" s="879"/>
      <c r="AG320" s="879"/>
      <c r="AH320" s="879"/>
      <c r="AI320" s="879"/>
      <c r="AJ320" s="879"/>
      <c r="AK320" s="879"/>
      <c r="AL320" s="879"/>
      <c r="AM320" s="879"/>
      <c r="AN320" s="879"/>
      <c r="AO320" s="879"/>
      <c r="AP320" s="879"/>
      <c r="AQ320" s="879"/>
      <c r="AR320" s="879"/>
      <c r="AS320" s="879"/>
      <c r="AT320" s="879"/>
      <c r="AU320" s="879"/>
      <c r="AV320" s="879"/>
      <c r="AW320" s="879"/>
      <c r="AX320" s="879"/>
      <c r="AY320" s="879"/>
      <c r="AZ320" s="879"/>
      <c r="BA320" s="879"/>
      <c r="BB320" s="879"/>
      <c r="BC320" s="879"/>
      <c r="BD320" s="879"/>
      <c r="BE320" s="879"/>
      <c r="BF320" s="879"/>
      <c r="BG320" s="879"/>
      <c r="BH320" s="879"/>
      <c r="BI320" s="879"/>
      <c r="BJ320" s="879"/>
      <c r="BK320" s="879"/>
      <c r="BL320" s="879"/>
      <c r="BM320" s="879"/>
      <c r="BN320" s="879"/>
      <c r="BO320" s="879"/>
    </row>
    <row r="321" spans="1:67" ht="20.100000000000001" customHeight="1">
      <c r="A321" s="914">
        <v>8</v>
      </c>
      <c r="B321" s="1593" t="s">
        <v>420</v>
      </c>
      <c r="C321" s="1596" t="s">
        <v>345</v>
      </c>
      <c r="D321" s="785" t="s">
        <v>346</v>
      </c>
      <c r="E321" s="785"/>
      <c r="F321" s="786"/>
      <c r="G321" s="852" t="s">
        <v>1281</v>
      </c>
      <c r="H321" s="915">
        <f t="shared" ref="H321:H379" ca="1" si="109">IFERROR(OFFSET(貼付け_2024実績,$A321,6),"")</f>
        <v>1.9E-2</v>
      </c>
      <c r="I321" s="915">
        <f t="shared" ref="I321:I379" ca="1" si="110">IFERROR(OFFSET(貼付け_2025実績,$A321,6),"")</f>
        <v>1.9E-2</v>
      </c>
      <c r="J321" s="915">
        <f t="shared" ref="J321:J379" ca="1" si="111">IFERROR(OFFSET(貼付け_2026実績,$A321,6),"")</f>
        <v>1.9E-2</v>
      </c>
      <c r="K321" s="915">
        <f t="shared" ref="K321:K379" ca="1" si="112">IFERROR(OFFSET(貼付け_2027実績,$A321,6),"")</f>
        <v>1.9E-2</v>
      </c>
      <c r="L321" s="916">
        <f ca="1">IFERROR($H321*44/12*参考2_エネ使用量経年!$H171*(参考2_エネ使用量経年!L171+参考2_エネ使用量経年!L258),"")</f>
        <v>0</v>
      </c>
      <c r="M321" s="916">
        <f ca="1">IFERROR($I321*44/12*参考2_エネ使用量経年!$I171*(参考2_エネ使用量経年!M171+参考2_エネ使用量経年!M258),"")</f>
        <v>0</v>
      </c>
      <c r="N321" s="916">
        <f ca="1">IFERROR($J321*44/12*参考2_エネ使用量経年!$J171*(参考2_エネ使用量経年!N171+参考2_エネ使用量経年!N258),"")</f>
        <v>0</v>
      </c>
      <c r="O321" s="916">
        <f ca="1">IFERROR($K321*44/12*参考2_エネ使用量経年!$K171*(参考2_エネ使用量経年!O171+参考2_エネ使用量経年!O258),"")</f>
        <v>0</v>
      </c>
      <c r="P321" s="916">
        <f ca="1">IFERROR($H321*44/12*参考2_エネ使用量経年!$H171*(参考2_エネ使用量経年!P171+参考2_エネ使用量経年!P258),"")</f>
        <v>0</v>
      </c>
      <c r="Q321" s="916">
        <f ca="1">IFERROR($I321*44/12*参考2_エネ使用量経年!$I171*(参考2_エネ使用量経年!Q171+参考2_エネ使用量経年!Q258),"")</f>
        <v>0</v>
      </c>
      <c r="R321" s="916">
        <f ca="1">IFERROR($J321*44/12*参考2_エネ使用量経年!$J171*(参考2_エネ使用量経年!R171+参考2_エネ使用量経年!R258),"")</f>
        <v>0</v>
      </c>
      <c r="S321" s="916">
        <f ca="1">IFERROR($K321*44/12*参考2_エネ使用量経年!$K171*(参考2_エネ使用量経年!S171+参考2_エネ使用量経年!S258),"")</f>
        <v>0</v>
      </c>
      <c r="T321" s="916">
        <f ca="1">IFERROR($H321*44/12*参考2_エネ使用量経年!$H171*(参考2_エネ使用量経年!T171+参考2_エネ使用量経年!T258),"")</f>
        <v>0</v>
      </c>
      <c r="U321" s="916">
        <f ca="1">IFERROR($I321*44/12*参考2_エネ使用量経年!$I171*(参考2_エネ使用量経年!U171+参考2_エネ使用量経年!U258),"")</f>
        <v>0</v>
      </c>
      <c r="V321" s="916">
        <f ca="1">IFERROR($J321*44/12*参考2_エネ使用量経年!$J171*(参考2_エネ使用量経年!V171+参考2_エネ使用量経年!V258),"")</f>
        <v>0</v>
      </c>
      <c r="W321" s="916">
        <f ca="1">IFERROR($K321*44/12*参考2_エネ使用量経年!$K171*(参考2_エネ使用量経年!W171+参考2_エネ使用量経年!W258),"")</f>
        <v>0</v>
      </c>
      <c r="X321" s="916">
        <f ca="1">IFERROR($H321*44/12*参考2_エネ使用量経年!$H171*(参考2_エネ使用量経年!X171+参考2_エネ使用量経年!X258),"")</f>
        <v>0</v>
      </c>
      <c r="Y321" s="916">
        <f ca="1">IFERROR($I321*44/12*参考2_エネ使用量経年!$I171*(参考2_エネ使用量経年!Y171+参考2_エネ使用量経年!Y258),"")</f>
        <v>0</v>
      </c>
      <c r="Z321" s="916">
        <f ca="1">IFERROR($J321*44/12*参考2_エネ使用量経年!$J171*(参考2_エネ使用量経年!Z171+参考2_エネ使用量経年!Z258),"")</f>
        <v>0</v>
      </c>
      <c r="AA321" s="916">
        <f ca="1">IFERROR($K321*44/12*参考2_エネ使用量経年!$K171*(参考2_エネ使用量経年!AA171+参考2_エネ使用量経年!AA258),"")</f>
        <v>0</v>
      </c>
      <c r="AB321" s="916" t="str">
        <f ca="1">IFERROR($H321*44/12*参考2_エネ使用量経年!$H171*(参考2_エネ使用量経年!AB171+参考2_エネ使用量経年!AB258),"")</f>
        <v/>
      </c>
      <c r="AC321" s="916" t="str">
        <f ca="1">IFERROR($I321*44/12*参考2_エネ使用量経年!$I171*(参考2_エネ使用量経年!AC171+参考2_エネ使用量経年!AC258),"")</f>
        <v/>
      </c>
      <c r="AD321" s="916" t="str">
        <f ca="1">IFERROR($J321*44/12*参考2_エネ使用量経年!$J171*(参考2_エネ使用量経年!AD171+参考2_エネ使用量経年!AD258),"")</f>
        <v/>
      </c>
      <c r="AE321" s="916" t="str">
        <f ca="1">IFERROR($K321*44/12*参考2_エネ使用量経年!$K171*(参考2_エネ使用量経年!AE171+参考2_エネ使用量経年!AE258),"")</f>
        <v/>
      </c>
      <c r="AF321" s="916" t="str">
        <f ca="1">IFERROR($H321*44/12*参考2_エネ使用量経年!$H171*(参考2_エネ使用量経年!AF171+参考2_エネ使用量経年!AF258),"")</f>
        <v/>
      </c>
      <c r="AG321" s="916" t="str">
        <f ca="1">IFERROR($I321*44/12*参考2_エネ使用量経年!$I171*(参考2_エネ使用量経年!AG171+参考2_エネ使用量経年!AG258),"")</f>
        <v/>
      </c>
      <c r="AH321" s="916" t="str">
        <f ca="1">IFERROR($J321*44/12*参考2_エネ使用量経年!$J171*(参考2_エネ使用量経年!AH171+参考2_エネ使用量経年!AH258),"")</f>
        <v/>
      </c>
      <c r="AI321" s="916" t="str">
        <f ca="1">IFERROR($K321*44/12*参考2_エネ使用量経年!$K171*(参考2_エネ使用量経年!AI171+参考2_エネ使用量経年!AI258),"")</f>
        <v/>
      </c>
      <c r="AJ321" s="916" t="str">
        <f ca="1">IFERROR($H321*44/12*参考2_エネ使用量経年!$H171*(参考2_エネ使用量経年!AJ171+参考2_エネ使用量経年!AJ258),"")</f>
        <v/>
      </c>
      <c r="AK321" s="916" t="str">
        <f ca="1">IFERROR($I321*44/12*参考2_エネ使用量経年!$I171*(参考2_エネ使用量経年!AK171+参考2_エネ使用量経年!AK258),"")</f>
        <v/>
      </c>
      <c r="AL321" s="916" t="str">
        <f ca="1">IFERROR($J321*44/12*参考2_エネ使用量経年!$J171*(参考2_エネ使用量経年!AL171+参考2_エネ使用量経年!AL258),"")</f>
        <v/>
      </c>
      <c r="AM321" s="916" t="str">
        <f ca="1">IFERROR($K321*44/12*参考2_エネ使用量経年!$K171*(参考2_エネ使用量経年!AM171+参考2_エネ使用量経年!AM258),"")</f>
        <v/>
      </c>
      <c r="AN321" s="916" t="str">
        <f ca="1">IFERROR($H321*44/12*参考2_エネ使用量経年!$H171*(参考2_エネ使用量経年!AN171+参考2_エネ使用量経年!AN258),"")</f>
        <v/>
      </c>
      <c r="AO321" s="916" t="str">
        <f ca="1">IFERROR($I321*44/12*参考2_エネ使用量経年!$I171*(参考2_エネ使用量経年!AO171+参考2_エネ使用量経年!AO258),"")</f>
        <v/>
      </c>
      <c r="AP321" s="916" t="str">
        <f ca="1">IFERROR($J321*44/12*参考2_エネ使用量経年!$J171*(参考2_エネ使用量経年!AP171+参考2_エネ使用量経年!AP258),"")</f>
        <v/>
      </c>
      <c r="AQ321" s="916" t="str">
        <f ca="1">IFERROR($K321*44/12*参考2_エネ使用量経年!$K171*(参考2_エネ使用量経年!AQ171+参考2_エネ使用量経年!AQ258),"")</f>
        <v/>
      </c>
      <c r="AR321" s="916" t="str">
        <f ca="1">IFERROR($H321*44/12*参考2_エネ使用量経年!$H171*(参考2_エネ使用量経年!AR171+参考2_エネ使用量経年!AR258),"")</f>
        <v/>
      </c>
      <c r="AS321" s="916" t="str">
        <f ca="1">IFERROR($I321*44/12*参考2_エネ使用量経年!$I171*(参考2_エネ使用量経年!AS171+参考2_エネ使用量経年!AS258),"")</f>
        <v/>
      </c>
      <c r="AT321" s="916" t="str">
        <f ca="1">IFERROR($J321*44/12*参考2_エネ使用量経年!$J171*(参考2_エネ使用量経年!AT171+参考2_エネ使用量経年!AT258),"")</f>
        <v/>
      </c>
      <c r="AU321" s="916" t="str">
        <f ca="1">IFERROR($K321*44/12*参考2_エネ使用量経年!$K171*(参考2_エネ使用量経年!AU171+参考2_エネ使用量経年!AU258),"")</f>
        <v/>
      </c>
      <c r="AV321" s="916" t="str">
        <f ca="1">IFERROR($H321*44/12*参考2_エネ使用量経年!$H171*(参考2_エネ使用量経年!AV171+参考2_エネ使用量経年!AV258),"")</f>
        <v/>
      </c>
      <c r="AW321" s="916" t="str">
        <f ca="1">IFERROR($I321*44/12*参考2_エネ使用量経年!$I171*(参考2_エネ使用量経年!AW171+参考2_エネ使用量経年!AW258),"")</f>
        <v/>
      </c>
      <c r="AX321" s="916" t="str">
        <f ca="1">IFERROR($J321*44/12*参考2_エネ使用量経年!$J171*(参考2_エネ使用量経年!AX171+参考2_エネ使用量経年!AX258),"")</f>
        <v/>
      </c>
      <c r="AY321" s="916" t="str">
        <f ca="1">IFERROR($K321*44/12*参考2_エネ使用量経年!$K171*(参考2_エネ使用量経年!AY171+参考2_エネ使用量経年!AY258),"")</f>
        <v/>
      </c>
      <c r="AZ321" s="916" t="str">
        <f ca="1">IFERROR($H321*44/12*参考2_エネ使用量経年!$H171*(参考2_エネ使用量経年!AZ171+参考2_エネ使用量経年!AZ258),"")</f>
        <v/>
      </c>
      <c r="BA321" s="916" t="str">
        <f ca="1">IFERROR($I321*44/12*参考2_エネ使用量経年!$I171*(参考2_エネ使用量経年!BA171+参考2_エネ使用量経年!BA258),"")</f>
        <v/>
      </c>
      <c r="BB321" s="916" t="str">
        <f ca="1">IFERROR($J321*44/12*参考2_エネ使用量経年!$J171*(参考2_エネ使用量経年!BB171+参考2_エネ使用量経年!BB258),"")</f>
        <v/>
      </c>
      <c r="BC321" s="916" t="str">
        <f ca="1">IFERROR($K321*44/12*参考2_エネ使用量経年!$K171*(参考2_エネ使用量経年!BC171+参考2_エネ使用量経年!BC258),"")</f>
        <v/>
      </c>
      <c r="BD321" s="916" t="str">
        <f ca="1">IFERROR($H321*44/12*参考2_エネ使用量経年!$H171*(参考2_エネ使用量経年!BD171+参考2_エネ使用量経年!BD258),"")</f>
        <v/>
      </c>
      <c r="BE321" s="916" t="str">
        <f ca="1">IFERROR($I321*44/12*参考2_エネ使用量経年!$I171*(参考2_エネ使用量経年!BE171+参考2_エネ使用量経年!BE258),"")</f>
        <v/>
      </c>
      <c r="BF321" s="916" t="str">
        <f ca="1">IFERROR($J321*44/12*参考2_エネ使用量経年!$J171*(参考2_エネ使用量経年!BF171+参考2_エネ使用量経年!BF258),"")</f>
        <v/>
      </c>
      <c r="BG321" s="916" t="str">
        <f ca="1">IFERROR($K321*44/12*参考2_エネ使用量経年!$K171*(参考2_エネ使用量経年!BG171+参考2_エネ使用量経年!BG258),"")</f>
        <v/>
      </c>
      <c r="BH321" s="916" t="str">
        <f ca="1">IFERROR($H321*44/12*参考2_エネ使用量経年!$H171*(参考2_エネ使用量経年!BH171+参考2_エネ使用量経年!BH258),"")</f>
        <v/>
      </c>
      <c r="BI321" s="916" t="str">
        <f ca="1">IFERROR($I321*44/12*参考2_エネ使用量経年!$I171*(参考2_エネ使用量経年!BI171+参考2_エネ使用量経年!BI258),"")</f>
        <v/>
      </c>
      <c r="BJ321" s="916" t="str">
        <f ca="1">IFERROR($J321*44/12*参考2_エネ使用量経年!$J171*(参考2_エネ使用量経年!BJ171+参考2_エネ使用量経年!BJ258),"")</f>
        <v/>
      </c>
      <c r="BK321" s="916" t="str">
        <f ca="1">IFERROR($K321*44/12*参考2_エネ使用量経年!$K171*(参考2_エネ使用量経年!BK171+参考2_エネ使用量経年!BK258),"")</f>
        <v/>
      </c>
      <c r="BL321" s="916" t="str">
        <f ca="1">IFERROR($H321*44/12*参考2_エネ使用量経年!$H171*(参考2_エネ使用量経年!BL171+参考2_エネ使用量経年!BL258),"")</f>
        <v/>
      </c>
      <c r="BM321" s="916" t="str">
        <f ca="1">IFERROR($I321*44/12*参考2_エネ使用量経年!$I171*(参考2_エネ使用量経年!BM171+参考2_エネ使用量経年!BM258),"")</f>
        <v/>
      </c>
      <c r="BN321" s="916" t="str">
        <f ca="1">IFERROR($J321*44/12*参考2_エネ使用量経年!$J171*(参考2_エネ使用量経年!BN171+参考2_エネ使用量経年!BN258),"")</f>
        <v/>
      </c>
      <c r="BO321" s="916" t="str">
        <f ca="1">IFERROR($K321*44/12*参考2_エネ使用量経年!$K171*(参考2_エネ使用量経年!BO171+参考2_エネ使用量経年!BO258),"")</f>
        <v/>
      </c>
    </row>
    <row r="322" spans="1:67" ht="20.100000000000001" customHeight="1">
      <c r="A322" s="914">
        <v>9</v>
      </c>
      <c r="B322" s="1594"/>
      <c r="C322" s="1596"/>
      <c r="D322" s="785" t="s">
        <v>349</v>
      </c>
      <c r="E322" s="785"/>
      <c r="F322" s="786"/>
      <c r="G322" s="852" t="s">
        <v>1281</v>
      </c>
      <c r="H322" s="915">
        <f t="shared" ca="1" si="109"/>
        <v>1.83E-2</v>
      </c>
      <c r="I322" s="915">
        <f t="shared" ca="1" si="110"/>
        <v>1.83E-2</v>
      </c>
      <c r="J322" s="915">
        <f t="shared" ca="1" si="111"/>
        <v>1.83E-2</v>
      </c>
      <c r="K322" s="915">
        <f t="shared" ca="1" si="112"/>
        <v>1.83E-2</v>
      </c>
      <c r="L322" s="916">
        <f ca="1">IFERROR($H322*44/12*参考2_エネ使用量経年!$H172*(参考2_エネ使用量経年!L172+参考2_エネ使用量経年!L259),"")</f>
        <v>0</v>
      </c>
      <c r="M322" s="916">
        <f ca="1">IFERROR($I322*44/12*参考2_エネ使用量経年!$I172*(参考2_エネ使用量経年!M172+参考2_エネ使用量経年!M259),"")</f>
        <v>0</v>
      </c>
      <c r="N322" s="916">
        <f ca="1">IFERROR($J322*44/12*参考2_エネ使用量経年!$J172*(参考2_エネ使用量経年!N172+参考2_エネ使用量経年!N259),"")</f>
        <v>0</v>
      </c>
      <c r="O322" s="916">
        <f ca="1">IFERROR($K322*44/12*参考2_エネ使用量経年!$K172*(参考2_エネ使用量経年!O172+参考2_エネ使用量経年!O259),"")</f>
        <v>0</v>
      </c>
      <c r="P322" s="916">
        <f ca="1">IFERROR($H322*44/12*参考2_エネ使用量経年!$H172*(参考2_エネ使用量経年!P172+参考2_エネ使用量経年!P259),"")</f>
        <v>0</v>
      </c>
      <c r="Q322" s="916">
        <f ca="1">IFERROR($I322*44/12*参考2_エネ使用量経年!$I172*(参考2_エネ使用量経年!Q172+参考2_エネ使用量経年!Q259),"")</f>
        <v>0</v>
      </c>
      <c r="R322" s="916">
        <f ca="1">IFERROR($J322*44/12*参考2_エネ使用量経年!$J172*(参考2_エネ使用量経年!R172+参考2_エネ使用量経年!R259),"")</f>
        <v>0</v>
      </c>
      <c r="S322" s="916">
        <f ca="1">IFERROR($K322*44/12*参考2_エネ使用量経年!$K172*(参考2_エネ使用量経年!S172+参考2_エネ使用量経年!S259),"")</f>
        <v>0</v>
      </c>
      <c r="T322" s="916">
        <f ca="1">IFERROR($H322*44/12*参考2_エネ使用量経年!$H172*(参考2_エネ使用量経年!T172+参考2_エネ使用量経年!T259),"")</f>
        <v>0</v>
      </c>
      <c r="U322" s="916">
        <f ca="1">IFERROR($I322*44/12*参考2_エネ使用量経年!$I172*(参考2_エネ使用量経年!U172+参考2_エネ使用量経年!U259),"")</f>
        <v>0</v>
      </c>
      <c r="V322" s="916">
        <f ca="1">IFERROR($J322*44/12*参考2_エネ使用量経年!$J172*(参考2_エネ使用量経年!V172+参考2_エネ使用量経年!V259),"")</f>
        <v>0</v>
      </c>
      <c r="W322" s="916">
        <f ca="1">IFERROR($K322*44/12*参考2_エネ使用量経年!$K172*(参考2_エネ使用量経年!W172+参考2_エネ使用量経年!W259),"")</f>
        <v>0</v>
      </c>
      <c r="X322" s="916">
        <f ca="1">IFERROR($H322*44/12*参考2_エネ使用量経年!$H172*(参考2_エネ使用量経年!X172+参考2_エネ使用量経年!X259),"")</f>
        <v>0</v>
      </c>
      <c r="Y322" s="916">
        <f ca="1">IFERROR($I322*44/12*参考2_エネ使用量経年!$I172*(参考2_エネ使用量経年!Y172+参考2_エネ使用量経年!Y259),"")</f>
        <v>0</v>
      </c>
      <c r="Z322" s="916">
        <f ca="1">IFERROR($J322*44/12*参考2_エネ使用量経年!$J172*(参考2_エネ使用量経年!Z172+参考2_エネ使用量経年!Z259),"")</f>
        <v>0</v>
      </c>
      <c r="AA322" s="916">
        <f ca="1">IFERROR($K322*44/12*参考2_エネ使用量経年!$K172*(参考2_エネ使用量経年!AA172+参考2_エネ使用量経年!AA259),"")</f>
        <v>0</v>
      </c>
      <c r="AB322" s="916" t="str">
        <f ca="1">IFERROR($H322*44/12*参考2_エネ使用量経年!$H172*(参考2_エネ使用量経年!AB172+参考2_エネ使用量経年!AB259),"")</f>
        <v/>
      </c>
      <c r="AC322" s="916" t="str">
        <f ca="1">IFERROR($I322*44/12*参考2_エネ使用量経年!$I172*(参考2_エネ使用量経年!AC172+参考2_エネ使用量経年!AC259),"")</f>
        <v/>
      </c>
      <c r="AD322" s="916" t="str">
        <f ca="1">IFERROR($J322*44/12*参考2_エネ使用量経年!$J172*(参考2_エネ使用量経年!AD172+参考2_エネ使用量経年!AD259),"")</f>
        <v/>
      </c>
      <c r="AE322" s="916" t="str">
        <f ca="1">IFERROR($K322*44/12*参考2_エネ使用量経年!$K172*(参考2_エネ使用量経年!AE172+参考2_エネ使用量経年!AE259),"")</f>
        <v/>
      </c>
      <c r="AF322" s="916" t="str">
        <f ca="1">IFERROR($H322*44/12*参考2_エネ使用量経年!$H172*(参考2_エネ使用量経年!AF172+参考2_エネ使用量経年!AF259),"")</f>
        <v/>
      </c>
      <c r="AG322" s="916" t="str">
        <f ca="1">IFERROR($I322*44/12*参考2_エネ使用量経年!$I172*(参考2_エネ使用量経年!AG172+参考2_エネ使用量経年!AG259),"")</f>
        <v/>
      </c>
      <c r="AH322" s="916" t="str">
        <f ca="1">IFERROR($J322*44/12*参考2_エネ使用量経年!$J172*(参考2_エネ使用量経年!AH172+参考2_エネ使用量経年!AH259),"")</f>
        <v/>
      </c>
      <c r="AI322" s="916" t="str">
        <f ca="1">IFERROR($K322*44/12*参考2_エネ使用量経年!$K172*(参考2_エネ使用量経年!AI172+参考2_エネ使用量経年!AI259),"")</f>
        <v/>
      </c>
      <c r="AJ322" s="916" t="str">
        <f ca="1">IFERROR($H322*44/12*参考2_エネ使用量経年!$H172*(参考2_エネ使用量経年!AJ172+参考2_エネ使用量経年!AJ259),"")</f>
        <v/>
      </c>
      <c r="AK322" s="916" t="str">
        <f ca="1">IFERROR($I322*44/12*参考2_エネ使用量経年!$I172*(参考2_エネ使用量経年!AK172+参考2_エネ使用量経年!AK259),"")</f>
        <v/>
      </c>
      <c r="AL322" s="916" t="str">
        <f ca="1">IFERROR($J322*44/12*参考2_エネ使用量経年!$J172*(参考2_エネ使用量経年!AL172+参考2_エネ使用量経年!AL259),"")</f>
        <v/>
      </c>
      <c r="AM322" s="916" t="str">
        <f ca="1">IFERROR($K322*44/12*参考2_エネ使用量経年!$K172*(参考2_エネ使用量経年!AM172+参考2_エネ使用量経年!AM259),"")</f>
        <v/>
      </c>
      <c r="AN322" s="916" t="str">
        <f ca="1">IFERROR($H322*44/12*参考2_エネ使用量経年!$H172*(参考2_エネ使用量経年!AN172+参考2_エネ使用量経年!AN259),"")</f>
        <v/>
      </c>
      <c r="AO322" s="916" t="str">
        <f ca="1">IFERROR($I322*44/12*参考2_エネ使用量経年!$I172*(参考2_エネ使用量経年!AO172+参考2_エネ使用量経年!AO259),"")</f>
        <v/>
      </c>
      <c r="AP322" s="916" t="str">
        <f ca="1">IFERROR($J322*44/12*参考2_エネ使用量経年!$J172*(参考2_エネ使用量経年!AP172+参考2_エネ使用量経年!AP259),"")</f>
        <v/>
      </c>
      <c r="AQ322" s="916" t="str">
        <f ca="1">IFERROR($K322*44/12*参考2_エネ使用量経年!$K172*(参考2_エネ使用量経年!AQ172+参考2_エネ使用量経年!AQ259),"")</f>
        <v/>
      </c>
      <c r="AR322" s="916" t="str">
        <f ca="1">IFERROR($H322*44/12*参考2_エネ使用量経年!$H172*(参考2_エネ使用量経年!AR172+参考2_エネ使用量経年!AR259),"")</f>
        <v/>
      </c>
      <c r="AS322" s="916" t="str">
        <f ca="1">IFERROR($I322*44/12*参考2_エネ使用量経年!$I172*(参考2_エネ使用量経年!AS172+参考2_エネ使用量経年!AS259),"")</f>
        <v/>
      </c>
      <c r="AT322" s="916" t="str">
        <f ca="1">IFERROR($J322*44/12*参考2_エネ使用量経年!$J172*(参考2_エネ使用量経年!AT172+参考2_エネ使用量経年!AT259),"")</f>
        <v/>
      </c>
      <c r="AU322" s="916" t="str">
        <f ca="1">IFERROR($K322*44/12*参考2_エネ使用量経年!$K172*(参考2_エネ使用量経年!AU172+参考2_エネ使用量経年!AU259),"")</f>
        <v/>
      </c>
      <c r="AV322" s="916" t="str">
        <f ca="1">IFERROR($H322*44/12*参考2_エネ使用量経年!$H172*(参考2_エネ使用量経年!AV172+参考2_エネ使用量経年!AV259),"")</f>
        <v/>
      </c>
      <c r="AW322" s="916" t="str">
        <f ca="1">IFERROR($I322*44/12*参考2_エネ使用量経年!$I172*(参考2_エネ使用量経年!AW172+参考2_エネ使用量経年!AW259),"")</f>
        <v/>
      </c>
      <c r="AX322" s="916" t="str">
        <f ca="1">IFERROR($J322*44/12*参考2_エネ使用量経年!$J172*(参考2_エネ使用量経年!AX172+参考2_エネ使用量経年!AX259),"")</f>
        <v/>
      </c>
      <c r="AY322" s="916" t="str">
        <f ca="1">IFERROR($K322*44/12*参考2_エネ使用量経年!$K172*(参考2_エネ使用量経年!AY172+参考2_エネ使用量経年!AY259),"")</f>
        <v/>
      </c>
      <c r="AZ322" s="916" t="str">
        <f ca="1">IFERROR($H322*44/12*参考2_エネ使用量経年!$H172*(参考2_エネ使用量経年!AZ172+参考2_エネ使用量経年!AZ259),"")</f>
        <v/>
      </c>
      <c r="BA322" s="916" t="str">
        <f ca="1">IFERROR($I322*44/12*参考2_エネ使用量経年!$I172*(参考2_エネ使用量経年!BA172+参考2_エネ使用量経年!BA259),"")</f>
        <v/>
      </c>
      <c r="BB322" s="916" t="str">
        <f ca="1">IFERROR($J322*44/12*参考2_エネ使用量経年!$J172*(参考2_エネ使用量経年!BB172+参考2_エネ使用量経年!BB259),"")</f>
        <v/>
      </c>
      <c r="BC322" s="916" t="str">
        <f ca="1">IFERROR($K322*44/12*参考2_エネ使用量経年!$K172*(参考2_エネ使用量経年!BC172+参考2_エネ使用量経年!BC259),"")</f>
        <v/>
      </c>
      <c r="BD322" s="916" t="str">
        <f ca="1">IFERROR($H322*44/12*参考2_エネ使用量経年!$H172*(参考2_エネ使用量経年!BD172+参考2_エネ使用量経年!BD259),"")</f>
        <v/>
      </c>
      <c r="BE322" s="916" t="str">
        <f ca="1">IFERROR($I322*44/12*参考2_エネ使用量経年!$I172*(参考2_エネ使用量経年!BE172+参考2_エネ使用量経年!BE259),"")</f>
        <v/>
      </c>
      <c r="BF322" s="916" t="str">
        <f ca="1">IFERROR($J322*44/12*参考2_エネ使用量経年!$J172*(参考2_エネ使用量経年!BF172+参考2_エネ使用量経年!BF259),"")</f>
        <v/>
      </c>
      <c r="BG322" s="916" t="str">
        <f ca="1">IFERROR($K322*44/12*参考2_エネ使用量経年!$K172*(参考2_エネ使用量経年!BG172+参考2_エネ使用量経年!BG259),"")</f>
        <v/>
      </c>
      <c r="BH322" s="916" t="str">
        <f ca="1">IFERROR($H322*44/12*参考2_エネ使用量経年!$H172*(参考2_エネ使用量経年!BH172+参考2_エネ使用量経年!BH259),"")</f>
        <v/>
      </c>
      <c r="BI322" s="916" t="str">
        <f ca="1">IFERROR($I322*44/12*参考2_エネ使用量経年!$I172*(参考2_エネ使用量経年!BI172+参考2_エネ使用量経年!BI259),"")</f>
        <v/>
      </c>
      <c r="BJ322" s="916" t="str">
        <f ca="1">IFERROR($J322*44/12*参考2_エネ使用量経年!$J172*(参考2_エネ使用量経年!BJ172+参考2_エネ使用量経年!BJ259),"")</f>
        <v/>
      </c>
      <c r="BK322" s="916" t="str">
        <f ca="1">IFERROR($K322*44/12*参考2_エネ使用量経年!$K172*(参考2_エネ使用量経年!BK172+参考2_エネ使用量経年!BK259),"")</f>
        <v/>
      </c>
      <c r="BL322" s="916" t="str">
        <f ca="1">IFERROR($H322*44/12*参考2_エネ使用量経年!$H172*(参考2_エネ使用量経年!BL172+参考2_エネ使用量経年!BL259),"")</f>
        <v/>
      </c>
      <c r="BM322" s="916" t="str">
        <f ca="1">IFERROR($I322*44/12*参考2_エネ使用量経年!$I172*(参考2_エネ使用量経年!BM172+参考2_エネ使用量経年!BM259),"")</f>
        <v/>
      </c>
      <c r="BN322" s="916" t="str">
        <f ca="1">IFERROR($J322*44/12*参考2_エネ使用量経年!$J172*(参考2_エネ使用量経年!BN172+参考2_エネ使用量経年!BN259),"")</f>
        <v/>
      </c>
      <c r="BO322" s="916" t="str">
        <f ca="1">IFERROR($K322*44/12*参考2_エネ使用量経年!$K172*(参考2_エネ使用量経年!BO172+参考2_エネ使用量経年!BO259),"")</f>
        <v/>
      </c>
    </row>
    <row r="323" spans="1:67" ht="20.100000000000001" customHeight="1">
      <c r="A323" s="914">
        <v>10</v>
      </c>
      <c r="B323" s="1595"/>
      <c r="C323" s="1596"/>
      <c r="D323" s="785" t="s">
        <v>350</v>
      </c>
      <c r="E323" s="785"/>
      <c r="F323" s="786"/>
      <c r="G323" s="852" t="s">
        <v>1281</v>
      </c>
      <c r="H323" s="915">
        <f t="shared" ca="1" si="109"/>
        <v>1.8700000000000001E-2</v>
      </c>
      <c r="I323" s="915">
        <f t="shared" ca="1" si="110"/>
        <v>1.8700000000000001E-2</v>
      </c>
      <c r="J323" s="915">
        <f t="shared" ca="1" si="111"/>
        <v>1.8700000000000001E-2</v>
      </c>
      <c r="K323" s="915">
        <f t="shared" ca="1" si="112"/>
        <v>1.8700000000000001E-2</v>
      </c>
      <c r="L323" s="916">
        <f ca="1">IFERROR($H323*44/12*参考2_エネ使用量経年!$H173*(参考2_エネ使用量経年!L173+参考2_エネ使用量経年!L260),"")</f>
        <v>0</v>
      </c>
      <c r="M323" s="916">
        <f ca="1">IFERROR($I323*44/12*参考2_エネ使用量経年!$I173*(参考2_エネ使用量経年!M173+参考2_エネ使用量経年!M260),"")</f>
        <v>0</v>
      </c>
      <c r="N323" s="916">
        <f ca="1">IFERROR($J323*44/12*参考2_エネ使用量経年!$J173*(参考2_エネ使用量経年!N173+参考2_エネ使用量経年!N260),"")</f>
        <v>0</v>
      </c>
      <c r="O323" s="916">
        <f ca="1">IFERROR($K323*44/12*参考2_エネ使用量経年!$K173*(参考2_エネ使用量経年!O173+参考2_エネ使用量経年!O260),"")</f>
        <v>0</v>
      </c>
      <c r="P323" s="916">
        <f ca="1">IFERROR($H323*44/12*参考2_エネ使用量経年!$H173*(参考2_エネ使用量経年!P173+参考2_エネ使用量経年!P260),"")</f>
        <v>0</v>
      </c>
      <c r="Q323" s="916">
        <f ca="1">IFERROR($I323*44/12*参考2_エネ使用量経年!$I173*(参考2_エネ使用量経年!Q173+参考2_エネ使用量経年!Q260),"")</f>
        <v>0</v>
      </c>
      <c r="R323" s="916">
        <f ca="1">IFERROR($J323*44/12*参考2_エネ使用量経年!$J173*(参考2_エネ使用量経年!R173+参考2_エネ使用量経年!R260),"")</f>
        <v>0</v>
      </c>
      <c r="S323" s="916">
        <f ca="1">IFERROR($K323*44/12*参考2_エネ使用量経年!$K173*(参考2_エネ使用量経年!S173+参考2_エネ使用量経年!S260),"")</f>
        <v>0</v>
      </c>
      <c r="T323" s="916">
        <f ca="1">IFERROR($H323*44/12*参考2_エネ使用量経年!$H173*(参考2_エネ使用量経年!T173+参考2_エネ使用量経年!T260),"")</f>
        <v>0</v>
      </c>
      <c r="U323" s="916">
        <f ca="1">IFERROR($I323*44/12*参考2_エネ使用量経年!$I173*(参考2_エネ使用量経年!U173+参考2_エネ使用量経年!U260),"")</f>
        <v>0</v>
      </c>
      <c r="V323" s="916">
        <f ca="1">IFERROR($J323*44/12*参考2_エネ使用量経年!$J173*(参考2_エネ使用量経年!V173+参考2_エネ使用量経年!V260),"")</f>
        <v>0</v>
      </c>
      <c r="W323" s="916">
        <f ca="1">IFERROR($K323*44/12*参考2_エネ使用量経年!$K173*(参考2_エネ使用量経年!W173+参考2_エネ使用量経年!W260),"")</f>
        <v>0</v>
      </c>
      <c r="X323" s="916">
        <f ca="1">IFERROR($H323*44/12*参考2_エネ使用量経年!$H173*(参考2_エネ使用量経年!X173+参考2_エネ使用量経年!X260),"")</f>
        <v>0</v>
      </c>
      <c r="Y323" s="916">
        <f ca="1">IFERROR($I323*44/12*参考2_エネ使用量経年!$I173*(参考2_エネ使用量経年!Y173+参考2_エネ使用量経年!Y260),"")</f>
        <v>0</v>
      </c>
      <c r="Z323" s="916">
        <f ca="1">IFERROR($J323*44/12*参考2_エネ使用量経年!$J173*(参考2_エネ使用量経年!Z173+参考2_エネ使用量経年!Z260),"")</f>
        <v>0</v>
      </c>
      <c r="AA323" s="916">
        <f ca="1">IFERROR($K323*44/12*参考2_エネ使用量経年!$K173*(参考2_エネ使用量経年!AA173+参考2_エネ使用量経年!AA260),"")</f>
        <v>0</v>
      </c>
      <c r="AB323" s="916" t="str">
        <f ca="1">IFERROR($H323*44/12*参考2_エネ使用量経年!$H173*(参考2_エネ使用量経年!AB173+参考2_エネ使用量経年!AB260),"")</f>
        <v/>
      </c>
      <c r="AC323" s="916" t="str">
        <f ca="1">IFERROR($I323*44/12*参考2_エネ使用量経年!$I173*(参考2_エネ使用量経年!AC173+参考2_エネ使用量経年!AC260),"")</f>
        <v/>
      </c>
      <c r="AD323" s="916" t="str">
        <f ca="1">IFERROR($J323*44/12*参考2_エネ使用量経年!$J173*(参考2_エネ使用量経年!AD173+参考2_エネ使用量経年!AD260),"")</f>
        <v/>
      </c>
      <c r="AE323" s="916" t="str">
        <f ca="1">IFERROR($K323*44/12*参考2_エネ使用量経年!$K173*(参考2_エネ使用量経年!AE173+参考2_エネ使用量経年!AE260),"")</f>
        <v/>
      </c>
      <c r="AF323" s="916" t="str">
        <f ca="1">IFERROR($H323*44/12*参考2_エネ使用量経年!$H173*(参考2_エネ使用量経年!AF173+参考2_エネ使用量経年!AF260),"")</f>
        <v/>
      </c>
      <c r="AG323" s="916" t="str">
        <f ca="1">IFERROR($I323*44/12*参考2_エネ使用量経年!$I173*(参考2_エネ使用量経年!AG173+参考2_エネ使用量経年!AG260),"")</f>
        <v/>
      </c>
      <c r="AH323" s="916" t="str">
        <f ca="1">IFERROR($J323*44/12*参考2_エネ使用量経年!$J173*(参考2_エネ使用量経年!AH173+参考2_エネ使用量経年!AH260),"")</f>
        <v/>
      </c>
      <c r="AI323" s="916" t="str">
        <f ca="1">IFERROR($K323*44/12*参考2_エネ使用量経年!$K173*(参考2_エネ使用量経年!AI173+参考2_エネ使用量経年!AI260),"")</f>
        <v/>
      </c>
      <c r="AJ323" s="916" t="str">
        <f ca="1">IFERROR($H323*44/12*参考2_エネ使用量経年!$H173*(参考2_エネ使用量経年!AJ173+参考2_エネ使用量経年!AJ260),"")</f>
        <v/>
      </c>
      <c r="AK323" s="916" t="str">
        <f ca="1">IFERROR($I323*44/12*参考2_エネ使用量経年!$I173*(参考2_エネ使用量経年!AK173+参考2_エネ使用量経年!AK260),"")</f>
        <v/>
      </c>
      <c r="AL323" s="916" t="str">
        <f ca="1">IFERROR($J323*44/12*参考2_エネ使用量経年!$J173*(参考2_エネ使用量経年!AL173+参考2_エネ使用量経年!AL260),"")</f>
        <v/>
      </c>
      <c r="AM323" s="916" t="str">
        <f ca="1">IFERROR($K323*44/12*参考2_エネ使用量経年!$K173*(参考2_エネ使用量経年!AM173+参考2_エネ使用量経年!AM260),"")</f>
        <v/>
      </c>
      <c r="AN323" s="916" t="str">
        <f ca="1">IFERROR($H323*44/12*参考2_エネ使用量経年!$H173*(参考2_エネ使用量経年!AN173+参考2_エネ使用量経年!AN260),"")</f>
        <v/>
      </c>
      <c r="AO323" s="916" t="str">
        <f ca="1">IFERROR($I323*44/12*参考2_エネ使用量経年!$I173*(参考2_エネ使用量経年!AO173+参考2_エネ使用量経年!AO260),"")</f>
        <v/>
      </c>
      <c r="AP323" s="916" t="str">
        <f ca="1">IFERROR($J323*44/12*参考2_エネ使用量経年!$J173*(参考2_エネ使用量経年!AP173+参考2_エネ使用量経年!AP260),"")</f>
        <v/>
      </c>
      <c r="AQ323" s="916" t="str">
        <f ca="1">IFERROR($K323*44/12*参考2_エネ使用量経年!$K173*(参考2_エネ使用量経年!AQ173+参考2_エネ使用量経年!AQ260),"")</f>
        <v/>
      </c>
      <c r="AR323" s="916" t="str">
        <f ca="1">IFERROR($H323*44/12*参考2_エネ使用量経年!$H173*(参考2_エネ使用量経年!AR173+参考2_エネ使用量経年!AR260),"")</f>
        <v/>
      </c>
      <c r="AS323" s="916" t="str">
        <f ca="1">IFERROR($I323*44/12*参考2_エネ使用量経年!$I173*(参考2_エネ使用量経年!AS173+参考2_エネ使用量経年!AS260),"")</f>
        <v/>
      </c>
      <c r="AT323" s="916" t="str">
        <f ca="1">IFERROR($J323*44/12*参考2_エネ使用量経年!$J173*(参考2_エネ使用量経年!AT173+参考2_エネ使用量経年!AT260),"")</f>
        <v/>
      </c>
      <c r="AU323" s="916" t="str">
        <f ca="1">IFERROR($K323*44/12*参考2_エネ使用量経年!$K173*(参考2_エネ使用量経年!AU173+参考2_エネ使用量経年!AU260),"")</f>
        <v/>
      </c>
      <c r="AV323" s="916" t="str">
        <f ca="1">IFERROR($H323*44/12*参考2_エネ使用量経年!$H173*(参考2_エネ使用量経年!AV173+参考2_エネ使用量経年!AV260),"")</f>
        <v/>
      </c>
      <c r="AW323" s="916" t="str">
        <f ca="1">IFERROR($I323*44/12*参考2_エネ使用量経年!$I173*(参考2_エネ使用量経年!AW173+参考2_エネ使用量経年!AW260),"")</f>
        <v/>
      </c>
      <c r="AX323" s="916" t="str">
        <f ca="1">IFERROR($J323*44/12*参考2_エネ使用量経年!$J173*(参考2_エネ使用量経年!AX173+参考2_エネ使用量経年!AX260),"")</f>
        <v/>
      </c>
      <c r="AY323" s="916" t="str">
        <f ca="1">IFERROR($K323*44/12*参考2_エネ使用量経年!$K173*(参考2_エネ使用量経年!AY173+参考2_エネ使用量経年!AY260),"")</f>
        <v/>
      </c>
      <c r="AZ323" s="916" t="str">
        <f ca="1">IFERROR($H323*44/12*参考2_エネ使用量経年!$H173*(参考2_エネ使用量経年!AZ173+参考2_エネ使用量経年!AZ260),"")</f>
        <v/>
      </c>
      <c r="BA323" s="916" t="str">
        <f ca="1">IFERROR($I323*44/12*参考2_エネ使用量経年!$I173*(参考2_エネ使用量経年!BA173+参考2_エネ使用量経年!BA260),"")</f>
        <v/>
      </c>
      <c r="BB323" s="916" t="str">
        <f ca="1">IFERROR($J323*44/12*参考2_エネ使用量経年!$J173*(参考2_エネ使用量経年!BB173+参考2_エネ使用量経年!BB260),"")</f>
        <v/>
      </c>
      <c r="BC323" s="916" t="str">
        <f ca="1">IFERROR($K323*44/12*参考2_エネ使用量経年!$K173*(参考2_エネ使用量経年!BC173+参考2_エネ使用量経年!BC260),"")</f>
        <v/>
      </c>
      <c r="BD323" s="916" t="str">
        <f ca="1">IFERROR($H323*44/12*参考2_エネ使用量経年!$H173*(参考2_エネ使用量経年!BD173+参考2_エネ使用量経年!BD260),"")</f>
        <v/>
      </c>
      <c r="BE323" s="916" t="str">
        <f ca="1">IFERROR($I323*44/12*参考2_エネ使用量経年!$I173*(参考2_エネ使用量経年!BE173+参考2_エネ使用量経年!BE260),"")</f>
        <v/>
      </c>
      <c r="BF323" s="916" t="str">
        <f ca="1">IFERROR($J323*44/12*参考2_エネ使用量経年!$J173*(参考2_エネ使用量経年!BF173+参考2_エネ使用量経年!BF260),"")</f>
        <v/>
      </c>
      <c r="BG323" s="916" t="str">
        <f ca="1">IFERROR($K323*44/12*参考2_エネ使用量経年!$K173*(参考2_エネ使用量経年!BG173+参考2_エネ使用量経年!BG260),"")</f>
        <v/>
      </c>
      <c r="BH323" s="916" t="str">
        <f ca="1">IFERROR($H323*44/12*参考2_エネ使用量経年!$H173*(参考2_エネ使用量経年!BH173+参考2_エネ使用量経年!BH260),"")</f>
        <v/>
      </c>
      <c r="BI323" s="916" t="str">
        <f ca="1">IFERROR($I323*44/12*参考2_エネ使用量経年!$I173*(参考2_エネ使用量経年!BI173+参考2_エネ使用量経年!BI260),"")</f>
        <v/>
      </c>
      <c r="BJ323" s="916" t="str">
        <f ca="1">IFERROR($J323*44/12*参考2_エネ使用量経年!$J173*(参考2_エネ使用量経年!BJ173+参考2_エネ使用量経年!BJ260),"")</f>
        <v/>
      </c>
      <c r="BK323" s="916" t="str">
        <f ca="1">IFERROR($K323*44/12*参考2_エネ使用量経年!$K173*(参考2_エネ使用量経年!BK173+参考2_エネ使用量経年!BK260),"")</f>
        <v/>
      </c>
      <c r="BL323" s="916" t="str">
        <f ca="1">IFERROR($H323*44/12*参考2_エネ使用量経年!$H173*(参考2_エネ使用量経年!BL173+参考2_エネ使用量経年!BL260),"")</f>
        <v/>
      </c>
      <c r="BM323" s="916" t="str">
        <f ca="1">IFERROR($I323*44/12*参考2_エネ使用量経年!$I173*(参考2_エネ使用量経年!BM173+参考2_エネ使用量経年!BM260),"")</f>
        <v/>
      </c>
      <c r="BN323" s="916" t="str">
        <f ca="1">IFERROR($J323*44/12*参考2_エネ使用量経年!$J173*(参考2_エネ使用量経年!BN173+参考2_エネ使用量経年!BN260),"")</f>
        <v/>
      </c>
      <c r="BO323" s="916" t="str">
        <f ca="1">IFERROR($K323*44/12*参考2_エネ使用量経年!$K173*(参考2_エネ使用量経年!BO173+参考2_エネ使用量経年!BO260),"")</f>
        <v/>
      </c>
    </row>
    <row r="324" spans="1:67" ht="20.100000000000001" customHeight="1">
      <c r="A324" s="914">
        <v>11</v>
      </c>
      <c r="B324" s="1594"/>
      <c r="C324" s="1596"/>
      <c r="D324" s="785" t="s">
        <v>351</v>
      </c>
      <c r="E324" s="785"/>
      <c r="F324" s="786"/>
      <c r="G324" s="852" t="s">
        <v>1281</v>
      </c>
      <c r="H324" s="915">
        <f t="shared" ca="1" si="109"/>
        <v>1.8599999999999998E-2</v>
      </c>
      <c r="I324" s="915">
        <f t="shared" ca="1" si="110"/>
        <v>1.8599999999999998E-2</v>
      </c>
      <c r="J324" s="915">
        <f t="shared" ca="1" si="111"/>
        <v>1.8599999999999998E-2</v>
      </c>
      <c r="K324" s="915">
        <f t="shared" ca="1" si="112"/>
        <v>1.8599999999999998E-2</v>
      </c>
      <c r="L324" s="916">
        <f ca="1">IFERROR($H324*44/12*参考2_エネ使用量経年!$H174*(参考2_エネ使用量経年!L174+参考2_エネ使用量経年!L261),"")</f>
        <v>0</v>
      </c>
      <c r="M324" s="916">
        <f ca="1">IFERROR($I324*44/12*参考2_エネ使用量経年!$I174*(参考2_エネ使用量経年!M174+参考2_エネ使用量経年!M261),"")</f>
        <v>0</v>
      </c>
      <c r="N324" s="916">
        <f ca="1">IFERROR($J324*44/12*参考2_エネ使用量経年!$J174*(参考2_エネ使用量経年!N174+参考2_エネ使用量経年!N261),"")</f>
        <v>0</v>
      </c>
      <c r="O324" s="916">
        <f ca="1">IFERROR($K324*44/12*参考2_エネ使用量経年!$K174*(参考2_エネ使用量経年!O174+参考2_エネ使用量経年!O261),"")</f>
        <v>0</v>
      </c>
      <c r="P324" s="916">
        <f ca="1">IFERROR($H324*44/12*参考2_エネ使用量経年!$H174*(参考2_エネ使用量経年!P174+参考2_エネ使用量経年!P261),"")</f>
        <v>0</v>
      </c>
      <c r="Q324" s="916">
        <f ca="1">IFERROR($I324*44/12*参考2_エネ使用量経年!$I174*(参考2_エネ使用量経年!Q174+参考2_エネ使用量経年!Q261),"")</f>
        <v>0</v>
      </c>
      <c r="R324" s="916">
        <f ca="1">IFERROR($J324*44/12*参考2_エネ使用量経年!$J174*(参考2_エネ使用量経年!R174+参考2_エネ使用量経年!R261),"")</f>
        <v>0</v>
      </c>
      <c r="S324" s="916">
        <f ca="1">IFERROR($K324*44/12*参考2_エネ使用量経年!$K174*(参考2_エネ使用量経年!S174+参考2_エネ使用量経年!S261),"")</f>
        <v>0</v>
      </c>
      <c r="T324" s="916">
        <f ca="1">IFERROR($H324*44/12*参考2_エネ使用量経年!$H174*(参考2_エネ使用量経年!T174+参考2_エネ使用量経年!T261),"")</f>
        <v>0</v>
      </c>
      <c r="U324" s="916">
        <f ca="1">IFERROR($I324*44/12*参考2_エネ使用量経年!$I174*(参考2_エネ使用量経年!U174+参考2_エネ使用量経年!U261),"")</f>
        <v>0</v>
      </c>
      <c r="V324" s="916">
        <f ca="1">IFERROR($J324*44/12*参考2_エネ使用量経年!$J174*(参考2_エネ使用量経年!V174+参考2_エネ使用量経年!V261),"")</f>
        <v>0</v>
      </c>
      <c r="W324" s="916">
        <f ca="1">IFERROR($K324*44/12*参考2_エネ使用量経年!$K174*(参考2_エネ使用量経年!W174+参考2_エネ使用量経年!W261),"")</f>
        <v>0</v>
      </c>
      <c r="X324" s="916">
        <f ca="1">IFERROR($H324*44/12*参考2_エネ使用量経年!$H174*(参考2_エネ使用量経年!X174+参考2_エネ使用量経年!X261),"")</f>
        <v>0</v>
      </c>
      <c r="Y324" s="916">
        <f ca="1">IFERROR($I324*44/12*参考2_エネ使用量経年!$I174*(参考2_エネ使用量経年!Y174+参考2_エネ使用量経年!Y261),"")</f>
        <v>0</v>
      </c>
      <c r="Z324" s="916">
        <f ca="1">IFERROR($J324*44/12*参考2_エネ使用量経年!$J174*(参考2_エネ使用量経年!Z174+参考2_エネ使用量経年!Z261),"")</f>
        <v>0</v>
      </c>
      <c r="AA324" s="916">
        <f ca="1">IFERROR($K324*44/12*参考2_エネ使用量経年!$K174*(参考2_エネ使用量経年!AA174+参考2_エネ使用量経年!AA261),"")</f>
        <v>0</v>
      </c>
      <c r="AB324" s="916" t="str">
        <f ca="1">IFERROR($H324*44/12*参考2_エネ使用量経年!$H174*(参考2_エネ使用量経年!AB174+参考2_エネ使用量経年!AB261),"")</f>
        <v/>
      </c>
      <c r="AC324" s="916" t="str">
        <f ca="1">IFERROR($I324*44/12*参考2_エネ使用量経年!$I174*(参考2_エネ使用量経年!AC174+参考2_エネ使用量経年!AC261),"")</f>
        <v/>
      </c>
      <c r="AD324" s="916" t="str">
        <f ca="1">IFERROR($J324*44/12*参考2_エネ使用量経年!$J174*(参考2_エネ使用量経年!AD174+参考2_エネ使用量経年!AD261),"")</f>
        <v/>
      </c>
      <c r="AE324" s="916" t="str">
        <f ca="1">IFERROR($K324*44/12*参考2_エネ使用量経年!$K174*(参考2_エネ使用量経年!AE174+参考2_エネ使用量経年!AE261),"")</f>
        <v/>
      </c>
      <c r="AF324" s="916" t="str">
        <f ca="1">IFERROR($H324*44/12*参考2_エネ使用量経年!$H174*(参考2_エネ使用量経年!AF174+参考2_エネ使用量経年!AF261),"")</f>
        <v/>
      </c>
      <c r="AG324" s="916" t="str">
        <f ca="1">IFERROR($I324*44/12*参考2_エネ使用量経年!$I174*(参考2_エネ使用量経年!AG174+参考2_エネ使用量経年!AG261),"")</f>
        <v/>
      </c>
      <c r="AH324" s="916" t="str">
        <f ca="1">IFERROR($J324*44/12*参考2_エネ使用量経年!$J174*(参考2_エネ使用量経年!AH174+参考2_エネ使用量経年!AH261),"")</f>
        <v/>
      </c>
      <c r="AI324" s="916" t="str">
        <f ca="1">IFERROR($K324*44/12*参考2_エネ使用量経年!$K174*(参考2_エネ使用量経年!AI174+参考2_エネ使用量経年!AI261),"")</f>
        <v/>
      </c>
      <c r="AJ324" s="916" t="str">
        <f ca="1">IFERROR($H324*44/12*参考2_エネ使用量経年!$H174*(参考2_エネ使用量経年!AJ174+参考2_エネ使用量経年!AJ261),"")</f>
        <v/>
      </c>
      <c r="AK324" s="916" t="str">
        <f ca="1">IFERROR($I324*44/12*参考2_エネ使用量経年!$I174*(参考2_エネ使用量経年!AK174+参考2_エネ使用量経年!AK261),"")</f>
        <v/>
      </c>
      <c r="AL324" s="916" t="str">
        <f ca="1">IFERROR($J324*44/12*参考2_エネ使用量経年!$J174*(参考2_エネ使用量経年!AL174+参考2_エネ使用量経年!AL261),"")</f>
        <v/>
      </c>
      <c r="AM324" s="916" t="str">
        <f ca="1">IFERROR($K324*44/12*参考2_エネ使用量経年!$K174*(参考2_エネ使用量経年!AM174+参考2_エネ使用量経年!AM261),"")</f>
        <v/>
      </c>
      <c r="AN324" s="916" t="str">
        <f ca="1">IFERROR($H324*44/12*参考2_エネ使用量経年!$H174*(参考2_エネ使用量経年!AN174+参考2_エネ使用量経年!AN261),"")</f>
        <v/>
      </c>
      <c r="AO324" s="916" t="str">
        <f ca="1">IFERROR($I324*44/12*参考2_エネ使用量経年!$I174*(参考2_エネ使用量経年!AO174+参考2_エネ使用量経年!AO261),"")</f>
        <v/>
      </c>
      <c r="AP324" s="916" t="str">
        <f ca="1">IFERROR($J324*44/12*参考2_エネ使用量経年!$J174*(参考2_エネ使用量経年!AP174+参考2_エネ使用量経年!AP261),"")</f>
        <v/>
      </c>
      <c r="AQ324" s="916" t="str">
        <f ca="1">IFERROR($K324*44/12*参考2_エネ使用量経年!$K174*(参考2_エネ使用量経年!AQ174+参考2_エネ使用量経年!AQ261),"")</f>
        <v/>
      </c>
      <c r="AR324" s="916" t="str">
        <f ca="1">IFERROR($H324*44/12*参考2_エネ使用量経年!$H174*(参考2_エネ使用量経年!AR174+参考2_エネ使用量経年!AR261),"")</f>
        <v/>
      </c>
      <c r="AS324" s="916" t="str">
        <f ca="1">IFERROR($I324*44/12*参考2_エネ使用量経年!$I174*(参考2_エネ使用量経年!AS174+参考2_エネ使用量経年!AS261),"")</f>
        <v/>
      </c>
      <c r="AT324" s="916" t="str">
        <f ca="1">IFERROR($J324*44/12*参考2_エネ使用量経年!$J174*(参考2_エネ使用量経年!AT174+参考2_エネ使用量経年!AT261),"")</f>
        <v/>
      </c>
      <c r="AU324" s="916" t="str">
        <f ca="1">IFERROR($K324*44/12*参考2_エネ使用量経年!$K174*(参考2_エネ使用量経年!AU174+参考2_エネ使用量経年!AU261),"")</f>
        <v/>
      </c>
      <c r="AV324" s="916" t="str">
        <f ca="1">IFERROR($H324*44/12*参考2_エネ使用量経年!$H174*(参考2_エネ使用量経年!AV174+参考2_エネ使用量経年!AV261),"")</f>
        <v/>
      </c>
      <c r="AW324" s="916" t="str">
        <f ca="1">IFERROR($I324*44/12*参考2_エネ使用量経年!$I174*(参考2_エネ使用量経年!AW174+参考2_エネ使用量経年!AW261),"")</f>
        <v/>
      </c>
      <c r="AX324" s="916" t="str">
        <f ca="1">IFERROR($J324*44/12*参考2_エネ使用量経年!$J174*(参考2_エネ使用量経年!AX174+参考2_エネ使用量経年!AX261),"")</f>
        <v/>
      </c>
      <c r="AY324" s="916" t="str">
        <f ca="1">IFERROR($K324*44/12*参考2_エネ使用量経年!$K174*(参考2_エネ使用量経年!AY174+参考2_エネ使用量経年!AY261),"")</f>
        <v/>
      </c>
      <c r="AZ324" s="916" t="str">
        <f ca="1">IFERROR($H324*44/12*参考2_エネ使用量経年!$H174*(参考2_エネ使用量経年!AZ174+参考2_エネ使用量経年!AZ261),"")</f>
        <v/>
      </c>
      <c r="BA324" s="916" t="str">
        <f ca="1">IFERROR($I324*44/12*参考2_エネ使用量経年!$I174*(参考2_エネ使用量経年!BA174+参考2_エネ使用量経年!BA261),"")</f>
        <v/>
      </c>
      <c r="BB324" s="916" t="str">
        <f ca="1">IFERROR($J324*44/12*参考2_エネ使用量経年!$J174*(参考2_エネ使用量経年!BB174+参考2_エネ使用量経年!BB261),"")</f>
        <v/>
      </c>
      <c r="BC324" s="916" t="str">
        <f ca="1">IFERROR($K324*44/12*参考2_エネ使用量経年!$K174*(参考2_エネ使用量経年!BC174+参考2_エネ使用量経年!BC261),"")</f>
        <v/>
      </c>
      <c r="BD324" s="916" t="str">
        <f ca="1">IFERROR($H324*44/12*参考2_エネ使用量経年!$H174*(参考2_エネ使用量経年!BD174+参考2_エネ使用量経年!BD261),"")</f>
        <v/>
      </c>
      <c r="BE324" s="916" t="str">
        <f ca="1">IFERROR($I324*44/12*参考2_エネ使用量経年!$I174*(参考2_エネ使用量経年!BE174+参考2_エネ使用量経年!BE261),"")</f>
        <v/>
      </c>
      <c r="BF324" s="916" t="str">
        <f ca="1">IFERROR($J324*44/12*参考2_エネ使用量経年!$J174*(参考2_エネ使用量経年!BF174+参考2_エネ使用量経年!BF261),"")</f>
        <v/>
      </c>
      <c r="BG324" s="916" t="str">
        <f ca="1">IFERROR($K324*44/12*参考2_エネ使用量経年!$K174*(参考2_エネ使用量経年!BG174+参考2_エネ使用量経年!BG261),"")</f>
        <v/>
      </c>
      <c r="BH324" s="916" t="str">
        <f ca="1">IFERROR($H324*44/12*参考2_エネ使用量経年!$H174*(参考2_エネ使用量経年!BH174+参考2_エネ使用量経年!BH261),"")</f>
        <v/>
      </c>
      <c r="BI324" s="916" t="str">
        <f ca="1">IFERROR($I324*44/12*参考2_エネ使用量経年!$I174*(参考2_エネ使用量経年!BI174+参考2_エネ使用量経年!BI261),"")</f>
        <v/>
      </c>
      <c r="BJ324" s="916" t="str">
        <f ca="1">IFERROR($J324*44/12*参考2_エネ使用量経年!$J174*(参考2_エネ使用量経年!BJ174+参考2_エネ使用量経年!BJ261),"")</f>
        <v/>
      </c>
      <c r="BK324" s="916" t="str">
        <f ca="1">IFERROR($K324*44/12*参考2_エネ使用量経年!$K174*(参考2_エネ使用量経年!BK174+参考2_エネ使用量経年!BK261),"")</f>
        <v/>
      </c>
      <c r="BL324" s="916" t="str">
        <f ca="1">IFERROR($H324*44/12*参考2_エネ使用量経年!$H174*(参考2_エネ使用量経年!BL174+参考2_エネ使用量経年!BL261),"")</f>
        <v/>
      </c>
      <c r="BM324" s="916" t="str">
        <f ca="1">IFERROR($I324*44/12*参考2_エネ使用量経年!$I174*(参考2_エネ使用量経年!BM174+参考2_エネ使用量経年!BM261),"")</f>
        <v/>
      </c>
      <c r="BN324" s="916" t="str">
        <f ca="1">IFERROR($J324*44/12*参考2_エネ使用量経年!$J174*(参考2_エネ使用量経年!BN174+参考2_エネ使用量経年!BN261),"")</f>
        <v/>
      </c>
      <c r="BO324" s="916" t="str">
        <f ca="1">IFERROR($K324*44/12*参考2_エネ使用量経年!$K174*(参考2_エネ使用量経年!BO174+参考2_エネ使用量経年!BO261),"")</f>
        <v/>
      </c>
    </row>
    <row r="325" spans="1:67" ht="20.100000000000001" customHeight="1">
      <c r="A325" s="914">
        <v>12</v>
      </c>
      <c r="B325" s="1594"/>
      <c r="C325" s="1596"/>
      <c r="D325" s="785" t="s">
        <v>352</v>
      </c>
      <c r="E325" s="785"/>
      <c r="F325" s="786"/>
      <c r="G325" s="852" t="s">
        <v>1281</v>
      </c>
      <c r="H325" s="915">
        <f t="shared" ca="1" si="109"/>
        <v>1.8599999999999998E-2</v>
      </c>
      <c r="I325" s="915">
        <f t="shared" ca="1" si="110"/>
        <v>1.8599999999999998E-2</v>
      </c>
      <c r="J325" s="915">
        <f t="shared" ca="1" si="111"/>
        <v>1.8599999999999998E-2</v>
      </c>
      <c r="K325" s="915">
        <f t="shared" ca="1" si="112"/>
        <v>1.8599999999999998E-2</v>
      </c>
      <c r="L325" s="916">
        <f ca="1">IFERROR($H325*44/12*参考2_エネ使用量経年!$H175*(参考2_エネ使用量経年!L175+参考2_エネ使用量経年!L262),"")</f>
        <v>0</v>
      </c>
      <c r="M325" s="916">
        <f ca="1">IFERROR($I325*44/12*参考2_エネ使用量経年!$I175*(参考2_エネ使用量経年!M175+参考2_エネ使用量経年!M262),"")</f>
        <v>0</v>
      </c>
      <c r="N325" s="916">
        <f ca="1">IFERROR($J325*44/12*参考2_エネ使用量経年!$J175*(参考2_エネ使用量経年!N175+参考2_エネ使用量経年!N262),"")</f>
        <v>0</v>
      </c>
      <c r="O325" s="916">
        <f ca="1">IFERROR($K325*44/12*参考2_エネ使用量経年!$K175*(参考2_エネ使用量経年!O175+参考2_エネ使用量経年!O262),"")</f>
        <v>0</v>
      </c>
      <c r="P325" s="916">
        <f ca="1">IFERROR($H325*44/12*参考2_エネ使用量経年!$H175*(参考2_エネ使用量経年!P175+参考2_エネ使用量経年!P262),"")</f>
        <v>0</v>
      </c>
      <c r="Q325" s="916">
        <f ca="1">IFERROR($I325*44/12*参考2_エネ使用量経年!$I175*(参考2_エネ使用量経年!Q175+参考2_エネ使用量経年!Q262),"")</f>
        <v>0</v>
      </c>
      <c r="R325" s="916">
        <f ca="1">IFERROR($J325*44/12*参考2_エネ使用量経年!$J175*(参考2_エネ使用量経年!R175+参考2_エネ使用量経年!R262),"")</f>
        <v>0</v>
      </c>
      <c r="S325" s="916">
        <f ca="1">IFERROR($K325*44/12*参考2_エネ使用量経年!$K175*(参考2_エネ使用量経年!S175+参考2_エネ使用量経年!S262),"")</f>
        <v>0</v>
      </c>
      <c r="T325" s="916">
        <f ca="1">IFERROR($H325*44/12*参考2_エネ使用量経年!$H175*(参考2_エネ使用量経年!T175+参考2_エネ使用量経年!T262),"")</f>
        <v>0</v>
      </c>
      <c r="U325" s="916">
        <f ca="1">IFERROR($I325*44/12*参考2_エネ使用量経年!$I175*(参考2_エネ使用量経年!U175+参考2_エネ使用量経年!U262),"")</f>
        <v>0</v>
      </c>
      <c r="V325" s="916">
        <f ca="1">IFERROR($J325*44/12*参考2_エネ使用量経年!$J175*(参考2_エネ使用量経年!V175+参考2_エネ使用量経年!V262),"")</f>
        <v>0</v>
      </c>
      <c r="W325" s="916">
        <f ca="1">IFERROR($K325*44/12*参考2_エネ使用量経年!$K175*(参考2_エネ使用量経年!W175+参考2_エネ使用量経年!W262),"")</f>
        <v>0</v>
      </c>
      <c r="X325" s="916">
        <f ca="1">IFERROR($H325*44/12*参考2_エネ使用量経年!$H175*(参考2_エネ使用量経年!X175+参考2_エネ使用量経年!X262),"")</f>
        <v>0</v>
      </c>
      <c r="Y325" s="916">
        <f ca="1">IFERROR($I325*44/12*参考2_エネ使用量経年!$I175*(参考2_エネ使用量経年!Y175+参考2_エネ使用量経年!Y262),"")</f>
        <v>0</v>
      </c>
      <c r="Z325" s="916">
        <f ca="1">IFERROR($J325*44/12*参考2_エネ使用量経年!$J175*(参考2_エネ使用量経年!Z175+参考2_エネ使用量経年!Z262),"")</f>
        <v>0</v>
      </c>
      <c r="AA325" s="916">
        <f ca="1">IFERROR($K325*44/12*参考2_エネ使用量経年!$K175*(参考2_エネ使用量経年!AA175+参考2_エネ使用量経年!AA262),"")</f>
        <v>0</v>
      </c>
      <c r="AB325" s="916" t="str">
        <f ca="1">IFERROR($H325*44/12*参考2_エネ使用量経年!$H175*(参考2_エネ使用量経年!AB175+参考2_エネ使用量経年!AB262),"")</f>
        <v/>
      </c>
      <c r="AC325" s="916" t="str">
        <f ca="1">IFERROR($I325*44/12*参考2_エネ使用量経年!$I175*(参考2_エネ使用量経年!AC175+参考2_エネ使用量経年!AC262),"")</f>
        <v/>
      </c>
      <c r="AD325" s="916" t="str">
        <f ca="1">IFERROR($J325*44/12*参考2_エネ使用量経年!$J175*(参考2_エネ使用量経年!AD175+参考2_エネ使用量経年!AD262),"")</f>
        <v/>
      </c>
      <c r="AE325" s="916" t="str">
        <f ca="1">IFERROR($K325*44/12*参考2_エネ使用量経年!$K175*(参考2_エネ使用量経年!AE175+参考2_エネ使用量経年!AE262),"")</f>
        <v/>
      </c>
      <c r="AF325" s="916" t="str">
        <f ca="1">IFERROR($H325*44/12*参考2_エネ使用量経年!$H175*(参考2_エネ使用量経年!AF175+参考2_エネ使用量経年!AF262),"")</f>
        <v/>
      </c>
      <c r="AG325" s="916" t="str">
        <f ca="1">IFERROR($I325*44/12*参考2_エネ使用量経年!$I175*(参考2_エネ使用量経年!AG175+参考2_エネ使用量経年!AG262),"")</f>
        <v/>
      </c>
      <c r="AH325" s="916" t="str">
        <f ca="1">IFERROR($J325*44/12*参考2_エネ使用量経年!$J175*(参考2_エネ使用量経年!AH175+参考2_エネ使用量経年!AH262),"")</f>
        <v/>
      </c>
      <c r="AI325" s="916" t="str">
        <f ca="1">IFERROR($K325*44/12*参考2_エネ使用量経年!$K175*(参考2_エネ使用量経年!AI175+参考2_エネ使用量経年!AI262),"")</f>
        <v/>
      </c>
      <c r="AJ325" s="916" t="str">
        <f ca="1">IFERROR($H325*44/12*参考2_エネ使用量経年!$H175*(参考2_エネ使用量経年!AJ175+参考2_エネ使用量経年!AJ262),"")</f>
        <v/>
      </c>
      <c r="AK325" s="916" t="str">
        <f ca="1">IFERROR($I325*44/12*参考2_エネ使用量経年!$I175*(参考2_エネ使用量経年!AK175+参考2_エネ使用量経年!AK262),"")</f>
        <v/>
      </c>
      <c r="AL325" s="916" t="str">
        <f ca="1">IFERROR($J325*44/12*参考2_エネ使用量経年!$J175*(参考2_エネ使用量経年!AL175+参考2_エネ使用量経年!AL262),"")</f>
        <v/>
      </c>
      <c r="AM325" s="916" t="str">
        <f ca="1">IFERROR($K325*44/12*参考2_エネ使用量経年!$K175*(参考2_エネ使用量経年!AM175+参考2_エネ使用量経年!AM262),"")</f>
        <v/>
      </c>
      <c r="AN325" s="916" t="str">
        <f ca="1">IFERROR($H325*44/12*参考2_エネ使用量経年!$H175*(参考2_エネ使用量経年!AN175+参考2_エネ使用量経年!AN262),"")</f>
        <v/>
      </c>
      <c r="AO325" s="916" t="str">
        <f ca="1">IFERROR($I325*44/12*参考2_エネ使用量経年!$I175*(参考2_エネ使用量経年!AO175+参考2_エネ使用量経年!AO262),"")</f>
        <v/>
      </c>
      <c r="AP325" s="916" t="str">
        <f ca="1">IFERROR($J325*44/12*参考2_エネ使用量経年!$J175*(参考2_エネ使用量経年!AP175+参考2_エネ使用量経年!AP262),"")</f>
        <v/>
      </c>
      <c r="AQ325" s="916" t="str">
        <f ca="1">IFERROR($K325*44/12*参考2_エネ使用量経年!$K175*(参考2_エネ使用量経年!AQ175+参考2_エネ使用量経年!AQ262),"")</f>
        <v/>
      </c>
      <c r="AR325" s="916" t="str">
        <f ca="1">IFERROR($H325*44/12*参考2_エネ使用量経年!$H175*(参考2_エネ使用量経年!AR175+参考2_エネ使用量経年!AR262),"")</f>
        <v/>
      </c>
      <c r="AS325" s="916" t="str">
        <f ca="1">IFERROR($I325*44/12*参考2_エネ使用量経年!$I175*(参考2_エネ使用量経年!AS175+参考2_エネ使用量経年!AS262),"")</f>
        <v/>
      </c>
      <c r="AT325" s="916" t="str">
        <f ca="1">IFERROR($J325*44/12*参考2_エネ使用量経年!$J175*(参考2_エネ使用量経年!AT175+参考2_エネ使用量経年!AT262),"")</f>
        <v/>
      </c>
      <c r="AU325" s="916" t="str">
        <f ca="1">IFERROR($K325*44/12*参考2_エネ使用量経年!$K175*(参考2_エネ使用量経年!AU175+参考2_エネ使用量経年!AU262),"")</f>
        <v/>
      </c>
      <c r="AV325" s="916" t="str">
        <f ca="1">IFERROR($H325*44/12*参考2_エネ使用量経年!$H175*(参考2_エネ使用量経年!AV175+参考2_エネ使用量経年!AV262),"")</f>
        <v/>
      </c>
      <c r="AW325" s="916" t="str">
        <f ca="1">IFERROR($I325*44/12*参考2_エネ使用量経年!$I175*(参考2_エネ使用量経年!AW175+参考2_エネ使用量経年!AW262),"")</f>
        <v/>
      </c>
      <c r="AX325" s="916" t="str">
        <f ca="1">IFERROR($J325*44/12*参考2_エネ使用量経年!$J175*(参考2_エネ使用量経年!AX175+参考2_エネ使用量経年!AX262),"")</f>
        <v/>
      </c>
      <c r="AY325" s="916" t="str">
        <f ca="1">IFERROR($K325*44/12*参考2_エネ使用量経年!$K175*(参考2_エネ使用量経年!AY175+参考2_エネ使用量経年!AY262),"")</f>
        <v/>
      </c>
      <c r="AZ325" s="916" t="str">
        <f ca="1">IFERROR($H325*44/12*参考2_エネ使用量経年!$H175*(参考2_エネ使用量経年!AZ175+参考2_エネ使用量経年!AZ262),"")</f>
        <v/>
      </c>
      <c r="BA325" s="916" t="str">
        <f ca="1">IFERROR($I325*44/12*参考2_エネ使用量経年!$I175*(参考2_エネ使用量経年!BA175+参考2_エネ使用量経年!BA262),"")</f>
        <v/>
      </c>
      <c r="BB325" s="916" t="str">
        <f ca="1">IFERROR($J325*44/12*参考2_エネ使用量経年!$J175*(参考2_エネ使用量経年!BB175+参考2_エネ使用量経年!BB262),"")</f>
        <v/>
      </c>
      <c r="BC325" s="916" t="str">
        <f ca="1">IFERROR($K325*44/12*参考2_エネ使用量経年!$K175*(参考2_エネ使用量経年!BC175+参考2_エネ使用量経年!BC262),"")</f>
        <v/>
      </c>
      <c r="BD325" s="916" t="str">
        <f ca="1">IFERROR($H325*44/12*参考2_エネ使用量経年!$H175*(参考2_エネ使用量経年!BD175+参考2_エネ使用量経年!BD262),"")</f>
        <v/>
      </c>
      <c r="BE325" s="916" t="str">
        <f ca="1">IFERROR($I325*44/12*参考2_エネ使用量経年!$I175*(参考2_エネ使用量経年!BE175+参考2_エネ使用量経年!BE262),"")</f>
        <v/>
      </c>
      <c r="BF325" s="916" t="str">
        <f ca="1">IFERROR($J325*44/12*参考2_エネ使用量経年!$J175*(参考2_エネ使用量経年!BF175+参考2_エネ使用量経年!BF262),"")</f>
        <v/>
      </c>
      <c r="BG325" s="916" t="str">
        <f ca="1">IFERROR($K325*44/12*参考2_エネ使用量経年!$K175*(参考2_エネ使用量経年!BG175+参考2_エネ使用量経年!BG262),"")</f>
        <v/>
      </c>
      <c r="BH325" s="916" t="str">
        <f ca="1">IFERROR($H325*44/12*参考2_エネ使用量経年!$H175*(参考2_エネ使用量経年!BH175+参考2_エネ使用量経年!BH262),"")</f>
        <v/>
      </c>
      <c r="BI325" s="916" t="str">
        <f ca="1">IFERROR($I325*44/12*参考2_エネ使用量経年!$I175*(参考2_エネ使用量経年!BI175+参考2_エネ使用量経年!BI262),"")</f>
        <v/>
      </c>
      <c r="BJ325" s="916" t="str">
        <f ca="1">IFERROR($J325*44/12*参考2_エネ使用量経年!$J175*(参考2_エネ使用量経年!BJ175+参考2_エネ使用量経年!BJ262),"")</f>
        <v/>
      </c>
      <c r="BK325" s="916" t="str">
        <f ca="1">IFERROR($K325*44/12*参考2_エネ使用量経年!$K175*(参考2_エネ使用量経年!BK175+参考2_エネ使用量経年!BK262),"")</f>
        <v/>
      </c>
      <c r="BL325" s="916" t="str">
        <f ca="1">IFERROR($H325*44/12*参考2_エネ使用量経年!$H175*(参考2_エネ使用量経年!BL175+参考2_エネ使用量経年!BL262),"")</f>
        <v/>
      </c>
      <c r="BM325" s="916" t="str">
        <f ca="1">IFERROR($I325*44/12*参考2_エネ使用量経年!$I175*(参考2_エネ使用量経年!BM175+参考2_エネ使用量経年!BM262),"")</f>
        <v/>
      </c>
      <c r="BN325" s="916" t="str">
        <f ca="1">IFERROR($J325*44/12*参考2_エネ使用量経年!$J175*(参考2_エネ使用量経年!BN175+参考2_エネ使用量経年!BN262),"")</f>
        <v/>
      </c>
      <c r="BO325" s="916" t="str">
        <f ca="1">IFERROR($K325*44/12*参考2_エネ使用量経年!$K175*(参考2_エネ使用量経年!BO175+参考2_エネ使用量経年!BO262),"")</f>
        <v/>
      </c>
    </row>
    <row r="326" spans="1:67" ht="20.100000000000001" customHeight="1">
      <c r="A326" s="914">
        <v>13</v>
      </c>
      <c r="B326" s="1595"/>
      <c r="C326" s="1596"/>
      <c r="D326" s="785" t="s">
        <v>353</v>
      </c>
      <c r="E326" s="785"/>
      <c r="F326" s="786"/>
      <c r="G326" s="852" t="s">
        <v>1281</v>
      </c>
      <c r="H326" s="915">
        <f t="shared" ca="1" si="109"/>
        <v>1.8700000000000001E-2</v>
      </c>
      <c r="I326" s="915">
        <f t="shared" ca="1" si="110"/>
        <v>1.8700000000000001E-2</v>
      </c>
      <c r="J326" s="915">
        <f t="shared" ca="1" si="111"/>
        <v>1.8700000000000001E-2</v>
      </c>
      <c r="K326" s="915">
        <f t="shared" ca="1" si="112"/>
        <v>1.8700000000000001E-2</v>
      </c>
      <c r="L326" s="916">
        <f ca="1">IFERROR($H326*44/12*参考2_エネ使用量経年!$H176*(参考2_エネ使用量経年!L176+参考2_エネ使用量経年!L263),"")</f>
        <v>0</v>
      </c>
      <c r="M326" s="916">
        <f ca="1">IFERROR($I326*44/12*参考2_エネ使用量経年!$I176*(参考2_エネ使用量経年!M176+参考2_エネ使用量経年!M263),"")</f>
        <v>0</v>
      </c>
      <c r="N326" s="916">
        <f ca="1">IFERROR($J326*44/12*参考2_エネ使用量経年!$J176*(参考2_エネ使用量経年!N176+参考2_エネ使用量経年!N263),"")</f>
        <v>0</v>
      </c>
      <c r="O326" s="916">
        <f ca="1">IFERROR($K326*44/12*参考2_エネ使用量経年!$K176*(参考2_エネ使用量経年!O176+参考2_エネ使用量経年!O263),"")</f>
        <v>0</v>
      </c>
      <c r="P326" s="916">
        <f ca="1">IFERROR($H326*44/12*参考2_エネ使用量経年!$H176*(参考2_エネ使用量経年!P176+参考2_エネ使用量経年!P263),"")</f>
        <v>0</v>
      </c>
      <c r="Q326" s="916">
        <f ca="1">IFERROR($I326*44/12*参考2_エネ使用量経年!$I176*(参考2_エネ使用量経年!Q176+参考2_エネ使用量経年!Q263),"")</f>
        <v>0</v>
      </c>
      <c r="R326" s="916">
        <f ca="1">IFERROR($J326*44/12*参考2_エネ使用量経年!$J176*(参考2_エネ使用量経年!R176+参考2_エネ使用量経年!R263),"")</f>
        <v>0</v>
      </c>
      <c r="S326" s="916">
        <f ca="1">IFERROR($K326*44/12*参考2_エネ使用量経年!$K176*(参考2_エネ使用量経年!S176+参考2_エネ使用量経年!S263),"")</f>
        <v>0</v>
      </c>
      <c r="T326" s="916">
        <f ca="1">IFERROR($H326*44/12*参考2_エネ使用量経年!$H176*(参考2_エネ使用量経年!T176+参考2_エネ使用量経年!T263),"")</f>
        <v>0</v>
      </c>
      <c r="U326" s="916">
        <f ca="1">IFERROR($I326*44/12*参考2_エネ使用量経年!$I176*(参考2_エネ使用量経年!U176+参考2_エネ使用量経年!U263),"")</f>
        <v>0</v>
      </c>
      <c r="V326" s="916">
        <f ca="1">IFERROR($J326*44/12*参考2_エネ使用量経年!$J176*(参考2_エネ使用量経年!V176+参考2_エネ使用量経年!V263),"")</f>
        <v>0</v>
      </c>
      <c r="W326" s="916">
        <f ca="1">IFERROR($K326*44/12*参考2_エネ使用量経年!$K176*(参考2_エネ使用量経年!W176+参考2_エネ使用量経年!W263),"")</f>
        <v>0</v>
      </c>
      <c r="X326" s="916">
        <f ca="1">IFERROR($H326*44/12*参考2_エネ使用量経年!$H176*(参考2_エネ使用量経年!X176+参考2_エネ使用量経年!X263),"")</f>
        <v>0</v>
      </c>
      <c r="Y326" s="916">
        <f ca="1">IFERROR($I326*44/12*参考2_エネ使用量経年!$I176*(参考2_エネ使用量経年!Y176+参考2_エネ使用量経年!Y263),"")</f>
        <v>0</v>
      </c>
      <c r="Z326" s="916">
        <f ca="1">IFERROR($J326*44/12*参考2_エネ使用量経年!$J176*(参考2_エネ使用量経年!Z176+参考2_エネ使用量経年!Z263),"")</f>
        <v>0</v>
      </c>
      <c r="AA326" s="916">
        <f ca="1">IFERROR($K326*44/12*参考2_エネ使用量経年!$K176*(参考2_エネ使用量経年!AA176+参考2_エネ使用量経年!AA263),"")</f>
        <v>0</v>
      </c>
      <c r="AB326" s="916" t="str">
        <f ca="1">IFERROR($H326*44/12*参考2_エネ使用量経年!$H176*(参考2_エネ使用量経年!AB176+参考2_エネ使用量経年!AB263),"")</f>
        <v/>
      </c>
      <c r="AC326" s="916" t="str">
        <f ca="1">IFERROR($I326*44/12*参考2_エネ使用量経年!$I176*(参考2_エネ使用量経年!AC176+参考2_エネ使用量経年!AC263),"")</f>
        <v/>
      </c>
      <c r="AD326" s="916" t="str">
        <f ca="1">IFERROR($J326*44/12*参考2_エネ使用量経年!$J176*(参考2_エネ使用量経年!AD176+参考2_エネ使用量経年!AD263),"")</f>
        <v/>
      </c>
      <c r="AE326" s="916" t="str">
        <f ca="1">IFERROR($K326*44/12*参考2_エネ使用量経年!$K176*(参考2_エネ使用量経年!AE176+参考2_エネ使用量経年!AE263),"")</f>
        <v/>
      </c>
      <c r="AF326" s="916" t="str">
        <f ca="1">IFERROR($H326*44/12*参考2_エネ使用量経年!$H176*(参考2_エネ使用量経年!AF176+参考2_エネ使用量経年!AF263),"")</f>
        <v/>
      </c>
      <c r="AG326" s="916" t="str">
        <f ca="1">IFERROR($I326*44/12*参考2_エネ使用量経年!$I176*(参考2_エネ使用量経年!AG176+参考2_エネ使用量経年!AG263),"")</f>
        <v/>
      </c>
      <c r="AH326" s="916" t="str">
        <f ca="1">IFERROR($J326*44/12*参考2_エネ使用量経年!$J176*(参考2_エネ使用量経年!AH176+参考2_エネ使用量経年!AH263),"")</f>
        <v/>
      </c>
      <c r="AI326" s="916" t="str">
        <f ca="1">IFERROR($K326*44/12*参考2_エネ使用量経年!$K176*(参考2_エネ使用量経年!AI176+参考2_エネ使用量経年!AI263),"")</f>
        <v/>
      </c>
      <c r="AJ326" s="916" t="str">
        <f ca="1">IFERROR($H326*44/12*参考2_エネ使用量経年!$H176*(参考2_エネ使用量経年!AJ176+参考2_エネ使用量経年!AJ263),"")</f>
        <v/>
      </c>
      <c r="AK326" s="916" t="str">
        <f ca="1">IFERROR($I326*44/12*参考2_エネ使用量経年!$I176*(参考2_エネ使用量経年!AK176+参考2_エネ使用量経年!AK263),"")</f>
        <v/>
      </c>
      <c r="AL326" s="916" t="str">
        <f ca="1">IFERROR($J326*44/12*参考2_エネ使用量経年!$J176*(参考2_エネ使用量経年!AL176+参考2_エネ使用量経年!AL263),"")</f>
        <v/>
      </c>
      <c r="AM326" s="916" t="str">
        <f ca="1">IFERROR($K326*44/12*参考2_エネ使用量経年!$K176*(参考2_エネ使用量経年!AM176+参考2_エネ使用量経年!AM263),"")</f>
        <v/>
      </c>
      <c r="AN326" s="916" t="str">
        <f ca="1">IFERROR($H326*44/12*参考2_エネ使用量経年!$H176*(参考2_エネ使用量経年!AN176+参考2_エネ使用量経年!AN263),"")</f>
        <v/>
      </c>
      <c r="AO326" s="916" t="str">
        <f ca="1">IFERROR($I326*44/12*参考2_エネ使用量経年!$I176*(参考2_エネ使用量経年!AO176+参考2_エネ使用量経年!AO263),"")</f>
        <v/>
      </c>
      <c r="AP326" s="916" t="str">
        <f ca="1">IFERROR($J326*44/12*参考2_エネ使用量経年!$J176*(参考2_エネ使用量経年!AP176+参考2_エネ使用量経年!AP263),"")</f>
        <v/>
      </c>
      <c r="AQ326" s="916" t="str">
        <f ca="1">IFERROR($K326*44/12*参考2_エネ使用量経年!$K176*(参考2_エネ使用量経年!AQ176+参考2_エネ使用量経年!AQ263),"")</f>
        <v/>
      </c>
      <c r="AR326" s="916" t="str">
        <f ca="1">IFERROR($H326*44/12*参考2_エネ使用量経年!$H176*(参考2_エネ使用量経年!AR176+参考2_エネ使用量経年!AR263),"")</f>
        <v/>
      </c>
      <c r="AS326" s="916" t="str">
        <f ca="1">IFERROR($I326*44/12*参考2_エネ使用量経年!$I176*(参考2_エネ使用量経年!AS176+参考2_エネ使用量経年!AS263),"")</f>
        <v/>
      </c>
      <c r="AT326" s="916" t="str">
        <f ca="1">IFERROR($J326*44/12*参考2_エネ使用量経年!$J176*(参考2_エネ使用量経年!AT176+参考2_エネ使用量経年!AT263),"")</f>
        <v/>
      </c>
      <c r="AU326" s="916" t="str">
        <f ca="1">IFERROR($K326*44/12*参考2_エネ使用量経年!$K176*(参考2_エネ使用量経年!AU176+参考2_エネ使用量経年!AU263),"")</f>
        <v/>
      </c>
      <c r="AV326" s="916" t="str">
        <f ca="1">IFERROR($H326*44/12*参考2_エネ使用量経年!$H176*(参考2_エネ使用量経年!AV176+参考2_エネ使用量経年!AV263),"")</f>
        <v/>
      </c>
      <c r="AW326" s="916" t="str">
        <f ca="1">IFERROR($I326*44/12*参考2_エネ使用量経年!$I176*(参考2_エネ使用量経年!AW176+参考2_エネ使用量経年!AW263),"")</f>
        <v/>
      </c>
      <c r="AX326" s="916" t="str">
        <f ca="1">IFERROR($J326*44/12*参考2_エネ使用量経年!$J176*(参考2_エネ使用量経年!AX176+参考2_エネ使用量経年!AX263),"")</f>
        <v/>
      </c>
      <c r="AY326" s="916" t="str">
        <f ca="1">IFERROR($K326*44/12*参考2_エネ使用量経年!$K176*(参考2_エネ使用量経年!AY176+参考2_エネ使用量経年!AY263),"")</f>
        <v/>
      </c>
      <c r="AZ326" s="916" t="str">
        <f ca="1">IFERROR($H326*44/12*参考2_エネ使用量経年!$H176*(参考2_エネ使用量経年!AZ176+参考2_エネ使用量経年!AZ263),"")</f>
        <v/>
      </c>
      <c r="BA326" s="916" t="str">
        <f ca="1">IFERROR($I326*44/12*参考2_エネ使用量経年!$I176*(参考2_エネ使用量経年!BA176+参考2_エネ使用量経年!BA263),"")</f>
        <v/>
      </c>
      <c r="BB326" s="916" t="str">
        <f ca="1">IFERROR($J326*44/12*参考2_エネ使用量経年!$J176*(参考2_エネ使用量経年!BB176+参考2_エネ使用量経年!BB263),"")</f>
        <v/>
      </c>
      <c r="BC326" s="916" t="str">
        <f ca="1">IFERROR($K326*44/12*参考2_エネ使用量経年!$K176*(参考2_エネ使用量経年!BC176+参考2_エネ使用量経年!BC263),"")</f>
        <v/>
      </c>
      <c r="BD326" s="916" t="str">
        <f ca="1">IFERROR($H326*44/12*参考2_エネ使用量経年!$H176*(参考2_エネ使用量経年!BD176+参考2_エネ使用量経年!BD263),"")</f>
        <v/>
      </c>
      <c r="BE326" s="916" t="str">
        <f ca="1">IFERROR($I326*44/12*参考2_エネ使用量経年!$I176*(参考2_エネ使用量経年!BE176+参考2_エネ使用量経年!BE263),"")</f>
        <v/>
      </c>
      <c r="BF326" s="916" t="str">
        <f ca="1">IFERROR($J326*44/12*参考2_エネ使用量経年!$J176*(参考2_エネ使用量経年!BF176+参考2_エネ使用量経年!BF263),"")</f>
        <v/>
      </c>
      <c r="BG326" s="916" t="str">
        <f ca="1">IFERROR($K326*44/12*参考2_エネ使用量経年!$K176*(参考2_エネ使用量経年!BG176+参考2_エネ使用量経年!BG263),"")</f>
        <v/>
      </c>
      <c r="BH326" s="916" t="str">
        <f ca="1">IFERROR($H326*44/12*参考2_エネ使用量経年!$H176*(参考2_エネ使用量経年!BH176+参考2_エネ使用量経年!BH263),"")</f>
        <v/>
      </c>
      <c r="BI326" s="916" t="str">
        <f ca="1">IFERROR($I326*44/12*参考2_エネ使用量経年!$I176*(参考2_エネ使用量経年!BI176+参考2_エネ使用量経年!BI263),"")</f>
        <v/>
      </c>
      <c r="BJ326" s="916" t="str">
        <f ca="1">IFERROR($J326*44/12*参考2_エネ使用量経年!$J176*(参考2_エネ使用量経年!BJ176+参考2_エネ使用量経年!BJ263),"")</f>
        <v/>
      </c>
      <c r="BK326" s="916" t="str">
        <f ca="1">IFERROR($K326*44/12*参考2_エネ使用量経年!$K176*(参考2_エネ使用量経年!BK176+参考2_エネ使用量経年!BK263),"")</f>
        <v/>
      </c>
      <c r="BL326" s="916" t="str">
        <f ca="1">IFERROR($H326*44/12*参考2_エネ使用量経年!$H176*(参考2_エネ使用量経年!BL176+参考2_エネ使用量経年!BL263),"")</f>
        <v/>
      </c>
      <c r="BM326" s="916" t="str">
        <f ca="1">IFERROR($I326*44/12*参考2_エネ使用量経年!$I176*(参考2_エネ使用量経年!BM176+参考2_エネ使用量経年!BM263),"")</f>
        <v/>
      </c>
      <c r="BN326" s="916" t="str">
        <f ca="1">IFERROR($J326*44/12*参考2_エネ使用量経年!$J176*(参考2_エネ使用量経年!BN176+参考2_エネ使用量経年!BN263),"")</f>
        <v/>
      </c>
      <c r="BO326" s="916" t="str">
        <f ca="1">IFERROR($K326*44/12*参考2_エネ使用量経年!$K176*(参考2_エネ使用量経年!BO176+参考2_エネ使用量経年!BO263),"")</f>
        <v/>
      </c>
    </row>
    <row r="327" spans="1:67" ht="20.100000000000001" customHeight="1">
      <c r="A327" s="914">
        <v>14</v>
      </c>
      <c r="B327" s="1595"/>
      <c r="C327" s="1596"/>
      <c r="D327" s="785" t="s">
        <v>354</v>
      </c>
      <c r="E327" s="785"/>
      <c r="F327" s="786"/>
      <c r="G327" s="852" t="s">
        <v>1281</v>
      </c>
      <c r="H327" s="915">
        <f t="shared" ca="1" si="109"/>
        <v>1.8800000000000001E-2</v>
      </c>
      <c r="I327" s="915">
        <f t="shared" ca="1" si="110"/>
        <v>1.8800000000000001E-2</v>
      </c>
      <c r="J327" s="915">
        <f t="shared" ca="1" si="111"/>
        <v>1.8800000000000001E-2</v>
      </c>
      <c r="K327" s="915">
        <f t="shared" ca="1" si="112"/>
        <v>1.8800000000000001E-2</v>
      </c>
      <c r="L327" s="916">
        <f ca="1">IFERROR($H327*44/12*参考2_エネ使用量経年!$H177*(参考2_エネ使用量経年!L177+参考2_エネ使用量経年!L264),"")</f>
        <v>0</v>
      </c>
      <c r="M327" s="916">
        <f ca="1">IFERROR($I327*44/12*参考2_エネ使用量経年!$I177*(参考2_エネ使用量経年!M177+参考2_エネ使用量経年!M264),"")</f>
        <v>0</v>
      </c>
      <c r="N327" s="916">
        <f ca="1">IFERROR($J327*44/12*参考2_エネ使用量経年!$J177*(参考2_エネ使用量経年!N177+参考2_エネ使用量経年!N264),"")</f>
        <v>0</v>
      </c>
      <c r="O327" s="916">
        <f ca="1">IFERROR($K327*44/12*参考2_エネ使用量経年!$K177*(参考2_エネ使用量経年!O177+参考2_エネ使用量経年!O264),"")</f>
        <v>0</v>
      </c>
      <c r="P327" s="916">
        <f ca="1">IFERROR($H327*44/12*参考2_エネ使用量経年!$H177*(参考2_エネ使用量経年!P177+参考2_エネ使用量経年!P264),"")</f>
        <v>0</v>
      </c>
      <c r="Q327" s="916">
        <f ca="1">IFERROR($I327*44/12*参考2_エネ使用量経年!$I177*(参考2_エネ使用量経年!Q177+参考2_エネ使用量経年!Q264),"")</f>
        <v>0</v>
      </c>
      <c r="R327" s="916">
        <f ca="1">IFERROR($J327*44/12*参考2_エネ使用量経年!$J177*(参考2_エネ使用量経年!R177+参考2_エネ使用量経年!R264),"")</f>
        <v>0</v>
      </c>
      <c r="S327" s="916">
        <f ca="1">IFERROR($K327*44/12*参考2_エネ使用量経年!$K177*(参考2_エネ使用量経年!S177+参考2_エネ使用量経年!S264),"")</f>
        <v>0</v>
      </c>
      <c r="T327" s="916">
        <f ca="1">IFERROR($H327*44/12*参考2_エネ使用量経年!$H177*(参考2_エネ使用量経年!T177+参考2_エネ使用量経年!T264),"")</f>
        <v>0</v>
      </c>
      <c r="U327" s="916">
        <f ca="1">IFERROR($I327*44/12*参考2_エネ使用量経年!$I177*(参考2_エネ使用量経年!U177+参考2_エネ使用量経年!U264),"")</f>
        <v>0</v>
      </c>
      <c r="V327" s="916">
        <f ca="1">IFERROR($J327*44/12*参考2_エネ使用量経年!$J177*(参考2_エネ使用量経年!V177+参考2_エネ使用量経年!V264),"")</f>
        <v>0</v>
      </c>
      <c r="W327" s="916">
        <f ca="1">IFERROR($K327*44/12*参考2_エネ使用量経年!$K177*(参考2_エネ使用量経年!W177+参考2_エネ使用量経年!W264),"")</f>
        <v>0</v>
      </c>
      <c r="X327" s="916">
        <f ca="1">IFERROR($H327*44/12*参考2_エネ使用量経年!$H177*(参考2_エネ使用量経年!X177+参考2_エネ使用量経年!X264),"")</f>
        <v>0</v>
      </c>
      <c r="Y327" s="916">
        <f ca="1">IFERROR($I327*44/12*参考2_エネ使用量経年!$I177*(参考2_エネ使用量経年!Y177+参考2_エネ使用量経年!Y264),"")</f>
        <v>0</v>
      </c>
      <c r="Z327" s="916">
        <f ca="1">IFERROR($J327*44/12*参考2_エネ使用量経年!$J177*(参考2_エネ使用量経年!Z177+参考2_エネ使用量経年!Z264),"")</f>
        <v>0</v>
      </c>
      <c r="AA327" s="916">
        <f ca="1">IFERROR($K327*44/12*参考2_エネ使用量経年!$K177*(参考2_エネ使用量経年!AA177+参考2_エネ使用量経年!AA264),"")</f>
        <v>0</v>
      </c>
      <c r="AB327" s="916" t="str">
        <f ca="1">IFERROR($H327*44/12*参考2_エネ使用量経年!$H177*(参考2_エネ使用量経年!AB177+参考2_エネ使用量経年!AB264),"")</f>
        <v/>
      </c>
      <c r="AC327" s="916" t="str">
        <f ca="1">IFERROR($I327*44/12*参考2_エネ使用量経年!$I177*(参考2_エネ使用量経年!AC177+参考2_エネ使用量経年!AC264),"")</f>
        <v/>
      </c>
      <c r="AD327" s="916" t="str">
        <f ca="1">IFERROR($J327*44/12*参考2_エネ使用量経年!$J177*(参考2_エネ使用量経年!AD177+参考2_エネ使用量経年!AD264),"")</f>
        <v/>
      </c>
      <c r="AE327" s="916" t="str">
        <f ca="1">IFERROR($K327*44/12*参考2_エネ使用量経年!$K177*(参考2_エネ使用量経年!AE177+参考2_エネ使用量経年!AE264),"")</f>
        <v/>
      </c>
      <c r="AF327" s="916" t="str">
        <f ca="1">IFERROR($H327*44/12*参考2_エネ使用量経年!$H177*(参考2_エネ使用量経年!AF177+参考2_エネ使用量経年!AF264),"")</f>
        <v/>
      </c>
      <c r="AG327" s="916" t="str">
        <f ca="1">IFERROR($I327*44/12*参考2_エネ使用量経年!$I177*(参考2_エネ使用量経年!AG177+参考2_エネ使用量経年!AG264),"")</f>
        <v/>
      </c>
      <c r="AH327" s="916" t="str">
        <f ca="1">IFERROR($J327*44/12*参考2_エネ使用量経年!$J177*(参考2_エネ使用量経年!AH177+参考2_エネ使用量経年!AH264),"")</f>
        <v/>
      </c>
      <c r="AI327" s="916" t="str">
        <f ca="1">IFERROR($K327*44/12*参考2_エネ使用量経年!$K177*(参考2_エネ使用量経年!AI177+参考2_エネ使用量経年!AI264),"")</f>
        <v/>
      </c>
      <c r="AJ327" s="916" t="str">
        <f ca="1">IFERROR($H327*44/12*参考2_エネ使用量経年!$H177*(参考2_エネ使用量経年!AJ177+参考2_エネ使用量経年!AJ264),"")</f>
        <v/>
      </c>
      <c r="AK327" s="916" t="str">
        <f ca="1">IFERROR($I327*44/12*参考2_エネ使用量経年!$I177*(参考2_エネ使用量経年!AK177+参考2_エネ使用量経年!AK264),"")</f>
        <v/>
      </c>
      <c r="AL327" s="916" t="str">
        <f ca="1">IFERROR($J327*44/12*参考2_エネ使用量経年!$J177*(参考2_エネ使用量経年!AL177+参考2_エネ使用量経年!AL264),"")</f>
        <v/>
      </c>
      <c r="AM327" s="916" t="str">
        <f ca="1">IFERROR($K327*44/12*参考2_エネ使用量経年!$K177*(参考2_エネ使用量経年!AM177+参考2_エネ使用量経年!AM264),"")</f>
        <v/>
      </c>
      <c r="AN327" s="916" t="str">
        <f ca="1">IFERROR($H327*44/12*参考2_エネ使用量経年!$H177*(参考2_エネ使用量経年!AN177+参考2_エネ使用量経年!AN264),"")</f>
        <v/>
      </c>
      <c r="AO327" s="916" t="str">
        <f ca="1">IFERROR($I327*44/12*参考2_エネ使用量経年!$I177*(参考2_エネ使用量経年!AO177+参考2_エネ使用量経年!AO264),"")</f>
        <v/>
      </c>
      <c r="AP327" s="916" t="str">
        <f ca="1">IFERROR($J327*44/12*参考2_エネ使用量経年!$J177*(参考2_エネ使用量経年!AP177+参考2_エネ使用量経年!AP264),"")</f>
        <v/>
      </c>
      <c r="AQ327" s="916" t="str">
        <f ca="1">IFERROR($K327*44/12*参考2_エネ使用量経年!$K177*(参考2_エネ使用量経年!AQ177+参考2_エネ使用量経年!AQ264),"")</f>
        <v/>
      </c>
      <c r="AR327" s="916" t="str">
        <f ca="1">IFERROR($H327*44/12*参考2_エネ使用量経年!$H177*(参考2_エネ使用量経年!AR177+参考2_エネ使用量経年!AR264),"")</f>
        <v/>
      </c>
      <c r="AS327" s="916" t="str">
        <f ca="1">IFERROR($I327*44/12*参考2_エネ使用量経年!$I177*(参考2_エネ使用量経年!AS177+参考2_エネ使用量経年!AS264),"")</f>
        <v/>
      </c>
      <c r="AT327" s="916" t="str">
        <f ca="1">IFERROR($J327*44/12*参考2_エネ使用量経年!$J177*(参考2_エネ使用量経年!AT177+参考2_エネ使用量経年!AT264),"")</f>
        <v/>
      </c>
      <c r="AU327" s="916" t="str">
        <f ca="1">IFERROR($K327*44/12*参考2_エネ使用量経年!$K177*(参考2_エネ使用量経年!AU177+参考2_エネ使用量経年!AU264),"")</f>
        <v/>
      </c>
      <c r="AV327" s="916" t="str">
        <f ca="1">IFERROR($H327*44/12*参考2_エネ使用量経年!$H177*(参考2_エネ使用量経年!AV177+参考2_エネ使用量経年!AV264),"")</f>
        <v/>
      </c>
      <c r="AW327" s="916" t="str">
        <f ca="1">IFERROR($I327*44/12*参考2_エネ使用量経年!$I177*(参考2_エネ使用量経年!AW177+参考2_エネ使用量経年!AW264),"")</f>
        <v/>
      </c>
      <c r="AX327" s="916" t="str">
        <f ca="1">IFERROR($J327*44/12*参考2_エネ使用量経年!$J177*(参考2_エネ使用量経年!AX177+参考2_エネ使用量経年!AX264),"")</f>
        <v/>
      </c>
      <c r="AY327" s="916" t="str">
        <f ca="1">IFERROR($K327*44/12*参考2_エネ使用量経年!$K177*(参考2_エネ使用量経年!AY177+参考2_エネ使用量経年!AY264),"")</f>
        <v/>
      </c>
      <c r="AZ327" s="916" t="str">
        <f ca="1">IFERROR($H327*44/12*参考2_エネ使用量経年!$H177*(参考2_エネ使用量経年!AZ177+参考2_エネ使用量経年!AZ264),"")</f>
        <v/>
      </c>
      <c r="BA327" s="916" t="str">
        <f ca="1">IFERROR($I327*44/12*参考2_エネ使用量経年!$I177*(参考2_エネ使用量経年!BA177+参考2_エネ使用量経年!BA264),"")</f>
        <v/>
      </c>
      <c r="BB327" s="916" t="str">
        <f ca="1">IFERROR($J327*44/12*参考2_エネ使用量経年!$J177*(参考2_エネ使用量経年!BB177+参考2_エネ使用量経年!BB264),"")</f>
        <v/>
      </c>
      <c r="BC327" s="916" t="str">
        <f ca="1">IFERROR($K327*44/12*参考2_エネ使用量経年!$K177*(参考2_エネ使用量経年!BC177+参考2_エネ使用量経年!BC264),"")</f>
        <v/>
      </c>
      <c r="BD327" s="916" t="str">
        <f ca="1">IFERROR($H327*44/12*参考2_エネ使用量経年!$H177*(参考2_エネ使用量経年!BD177+参考2_エネ使用量経年!BD264),"")</f>
        <v/>
      </c>
      <c r="BE327" s="916" t="str">
        <f ca="1">IFERROR($I327*44/12*参考2_エネ使用量経年!$I177*(参考2_エネ使用量経年!BE177+参考2_エネ使用量経年!BE264),"")</f>
        <v/>
      </c>
      <c r="BF327" s="916" t="str">
        <f ca="1">IFERROR($J327*44/12*参考2_エネ使用量経年!$J177*(参考2_エネ使用量経年!BF177+参考2_エネ使用量経年!BF264),"")</f>
        <v/>
      </c>
      <c r="BG327" s="916" t="str">
        <f ca="1">IFERROR($K327*44/12*参考2_エネ使用量経年!$K177*(参考2_エネ使用量経年!BG177+参考2_エネ使用量経年!BG264),"")</f>
        <v/>
      </c>
      <c r="BH327" s="916" t="str">
        <f ca="1">IFERROR($H327*44/12*参考2_エネ使用量経年!$H177*(参考2_エネ使用量経年!BH177+参考2_エネ使用量経年!BH264),"")</f>
        <v/>
      </c>
      <c r="BI327" s="916" t="str">
        <f ca="1">IFERROR($I327*44/12*参考2_エネ使用量経年!$I177*(参考2_エネ使用量経年!BI177+参考2_エネ使用量経年!BI264),"")</f>
        <v/>
      </c>
      <c r="BJ327" s="916" t="str">
        <f ca="1">IFERROR($J327*44/12*参考2_エネ使用量経年!$J177*(参考2_エネ使用量経年!BJ177+参考2_エネ使用量経年!BJ264),"")</f>
        <v/>
      </c>
      <c r="BK327" s="916" t="str">
        <f ca="1">IFERROR($K327*44/12*参考2_エネ使用量経年!$K177*(参考2_エネ使用量経年!BK177+参考2_エネ使用量経年!BK264),"")</f>
        <v/>
      </c>
      <c r="BL327" s="916" t="str">
        <f ca="1">IFERROR($H327*44/12*参考2_エネ使用量経年!$H177*(参考2_エネ使用量経年!BL177+参考2_エネ使用量経年!BL264),"")</f>
        <v/>
      </c>
      <c r="BM327" s="916" t="str">
        <f ca="1">IFERROR($I327*44/12*参考2_エネ使用量経年!$I177*(参考2_エネ使用量経年!BM177+参考2_エネ使用量経年!BM264),"")</f>
        <v/>
      </c>
      <c r="BN327" s="916" t="str">
        <f ca="1">IFERROR($J327*44/12*参考2_エネ使用量経年!$J177*(参考2_エネ使用量経年!BN177+参考2_エネ使用量経年!BN264),"")</f>
        <v/>
      </c>
      <c r="BO327" s="916" t="str">
        <f ca="1">IFERROR($K327*44/12*参考2_エネ使用量経年!$K177*(参考2_エネ使用量経年!BO177+参考2_エネ使用量経年!BO264),"")</f>
        <v/>
      </c>
    </row>
    <row r="328" spans="1:67" ht="20.100000000000001" customHeight="1">
      <c r="A328" s="914">
        <v>15</v>
      </c>
      <c r="B328" s="1594"/>
      <c r="C328" s="1596"/>
      <c r="D328" s="785" t="s">
        <v>355</v>
      </c>
      <c r="E328" s="785"/>
      <c r="F328" s="786"/>
      <c r="G328" s="852" t="s">
        <v>1281</v>
      </c>
      <c r="H328" s="915">
        <f t="shared" ca="1" si="109"/>
        <v>1.9300000000000001E-2</v>
      </c>
      <c r="I328" s="915">
        <f t="shared" ca="1" si="110"/>
        <v>1.9300000000000001E-2</v>
      </c>
      <c r="J328" s="915">
        <f t="shared" ca="1" si="111"/>
        <v>1.9300000000000001E-2</v>
      </c>
      <c r="K328" s="915">
        <f t="shared" ca="1" si="112"/>
        <v>1.9300000000000001E-2</v>
      </c>
      <c r="L328" s="916">
        <f ca="1">IFERROR($H328*44/12*参考2_エネ使用量経年!$H178*(参考2_エネ使用量経年!L178+参考2_エネ使用量経年!L265),"")</f>
        <v>0</v>
      </c>
      <c r="M328" s="916">
        <f ca="1">IFERROR($I328*44/12*参考2_エネ使用量経年!$I178*(参考2_エネ使用量経年!M178+参考2_エネ使用量経年!M265),"")</f>
        <v>0</v>
      </c>
      <c r="N328" s="916">
        <f ca="1">IFERROR($J328*44/12*参考2_エネ使用量経年!$J178*(参考2_エネ使用量経年!N178+参考2_エネ使用量経年!N265),"")</f>
        <v>0</v>
      </c>
      <c r="O328" s="916">
        <f ca="1">IFERROR($K328*44/12*参考2_エネ使用量経年!$K178*(参考2_エネ使用量経年!O178+参考2_エネ使用量経年!O265),"")</f>
        <v>0</v>
      </c>
      <c r="P328" s="916">
        <f ca="1">IFERROR($H328*44/12*参考2_エネ使用量経年!$H178*(参考2_エネ使用量経年!P178+参考2_エネ使用量経年!P265),"")</f>
        <v>0</v>
      </c>
      <c r="Q328" s="916">
        <f ca="1">IFERROR($I328*44/12*参考2_エネ使用量経年!$I178*(参考2_エネ使用量経年!Q178+参考2_エネ使用量経年!Q265),"")</f>
        <v>0</v>
      </c>
      <c r="R328" s="916">
        <f ca="1">IFERROR($J328*44/12*参考2_エネ使用量経年!$J178*(参考2_エネ使用量経年!R178+参考2_エネ使用量経年!R265),"")</f>
        <v>0</v>
      </c>
      <c r="S328" s="916">
        <f ca="1">IFERROR($K328*44/12*参考2_エネ使用量経年!$K178*(参考2_エネ使用量経年!S178+参考2_エネ使用量経年!S265),"")</f>
        <v>0</v>
      </c>
      <c r="T328" s="916">
        <f ca="1">IFERROR($H328*44/12*参考2_エネ使用量経年!$H178*(参考2_エネ使用量経年!T178+参考2_エネ使用量経年!T265),"")</f>
        <v>0</v>
      </c>
      <c r="U328" s="916">
        <f ca="1">IFERROR($I328*44/12*参考2_エネ使用量経年!$I178*(参考2_エネ使用量経年!U178+参考2_エネ使用量経年!U265),"")</f>
        <v>0</v>
      </c>
      <c r="V328" s="916">
        <f ca="1">IFERROR($J328*44/12*参考2_エネ使用量経年!$J178*(参考2_エネ使用量経年!V178+参考2_エネ使用量経年!V265),"")</f>
        <v>0</v>
      </c>
      <c r="W328" s="916">
        <f ca="1">IFERROR($K328*44/12*参考2_エネ使用量経年!$K178*(参考2_エネ使用量経年!W178+参考2_エネ使用量経年!W265),"")</f>
        <v>0</v>
      </c>
      <c r="X328" s="916">
        <f ca="1">IFERROR($H328*44/12*参考2_エネ使用量経年!$H178*(参考2_エネ使用量経年!X178+参考2_エネ使用量経年!X265),"")</f>
        <v>0</v>
      </c>
      <c r="Y328" s="916">
        <f ca="1">IFERROR($I328*44/12*参考2_エネ使用量経年!$I178*(参考2_エネ使用量経年!Y178+参考2_エネ使用量経年!Y265),"")</f>
        <v>0</v>
      </c>
      <c r="Z328" s="916">
        <f ca="1">IFERROR($J328*44/12*参考2_エネ使用量経年!$J178*(参考2_エネ使用量経年!Z178+参考2_エネ使用量経年!Z265),"")</f>
        <v>0</v>
      </c>
      <c r="AA328" s="916">
        <f ca="1">IFERROR($K328*44/12*参考2_エネ使用量経年!$K178*(参考2_エネ使用量経年!AA178+参考2_エネ使用量経年!AA265),"")</f>
        <v>0</v>
      </c>
      <c r="AB328" s="916" t="str">
        <f ca="1">IFERROR($H328*44/12*参考2_エネ使用量経年!$H178*(参考2_エネ使用量経年!AB178+参考2_エネ使用量経年!AB265),"")</f>
        <v/>
      </c>
      <c r="AC328" s="916" t="str">
        <f ca="1">IFERROR($I328*44/12*参考2_エネ使用量経年!$I178*(参考2_エネ使用量経年!AC178+参考2_エネ使用量経年!AC265),"")</f>
        <v/>
      </c>
      <c r="AD328" s="916" t="str">
        <f ca="1">IFERROR($J328*44/12*参考2_エネ使用量経年!$J178*(参考2_エネ使用量経年!AD178+参考2_エネ使用量経年!AD265),"")</f>
        <v/>
      </c>
      <c r="AE328" s="916" t="str">
        <f ca="1">IFERROR($K328*44/12*参考2_エネ使用量経年!$K178*(参考2_エネ使用量経年!AE178+参考2_エネ使用量経年!AE265),"")</f>
        <v/>
      </c>
      <c r="AF328" s="916" t="str">
        <f ca="1">IFERROR($H328*44/12*参考2_エネ使用量経年!$H178*(参考2_エネ使用量経年!AF178+参考2_エネ使用量経年!AF265),"")</f>
        <v/>
      </c>
      <c r="AG328" s="916" t="str">
        <f ca="1">IFERROR($I328*44/12*参考2_エネ使用量経年!$I178*(参考2_エネ使用量経年!AG178+参考2_エネ使用量経年!AG265),"")</f>
        <v/>
      </c>
      <c r="AH328" s="916" t="str">
        <f ca="1">IFERROR($J328*44/12*参考2_エネ使用量経年!$J178*(参考2_エネ使用量経年!AH178+参考2_エネ使用量経年!AH265),"")</f>
        <v/>
      </c>
      <c r="AI328" s="916" t="str">
        <f ca="1">IFERROR($K328*44/12*参考2_エネ使用量経年!$K178*(参考2_エネ使用量経年!AI178+参考2_エネ使用量経年!AI265),"")</f>
        <v/>
      </c>
      <c r="AJ328" s="916" t="str">
        <f ca="1">IFERROR($H328*44/12*参考2_エネ使用量経年!$H178*(参考2_エネ使用量経年!AJ178+参考2_エネ使用量経年!AJ265),"")</f>
        <v/>
      </c>
      <c r="AK328" s="916" t="str">
        <f ca="1">IFERROR($I328*44/12*参考2_エネ使用量経年!$I178*(参考2_エネ使用量経年!AK178+参考2_エネ使用量経年!AK265),"")</f>
        <v/>
      </c>
      <c r="AL328" s="916" t="str">
        <f ca="1">IFERROR($J328*44/12*参考2_エネ使用量経年!$J178*(参考2_エネ使用量経年!AL178+参考2_エネ使用量経年!AL265),"")</f>
        <v/>
      </c>
      <c r="AM328" s="916" t="str">
        <f ca="1">IFERROR($K328*44/12*参考2_エネ使用量経年!$K178*(参考2_エネ使用量経年!AM178+参考2_エネ使用量経年!AM265),"")</f>
        <v/>
      </c>
      <c r="AN328" s="916" t="str">
        <f ca="1">IFERROR($H328*44/12*参考2_エネ使用量経年!$H178*(参考2_エネ使用量経年!AN178+参考2_エネ使用量経年!AN265),"")</f>
        <v/>
      </c>
      <c r="AO328" s="916" t="str">
        <f ca="1">IFERROR($I328*44/12*参考2_エネ使用量経年!$I178*(参考2_エネ使用量経年!AO178+参考2_エネ使用量経年!AO265),"")</f>
        <v/>
      </c>
      <c r="AP328" s="916" t="str">
        <f ca="1">IFERROR($J328*44/12*参考2_エネ使用量経年!$J178*(参考2_エネ使用量経年!AP178+参考2_エネ使用量経年!AP265),"")</f>
        <v/>
      </c>
      <c r="AQ328" s="916" t="str">
        <f ca="1">IFERROR($K328*44/12*参考2_エネ使用量経年!$K178*(参考2_エネ使用量経年!AQ178+参考2_エネ使用量経年!AQ265),"")</f>
        <v/>
      </c>
      <c r="AR328" s="916" t="str">
        <f ca="1">IFERROR($H328*44/12*参考2_エネ使用量経年!$H178*(参考2_エネ使用量経年!AR178+参考2_エネ使用量経年!AR265),"")</f>
        <v/>
      </c>
      <c r="AS328" s="916" t="str">
        <f ca="1">IFERROR($I328*44/12*参考2_エネ使用量経年!$I178*(参考2_エネ使用量経年!AS178+参考2_エネ使用量経年!AS265),"")</f>
        <v/>
      </c>
      <c r="AT328" s="916" t="str">
        <f ca="1">IFERROR($J328*44/12*参考2_エネ使用量経年!$J178*(参考2_エネ使用量経年!AT178+参考2_エネ使用量経年!AT265),"")</f>
        <v/>
      </c>
      <c r="AU328" s="916" t="str">
        <f ca="1">IFERROR($K328*44/12*参考2_エネ使用量経年!$K178*(参考2_エネ使用量経年!AU178+参考2_エネ使用量経年!AU265),"")</f>
        <v/>
      </c>
      <c r="AV328" s="916" t="str">
        <f ca="1">IFERROR($H328*44/12*参考2_エネ使用量経年!$H178*(参考2_エネ使用量経年!AV178+参考2_エネ使用量経年!AV265),"")</f>
        <v/>
      </c>
      <c r="AW328" s="916" t="str">
        <f ca="1">IFERROR($I328*44/12*参考2_エネ使用量経年!$I178*(参考2_エネ使用量経年!AW178+参考2_エネ使用量経年!AW265),"")</f>
        <v/>
      </c>
      <c r="AX328" s="916" t="str">
        <f ca="1">IFERROR($J328*44/12*参考2_エネ使用量経年!$J178*(参考2_エネ使用量経年!AX178+参考2_エネ使用量経年!AX265),"")</f>
        <v/>
      </c>
      <c r="AY328" s="916" t="str">
        <f ca="1">IFERROR($K328*44/12*参考2_エネ使用量経年!$K178*(参考2_エネ使用量経年!AY178+参考2_エネ使用量経年!AY265),"")</f>
        <v/>
      </c>
      <c r="AZ328" s="916" t="str">
        <f ca="1">IFERROR($H328*44/12*参考2_エネ使用量経年!$H178*(参考2_エネ使用量経年!AZ178+参考2_エネ使用量経年!AZ265),"")</f>
        <v/>
      </c>
      <c r="BA328" s="916" t="str">
        <f ca="1">IFERROR($I328*44/12*参考2_エネ使用量経年!$I178*(参考2_エネ使用量経年!BA178+参考2_エネ使用量経年!BA265),"")</f>
        <v/>
      </c>
      <c r="BB328" s="916" t="str">
        <f ca="1">IFERROR($J328*44/12*参考2_エネ使用量経年!$J178*(参考2_エネ使用量経年!BB178+参考2_エネ使用量経年!BB265),"")</f>
        <v/>
      </c>
      <c r="BC328" s="916" t="str">
        <f ca="1">IFERROR($K328*44/12*参考2_エネ使用量経年!$K178*(参考2_エネ使用量経年!BC178+参考2_エネ使用量経年!BC265),"")</f>
        <v/>
      </c>
      <c r="BD328" s="916" t="str">
        <f ca="1">IFERROR($H328*44/12*参考2_エネ使用量経年!$H178*(参考2_エネ使用量経年!BD178+参考2_エネ使用量経年!BD265),"")</f>
        <v/>
      </c>
      <c r="BE328" s="916" t="str">
        <f ca="1">IFERROR($I328*44/12*参考2_エネ使用量経年!$I178*(参考2_エネ使用量経年!BE178+参考2_エネ使用量経年!BE265),"")</f>
        <v/>
      </c>
      <c r="BF328" s="916" t="str">
        <f ca="1">IFERROR($J328*44/12*参考2_エネ使用量経年!$J178*(参考2_エネ使用量経年!BF178+参考2_エネ使用量経年!BF265),"")</f>
        <v/>
      </c>
      <c r="BG328" s="916" t="str">
        <f ca="1">IFERROR($K328*44/12*参考2_エネ使用量経年!$K178*(参考2_エネ使用量経年!BG178+参考2_エネ使用量経年!BG265),"")</f>
        <v/>
      </c>
      <c r="BH328" s="916" t="str">
        <f ca="1">IFERROR($H328*44/12*参考2_エネ使用量経年!$H178*(参考2_エネ使用量経年!BH178+参考2_エネ使用量経年!BH265),"")</f>
        <v/>
      </c>
      <c r="BI328" s="916" t="str">
        <f ca="1">IFERROR($I328*44/12*参考2_エネ使用量経年!$I178*(参考2_エネ使用量経年!BI178+参考2_エネ使用量経年!BI265),"")</f>
        <v/>
      </c>
      <c r="BJ328" s="916" t="str">
        <f ca="1">IFERROR($J328*44/12*参考2_エネ使用量経年!$J178*(参考2_エネ使用量経年!BJ178+参考2_エネ使用量経年!BJ265),"")</f>
        <v/>
      </c>
      <c r="BK328" s="916" t="str">
        <f ca="1">IFERROR($K328*44/12*参考2_エネ使用量経年!$K178*(参考2_エネ使用量経年!BK178+参考2_エネ使用量経年!BK265),"")</f>
        <v/>
      </c>
      <c r="BL328" s="916" t="str">
        <f ca="1">IFERROR($H328*44/12*参考2_エネ使用量経年!$H178*(参考2_エネ使用量経年!BL178+参考2_エネ使用量経年!BL265),"")</f>
        <v/>
      </c>
      <c r="BM328" s="916" t="str">
        <f ca="1">IFERROR($I328*44/12*参考2_エネ使用量経年!$I178*(参考2_エネ使用量経年!BM178+参考2_エネ使用量経年!BM265),"")</f>
        <v/>
      </c>
      <c r="BN328" s="916" t="str">
        <f ca="1">IFERROR($J328*44/12*参考2_エネ使用量経年!$J178*(参考2_エネ使用量経年!BN178+参考2_エネ使用量経年!BN265),"")</f>
        <v/>
      </c>
      <c r="BO328" s="916" t="str">
        <f ca="1">IFERROR($K328*44/12*参考2_エネ使用量経年!$K178*(参考2_エネ使用量経年!BO178+参考2_エネ使用量経年!BO265),"")</f>
        <v/>
      </c>
    </row>
    <row r="329" spans="1:67" ht="20.100000000000001" customHeight="1">
      <c r="A329" s="914">
        <v>16</v>
      </c>
      <c r="B329" s="1594"/>
      <c r="C329" s="1596"/>
      <c r="D329" s="785" t="s">
        <v>356</v>
      </c>
      <c r="E329" s="779"/>
      <c r="F329" s="786"/>
      <c r="G329" s="852" t="s">
        <v>1281</v>
      </c>
      <c r="H329" s="915">
        <f t="shared" ca="1" si="109"/>
        <v>2.0199999999999999E-2</v>
      </c>
      <c r="I329" s="915">
        <f t="shared" ca="1" si="110"/>
        <v>2.0199999999999999E-2</v>
      </c>
      <c r="J329" s="915">
        <f t="shared" ca="1" si="111"/>
        <v>2.0199999999999999E-2</v>
      </c>
      <c r="K329" s="915">
        <f t="shared" ca="1" si="112"/>
        <v>2.0199999999999999E-2</v>
      </c>
      <c r="L329" s="916">
        <f ca="1">IFERROR($H329*44/12*参考2_エネ使用量経年!$H179*(参考2_エネ使用量経年!L179+参考2_エネ使用量経年!L266),"")</f>
        <v>0</v>
      </c>
      <c r="M329" s="916">
        <f ca="1">IFERROR($I329*44/12*参考2_エネ使用量経年!$I179*(参考2_エネ使用量経年!M179+参考2_エネ使用量経年!M266),"")</f>
        <v>0</v>
      </c>
      <c r="N329" s="916">
        <f ca="1">IFERROR($J329*44/12*参考2_エネ使用量経年!$J179*(参考2_エネ使用量経年!N179+参考2_エネ使用量経年!N266),"")</f>
        <v>0</v>
      </c>
      <c r="O329" s="916">
        <f ca="1">IFERROR($K329*44/12*参考2_エネ使用量経年!$K179*(参考2_エネ使用量経年!O179+参考2_エネ使用量経年!O266),"")</f>
        <v>0</v>
      </c>
      <c r="P329" s="916">
        <f ca="1">IFERROR($H329*44/12*参考2_エネ使用量経年!$H179*(参考2_エネ使用量経年!P179+参考2_エネ使用量経年!P266),"")</f>
        <v>0</v>
      </c>
      <c r="Q329" s="916">
        <f ca="1">IFERROR($I329*44/12*参考2_エネ使用量経年!$I179*(参考2_エネ使用量経年!Q179+参考2_エネ使用量経年!Q266),"")</f>
        <v>0</v>
      </c>
      <c r="R329" s="916">
        <f ca="1">IFERROR($J329*44/12*参考2_エネ使用量経年!$J179*(参考2_エネ使用量経年!R179+参考2_エネ使用量経年!R266),"")</f>
        <v>0</v>
      </c>
      <c r="S329" s="916">
        <f ca="1">IFERROR($K329*44/12*参考2_エネ使用量経年!$K179*(参考2_エネ使用量経年!S179+参考2_エネ使用量経年!S266),"")</f>
        <v>0</v>
      </c>
      <c r="T329" s="916">
        <f ca="1">IFERROR($H329*44/12*参考2_エネ使用量経年!$H179*(参考2_エネ使用量経年!T179+参考2_エネ使用量経年!T266),"")</f>
        <v>0</v>
      </c>
      <c r="U329" s="916">
        <f ca="1">IFERROR($I329*44/12*参考2_エネ使用量経年!$I179*(参考2_エネ使用量経年!U179+参考2_エネ使用量経年!U266),"")</f>
        <v>0</v>
      </c>
      <c r="V329" s="916">
        <f ca="1">IFERROR($J329*44/12*参考2_エネ使用量経年!$J179*(参考2_エネ使用量経年!V179+参考2_エネ使用量経年!V266),"")</f>
        <v>0</v>
      </c>
      <c r="W329" s="916">
        <f ca="1">IFERROR($K329*44/12*参考2_エネ使用量経年!$K179*(参考2_エネ使用量経年!W179+参考2_エネ使用量経年!W266),"")</f>
        <v>0</v>
      </c>
      <c r="X329" s="916">
        <f ca="1">IFERROR($H329*44/12*参考2_エネ使用量経年!$H179*(参考2_エネ使用量経年!X179+参考2_エネ使用量経年!X266),"")</f>
        <v>0</v>
      </c>
      <c r="Y329" s="916">
        <f ca="1">IFERROR($I329*44/12*参考2_エネ使用量経年!$I179*(参考2_エネ使用量経年!Y179+参考2_エネ使用量経年!Y266),"")</f>
        <v>0</v>
      </c>
      <c r="Z329" s="916">
        <f ca="1">IFERROR($J329*44/12*参考2_エネ使用量経年!$J179*(参考2_エネ使用量経年!Z179+参考2_エネ使用量経年!Z266),"")</f>
        <v>0</v>
      </c>
      <c r="AA329" s="916">
        <f ca="1">IFERROR($K329*44/12*参考2_エネ使用量経年!$K179*(参考2_エネ使用量経年!AA179+参考2_エネ使用量経年!AA266),"")</f>
        <v>0</v>
      </c>
      <c r="AB329" s="916" t="str">
        <f ca="1">IFERROR($H329*44/12*参考2_エネ使用量経年!$H179*(参考2_エネ使用量経年!AB179+参考2_エネ使用量経年!AB266),"")</f>
        <v/>
      </c>
      <c r="AC329" s="916" t="str">
        <f ca="1">IFERROR($I329*44/12*参考2_エネ使用量経年!$I179*(参考2_エネ使用量経年!AC179+参考2_エネ使用量経年!AC266),"")</f>
        <v/>
      </c>
      <c r="AD329" s="916" t="str">
        <f ca="1">IFERROR($J329*44/12*参考2_エネ使用量経年!$J179*(参考2_エネ使用量経年!AD179+参考2_エネ使用量経年!AD266),"")</f>
        <v/>
      </c>
      <c r="AE329" s="916" t="str">
        <f ca="1">IFERROR($K329*44/12*参考2_エネ使用量経年!$K179*(参考2_エネ使用量経年!AE179+参考2_エネ使用量経年!AE266),"")</f>
        <v/>
      </c>
      <c r="AF329" s="916" t="str">
        <f ca="1">IFERROR($H329*44/12*参考2_エネ使用量経年!$H179*(参考2_エネ使用量経年!AF179+参考2_エネ使用量経年!AF266),"")</f>
        <v/>
      </c>
      <c r="AG329" s="916" t="str">
        <f ca="1">IFERROR($I329*44/12*参考2_エネ使用量経年!$I179*(参考2_エネ使用量経年!AG179+参考2_エネ使用量経年!AG266),"")</f>
        <v/>
      </c>
      <c r="AH329" s="916" t="str">
        <f ca="1">IFERROR($J329*44/12*参考2_エネ使用量経年!$J179*(参考2_エネ使用量経年!AH179+参考2_エネ使用量経年!AH266),"")</f>
        <v/>
      </c>
      <c r="AI329" s="916" t="str">
        <f ca="1">IFERROR($K329*44/12*参考2_エネ使用量経年!$K179*(参考2_エネ使用量経年!AI179+参考2_エネ使用量経年!AI266),"")</f>
        <v/>
      </c>
      <c r="AJ329" s="916" t="str">
        <f ca="1">IFERROR($H329*44/12*参考2_エネ使用量経年!$H179*(参考2_エネ使用量経年!AJ179+参考2_エネ使用量経年!AJ266),"")</f>
        <v/>
      </c>
      <c r="AK329" s="916" t="str">
        <f ca="1">IFERROR($I329*44/12*参考2_エネ使用量経年!$I179*(参考2_エネ使用量経年!AK179+参考2_エネ使用量経年!AK266),"")</f>
        <v/>
      </c>
      <c r="AL329" s="916" t="str">
        <f ca="1">IFERROR($J329*44/12*参考2_エネ使用量経年!$J179*(参考2_エネ使用量経年!AL179+参考2_エネ使用量経年!AL266),"")</f>
        <v/>
      </c>
      <c r="AM329" s="916" t="str">
        <f ca="1">IFERROR($K329*44/12*参考2_エネ使用量経年!$K179*(参考2_エネ使用量経年!AM179+参考2_エネ使用量経年!AM266),"")</f>
        <v/>
      </c>
      <c r="AN329" s="916" t="str">
        <f ca="1">IFERROR($H329*44/12*参考2_エネ使用量経年!$H179*(参考2_エネ使用量経年!AN179+参考2_エネ使用量経年!AN266),"")</f>
        <v/>
      </c>
      <c r="AO329" s="916" t="str">
        <f ca="1">IFERROR($I329*44/12*参考2_エネ使用量経年!$I179*(参考2_エネ使用量経年!AO179+参考2_エネ使用量経年!AO266),"")</f>
        <v/>
      </c>
      <c r="AP329" s="916" t="str">
        <f ca="1">IFERROR($J329*44/12*参考2_エネ使用量経年!$J179*(参考2_エネ使用量経年!AP179+参考2_エネ使用量経年!AP266),"")</f>
        <v/>
      </c>
      <c r="AQ329" s="916" t="str">
        <f ca="1">IFERROR($K329*44/12*参考2_エネ使用量経年!$K179*(参考2_エネ使用量経年!AQ179+参考2_エネ使用量経年!AQ266),"")</f>
        <v/>
      </c>
      <c r="AR329" s="916" t="str">
        <f ca="1">IFERROR($H329*44/12*参考2_エネ使用量経年!$H179*(参考2_エネ使用量経年!AR179+参考2_エネ使用量経年!AR266),"")</f>
        <v/>
      </c>
      <c r="AS329" s="916" t="str">
        <f ca="1">IFERROR($I329*44/12*参考2_エネ使用量経年!$I179*(参考2_エネ使用量経年!AS179+参考2_エネ使用量経年!AS266),"")</f>
        <v/>
      </c>
      <c r="AT329" s="916" t="str">
        <f ca="1">IFERROR($J329*44/12*参考2_エネ使用量経年!$J179*(参考2_エネ使用量経年!AT179+参考2_エネ使用量経年!AT266),"")</f>
        <v/>
      </c>
      <c r="AU329" s="916" t="str">
        <f ca="1">IFERROR($K329*44/12*参考2_エネ使用量経年!$K179*(参考2_エネ使用量経年!AU179+参考2_エネ使用量経年!AU266),"")</f>
        <v/>
      </c>
      <c r="AV329" s="916" t="str">
        <f ca="1">IFERROR($H329*44/12*参考2_エネ使用量経年!$H179*(参考2_エネ使用量経年!AV179+参考2_エネ使用量経年!AV266),"")</f>
        <v/>
      </c>
      <c r="AW329" s="916" t="str">
        <f ca="1">IFERROR($I329*44/12*参考2_エネ使用量経年!$I179*(参考2_エネ使用量経年!AW179+参考2_エネ使用量経年!AW266),"")</f>
        <v/>
      </c>
      <c r="AX329" s="916" t="str">
        <f ca="1">IFERROR($J329*44/12*参考2_エネ使用量経年!$J179*(参考2_エネ使用量経年!AX179+参考2_エネ使用量経年!AX266),"")</f>
        <v/>
      </c>
      <c r="AY329" s="916" t="str">
        <f ca="1">IFERROR($K329*44/12*参考2_エネ使用量経年!$K179*(参考2_エネ使用量経年!AY179+参考2_エネ使用量経年!AY266),"")</f>
        <v/>
      </c>
      <c r="AZ329" s="916" t="str">
        <f ca="1">IFERROR($H329*44/12*参考2_エネ使用量経年!$H179*(参考2_エネ使用量経年!AZ179+参考2_エネ使用量経年!AZ266),"")</f>
        <v/>
      </c>
      <c r="BA329" s="916" t="str">
        <f ca="1">IFERROR($I329*44/12*参考2_エネ使用量経年!$I179*(参考2_エネ使用量経年!BA179+参考2_エネ使用量経年!BA266),"")</f>
        <v/>
      </c>
      <c r="BB329" s="916" t="str">
        <f ca="1">IFERROR($J329*44/12*参考2_エネ使用量経年!$J179*(参考2_エネ使用量経年!BB179+参考2_エネ使用量経年!BB266),"")</f>
        <v/>
      </c>
      <c r="BC329" s="916" t="str">
        <f ca="1">IFERROR($K329*44/12*参考2_エネ使用量経年!$K179*(参考2_エネ使用量経年!BC179+参考2_エネ使用量経年!BC266),"")</f>
        <v/>
      </c>
      <c r="BD329" s="916" t="str">
        <f ca="1">IFERROR($H329*44/12*参考2_エネ使用量経年!$H179*(参考2_エネ使用量経年!BD179+参考2_エネ使用量経年!BD266),"")</f>
        <v/>
      </c>
      <c r="BE329" s="916" t="str">
        <f ca="1">IFERROR($I329*44/12*参考2_エネ使用量経年!$I179*(参考2_エネ使用量経年!BE179+参考2_エネ使用量経年!BE266),"")</f>
        <v/>
      </c>
      <c r="BF329" s="916" t="str">
        <f ca="1">IFERROR($J329*44/12*参考2_エネ使用量経年!$J179*(参考2_エネ使用量経年!BF179+参考2_エネ使用量経年!BF266),"")</f>
        <v/>
      </c>
      <c r="BG329" s="916" t="str">
        <f ca="1">IFERROR($K329*44/12*参考2_エネ使用量経年!$K179*(参考2_エネ使用量経年!BG179+参考2_エネ使用量経年!BG266),"")</f>
        <v/>
      </c>
      <c r="BH329" s="916" t="str">
        <f ca="1">IFERROR($H329*44/12*参考2_エネ使用量経年!$H179*(参考2_エネ使用量経年!BH179+参考2_エネ使用量経年!BH266),"")</f>
        <v/>
      </c>
      <c r="BI329" s="916" t="str">
        <f ca="1">IFERROR($I329*44/12*参考2_エネ使用量経年!$I179*(参考2_エネ使用量経年!BI179+参考2_エネ使用量経年!BI266),"")</f>
        <v/>
      </c>
      <c r="BJ329" s="916" t="str">
        <f ca="1">IFERROR($J329*44/12*参考2_エネ使用量経年!$J179*(参考2_エネ使用量経年!BJ179+参考2_エネ使用量経年!BJ266),"")</f>
        <v/>
      </c>
      <c r="BK329" s="916" t="str">
        <f ca="1">IFERROR($K329*44/12*参考2_エネ使用量経年!$K179*(参考2_エネ使用量経年!BK179+参考2_エネ使用量経年!BK266),"")</f>
        <v/>
      </c>
      <c r="BL329" s="916" t="str">
        <f ca="1">IFERROR($H329*44/12*参考2_エネ使用量経年!$H179*(参考2_エネ使用量経年!BL179+参考2_エネ使用量経年!BL266),"")</f>
        <v/>
      </c>
      <c r="BM329" s="916" t="str">
        <f ca="1">IFERROR($I329*44/12*参考2_エネ使用量経年!$I179*(参考2_エネ使用量経年!BM179+参考2_エネ使用量経年!BM266),"")</f>
        <v/>
      </c>
      <c r="BN329" s="916" t="str">
        <f ca="1">IFERROR($J329*44/12*参考2_エネ使用量経年!$J179*(参考2_エネ使用量経年!BN179+参考2_エネ使用量経年!BN266),"")</f>
        <v/>
      </c>
      <c r="BO329" s="916" t="str">
        <f ca="1">IFERROR($K329*44/12*参考2_エネ使用量経年!$K179*(参考2_エネ使用量経年!BO179+参考2_エネ使用量経年!BO266),"")</f>
        <v/>
      </c>
    </row>
    <row r="330" spans="1:67" ht="20.100000000000001" customHeight="1">
      <c r="A330" s="914">
        <v>17</v>
      </c>
      <c r="B330" s="1594"/>
      <c r="C330" s="1596"/>
      <c r="D330" s="785" t="s">
        <v>358</v>
      </c>
      <c r="E330" s="785"/>
      <c r="F330" s="786"/>
      <c r="G330" s="852" t="s">
        <v>1281</v>
      </c>
      <c r="H330" s="915">
        <f t="shared" ca="1" si="109"/>
        <v>2.0400000000000001E-2</v>
      </c>
      <c r="I330" s="915">
        <f t="shared" ca="1" si="110"/>
        <v>2.0400000000000001E-2</v>
      </c>
      <c r="J330" s="915">
        <f t="shared" ca="1" si="111"/>
        <v>2.0400000000000001E-2</v>
      </c>
      <c r="K330" s="915">
        <f t="shared" ca="1" si="112"/>
        <v>2.0400000000000001E-2</v>
      </c>
      <c r="L330" s="916">
        <f ca="1">IFERROR($H330*44/12*参考2_エネ使用量経年!$H180*(参考2_エネ使用量経年!L180+参考2_エネ使用量経年!L267),"")</f>
        <v>0</v>
      </c>
      <c r="M330" s="916">
        <f ca="1">IFERROR($I330*44/12*参考2_エネ使用量経年!$I180*(参考2_エネ使用量経年!M180+参考2_エネ使用量経年!M267),"")</f>
        <v>0</v>
      </c>
      <c r="N330" s="916">
        <f ca="1">IFERROR($J330*44/12*参考2_エネ使用量経年!$J180*(参考2_エネ使用量経年!N180+参考2_エネ使用量経年!N267),"")</f>
        <v>0</v>
      </c>
      <c r="O330" s="916">
        <f ca="1">IFERROR($K330*44/12*参考2_エネ使用量経年!$K180*(参考2_エネ使用量経年!O180+参考2_エネ使用量経年!O267),"")</f>
        <v>0</v>
      </c>
      <c r="P330" s="916">
        <f ca="1">IFERROR($H330*44/12*参考2_エネ使用量経年!$H180*(参考2_エネ使用量経年!P180+参考2_エネ使用量経年!P267),"")</f>
        <v>0</v>
      </c>
      <c r="Q330" s="916">
        <f ca="1">IFERROR($I330*44/12*参考2_エネ使用量経年!$I180*(参考2_エネ使用量経年!Q180+参考2_エネ使用量経年!Q267),"")</f>
        <v>0</v>
      </c>
      <c r="R330" s="916">
        <f ca="1">IFERROR($J330*44/12*参考2_エネ使用量経年!$J180*(参考2_エネ使用量経年!R180+参考2_エネ使用量経年!R267),"")</f>
        <v>0</v>
      </c>
      <c r="S330" s="916">
        <f ca="1">IFERROR($K330*44/12*参考2_エネ使用量経年!$K180*(参考2_エネ使用量経年!S180+参考2_エネ使用量経年!S267),"")</f>
        <v>0</v>
      </c>
      <c r="T330" s="916">
        <f ca="1">IFERROR($H330*44/12*参考2_エネ使用量経年!$H180*(参考2_エネ使用量経年!T180+参考2_エネ使用量経年!T267),"")</f>
        <v>0</v>
      </c>
      <c r="U330" s="916">
        <f ca="1">IFERROR($I330*44/12*参考2_エネ使用量経年!$I180*(参考2_エネ使用量経年!U180+参考2_エネ使用量経年!U267),"")</f>
        <v>0</v>
      </c>
      <c r="V330" s="916">
        <f ca="1">IFERROR($J330*44/12*参考2_エネ使用量経年!$J180*(参考2_エネ使用量経年!V180+参考2_エネ使用量経年!V267),"")</f>
        <v>0</v>
      </c>
      <c r="W330" s="916">
        <f ca="1">IFERROR($K330*44/12*参考2_エネ使用量経年!$K180*(参考2_エネ使用量経年!W180+参考2_エネ使用量経年!W267),"")</f>
        <v>0</v>
      </c>
      <c r="X330" s="916">
        <f ca="1">IFERROR($H330*44/12*参考2_エネ使用量経年!$H180*(参考2_エネ使用量経年!X180+参考2_エネ使用量経年!X267),"")</f>
        <v>0</v>
      </c>
      <c r="Y330" s="916">
        <f ca="1">IFERROR($I330*44/12*参考2_エネ使用量経年!$I180*(参考2_エネ使用量経年!Y180+参考2_エネ使用量経年!Y267),"")</f>
        <v>0</v>
      </c>
      <c r="Z330" s="916">
        <f ca="1">IFERROR($J330*44/12*参考2_エネ使用量経年!$J180*(参考2_エネ使用量経年!Z180+参考2_エネ使用量経年!Z267),"")</f>
        <v>0</v>
      </c>
      <c r="AA330" s="916">
        <f ca="1">IFERROR($K330*44/12*参考2_エネ使用量経年!$K180*(参考2_エネ使用量経年!AA180+参考2_エネ使用量経年!AA267),"")</f>
        <v>0</v>
      </c>
      <c r="AB330" s="916" t="str">
        <f ca="1">IFERROR($H330*44/12*参考2_エネ使用量経年!$H180*(参考2_エネ使用量経年!AB180+参考2_エネ使用量経年!AB267),"")</f>
        <v/>
      </c>
      <c r="AC330" s="916" t="str">
        <f ca="1">IFERROR($I330*44/12*参考2_エネ使用量経年!$I180*(参考2_エネ使用量経年!AC180+参考2_エネ使用量経年!AC267),"")</f>
        <v/>
      </c>
      <c r="AD330" s="916" t="str">
        <f ca="1">IFERROR($J330*44/12*参考2_エネ使用量経年!$J180*(参考2_エネ使用量経年!AD180+参考2_エネ使用量経年!AD267),"")</f>
        <v/>
      </c>
      <c r="AE330" s="916" t="str">
        <f ca="1">IFERROR($K330*44/12*参考2_エネ使用量経年!$K180*(参考2_エネ使用量経年!AE180+参考2_エネ使用量経年!AE267),"")</f>
        <v/>
      </c>
      <c r="AF330" s="916" t="str">
        <f ca="1">IFERROR($H330*44/12*参考2_エネ使用量経年!$H180*(参考2_エネ使用量経年!AF180+参考2_エネ使用量経年!AF267),"")</f>
        <v/>
      </c>
      <c r="AG330" s="916" t="str">
        <f ca="1">IFERROR($I330*44/12*参考2_エネ使用量経年!$I180*(参考2_エネ使用量経年!AG180+参考2_エネ使用量経年!AG267),"")</f>
        <v/>
      </c>
      <c r="AH330" s="916" t="str">
        <f ca="1">IFERROR($J330*44/12*参考2_エネ使用量経年!$J180*(参考2_エネ使用量経年!AH180+参考2_エネ使用量経年!AH267),"")</f>
        <v/>
      </c>
      <c r="AI330" s="916" t="str">
        <f ca="1">IFERROR($K330*44/12*参考2_エネ使用量経年!$K180*(参考2_エネ使用量経年!AI180+参考2_エネ使用量経年!AI267),"")</f>
        <v/>
      </c>
      <c r="AJ330" s="916" t="str">
        <f ca="1">IFERROR($H330*44/12*参考2_エネ使用量経年!$H180*(参考2_エネ使用量経年!AJ180+参考2_エネ使用量経年!AJ267),"")</f>
        <v/>
      </c>
      <c r="AK330" s="916" t="str">
        <f ca="1">IFERROR($I330*44/12*参考2_エネ使用量経年!$I180*(参考2_エネ使用量経年!AK180+参考2_エネ使用量経年!AK267),"")</f>
        <v/>
      </c>
      <c r="AL330" s="916" t="str">
        <f ca="1">IFERROR($J330*44/12*参考2_エネ使用量経年!$J180*(参考2_エネ使用量経年!AL180+参考2_エネ使用量経年!AL267),"")</f>
        <v/>
      </c>
      <c r="AM330" s="916" t="str">
        <f ca="1">IFERROR($K330*44/12*参考2_エネ使用量経年!$K180*(参考2_エネ使用量経年!AM180+参考2_エネ使用量経年!AM267),"")</f>
        <v/>
      </c>
      <c r="AN330" s="916" t="str">
        <f ca="1">IFERROR($H330*44/12*参考2_エネ使用量経年!$H180*(参考2_エネ使用量経年!AN180+参考2_エネ使用量経年!AN267),"")</f>
        <v/>
      </c>
      <c r="AO330" s="916" t="str">
        <f ca="1">IFERROR($I330*44/12*参考2_エネ使用量経年!$I180*(参考2_エネ使用量経年!AO180+参考2_エネ使用量経年!AO267),"")</f>
        <v/>
      </c>
      <c r="AP330" s="916" t="str">
        <f ca="1">IFERROR($J330*44/12*参考2_エネ使用量経年!$J180*(参考2_エネ使用量経年!AP180+参考2_エネ使用量経年!AP267),"")</f>
        <v/>
      </c>
      <c r="AQ330" s="916" t="str">
        <f ca="1">IFERROR($K330*44/12*参考2_エネ使用量経年!$K180*(参考2_エネ使用量経年!AQ180+参考2_エネ使用量経年!AQ267),"")</f>
        <v/>
      </c>
      <c r="AR330" s="916" t="str">
        <f ca="1">IFERROR($H330*44/12*参考2_エネ使用量経年!$H180*(参考2_エネ使用量経年!AR180+参考2_エネ使用量経年!AR267),"")</f>
        <v/>
      </c>
      <c r="AS330" s="916" t="str">
        <f ca="1">IFERROR($I330*44/12*参考2_エネ使用量経年!$I180*(参考2_エネ使用量経年!AS180+参考2_エネ使用量経年!AS267),"")</f>
        <v/>
      </c>
      <c r="AT330" s="916" t="str">
        <f ca="1">IFERROR($J330*44/12*参考2_エネ使用量経年!$J180*(参考2_エネ使用量経年!AT180+参考2_エネ使用量経年!AT267),"")</f>
        <v/>
      </c>
      <c r="AU330" s="916" t="str">
        <f ca="1">IFERROR($K330*44/12*参考2_エネ使用量経年!$K180*(参考2_エネ使用量経年!AU180+参考2_エネ使用量経年!AU267),"")</f>
        <v/>
      </c>
      <c r="AV330" s="916" t="str">
        <f ca="1">IFERROR($H330*44/12*参考2_エネ使用量経年!$H180*(参考2_エネ使用量経年!AV180+参考2_エネ使用量経年!AV267),"")</f>
        <v/>
      </c>
      <c r="AW330" s="916" t="str">
        <f ca="1">IFERROR($I330*44/12*参考2_エネ使用量経年!$I180*(参考2_エネ使用量経年!AW180+参考2_エネ使用量経年!AW267),"")</f>
        <v/>
      </c>
      <c r="AX330" s="916" t="str">
        <f ca="1">IFERROR($J330*44/12*参考2_エネ使用量経年!$J180*(参考2_エネ使用量経年!AX180+参考2_エネ使用量経年!AX267),"")</f>
        <v/>
      </c>
      <c r="AY330" s="916" t="str">
        <f ca="1">IFERROR($K330*44/12*参考2_エネ使用量経年!$K180*(参考2_エネ使用量経年!AY180+参考2_エネ使用量経年!AY267),"")</f>
        <v/>
      </c>
      <c r="AZ330" s="916" t="str">
        <f ca="1">IFERROR($H330*44/12*参考2_エネ使用量経年!$H180*(参考2_エネ使用量経年!AZ180+参考2_エネ使用量経年!AZ267),"")</f>
        <v/>
      </c>
      <c r="BA330" s="916" t="str">
        <f ca="1">IFERROR($I330*44/12*参考2_エネ使用量経年!$I180*(参考2_エネ使用量経年!BA180+参考2_エネ使用量経年!BA267),"")</f>
        <v/>
      </c>
      <c r="BB330" s="916" t="str">
        <f ca="1">IFERROR($J330*44/12*参考2_エネ使用量経年!$J180*(参考2_エネ使用量経年!BB180+参考2_エネ使用量経年!BB267),"")</f>
        <v/>
      </c>
      <c r="BC330" s="916" t="str">
        <f ca="1">IFERROR($K330*44/12*参考2_エネ使用量経年!$K180*(参考2_エネ使用量経年!BC180+参考2_エネ使用量経年!BC267),"")</f>
        <v/>
      </c>
      <c r="BD330" s="916" t="str">
        <f ca="1">IFERROR($H330*44/12*参考2_エネ使用量経年!$H180*(参考2_エネ使用量経年!BD180+参考2_エネ使用量経年!BD267),"")</f>
        <v/>
      </c>
      <c r="BE330" s="916" t="str">
        <f ca="1">IFERROR($I330*44/12*参考2_エネ使用量経年!$I180*(参考2_エネ使用量経年!BE180+参考2_エネ使用量経年!BE267),"")</f>
        <v/>
      </c>
      <c r="BF330" s="916" t="str">
        <f ca="1">IFERROR($J330*44/12*参考2_エネ使用量経年!$J180*(参考2_エネ使用量経年!BF180+参考2_エネ使用量経年!BF267),"")</f>
        <v/>
      </c>
      <c r="BG330" s="916" t="str">
        <f ca="1">IFERROR($K330*44/12*参考2_エネ使用量経年!$K180*(参考2_エネ使用量経年!BG180+参考2_エネ使用量経年!BG267),"")</f>
        <v/>
      </c>
      <c r="BH330" s="916" t="str">
        <f ca="1">IFERROR($H330*44/12*参考2_エネ使用量経年!$H180*(参考2_エネ使用量経年!BH180+参考2_エネ使用量経年!BH267),"")</f>
        <v/>
      </c>
      <c r="BI330" s="916" t="str">
        <f ca="1">IFERROR($I330*44/12*参考2_エネ使用量経年!$I180*(参考2_エネ使用量経年!BI180+参考2_エネ使用量経年!BI267),"")</f>
        <v/>
      </c>
      <c r="BJ330" s="916" t="str">
        <f ca="1">IFERROR($J330*44/12*参考2_エネ使用量経年!$J180*(参考2_エネ使用量経年!BJ180+参考2_エネ使用量経年!BJ267),"")</f>
        <v/>
      </c>
      <c r="BK330" s="916" t="str">
        <f ca="1">IFERROR($K330*44/12*参考2_エネ使用量経年!$K180*(参考2_エネ使用量経年!BK180+参考2_エネ使用量経年!BK267),"")</f>
        <v/>
      </c>
      <c r="BL330" s="916" t="str">
        <f ca="1">IFERROR($H330*44/12*参考2_エネ使用量経年!$H180*(参考2_エネ使用量経年!BL180+参考2_エネ使用量経年!BL267),"")</f>
        <v/>
      </c>
      <c r="BM330" s="916" t="str">
        <f ca="1">IFERROR($I330*44/12*参考2_エネ使用量経年!$I180*(参考2_エネ使用量経年!BM180+参考2_エネ使用量経年!BM267),"")</f>
        <v/>
      </c>
      <c r="BN330" s="916" t="str">
        <f ca="1">IFERROR($J330*44/12*参考2_エネ使用量経年!$J180*(参考2_エネ使用量経年!BN180+参考2_エネ使用量経年!BN267),"")</f>
        <v/>
      </c>
      <c r="BO330" s="916" t="str">
        <f ca="1">IFERROR($K330*44/12*参考2_エネ使用量経年!$K180*(参考2_エネ使用量経年!BO180+参考2_エネ使用量経年!BO267),"")</f>
        <v/>
      </c>
    </row>
    <row r="331" spans="1:67" ht="20.100000000000001" customHeight="1">
      <c r="A331" s="914">
        <v>18</v>
      </c>
      <c r="B331" s="1594"/>
      <c r="C331" s="1596"/>
      <c r="D331" s="785" t="s">
        <v>359</v>
      </c>
      <c r="E331" s="785"/>
      <c r="F331" s="786"/>
      <c r="G331" s="852" t="s">
        <v>1281</v>
      </c>
      <c r="H331" s="915">
        <f t="shared" ca="1" si="109"/>
        <v>2.5399999999999999E-2</v>
      </c>
      <c r="I331" s="915">
        <f t="shared" ca="1" si="110"/>
        <v>2.5399999999999999E-2</v>
      </c>
      <c r="J331" s="915">
        <f t="shared" ca="1" si="111"/>
        <v>2.5399999999999999E-2</v>
      </c>
      <c r="K331" s="915">
        <f t="shared" ca="1" si="112"/>
        <v>2.5399999999999999E-2</v>
      </c>
      <c r="L331" s="916">
        <f ca="1">IFERROR($H331*44/12*参考2_エネ使用量経年!$H181*(参考2_エネ使用量経年!L181+参考2_エネ使用量経年!L268),"")</f>
        <v>0</v>
      </c>
      <c r="M331" s="916">
        <f ca="1">IFERROR($I331*44/12*参考2_エネ使用量経年!$I181*(参考2_エネ使用量経年!M181+参考2_エネ使用量経年!M268),"")</f>
        <v>0</v>
      </c>
      <c r="N331" s="916">
        <f ca="1">IFERROR($J331*44/12*参考2_エネ使用量経年!$J181*(参考2_エネ使用量経年!N181+参考2_エネ使用量経年!N268),"")</f>
        <v>0</v>
      </c>
      <c r="O331" s="916">
        <f ca="1">IFERROR($K331*44/12*参考2_エネ使用量経年!$K181*(参考2_エネ使用量経年!O181+参考2_エネ使用量経年!O268),"")</f>
        <v>0</v>
      </c>
      <c r="P331" s="916">
        <f ca="1">IFERROR($H331*44/12*参考2_エネ使用量経年!$H181*(参考2_エネ使用量経年!P181+参考2_エネ使用量経年!P268),"")</f>
        <v>0</v>
      </c>
      <c r="Q331" s="916">
        <f ca="1">IFERROR($I331*44/12*参考2_エネ使用量経年!$I181*(参考2_エネ使用量経年!Q181+参考2_エネ使用量経年!Q268),"")</f>
        <v>0</v>
      </c>
      <c r="R331" s="916">
        <f ca="1">IFERROR($J331*44/12*参考2_エネ使用量経年!$J181*(参考2_エネ使用量経年!R181+参考2_エネ使用量経年!R268),"")</f>
        <v>0</v>
      </c>
      <c r="S331" s="916">
        <f ca="1">IFERROR($K331*44/12*参考2_エネ使用量経年!$K181*(参考2_エネ使用量経年!S181+参考2_エネ使用量経年!S268),"")</f>
        <v>0</v>
      </c>
      <c r="T331" s="916">
        <f ca="1">IFERROR($H331*44/12*参考2_エネ使用量経年!$H181*(参考2_エネ使用量経年!T181+参考2_エネ使用量経年!T268),"")</f>
        <v>0</v>
      </c>
      <c r="U331" s="916">
        <f ca="1">IFERROR($I331*44/12*参考2_エネ使用量経年!$I181*(参考2_エネ使用量経年!U181+参考2_エネ使用量経年!U268),"")</f>
        <v>0</v>
      </c>
      <c r="V331" s="916">
        <f ca="1">IFERROR($J331*44/12*参考2_エネ使用量経年!$J181*(参考2_エネ使用量経年!V181+参考2_エネ使用量経年!V268),"")</f>
        <v>0</v>
      </c>
      <c r="W331" s="916">
        <f ca="1">IFERROR($K331*44/12*参考2_エネ使用量経年!$K181*(参考2_エネ使用量経年!W181+参考2_エネ使用量経年!W268),"")</f>
        <v>0</v>
      </c>
      <c r="X331" s="916">
        <f ca="1">IFERROR($H331*44/12*参考2_エネ使用量経年!$H181*(参考2_エネ使用量経年!X181+参考2_エネ使用量経年!X268),"")</f>
        <v>0</v>
      </c>
      <c r="Y331" s="916">
        <f ca="1">IFERROR($I331*44/12*参考2_エネ使用量経年!$I181*(参考2_エネ使用量経年!Y181+参考2_エネ使用量経年!Y268),"")</f>
        <v>0</v>
      </c>
      <c r="Z331" s="916">
        <f ca="1">IFERROR($J331*44/12*参考2_エネ使用量経年!$J181*(参考2_エネ使用量経年!Z181+参考2_エネ使用量経年!Z268),"")</f>
        <v>0</v>
      </c>
      <c r="AA331" s="916">
        <f ca="1">IFERROR($K331*44/12*参考2_エネ使用量経年!$K181*(参考2_エネ使用量経年!AA181+参考2_エネ使用量経年!AA268),"")</f>
        <v>0</v>
      </c>
      <c r="AB331" s="916" t="str">
        <f ca="1">IFERROR($H331*44/12*参考2_エネ使用量経年!$H181*(参考2_エネ使用量経年!AB181+参考2_エネ使用量経年!AB268),"")</f>
        <v/>
      </c>
      <c r="AC331" s="916" t="str">
        <f ca="1">IFERROR($I331*44/12*参考2_エネ使用量経年!$I181*(参考2_エネ使用量経年!AC181+参考2_エネ使用量経年!AC268),"")</f>
        <v/>
      </c>
      <c r="AD331" s="916" t="str">
        <f ca="1">IFERROR($J331*44/12*参考2_エネ使用量経年!$J181*(参考2_エネ使用量経年!AD181+参考2_エネ使用量経年!AD268),"")</f>
        <v/>
      </c>
      <c r="AE331" s="916" t="str">
        <f ca="1">IFERROR($K331*44/12*参考2_エネ使用量経年!$K181*(参考2_エネ使用量経年!AE181+参考2_エネ使用量経年!AE268),"")</f>
        <v/>
      </c>
      <c r="AF331" s="916" t="str">
        <f ca="1">IFERROR($H331*44/12*参考2_エネ使用量経年!$H181*(参考2_エネ使用量経年!AF181+参考2_エネ使用量経年!AF268),"")</f>
        <v/>
      </c>
      <c r="AG331" s="916" t="str">
        <f ca="1">IFERROR($I331*44/12*参考2_エネ使用量経年!$I181*(参考2_エネ使用量経年!AG181+参考2_エネ使用量経年!AG268),"")</f>
        <v/>
      </c>
      <c r="AH331" s="916" t="str">
        <f ca="1">IFERROR($J331*44/12*参考2_エネ使用量経年!$J181*(参考2_エネ使用量経年!AH181+参考2_エネ使用量経年!AH268),"")</f>
        <v/>
      </c>
      <c r="AI331" s="916" t="str">
        <f ca="1">IFERROR($K331*44/12*参考2_エネ使用量経年!$K181*(参考2_エネ使用量経年!AI181+参考2_エネ使用量経年!AI268),"")</f>
        <v/>
      </c>
      <c r="AJ331" s="916" t="str">
        <f ca="1">IFERROR($H331*44/12*参考2_エネ使用量経年!$H181*(参考2_エネ使用量経年!AJ181+参考2_エネ使用量経年!AJ268),"")</f>
        <v/>
      </c>
      <c r="AK331" s="916" t="str">
        <f ca="1">IFERROR($I331*44/12*参考2_エネ使用量経年!$I181*(参考2_エネ使用量経年!AK181+参考2_エネ使用量経年!AK268),"")</f>
        <v/>
      </c>
      <c r="AL331" s="916" t="str">
        <f ca="1">IFERROR($J331*44/12*参考2_エネ使用量経年!$J181*(参考2_エネ使用量経年!AL181+参考2_エネ使用量経年!AL268),"")</f>
        <v/>
      </c>
      <c r="AM331" s="916" t="str">
        <f ca="1">IFERROR($K331*44/12*参考2_エネ使用量経年!$K181*(参考2_エネ使用量経年!AM181+参考2_エネ使用量経年!AM268),"")</f>
        <v/>
      </c>
      <c r="AN331" s="916" t="str">
        <f ca="1">IFERROR($H331*44/12*参考2_エネ使用量経年!$H181*(参考2_エネ使用量経年!AN181+参考2_エネ使用量経年!AN268),"")</f>
        <v/>
      </c>
      <c r="AO331" s="916" t="str">
        <f ca="1">IFERROR($I331*44/12*参考2_エネ使用量経年!$I181*(参考2_エネ使用量経年!AO181+参考2_エネ使用量経年!AO268),"")</f>
        <v/>
      </c>
      <c r="AP331" s="916" t="str">
        <f ca="1">IFERROR($J331*44/12*参考2_エネ使用量経年!$J181*(参考2_エネ使用量経年!AP181+参考2_エネ使用量経年!AP268),"")</f>
        <v/>
      </c>
      <c r="AQ331" s="916" t="str">
        <f ca="1">IFERROR($K331*44/12*参考2_エネ使用量経年!$K181*(参考2_エネ使用量経年!AQ181+参考2_エネ使用量経年!AQ268),"")</f>
        <v/>
      </c>
      <c r="AR331" s="916" t="str">
        <f ca="1">IFERROR($H331*44/12*参考2_エネ使用量経年!$H181*(参考2_エネ使用量経年!AR181+参考2_エネ使用量経年!AR268),"")</f>
        <v/>
      </c>
      <c r="AS331" s="916" t="str">
        <f ca="1">IFERROR($I331*44/12*参考2_エネ使用量経年!$I181*(参考2_エネ使用量経年!AS181+参考2_エネ使用量経年!AS268),"")</f>
        <v/>
      </c>
      <c r="AT331" s="916" t="str">
        <f ca="1">IFERROR($J331*44/12*参考2_エネ使用量経年!$J181*(参考2_エネ使用量経年!AT181+参考2_エネ使用量経年!AT268),"")</f>
        <v/>
      </c>
      <c r="AU331" s="916" t="str">
        <f ca="1">IFERROR($K331*44/12*参考2_エネ使用量経年!$K181*(参考2_エネ使用量経年!AU181+参考2_エネ使用量経年!AU268),"")</f>
        <v/>
      </c>
      <c r="AV331" s="916" t="str">
        <f ca="1">IFERROR($H331*44/12*参考2_エネ使用量経年!$H181*(参考2_エネ使用量経年!AV181+参考2_エネ使用量経年!AV268),"")</f>
        <v/>
      </c>
      <c r="AW331" s="916" t="str">
        <f ca="1">IFERROR($I331*44/12*参考2_エネ使用量経年!$I181*(参考2_エネ使用量経年!AW181+参考2_エネ使用量経年!AW268),"")</f>
        <v/>
      </c>
      <c r="AX331" s="916" t="str">
        <f ca="1">IFERROR($J331*44/12*参考2_エネ使用量経年!$J181*(参考2_エネ使用量経年!AX181+参考2_エネ使用量経年!AX268),"")</f>
        <v/>
      </c>
      <c r="AY331" s="916" t="str">
        <f ca="1">IFERROR($K331*44/12*参考2_エネ使用量経年!$K181*(参考2_エネ使用量経年!AY181+参考2_エネ使用量経年!AY268),"")</f>
        <v/>
      </c>
      <c r="AZ331" s="916" t="str">
        <f ca="1">IFERROR($H331*44/12*参考2_エネ使用量経年!$H181*(参考2_エネ使用量経年!AZ181+参考2_エネ使用量経年!AZ268),"")</f>
        <v/>
      </c>
      <c r="BA331" s="916" t="str">
        <f ca="1">IFERROR($I331*44/12*参考2_エネ使用量経年!$I181*(参考2_エネ使用量経年!BA181+参考2_エネ使用量経年!BA268),"")</f>
        <v/>
      </c>
      <c r="BB331" s="916" t="str">
        <f ca="1">IFERROR($J331*44/12*参考2_エネ使用量経年!$J181*(参考2_エネ使用量経年!BB181+参考2_エネ使用量経年!BB268),"")</f>
        <v/>
      </c>
      <c r="BC331" s="916" t="str">
        <f ca="1">IFERROR($K331*44/12*参考2_エネ使用量経年!$K181*(参考2_エネ使用量経年!BC181+参考2_エネ使用量経年!BC268),"")</f>
        <v/>
      </c>
      <c r="BD331" s="916" t="str">
        <f ca="1">IFERROR($H331*44/12*参考2_エネ使用量経年!$H181*(参考2_エネ使用量経年!BD181+参考2_エネ使用量経年!BD268),"")</f>
        <v/>
      </c>
      <c r="BE331" s="916" t="str">
        <f ca="1">IFERROR($I331*44/12*参考2_エネ使用量経年!$I181*(参考2_エネ使用量経年!BE181+参考2_エネ使用量経年!BE268),"")</f>
        <v/>
      </c>
      <c r="BF331" s="916" t="str">
        <f ca="1">IFERROR($J331*44/12*参考2_エネ使用量経年!$J181*(参考2_エネ使用量経年!BF181+参考2_エネ使用量経年!BF268),"")</f>
        <v/>
      </c>
      <c r="BG331" s="916" t="str">
        <f ca="1">IFERROR($K331*44/12*参考2_エネ使用量経年!$K181*(参考2_エネ使用量経年!BG181+参考2_エネ使用量経年!BG268),"")</f>
        <v/>
      </c>
      <c r="BH331" s="916" t="str">
        <f ca="1">IFERROR($H331*44/12*参考2_エネ使用量経年!$H181*(参考2_エネ使用量経年!BH181+参考2_エネ使用量経年!BH268),"")</f>
        <v/>
      </c>
      <c r="BI331" s="916" t="str">
        <f ca="1">IFERROR($I331*44/12*参考2_エネ使用量経年!$I181*(参考2_エネ使用量経年!BI181+参考2_エネ使用量経年!BI268),"")</f>
        <v/>
      </c>
      <c r="BJ331" s="916" t="str">
        <f ca="1">IFERROR($J331*44/12*参考2_エネ使用量経年!$J181*(参考2_エネ使用量経年!BJ181+参考2_エネ使用量経年!BJ268),"")</f>
        <v/>
      </c>
      <c r="BK331" s="916" t="str">
        <f ca="1">IFERROR($K331*44/12*参考2_エネ使用量経年!$K181*(参考2_エネ使用量経年!BK181+参考2_エネ使用量経年!BK268),"")</f>
        <v/>
      </c>
      <c r="BL331" s="916" t="str">
        <f ca="1">IFERROR($H331*44/12*参考2_エネ使用量経年!$H181*(参考2_エネ使用量経年!BL181+参考2_エネ使用量経年!BL268),"")</f>
        <v/>
      </c>
      <c r="BM331" s="916" t="str">
        <f ca="1">IFERROR($I331*44/12*参考2_エネ使用量経年!$I181*(参考2_エネ使用量経年!BM181+参考2_エネ使用量経年!BM268),"")</f>
        <v/>
      </c>
      <c r="BN331" s="916" t="str">
        <f ca="1">IFERROR($J331*44/12*参考2_エネ使用量経年!$J181*(参考2_エネ使用量経年!BN181+参考2_エネ使用量経年!BN268),"")</f>
        <v/>
      </c>
      <c r="BO331" s="916" t="str">
        <f ca="1">IFERROR($K331*44/12*参考2_エネ使用量経年!$K181*(参考2_エネ使用量経年!BO181+参考2_エネ使用量経年!BO268),"")</f>
        <v/>
      </c>
    </row>
    <row r="332" spans="1:67" ht="20.100000000000001" customHeight="1">
      <c r="A332" s="914">
        <v>19</v>
      </c>
      <c r="B332" s="1595"/>
      <c r="C332" s="1596"/>
      <c r="D332" s="785" t="s">
        <v>360</v>
      </c>
      <c r="E332" s="785"/>
      <c r="F332" s="786"/>
      <c r="G332" s="852" t="s">
        <v>1281</v>
      </c>
      <c r="H332" s="915">
        <f t="shared" ca="1" si="109"/>
        <v>1.6299999999999999E-2</v>
      </c>
      <c r="I332" s="915">
        <f t="shared" ca="1" si="110"/>
        <v>1.6299999999999999E-2</v>
      </c>
      <c r="J332" s="915">
        <f t="shared" ca="1" si="111"/>
        <v>1.6299999999999999E-2</v>
      </c>
      <c r="K332" s="915">
        <f t="shared" ca="1" si="112"/>
        <v>1.6299999999999999E-2</v>
      </c>
      <c r="L332" s="916">
        <f ca="1">IFERROR($H332*44/12*参考2_エネ使用量経年!$H182*(参考2_エネ使用量経年!L182+参考2_エネ使用量経年!L269),"")</f>
        <v>0</v>
      </c>
      <c r="M332" s="916">
        <f ca="1">IFERROR($I332*44/12*参考2_エネ使用量経年!$I182*(参考2_エネ使用量経年!M182+参考2_エネ使用量経年!M269),"")</f>
        <v>0</v>
      </c>
      <c r="N332" s="916">
        <f ca="1">IFERROR($J332*44/12*参考2_エネ使用量経年!$J182*(参考2_エネ使用量経年!N182+参考2_エネ使用量経年!N269),"")</f>
        <v>0</v>
      </c>
      <c r="O332" s="916">
        <f ca="1">IFERROR($K332*44/12*参考2_エネ使用量経年!$K182*(参考2_エネ使用量経年!O182+参考2_エネ使用量経年!O269),"")</f>
        <v>0</v>
      </c>
      <c r="P332" s="916">
        <f ca="1">IFERROR($H332*44/12*参考2_エネ使用量経年!$H182*(参考2_エネ使用量経年!P182+参考2_エネ使用量経年!P269),"")</f>
        <v>0</v>
      </c>
      <c r="Q332" s="916">
        <f ca="1">IFERROR($I332*44/12*参考2_エネ使用量経年!$I182*(参考2_エネ使用量経年!Q182+参考2_エネ使用量経年!Q269),"")</f>
        <v>0</v>
      </c>
      <c r="R332" s="916">
        <f ca="1">IFERROR($J332*44/12*参考2_エネ使用量経年!$J182*(参考2_エネ使用量経年!R182+参考2_エネ使用量経年!R269),"")</f>
        <v>0</v>
      </c>
      <c r="S332" s="916">
        <f ca="1">IFERROR($K332*44/12*参考2_エネ使用量経年!$K182*(参考2_エネ使用量経年!S182+参考2_エネ使用量経年!S269),"")</f>
        <v>0</v>
      </c>
      <c r="T332" s="916">
        <f ca="1">IFERROR($H332*44/12*参考2_エネ使用量経年!$H182*(参考2_エネ使用量経年!T182+参考2_エネ使用量経年!T269),"")</f>
        <v>0</v>
      </c>
      <c r="U332" s="916">
        <f ca="1">IFERROR($I332*44/12*参考2_エネ使用量経年!$I182*(参考2_エネ使用量経年!U182+参考2_エネ使用量経年!U269),"")</f>
        <v>0</v>
      </c>
      <c r="V332" s="916">
        <f ca="1">IFERROR($J332*44/12*参考2_エネ使用量経年!$J182*(参考2_エネ使用量経年!V182+参考2_エネ使用量経年!V269),"")</f>
        <v>0</v>
      </c>
      <c r="W332" s="916">
        <f ca="1">IFERROR($K332*44/12*参考2_エネ使用量経年!$K182*(参考2_エネ使用量経年!W182+参考2_エネ使用量経年!W269),"")</f>
        <v>0</v>
      </c>
      <c r="X332" s="916">
        <f ca="1">IFERROR($H332*44/12*参考2_エネ使用量経年!$H182*(参考2_エネ使用量経年!X182+参考2_エネ使用量経年!X269),"")</f>
        <v>0</v>
      </c>
      <c r="Y332" s="916">
        <f ca="1">IFERROR($I332*44/12*参考2_エネ使用量経年!$I182*(参考2_エネ使用量経年!Y182+参考2_エネ使用量経年!Y269),"")</f>
        <v>0</v>
      </c>
      <c r="Z332" s="916">
        <f ca="1">IFERROR($J332*44/12*参考2_エネ使用量経年!$J182*(参考2_エネ使用量経年!Z182+参考2_エネ使用量経年!Z269),"")</f>
        <v>0</v>
      </c>
      <c r="AA332" s="916">
        <f ca="1">IFERROR($K332*44/12*参考2_エネ使用量経年!$K182*(参考2_エネ使用量経年!AA182+参考2_エネ使用量経年!AA269),"")</f>
        <v>0</v>
      </c>
      <c r="AB332" s="916" t="str">
        <f ca="1">IFERROR($H332*44/12*参考2_エネ使用量経年!$H182*(参考2_エネ使用量経年!AB182+参考2_エネ使用量経年!AB269),"")</f>
        <v/>
      </c>
      <c r="AC332" s="916" t="str">
        <f ca="1">IFERROR($I332*44/12*参考2_エネ使用量経年!$I182*(参考2_エネ使用量経年!AC182+参考2_エネ使用量経年!AC269),"")</f>
        <v/>
      </c>
      <c r="AD332" s="916" t="str">
        <f ca="1">IFERROR($J332*44/12*参考2_エネ使用量経年!$J182*(参考2_エネ使用量経年!AD182+参考2_エネ使用量経年!AD269),"")</f>
        <v/>
      </c>
      <c r="AE332" s="916" t="str">
        <f ca="1">IFERROR($K332*44/12*参考2_エネ使用量経年!$K182*(参考2_エネ使用量経年!AE182+参考2_エネ使用量経年!AE269),"")</f>
        <v/>
      </c>
      <c r="AF332" s="916" t="str">
        <f ca="1">IFERROR($H332*44/12*参考2_エネ使用量経年!$H182*(参考2_エネ使用量経年!AF182+参考2_エネ使用量経年!AF269),"")</f>
        <v/>
      </c>
      <c r="AG332" s="916" t="str">
        <f ca="1">IFERROR($I332*44/12*参考2_エネ使用量経年!$I182*(参考2_エネ使用量経年!AG182+参考2_エネ使用量経年!AG269),"")</f>
        <v/>
      </c>
      <c r="AH332" s="916" t="str">
        <f ca="1">IFERROR($J332*44/12*参考2_エネ使用量経年!$J182*(参考2_エネ使用量経年!AH182+参考2_エネ使用量経年!AH269),"")</f>
        <v/>
      </c>
      <c r="AI332" s="916" t="str">
        <f ca="1">IFERROR($K332*44/12*参考2_エネ使用量経年!$K182*(参考2_エネ使用量経年!AI182+参考2_エネ使用量経年!AI269),"")</f>
        <v/>
      </c>
      <c r="AJ332" s="916" t="str">
        <f ca="1">IFERROR($H332*44/12*参考2_エネ使用量経年!$H182*(参考2_エネ使用量経年!AJ182+参考2_エネ使用量経年!AJ269),"")</f>
        <v/>
      </c>
      <c r="AK332" s="916" t="str">
        <f ca="1">IFERROR($I332*44/12*参考2_エネ使用量経年!$I182*(参考2_エネ使用量経年!AK182+参考2_エネ使用量経年!AK269),"")</f>
        <v/>
      </c>
      <c r="AL332" s="916" t="str">
        <f ca="1">IFERROR($J332*44/12*参考2_エネ使用量経年!$J182*(参考2_エネ使用量経年!AL182+参考2_エネ使用量経年!AL269),"")</f>
        <v/>
      </c>
      <c r="AM332" s="916" t="str">
        <f ca="1">IFERROR($K332*44/12*参考2_エネ使用量経年!$K182*(参考2_エネ使用量経年!AM182+参考2_エネ使用量経年!AM269),"")</f>
        <v/>
      </c>
      <c r="AN332" s="916" t="str">
        <f ca="1">IFERROR($H332*44/12*参考2_エネ使用量経年!$H182*(参考2_エネ使用量経年!AN182+参考2_エネ使用量経年!AN269),"")</f>
        <v/>
      </c>
      <c r="AO332" s="916" t="str">
        <f ca="1">IFERROR($I332*44/12*参考2_エネ使用量経年!$I182*(参考2_エネ使用量経年!AO182+参考2_エネ使用量経年!AO269),"")</f>
        <v/>
      </c>
      <c r="AP332" s="916" t="str">
        <f ca="1">IFERROR($J332*44/12*参考2_エネ使用量経年!$J182*(参考2_エネ使用量経年!AP182+参考2_エネ使用量経年!AP269),"")</f>
        <v/>
      </c>
      <c r="AQ332" s="916" t="str">
        <f ca="1">IFERROR($K332*44/12*参考2_エネ使用量経年!$K182*(参考2_エネ使用量経年!AQ182+参考2_エネ使用量経年!AQ269),"")</f>
        <v/>
      </c>
      <c r="AR332" s="916" t="str">
        <f ca="1">IFERROR($H332*44/12*参考2_エネ使用量経年!$H182*(参考2_エネ使用量経年!AR182+参考2_エネ使用量経年!AR269),"")</f>
        <v/>
      </c>
      <c r="AS332" s="916" t="str">
        <f ca="1">IFERROR($I332*44/12*参考2_エネ使用量経年!$I182*(参考2_エネ使用量経年!AS182+参考2_エネ使用量経年!AS269),"")</f>
        <v/>
      </c>
      <c r="AT332" s="916" t="str">
        <f ca="1">IFERROR($J332*44/12*参考2_エネ使用量経年!$J182*(参考2_エネ使用量経年!AT182+参考2_エネ使用量経年!AT269),"")</f>
        <v/>
      </c>
      <c r="AU332" s="916" t="str">
        <f ca="1">IFERROR($K332*44/12*参考2_エネ使用量経年!$K182*(参考2_エネ使用量経年!AU182+参考2_エネ使用量経年!AU269),"")</f>
        <v/>
      </c>
      <c r="AV332" s="916" t="str">
        <f ca="1">IFERROR($H332*44/12*参考2_エネ使用量経年!$H182*(参考2_エネ使用量経年!AV182+参考2_エネ使用量経年!AV269),"")</f>
        <v/>
      </c>
      <c r="AW332" s="916" t="str">
        <f ca="1">IFERROR($I332*44/12*参考2_エネ使用量経年!$I182*(参考2_エネ使用量経年!AW182+参考2_エネ使用量経年!AW269),"")</f>
        <v/>
      </c>
      <c r="AX332" s="916" t="str">
        <f ca="1">IFERROR($J332*44/12*参考2_エネ使用量経年!$J182*(参考2_エネ使用量経年!AX182+参考2_エネ使用量経年!AX269),"")</f>
        <v/>
      </c>
      <c r="AY332" s="916" t="str">
        <f ca="1">IFERROR($K332*44/12*参考2_エネ使用量経年!$K182*(参考2_エネ使用量経年!AY182+参考2_エネ使用量経年!AY269),"")</f>
        <v/>
      </c>
      <c r="AZ332" s="916" t="str">
        <f ca="1">IFERROR($H332*44/12*参考2_エネ使用量経年!$H182*(参考2_エネ使用量経年!AZ182+参考2_エネ使用量経年!AZ269),"")</f>
        <v/>
      </c>
      <c r="BA332" s="916" t="str">
        <f ca="1">IFERROR($I332*44/12*参考2_エネ使用量経年!$I182*(参考2_エネ使用量経年!BA182+参考2_エネ使用量経年!BA269),"")</f>
        <v/>
      </c>
      <c r="BB332" s="916" t="str">
        <f ca="1">IFERROR($J332*44/12*参考2_エネ使用量経年!$J182*(参考2_エネ使用量経年!BB182+参考2_エネ使用量経年!BB269),"")</f>
        <v/>
      </c>
      <c r="BC332" s="916" t="str">
        <f ca="1">IFERROR($K332*44/12*参考2_エネ使用量経年!$K182*(参考2_エネ使用量経年!BC182+参考2_エネ使用量経年!BC269),"")</f>
        <v/>
      </c>
      <c r="BD332" s="916" t="str">
        <f ca="1">IFERROR($H332*44/12*参考2_エネ使用量経年!$H182*(参考2_エネ使用量経年!BD182+参考2_エネ使用量経年!BD269),"")</f>
        <v/>
      </c>
      <c r="BE332" s="916" t="str">
        <f ca="1">IFERROR($I332*44/12*参考2_エネ使用量経年!$I182*(参考2_エネ使用量経年!BE182+参考2_エネ使用量経年!BE269),"")</f>
        <v/>
      </c>
      <c r="BF332" s="916" t="str">
        <f ca="1">IFERROR($J332*44/12*参考2_エネ使用量経年!$J182*(参考2_エネ使用量経年!BF182+参考2_エネ使用量経年!BF269),"")</f>
        <v/>
      </c>
      <c r="BG332" s="916" t="str">
        <f ca="1">IFERROR($K332*44/12*参考2_エネ使用量経年!$K182*(参考2_エネ使用量経年!BG182+参考2_エネ使用量経年!BG269),"")</f>
        <v/>
      </c>
      <c r="BH332" s="916" t="str">
        <f ca="1">IFERROR($H332*44/12*参考2_エネ使用量経年!$H182*(参考2_エネ使用量経年!BH182+参考2_エネ使用量経年!BH269),"")</f>
        <v/>
      </c>
      <c r="BI332" s="916" t="str">
        <f ca="1">IFERROR($I332*44/12*参考2_エネ使用量経年!$I182*(参考2_エネ使用量経年!BI182+参考2_エネ使用量経年!BI269),"")</f>
        <v/>
      </c>
      <c r="BJ332" s="916" t="str">
        <f ca="1">IFERROR($J332*44/12*参考2_エネ使用量経年!$J182*(参考2_エネ使用量経年!BJ182+参考2_エネ使用量経年!BJ269),"")</f>
        <v/>
      </c>
      <c r="BK332" s="916" t="str">
        <f ca="1">IFERROR($K332*44/12*参考2_エネ使用量経年!$K182*(参考2_エネ使用量経年!BK182+参考2_エネ使用量経年!BK269),"")</f>
        <v/>
      </c>
      <c r="BL332" s="916" t="str">
        <f ca="1">IFERROR($H332*44/12*参考2_エネ使用量経年!$H182*(参考2_エネ使用量経年!BL182+参考2_エネ使用量経年!BL269),"")</f>
        <v/>
      </c>
      <c r="BM332" s="916" t="str">
        <f ca="1">IFERROR($I332*44/12*参考2_エネ使用量経年!$I182*(参考2_エネ使用量経年!BM182+参考2_エネ使用量経年!BM269),"")</f>
        <v/>
      </c>
      <c r="BN332" s="916" t="str">
        <f ca="1">IFERROR($J332*44/12*参考2_エネ使用量経年!$J182*(参考2_エネ使用量経年!BN182+参考2_エネ使用量経年!BN269),"")</f>
        <v/>
      </c>
      <c r="BO332" s="916" t="str">
        <f ca="1">IFERROR($K332*44/12*参考2_エネ使用量経年!$K182*(参考2_エネ使用量経年!BO182+参考2_エネ使用量経年!BO269),"")</f>
        <v/>
      </c>
    </row>
    <row r="333" spans="1:67" ht="20.100000000000001" customHeight="1">
      <c r="A333" s="914">
        <v>20</v>
      </c>
      <c r="B333" s="1594"/>
      <c r="C333" s="1596"/>
      <c r="D333" s="785" t="s">
        <v>361</v>
      </c>
      <c r="E333" s="785"/>
      <c r="F333" s="786"/>
      <c r="G333" s="852" t="s">
        <v>1281</v>
      </c>
      <c r="H333" s="915">
        <f t="shared" ca="1" si="109"/>
        <v>1.44E-2</v>
      </c>
      <c r="I333" s="915">
        <f t="shared" ca="1" si="110"/>
        <v>1.44E-2</v>
      </c>
      <c r="J333" s="915">
        <f t="shared" ca="1" si="111"/>
        <v>1.44E-2</v>
      </c>
      <c r="K333" s="915">
        <f t="shared" ca="1" si="112"/>
        <v>1.44E-2</v>
      </c>
      <c r="L333" s="916">
        <f ca="1">IFERROR($H333*44/12*参考2_エネ使用量経年!$H183*(参考2_エネ使用量経年!L183+参考2_エネ使用量経年!L270),"")</f>
        <v>0</v>
      </c>
      <c r="M333" s="916">
        <f ca="1">IFERROR($I333*44/12*参考2_エネ使用量経年!$I183*(参考2_エネ使用量経年!M183+参考2_エネ使用量経年!M270),"")</f>
        <v>0</v>
      </c>
      <c r="N333" s="916">
        <f ca="1">IFERROR($J333*44/12*参考2_エネ使用量経年!$J183*(参考2_エネ使用量経年!N183+参考2_エネ使用量経年!N270),"")</f>
        <v>0</v>
      </c>
      <c r="O333" s="916">
        <f ca="1">IFERROR($K333*44/12*参考2_エネ使用量経年!$K183*(参考2_エネ使用量経年!O183+参考2_エネ使用量経年!O270),"")</f>
        <v>0</v>
      </c>
      <c r="P333" s="916">
        <f ca="1">IFERROR($H333*44/12*参考2_エネ使用量経年!$H183*(参考2_エネ使用量経年!P183+参考2_エネ使用量経年!P270),"")</f>
        <v>0</v>
      </c>
      <c r="Q333" s="916">
        <f ca="1">IFERROR($I333*44/12*参考2_エネ使用量経年!$I183*(参考2_エネ使用量経年!Q183+参考2_エネ使用量経年!Q270),"")</f>
        <v>0</v>
      </c>
      <c r="R333" s="916">
        <f ca="1">IFERROR($J333*44/12*参考2_エネ使用量経年!$J183*(参考2_エネ使用量経年!R183+参考2_エネ使用量経年!R270),"")</f>
        <v>0</v>
      </c>
      <c r="S333" s="916">
        <f ca="1">IFERROR($K333*44/12*参考2_エネ使用量経年!$K183*(参考2_エネ使用量経年!S183+参考2_エネ使用量経年!S270),"")</f>
        <v>0</v>
      </c>
      <c r="T333" s="916">
        <f ca="1">IFERROR($H333*44/12*参考2_エネ使用量経年!$H183*(参考2_エネ使用量経年!T183+参考2_エネ使用量経年!T270),"")</f>
        <v>0</v>
      </c>
      <c r="U333" s="916">
        <f ca="1">IFERROR($I333*44/12*参考2_エネ使用量経年!$I183*(参考2_エネ使用量経年!U183+参考2_エネ使用量経年!U270),"")</f>
        <v>0</v>
      </c>
      <c r="V333" s="916">
        <f ca="1">IFERROR($J333*44/12*参考2_エネ使用量経年!$J183*(参考2_エネ使用量経年!V183+参考2_エネ使用量経年!V270),"")</f>
        <v>0</v>
      </c>
      <c r="W333" s="916">
        <f ca="1">IFERROR($K333*44/12*参考2_エネ使用量経年!$K183*(参考2_エネ使用量経年!W183+参考2_エネ使用量経年!W270),"")</f>
        <v>0</v>
      </c>
      <c r="X333" s="916">
        <f ca="1">IFERROR($H333*44/12*参考2_エネ使用量経年!$H183*(参考2_エネ使用量経年!X183+参考2_エネ使用量経年!X270),"")</f>
        <v>0</v>
      </c>
      <c r="Y333" s="916">
        <f ca="1">IFERROR($I333*44/12*参考2_エネ使用量経年!$I183*(参考2_エネ使用量経年!Y183+参考2_エネ使用量経年!Y270),"")</f>
        <v>0</v>
      </c>
      <c r="Z333" s="916">
        <f ca="1">IFERROR($J333*44/12*参考2_エネ使用量経年!$J183*(参考2_エネ使用量経年!Z183+参考2_エネ使用量経年!Z270),"")</f>
        <v>0</v>
      </c>
      <c r="AA333" s="916">
        <f ca="1">IFERROR($K333*44/12*参考2_エネ使用量経年!$K183*(参考2_エネ使用量経年!AA183+参考2_エネ使用量経年!AA270),"")</f>
        <v>0</v>
      </c>
      <c r="AB333" s="916" t="str">
        <f ca="1">IFERROR($H333*44/12*参考2_エネ使用量経年!$H183*(参考2_エネ使用量経年!AB183+参考2_エネ使用量経年!AB270),"")</f>
        <v/>
      </c>
      <c r="AC333" s="916" t="str">
        <f ca="1">IFERROR($I333*44/12*参考2_エネ使用量経年!$I183*(参考2_エネ使用量経年!AC183+参考2_エネ使用量経年!AC270),"")</f>
        <v/>
      </c>
      <c r="AD333" s="916" t="str">
        <f ca="1">IFERROR($J333*44/12*参考2_エネ使用量経年!$J183*(参考2_エネ使用量経年!AD183+参考2_エネ使用量経年!AD270),"")</f>
        <v/>
      </c>
      <c r="AE333" s="916" t="str">
        <f ca="1">IFERROR($K333*44/12*参考2_エネ使用量経年!$K183*(参考2_エネ使用量経年!AE183+参考2_エネ使用量経年!AE270),"")</f>
        <v/>
      </c>
      <c r="AF333" s="916" t="str">
        <f ca="1">IFERROR($H333*44/12*参考2_エネ使用量経年!$H183*(参考2_エネ使用量経年!AF183+参考2_エネ使用量経年!AF270),"")</f>
        <v/>
      </c>
      <c r="AG333" s="916" t="str">
        <f ca="1">IFERROR($I333*44/12*参考2_エネ使用量経年!$I183*(参考2_エネ使用量経年!AG183+参考2_エネ使用量経年!AG270),"")</f>
        <v/>
      </c>
      <c r="AH333" s="916" t="str">
        <f ca="1">IFERROR($J333*44/12*参考2_エネ使用量経年!$J183*(参考2_エネ使用量経年!AH183+参考2_エネ使用量経年!AH270),"")</f>
        <v/>
      </c>
      <c r="AI333" s="916" t="str">
        <f ca="1">IFERROR($K333*44/12*参考2_エネ使用量経年!$K183*(参考2_エネ使用量経年!AI183+参考2_エネ使用量経年!AI270),"")</f>
        <v/>
      </c>
      <c r="AJ333" s="916" t="str">
        <f ca="1">IFERROR($H333*44/12*参考2_エネ使用量経年!$H183*(参考2_エネ使用量経年!AJ183+参考2_エネ使用量経年!AJ270),"")</f>
        <v/>
      </c>
      <c r="AK333" s="916" t="str">
        <f ca="1">IFERROR($I333*44/12*参考2_エネ使用量経年!$I183*(参考2_エネ使用量経年!AK183+参考2_エネ使用量経年!AK270),"")</f>
        <v/>
      </c>
      <c r="AL333" s="916" t="str">
        <f ca="1">IFERROR($J333*44/12*参考2_エネ使用量経年!$J183*(参考2_エネ使用量経年!AL183+参考2_エネ使用量経年!AL270),"")</f>
        <v/>
      </c>
      <c r="AM333" s="916" t="str">
        <f ca="1">IFERROR($K333*44/12*参考2_エネ使用量経年!$K183*(参考2_エネ使用量経年!AM183+参考2_エネ使用量経年!AM270),"")</f>
        <v/>
      </c>
      <c r="AN333" s="916" t="str">
        <f ca="1">IFERROR($H333*44/12*参考2_エネ使用量経年!$H183*(参考2_エネ使用量経年!AN183+参考2_エネ使用量経年!AN270),"")</f>
        <v/>
      </c>
      <c r="AO333" s="916" t="str">
        <f ca="1">IFERROR($I333*44/12*参考2_エネ使用量経年!$I183*(参考2_エネ使用量経年!AO183+参考2_エネ使用量経年!AO270),"")</f>
        <v/>
      </c>
      <c r="AP333" s="916" t="str">
        <f ca="1">IFERROR($J333*44/12*参考2_エネ使用量経年!$J183*(参考2_エネ使用量経年!AP183+参考2_エネ使用量経年!AP270),"")</f>
        <v/>
      </c>
      <c r="AQ333" s="916" t="str">
        <f ca="1">IFERROR($K333*44/12*参考2_エネ使用量経年!$K183*(参考2_エネ使用量経年!AQ183+参考2_エネ使用量経年!AQ270),"")</f>
        <v/>
      </c>
      <c r="AR333" s="916" t="str">
        <f ca="1">IFERROR($H333*44/12*参考2_エネ使用量経年!$H183*(参考2_エネ使用量経年!AR183+参考2_エネ使用量経年!AR270),"")</f>
        <v/>
      </c>
      <c r="AS333" s="916" t="str">
        <f ca="1">IFERROR($I333*44/12*参考2_エネ使用量経年!$I183*(参考2_エネ使用量経年!AS183+参考2_エネ使用量経年!AS270),"")</f>
        <v/>
      </c>
      <c r="AT333" s="916" t="str">
        <f ca="1">IFERROR($J333*44/12*参考2_エネ使用量経年!$J183*(参考2_エネ使用量経年!AT183+参考2_エネ使用量経年!AT270),"")</f>
        <v/>
      </c>
      <c r="AU333" s="916" t="str">
        <f ca="1">IFERROR($K333*44/12*参考2_エネ使用量経年!$K183*(参考2_エネ使用量経年!AU183+参考2_エネ使用量経年!AU270),"")</f>
        <v/>
      </c>
      <c r="AV333" s="916" t="str">
        <f ca="1">IFERROR($H333*44/12*参考2_エネ使用量経年!$H183*(参考2_エネ使用量経年!AV183+参考2_エネ使用量経年!AV270),"")</f>
        <v/>
      </c>
      <c r="AW333" s="916" t="str">
        <f ca="1">IFERROR($I333*44/12*参考2_エネ使用量経年!$I183*(参考2_エネ使用量経年!AW183+参考2_エネ使用量経年!AW270),"")</f>
        <v/>
      </c>
      <c r="AX333" s="916" t="str">
        <f ca="1">IFERROR($J333*44/12*参考2_エネ使用量経年!$J183*(参考2_エネ使用量経年!AX183+参考2_エネ使用量経年!AX270),"")</f>
        <v/>
      </c>
      <c r="AY333" s="916" t="str">
        <f ca="1">IFERROR($K333*44/12*参考2_エネ使用量経年!$K183*(参考2_エネ使用量経年!AY183+参考2_エネ使用量経年!AY270),"")</f>
        <v/>
      </c>
      <c r="AZ333" s="916" t="str">
        <f ca="1">IFERROR($H333*44/12*参考2_エネ使用量経年!$H183*(参考2_エネ使用量経年!AZ183+参考2_エネ使用量経年!AZ270),"")</f>
        <v/>
      </c>
      <c r="BA333" s="916" t="str">
        <f ca="1">IFERROR($I333*44/12*参考2_エネ使用量経年!$I183*(参考2_エネ使用量経年!BA183+参考2_エネ使用量経年!BA270),"")</f>
        <v/>
      </c>
      <c r="BB333" s="916" t="str">
        <f ca="1">IFERROR($J333*44/12*参考2_エネ使用量経年!$J183*(参考2_エネ使用量経年!BB183+参考2_エネ使用量経年!BB270),"")</f>
        <v/>
      </c>
      <c r="BC333" s="916" t="str">
        <f ca="1">IFERROR($K333*44/12*参考2_エネ使用量経年!$K183*(参考2_エネ使用量経年!BC183+参考2_エネ使用量経年!BC270),"")</f>
        <v/>
      </c>
      <c r="BD333" s="916" t="str">
        <f ca="1">IFERROR($H333*44/12*参考2_エネ使用量経年!$H183*(参考2_エネ使用量経年!BD183+参考2_エネ使用量経年!BD270),"")</f>
        <v/>
      </c>
      <c r="BE333" s="916" t="str">
        <f ca="1">IFERROR($I333*44/12*参考2_エネ使用量経年!$I183*(参考2_エネ使用量経年!BE183+参考2_エネ使用量経年!BE270),"")</f>
        <v/>
      </c>
      <c r="BF333" s="916" t="str">
        <f ca="1">IFERROR($J333*44/12*参考2_エネ使用量経年!$J183*(参考2_エネ使用量経年!BF183+参考2_エネ使用量経年!BF270),"")</f>
        <v/>
      </c>
      <c r="BG333" s="916" t="str">
        <f ca="1">IFERROR($K333*44/12*参考2_エネ使用量経年!$K183*(参考2_エネ使用量経年!BG183+参考2_エネ使用量経年!BG270),"")</f>
        <v/>
      </c>
      <c r="BH333" s="916" t="str">
        <f ca="1">IFERROR($H333*44/12*参考2_エネ使用量経年!$H183*(参考2_エネ使用量経年!BH183+参考2_エネ使用量経年!BH270),"")</f>
        <v/>
      </c>
      <c r="BI333" s="916" t="str">
        <f ca="1">IFERROR($I333*44/12*参考2_エネ使用量経年!$I183*(参考2_エネ使用量経年!BI183+参考2_エネ使用量経年!BI270),"")</f>
        <v/>
      </c>
      <c r="BJ333" s="916" t="str">
        <f ca="1">IFERROR($J333*44/12*参考2_エネ使用量経年!$J183*(参考2_エネ使用量経年!BJ183+参考2_エネ使用量経年!BJ270),"")</f>
        <v/>
      </c>
      <c r="BK333" s="916" t="str">
        <f ca="1">IFERROR($K333*44/12*参考2_エネ使用量経年!$K183*(参考2_エネ使用量経年!BK183+参考2_エネ使用量経年!BK270),"")</f>
        <v/>
      </c>
      <c r="BL333" s="916" t="str">
        <f ca="1">IFERROR($H333*44/12*参考2_エネ使用量経年!$H183*(参考2_エネ使用量経年!BL183+参考2_エネ使用量経年!BL270),"")</f>
        <v/>
      </c>
      <c r="BM333" s="916" t="str">
        <f ca="1">IFERROR($I333*44/12*参考2_エネ使用量経年!$I183*(参考2_エネ使用量経年!BM183+参考2_エネ使用量経年!BM270),"")</f>
        <v/>
      </c>
      <c r="BN333" s="916" t="str">
        <f ca="1">IFERROR($J333*44/12*参考2_エネ使用量経年!$J183*(参考2_エネ使用量経年!BN183+参考2_エネ使用量経年!BN270),"")</f>
        <v/>
      </c>
      <c r="BO333" s="916" t="str">
        <f ca="1">IFERROR($K333*44/12*参考2_エネ使用量経年!$K183*(参考2_エネ使用量経年!BO183+参考2_エネ使用量経年!BO270),"")</f>
        <v/>
      </c>
    </row>
    <row r="334" spans="1:67" ht="20.100000000000001" customHeight="1">
      <c r="A334" s="914">
        <v>21</v>
      </c>
      <c r="B334" s="1595"/>
      <c r="C334" s="1596"/>
      <c r="D334" s="785" t="s">
        <v>362</v>
      </c>
      <c r="E334" s="779"/>
      <c r="F334" s="786"/>
      <c r="G334" s="852" t="s">
        <v>1281</v>
      </c>
      <c r="H334" s="915">
        <f t="shared" ca="1" si="109"/>
        <v>1.3899999999999999E-2</v>
      </c>
      <c r="I334" s="915">
        <f t="shared" ca="1" si="110"/>
        <v>1.3899999999999999E-2</v>
      </c>
      <c r="J334" s="915">
        <f t="shared" ca="1" si="111"/>
        <v>1.3899999999999999E-2</v>
      </c>
      <c r="K334" s="915">
        <f t="shared" ca="1" si="112"/>
        <v>1.3899999999999999E-2</v>
      </c>
      <c r="L334" s="916">
        <f ca="1">IFERROR($H334*44/12*参考2_エネ使用量経年!$H184*(参考2_エネ使用量経年!L184+参考2_エネ使用量経年!L271),"")</f>
        <v>0</v>
      </c>
      <c r="M334" s="916">
        <f ca="1">IFERROR($I334*44/12*参考2_エネ使用量経年!$I184*(参考2_エネ使用量経年!M184+参考2_エネ使用量経年!M271),"")</f>
        <v>0</v>
      </c>
      <c r="N334" s="916">
        <f ca="1">IFERROR($J334*44/12*参考2_エネ使用量経年!$J184*(参考2_エネ使用量経年!N184+参考2_エネ使用量経年!N271),"")</f>
        <v>0</v>
      </c>
      <c r="O334" s="916">
        <f ca="1">IFERROR($K334*44/12*参考2_エネ使用量経年!$K184*(参考2_エネ使用量経年!O184+参考2_エネ使用量経年!O271),"")</f>
        <v>0</v>
      </c>
      <c r="P334" s="916">
        <f ca="1">IFERROR($H334*44/12*参考2_エネ使用量経年!$H184*(参考2_エネ使用量経年!P184+参考2_エネ使用量経年!P271),"")</f>
        <v>0</v>
      </c>
      <c r="Q334" s="916">
        <f ca="1">IFERROR($I334*44/12*参考2_エネ使用量経年!$I184*(参考2_エネ使用量経年!Q184+参考2_エネ使用量経年!Q271),"")</f>
        <v>0</v>
      </c>
      <c r="R334" s="916">
        <f ca="1">IFERROR($J334*44/12*参考2_エネ使用量経年!$J184*(参考2_エネ使用量経年!R184+参考2_エネ使用量経年!R271),"")</f>
        <v>0</v>
      </c>
      <c r="S334" s="916">
        <f ca="1">IFERROR($K334*44/12*参考2_エネ使用量経年!$K184*(参考2_エネ使用量経年!S184+参考2_エネ使用量経年!S271),"")</f>
        <v>0</v>
      </c>
      <c r="T334" s="916">
        <f ca="1">IFERROR($H334*44/12*参考2_エネ使用量経年!$H184*(参考2_エネ使用量経年!T184+参考2_エネ使用量経年!T271),"")</f>
        <v>0</v>
      </c>
      <c r="U334" s="916">
        <f ca="1">IFERROR($I334*44/12*参考2_エネ使用量経年!$I184*(参考2_エネ使用量経年!U184+参考2_エネ使用量経年!U271),"")</f>
        <v>0</v>
      </c>
      <c r="V334" s="916">
        <f ca="1">IFERROR($J334*44/12*参考2_エネ使用量経年!$J184*(参考2_エネ使用量経年!V184+参考2_エネ使用量経年!V271),"")</f>
        <v>0</v>
      </c>
      <c r="W334" s="916">
        <f ca="1">IFERROR($K334*44/12*参考2_エネ使用量経年!$K184*(参考2_エネ使用量経年!W184+参考2_エネ使用量経年!W271),"")</f>
        <v>0</v>
      </c>
      <c r="X334" s="916">
        <f ca="1">IFERROR($H334*44/12*参考2_エネ使用量経年!$H184*(参考2_エネ使用量経年!X184+参考2_エネ使用量経年!X271),"")</f>
        <v>0</v>
      </c>
      <c r="Y334" s="916">
        <f ca="1">IFERROR($I334*44/12*参考2_エネ使用量経年!$I184*(参考2_エネ使用量経年!Y184+参考2_エネ使用量経年!Y271),"")</f>
        <v>0</v>
      </c>
      <c r="Z334" s="916">
        <f ca="1">IFERROR($J334*44/12*参考2_エネ使用量経年!$J184*(参考2_エネ使用量経年!Z184+参考2_エネ使用量経年!Z271),"")</f>
        <v>0</v>
      </c>
      <c r="AA334" s="916">
        <f ca="1">IFERROR($K334*44/12*参考2_エネ使用量経年!$K184*(参考2_エネ使用量経年!AA184+参考2_エネ使用量経年!AA271),"")</f>
        <v>0</v>
      </c>
      <c r="AB334" s="916" t="str">
        <f ca="1">IFERROR($H334*44/12*参考2_エネ使用量経年!$H184*(参考2_エネ使用量経年!AB184+参考2_エネ使用量経年!AB271),"")</f>
        <v/>
      </c>
      <c r="AC334" s="916" t="str">
        <f ca="1">IFERROR($I334*44/12*参考2_エネ使用量経年!$I184*(参考2_エネ使用量経年!AC184+参考2_エネ使用量経年!AC271),"")</f>
        <v/>
      </c>
      <c r="AD334" s="916" t="str">
        <f ca="1">IFERROR($J334*44/12*参考2_エネ使用量経年!$J184*(参考2_エネ使用量経年!AD184+参考2_エネ使用量経年!AD271),"")</f>
        <v/>
      </c>
      <c r="AE334" s="916" t="str">
        <f ca="1">IFERROR($K334*44/12*参考2_エネ使用量経年!$K184*(参考2_エネ使用量経年!AE184+参考2_エネ使用量経年!AE271),"")</f>
        <v/>
      </c>
      <c r="AF334" s="916" t="str">
        <f ca="1">IFERROR($H334*44/12*参考2_エネ使用量経年!$H184*(参考2_エネ使用量経年!AF184+参考2_エネ使用量経年!AF271),"")</f>
        <v/>
      </c>
      <c r="AG334" s="916" t="str">
        <f ca="1">IFERROR($I334*44/12*参考2_エネ使用量経年!$I184*(参考2_エネ使用量経年!AG184+参考2_エネ使用量経年!AG271),"")</f>
        <v/>
      </c>
      <c r="AH334" s="916" t="str">
        <f ca="1">IFERROR($J334*44/12*参考2_エネ使用量経年!$J184*(参考2_エネ使用量経年!AH184+参考2_エネ使用量経年!AH271),"")</f>
        <v/>
      </c>
      <c r="AI334" s="916" t="str">
        <f ca="1">IFERROR($K334*44/12*参考2_エネ使用量経年!$K184*(参考2_エネ使用量経年!AI184+参考2_エネ使用量経年!AI271),"")</f>
        <v/>
      </c>
      <c r="AJ334" s="916" t="str">
        <f ca="1">IFERROR($H334*44/12*参考2_エネ使用量経年!$H184*(参考2_エネ使用量経年!AJ184+参考2_エネ使用量経年!AJ271),"")</f>
        <v/>
      </c>
      <c r="AK334" s="916" t="str">
        <f ca="1">IFERROR($I334*44/12*参考2_エネ使用量経年!$I184*(参考2_エネ使用量経年!AK184+参考2_エネ使用量経年!AK271),"")</f>
        <v/>
      </c>
      <c r="AL334" s="916" t="str">
        <f ca="1">IFERROR($J334*44/12*参考2_エネ使用量経年!$J184*(参考2_エネ使用量経年!AL184+参考2_エネ使用量経年!AL271),"")</f>
        <v/>
      </c>
      <c r="AM334" s="916" t="str">
        <f ca="1">IFERROR($K334*44/12*参考2_エネ使用量経年!$K184*(参考2_エネ使用量経年!AM184+参考2_エネ使用量経年!AM271),"")</f>
        <v/>
      </c>
      <c r="AN334" s="916" t="str">
        <f ca="1">IFERROR($H334*44/12*参考2_エネ使用量経年!$H184*(参考2_エネ使用量経年!AN184+参考2_エネ使用量経年!AN271),"")</f>
        <v/>
      </c>
      <c r="AO334" s="916" t="str">
        <f ca="1">IFERROR($I334*44/12*参考2_エネ使用量経年!$I184*(参考2_エネ使用量経年!AO184+参考2_エネ使用量経年!AO271),"")</f>
        <v/>
      </c>
      <c r="AP334" s="916" t="str">
        <f ca="1">IFERROR($J334*44/12*参考2_エネ使用量経年!$J184*(参考2_エネ使用量経年!AP184+参考2_エネ使用量経年!AP271),"")</f>
        <v/>
      </c>
      <c r="AQ334" s="916" t="str">
        <f ca="1">IFERROR($K334*44/12*参考2_エネ使用量経年!$K184*(参考2_エネ使用量経年!AQ184+参考2_エネ使用量経年!AQ271),"")</f>
        <v/>
      </c>
      <c r="AR334" s="916" t="str">
        <f ca="1">IFERROR($H334*44/12*参考2_エネ使用量経年!$H184*(参考2_エネ使用量経年!AR184+参考2_エネ使用量経年!AR271),"")</f>
        <v/>
      </c>
      <c r="AS334" s="916" t="str">
        <f ca="1">IFERROR($I334*44/12*参考2_エネ使用量経年!$I184*(参考2_エネ使用量経年!AS184+参考2_エネ使用量経年!AS271),"")</f>
        <v/>
      </c>
      <c r="AT334" s="916" t="str">
        <f ca="1">IFERROR($J334*44/12*参考2_エネ使用量経年!$J184*(参考2_エネ使用量経年!AT184+参考2_エネ使用量経年!AT271),"")</f>
        <v/>
      </c>
      <c r="AU334" s="916" t="str">
        <f ca="1">IFERROR($K334*44/12*参考2_エネ使用量経年!$K184*(参考2_エネ使用量経年!AU184+参考2_エネ使用量経年!AU271),"")</f>
        <v/>
      </c>
      <c r="AV334" s="916" t="str">
        <f ca="1">IFERROR($H334*44/12*参考2_エネ使用量経年!$H184*(参考2_エネ使用量経年!AV184+参考2_エネ使用量経年!AV271),"")</f>
        <v/>
      </c>
      <c r="AW334" s="916" t="str">
        <f ca="1">IFERROR($I334*44/12*参考2_エネ使用量経年!$I184*(参考2_エネ使用量経年!AW184+参考2_エネ使用量経年!AW271),"")</f>
        <v/>
      </c>
      <c r="AX334" s="916" t="str">
        <f ca="1">IFERROR($J334*44/12*参考2_エネ使用量経年!$J184*(参考2_エネ使用量経年!AX184+参考2_エネ使用量経年!AX271),"")</f>
        <v/>
      </c>
      <c r="AY334" s="916" t="str">
        <f ca="1">IFERROR($K334*44/12*参考2_エネ使用量経年!$K184*(参考2_エネ使用量経年!AY184+参考2_エネ使用量経年!AY271),"")</f>
        <v/>
      </c>
      <c r="AZ334" s="916" t="str">
        <f ca="1">IFERROR($H334*44/12*参考2_エネ使用量経年!$H184*(参考2_エネ使用量経年!AZ184+参考2_エネ使用量経年!AZ271),"")</f>
        <v/>
      </c>
      <c r="BA334" s="916" t="str">
        <f ca="1">IFERROR($I334*44/12*参考2_エネ使用量経年!$I184*(参考2_エネ使用量経年!BA184+参考2_エネ使用量経年!BA271),"")</f>
        <v/>
      </c>
      <c r="BB334" s="916" t="str">
        <f ca="1">IFERROR($J334*44/12*参考2_エネ使用量経年!$J184*(参考2_エネ使用量経年!BB184+参考2_エネ使用量経年!BB271),"")</f>
        <v/>
      </c>
      <c r="BC334" s="916" t="str">
        <f ca="1">IFERROR($K334*44/12*参考2_エネ使用量経年!$K184*(参考2_エネ使用量経年!BC184+参考2_エネ使用量経年!BC271),"")</f>
        <v/>
      </c>
      <c r="BD334" s="916" t="str">
        <f ca="1">IFERROR($H334*44/12*参考2_エネ使用量経年!$H184*(参考2_エネ使用量経年!BD184+参考2_エネ使用量経年!BD271),"")</f>
        <v/>
      </c>
      <c r="BE334" s="916" t="str">
        <f ca="1">IFERROR($I334*44/12*参考2_エネ使用量経年!$I184*(参考2_エネ使用量経年!BE184+参考2_エネ使用量経年!BE271),"")</f>
        <v/>
      </c>
      <c r="BF334" s="916" t="str">
        <f ca="1">IFERROR($J334*44/12*参考2_エネ使用量経年!$J184*(参考2_エネ使用量経年!BF184+参考2_エネ使用量経年!BF271),"")</f>
        <v/>
      </c>
      <c r="BG334" s="916" t="str">
        <f ca="1">IFERROR($K334*44/12*参考2_エネ使用量経年!$K184*(参考2_エネ使用量経年!BG184+参考2_エネ使用量経年!BG271),"")</f>
        <v/>
      </c>
      <c r="BH334" s="916" t="str">
        <f ca="1">IFERROR($H334*44/12*参考2_エネ使用量経年!$H184*(参考2_エネ使用量経年!BH184+参考2_エネ使用量経年!BH271),"")</f>
        <v/>
      </c>
      <c r="BI334" s="916" t="str">
        <f ca="1">IFERROR($I334*44/12*参考2_エネ使用量経年!$I184*(参考2_エネ使用量経年!BI184+参考2_エネ使用量経年!BI271),"")</f>
        <v/>
      </c>
      <c r="BJ334" s="916" t="str">
        <f ca="1">IFERROR($J334*44/12*参考2_エネ使用量経年!$J184*(参考2_エネ使用量経年!BJ184+参考2_エネ使用量経年!BJ271),"")</f>
        <v/>
      </c>
      <c r="BK334" s="916" t="str">
        <f ca="1">IFERROR($K334*44/12*参考2_エネ使用量経年!$K184*(参考2_エネ使用量経年!BK184+参考2_エネ使用量経年!BK271),"")</f>
        <v/>
      </c>
      <c r="BL334" s="916" t="str">
        <f ca="1">IFERROR($H334*44/12*参考2_エネ使用量経年!$H184*(参考2_エネ使用量経年!BL184+参考2_エネ使用量経年!BL271),"")</f>
        <v/>
      </c>
      <c r="BM334" s="916" t="str">
        <f ca="1">IFERROR($I334*44/12*参考2_エネ使用量経年!$I184*(参考2_エネ使用量経年!BM184+参考2_エネ使用量経年!BM271),"")</f>
        <v/>
      </c>
      <c r="BN334" s="916" t="str">
        <f ca="1">IFERROR($J334*44/12*参考2_エネ使用量経年!$J184*(参考2_エネ使用量経年!BN184+参考2_エネ使用量経年!BN271),"")</f>
        <v/>
      </c>
      <c r="BO334" s="916" t="str">
        <f ca="1">IFERROR($K334*44/12*参考2_エネ使用量経年!$K184*(参考2_エネ使用量経年!BO184+参考2_エネ使用量経年!BO271),"")</f>
        <v/>
      </c>
    </row>
    <row r="335" spans="1:67" ht="20.100000000000001" customHeight="1">
      <c r="A335" s="914">
        <v>22</v>
      </c>
      <c r="B335" s="1594"/>
      <c r="C335" s="1596"/>
      <c r="D335" s="785" t="s">
        <v>363</v>
      </c>
      <c r="E335" s="785"/>
      <c r="F335" s="786"/>
      <c r="G335" s="852" t="s">
        <v>1281</v>
      </c>
      <c r="H335" s="915">
        <f t="shared" ca="1" si="109"/>
        <v>1.3899999999999999E-2</v>
      </c>
      <c r="I335" s="915">
        <f t="shared" ca="1" si="110"/>
        <v>1.3899999999999999E-2</v>
      </c>
      <c r="J335" s="915">
        <f t="shared" ca="1" si="111"/>
        <v>1.3899999999999999E-2</v>
      </c>
      <c r="K335" s="915">
        <f t="shared" ca="1" si="112"/>
        <v>1.3899999999999999E-2</v>
      </c>
      <c r="L335" s="916">
        <f ca="1">IFERROR($H335*44/12*参考2_エネ使用量経年!$H185*(参考2_エネ使用量経年!L185+参考2_エネ使用量経年!L272),"")</f>
        <v>0</v>
      </c>
      <c r="M335" s="916">
        <f ca="1">IFERROR($I335*44/12*参考2_エネ使用量経年!$I185*(参考2_エネ使用量経年!M185+参考2_エネ使用量経年!M272),"")</f>
        <v>0</v>
      </c>
      <c r="N335" s="916">
        <f ca="1">IFERROR($J335*44/12*参考2_エネ使用量経年!$J185*(参考2_エネ使用量経年!N185+参考2_エネ使用量経年!N272),"")</f>
        <v>0</v>
      </c>
      <c r="O335" s="916">
        <f ca="1">IFERROR($K335*44/12*参考2_エネ使用量経年!$K185*(参考2_エネ使用量経年!O185+参考2_エネ使用量経年!O272),"")</f>
        <v>0</v>
      </c>
      <c r="P335" s="916">
        <f ca="1">IFERROR($H335*44/12*参考2_エネ使用量経年!$H185*(参考2_エネ使用量経年!P185+参考2_エネ使用量経年!P272),"")</f>
        <v>0</v>
      </c>
      <c r="Q335" s="916">
        <f ca="1">IFERROR($I335*44/12*参考2_エネ使用量経年!$I185*(参考2_エネ使用量経年!Q185+参考2_エネ使用量経年!Q272),"")</f>
        <v>0</v>
      </c>
      <c r="R335" s="916">
        <f ca="1">IFERROR($J335*44/12*参考2_エネ使用量経年!$J185*(参考2_エネ使用量経年!R185+参考2_エネ使用量経年!R272),"")</f>
        <v>0</v>
      </c>
      <c r="S335" s="916">
        <f ca="1">IFERROR($K335*44/12*参考2_エネ使用量経年!$K185*(参考2_エネ使用量経年!S185+参考2_エネ使用量経年!S272),"")</f>
        <v>0</v>
      </c>
      <c r="T335" s="916">
        <f ca="1">IFERROR($H335*44/12*参考2_エネ使用量経年!$H185*(参考2_エネ使用量経年!T185+参考2_エネ使用量経年!T272),"")</f>
        <v>0</v>
      </c>
      <c r="U335" s="916">
        <f ca="1">IFERROR($I335*44/12*参考2_エネ使用量経年!$I185*(参考2_エネ使用量経年!U185+参考2_エネ使用量経年!U272),"")</f>
        <v>0</v>
      </c>
      <c r="V335" s="916">
        <f ca="1">IFERROR($J335*44/12*参考2_エネ使用量経年!$J185*(参考2_エネ使用量経年!V185+参考2_エネ使用量経年!V272),"")</f>
        <v>0</v>
      </c>
      <c r="W335" s="916">
        <f ca="1">IFERROR($K335*44/12*参考2_エネ使用量経年!$K185*(参考2_エネ使用量経年!W185+参考2_エネ使用量経年!W272),"")</f>
        <v>0</v>
      </c>
      <c r="X335" s="916">
        <f ca="1">IFERROR($H335*44/12*参考2_エネ使用量経年!$H185*(参考2_エネ使用量経年!X185+参考2_エネ使用量経年!X272),"")</f>
        <v>0</v>
      </c>
      <c r="Y335" s="916">
        <f ca="1">IFERROR($I335*44/12*参考2_エネ使用量経年!$I185*(参考2_エネ使用量経年!Y185+参考2_エネ使用量経年!Y272),"")</f>
        <v>0</v>
      </c>
      <c r="Z335" s="916">
        <f ca="1">IFERROR($J335*44/12*参考2_エネ使用量経年!$J185*(参考2_エネ使用量経年!Z185+参考2_エネ使用量経年!Z272),"")</f>
        <v>0</v>
      </c>
      <c r="AA335" s="916">
        <f ca="1">IFERROR($K335*44/12*参考2_エネ使用量経年!$K185*(参考2_エネ使用量経年!AA185+参考2_エネ使用量経年!AA272),"")</f>
        <v>0</v>
      </c>
      <c r="AB335" s="916" t="str">
        <f ca="1">IFERROR($H335*44/12*参考2_エネ使用量経年!$H185*(参考2_エネ使用量経年!AB185+参考2_エネ使用量経年!AB272),"")</f>
        <v/>
      </c>
      <c r="AC335" s="916" t="str">
        <f ca="1">IFERROR($I335*44/12*参考2_エネ使用量経年!$I185*(参考2_エネ使用量経年!AC185+参考2_エネ使用量経年!AC272),"")</f>
        <v/>
      </c>
      <c r="AD335" s="916" t="str">
        <f ca="1">IFERROR($J335*44/12*参考2_エネ使用量経年!$J185*(参考2_エネ使用量経年!AD185+参考2_エネ使用量経年!AD272),"")</f>
        <v/>
      </c>
      <c r="AE335" s="916" t="str">
        <f ca="1">IFERROR($K335*44/12*参考2_エネ使用量経年!$K185*(参考2_エネ使用量経年!AE185+参考2_エネ使用量経年!AE272),"")</f>
        <v/>
      </c>
      <c r="AF335" s="916" t="str">
        <f ca="1">IFERROR($H335*44/12*参考2_エネ使用量経年!$H185*(参考2_エネ使用量経年!AF185+参考2_エネ使用量経年!AF272),"")</f>
        <v/>
      </c>
      <c r="AG335" s="916" t="str">
        <f ca="1">IFERROR($I335*44/12*参考2_エネ使用量経年!$I185*(参考2_エネ使用量経年!AG185+参考2_エネ使用量経年!AG272),"")</f>
        <v/>
      </c>
      <c r="AH335" s="916" t="str">
        <f ca="1">IFERROR($J335*44/12*参考2_エネ使用量経年!$J185*(参考2_エネ使用量経年!AH185+参考2_エネ使用量経年!AH272),"")</f>
        <v/>
      </c>
      <c r="AI335" s="916" t="str">
        <f ca="1">IFERROR($K335*44/12*参考2_エネ使用量経年!$K185*(参考2_エネ使用量経年!AI185+参考2_エネ使用量経年!AI272),"")</f>
        <v/>
      </c>
      <c r="AJ335" s="916" t="str">
        <f ca="1">IFERROR($H335*44/12*参考2_エネ使用量経年!$H185*(参考2_エネ使用量経年!AJ185+参考2_エネ使用量経年!AJ272),"")</f>
        <v/>
      </c>
      <c r="AK335" s="916" t="str">
        <f ca="1">IFERROR($I335*44/12*参考2_エネ使用量経年!$I185*(参考2_エネ使用量経年!AK185+参考2_エネ使用量経年!AK272),"")</f>
        <v/>
      </c>
      <c r="AL335" s="916" t="str">
        <f ca="1">IFERROR($J335*44/12*参考2_エネ使用量経年!$J185*(参考2_エネ使用量経年!AL185+参考2_エネ使用量経年!AL272),"")</f>
        <v/>
      </c>
      <c r="AM335" s="916" t="str">
        <f ca="1">IFERROR($K335*44/12*参考2_エネ使用量経年!$K185*(参考2_エネ使用量経年!AM185+参考2_エネ使用量経年!AM272),"")</f>
        <v/>
      </c>
      <c r="AN335" s="916" t="str">
        <f ca="1">IFERROR($H335*44/12*参考2_エネ使用量経年!$H185*(参考2_エネ使用量経年!AN185+参考2_エネ使用量経年!AN272),"")</f>
        <v/>
      </c>
      <c r="AO335" s="916" t="str">
        <f ca="1">IFERROR($I335*44/12*参考2_エネ使用量経年!$I185*(参考2_エネ使用量経年!AO185+参考2_エネ使用量経年!AO272),"")</f>
        <v/>
      </c>
      <c r="AP335" s="916" t="str">
        <f ca="1">IFERROR($J335*44/12*参考2_エネ使用量経年!$J185*(参考2_エネ使用量経年!AP185+参考2_エネ使用量経年!AP272),"")</f>
        <v/>
      </c>
      <c r="AQ335" s="916" t="str">
        <f ca="1">IFERROR($K335*44/12*参考2_エネ使用量経年!$K185*(参考2_エネ使用量経年!AQ185+参考2_エネ使用量経年!AQ272),"")</f>
        <v/>
      </c>
      <c r="AR335" s="916" t="str">
        <f ca="1">IFERROR($H335*44/12*参考2_エネ使用量経年!$H185*(参考2_エネ使用量経年!AR185+参考2_エネ使用量経年!AR272),"")</f>
        <v/>
      </c>
      <c r="AS335" s="916" t="str">
        <f ca="1">IFERROR($I335*44/12*参考2_エネ使用量経年!$I185*(参考2_エネ使用量経年!AS185+参考2_エネ使用量経年!AS272),"")</f>
        <v/>
      </c>
      <c r="AT335" s="916" t="str">
        <f ca="1">IFERROR($J335*44/12*参考2_エネ使用量経年!$J185*(参考2_エネ使用量経年!AT185+参考2_エネ使用量経年!AT272),"")</f>
        <v/>
      </c>
      <c r="AU335" s="916" t="str">
        <f ca="1">IFERROR($K335*44/12*参考2_エネ使用量経年!$K185*(参考2_エネ使用量経年!AU185+参考2_エネ使用量経年!AU272),"")</f>
        <v/>
      </c>
      <c r="AV335" s="916" t="str">
        <f ca="1">IFERROR($H335*44/12*参考2_エネ使用量経年!$H185*(参考2_エネ使用量経年!AV185+参考2_エネ使用量経年!AV272),"")</f>
        <v/>
      </c>
      <c r="AW335" s="916" t="str">
        <f ca="1">IFERROR($I335*44/12*参考2_エネ使用量経年!$I185*(参考2_エネ使用量経年!AW185+参考2_エネ使用量経年!AW272),"")</f>
        <v/>
      </c>
      <c r="AX335" s="916" t="str">
        <f ca="1">IFERROR($J335*44/12*参考2_エネ使用量経年!$J185*(参考2_エネ使用量経年!AX185+参考2_エネ使用量経年!AX272),"")</f>
        <v/>
      </c>
      <c r="AY335" s="916" t="str">
        <f ca="1">IFERROR($K335*44/12*参考2_エネ使用量経年!$K185*(参考2_エネ使用量経年!AY185+参考2_エネ使用量経年!AY272),"")</f>
        <v/>
      </c>
      <c r="AZ335" s="916" t="str">
        <f ca="1">IFERROR($H335*44/12*参考2_エネ使用量経年!$H185*(参考2_エネ使用量経年!AZ185+参考2_エネ使用量経年!AZ272),"")</f>
        <v/>
      </c>
      <c r="BA335" s="916" t="str">
        <f ca="1">IFERROR($I335*44/12*参考2_エネ使用量経年!$I185*(参考2_エネ使用量経年!BA185+参考2_エネ使用量経年!BA272),"")</f>
        <v/>
      </c>
      <c r="BB335" s="916" t="str">
        <f ca="1">IFERROR($J335*44/12*参考2_エネ使用量経年!$J185*(参考2_エネ使用量経年!BB185+参考2_エネ使用量経年!BB272),"")</f>
        <v/>
      </c>
      <c r="BC335" s="916" t="str">
        <f ca="1">IFERROR($K335*44/12*参考2_エネ使用量経年!$K185*(参考2_エネ使用量経年!BC185+参考2_エネ使用量経年!BC272),"")</f>
        <v/>
      </c>
      <c r="BD335" s="916" t="str">
        <f ca="1">IFERROR($H335*44/12*参考2_エネ使用量経年!$H185*(参考2_エネ使用量経年!BD185+参考2_エネ使用量経年!BD272),"")</f>
        <v/>
      </c>
      <c r="BE335" s="916" t="str">
        <f ca="1">IFERROR($I335*44/12*参考2_エネ使用量経年!$I185*(参考2_エネ使用量経年!BE185+参考2_エネ使用量経年!BE272),"")</f>
        <v/>
      </c>
      <c r="BF335" s="916" t="str">
        <f ca="1">IFERROR($J335*44/12*参考2_エネ使用量経年!$J185*(参考2_エネ使用量経年!BF185+参考2_エネ使用量経年!BF272),"")</f>
        <v/>
      </c>
      <c r="BG335" s="916" t="str">
        <f ca="1">IFERROR($K335*44/12*参考2_エネ使用量経年!$K185*(参考2_エネ使用量経年!BG185+参考2_エネ使用量経年!BG272),"")</f>
        <v/>
      </c>
      <c r="BH335" s="916" t="str">
        <f ca="1">IFERROR($H335*44/12*参考2_エネ使用量経年!$H185*(参考2_エネ使用量経年!BH185+参考2_エネ使用量経年!BH272),"")</f>
        <v/>
      </c>
      <c r="BI335" s="916" t="str">
        <f ca="1">IFERROR($I335*44/12*参考2_エネ使用量経年!$I185*(参考2_エネ使用量経年!BI185+参考2_エネ使用量経年!BI272),"")</f>
        <v/>
      </c>
      <c r="BJ335" s="916" t="str">
        <f ca="1">IFERROR($J335*44/12*参考2_エネ使用量経年!$J185*(参考2_エネ使用量経年!BJ185+参考2_エネ使用量経年!BJ272),"")</f>
        <v/>
      </c>
      <c r="BK335" s="916" t="str">
        <f ca="1">IFERROR($K335*44/12*参考2_エネ使用量経年!$K185*(参考2_エネ使用量経年!BK185+参考2_エネ使用量経年!BK272),"")</f>
        <v/>
      </c>
      <c r="BL335" s="916" t="str">
        <f ca="1">IFERROR($H335*44/12*参考2_エネ使用量経年!$H185*(参考2_エネ使用量経年!BL185+参考2_エネ使用量経年!BL272),"")</f>
        <v/>
      </c>
      <c r="BM335" s="916" t="str">
        <f ca="1">IFERROR($I335*44/12*参考2_エネ使用量経年!$I185*(参考2_エネ使用量経年!BM185+参考2_エネ使用量経年!BM272),"")</f>
        <v/>
      </c>
      <c r="BN335" s="916" t="str">
        <f ca="1">IFERROR($J335*44/12*参考2_エネ使用量経年!$J185*(参考2_エネ使用量経年!BN185+参考2_エネ使用量経年!BN272),"")</f>
        <v/>
      </c>
      <c r="BO335" s="916" t="str">
        <f ca="1">IFERROR($K335*44/12*参考2_エネ使用量経年!$K185*(参考2_エネ使用量経年!BO185+参考2_エネ使用量経年!BO272),"")</f>
        <v/>
      </c>
    </row>
    <row r="336" spans="1:67" ht="20.100000000000001" customHeight="1">
      <c r="A336" s="914">
        <v>23</v>
      </c>
      <c r="B336" s="1594"/>
      <c r="C336" s="1596"/>
      <c r="D336" s="785" t="s">
        <v>364</v>
      </c>
      <c r="E336" s="785"/>
      <c r="F336" s="786"/>
      <c r="G336" s="852" t="s">
        <v>1281</v>
      </c>
      <c r="H336" s="915">
        <f t="shared" ca="1" si="109"/>
        <v>2.46E-2</v>
      </c>
      <c r="I336" s="915">
        <f t="shared" ca="1" si="110"/>
        <v>2.46E-2</v>
      </c>
      <c r="J336" s="915">
        <f t="shared" ca="1" si="111"/>
        <v>2.46E-2</v>
      </c>
      <c r="K336" s="915">
        <f t="shared" ca="1" si="112"/>
        <v>2.46E-2</v>
      </c>
      <c r="L336" s="916">
        <f ca="1">IFERROR($H336*44/12*参考2_エネ使用量経年!$H186*(参考2_エネ使用量経年!L186+参考2_エネ使用量経年!L273),"")</f>
        <v>0</v>
      </c>
      <c r="M336" s="916">
        <f ca="1">IFERROR($I336*44/12*参考2_エネ使用量経年!$I186*(参考2_エネ使用量経年!M186+参考2_エネ使用量経年!M273),"")</f>
        <v>0</v>
      </c>
      <c r="N336" s="916">
        <f ca="1">IFERROR($J336*44/12*参考2_エネ使用量経年!$J186*(参考2_エネ使用量経年!N186+参考2_エネ使用量経年!N273),"")</f>
        <v>0</v>
      </c>
      <c r="O336" s="916">
        <f ca="1">IFERROR($K336*44/12*参考2_エネ使用量経年!$K186*(参考2_エネ使用量経年!O186+参考2_エネ使用量経年!O273),"")</f>
        <v>0</v>
      </c>
      <c r="P336" s="916">
        <f ca="1">IFERROR($H336*44/12*参考2_エネ使用量経年!$H186*(参考2_エネ使用量経年!P186+参考2_エネ使用量経年!P273),"")</f>
        <v>0</v>
      </c>
      <c r="Q336" s="916">
        <f ca="1">IFERROR($I336*44/12*参考2_エネ使用量経年!$I186*(参考2_エネ使用量経年!Q186+参考2_エネ使用量経年!Q273),"")</f>
        <v>0</v>
      </c>
      <c r="R336" s="916">
        <f ca="1">IFERROR($J336*44/12*参考2_エネ使用量経年!$J186*(参考2_エネ使用量経年!R186+参考2_エネ使用量経年!R273),"")</f>
        <v>0</v>
      </c>
      <c r="S336" s="916">
        <f ca="1">IFERROR($K336*44/12*参考2_エネ使用量経年!$K186*(参考2_エネ使用量経年!S186+参考2_エネ使用量経年!S273),"")</f>
        <v>0</v>
      </c>
      <c r="T336" s="916">
        <f ca="1">IFERROR($H336*44/12*参考2_エネ使用量経年!$H186*(参考2_エネ使用量経年!T186+参考2_エネ使用量経年!T273),"")</f>
        <v>0</v>
      </c>
      <c r="U336" s="916">
        <f ca="1">IFERROR($I336*44/12*参考2_エネ使用量経年!$I186*(参考2_エネ使用量経年!U186+参考2_エネ使用量経年!U273),"")</f>
        <v>0</v>
      </c>
      <c r="V336" s="916">
        <f ca="1">IFERROR($J336*44/12*参考2_エネ使用量経年!$J186*(参考2_エネ使用量経年!V186+参考2_エネ使用量経年!V273),"")</f>
        <v>0</v>
      </c>
      <c r="W336" s="916">
        <f ca="1">IFERROR($K336*44/12*参考2_エネ使用量経年!$K186*(参考2_エネ使用量経年!W186+参考2_エネ使用量経年!W273),"")</f>
        <v>0</v>
      </c>
      <c r="X336" s="916">
        <f ca="1">IFERROR($H336*44/12*参考2_エネ使用量経年!$H186*(参考2_エネ使用量経年!X186+参考2_エネ使用量経年!X273),"")</f>
        <v>0</v>
      </c>
      <c r="Y336" s="916">
        <f ca="1">IFERROR($I336*44/12*参考2_エネ使用量経年!$I186*(参考2_エネ使用量経年!Y186+参考2_エネ使用量経年!Y273),"")</f>
        <v>0</v>
      </c>
      <c r="Z336" s="916">
        <f ca="1">IFERROR($J336*44/12*参考2_エネ使用量経年!$J186*(参考2_エネ使用量経年!Z186+参考2_エネ使用量経年!Z273),"")</f>
        <v>0</v>
      </c>
      <c r="AA336" s="916">
        <f ca="1">IFERROR($K336*44/12*参考2_エネ使用量経年!$K186*(参考2_エネ使用量経年!AA186+参考2_エネ使用量経年!AA273),"")</f>
        <v>0</v>
      </c>
      <c r="AB336" s="916" t="str">
        <f ca="1">IFERROR($H336*44/12*参考2_エネ使用量経年!$H186*(参考2_エネ使用量経年!AB186+参考2_エネ使用量経年!AB273),"")</f>
        <v/>
      </c>
      <c r="AC336" s="916" t="str">
        <f ca="1">IFERROR($I336*44/12*参考2_エネ使用量経年!$I186*(参考2_エネ使用量経年!AC186+参考2_エネ使用量経年!AC273),"")</f>
        <v/>
      </c>
      <c r="AD336" s="916" t="str">
        <f ca="1">IFERROR($J336*44/12*参考2_エネ使用量経年!$J186*(参考2_エネ使用量経年!AD186+参考2_エネ使用量経年!AD273),"")</f>
        <v/>
      </c>
      <c r="AE336" s="916" t="str">
        <f ca="1">IFERROR($K336*44/12*参考2_エネ使用量経年!$K186*(参考2_エネ使用量経年!AE186+参考2_エネ使用量経年!AE273),"")</f>
        <v/>
      </c>
      <c r="AF336" s="916" t="str">
        <f ca="1">IFERROR($H336*44/12*参考2_エネ使用量経年!$H186*(参考2_エネ使用量経年!AF186+参考2_エネ使用量経年!AF273),"")</f>
        <v/>
      </c>
      <c r="AG336" s="916" t="str">
        <f ca="1">IFERROR($I336*44/12*参考2_エネ使用量経年!$I186*(参考2_エネ使用量経年!AG186+参考2_エネ使用量経年!AG273),"")</f>
        <v/>
      </c>
      <c r="AH336" s="916" t="str">
        <f ca="1">IFERROR($J336*44/12*参考2_エネ使用量経年!$J186*(参考2_エネ使用量経年!AH186+参考2_エネ使用量経年!AH273),"")</f>
        <v/>
      </c>
      <c r="AI336" s="916" t="str">
        <f ca="1">IFERROR($K336*44/12*参考2_エネ使用量経年!$K186*(参考2_エネ使用量経年!AI186+参考2_エネ使用量経年!AI273),"")</f>
        <v/>
      </c>
      <c r="AJ336" s="916" t="str">
        <f ca="1">IFERROR($H336*44/12*参考2_エネ使用量経年!$H186*(参考2_エネ使用量経年!AJ186+参考2_エネ使用量経年!AJ273),"")</f>
        <v/>
      </c>
      <c r="AK336" s="916" t="str">
        <f ca="1">IFERROR($I336*44/12*参考2_エネ使用量経年!$I186*(参考2_エネ使用量経年!AK186+参考2_エネ使用量経年!AK273),"")</f>
        <v/>
      </c>
      <c r="AL336" s="916" t="str">
        <f ca="1">IFERROR($J336*44/12*参考2_エネ使用量経年!$J186*(参考2_エネ使用量経年!AL186+参考2_エネ使用量経年!AL273),"")</f>
        <v/>
      </c>
      <c r="AM336" s="916" t="str">
        <f ca="1">IFERROR($K336*44/12*参考2_エネ使用量経年!$K186*(参考2_エネ使用量経年!AM186+参考2_エネ使用量経年!AM273),"")</f>
        <v/>
      </c>
      <c r="AN336" s="916" t="str">
        <f ca="1">IFERROR($H336*44/12*参考2_エネ使用量経年!$H186*(参考2_エネ使用量経年!AN186+参考2_エネ使用量経年!AN273),"")</f>
        <v/>
      </c>
      <c r="AO336" s="916" t="str">
        <f ca="1">IFERROR($I336*44/12*参考2_エネ使用量経年!$I186*(参考2_エネ使用量経年!AO186+参考2_エネ使用量経年!AO273),"")</f>
        <v/>
      </c>
      <c r="AP336" s="916" t="str">
        <f ca="1">IFERROR($J336*44/12*参考2_エネ使用量経年!$J186*(参考2_エネ使用量経年!AP186+参考2_エネ使用量経年!AP273),"")</f>
        <v/>
      </c>
      <c r="AQ336" s="916" t="str">
        <f ca="1">IFERROR($K336*44/12*参考2_エネ使用量経年!$K186*(参考2_エネ使用量経年!AQ186+参考2_エネ使用量経年!AQ273),"")</f>
        <v/>
      </c>
      <c r="AR336" s="916" t="str">
        <f ca="1">IFERROR($H336*44/12*参考2_エネ使用量経年!$H186*(参考2_エネ使用量経年!AR186+参考2_エネ使用量経年!AR273),"")</f>
        <v/>
      </c>
      <c r="AS336" s="916" t="str">
        <f ca="1">IFERROR($I336*44/12*参考2_エネ使用量経年!$I186*(参考2_エネ使用量経年!AS186+参考2_エネ使用量経年!AS273),"")</f>
        <v/>
      </c>
      <c r="AT336" s="916" t="str">
        <f ca="1">IFERROR($J336*44/12*参考2_エネ使用量経年!$J186*(参考2_エネ使用量経年!AT186+参考2_エネ使用量経年!AT273),"")</f>
        <v/>
      </c>
      <c r="AU336" s="916" t="str">
        <f ca="1">IFERROR($K336*44/12*参考2_エネ使用量経年!$K186*(参考2_エネ使用量経年!AU186+参考2_エネ使用量経年!AU273),"")</f>
        <v/>
      </c>
      <c r="AV336" s="916" t="str">
        <f ca="1">IFERROR($H336*44/12*参考2_エネ使用量経年!$H186*(参考2_エネ使用量経年!AV186+参考2_エネ使用量経年!AV273),"")</f>
        <v/>
      </c>
      <c r="AW336" s="916" t="str">
        <f ca="1">IFERROR($I336*44/12*参考2_エネ使用量経年!$I186*(参考2_エネ使用量経年!AW186+参考2_エネ使用量経年!AW273),"")</f>
        <v/>
      </c>
      <c r="AX336" s="916" t="str">
        <f ca="1">IFERROR($J336*44/12*参考2_エネ使用量経年!$J186*(参考2_エネ使用量経年!AX186+参考2_エネ使用量経年!AX273),"")</f>
        <v/>
      </c>
      <c r="AY336" s="916" t="str">
        <f ca="1">IFERROR($K336*44/12*参考2_エネ使用量経年!$K186*(参考2_エネ使用量経年!AY186+参考2_エネ使用量経年!AY273),"")</f>
        <v/>
      </c>
      <c r="AZ336" s="916" t="str">
        <f ca="1">IFERROR($H336*44/12*参考2_エネ使用量経年!$H186*(参考2_エネ使用量経年!AZ186+参考2_エネ使用量経年!AZ273),"")</f>
        <v/>
      </c>
      <c r="BA336" s="916" t="str">
        <f ca="1">IFERROR($I336*44/12*参考2_エネ使用量経年!$I186*(参考2_エネ使用量経年!BA186+参考2_エネ使用量経年!BA273),"")</f>
        <v/>
      </c>
      <c r="BB336" s="916" t="str">
        <f ca="1">IFERROR($J336*44/12*参考2_エネ使用量経年!$J186*(参考2_エネ使用量経年!BB186+参考2_エネ使用量経年!BB273),"")</f>
        <v/>
      </c>
      <c r="BC336" s="916" t="str">
        <f ca="1">IFERROR($K336*44/12*参考2_エネ使用量経年!$K186*(参考2_エネ使用量経年!BC186+参考2_エネ使用量経年!BC273),"")</f>
        <v/>
      </c>
      <c r="BD336" s="916" t="str">
        <f ca="1">IFERROR($H336*44/12*参考2_エネ使用量経年!$H186*(参考2_エネ使用量経年!BD186+参考2_エネ使用量経年!BD273),"")</f>
        <v/>
      </c>
      <c r="BE336" s="916" t="str">
        <f ca="1">IFERROR($I336*44/12*参考2_エネ使用量経年!$I186*(参考2_エネ使用量経年!BE186+参考2_エネ使用量経年!BE273),"")</f>
        <v/>
      </c>
      <c r="BF336" s="916" t="str">
        <f ca="1">IFERROR($J336*44/12*参考2_エネ使用量経年!$J186*(参考2_エネ使用量経年!BF186+参考2_エネ使用量経年!BF273),"")</f>
        <v/>
      </c>
      <c r="BG336" s="916" t="str">
        <f ca="1">IFERROR($K336*44/12*参考2_エネ使用量経年!$K186*(参考2_エネ使用量経年!BG186+参考2_エネ使用量経年!BG273),"")</f>
        <v/>
      </c>
      <c r="BH336" s="916" t="str">
        <f ca="1">IFERROR($H336*44/12*参考2_エネ使用量経年!$H186*(参考2_エネ使用量経年!BH186+参考2_エネ使用量経年!BH273),"")</f>
        <v/>
      </c>
      <c r="BI336" s="916" t="str">
        <f ca="1">IFERROR($I336*44/12*参考2_エネ使用量経年!$I186*(参考2_エネ使用量経年!BI186+参考2_エネ使用量経年!BI273),"")</f>
        <v/>
      </c>
      <c r="BJ336" s="916" t="str">
        <f ca="1">IFERROR($J336*44/12*参考2_エネ使用量経年!$J186*(参考2_エネ使用量経年!BJ186+参考2_エネ使用量経年!BJ273),"")</f>
        <v/>
      </c>
      <c r="BK336" s="916" t="str">
        <f ca="1">IFERROR($K336*44/12*参考2_エネ使用量経年!$K186*(参考2_エネ使用量経年!BK186+参考2_エネ使用量経年!BK273),"")</f>
        <v/>
      </c>
      <c r="BL336" s="916" t="str">
        <f ca="1">IFERROR($H336*44/12*参考2_エネ使用量経年!$H186*(参考2_エネ使用量経年!BL186+参考2_エネ使用量経年!BL273),"")</f>
        <v/>
      </c>
      <c r="BM336" s="916" t="str">
        <f ca="1">IFERROR($I336*44/12*参考2_エネ使用量経年!$I186*(参考2_エネ使用量経年!BM186+参考2_エネ使用量経年!BM273),"")</f>
        <v/>
      </c>
      <c r="BN336" s="916" t="str">
        <f ca="1">IFERROR($J336*44/12*参考2_エネ使用量経年!$J186*(参考2_エネ使用量経年!BN186+参考2_エネ使用量経年!BN273),"")</f>
        <v/>
      </c>
      <c r="BO336" s="916" t="str">
        <f ca="1">IFERROR($K336*44/12*参考2_エネ使用量経年!$K186*(参考2_エネ使用量経年!BO186+参考2_エネ使用量経年!BO273),"")</f>
        <v/>
      </c>
    </row>
    <row r="337" spans="1:67" ht="20.100000000000001" customHeight="1">
      <c r="A337" s="914">
        <v>24</v>
      </c>
      <c r="B337" s="1594"/>
      <c r="C337" s="1596"/>
      <c r="D337" s="785" t="s">
        <v>365</v>
      </c>
      <c r="E337" s="779"/>
      <c r="F337" s="786"/>
      <c r="G337" s="852" t="s">
        <v>1281</v>
      </c>
      <c r="H337" s="915">
        <f t="shared" ca="1" si="109"/>
        <v>2.4500000000000001E-2</v>
      </c>
      <c r="I337" s="915">
        <f t="shared" ca="1" si="110"/>
        <v>2.4500000000000001E-2</v>
      </c>
      <c r="J337" s="915">
        <f t="shared" ca="1" si="111"/>
        <v>2.4500000000000001E-2</v>
      </c>
      <c r="K337" s="915">
        <f t="shared" ca="1" si="112"/>
        <v>2.4500000000000001E-2</v>
      </c>
      <c r="L337" s="916">
        <f ca="1">IFERROR($H337*44/12*参考2_エネ使用量経年!$H187*(参考2_エネ使用量経年!L187+参考2_エネ使用量経年!L274),"")</f>
        <v>0</v>
      </c>
      <c r="M337" s="916">
        <f ca="1">IFERROR($I337*44/12*参考2_エネ使用量経年!$I187*(参考2_エネ使用量経年!M187+参考2_エネ使用量経年!M274),"")</f>
        <v>0</v>
      </c>
      <c r="N337" s="916">
        <f ca="1">IFERROR($J337*44/12*参考2_エネ使用量経年!$J187*(参考2_エネ使用量経年!N187+参考2_エネ使用量経年!N274),"")</f>
        <v>0</v>
      </c>
      <c r="O337" s="916">
        <f ca="1">IFERROR($K337*44/12*参考2_エネ使用量経年!$K187*(参考2_エネ使用量経年!O187+参考2_エネ使用量経年!O274),"")</f>
        <v>0</v>
      </c>
      <c r="P337" s="916">
        <f ca="1">IFERROR($H337*44/12*参考2_エネ使用量経年!$H187*(参考2_エネ使用量経年!P187+参考2_エネ使用量経年!P274),"")</f>
        <v>0</v>
      </c>
      <c r="Q337" s="916">
        <f ca="1">IFERROR($I337*44/12*参考2_エネ使用量経年!$I187*(参考2_エネ使用量経年!Q187+参考2_エネ使用量経年!Q274),"")</f>
        <v>0</v>
      </c>
      <c r="R337" s="916">
        <f ca="1">IFERROR($J337*44/12*参考2_エネ使用量経年!$J187*(参考2_エネ使用量経年!R187+参考2_エネ使用量経年!R274),"")</f>
        <v>0</v>
      </c>
      <c r="S337" s="916">
        <f ca="1">IFERROR($K337*44/12*参考2_エネ使用量経年!$K187*(参考2_エネ使用量経年!S187+参考2_エネ使用量経年!S274),"")</f>
        <v>0</v>
      </c>
      <c r="T337" s="916">
        <f ca="1">IFERROR($H337*44/12*参考2_エネ使用量経年!$H187*(参考2_エネ使用量経年!T187+参考2_エネ使用量経年!T274),"")</f>
        <v>0</v>
      </c>
      <c r="U337" s="916">
        <f ca="1">IFERROR($I337*44/12*参考2_エネ使用量経年!$I187*(参考2_エネ使用量経年!U187+参考2_エネ使用量経年!U274),"")</f>
        <v>0</v>
      </c>
      <c r="V337" s="916">
        <f ca="1">IFERROR($J337*44/12*参考2_エネ使用量経年!$J187*(参考2_エネ使用量経年!V187+参考2_エネ使用量経年!V274),"")</f>
        <v>0</v>
      </c>
      <c r="W337" s="916">
        <f ca="1">IFERROR($K337*44/12*参考2_エネ使用量経年!$K187*(参考2_エネ使用量経年!W187+参考2_エネ使用量経年!W274),"")</f>
        <v>0</v>
      </c>
      <c r="X337" s="916">
        <f ca="1">IFERROR($H337*44/12*参考2_エネ使用量経年!$H187*(参考2_エネ使用量経年!X187+参考2_エネ使用量経年!X274),"")</f>
        <v>0</v>
      </c>
      <c r="Y337" s="916">
        <f ca="1">IFERROR($I337*44/12*参考2_エネ使用量経年!$I187*(参考2_エネ使用量経年!Y187+参考2_エネ使用量経年!Y274),"")</f>
        <v>0</v>
      </c>
      <c r="Z337" s="916">
        <f ca="1">IFERROR($J337*44/12*参考2_エネ使用量経年!$J187*(参考2_エネ使用量経年!Z187+参考2_エネ使用量経年!Z274),"")</f>
        <v>0</v>
      </c>
      <c r="AA337" s="916">
        <f ca="1">IFERROR($K337*44/12*参考2_エネ使用量経年!$K187*(参考2_エネ使用量経年!AA187+参考2_エネ使用量経年!AA274),"")</f>
        <v>0</v>
      </c>
      <c r="AB337" s="916" t="str">
        <f ca="1">IFERROR($H337*44/12*参考2_エネ使用量経年!$H187*(参考2_エネ使用量経年!AB187+参考2_エネ使用量経年!AB274),"")</f>
        <v/>
      </c>
      <c r="AC337" s="916" t="str">
        <f ca="1">IFERROR($I337*44/12*参考2_エネ使用量経年!$I187*(参考2_エネ使用量経年!AC187+参考2_エネ使用量経年!AC274),"")</f>
        <v/>
      </c>
      <c r="AD337" s="916" t="str">
        <f ca="1">IFERROR($J337*44/12*参考2_エネ使用量経年!$J187*(参考2_エネ使用量経年!AD187+参考2_エネ使用量経年!AD274),"")</f>
        <v/>
      </c>
      <c r="AE337" s="916" t="str">
        <f ca="1">IFERROR($K337*44/12*参考2_エネ使用量経年!$K187*(参考2_エネ使用量経年!AE187+参考2_エネ使用量経年!AE274),"")</f>
        <v/>
      </c>
      <c r="AF337" s="916" t="str">
        <f ca="1">IFERROR($H337*44/12*参考2_エネ使用量経年!$H187*(参考2_エネ使用量経年!AF187+参考2_エネ使用量経年!AF274),"")</f>
        <v/>
      </c>
      <c r="AG337" s="916" t="str">
        <f ca="1">IFERROR($I337*44/12*参考2_エネ使用量経年!$I187*(参考2_エネ使用量経年!AG187+参考2_エネ使用量経年!AG274),"")</f>
        <v/>
      </c>
      <c r="AH337" s="916" t="str">
        <f ca="1">IFERROR($J337*44/12*参考2_エネ使用量経年!$J187*(参考2_エネ使用量経年!AH187+参考2_エネ使用量経年!AH274),"")</f>
        <v/>
      </c>
      <c r="AI337" s="916" t="str">
        <f ca="1">IFERROR($K337*44/12*参考2_エネ使用量経年!$K187*(参考2_エネ使用量経年!AI187+参考2_エネ使用量経年!AI274),"")</f>
        <v/>
      </c>
      <c r="AJ337" s="916" t="str">
        <f ca="1">IFERROR($H337*44/12*参考2_エネ使用量経年!$H187*(参考2_エネ使用量経年!AJ187+参考2_エネ使用量経年!AJ274),"")</f>
        <v/>
      </c>
      <c r="AK337" s="916" t="str">
        <f ca="1">IFERROR($I337*44/12*参考2_エネ使用量経年!$I187*(参考2_エネ使用量経年!AK187+参考2_エネ使用量経年!AK274),"")</f>
        <v/>
      </c>
      <c r="AL337" s="916" t="str">
        <f ca="1">IFERROR($J337*44/12*参考2_エネ使用量経年!$J187*(参考2_エネ使用量経年!AL187+参考2_エネ使用量経年!AL274),"")</f>
        <v/>
      </c>
      <c r="AM337" s="916" t="str">
        <f ca="1">IFERROR($K337*44/12*参考2_エネ使用量経年!$K187*(参考2_エネ使用量経年!AM187+参考2_エネ使用量経年!AM274),"")</f>
        <v/>
      </c>
      <c r="AN337" s="916" t="str">
        <f ca="1">IFERROR($H337*44/12*参考2_エネ使用量経年!$H187*(参考2_エネ使用量経年!AN187+参考2_エネ使用量経年!AN274),"")</f>
        <v/>
      </c>
      <c r="AO337" s="916" t="str">
        <f ca="1">IFERROR($I337*44/12*参考2_エネ使用量経年!$I187*(参考2_エネ使用量経年!AO187+参考2_エネ使用量経年!AO274),"")</f>
        <v/>
      </c>
      <c r="AP337" s="916" t="str">
        <f ca="1">IFERROR($J337*44/12*参考2_エネ使用量経年!$J187*(参考2_エネ使用量経年!AP187+参考2_エネ使用量経年!AP274),"")</f>
        <v/>
      </c>
      <c r="AQ337" s="916" t="str">
        <f ca="1">IFERROR($K337*44/12*参考2_エネ使用量経年!$K187*(参考2_エネ使用量経年!AQ187+参考2_エネ使用量経年!AQ274),"")</f>
        <v/>
      </c>
      <c r="AR337" s="916" t="str">
        <f ca="1">IFERROR($H337*44/12*参考2_エネ使用量経年!$H187*(参考2_エネ使用量経年!AR187+参考2_エネ使用量経年!AR274),"")</f>
        <v/>
      </c>
      <c r="AS337" s="916" t="str">
        <f ca="1">IFERROR($I337*44/12*参考2_エネ使用量経年!$I187*(参考2_エネ使用量経年!AS187+参考2_エネ使用量経年!AS274),"")</f>
        <v/>
      </c>
      <c r="AT337" s="916" t="str">
        <f ca="1">IFERROR($J337*44/12*参考2_エネ使用量経年!$J187*(参考2_エネ使用量経年!AT187+参考2_エネ使用量経年!AT274),"")</f>
        <v/>
      </c>
      <c r="AU337" s="916" t="str">
        <f ca="1">IFERROR($K337*44/12*参考2_エネ使用量経年!$K187*(参考2_エネ使用量経年!AU187+参考2_エネ使用量経年!AU274),"")</f>
        <v/>
      </c>
      <c r="AV337" s="916" t="str">
        <f ca="1">IFERROR($H337*44/12*参考2_エネ使用量経年!$H187*(参考2_エネ使用量経年!AV187+参考2_エネ使用量経年!AV274),"")</f>
        <v/>
      </c>
      <c r="AW337" s="916" t="str">
        <f ca="1">IFERROR($I337*44/12*参考2_エネ使用量経年!$I187*(参考2_エネ使用量経年!AW187+参考2_エネ使用量経年!AW274),"")</f>
        <v/>
      </c>
      <c r="AX337" s="916" t="str">
        <f ca="1">IFERROR($J337*44/12*参考2_エネ使用量経年!$J187*(参考2_エネ使用量経年!AX187+参考2_エネ使用量経年!AX274),"")</f>
        <v/>
      </c>
      <c r="AY337" s="916" t="str">
        <f ca="1">IFERROR($K337*44/12*参考2_エネ使用量経年!$K187*(参考2_エネ使用量経年!AY187+参考2_エネ使用量経年!AY274),"")</f>
        <v/>
      </c>
      <c r="AZ337" s="916" t="str">
        <f ca="1">IFERROR($H337*44/12*参考2_エネ使用量経年!$H187*(参考2_エネ使用量経年!AZ187+参考2_エネ使用量経年!AZ274),"")</f>
        <v/>
      </c>
      <c r="BA337" s="916" t="str">
        <f ca="1">IFERROR($I337*44/12*参考2_エネ使用量経年!$I187*(参考2_エネ使用量経年!BA187+参考2_エネ使用量経年!BA274),"")</f>
        <v/>
      </c>
      <c r="BB337" s="916" t="str">
        <f ca="1">IFERROR($J337*44/12*参考2_エネ使用量経年!$J187*(参考2_エネ使用量経年!BB187+参考2_エネ使用量経年!BB274),"")</f>
        <v/>
      </c>
      <c r="BC337" s="916" t="str">
        <f ca="1">IFERROR($K337*44/12*参考2_エネ使用量経年!$K187*(参考2_エネ使用量経年!BC187+参考2_エネ使用量経年!BC274),"")</f>
        <v/>
      </c>
      <c r="BD337" s="916" t="str">
        <f ca="1">IFERROR($H337*44/12*参考2_エネ使用量経年!$H187*(参考2_エネ使用量経年!BD187+参考2_エネ使用量経年!BD274),"")</f>
        <v/>
      </c>
      <c r="BE337" s="916" t="str">
        <f ca="1">IFERROR($I337*44/12*参考2_エネ使用量経年!$I187*(参考2_エネ使用量経年!BE187+参考2_エネ使用量経年!BE274),"")</f>
        <v/>
      </c>
      <c r="BF337" s="916" t="str">
        <f ca="1">IFERROR($J337*44/12*参考2_エネ使用量経年!$J187*(参考2_エネ使用量経年!BF187+参考2_エネ使用量経年!BF274),"")</f>
        <v/>
      </c>
      <c r="BG337" s="916" t="str">
        <f ca="1">IFERROR($K337*44/12*参考2_エネ使用量経年!$K187*(参考2_エネ使用量経年!BG187+参考2_エネ使用量経年!BG274),"")</f>
        <v/>
      </c>
      <c r="BH337" s="916" t="str">
        <f ca="1">IFERROR($H337*44/12*参考2_エネ使用量経年!$H187*(参考2_エネ使用量経年!BH187+参考2_エネ使用量経年!BH274),"")</f>
        <v/>
      </c>
      <c r="BI337" s="916" t="str">
        <f ca="1">IFERROR($I337*44/12*参考2_エネ使用量経年!$I187*(参考2_エネ使用量経年!BI187+参考2_エネ使用量経年!BI274),"")</f>
        <v/>
      </c>
      <c r="BJ337" s="916" t="str">
        <f ca="1">IFERROR($J337*44/12*参考2_エネ使用量経年!$J187*(参考2_エネ使用量経年!BJ187+参考2_エネ使用量経年!BJ274),"")</f>
        <v/>
      </c>
      <c r="BK337" s="916" t="str">
        <f ca="1">IFERROR($K337*44/12*参考2_エネ使用量経年!$K187*(参考2_エネ使用量経年!BK187+参考2_エネ使用量経年!BK274),"")</f>
        <v/>
      </c>
      <c r="BL337" s="916" t="str">
        <f ca="1">IFERROR($H337*44/12*参考2_エネ使用量経年!$H187*(参考2_エネ使用量経年!BL187+参考2_エネ使用量経年!BL274),"")</f>
        <v/>
      </c>
      <c r="BM337" s="916" t="str">
        <f ca="1">IFERROR($I337*44/12*参考2_エネ使用量経年!$I187*(参考2_エネ使用量経年!BM187+参考2_エネ使用量経年!BM274),"")</f>
        <v/>
      </c>
      <c r="BN337" s="916" t="str">
        <f ca="1">IFERROR($J337*44/12*参考2_エネ使用量経年!$J187*(参考2_エネ使用量経年!BN187+参考2_エネ使用量経年!BN274),"")</f>
        <v/>
      </c>
      <c r="BO337" s="916" t="str">
        <f ca="1">IFERROR($K337*44/12*参考2_エネ使用量経年!$K187*(参考2_エネ使用量経年!BO187+参考2_エネ使用量経年!BO274),"")</f>
        <v/>
      </c>
    </row>
    <row r="338" spans="1:67" ht="20.100000000000001" customHeight="1">
      <c r="A338" s="914">
        <v>25</v>
      </c>
      <c r="B338" s="1594"/>
      <c r="C338" s="1596"/>
      <c r="D338" s="785" t="s">
        <v>366</v>
      </c>
      <c r="E338" s="785"/>
      <c r="F338" s="786"/>
      <c r="G338" s="852" t="s">
        <v>1281</v>
      </c>
      <c r="H338" s="915">
        <f t="shared" ca="1" si="109"/>
        <v>2.5100000000000001E-2</v>
      </c>
      <c r="I338" s="915">
        <f t="shared" ca="1" si="110"/>
        <v>2.5100000000000001E-2</v>
      </c>
      <c r="J338" s="915">
        <f t="shared" ca="1" si="111"/>
        <v>2.5100000000000001E-2</v>
      </c>
      <c r="K338" s="915">
        <f t="shared" ca="1" si="112"/>
        <v>2.5100000000000001E-2</v>
      </c>
      <c r="L338" s="916">
        <f ca="1">IFERROR($H338*44/12*参考2_エネ使用量経年!$H188*(参考2_エネ使用量経年!L188+参考2_エネ使用量経年!L275),"")</f>
        <v>0</v>
      </c>
      <c r="M338" s="916">
        <f ca="1">IFERROR($I338*44/12*参考2_エネ使用量経年!$I188*(参考2_エネ使用量経年!M188+参考2_エネ使用量経年!M275),"")</f>
        <v>0</v>
      </c>
      <c r="N338" s="916">
        <f ca="1">IFERROR($J338*44/12*参考2_エネ使用量経年!$J188*(参考2_エネ使用量経年!N188+参考2_エネ使用量経年!N275),"")</f>
        <v>0</v>
      </c>
      <c r="O338" s="916">
        <f ca="1">IFERROR($K338*44/12*参考2_エネ使用量経年!$K188*(参考2_エネ使用量経年!O188+参考2_エネ使用量経年!O275),"")</f>
        <v>0</v>
      </c>
      <c r="P338" s="916">
        <f ca="1">IFERROR($H338*44/12*参考2_エネ使用量経年!$H188*(参考2_エネ使用量経年!P188+参考2_エネ使用量経年!P275),"")</f>
        <v>0</v>
      </c>
      <c r="Q338" s="916">
        <f ca="1">IFERROR($I338*44/12*参考2_エネ使用量経年!$I188*(参考2_エネ使用量経年!Q188+参考2_エネ使用量経年!Q275),"")</f>
        <v>0</v>
      </c>
      <c r="R338" s="916">
        <f ca="1">IFERROR($J338*44/12*参考2_エネ使用量経年!$J188*(参考2_エネ使用量経年!R188+参考2_エネ使用量経年!R275),"")</f>
        <v>0</v>
      </c>
      <c r="S338" s="916">
        <f ca="1">IFERROR($K338*44/12*参考2_エネ使用量経年!$K188*(参考2_エネ使用量経年!S188+参考2_エネ使用量経年!S275),"")</f>
        <v>0</v>
      </c>
      <c r="T338" s="916">
        <f ca="1">IFERROR($H338*44/12*参考2_エネ使用量経年!$H188*(参考2_エネ使用量経年!T188+参考2_エネ使用量経年!T275),"")</f>
        <v>0</v>
      </c>
      <c r="U338" s="916">
        <f ca="1">IFERROR($I338*44/12*参考2_エネ使用量経年!$I188*(参考2_エネ使用量経年!U188+参考2_エネ使用量経年!U275),"")</f>
        <v>0</v>
      </c>
      <c r="V338" s="916">
        <f ca="1">IFERROR($J338*44/12*参考2_エネ使用量経年!$J188*(参考2_エネ使用量経年!V188+参考2_エネ使用量経年!V275),"")</f>
        <v>0</v>
      </c>
      <c r="W338" s="916">
        <f ca="1">IFERROR($K338*44/12*参考2_エネ使用量経年!$K188*(参考2_エネ使用量経年!W188+参考2_エネ使用量経年!W275),"")</f>
        <v>0</v>
      </c>
      <c r="X338" s="916">
        <f ca="1">IFERROR($H338*44/12*参考2_エネ使用量経年!$H188*(参考2_エネ使用量経年!X188+参考2_エネ使用量経年!X275),"")</f>
        <v>0</v>
      </c>
      <c r="Y338" s="916">
        <f ca="1">IFERROR($I338*44/12*参考2_エネ使用量経年!$I188*(参考2_エネ使用量経年!Y188+参考2_エネ使用量経年!Y275),"")</f>
        <v>0</v>
      </c>
      <c r="Z338" s="916">
        <f ca="1">IFERROR($J338*44/12*参考2_エネ使用量経年!$J188*(参考2_エネ使用量経年!Z188+参考2_エネ使用量経年!Z275),"")</f>
        <v>0</v>
      </c>
      <c r="AA338" s="916">
        <f ca="1">IFERROR($K338*44/12*参考2_エネ使用量経年!$K188*(参考2_エネ使用量経年!AA188+参考2_エネ使用量経年!AA275),"")</f>
        <v>0</v>
      </c>
      <c r="AB338" s="916" t="str">
        <f ca="1">IFERROR($H338*44/12*参考2_エネ使用量経年!$H188*(参考2_エネ使用量経年!AB188+参考2_エネ使用量経年!AB275),"")</f>
        <v/>
      </c>
      <c r="AC338" s="916" t="str">
        <f ca="1">IFERROR($I338*44/12*参考2_エネ使用量経年!$I188*(参考2_エネ使用量経年!AC188+参考2_エネ使用量経年!AC275),"")</f>
        <v/>
      </c>
      <c r="AD338" s="916" t="str">
        <f ca="1">IFERROR($J338*44/12*参考2_エネ使用量経年!$J188*(参考2_エネ使用量経年!AD188+参考2_エネ使用量経年!AD275),"")</f>
        <v/>
      </c>
      <c r="AE338" s="916" t="str">
        <f ca="1">IFERROR($K338*44/12*参考2_エネ使用量経年!$K188*(参考2_エネ使用量経年!AE188+参考2_エネ使用量経年!AE275),"")</f>
        <v/>
      </c>
      <c r="AF338" s="916" t="str">
        <f ca="1">IFERROR($H338*44/12*参考2_エネ使用量経年!$H188*(参考2_エネ使用量経年!AF188+参考2_エネ使用量経年!AF275),"")</f>
        <v/>
      </c>
      <c r="AG338" s="916" t="str">
        <f ca="1">IFERROR($I338*44/12*参考2_エネ使用量経年!$I188*(参考2_エネ使用量経年!AG188+参考2_エネ使用量経年!AG275),"")</f>
        <v/>
      </c>
      <c r="AH338" s="916" t="str">
        <f ca="1">IFERROR($J338*44/12*参考2_エネ使用量経年!$J188*(参考2_エネ使用量経年!AH188+参考2_エネ使用量経年!AH275),"")</f>
        <v/>
      </c>
      <c r="AI338" s="916" t="str">
        <f ca="1">IFERROR($K338*44/12*参考2_エネ使用量経年!$K188*(参考2_エネ使用量経年!AI188+参考2_エネ使用量経年!AI275),"")</f>
        <v/>
      </c>
      <c r="AJ338" s="916" t="str">
        <f ca="1">IFERROR($H338*44/12*参考2_エネ使用量経年!$H188*(参考2_エネ使用量経年!AJ188+参考2_エネ使用量経年!AJ275),"")</f>
        <v/>
      </c>
      <c r="AK338" s="916" t="str">
        <f ca="1">IFERROR($I338*44/12*参考2_エネ使用量経年!$I188*(参考2_エネ使用量経年!AK188+参考2_エネ使用量経年!AK275),"")</f>
        <v/>
      </c>
      <c r="AL338" s="916" t="str">
        <f ca="1">IFERROR($J338*44/12*参考2_エネ使用量経年!$J188*(参考2_エネ使用量経年!AL188+参考2_エネ使用量経年!AL275),"")</f>
        <v/>
      </c>
      <c r="AM338" s="916" t="str">
        <f ca="1">IFERROR($K338*44/12*参考2_エネ使用量経年!$K188*(参考2_エネ使用量経年!AM188+参考2_エネ使用量経年!AM275),"")</f>
        <v/>
      </c>
      <c r="AN338" s="916" t="str">
        <f ca="1">IFERROR($H338*44/12*参考2_エネ使用量経年!$H188*(参考2_エネ使用量経年!AN188+参考2_エネ使用量経年!AN275),"")</f>
        <v/>
      </c>
      <c r="AO338" s="916" t="str">
        <f ca="1">IFERROR($I338*44/12*参考2_エネ使用量経年!$I188*(参考2_エネ使用量経年!AO188+参考2_エネ使用量経年!AO275),"")</f>
        <v/>
      </c>
      <c r="AP338" s="916" t="str">
        <f ca="1">IFERROR($J338*44/12*参考2_エネ使用量経年!$J188*(参考2_エネ使用量経年!AP188+参考2_エネ使用量経年!AP275),"")</f>
        <v/>
      </c>
      <c r="AQ338" s="916" t="str">
        <f ca="1">IFERROR($K338*44/12*参考2_エネ使用量経年!$K188*(参考2_エネ使用量経年!AQ188+参考2_エネ使用量経年!AQ275),"")</f>
        <v/>
      </c>
      <c r="AR338" s="916" t="str">
        <f ca="1">IFERROR($H338*44/12*参考2_エネ使用量経年!$H188*(参考2_エネ使用量経年!AR188+参考2_エネ使用量経年!AR275),"")</f>
        <v/>
      </c>
      <c r="AS338" s="916" t="str">
        <f ca="1">IFERROR($I338*44/12*参考2_エネ使用量経年!$I188*(参考2_エネ使用量経年!AS188+参考2_エネ使用量経年!AS275),"")</f>
        <v/>
      </c>
      <c r="AT338" s="916" t="str">
        <f ca="1">IFERROR($J338*44/12*参考2_エネ使用量経年!$J188*(参考2_エネ使用量経年!AT188+参考2_エネ使用量経年!AT275),"")</f>
        <v/>
      </c>
      <c r="AU338" s="916" t="str">
        <f ca="1">IFERROR($K338*44/12*参考2_エネ使用量経年!$K188*(参考2_エネ使用量経年!AU188+参考2_エネ使用量経年!AU275),"")</f>
        <v/>
      </c>
      <c r="AV338" s="916" t="str">
        <f ca="1">IFERROR($H338*44/12*参考2_エネ使用量経年!$H188*(参考2_エネ使用量経年!AV188+参考2_エネ使用量経年!AV275),"")</f>
        <v/>
      </c>
      <c r="AW338" s="916" t="str">
        <f ca="1">IFERROR($I338*44/12*参考2_エネ使用量経年!$I188*(参考2_エネ使用量経年!AW188+参考2_エネ使用量経年!AW275),"")</f>
        <v/>
      </c>
      <c r="AX338" s="916" t="str">
        <f ca="1">IFERROR($J338*44/12*参考2_エネ使用量経年!$J188*(参考2_エネ使用量経年!AX188+参考2_エネ使用量経年!AX275),"")</f>
        <v/>
      </c>
      <c r="AY338" s="916" t="str">
        <f ca="1">IFERROR($K338*44/12*参考2_エネ使用量経年!$K188*(参考2_エネ使用量経年!AY188+参考2_エネ使用量経年!AY275),"")</f>
        <v/>
      </c>
      <c r="AZ338" s="916" t="str">
        <f ca="1">IFERROR($H338*44/12*参考2_エネ使用量経年!$H188*(参考2_エネ使用量経年!AZ188+参考2_エネ使用量経年!AZ275),"")</f>
        <v/>
      </c>
      <c r="BA338" s="916" t="str">
        <f ca="1">IFERROR($I338*44/12*参考2_エネ使用量経年!$I188*(参考2_エネ使用量経年!BA188+参考2_エネ使用量経年!BA275),"")</f>
        <v/>
      </c>
      <c r="BB338" s="916" t="str">
        <f ca="1">IFERROR($J338*44/12*参考2_エネ使用量経年!$J188*(参考2_エネ使用量経年!BB188+参考2_エネ使用量経年!BB275),"")</f>
        <v/>
      </c>
      <c r="BC338" s="916" t="str">
        <f ca="1">IFERROR($K338*44/12*参考2_エネ使用量経年!$K188*(参考2_エネ使用量経年!BC188+参考2_エネ使用量経年!BC275),"")</f>
        <v/>
      </c>
      <c r="BD338" s="916" t="str">
        <f ca="1">IFERROR($H338*44/12*参考2_エネ使用量経年!$H188*(参考2_エネ使用量経年!BD188+参考2_エネ使用量経年!BD275),"")</f>
        <v/>
      </c>
      <c r="BE338" s="916" t="str">
        <f ca="1">IFERROR($I338*44/12*参考2_エネ使用量経年!$I188*(参考2_エネ使用量経年!BE188+参考2_エネ使用量経年!BE275),"")</f>
        <v/>
      </c>
      <c r="BF338" s="916" t="str">
        <f ca="1">IFERROR($J338*44/12*参考2_エネ使用量経年!$J188*(参考2_エネ使用量経年!BF188+参考2_エネ使用量経年!BF275),"")</f>
        <v/>
      </c>
      <c r="BG338" s="916" t="str">
        <f ca="1">IFERROR($K338*44/12*参考2_エネ使用量経年!$K188*(参考2_エネ使用量経年!BG188+参考2_エネ使用量経年!BG275),"")</f>
        <v/>
      </c>
      <c r="BH338" s="916" t="str">
        <f ca="1">IFERROR($H338*44/12*参考2_エネ使用量経年!$H188*(参考2_エネ使用量経年!BH188+参考2_エネ使用量経年!BH275),"")</f>
        <v/>
      </c>
      <c r="BI338" s="916" t="str">
        <f ca="1">IFERROR($I338*44/12*参考2_エネ使用量経年!$I188*(参考2_エネ使用量経年!BI188+参考2_エネ使用量経年!BI275),"")</f>
        <v/>
      </c>
      <c r="BJ338" s="916" t="str">
        <f ca="1">IFERROR($J338*44/12*参考2_エネ使用量経年!$J188*(参考2_エネ使用量経年!BJ188+参考2_エネ使用量経年!BJ275),"")</f>
        <v/>
      </c>
      <c r="BK338" s="916" t="str">
        <f ca="1">IFERROR($K338*44/12*参考2_エネ使用量経年!$K188*(参考2_エネ使用量経年!BK188+参考2_エネ使用量経年!BK275),"")</f>
        <v/>
      </c>
      <c r="BL338" s="916" t="str">
        <f ca="1">IFERROR($H338*44/12*参考2_エネ使用量経年!$H188*(参考2_エネ使用量経年!BL188+参考2_エネ使用量経年!BL275),"")</f>
        <v/>
      </c>
      <c r="BM338" s="916" t="str">
        <f ca="1">IFERROR($I338*44/12*参考2_エネ使用量経年!$I188*(参考2_エネ使用量経年!BM188+参考2_エネ使用量経年!BM275),"")</f>
        <v/>
      </c>
      <c r="BN338" s="916" t="str">
        <f ca="1">IFERROR($J338*44/12*参考2_エネ使用量経年!$J188*(参考2_エネ使用量経年!BN188+参考2_エネ使用量経年!BN275),"")</f>
        <v/>
      </c>
      <c r="BO338" s="916" t="str">
        <f ca="1">IFERROR($K338*44/12*参考2_エネ使用量経年!$K188*(参考2_エネ使用量経年!BO188+参考2_エネ使用量経年!BO275),"")</f>
        <v/>
      </c>
    </row>
    <row r="339" spans="1:67" ht="20.100000000000001" customHeight="1">
      <c r="A339" s="914">
        <v>26</v>
      </c>
      <c r="B339" s="1594"/>
      <c r="C339" s="1596"/>
      <c r="D339" s="785" t="s">
        <v>367</v>
      </c>
      <c r="E339" s="785"/>
      <c r="F339" s="786"/>
      <c r="G339" s="852" t="s">
        <v>1281</v>
      </c>
      <c r="H339" s="915">
        <f t="shared" ca="1" si="109"/>
        <v>2.4299999999999999E-2</v>
      </c>
      <c r="I339" s="915">
        <f t="shared" ca="1" si="110"/>
        <v>2.4299999999999999E-2</v>
      </c>
      <c r="J339" s="915">
        <f t="shared" ca="1" si="111"/>
        <v>2.4299999999999999E-2</v>
      </c>
      <c r="K339" s="915">
        <f t="shared" ca="1" si="112"/>
        <v>2.4299999999999999E-2</v>
      </c>
      <c r="L339" s="916">
        <f ca="1">IFERROR($H339*44/12*参考2_エネ使用量経年!$H189*(参考2_エネ使用量経年!L189+参考2_エネ使用量経年!L276),"")</f>
        <v>0</v>
      </c>
      <c r="M339" s="916">
        <f ca="1">IFERROR($I339*44/12*参考2_エネ使用量経年!$I189*(参考2_エネ使用量経年!M189+参考2_エネ使用量経年!M276),"")</f>
        <v>0</v>
      </c>
      <c r="N339" s="916">
        <f ca="1">IFERROR($J339*44/12*参考2_エネ使用量経年!$J189*(参考2_エネ使用量経年!N189+参考2_エネ使用量経年!N276),"")</f>
        <v>0</v>
      </c>
      <c r="O339" s="916">
        <f ca="1">IFERROR($K339*44/12*参考2_エネ使用量経年!$K189*(参考2_エネ使用量経年!O189+参考2_エネ使用量経年!O276),"")</f>
        <v>0</v>
      </c>
      <c r="P339" s="916">
        <f ca="1">IFERROR($H339*44/12*参考2_エネ使用量経年!$H189*(参考2_エネ使用量経年!P189+参考2_エネ使用量経年!P276),"")</f>
        <v>0</v>
      </c>
      <c r="Q339" s="916">
        <f ca="1">IFERROR($I339*44/12*参考2_エネ使用量経年!$I189*(参考2_エネ使用量経年!Q189+参考2_エネ使用量経年!Q276),"")</f>
        <v>0</v>
      </c>
      <c r="R339" s="916">
        <f ca="1">IFERROR($J339*44/12*参考2_エネ使用量経年!$J189*(参考2_エネ使用量経年!R189+参考2_エネ使用量経年!R276),"")</f>
        <v>0</v>
      </c>
      <c r="S339" s="916">
        <f ca="1">IFERROR($K339*44/12*参考2_エネ使用量経年!$K189*(参考2_エネ使用量経年!S189+参考2_エネ使用量経年!S276),"")</f>
        <v>0</v>
      </c>
      <c r="T339" s="916">
        <f ca="1">IFERROR($H339*44/12*参考2_エネ使用量経年!$H189*(参考2_エネ使用量経年!T189+参考2_エネ使用量経年!T276),"")</f>
        <v>0</v>
      </c>
      <c r="U339" s="916">
        <f ca="1">IFERROR($I339*44/12*参考2_エネ使用量経年!$I189*(参考2_エネ使用量経年!U189+参考2_エネ使用量経年!U276),"")</f>
        <v>0</v>
      </c>
      <c r="V339" s="916">
        <f ca="1">IFERROR($J339*44/12*参考2_エネ使用量経年!$J189*(参考2_エネ使用量経年!V189+参考2_エネ使用量経年!V276),"")</f>
        <v>0</v>
      </c>
      <c r="W339" s="916">
        <f ca="1">IFERROR($K339*44/12*参考2_エネ使用量経年!$K189*(参考2_エネ使用量経年!W189+参考2_エネ使用量経年!W276),"")</f>
        <v>0</v>
      </c>
      <c r="X339" s="916">
        <f ca="1">IFERROR($H339*44/12*参考2_エネ使用量経年!$H189*(参考2_エネ使用量経年!X189+参考2_エネ使用量経年!X276),"")</f>
        <v>0</v>
      </c>
      <c r="Y339" s="916">
        <f ca="1">IFERROR($I339*44/12*参考2_エネ使用量経年!$I189*(参考2_エネ使用量経年!Y189+参考2_エネ使用量経年!Y276),"")</f>
        <v>0</v>
      </c>
      <c r="Z339" s="916">
        <f ca="1">IFERROR($J339*44/12*参考2_エネ使用量経年!$J189*(参考2_エネ使用量経年!Z189+参考2_エネ使用量経年!Z276),"")</f>
        <v>0</v>
      </c>
      <c r="AA339" s="916">
        <f ca="1">IFERROR($K339*44/12*参考2_エネ使用量経年!$K189*(参考2_エネ使用量経年!AA189+参考2_エネ使用量経年!AA276),"")</f>
        <v>0</v>
      </c>
      <c r="AB339" s="916" t="str">
        <f ca="1">IFERROR($H339*44/12*参考2_エネ使用量経年!$H189*(参考2_エネ使用量経年!AB189+参考2_エネ使用量経年!AB276),"")</f>
        <v/>
      </c>
      <c r="AC339" s="916" t="str">
        <f ca="1">IFERROR($I339*44/12*参考2_エネ使用量経年!$I189*(参考2_エネ使用量経年!AC189+参考2_エネ使用量経年!AC276),"")</f>
        <v/>
      </c>
      <c r="AD339" s="916" t="str">
        <f ca="1">IFERROR($J339*44/12*参考2_エネ使用量経年!$J189*(参考2_エネ使用量経年!AD189+参考2_エネ使用量経年!AD276),"")</f>
        <v/>
      </c>
      <c r="AE339" s="916" t="str">
        <f ca="1">IFERROR($K339*44/12*参考2_エネ使用量経年!$K189*(参考2_エネ使用量経年!AE189+参考2_エネ使用量経年!AE276),"")</f>
        <v/>
      </c>
      <c r="AF339" s="916" t="str">
        <f ca="1">IFERROR($H339*44/12*参考2_エネ使用量経年!$H189*(参考2_エネ使用量経年!AF189+参考2_エネ使用量経年!AF276),"")</f>
        <v/>
      </c>
      <c r="AG339" s="916" t="str">
        <f ca="1">IFERROR($I339*44/12*参考2_エネ使用量経年!$I189*(参考2_エネ使用量経年!AG189+参考2_エネ使用量経年!AG276),"")</f>
        <v/>
      </c>
      <c r="AH339" s="916" t="str">
        <f ca="1">IFERROR($J339*44/12*参考2_エネ使用量経年!$J189*(参考2_エネ使用量経年!AH189+参考2_エネ使用量経年!AH276),"")</f>
        <v/>
      </c>
      <c r="AI339" s="916" t="str">
        <f ca="1">IFERROR($K339*44/12*参考2_エネ使用量経年!$K189*(参考2_エネ使用量経年!AI189+参考2_エネ使用量経年!AI276),"")</f>
        <v/>
      </c>
      <c r="AJ339" s="916" t="str">
        <f ca="1">IFERROR($H339*44/12*参考2_エネ使用量経年!$H189*(参考2_エネ使用量経年!AJ189+参考2_エネ使用量経年!AJ276),"")</f>
        <v/>
      </c>
      <c r="AK339" s="916" t="str">
        <f ca="1">IFERROR($I339*44/12*参考2_エネ使用量経年!$I189*(参考2_エネ使用量経年!AK189+参考2_エネ使用量経年!AK276),"")</f>
        <v/>
      </c>
      <c r="AL339" s="916" t="str">
        <f ca="1">IFERROR($J339*44/12*参考2_エネ使用量経年!$J189*(参考2_エネ使用量経年!AL189+参考2_エネ使用量経年!AL276),"")</f>
        <v/>
      </c>
      <c r="AM339" s="916" t="str">
        <f ca="1">IFERROR($K339*44/12*参考2_エネ使用量経年!$K189*(参考2_エネ使用量経年!AM189+参考2_エネ使用量経年!AM276),"")</f>
        <v/>
      </c>
      <c r="AN339" s="916" t="str">
        <f ca="1">IFERROR($H339*44/12*参考2_エネ使用量経年!$H189*(参考2_エネ使用量経年!AN189+参考2_エネ使用量経年!AN276),"")</f>
        <v/>
      </c>
      <c r="AO339" s="916" t="str">
        <f ca="1">IFERROR($I339*44/12*参考2_エネ使用量経年!$I189*(参考2_エネ使用量経年!AO189+参考2_エネ使用量経年!AO276),"")</f>
        <v/>
      </c>
      <c r="AP339" s="916" t="str">
        <f ca="1">IFERROR($J339*44/12*参考2_エネ使用量経年!$J189*(参考2_エネ使用量経年!AP189+参考2_エネ使用量経年!AP276),"")</f>
        <v/>
      </c>
      <c r="AQ339" s="916" t="str">
        <f ca="1">IFERROR($K339*44/12*参考2_エネ使用量経年!$K189*(参考2_エネ使用量経年!AQ189+参考2_エネ使用量経年!AQ276),"")</f>
        <v/>
      </c>
      <c r="AR339" s="916" t="str">
        <f ca="1">IFERROR($H339*44/12*参考2_エネ使用量経年!$H189*(参考2_エネ使用量経年!AR189+参考2_エネ使用量経年!AR276),"")</f>
        <v/>
      </c>
      <c r="AS339" s="916" t="str">
        <f ca="1">IFERROR($I339*44/12*参考2_エネ使用量経年!$I189*(参考2_エネ使用量経年!AS189+参考2_エネ使用量経年!AS276),"")</f>
        <v/>
      </c>
      <c r="AT339" s="916" t="str">
        <f ca="1">IFERROR($J339*44/12*参考2_エネ使用量経年!$J189*(参考2_エネ使用量経年!AT189+参考2_エネ使用量経年!AT276),"")</f>
        <v/>
      </c>
      <c r="AU339" s="916" t="str">
        <f ca="1">IFERROR($K339*44/12*参考2_エネ使用量経年!$K189*(参考2_エネ使用量経年!AU189+参考2_エネ使用量経年!AU276),"")</f>
        <v/>
      </c>
      <c r="AV339" s="916" t="str">
        <f ca="1">IFERROR($H339*44/12*参考2_エネ使用量経年!$H189*(参考2_エネ使用量経年!AV189+参考2_エネ使用量経年!AV276),"")</f>
        <v/>
      </c>
      <c r="AW339" s="916" t="str">
        <f ca="1">IFERROR($I339*44/12*参考2_エネ使用量経年!$I189*(参考2_エネ使用量経年!AW189+参考2_エネ使用量経年!AW276),"")</f>
        <v/>
      </c>
      <c r="AX339" s="916" t="str">
        <f ca="1">IFERROR($J339*44/12*参考2_エネ使用量経年!$J189*(参考2_エネ使用量経年!AX189+参考2_エネ使用量経年!AX276),"")</f>
        <v/>
      </c>
      <c r="AY339" s="916" t="str">
        <f ca="1">IFERROR($K339*44/12*参考2_エネ使用量経年!$K189*(参考2_エネ使用量経年!AY189+参考2_エネ使用量経年!AY276),"")</f>
        <v/>
      </c>
      <c r="AZ339" s="916" t="str">
        <f ca="1">IFERROR($H339*44/12*参考2_エネ使用量経年!$H189*(参考2_エネ使用量経年!AZ189+参考2_エネ使用量経年!AZ276),"")</f>
        <v/>
      </c>
      <c r="BA339" s="916" t="str">
        <f ca="1">IFERROR($I339*44/12*参考2_エネ使用量経年!$I189*(参考2_エネ使用量経年!BA189+参考2_エネ使用量経年!BA276),"")</f>
        <v/>
      </c>
      <c r="BB339" s="916" t="str">
        <f ca="1">IFERROR($J339*44/12*参考2_エネ使用量経年!$J189*(参考2_エネ使用量経年!BB189+参考2_エネ使用量経年!BB276),"")</f>
        <v/>
      </c>
      <c r="BC339" s="916" t="str">
        <f ca="1">IFERROR($K339*44/12*参考2_エネ使用量経年!$K189*(参考2_エネ使用量経年!BC189+参考2_エネ使用量経年!BC276),"")</f>
        <v/>
      </c>
      <c r="BD339" s="916" t="str">
        <f ca="1">IFERROR($H339*44/12*参考2_エネ使用量経年!$H189*(参考2_エネ使用量経年!BD189+参考2_エネ使用量経年!BD276),"")</f>
        <v/>
      </c>
      <c r="BE339" s="916" t="str">
        <f ca="1">IFERROR($I339*44/12*参考2_エネ使用量経年!$I189*(参考2_エネ使用量経年!BE189+参考2_エネ使用量経年!BE276),"")</f>
        <v/>
      </c>
      <c r="BF339" s="916" t="str">
        <f ca="1">IFERROR($J339*44/12*参考2_エネ使用量経年!$J189*(参考2_エネ使用量経年!BF189+参考2_エネ使用量経年!BF276),"")</f>
        <v/>
      </c>
      <c r="BG339" s="916" t="str">
        <f ca="1">IFERROR($K339*44/12*参考2_エネ使用量経年!$K189*(参考2_エネ使用量経年!BG189+参考2_エネ使用量経年!BG276),"")</f>
        <v/>
      </c>
      <c r="BH339" s="916" t="str">
        <f ca="1">IFERROR($H339*44/12*参考2_エネ使用量経年!$H189*(参考2_エネ使用量経年!BH189+参考2_エネ使用量経年!BH276),"")</f>
        <v/>
      </c>
      <c r="BI339" s="916" t="str">
        <f ca="1">IFERROR($I339*44/12*参考2_エネ使用量経年!$I189*(参考2_エネ使用量経年!BI189+参考2_エネ使用量経年!BI276),"")</f>
        <v/>
      </c>
      <c r="BJ339" s="916" t="str">
        <f ca="1">IFERROR($J339*44/12*参考2_エネ使用量経年!$J189*(参考2_エネ使用量経年!BJ189+参考2_エネ使用量経年!BJ276),"")</f>
        <v/>
      </c>
      <c r="BK339" s="916" t="str">
        <f ca="1">IFERROR($K339*44/12*参考2_エネ使用量経年!$K189*(参考2_エネ使用量経年!BK189+参考2_エネ使用量経年!BK276),"")</f>
        <v/>
      </c>
      <c r="BL339" s="916" t="str">
        <f ca="1">IFERROR($H339*44/12*参考2_エネ使用量経年!$H189*(参考2_エネ使用量経年!BL189+参考2_エネ使用量経年!BL276),"")</f>
        <v/>
      </c>
      <c r="BM339" s="916" t="str">
        <f ca="1">IFERROR($I339*44/12*参考2_エネ使用量経年!$I189*(参考2_エネ使用量経年!BM189+参考2_エネ使用量経年!BM276),"")</f>
        <v/>
      </c>
      <c r="BN339" s="916" t="str">
        <f ca="1">IFERROR($J339*44/12*参考2_エネ使用量経年!$J189*(参考2_エネ使用量経年!BN189+参考2_エネ使用量経年!BN276),"")</f>
        <v/>
      </c>
      <c r="BO339" s="916" t="str">
        <f ca="1">IFERROR($K339*44/12*参考2_エネ使用量経年!$K189*(参考2_エネ使用量経年!BO189+参考2_エネ使用量経年!BO276),"")</f>
        <v/>
      </c>
    </row>
    <row r="340" spans="1:67" ht="20.100000000000001" customHeight="1">
      <c r="A340" s="914">
        <v>27</v>
      </c>
      <c r="B340" s="1594"/>
      <c r="C340" s="1596"/>
      <c r="D340" s="785" t="s">
        <v>368</v>
      </c>
      <c r="E340" s="785"/>
      <c r="F340" s="786"/>
      <c r="G340" s="852" t="s">
        <v>1281</v>
      </c>
      <c r="H340" s="915">
        <f t="shared" ca="1" si="109"/>
        <v>2.4199999999999999E-2</v>
      </c>
      <c r="I340" s="915">
        <f t="shared" ca="1" si="110"/>
        <v>2.4199999999999999E-2</v>
      </c>
      <c r="J340" s="915">
        <f t="shared" ca="1" si="111"/>
        <v>2.4199999999999999E-2</v>
      </c>
      <c r="K340" s="915">
        <f t="shared" ca="1" si="112"/>
        <v>2.4199999999999999E-2</v>
      </c>
      <c r="L340" s="916">
        <f ca="1">IFERROR($H340*44/12*参考2_エネ使用量経年!$H190*(参考2_エネ使用量経年!L190+参考2_エネ使用量経年!L277),"")</f>
        <v>0</v>
      </c>
      <c r="M340" s="916">
        <f ca="1">IFERROR($I340*44/12*参考2_エネ使用量経年!$I190*(参考2_エネ使用量経年!M190+参考2_エネ使用量経年!M277),"")</f>
        <v>0</v>
      </c>
      <c r="N340" s="916">
        <f ca="1">IFERROR($J340*44/12*参考2_エネ使用量経年!$J190*(参考2_エネ使用量経年!N190+参考2_エネ使用量経年!N277),"")</f>
        <v>0</v>
      </c>
      <c r="O340" s="916">
        <f ca="1">IFERROR($K340*44/12*参考2_エネ使用量経年!$K190*(参考2_エネ使用量経年!O190+参考2_エネ使用量経年!O277),"")</f>
        <v>0</v>
      </c>
      <c r="P340" s="916">
        <f ca="1">IFERROR($H340*44/12*参考2_エネ使用量経年!$H190*(参考2_エネ使用量経年!P190+参考2_エネ使用量経年!P277),"")</f>
        <v>0</v>
      </c>
      <c r="Q340" s="916">
        <f ca="1">IFERROR($I340*44/12*参考2_エネ使用量経年!$I190*(参考2_エネ使用量経年!Q190+参考2_エネ使用量経年!Q277),"")</f>
        <v>0</v>
      </c>
      <c r="R340" s="916">
        <f ca="1">IFERROR($J340*44/12*参考2_エネ使用量経年!$J190*(参考2_エネ使用量経年!R190+参考2_エネ使用量経年!R277),"")</f>
        <v>0</v>
      </c>
      <c r="S340" s="916">
        <f ca="1">IFERROR($K340*44/12*参考2_エネ使用量経年!$K190*(参考2_エネ使用量経年!S190+参考2_エネ使用量経年!S277),"")</f>
        <v>0</v>
      </c>
      <c r="T340" s="916">
        <f ca="1">IFERROR($H340*44/12*参考2_エネ使用量経年!$H190*(参考2_エネ使用量経年!T190+参考2_エネ使用量経年!T277),"")</f>
        <v>0</v>
      </c>
      <c r="U340" s="916">
        <f ca="1">IFERROR($I340*44/12*参考2_エネ使用量経年!$I190*(参考2_エネ使用量経年!U190+参考2_エネ使用量経年!U277),"")</f>
        <v>0</v>
      </c>
      <c r="V340" s="916">
        <f ca="1">IFERROR($J340*44/12*参考2_エネ使用量経年!$J190*(参考2_エネ使用量経年!V190+参考2_エネ使用量経年!V277),"")</f>
        <v>0</v>
      </c>
      <c r="W340" s="916">
        <f ca="1">IFERROR($K340*44/12*参考2_エネ使用量経年!$K190*(参考2_エネ使用量経年!W190+参考2_エネ使用量経年!W277),"")</f>
        <v>0</v>
      </c>
      <c r="X340" s="916">
        <f ca="1">IFERROR($H340*44/12*参考2_エネ使用量経年!$H190*(参考2_エネ使用量経年!X190+参考2_エネ使用量経年!X277),"")</f>
        <v>0</v>
      </c>
      <c r="Y340" s="916">
        <f ca="1">IFERROR($I340*44/12*参考2_エネ使用量経年!$I190*(参考2_エネ使用量経年!Y190+参考2_エネ使用量経年!Y277),"")</f>
        <v>0</v>
      </c>
      <c r="Z340" s="916">
        <f ca="1">IFERROR($J340*44/12*参考2_エネ使用量経年!$J190*(参考2_エネ使用量経年!Z190+参考2_エネ使用量経年!Z277),"")</f>
        <v>0</v>
      </c>
      <c r="AA340" s="916">
        <f ca="1">IFERROR($K340*44/12*参考2_エネ使用量経年!$K190*(参考2_エネ使用量経年!AA190+参考2_エネ使用量経年!AA277),"")</f>
        <v>0</v>
      </c>
      <c r="AB340" s="916" t="str">
        <f ca="1">IFERROR($H340*44/12*参考2_エネ使用量経年!$H190*(参考2_エネ使用量経年!AB190+参考2_エネ使用量経年!AB277),"")</f>
        <v/>
      </c>
      <c r="AC340" s="916" t="str">
        <f ca="1">IFERROR($I340*44/12*参考2_エネ使用量経年!$I190*(参考2_エネ使用量経年!AC190+参考2_エネ使用量経年!AC277),"")</f>
        <v/>
      </c>
      <c r="AD340" s="916" t="str">
        <f ca="1">IFERROR($J340*44/12*参考2_エネ使用量経年!$J190*(参考2_エネ使用量経年!AD190+参考2_エネ使用量経年!AD277),"")</f>
        <v/>
      </c>
      <c r="AE340" s="916" t="str">
        <f ca="1">IFERROR($K340*44/12*参考2_エネ使用量経年!$K190*(参考2_エネ使用量経年!AE190+参考2_エネ使用量経年!AE277),"")</f>
        <v/>
      </c>
      <c r="AF340" s="916" t="str">
        <f ca="1">IFERROR($H340*44/12*参考2_エネ使用量経年!$H190*(参考2_エネ使用量経年!AF190+参考2_エネ使用量経年!AF277),"")</f>
        <v/>
      </c>
      <c r="AG340" s="916" t="str">
        <f ca="1">IFERROR($I340*44/12*参考2_エネ使用量経年!$I190*(参考2_エネ使用量経年!AG190+参考2_エネ使用量経年!AG277),"")</f>
        <v/>
      </c>
      <c r="AH340" s="916" t="str">
        <f ca="1">IFERROR($J340*44/12*参考2_エネ使用量経年!$J190*(参考2_エネ使用量経年!AH190+参考2_エネ使用量経年!AH277),"")</f>
        <v/>
      </c>
      <c r="AI340" s="916" t="str">
        <f ca="1">IFERROR($K340*44/12*参考2_エネ使用量経年!$K190*(参考2_エネ使用量経年!AI190+参考2_エネ使用量経年!AI277),"")</f>
        <v/>
      </c>
      <c r="AJ340" s="916" t="str">
        <f ca="1">IFERROR($H340*44/12*参考2_エネ使用量経年!$H190*(参考2_エネ使用量経年!AJ190+参考2_エネ使用量経年!AJ277),"")</f>
        <v/>
      </c>
      <c r="AK340" s="916" t="str">
        <f ca="1">IFERROR($I340*44/12*参考2_エネ使用量経年!$I190*(参考2_エネ使用量経年!AK190+参考2_エネ使用量経年!AK277),"")</f>
        <v/>
      </c>
      <c r="AL340" s="916" t="str">
        <f ca="1">IFERROR($J340*44/12*参考2_エネ使用量経年!$J190*(参考2_エネ使用量経年!AL190+参考2_エネ使用量経年!AL277),"")</f>
        <v/>
      </c>
      <c r="AM340" s="916" t="str">
        <f ca="1">IFERROR($K340*44/12*参考2_エネ使用量経年!$K190*(参考2_エネ使用量経年!AM190+参考2_エネ使用量経年!AM277),"")</f>
        <v/>
      </c>
      <c r="AN340" s="916" t="str">
        <f ca="1">IFERROR($H340*44/12*参考2_エネ使用量経年!$H190*(参考2_エネ使用量経年!AN190+参考2_エネ使用量経年!AN277),"")</f>
        <v/>
      </c>
      <c r="AO340" s="916" t="str">
        <f ca="1">IFERROR($I340*44/12*参考2_エネ使用量経年!$I190*(参考2_エネ使用量経年!AO190+参考2_エネ使用量経年!AO277),"")</f>
        <v/>
      </c>
      <c r="AP340" s="916" t="str">
        <f ca="1">IFERROR($J340*44/12*参考2_エネ使用量経年!$J190*(参考2_エネ使用量経年!AP190+参考2_エネ使用量経年!AP277),"")</f>
        <v/>
      </c>
      <c r="AQ340" s="916" t="str">
        <f ca="1">IFERROR($K340*44/12*参考2_エネ使用量経年!$K190*(参考2_エネ使用量経年!AQ190+参考2_エネ使用量経年!AQ277),"")</f>
        <v/>
      </c>
      <c r="AR340" s="916" t="str">
        <f ca="1">IFERROR($H340*44/12*参考2_エネ使用量経年!$H190*(参考2_エネ使用量経年!AR190+参考2_エネ使用量経年!AR277),"")</f>
        <v/>
      </c>
      <c r="AS340" s="916" t="str">
        <f ca="1">IFERROR($I340*44/12*参考2_エネ使用量経年!$I190*(参考2_エネ使用量経年!AS190+参考2_エネ使用量経年!AS277),"")</f>
        <v/>
      </c>
      <c r="AT340" s="916" t="str">
        <f ca="1">IFERROR($J340*44/12*参考2_エネ使用量経年!$J190*(参考2_エネ使用量経年!AT190+参考2_エネ使用量経年!AT277),"")</f>
        <v/>
      </c>
      <c r="AU340" s="916" t="str">
        <f ca="1">IFERROR($K340*44/12*参考2_エネ使用量経年!$K190*(参考2_エネ使用量経年!AU190+参考2_エネ使用量経年!AU277),"")</f>
        <v/>
      </c>
      <c r="AV340" s="916" t="str">
        <f ca="1">IFERROR($H340*44/12*参考2_エネ使用量経年!$H190*(参考2_エネ使用量経年!AV190+参考2_エネ使用量経年!AV277),"")</f>
        <v/>
      </c>
      <c r="AW340" s="916" t="str">
        <f ca="1">IFERROR($I340*44/12*参考2_エネ使用量経年!$I190*(参考2_エネ使用量経年!AW190+参考2_エネ使用量経年!AW277),"")</f>
        <v/>
      </c>
      <c r="AX340" s="916" t="str">
        <f ca="1">IFERROR($J340*44/12*参考2_エネ使用量経年!$J190*(参考2_エネ使用量経年!AX190+参考2_エネ使用量経年!AX277),"")</f>
        <v/>
      </c>
      <c r="AY340" s="916" t="str">
        <f ca="1">IFERROR($K340*44/12*参考2_エネ使用量経年!$K190*(参考2_エネ使用量経年!AY190+参考2_エネ使用量経年!AY277),"")</f>
        <v/>
      </c>
      <c r="AZ340" s="916" t="str">
        <f ca="1">IFERROR($H340*44/12*参考2_エネ使用量経年!$H190*(参考2_エネ使用量経年!AZ190+参考2_エネ使用量経年!AZ277),"")</f>
        <v/>
      </c>
      <c r="BA340" s="916" t="str">
        <f ca="1">IFERROR($I340*44/12*参考2_エネ使用量経年!$I190*(参考2_エネ使用量経年!BA190+参考2_エネ使用量経年!BA277),"")</f>
        <v/>
      </c>
      <c r="BB340" s="916" t="str">
        <f ca="1">IFERROR($J340*44/12*参考2_エネ使用量経年!$J190*(参考2_エネ使用量経年!BB190+参考2_エネ使用量経年!BB277),"")</f>
        <v/>
      </c>
      <c r="BC340" s="916" t="str">
        <f ca="1">IFERROR($K340*44/12*参考2_エネ使用量経年!$K190*(参考2_エネ使用量経年!BC190+参考2_エネ使用量経年!BC277),"")</f>
        <v/>
      </c>
      <c r="BD340" s="916" t="str">
        <f ca="1">IFERROR($H340*44/12*参考2_エネ使用量経年!$H190*(参考2_エネ使用量経年!BD190+参考2_エネ使用量経年!BD277),"")</f>
        <v/>
      </c>
      <c r="BE340" s="916" t="str">
        <f ca="1">IFERROR($I340*44/12*参考2_エネ使用量経年!$I190*(参考2_エネ使用量経年!BE190+参考2_エネ使用量経年!BE277),"")</f>
        <v/>
      </c>
      <c r="BF340" s="916" t="str">
        <f ca="1">IFERROR($J340*44/12*参考2_エネ使用量経年!$J190*(参考2_エネ使用量経年!BF190+参考2_エネ使用量経年!BF277),"")</f>
        <v/>
      </c>
      <c r="BG340" s="916" t="str">
        <f ca="1">IFERROR($K340*44/12*参考2_エネ使用量経年!$K190*(参考2_エネ使用量経年!BG190+参考2_エネ使用量経年!BG277),"")</f>
        <v/>
      </c>
      <c r="BH340" s="916" t="str">
        <f ca="1">IFERROR($H340*44/12*参考2_エネ使用量経年!$H190*(参考2_エネ使用量経年!BH190+参考2_エネ使用量経年!BH277),"")</f>
        <v/>
      </c>
      <c r="BI340" s="916" t="str">
        <f ca="1">IFERROR($I340*44/12*参考2_エネ使用量経年!$I190*(参考2_エネ使用量経年!BI190+参考2_エネ使用量経年!BI277),"")</f>
        <v/>
      </c>
      <c r="BJ340" s="916" t="str">
        <f ca="1">IFERROR($J340*44/12*参考2_エネ使用量経年!$J190*(参考2_エネ使用量経年!BJ190+参考2_エネ使用量経年!BJ277),"")</f>
        <v/>
      </c>
      <c r="BK340" s="916" t="str">
        <f ca="1">IFERROR($K340*44/12*参考2_エネ使用量経年!$K190*(参考2_エネ使用量経年!BK190+参考2_エネ使用量経年!BK277),"")</f>
        <v/>
      </c>
      <c r="BL340" s="916" t="str">
        <f ca="1">IFERROR($H340*44/12*参考2_エネ使用量経年!$H190*(参考2_エネ使用量経年!BL190+参考2_エネ使用量経年!BL277),"")</f>
        <v/>
      </c>
      <c r="BM340" s="916" t="str">
        <f ca="1">IFERROR($I340*44/12*参考2_エネ使用量経年!$I190*(参考2_エネ使用量経年!BM190+参考2_エネ使用量経年!BM277),"")</f>
        <v/>
      </c>
      <c r="BN340" s="916" t="str">
        <f ca="1">IFERROR($J340*44/12*参考2_エネ使用量経年!$J190*(参考2_エネ使用量経年!BN190+参考2_エネ使用量経年!BN277),"")</f>
        <v/>
      </c>
      <c r="BO340" s="916" t="str">
        <f ca="1">IFERROR($K340*44/12*参考2_エネ使用量経年!$K190*(参考2_エネ使用量経年!BO190+参考2_エネ使用量経年!BO277),"")</f>
        <v/>
      </c>
    </row>
    <row r="341" spans="1:67" ht="20.100000000000001" customHeight="1">
      <c r="A341" s="914">
        <v>28</v>
      </c>
      <c r="B341" s="1594"/>
      <c r="C341" s="1596"/>
      <c r="D341" s="785" t="s">
        <v>369</v>
      </c>
      <c r="E341" s="785"/>
      <c r="F341" s="786"/>
      <c r="G341" s="852" t="s">
        <v>1281</v>
      </c>
      <c r="H341" s="915">
        <f t="shared" ca="1" si="109"/>
        <v>2.5899999999999999E-2</v>
      </c>
      <c r="I341" s="915">
        <f t="shared" ca="1" si="110"/>
        <v>2.5899999999999999E-2</v>
      </c>
      <c r="J341" s="915">
        <f t="shared" ca="1" si="111"/>
        <v>2.5899999999999999E-2</v>
      </c>
      <c r="K341" s="915">
        <f t="shared" ca="1" si="112"/>
        <v>2.5899999999999999E-2</v>
      </c>
      <c r="L341" s="916">
        <f ca="1">IFERROR($H341*44/12*参考2_エネ使用量経年!$H191*(参考2_エネ使用量経年!L191+参考2_エネ使用量経年!L278),"")</f>
        <v>0</v>
      </c>
      <c r="M341" s="916">
        <f ca="1">IFERROR($I341*44/12*参考2_エネ使用量経年!$I191*(参考2_エネ使用量経年!M191+参考2_エネ使用量経年!M278),"")</f>
        <v>0</v>
      </c>
      <c r="N341" s="916">
        <f ca="1">IFERROR($J341*44/12*参考2_エネ使用量経年!$J191*(参考2_エネ使用量経年!N191+参考2_エネ使用量経年!N278),"")</f>
        <v>0</v>
      </c>
      <c r="O341" s="916">
        <f ca="1">IFERROR($K341*44/12*参考2_エネ使用量経年!$K191*(参考2_エネ使用量経年!O191+参考2_エネ使用量経年!O278),"")</f>
        <v>0</v>
      </c>
      <c r="P341" s="916">
        <f ca="1">IFERROR($H341*44/12*参考2_エネ使用量経年!$H191*(参考2_エネ使用量経年!P191+参考2_エネ使用量経年!P278),"")</f>
        <v>0</v>
      </c>
      <c r="Q341" s="916">
        <f ca="1">IFERROR($I341*44/12*参考2_エネ使用量経年!$I191*(参考2_エネ使用量経年!Q191+参考2_エネ使用量経年!Q278),"")</f>
        <v>0</v>
      </c>
      <c r="R341" s="916">
        <f ca="1">IFERROR($J341*44/12*参考2_エネ使用量経年!$J191*(参考2_エネ使用量経年!R191+参考2_エネ使用量経年!R278),"")</f>
        <v>0</v>
      </c>
      <c r="S341" s="916">
        <f ca="1">IFERROR($K341*44/12*参考2_エネ使用量経年!$K191*(参考2_エネ使用量経年!S191+参考2_エネ使用量経年!S278),"")</f>
        <v>0</v>
      </c>
      <c r="T341" s="916">
        <f ca="1">IFERROR($H341*44/12*参考2_エネ使用量経年!$H191*(参考2_エネ使用量経年!T191+参考2_エネ使用量経年!T278),"")</f>
        <v>0</v>
      </c>
      <c r="U341" s="916">
        <f ca="1">IFERROR($I341*44/12*参考2_エネ使用量経年!$I191*(参考2_エネ使用量経年!U191+参考2_エネ使用量経年!U278),"")</f>
        <v>0</v>
      </c>
      <c r="V341" s="916">
        <f ca="1">IFERROR($J341*44/12*参考2_エネ使用量経年!$J191*(参考2_エネ使用量経年!V191+参考2_エネ使用量経年!V278),"")</f>
        <v>0</v>
      </c>
      <c r="W341" s="916">
        <f ca="1">IFERROR($K341*44/12*参考2_エネ使用量経年!$K191*(参考2_エネ使用量経年!W191+参考2_エネ使用量経年!W278),"")</f>
        <v>0</v>
      </c>
      <c r="X341" s="916">
        <f ca="1">IFERROR($H341*44/12*参考2_エネ使用量経年!$H191*(参考2_エネ使用量経年!X191+参考2_エネ使用量経年!X278),"")</f>
        <v>0</v>
      </c>
      <c r="Y341" s="916">
        <f ca="1">IFERROR($I341*44/12*参考2_エネ使用量経年!$I191*(参考2_エネ使用量経年!Y191+参考2_エネ使用量経年!Y278),"")</f>
        <v>0</v>
      </c>
      <c r="Z341" s="916">
        <f ca="1">IFERROR($J341*44/12*参考2_エネ使用量経年!$J191*(参考2_エネ使用量経年!Z191+参考2_エネ使用量経年!Z278),"")</f>
        <v>0</v>
      </c>
      <c r="AA341" s="916">
        <f ca="1">IFERROR($K341*44/12*参考2_エネ使用量経年!$K191*(参考2_エネ使用量経年!AA191+参考2_エネ使用量経年!AA278),"")</f>
        <v>0</v>
      </c>
      <c r="AB341" s="916" t="str">
        <f ca="1">IFERROR($H341*44/12*参考2_エネ使用量経年!$H191*(参考2_エネ使用量経年!AB191+参考2_エネ使用量経年!AB278),"")</f>
        <v/>
      </c>
      <c r="AC341" s="916" t="str">
        <f ca="1">IFERROR($I341*44/12*参考2_エネ使用量経年!$I191*(参考2_エネ使用量経年!AC191+参考2_エネ使用量経年!AC278),"")</f>
        <v/>
      </c>
      <c r="AD341" s="916" t="str">
        <f ca="1">IFERROR($J341*44/12*参考2_エネ使用量経年!$J191*(参考2_エネ使用量経年!AD191+参考2_エネ使用量経年!AD278),"")</f>
        <v/>
      </c>
      <c r="AE341" s="916" t="str">
        <f ca="1">IFERROR($K341*44/12*参考2_エネ使用量経年!$K191*(参考2_エネ使用量経年!AE191+参考2_エネ使用量経年!AE278),"")</f>
        <v/>
      </c>
      <c r="AF341" s="916" t="str">
        <f ca="1">IFERROR($H341*44/12*参考2_エネ使用量経年!$H191*(参考2_エネ使用量経年!AF191+参考2_エネ使用量経年!AF278),"")</f>
        <v/>
      </c>
      <c r="AG341" s="916" t="str">
        <f ca="1">IFERROR($I341*44/12*参考2_エネ使用量経年!$I191*(参考2_エネ使用量経年!AG191+参考2_エネ使用量経年!AG278),"")</f>
        <v/>
      </c>
      <c r="AH341" s="916" t="str">
        <f ca="1">IFERROR($J341*44/12*参考2_エネ使用量経年!$J191*(参考2_エネ使用量経年!AH191+参考2_エネ使用量経年!AH278),"")</f>
        <v/>
      </c>
      <c r="AI341" s="916" t="str">
        <f ca="1">IFERROR($K341*44/12*参考2_エネ使用量経年!$K191*(参考2_エネ使用量経年!AI191+参考2_エネ使用量経年!AI278),"")</f>
        <v/>
      </c>
      <c r="AJ341" s="916" t="str">
        <f ca="1">IFERROR($H341*44/12*参考2_エネ使用量経年!$H191*(参考2_エネ使用量経年!AJ191+参考2_エネ使用量経年!AJ278),"")</f>
        <v/>
      </c>
      <c r="AK341" s="916" t="str">
        <f ca="1">IFERROR($I341*44/12*参考2_エネ使用量経年!$I191*(参考2_エネ使用量経年!AK191+参考2_エネ使用量経年!AK278),"")</f>
        <v/>
      </c>
      <c r="AL341" s="916" t="str">
        <f ca="1">IFERROR($J341*44/12*参考2_エネ使用量経年!$J191*(参考2_エネ使用量経年!AL191+参考2_エネ使用量経年!AL278),"")</f>
        <v/>
      </c>
      <c r="AM341" s="916" t="str">
        <f ca="1">IFERROR($K341*44/12*参考2_エネ使用量経年!$K191*(参考2_エネ使用量経年!AM191+参考2_エネ使用量経年!AM278),"")</f>
        <v/>
      </c>
      <c r="AN341" s="916" t="str">
        <f ca="1">IFERROR($H341*44/12*参考2_エネ使用量経年!$H191*(参考2_エネ使用量経年!AN191+参考2_エネ使用量経年!AN278),"")</f>
        <v/>
      </c>
      <c r="AO341" s="916" t="str">
        <f ca="1">IFERROR($I341*44/12*参考2_エネ使用量経年!$I191*(参考2_エネ使用量経年!AO191+参考2_エネ使用量経年!AO278),"")</f>
        <v/>
      </c>
      <c r="AP341" s="916" t="str">
        <f ca="1">IFERROR($J341*44/12*参考2_エネ使用量経年!$J191*(参考2_エネ使用量経年!AP191+参考2_エネ使用量経年!AP278),"")</f>
        <v/>
      </c>
      <c r="AQ341" s="916" t="str">
        <f ca="1">IFERROR($K341*44/12*参考2_エネ使用量経年!$K191*(参考2_エネ使用量経年!AQ191+参考2_エネ使用量経年!AQ278),"")</f>
        <v/>
      </c>
      <c r="AR341" s="916" t="str">
        <f ca="1">IFERROR($H341*44/12*参考2_エネ使用量経年!$H191*(参考2_エネ使用量経年!AR191+参考2_エネ使用量経年!AR278),"")</f>
        <v/>
      </c>
      <c r="AS341" s="916" t="str">
        <f ca="1">IFERROR($I341*44/12*参考2_エネ使用量経年!$I191*(参考2_エネ使用量経年!AS191+参考2_エネ使用量経年!AS278),"")</f>
        <v/>
      </c>
      <c r="AT341" s="916" t="str">
        <f ca="1">IFERROR($J341*44/12*参考2_エネ使用量経年!$J191*(参考2_エネ使用量経年!AT191+参考2_エネ使用量経年!AT278),"")</f>
        <v/>
      </c>
      <c r="AU341" s="916" t="str">
        <f ca="1">IFERROR($K341*44/12*参考2_エネ使用量経年!$K191*(参考2_エネ使用量経年!AU191+参考2_エネ使用量経年!AU278),"")</f>
        <v/>
      </c>
      <c r="AV341" s="916" t="str">
        <f ca="1">IFERROR($H341*44/12*参考2_エネ使用量経年!$H191*(参考2_エネ使用量経年!AV191+参考2_エネ使用量経年!AV278),"")</f>
        <v/>
      </c>
      <c r="AW341" s="916" t="str">
        <f ca="1">IFERROR($I341*44/12*参考2_エネ使用量経年!$I191*(参考2_エネ使用量経年!AW191+参考2_エネ使用量経年!AW278),"")</f>
        <v/>
      </c>
      <c r="AX341" s="916" t="str">
        <f ca="1">IFERROR($J341*44/12*参考2_エネ使用量経年!$J191*(参考2_エネ使用量経年!AX191+参考2_エネ使用量経年!AX278),"")</f>
        <v/>
      </c>
      <c r="AY341" s="916" t="str">
        <f ca="1">IFERROR($K341*44/12*参考2_エネ使用量経年!$K191*(参考2_エネ使用量経年!AY191+参考2_エネ使用量経年!AY278),"")</f>
        <v/>
      </c>
      <c r="AZ341" s="916" t="str">
        <f ca="1">IFERROR($H341*44/12*参考2_エネ使用量経年!$H191*(参考2_エネ使用量経年!AZ191+参考2_エネ使用量経年!AZ278),"")</f>
        <v/>
      </c>
      <c r="BA341" s="916" t="str">
        <f ca="1">IFERROR($I341*44/12*参考2_エネ使用量経年!$I191*(参考2_エネ使用量経年!BA191+参考2_エネ使用量経年!BA278),"")</f>
        <v/>
      </c>
      <c r="BB341" s="916" t="str">
        <f ca="1">IFERROR($J341*44/12*参考2_エネ使用量経年!$J191*(参考2_エネ使用量経年!BB191+参考2_エネ使用量経年!BB278),"")</f>
        <v/>
      </c>
      <c r="BC341" s="916" t="str">
        <f ca="1">IFERROR($K341*44/12*参考2_エネ使用量経年!$K191*(参考2_エネ使用量経年!BC191+参考2_エネ使用量経年!BC278),"")</f>
        <v/>
      </c>
      <c r="BD341" s="916" t="str">
        <f ca="1">IFERROR($H341*44/12*参考2_エネ使用量経年!$H191*(参考2_エネ使用量経年!BD191+参考2_エネ使用量経年!BD278),"")</f>
        <v/>
      </c>
      <c r="BE341" s="916" t="str">
        <f ca="1">IFERROR($I341*44/12*参考2_エネ使用量経年!$I191*(参考2_エネ使用量経年!BE191+参考2_エネ使用量経年!BE278),"")</f>
        <v/>
      </c>
      <c r="BF341" s="916" t="str">
        <f ca="1">IFERROR($J341*44/12*参考2_エネ使用量経年!$J191*(参考2_エネ使用量経年!BF191+参考2_エネ使用量経年!BF278),"")</f>
        <v/>
      </c>
      <c r="BG341" s="916" t="str">
        <f ca="1">IFERROR($K341*44/12*参考2_エネ使用量経年!$K191*(参考2_エネ使用量経年!BG191+参考2_エネ使用量経年!BG278),"")</f>
        <v/>
      </c>
      <c r="BH341" s="916" t="str">
        <f ca="1">IFERROR($H341*44/12*参考2_エネ使用量経年!$H191*(参考2_エネ使用量経年!BH191+参考2_エネ使用量経年!BH278),"")</f>
        <v/>
      </c>
      <c r="BI341" s="916" t="str">
        <f ca="1">IFERROR($I341*44/12*参考2_エネ使用量経年!$I191*(参考2_エネ使用量経年!BI191+参考2_エネ使用量経年!BI278),"")</f>
        <v/>
      </c>
      <c r="BJ341" s="916" t="str">
        <f ca="1">IFERROR($J341*44/12*参考2_エネ使用量経年!$J191*(参考2_エネ使用量経年!BJ191+参考2_エネ使用量経年!BJ278),"")</f>
        <v/>
      </c>
      <c r="BK341" s="916" t="str">
        <f ca="1">IFERROR($K341*44/12*参考2_エネ使用量経年!$K191*(参考2_エネ使用量経年!BK191+参考2_エネ使用量経年!BK278),"")</f>
        <v/>
      </c>
      <c r="BL341" s="916" t="str">
        <f ca="1">IFERROR($H341*44/12*参考2_エネ使用量経年!$H191*(参考2_エネ使用量経年!BL191+参考2_エネ使用量経年!BL278),"")</f>
        <v/>
      </c>
      <c r="BM341" s="916" t="str">
        <f ca="1">IFERROR($I341*44/12*参考2_エネ使用量経年!$I191*(参考2_エネ使用量経年!BM191+参考2_エネ使用量経年!BM278),"")</f>
        <v/>
      </c>
      <c r="BN341" s="916" t="str">
        <f ca="1">IFERROR($J341*44/12*参考2_エネ使用量経年!$J191*(参考2_エネ使用量経年!BN191+参考2_エネ使用量経年!BN278),"")</f>
        <v/>
      </c>
      <c r="BO341" s="916" t="str">
        <f ca="1">IFERROR($K341*44/12*参考2_エネ使用量経年!$K191*(参考2_エネ使用量経年!BO191+参考2_エネ使用量経年!BO278),"")</f>
        <v/>
      </c>
    </row>
    <row r="342" spans="1:67" ht="20.100000000000001" customHeight="1">
      <c r="A342" s="914">
        <v>29</v>
      </c>
      <c r="B342" s="1594"/>
      <c r="C342" s="1596"/>
      <c r="D342" s="785" t="s">
        <v>370</v>
      </c>
      <c r="E342" s="785"/>
      <c r="F342" s="786"/>
      <c r="G342" s="852" t="s">
        <v>1281</v>
      </c>
      <c r="H342" s="915">
        <f t="shared" ca="1" si="109"/>
        <v>2.9899999999999999E-2</v>
      </c>
      <c r="I342" s="915">
        <f t="shared" ca="1" si="110"/>
        <v>2.9899999999999999E-2</v>
      </c>
      <c r="J342" s="915">
        <f t="shared" ca="1" si="111"/>
        <v>2.9899999999999999E-2</v>
      </c>
      <c r="K342" s="915">
        <f t="shared" ca="1" si="112"/>
        <v>2.9899999999999999E-2</v>
      </c>
      <c r="L342" s="916">
        <f ca="1">IFERROR($H342*44/12*参考2_エネ使用量経年!$H192*(参考2_エネ使用量経年!L192+参考2_エネ使用量経年!L279),"")</f>
        <v>0</v>
      </c>
      <c r="M342" s="916">
        <f ca="1">IFERROR($I342*44/12*参考2_エネ使用量経年!$I192*(参考2_エネ使用量経年!M192+参考2_エネ使用量経年!M279),"")</f>
        <v>0</v>
      </c>
      <c r="N342" s="916">
        <f ca="1">IFERROR($J342*44/12*参考2_エネ使用量経年!$J192*(参考2_エネ使用量経年!N192+参考2_エネ使用量経年!N279),"")</f>
        <v>0</v>
      </c>
      <c r="O342" s="916">
        <f ca="1">IFERROR($K342*44/12*参考2_エネ使用量経年!$K192*(参考2_エネ使用量経年!O192+参考2_エネ使用量経年!O279),"")</f>
        <v>0</v>
      </c>
      <c r="P342" s="916">
        <f ca="1">IFERROR($H342*44/12*参考2_エネ使用量経年!$H192*(参考2_エネ使用量経年!P192+参考2_エネ使用量経年!P279),"")</f>
        <v>0</v>
      </c>
      <c r="Q342" s="916">
        <f ca="1">IFERROR($I342*44/12*参考2_エネ使用量経年!$I192*(参考2_エネ使用量経年!Q192+参考2_エネ使用量経年!Q279),"")</f>
        <v>0</v>
      </c>
      <c r="R342" s="916">
        <f ca="1">IFERROR($J342*44/12*参考2_エネ使用量経年!$J192*(参考2_エネ使用量経年!R192+参考2_エネ使用量経年!R279),"")</f>
        <v>0</v>
      </c>
      <c r="S342" s="916">
        <f ca="1">IFERROR($K342*44/12*参考2_エネ使用量経年!$K192*(参考2_エネ使用量経年!S192+参考2_エネ使用量経年!S279),"")</f>
        <v>0</v>
      </c>
      <c r="T342" s="916">
        <f ca="1">IFERROR($H342*44/12*参考2_エネ使用量経年!$H192*(参考2_エネ使用量経年!T192+参考2_エネ使用量経年!T279),"")</f>
        <v>0</v>
      </c>
      <c r="U342" s="916">
        <f ca="1">IFERROR($I342*44/12*参考2_エネ使用量経年!$I192*(参考2_エネ使用量経年!U192+参考2_エネ使用量経年!U279),"")</f>
        <v>0</v>
      </c>
      <c r="V342" s="916">
        <f ca="1">IFERROR($J342*44/12*参考2_エネ使用量経年!$J192*(参考2_エネ使用量経年!V192+参考2_エネ使用量経年!V279),"")</f>
        <v>0</v>
      </c>
      <c r="W342" s="916">
        <f ca="1">IFERROR($K342*44/12*参考2_エネ使用量経年!$K192*(参考2_エネ使用量経年!W192+参考2_エネ使用量経年!W279),"")</f>
        <v>0</v>
      </c>
      <c r="X342" s="916">
        <f ca="1">IFERROR($H342*44/12*参考2_エネ使用量経年!$H192*(参考2_エネ使用量経年!X192+参考2_エネ使用量経年!X279),"")</f>
        <v>0</v>
      </c>
      <c r="Y342" s="916">
        <f ca="1">IFERROR($I342*44/12*参考2_エネ使用量経年!$I192*(参考2_エネ使用量経年!Y192+参考2_エネ使用量経年!Y279),"")</f>
        <v>0</v>
      </c>
      <c r="Z342" s="916">
        <f ca="1">IFERROR($J342*44/12*参考2_エネ使用量経年!$J192*(参考2_エネ使用量経年!Z192+参考2_エネ使用量経年!Z279),"")</f>
        <v>0</v>
      </c>
      <c r="AA342" s="916">
        <f ca="1">IFERROR($K342*44/12*参考2_エネ使用量経年!$K192*(参考2_エネ使用量経年!AA192+参考2_エネ使用量経年!AA279),"")</f>
        <v>0</v>
      </c>
      <c r="AB342" s="916" t="str">
        <f ca="1">IFERROR($H342*44/12*参考2_エネ使用量経年!$H192*(参考2_エネ使用量経年!AB192+参考2_エネ使用量経年!AB279),"")</f>
        <v/>
      </c>
      <c r="AC342" s="916" t="str">
        <f ca="1">IFERROR($I342*44/12*参考2_エネ使用量経年!$I192*(参考2_エネ使用量経年!AC192+参考2_エネ使用量経年!AC279),"")</f>
        <v/>
      </c>
      <c r="AD342" s="916" t="str">
        <f ca="1">IFERROR($J342*44/12*参考2_エネ使用量経年!$J192*(参考2_エネ使用量経年!AD192+参考2_エネ使用量経年!AD279),"")</f>
        <v/>
      </c>
      <c r="AE342" s="916" t="str">
        <f ca="1">IFERROR($K342*44/12*参考2_エネ使用量経年!$K192*(参考2_エネ使用量経年!AE192+参考2_エネ使用量経年!AE279),"")</f>
        <v/>
      </c>
      <c r="AF342" s="916" t="str">
        <f ca="1">IFERROR($H342*44/12*参考2_エネ使用量経年!$H192*(参考2_エネ使用量経年!AF192+参考2_エネ使用量経年!AF279),"")</f>
        <v/>
      </c>
      <c r="AG342" s="916" t="str">
        <f ca="1">IFERROR($I342*44/12*参考2_エネ使用量経年!$I192*(参考2_エネ使用量経年!AG192+参考2_エネ使用量経年!AG279),"")</f>
        <v/>
      </c>
      <c r="AH342" s="916" t="str">
        <f ca="1">IFERROR($J342*44/12*参考2_エネ使用量経年!$J192*(参考2_エネ使用量経年!AH192+参考2_エネ使用量経年!AH279),"")</f>
        <v/>
      </c>
      <c r="AI342" s="916" t="str">
        <f ca="1">IFERROR($K342*44/12*参考2_エネ使用量経年!$K192*(参考2_エネ使用量経年!AI192+参考2_エネ使用量経年!AI279),"")</f>
        <v/>
      </c>
      <c r="AJ342" s="916" t="str">
        <f ca="1">IFERROR($H342*44/12*参考2_エネ使用量経年!$H192*(参考2_エネ使用量経年!AJ192+参考2_エネ使用量経年!AJ279),"")</f>
        <v/>
      </c>
      <c r="AK342" s="916" t="str">
        <f ca="1">IFERROR($I342*44/12*参考2_エネ使用量経年!$I192*(参考2_エネ使用量経年!AK192+参考2_エネ使用量経年!AK279),"")</f>
        <v/>
      </c>
      <c r="AL342" s="916" t="str">
        <f ca="1">IFERROR($J342*44/12*参考2_エネ使用量経年!$J192*(参考2_エネ使用量経年!AL192+参考2_エネ使用量経年!AL279),"")</f>
        <v/>
      </c>
      <c r="AM342" s="916" t="str">
        <f ca="1">IFERROR($K342*44/12*参考2_エネ使用量経年!$K192*(参考2_エネ使用量経年!AM192+参考2_エネ使用量経年!AM279),"")</f>
        <v/>
      </c>
      <c r="AN342" s="916" t="str">
        <f ca="1">IFERROR($H342*44/12*参考2_エネ使用量経年!$H192*(参考2_エネ使用量経年!AN192+参考2_エネ使用量経年!AN279),"")</f>
        <v/>
      </c>
      <c r="AO342" s="916" t="str">
        <f ca="1">IFERROR($I342*44/12*参考2_エネ使用量経年!$I192*(参考2_エネ使用量経年!AO192+参考2_エネ使用量経年!AO279),"")</f>
        <v/>
      </c>
      <c r="AP342" s="916" t="str">
        <f ca="1">IFERROR($J342*44/12*参考2_エネ使用量経年!$J192*(参考2_エネ使用量経年!AP192+参考2_エネ使用量経年!AP279),"")</f>
        <v/>
      </c>
      <c r="AQ342" s="916" t="str">
        <f ca="1">IFERROR($K342*44/12*参考2_エネ使用量経年!$K192*(参考2_エネ使用量経年!AQ192+参考2_エネ使用量経年!AQ279),"")</f>
        <v/>
      </c>
      <c r="AR342" s="916" t="str">
        <f ca="1">IFERROR($H342*44/12*参考2_エネ使用量経年!$H192*(参考2_エネ使用量経年!AR192+参考2_エネ使用量経年!AR279),"")</f>
        <v/>
      </c>
      <c r="AS342" s="916" t="str">
        <f ca="1">IFERROR($I342*44/12*参考2_エネ使用量経年!$I192*(参考2_エネ使用量経年!AS192+参考2_エネ使用量経年!AS279),"")</f>
        <v/>
      </c>
      <c r="AT342" s="916" t="str">
        <f ca="1">IFERROR($J342*44/12*参考2_エネ使用量経年!$J192*(参考2_エネ使用量経年!AT192+参考2_エネ使用量経年!AT279),"")</f>
        <v/>
      </c>
      <c r="AU342" s="916" t="str">
        <f ca="1">IFERROR($K342*44/12*参考2_エネ使用量経年!$K192*(参考2_エネ使用量経年!AU192+参考2_エネ使用量経年!AU279),"")</f>
        <v/>
      </c>
      <c r="AV342" s="916" t="str">
        <f ca="1">IFERROR($H342*44/12*参考2_エネ使用量経年!$H192*(参考2_エネ使用量経年!AV192+参考2_エネ使用量経年!AV279),"")</f>
        <v/>
      </c>
      <c r="AW342" s="916" t="str">
        <f ca="1">IFERROR($I342*44/12*参考2_エネ使用量経年!$I192*(参考2_エネ使用量経年!AW192+参考2_エネ使用量経年!AW279),"")</f>
        <v/>
      </c>
      <c r="AX342" s="916" t="str">
        <f ca="1">IFERROR($J342*44/12*参考2_エネ使用量経年!$J192*(参考2_エネ使用量経年!AX192+参考2_エネ使用量経年!AX279),"")</f>
        <v/>
      </c>
      <c r="AY342" s="916" t="str">
        <f ca="1">IFERROR($K342*44/12*参考2_エネ使用量経年!$K192*(参考2_エネ使用量経年!AY192+参考2_エネ使用量経年!AY279),"")</f>
        <v/>
      </c>
      <c r="AZ342" s="916" t="str">
        <f ca="1">IFERROR($H342*44/12*参考2_エネ使用量経年!$H192*(参考2_エネ使用量経年!AZ192+参考2_エネ使用量経年!AZ279),"")</f>
        <v/>
      </c>
      <c r="BA342" s="916" t="str">
        <f ca="1">IFERROR($I342*44/12*参考2_エネ使用量経年!$I192*(参考2_エネ使用量経年!BA192+参考2_エネ使用量経年!BA279),"")</f>
        <v/>
      </c>
      <c r="BB342" s="916" t="str">
        <f ca="1">IFERROR($J342*44/12*参考2_エネ使用量経年!$J192*(参考2_エネ使用量経年!BB192+参考2_エネ使用量経年!BB279),"")</f>
        <v/>
      </c>
      <c r="BC342" s="916" t="str">
        <f ca="1">IFERROR($K342*44/12*参考2_エネ使用量経年!$K192*(参考2_エネ使用量経年!BC192+参考2_エネ使用量経年!BC279),"")</f>
        <v/>
      </c>
      <c r="BD342" s="916" t="str">
        <f ca="1">IFERROR($H342*44/12*参考2_エネ使用量経年!$H192*(参考2_エネ使用量経年!BD192+参考2_エネ使用量経年!BD279),"")</f>
        <v/>
      </c>
      <c r="BE342" s="916" t="str">
        <f ca="1">IFERROR($I342*44/12*参考2_エネ使用量経年!$I192*(参考2_エネ使用量経年!BE192+参考2_エネ使用量経年!BE279),"")</f>
        <v/>
      </c>
      <c r="BF342" s="916" t="str">
        <f ca="1">IFERROR($J342*44/12*参考2_エネ使用量経年!$J192*(参考2_エネ使用量経年!BF192+参考2_エネ使用量経年!BF279),"")</f>
        <v/>
      </c>
      <c r="BG342" s="916" t="str">
        <f ca="1">IFERROR($K342*44/12*参考2_エネ使用量経年!$K192*(参考2_エネ使用量経年!BG192+参考2_エネ使用量経年!BG279),"")</f>
        <v/>
      </c>
      <c r="BH342" s="916" t="str">
        <f ca="1">IFERROR($H342*44/12*参考2_エネ使用量経年!$H192*(参考2_エネ使用量経年!BH192+参考2_エネ使用量経年!BH279),"")</f>
        <v/>
      </c>
      <c r="BI342" s="916" t="str">
        <f ca="1">IFERROR($I342*44/12*参考2_エネ使用量経年!$I192*(参考2_エネ使用量経年!BI192+参考2_エネ使用量経年!BI279),"")</f>
        <v/>
      </c>
      <c r="BJ342" s="916" t="str">
        <f ca="1">IFERROR($J342*44/12*参考2_エネ使用量経年!$J192*(参考2_エネ使用量経年!BJ192+参考2_エネ使用量経年!BJ279),"")</f>
        <v/>
      </c>
      <c r="BK342" s="916" t="str">
        <f ca="1">IFERROR($K342*44/12*参考2_エネ使用量経年!$K192*(参考2_エネ使用量経年!BK192+参考2_エネ使用量経年!BK279),"")</f>
        <v/>
      </c>
      <c r="BL342" s="916" t="str">
        <f ca="1">IFERROR($H342*44/12*参考2_エネ使用量経年!$H192*(参考2_エネ使用量経年!BL192+参考2_エネ使用量経年!BL279),"")</f>
        <v/>
      </c>
      <c r="BM342" s="916" t="str">
        <f ca="1">IFERROR($I342*44/12*参考2_エネ使用量経年!$I192*(参考2_エネ使用量経年!BM192+参考2_エネ使用量経年!BM279),"")</f>
        <v/>
      </c>
      <c r="BN342" s="916" t="str">
        <f ca="1">IFERROR($J342*44/12*参考2_エネ使用量経年!$J192*(参考2_エネ使用量経年!BN192+参考2_エネ使用量経年!BN279),"")</f>
        <v/>
      </c>
      <c r="BO342" s="916" t="str">
        <f ca="1">IFERROR($K342*44/12*参考2_エネ使用量経年!$K192*(参考2_エネ使用量経年!BO192+参考2_エネ使用量経年!BO279),"")</f>
        <v/>
      </c>
    </row>
    <row r="343" spans="1:67" ht="20.100000000000001" customHeight="1">
      <c r="A343" s="914">
        <v>30</v>
      </c>
      <c r="B343" s="1594"/>
      <c r="C343" s="1596"/>
      <c r="D343" s="785" t="s">
        <v>371</v>
      </c>
      <c r="E343" s="779"/>
      <c r="F343" s="786"/>
      <c r="G343" s="852" t="s">
        <v>1281</v>
      </c>
      <c r="H343" s="915">
        <f t="shared" ca="1" si="109"/>
        <v>2.0899999999999998E-2</v>
      </c>
      <c r="I343" s="915">
        <f t="shared" ca="1" si="110"/>
        <v>2.0899999999999998E-2</v>
      </c>
      <c r="J343" s="915">
        <f t="shared" ca="1" si="111"/>
        <v>2.0899999999999998E-2</v>
      </c>
      <c r="K343" s="915">
        <f t="shared" ca="1" si="112"/>
        <v>2.0899999999999998E-2</v>
      </c>
      <c r="L343" s="916">
        <f ca="1">IFERROR($H343*44/12*参考2_エネ使用量経年!$H193*(参考2_エネ使用量経年!L193+参考2_エネ使用量経年!L280),"")</f>
        <v>0</v>
      </c>
      <c r="M343" s="916">
        <f ca="1">IFERROR($I343*44/12*参考2_エネ使用量経年!$I193*(参考2_エネ使用量経年!M193+参考2_エネ使用量経年!M280),"")</f>
        <v>0</v>
      </c>
      <c r="N343" s="916">
        <f ca="1">IFERROR($J343*44/12*参考2_エネ使用量経年!$J193*(参考2_エネ使用量経年!N193+参考2_エネ使用量経年!N280),"")</f>
        <v>0</v>
      </c>
      <c r="O343" s="916">
        <f ca="1">IFERROR($K343*44/12*参考2_エネ使用量経年!$K193*(参考2_エネ使用量経年!O193+参考2_エネ使用量経年!O280),"")</f>
        <v>0</v>
      </c>
      <c r="P343" s="916">
        <f ca="1">IFERROR($H343*44/12*参考2_エネ使用量経年!$H193*(参考2_エネ使用量経年!P193+参考2_エネ使用量経年!P280),"")</f>
        <v>0</v>
      </c>
      <c r="Q343" s="916">
        <f ca="1">IFERROR($I343*44/12*参考2_エネ使用量経年!$I193*(参考2_エネ使用量経年!Q193+参考2_エネ使用量経年!Q280),"")</f>
        <v>0</v>
      </c>
      <c r="R343" s="916">
        <f ca="1">IFERROR($J343*44/12*参考2_エネ使用量経年!$J193*(参考2_エネ使用量経年!R193+参考2_エネ使用量経年!R280),"")</f>
        <v>0</v>
      </c>
      <c r="S343" s="916">
        <f ca="1">IFERROR($K343*44/12*参考2_エネ使用量経年!$K193*(参考2_エネ使用量経年!S193+参考2_エネ使用量経年!S280),"")</f>
        <v>0</v>
      </c>
      <c r="T343" s="916">
        <f ca="1">IFERROR($H343*44/12*参考2_エネ使用量経年!$H193*(参考2_エネ使用量経年!T193+参考2_エネ使用量経年!T280),"")</f>
        <v>0</v>
      </c>
      <c r="U343" s="916">
        <f ca="1">IFERROR($I343*44/12*参考2_エネ使用量経年!$I193*(参考2_エネ使用量経年!U193+参考2_エネ使用量経年!U280),"")</f>
        <v>0</v>
      </c>
      <c r="V343" s="916">
        <f ca="1">IFERROR($J343*44/12*参考2_エネ使用量経年!$J193*(参考2_エネ使用量経年!V193+参考2_エネ使用量経年!V280),"")</f>
        <v>0</v>
      </c>
      <c r="W343" s="916">
        <f ca="1">IFERROR($K343*44/12*参考2_エネ使用量経年!$K193*(参考2_エネ使用量経年!W193+参考2_エネ使用量経年!W280),"")</f>
        <v>0</v>
      </c>
      <c r="X343" s="916">
        <f ca="1">IFERROR($H343*44/12*参考2_エネ使用量経年!$H193*(参考2_エネ使用量経年!X193+参考2_エネ使用量経年!X280),"")</f>
        <v>0</v>
      </c>
      <c r="Y343" s="916">
        <f ca="1">IFERROR($I343*44/12*参考2_エネ使用量経年!$I193*(参考2_エネ使用量経年!Y193+参考2_エネ使用量経年!Y280),"")</f>
        <v>0</v>
      </c>
      <c r="Z343" s="916">
        <f ca="1">IFERROR($J343*44/12*参考2_エネ使用量経年!$J193*(参考2_エネ使用量経年!Z193+参考2_エネ使用量経年!Z280),"")</f>
        <v>0</v>
      </c>
      <c r="AA343" s="916">
        <f ca="1">IFERROR($K343*44/12*参考2_エネ使用量経年!$K193*(参考2_エネ使用量経年!AA193+参考2_エネ使用量経年!AA280),"")</f>
        <v>0</v>
      </c>
      <c r="AB343" s="916" t="str">
        <f ca="1">IFERROR($H343*44/12*参考2_エネ使用量経年!$H193*(参考2_エネ使用量経年!AB193+参考2_エネ使用量経年!AB280),"")</f>
        <v/>
      </c>
      <c r="AC343" s="916" t="str">
        <f ca="1">IFERROR($I343*44/12*参考2_エネ使用量経年!$I193*(参考2_エネ使用量経年!AC193+参考2_エネ使用量経年!AC280),"")</f>
        <v/>
      </c>
      <c r="AD343" s="916" t="str">
        <f ca="1">IFERROR($J343*44/12*参考2_エネ使用量経年!$J193*(参考2_エネ使用量経年!AD193+参考2_エネ使用量経年!AD280),"")</f>
        <v/>
      </c>
      <c r="AE343" s="916" t="str">
        <f ca="1">IFERROR($K343*44/12*参考2_エネ使用量経年!$K193*(参考2_エネ使用量経年!AE193+参考2_エネ使用量経年!AE280),"")</f>
        <v/>
      </c>
      <c r="AF343" s="916" t="str">
        <f ca="1">IFERROR($H343*44/12*参考2_エネ使用量経年!$H193*(参考2_エネ使用量経年!AF193+参考2_エネ使用量経年!AF280),"")</f>
        <v/>
      </c>
      <c r="AG343" s="916" t="str">
        <f ca="1">IFERROR($I343*44/12*参考2_エネ使用量経年!$I193*(参考2_エネ使用量経年!AG193+参考2_エネ使用量経年!AG280),"")</f>
        <v/>
      </c>
      <c r="AH343" s="916" t="str">
        <f ca="1">IFERROR($J343*44/12*参考2_エネ使用量経年!$J193*(参考2_エネ使用量経年!AH193+参考2_エネ使用量経年!AH280),"")</f>
        <v/>
      </c>
      <c r="AI343" s="916" t="str">
        <f ca="1">IFERROR($K343*44/12*参考2_エネ使用量経年!$K193*(参考2_エネ使用量経年!AI193+参考2_エネ使用量経年!AI280),"")</f>
        <v/>
      </c>
      <c r="AJ343" s="916" t="str">
        <f ca="1">IFERROR($H343*44/12*参考2_エネ使用量経年!$H193*(参考2_エネ使用量経年!AJ193+参考2_エネ使用量経年!AJ280),"")</f>
        <v/>
      </c>
      <c r="AK343" s="916" t="str">
        <f ca="1">IFERROR($I343*44/12*参考2_エネ使用量経年!$I193*(参考2_エネ使用量経年!AK193+参考2_エネ使用量経年!AK280),"")</f>
        <v/>
      </c>
      <c r="AL343" s="916" t="str">
        <f ca="1">IFERROR($J343*44/12*参考2_エネ使用量経年!$J193*(参考2_エネ使用量経年!AL193+参考2_エネ使用量経年!AL280),"")</f>
        <v/>
      </c>
      <c r="AM343" s="916" t="str">
        <f ca="1">IFERROR($K343*44/12*参考2_エネ使用量経年!$K193*(参考2_エネ使用量経年!AM193+参考2_エネ使用量経年!AM280),"")</f>
        <v/>
      </c>
      <c r="AN343" s="916" t="str">
        <f ca="1">IFERROR($H343*44/12*参考2_エネ使用量経年!$H193*(参考2_エネ使用量経年!AN193+参考2_エネ使用量経年!AN280),"")</f>
        <v/>
      </c>
      <c r="AO343" s="916" t="str">
        <f ca="1">IFERROR($I343*44/12*参考2_エネ使用量経年!$I193*(参考2_エネ使用量経年!AO193+参考2_エネ使用量経年!AO280),"")</f>
        <v/>
      </c>
      <c r="AP343" s="916" t="str">
        <f ca="1">IFERROR($J343*44/12*参考2_エネ使用量経年!$J193*(参考2_エネ使用量経年!AP193+参考2_エネ使用量経年!AP280),"")</f>
        <v/>
      </c>
      <c r="AQ343" s="916" t="str">
        <f ca="1">IFERROR($K343*44/12*参考2_エネ使用量経年!$K193*(参考2_エネ使用量経年!AQ193+参考2_エネ使用量経年!AQ280),"")</f>
        <v/>
      </c>
      <c r="AR343" s="916" t="str">
        <f ca="1">IFERROR($H343*44/12*参考2_エネ使用量経年!$H193*(参考2_エネ使用量経年!AR193+参考2_エネ使用量経年!AR280),"")</f>
        <v/>
      </c>
      <c r="AS343" s="916" t="str">
        <f ca="1">IFERROR($I343*44/12*参考2_エネ使用量経年!$I193*(参考2_エネ使用量経年!AS193+参考2_エネ使用量経年!AS280),"")</f>
        <v/>
      </c>
      <c r="AT343" s="916" t="str">
        <f ca="1">IFERROR($J343*44/12*参考2_エネ使用量経年!$J193*(参考2_エネ使用量経年!AT193+参考2_エネ使用量経年!AT280),"")</f>
        <v/>
      </c>
      <c r="AU343" s="916" t="str">
        <f ca="1">IFERROR($K343*44/12*参考2_エネ使用量経年!$K193*(参考2_エネ使用量経年!AU193+参考2_エネ使用量経年!AU280),"")</f>
        <v/>
      </c>
      <c r="AV343" s="916" t="str">
        <f ca="1">IFERROR($H343*44/12*参考2_エネ使用量経年!$H193*(参考2_エネ使用量経年!AV193+参考2_エネ使用量経年!AV280),"")</f>
        <v/>
      </c>
      <c r="AW343" s="916" t="str">
        <f ca="1">IFERROR($I343*44/12*参考2_エネ使用量経年!$I193*(参考2_エネ使用量経年!AW193+参考2_エネ使用量経年!AW280),"")</f>
        <v/>
      </c>
      <c r="AX343" s="916" t="str">
        <f ca="1">IFERROR($J343*44/12*参考2_エネ使用量経年!$J193*(参考2_エネ使用量経年!AX193+参考2_エネ使用量経年!AX280),"")</f>
        <v/>
      </c>
      <c r="AY343" s="916" t="str">
        <f ca="1">IFERROR($K343*44/12*参考2_エネ使用量経年!$K193*(参考2_エネ使用量経年!AY193+参考2_エネ使用量経年!AY280),"")</f>
        <v/>
      </c>
      <c r="AZ343" s="916" t="str">
        <f ca="1">IFERROR($H343*44/12*参考2_エネ使用量経年!$H193*(参考2_エネ使用量経年!AZ193+参考2_エネ使用量経年!AZ280),"")</f>
        <v/>
      </c>
      <c r="BA343" s="916" t="str">
        <f ca="1">IFERROR($I343*44/12*参考2_エネ使用量経年!$I193*(参考2_エネ使用量経年!BA193+参考2_エネ使用量経年!BA280),"")</f>
        <v/>
      </c>
      <c r="BB343" s="916" t="str">
        <f ca="1">IFERROR($J343*44/12*参考2_エネ使用量経年!$J193*(参考2_エネ使用量経年!BB193+参考2_エネ使用量経年!BB280),"")</f>
        <v/>
      </c>
      <c r="BC343" s="916" t="str">
        <f ca="1">IFERROR($K343*44/12*参考2_エネ使用量経年!$K193*(参考2_エネ使用量経年!BC193+参考2_エネ使用量経年!BC280),"")</f>
        <v/>
      </c>
      <c r="BD343" s="916" t="str">
        <f ca="1">IFERROR($H343*44/12*参考2_エネ使用量経年!$H193*(参考2_エネ使用量経年!BD193+参考2_エネ使用量経年!BD280),"")</f>
        <v/>
      </c>
      <c r="BE343" s="916" t="str">
        <f ca="1">IFERROR($I343*44/12*参考2_エネ使用量経年!$I193*(参考2_エネ使用量経年!BE193+参考2_エネ使用量経年!BE280),"")</f>
        <v/>
      </c>
      <c r="BF343" s="916" t="str">
        <f ca="1">IFERROR($J343*44/12*参考2_エネ使用量経年!$J193*(参考2_エネ使用量経年!BF193+参考2_エネ使用量経年!BF280),"")</f>
        <v/>
      </c>
      <c r="BG343" s="916" t="str">
        <f ca="1">IFERROR($K343*44/12*参考2_エネ使用量経年!$K193*(参考2_エネ使用量経年!BG193+参考2_エネ使用量経年!BG280),"")</f>
        <v/>
      </c>
      <c r="BH343" s="916" t="str">
        <f ca="1">IFERROR($H343*44/12*参考2_エネ使用量経年!$H193*(参考2_エネ使用量経年!BH193+参考2_エネ使用量経年!BH280),"")</f>
        <v/>
      </c>
      <c r="BI343" s="916" t="str">
        <f ca="1">IFERROR($I343*44/12*参考2_エネ使用量経年!$I193*(参考2_エネ使用量経年!BI193+参考2_エネ使用量経年!BI280),"")</f>
        <v/>
      </c>
      <c r="BJ343" s="916" t="str">
        <f ca="1">IFERROR($J343*44/12*参考2_エネ使用量経年!$J193*(参考2_エネ使用量経年!BJ193+参考2_エネ使用量経年!BJ280),"")</f>
        <v/>
      </c>
      <c r="BK343" s="916" t="str">
        <f ca="1">IFERROR($K343*44/12*参考2_エネ使用量経年!$K193*(参考2_エネ使用量経年!BK193+参考2_エネ使用量経年!BK280),"")</f>
        <v/>
      </c>
      <c r="BL343" s="916" t="str">
        <f ca="1">IFERROR($H343*44/12*参考2_エネ使用量経年!$H193*(参考2_エネ使用量経年!BL193+参考2_エネ使用量経年!BL280),"")</f>
        <v/>
      </c>
      <c r="BM343" s="916" t="str">
        <f ca="1">IFERROR($I343*44/12*参考2_エネ使用量経年!$I193*(参考2_エネ使用量経年!BM193+参考2_エネ使用量経年!BM280),"")</f>
        <v/>
      </c>
      <c r="BN343" s="916" t="str">
        <f ca="1">IFERROR($J343*44/12*参考2_エネ使用量経年!$J193*(参考2_エネ使用量経年!BN193+参考2_エネ使用量経年!BN280),"")</f>
        <v/>
      </c>
      <c r="BO343" s="916" t="str">
        <f ca="1">IFERROR($K343*44/12*参考2_エネ使用量経年!$K193*(参考2_エネ使用量経年!BO193+参考2_エネ使用量経年!BO280),"")</f>
        <v/>
      </c>
    </row>
    <row r="344" spans="1:67" ht="20.100000000000001" customHeight="1">
      <c r="A344" s="914">
        <v>31</v>
      </c>
      <c r="B344" s="1594"/>
      <c r="C344" s="1596"/>
      <c r="D344" s="785" t="s">
        <v>372</v>
      </c>
      <c r="E344" s="785"/>
      <c r="F344" s="786"/>
      <c r="G344" s="852" t="s">
        <v>1281</v>
      </c>
      <c r="H344" s="915">
        <f t="shared" ca="1" si="109"/>
        <v>1.09E-2</v>
      </c>
      <c r="I344" s="915">
        <f t="shared" ca="1" si="110"/>
        <v>1.09E-2</v>
      </c>
      <c r="J344" s="915">
        <f t="shared" ca="1" si="111"/>
        <v>1.09E-2</v>
      </c>
      <c r="K344" s="915">
        <f t="shared" ca="1" si="112"/>
        <v>1.09E-2</v>
      </c>
      <c r="L344" s="916">
        <f ca="1">IFERROR($H344*44/12*参考2_エネ使用量経年!$H194*(参考2_エネ使用量経年!L194+参考2_エネ使用量経年!L281),"")</f>
        <v>0</v>
      </c>
      <c r="M344" s="916">
        <f ca="1">IFERROR($I344*44/12*参考2_エネ使用量経年!$I194*(参考2_エネ使用量経年!M194+参考2_エネ使用量経年!M281),"")</f>
        <v>0</v>
      </c>
      <c r="N344" s="916">
        <f ca="1">IFERROR($J344*44/12*参考2_エネ使用量経年!$J194*(参考2_エネ使用量経年!N194+参考2_エネ使用量経年!N281),"")</f>
        <v>0</v>
      </c>
      <c r="O344" s="916">
        <f ca="1">IFERROR($K344*44/12*参考2_エネ使用量経年!$K194*(参考2_エネ使用量経年!O194+参考2_エネ使用量経年!O281),"")</f>
        <v>0</v>
      </c>
      <c r="P344" s="916">
        <f ca="1">IFERROR($H344*44/12*参考2_エネ使用量経年!$H194*(参考2_エネ使用量経年!P194+参考2_エネ使用量経年!P281),"")</f>
        <v>0</v>
      </c>
      <c r="Q344" s="916">
        <f ca="1">IFERROR($I344*44/12*参考2_エネ使用量経年!$I194*(参考2_エネ使用量経年!Q194+参考2_エネ使用量経年!Q281),"")</f>
        <v>0</v>
      </c>
      <c r="R344" s="916">
        <f ca="1">IFERROR($J344*44/12*参考2_エネ使用量経年!$J194*(参考2_エネ使用量経年!R194+参考2_エネ使用量経年!R281),"")</f>
        <v>0</v>
      </c>
      <c r="S344" s="916">
        <f ca="1">IFERROR($K344*44/12*参考2_エネ使用量経年!$K194*(参考2_エネ使用量経年!S194+参考2_エネ使用量経年!S281),"")</f>
        <v>0</v>
      </c>
      <c r="T344" s="916">
        <f ca="1">IFERROR($H344*44/12*参考2_エネ使用量経年!$H194*(参考2_エネ使用量経年!T194+参考2_エネ使用量経年!T281),"")</f>
        <v>0</v>
      </c>
      <c r="U344" s="916">
        <f ca="1">IFERROR($I344*44/12*参考2_エネ使用量経年!$I194*(参考2_エネ使用量経年!U194+参考2_エネ使用量経年!U281),"")</f>
        <v>0</v>
      </c>
      <c r="V344" s="916">
        <f ca="1">IFERROR($J344*44/12*参考2_エネ使用量経年!$J194*(参考2_エネ使用量経年!V194+参考2_エネ使用量経年!V281),"")</f>
        <v>0</v>
      </c>
      <c r="W344" s="916">
        <f ca="1">IFERROR($K344*44/12*参考2_エネ使用量経年!$K194*(参考2_エネ使用量経年!W194+参考2_エネ使用量経年!W281),"")</f>
        <v>0</v>
      </c>
      <c r="X344" s="916">
        <f ca="1">IFERROR($H344*44/12*参考2_エネ使用量経年!$H194*(参考2_エネ使用量経年!X194+参考2_エネ使用量経年!X281),"")</f>
        <v>0</v>
      </c>
      <c r="Y344" s="916">
        <f ca="1">IFERROR($I344*44/12*参考2_エネ使用量経年!$I194*(参考2_エネ使用量経年!Y194+参考2_エネ使用量経年!Y281),"")</f>
        <v>0</v>
      </c>
      <c r="Z344" s="916">
        <f ca="1">IFERROR($J344*44/12*参考2_エネ使用量経年!$J194*(参考2_エネ使用量経年!Z194+参考2_エネ使用量経年!Z281),"")</f>
        <v>0</v>
      </c>
      <c r="AA344" s="916">
        <f ca="1">IFERROR($K344*44/12*参考2_エネ使用量経年!$K194*(参考2_エネ使用量経年!AA194+参考2_エネ使用量経年!AA281),"")</f>
        <v>0</v>
      </c>
      <c r="AB344" s="916" t="str">
        <f ca="1">IFERROR($H344*44/12*参考2_エネ使用量経年!$H194*(参考2_エネ使用量経年!AB194+参考2_エネ使用量経年!AB281),"")</f>
        <v/>
      </c>
      <c r="AC344" s="916" t="str">
        <f ca="1">IFERROR($I344*44/12*参考2_エネ使用量経年!$I194*(参考2_エネ使用量経年!AC194+参考2_エネ使用量経年!AC281),"")</f>
        <v/>
      </c>
      <c r="AD344" s="916" t="str">
        <f ca="1">IFERROR($J344*44/12*参考2_エネ使用量経年!$J194*(参考2_エネ使用量経年!AD194+参考2_エネ使用量経年!AD281),"")</f>
        <v/>
      </c>
      <c r="AE344" s="916" t="str">
        <f ca="1">IFERROR($K344*44/12*参考2_エネ使用量経年!$K194*(参考2_エネ使用量経年!AE194+参考2_エネ使用量経年!AE281),"")</f>
        <v/>
      </c>
      <c r="AF344" s="916" t="str">
        <f ca="1">IFERROR($H344*44/12*参考2_エネ使用量経年!$H194*(参考2_エネ使用量経年!AF194+参考2_エネ使用量経年!AF281),"")</f>
        <v/>
      </c>
      <c r="AG344" s="916" t="str">
        <f ca="1">IFERROR($I344*44/12*参考2_エネ使用量経年!$I194*(参考2_エネ使用量経年!AG194+参考2_エネ使用量経年!AG281),"")</f>
        <v/>
      </c>
      <c r="AH344" s="916" t="str">
        <f ca="1">IFERROR($J344*44/12*参考2_エネ使用量経年!$J194*(参考2_エネ使用量経年!AH194+参考2_エネ使用量経年!AH281),"")</f>
        <v/>
      </c>
      <c r="AI344" s="916" t="str">
        <f ca="1">IFERROR($K344*44/12*参考2_エネ使用量経年!$K194*(参考2_エネ使用量経年!AI194+参考2_エネ使用量経年!AI281),"")</f>
        <v/>
      </c>
      <c r="AJ344" s="916" t="str">
        <f ca="1">IFERROR($H344*44/12*参考2_エネ使用量経年!$H194*(参考2_エネ使用量経年!AJ194+参考2_エネ使用量経年!AJ281),"")</f>
        <v/>
      </c>
      <c r="AK344" s="916" t="str">
        <f ca="1">IFERROR($I344*44/12*参考2_エネ使用量経年!$I194*(参考2_エネ使用量経年!AK194+参考2_エネ使用量経年!AK281),"")</f>
        <v/>
      </c>
      <c r="AL344" s="916" t="str">
        <f ca="1">IFERROR($J344*44/12*参考2_エネ使用量経年!$J194*(参考2_エネ使用量経年!AL194+参考2_エネ使用量経年!AL281),"")</f>
        <v/>
      </c>
      <c r="AM344" s="916" t="str">
        <f ca="1">IFERROR($K344*44/12*参考2_エネ使用量経年!$K194*(参考2_エネ使用量経年!AM194+参考2_エネ使用量経年!AM281),"")</f>
        <v/>
      </c>
      <c r="AN344" s="916" t="str">
        <f ca="1">IFERROR($H344*44/12*参考2_エネ使用量経年!$H194*(参考2_エネ使用量経年!AN194+参考2_エネ使用量経年!AN281),"")</f>
        <v/>
      </c>
      <c r="AO344" s="916" t="str">
        <f ca="1">IFERROR($I344*44/12*参考2_エネ使用量経年!$I194*(参考2_エネ使用量経年!AO194+参考2_エネ使用量経年!AO281),"")</f>
        <v/>
      </c>
      <c r="AP344" s="916" t="str">
        <f ca="1">IFERROR($J344*44/12*参考2_エネ使用量経年!$J194*(参考2_エネ使用量経年!AP194+参考2_エネ使用量経年!AP281),"")</f>
        <v/>
      </c>
      <c r="AQ344" s="916" t="str">
        <f ca="1">IFERROR($K344*44/12*参考2_エネ使用量経年!$K194*(参考2_エネ使用量経年!AQ194+参考2_エネ使用量経年!AQ281),"")</f>
        <v/>
      </c>
      <c r="AR344" s="916" t="str">
        <f ca="1">IFERROR($H344*44/12*参考2_エネ使用量経年!$H194*(参考2_エネ使用量経年!AR194+参考2_エネ使用量経年!AR281),"")</f>
        <v/>
      </c>
      <c r="AS344" s="916" t="str">
        <f ca="1">IFERROR($I344*44/12*参考2_エネ使用量経年!$I194*(参考2_エネ使用量経年!AS194+参考2_エネ使用量経年!AS281),"")</f>
        <v/>
      </c>
      <c r="AT344" s="916" t="str">
        <f ca="1">IFERROR($J344*44/12*参考2_エネ使用量経年!$J194*(参考2_エネ使用量経年!AT194+参考2_エネ使用量経年!AT281),"")</f>
        <v/>
      </c>
      <c r="AU344" s="916" t="str">
        <f ca="1">IFERROR($K344*44/12*参考2_エネ使用量経年!$K194*(参考2_エネ使用量経年!AU194+参考2_エネ使用量経年!AU281),"")</f>
        <v/>
      </c>
      <c r="AV344" s="916" t="str">
        <f ca="1">IFERROR($H344*44/12*参考2_エネ使用量経年!$H194*(参考2_エネ使用量経年!AV194+参考2_エネ使用量経年!AV281),"")</f>
        <v/>
      </c>
      <c r="AW344" s="916" t="str">
        <f ca="1">IFERROR($I344*44/12*参考2_エネ使用量経年!$I194*(参考2_エネ使用量経年!AW194+参考2_エネ使用量経年!AW281),"")</f>
        <v/>
      </c>
      <c r="AX344" s="916" t="str">
        <f ca="1">IFERROR($J344*44/12*参考2_エネ使用量経年!$J194*(参考2_エネ使用量経年!AX194+参考2_エネ使用量経年!AX281),"")</f>
        <v/>
      </c>
      <c r="AY344" s="916" t="str">
        <f ca="1">IFERROR($K344*44/12*参考2_エネ使用量経年!$K194*(参考2_エネ使用量経年!AY194+参考2_エネ使用量経年!AY281),"")</f>
        <v/>
      </c>
      <c r="AZ344" s="916" t="str">
        <f ca="1">IFERROR($H344*44/12*参考2_エネ使用量経年!$H194*(参考2_エネ使用量経年!AZ194+参考2_エネ使用量経年!AZ281),"")</f>
        <v/>
      </c>
      <c r="BA344" s="916" t="str">
        <f ca="1">IFERROR($I344*44/12*参考2_エネ使用量経年!$I194*(参考2_エネ使用量経年!BA194+参考2_エネ使用量経年!BA281),"")</f>
        <v/>
      </c>
      <c r="BB344" s="916" t="str">
        <f ca="1">IFERROR($J344*44/12*参考2_エネ使用量経年!$J194*(参考2_エネ使用量経年!BB194+参考2_エネ使用量経年!BB281),"")</f>
        <v/>
      </c>
      <c r="BC344" s="916" t="str">
        <f ca="1">IFERROR($K344*44/12*参考2_エネ使用量経年!$K194*(参考2_エネ使用量経年!BC194+参考2_エネ使用量経年!BC281),"")</f>
        <v/>
      </c>
      <c r="BD344" s="916" t="str">
        <f ca="1">IFERROR($H344*44/12*参考2_エネ使用量経年!$H194*(参考2_エネ使用量経年!BD194+参考2_エネ使用量経年!BD281),"")</f>
        <v/>
      </c>
      <c r="BE344" s="916" t="str">
        <f ca="1">IFERROR($I344*44/12*参考2_エネ使用量経年!$I194*(参考2_エネ使用量経年!BE194+参考2_エネ使用量経年!BE281),"")</f>
        <v/>
      </c>
      <c r="BF344" s="916" t="str">
        <f ca="1">IFERROR($J344*44/12*参考2_エネ使用量経年!$J194*(参考2_エネ使用量経年!BF194+参考2_エネ使用量経年!BF281),"")</f>
        <v/>
      </c>
      <c r="BG344" s="916" t="str">
        <f ca="1">IFERROR($K344*44/12*参考2_エネ使用量経年!$K194*(参考2_エネ使用量経年!BG194+参考2_エネ使用量経年!BG281),"")</f>
        <v/>
      </c>
      <c r="BH344" s="916" t="str">
        <f ca="1">IFERROR($H344*44/12*参考2_エネ使用量経年!$H194*(参考2_エネ使用量経年!BH194+参考2_エネ使用量経年!BH281),"")</f>
        <v/>
      </c>
      <c r="BI344" s="916" t="str">
        <f ca="1">IFERROR($I344*44/12*参考2_エネ使用量経年!$I194*(参考2_エネ使用量経年!BI194+参考2_エネ使用量経年!BI281),"")</f>
        <v/>
      </c>
      <c r="BJ344" s="916" t="str">
        <f ca="1">IFERROR($J344*44/12*参考2_エネ使用量経年!$J194*(参考2_エネ使用量経年!BJ194+参考2_エネ使用量経年!BJ281),"")</f>
        <v/>
      </c>
      <c r="BK344" s="916" t="str">
        <f ca="1">IFERROR($K344*44/12*参考2_エネ使用量経年!$K194*(参考2_エネ使用量経年!BK194+参考2_エネ使用量経年!BK281),"")</f>
        <v/>
      </c>
      <c r="BL344" s="916" t="str">
        <f ca="1">IFERROR($H344*44/12*参考2_エネ使用量経年!$H194*(参考2_エネ使用量経年!BL194+参考2_エネ使用量経年!BL281),"")</f>
        <v/>
      </c>
      <c r="BM344" s="916" t="str">
        <f ca="1">IFERROR($I344*44/12*参考2_エネ使用量経年!$I194*(参考2_エネ使用量経年!BM194+参考2_エネ使用量経年!BM281),"")</f>
        <v/>
      </c>
      <c r="BN344" s="916" t="str">
        <f ca="1">IFERROR($J344*44/12*参考2_エネ使用量経年!$J194*(参考2_エネ使用量経年!BN194+参考2_エネ使用量経年!BN281),"")</f>
        <v/>
      </c>
      <c r="BO344" s="916" t="str">
        <f ca="1">IFERROR($K344*44/12*参考2_エネ使用量経年!$K194*(参考2_エネ使用量経年!BO194+参考2_エネ使用量経年!BO281),"")</f>
        <v/>
      </c>
    </row>
    <row r="345" spans="1:67" ht="20.100000000000001" customHeight="1">
      <c r="A345" s="914">
        <v>32</v>
      </c>
      <c r="B345" s="1594"/>
      <c r="C345" s="1596"/>
      <c r="D345" s="785" t="s">
        <v>373</v>
      </c>
      <c r="E345" s="785"/>
      <c r="F345" s="786"/>
      <c r="G345" s="852" t="s">
        <v>1281</v>
      </c>
      <c r="H345" s="915">
        <f t="shared" ca="1" si="109"/>
        <v>2.64E-2</v>
      </c>
      <c r="I345" s="915">
        <f t="shared" ca="1" si="110"/>
        <v>2.64E-2</v>
      </c>
      <c r="J345" s="915">
        <f t="shared" ca="1" si="111"/>
        <v>2.64E-2</v>
      </c>
      <c r="K345" s="915">
        <f t="shared" ca="1" si="112"/>
        <v>2.64E-2</v>
      </c>
      <c r="L345" s="916">
        <f ca="1">IFERROR($H345*44/12*参考2_エネ使用量経年!$H195*(参考2_エネ使用量経年!L195+参考2_エネ使用量経年!L282),"")</f>
        <v>0</v>
      </c>
      <c r="M345" s="916">
        <f ca="1">IFERROR($I345*44/12*参考2_エネ使用量経年!$I195*(参考2_エネ使用量経年!M195+参考2_エネ使用量経年!M282),"")</f>
        <v>0</v>
      </c>
      <c r="N345" s="916">
        <f ca="1">IFERROR($J345*44/12*参考2_エネ使用量経年!$J195*(参考2_エネ使用量経年!N195+参考2_エネ使用量経年!N282),"")</f>
        <v>0</v>
      </c>
      <c r="O345" s="916">
        <f ca="1">IFERROR($K345*44/12*参考2_エネ使用量経年!$K195*(参考2_エネ使用量経年!O195+参考2_エネ使用量経年!O282),"")</f>
        <v>0</v>
      </c>
      <c r="P345" s="916">
        <f ca="1">IFERROR($H345*44/12*参考2_エネ使用量経年!$H195*(参考2_エネ使用量経年!P195+参考2_エネ使用量経年!P282),"")</f>
        <v>0</v>
      </c>
      <c r="Q345" s="916">
        <f ca="1">IFERROR($I345*44/12*参考2_エネ使用量経年!$I195*(参考2_エネ使用量経年!Q195+参考2_エネ使用量経年!Q282),"")</f>
        <v>0</v>
      </c>
      <c r="R345" s="916">
        <f ca="1">IFERROR($J345*44/12*参考2_エネ使用量経年!$J195*(参考2_エネ使用量経年!R195+参考2_エネ使用量経年!R282),"")</f>
        <v>0</v>
      </c>
      <c r="S345" s="916">
        <f ca="1">IFERROR($K345*44/12*参考2_エネ使用量経年!$K195*(参考2_エネ使用量経年!S195+参考2_エネ使用量経年!S282),"")</f>
        <v>0</v>
      </c>
      <c r="T345" s="916">
        <f ca="1">IFERROR($H345*44/12*参考2_エネ使用量経年!$H195*(参考2_エネ使用量経年!T195+参考2_エネ使用量経年!T282),"")</f>
        <v>0</v>
      </c>
      <c r="U345" s="916">
        <f ca="1">IFERROR($I345*44/12*参考2_エネ使用量経年!$I195*(参考2_エネ使用量経年!U195+参考2_エネ使用量経年!U282),"")</f>
        <v>0</v>
      </c>
      <c r="V345" s="916">
        <f ca="1">IFERROR($J345*44/12*参考2_エネ使用量経年!$J195*(参考2_エネ使用量経年!V195+参考2_エネ使用量経年!V282),"")</f>
        <v>0</v>
      </c>
      <c r="W345" s="916">
        <f ca="1">IFERROR($K345*44/12*参考2_エネ使用量経年!$K195*(参考2_エネ使用量経年!W195+参考2_エネ使用量経年!W282),"")</f>
        <v>0</v>
      </c>
      <c r="X345" s="916">
        <f ca="1">IFERROR($H345*44/12*参考2_エネ使用量経年!$H195*(参考2_エネ使用量経年!X195+参考2_エネ使用量経年!X282),"")</f>
        <v>0</v>
      </c>
      <c r="Y345" s="916">
        <f ca="1">IFERROR($I345*44/12*参考2_エネ使用量経年!$I195*(参考2_エネ使用量経年!Y195+参考2_エネ使用量経年!Y282),"")</f>
        <v>0</v>
      </c>
      <c r="Z345" s="916">
        <f ca="1">IFERROR($J345*44/12*参考2_エネ使用量経年!$J195*(参考2_エネ使用量経年!Z195+参考2_エネ使用量経年!Z282),"")</f>
        <v>0</v>
      </c>
      <c r="AA345" s="916">
        <f ca="1">IFERROR($K345*44/12*参考2_エネ使用量経年!$K195*(参考2_エネ使用量経年!AA195+参考2_エネ使用量経年!AA282),"")</f>
        <v>0</v>
      </c>
      <c r="AB345" s="916" t="str">
        <f ca="1">IFERROR($H345*44/12*参考2_エネ使用量経年!$H195*(参考2_エネ使用量経年!AB195+参考2_エネ使用量経年!AB282),"")</f>
        <v/>
      </c>
      <c r="AC345" s="916" t="str">
        <f ca="1">IFERROR($I345*44/12*参考2_エネ使用量経年!$I195*(参考2_エネ使用量経年!AC195+参考2_エネ使用量経年!AC282),"")</f>
        <v/>
      </c>
      <c r="AD345" s="916" t="str">
        <f ca="1">IFERROR($J345*44/12*参考2_エネ使用量経年!$J195*(参考2_エネ使用量経年!AD195+参考2_エネ使用量経年!AD282),"")</f>
        <v/>
      </c>
      <c r="AE345" s="916" t="str">
        <f ca="1">IFERROR($K345*44/12*参考2_エネ使用量経年!$K195*(参考2_エネ使用量経年!AE195+参考2_エネ使用量経年!AE282),"")</f>
        <v/>
      </c>
      <c r="AF345" s="916" t="str">
        <f ca="1">IFERROR($H345*44/12*参考2_エネ使用量経年!$H195*(参考2_エネ使用量経年!AF195+参考2_エネ使用量経年!AF282),"")</f>
        <v/>
      </c>
      <c r="AG345" s="916" t="str">
        <f ca="1">IFERROR($I345*44/12*参考2_エネ使用量経年!$I195*(参考2_エネ使用量経年!AG195+参考2_エネ使用量経年!AG282),"")</f>
        <v/>
      </c>
      <c r="AH345" s="916" t="str">
        <f ca="1">IFERROR($J345*44/12*参考2_エネ使用量経年!$J195*(参考2_エネ使用量経年!AH195+参考2_エネ使用量経年!AH282),"")</f>
        <v/>
      </c>
      <c r="AI345" s="916" t="str">
        <f ca="1">IFERROR($K345*44/12*参考2_エネ使用量経年!$K195*(参考2_エネ使用量経年!AI195+参考2_エネ使用量経年!AI282),"")</f>
        <v/>
      </c>
      <c r="AJ345" s="916" t="str">
        <f ca="1">IFERROR($H345*44/12*参考2_エネ使用量経年!$H195*(参考2_エネ使用量経年!AJ195+参考2_エネ使用量経年!AJ282),"")</f>
        <v/>
      </c>
      <c r="AK345" s="916" t="str">
        <f ca="1">IFERROR($I345*44/12*参考2_エネ使用量経年!$I195*(参考2_エネ使用量経年!AK195+参考2_エネ使用量経年!AK282),"")</f>
        <v/>
      </c>
      <c r="AL345" s="916" t="str">
        <f ca="1">IFERROR($J345*44/12*参考2_エネ使用量経年!$J195*(参考2_エネ使用量経年!AL195+参考2_エネ使用量経年!AL282),"")</f>
        <v/>
      </c>
      <c r="AM345" s="916" t="str">
        <f ca="1">IFERROR($K345*44/12*参考2_エネ使用量経年!$K195*(参考2_エネ使用量経年!AM195+参考2_エネ使用量経年!AM282),"")</f>
        <v/>
      </c>
      <c r="AN345" s="916" t="str">
        <f ca="1">IFERROR($H345*44/12*参考2_エネ使用量経年!$H195*(参考2_エネ使用量経年!AN195+参考2_エネ使用量経年!AN282),"")</f>
        <v/>
      </c>
      <c r="AO345" s="916" t="str">
        <f ca="1">IFERROR($I345*44/12*参考2_エネ使用量経年!$I195*(参考2_エネ使用量経年!AO195+参考2_エネ使用量経年!AO282),"")</f>
        <v/>
      </c>
      <c r="AP345" s="916" t="str">
        <f ca="1">IFERROR($J345*44/12*参考2_エネ使用量経年!$J195*(参考2_エネ使用量経年!AP195+参考2_エネ使用量経年!AP282),"")</f>
        <v/>
      </c>
      <c r="AQ345" s="916" t="str">
        <f ca="1">IFERROR($K345*44/12*参考2_エネ使用量経年!$K195*(参考2_エネ使用量経年!AQ195+参考2_エネ使用量経年!AQ282),"")</f>
        <v/>
      </c>
      <c r="AR345" s="916" t="str">
        <f ca="1">IFERROR($H345*44/12*参考2_エネ使用量経年!$H195*(参考2_エネ使用量経年!AR195+参考2_エネ使用量経年!AR282),"")</f>
        <v/>
      </c>
      <c r="AS345" s="916" t="str">
        <f ca="1">IFERROR($I345*44/12*参考2_エネ使用量経年!$I195*(参考2_エネ使用量経年!AS195+参考2_エネ使用量経年!AS282),"")</f>
        <v/>
      </c>
      <c r="AT345" s="916" t="str">
        <f ca="1">IFERROR($J345*44/12*参考2_エネ使用量経年!$J195*(参考2_エネ使用量経年!AT195+参考2_エネ使用量経年!AT282),"")</f>
        <v/>
      </c>
      <c r="AU345" s="916" t="str">
        <f ca="1">IFERROR($K345*44/12*参考2_エネ使用量経年!$K195*(参考2_エネ使用量経年!AU195+参考2_エネ使用量経年!AU282),"")</f>
        <v/>
      </c>
      <c r="AV345" s="916" t="str">
        <f ca="1">IFERROR($H345*44/12*参考2_エネ使用量経年!$H195*(参考2_エネ使用量経年!AV195+参考2_エネ使用量経年!AV282),"")</f>
        <v/>
      </c>
      <c r="AW345" s="916" t="str">
        <f ca="1">IFERROR($I345*44/12*参考2_エネ使用量経年!$I195*(参考2_エネ使用量経年!AW195+参考2_エネ使用量経年!AW282),"")</f>
        <v/>
      </c>
      <c r="AX345" s="916" t="str">
        <f ca="1">IFERROR($J345*44/12*参考2_エネ使用量経年!$J195*(参考2_エネ使用量経年!AX195+参考2_エネ使用量経年!AX282),"")</f>
        <v/>
      </c>
      <c r="AY345" s="916" t="str">
        <f ca="1">IFERROR($K345*44/12*参考2_エネ使用量経年!$K195*(参考2_エネ使用量経年!AY195+参考2_エネ使用量経年!AY282),"")</f>
        <v/>
      </c>
      <c r="AZ345" s="916" t="str">
        <f ca="1">IFERROR($H345*44/12*参考2_エネ使用量経年!$H195*(参考2_エネ使用量経年!AZ195+参考2_エネ使用量経年!AZ282),"")</f>
        <v/>
      </c>
      <c r="BA345" s="916" t="str">
        <f ca="1">IFERROR($I345*44/12*参考2_エネ使用量経年!$I195*(参考2_エネ使用量経年!BA195+参考2_エネ使用量経年!BA282),"")</f>
        <v/>
      </c>
      <c r="BB345" s="916" t="str">
        <f ca="1">IFERROR($J345*44/12*参考2_エネ使用量経年!$J195*(参考2_エネ使用量経年!BB195+参考2_エネ使用量経年!BB282),"")</f>
        <v/>
      </c>
      <c r="BC345" s="916" t="str">
        <f ca="1">IFERROR($K345*44/12*参考2_エネ使用量経年!$K195*(参考2_エネ使用量経年!BC195+参考2_エネ使用量経年!BC282),"")</f>
        <v/>
      </c>
      <c r="BD345" s="916" t="str">
        <f ca="1">IFERROR($H345*44/12*参考2_エネ使用量経年!$H195*(参考2_エネ使用量経年!BD195+参考2_エネ使用量経年!BD282),"")</f>
        <v/>
      </c>
      <c r="BE345" s="916" t="str">
        <f ca="1">IFERROR($I345*44/12*参考2_エネ使用量経年!$I195*(参考2_エネ使用量経年!BE195+参考2_エネ使用量経年!BE282),"")</f>
        <v/>
      </c>
      <c r="BF345" s="916" t="str">
        <f ca="1">IFERROR($J345*44/12*参考2_エネ使用量経年!$J195*(参考2_エネ使用量経年!BF195+参考2_エネ使用量経年!BF282),"")</f>
        <v/>
      </c>
      <c r="BG345" s="916" t="str">
        <f ca="1">IFERROR($K345*44/12*参考2_エネ使用量経年!$K195*(参考2_エネ使用量経年!BG195+参考2_エネ使用量経年!BG282),"")</f>
        <v/>
      </c>
      <c r="BH345" s="916" t="str">
        <f ca="1">IFERROR($H345*44/12*参考2_エネ使用量経年!$H195*(参考2_エネ使用量経年!BH195+参考2_エネ使用量経年!BH282),"")</f>
        <v/>
      </c>
      <c r="BI345" s="916" t="str">
        <f ca="1">IFERROR($I345*44/12*参考2_エネ使用量経年!$I195*(参考2_エネ使用量経年!BI195+参考2_エネ使用量経年!BI282),"")</f>
        <v/>
      </c>
      <c r="BJ345" s="916" t="str">
        <f ca="1">IFERROR($J345*44/12*参考2_エネ使用量経年!$J195*(参考2_エネ使用量経年!BJ195+参考2_エネ使用量経年!BJ282),"")</f>
        <v/>
      </c>
      <c r="BK345" s="916" t="str">
        <f ca="1">IFERROR($K345*44/12*参考2_エネ使用量経年!$K195*(参考2_エネ使用量経年!BK195+参考2_エネ使用量経年!BK282),"")</f>
        <v/>
      </c>
      <c r="BL345" s="916" t="str">
        <f ca="1">IFERROR($H345*44/12*参考2_エネ使用量経年!$H195*(参考2_エネ使用量経年!BL195+参考2_エネ使用量経年!BL282),"")</f>
        <v/>
      </c>
      <c r="BM345" s="916" t="str">
        <f ca="1">IFERROR($I345*44/12*参考2_エネ使用量経年!$I195*(参考2_エネ使用量経年!BM195+参考2_エネ使用量経年!BM282),"")</f>
        <v/>
      </c>
      <c r="BN345" s="916" t="str">
        <f ca="1">IFERROR($J345*44/12*参考2_エネ使用量経年!$J195*(参考2_エネ使用量経年!BN195+参考2_エネ使用量経年!BN282),"")</f>
        <v/>
      </c>
      <c r="BO345" s="916" t="str">
        <f ca="1">IFERROR($K345*44/12*参考2_エネ使用量経年!$K195*(参考2_エネ使用量経年!BO195+参考2_エネ使用量経年!BO282),"")</f>
        <v/>
      </c>
    </row>
    <row r="346" spans="1:67" ht="20.100000000000001" customHeight="1">
      <c r="A346" s="914">
        <v>33</v>
      </c>
      <c r="B346" s="1594"/>
      <c r="C346" s="1596"/>
      <c r="D346" s="785" t="s">
        <v>374</v>
      </c>
      <c r="E346" s="785"/>
      <c r="F346" s="786"/>
      <c r="G346" s="852" t="s">
        <v>1281</v>
      </c>
      <c r="H346" s="915">
        <f t="shared" ca="1" si="109"/>
        <v>2.64E-2</v>
      </c>
      <c r="I346" s="915">
        <f t="shared" ca="1" si="110"/>
        <v>2.64E-2</v>
      </c>
      <c r="J346" s="915">
        <f t="shared" ca="1" si="111"/>
        <v>2.64E-2</v>
      </c>
      <c r="K346" s="915">
        <f t="shared" ca="1" si="112"/>
        <v>2.64E-2</v>
      </c>
      <c r="L346" s="916">
        <f ca="1">IFERROR($H346*44/12*参考2_エネ使用量経年!$H196*(参考2_エネ使用量経年!L196+参考2_エネ使用量経年!L283),"")</f>
        <v>0</v>
      </c>
      <c r="M346" s="916">
        <f ca="1">IFERROR($I346*44/12*参考2_エネ使用量経年!$I196*(参考2_エネ使用量経年!M196+参考2_エネ使用量経年!M283),"")</f>
        <v>0</v>
      </c>
      <c r="N346" s="916">
        <f ca="1">IFERROR($J346*44/12*参考2_エネ使用量経年!$J196*(参考2_エネ使用量経年!N196+参考2_エネ使用量経年!N283),"")</f>
        <v>0</v>
      </c>
      <c r="O346" s="916">
        <f ca="1">IFERROR($K346*44/12*参考2_エネ使用量経年!$K196*(参考2_エネ使用量経年!O196+参考2_エネ使用量経年!O283),"")</f>
        <v>0</v>
      </c>
      <c r="P346" s="916">
        <f ca="1">IFERROR($H346*44/12*参考2_エネ使用量経年!$H196*(参考2_エネ使用量経年!P196+参考2_エネ使用量経年!P283),"")</f>
        <v>0</v>
      </c>
      <c r="Q346" s="916">
        <f ca="1">IFERROR($I346*44/12*参考2_エネ使用量経年!$I196*(参考2_エネ使用量経年!Q196+参考2_エネ使用量経年!Q283),"")</f>
        <v>0</v>
      </c>
      <c r="R346" s="916">
        <f ca="1">IFERROR($J346*44/12*参考2_エネ使用量経年!$J196*(参考2_エネ使用量経年!R196+参考2_エネ使用量経年!R283),"")</f>
        <v>0</v>
      </c>
      <c r="S346" s="916">
        <f ca="1">IFERROR($K346*44/12*参考2_エネ使用量経年!$K196*(参考2_エネ使用量経年!S196+参考2_エネ使用量経年!S283),"")</f>
        <v>0</v>
      </c>
      <c r="T346" s="916">
        <f ca="1">IFERROR($H346*44/12*参考2_エネ使用量経年!$H196*(参考2_エネ使用量経年!T196+参考2_エネ使用量経年!T283),"")</f>
        <v>0</v>
      </c>
      <c r="U346" s="916">
        <f ca="1">IFERROR($I346*44/12*参考2_エネ使用量経年!$I196*(参考2_エネ使用量経年!U196+参考2_エネ使用量経年!U283),"")</f>
        <v>0</v>
      </c>
      <c r="V346" s="916">
        <f ca="1">IFERROR($J346*44/12*参考2_エネ使用量経年!$J196*(参考2_エネ使用量経年!V196+参考2_エネ使用量経年!V283),"")</f>
        <v>0</v>
      </c>
      <c r="W346" s="916">
        <f ca="1">IFERROR($K346*44/12*参考2_エネ使用量経年!$K196*(参考2_エネ使用量経年!W196+参考2_エネ使用量経年!W283),"")</f>
        <v>0</v>
      </c>
      <c r="X346" s="916">
        <f ca="1">IFERROR($H346*44/12*参考2_エネ使用量経年!$H196*(参考2_エネ使用量経年!X196+参考2_エネ使用量経年!X283),"")</f>
        <v>0</v>
      </c>
      <c r="Y346" s="916">
        <f ca="1">IFERROR($I346*44/12*参考2_エネ使用量経年!$I196*(参考2_エネ使用量経年!Y196+参考2_エネ使用量経年!Y283),"")</f>
        <v>0</v>
      </c>
      <c r="Z346" s="916">
        <f ca="1">IFERROR($J346*44/12*参考2_エネ使用量経年!$J196*(参考2_エネ使用量経年!Z196+参考2_エネ使用量経年!Z283),"")</f>
        <v>0</v>
      </c>
      <c r="AA346" s="916">
        <f ca="1">IFERROR($K346*44/12*参考2_エネ使用量経年!$K196*(参考2_エネ使用量経年!AA196+参考2_エネ使用量経年!AA283),"")</f>
        <v>0</v>
      </c>
      <c r="AB346" s="916" t="str">
        <f ca="1">IFERROR($H346*44/12*参考2_エネ使用量経年!$H196*(参考2_エネ使用量経年!AB196+参考2_エネ使用量経年!AB283),"")</f>
        <v/>
      </c>
      <c r="AC346" s="916" t="str">
        <f ca="1">IFERROR($I346*44/12*参考2_エネ使用量経年!$I196*(参考2_エネ使用量経年!AC196+参考2_エネ使用量経年!AC283),"")</f>
        <v/>
      </c>
      <c r="AD346" s="916" t="str">
        <f ca="1">IFERROR($J346*44/12*参考2_エネ使用量経年!$J196*(参考2_エネ使用量経年!AD196+参考2_エネ使用量経年!AD283),"")</f>
        <v/>
      </c>
      <c r="AE346" s="916" t="str">
        <f ca="1">IFERROR($K346*44/12*参考2_エネ使用量経年!$K196*(参考2_エネ使用量経年!AE196+参考2_エネ使用量経年!AE283),"")</f>
        <v/>
      </c>
      <c r="AF346" s="916" t="str">
        <f ca="1">IFERROR($H346*44/12*参考2_エネ使用量経年!$H196*(参考2_エネ使用量経年!AF196+参考2_エネ使用量経年!AF283),"")</f>
        <v/>
      </c>
      <c r="AG346" s="916" t="str">
        <f ca="1">IFERROR($I346*44/12*参考2_エネ使用量経年!$I196*(参考2_エネ使用量経年!AG196+参考2_エネ使用量経年!AG283),"")</f>
        <v/>
      </c>
      <c r="AH346" s="916" t="str">
        <f ca="1">IFERROR($J346*44/12*参考2_エネ使用量経年!$J196*(参考2_エネ使用量経年!AH196+参考2_エネ使用量経年!AH283),"")</f>
        <v/>
      </c>
      <c r="AI346" s="916" t="str">
        <f ca="1">IFERROR($K346*44/12*参考2_エネ使用量経年!$K196*(参考2_エネ使用量経年!AI196+参考2_エネ使用量経年!AI283),"")</f>
        <v/>
      </c>
      <c r="AJ346" s="916" t="str">
        <f ca="1">IFERROR($H346*44/12*参考2_エネ使用量経年!$H196*(参考2_エネ使用量経年!AJ196+参考2_エネ使用量経年!AJ283),"")</f>
        <v/>
      </c>
      <c r="AK346" s="916" t="str">
        <f ca="1">IFERROR($I346*44/12*参考2_エネ使用量経年!$I196*(参考2_エネ使用量経年!AK196+参考2_エネ使用量経年!AK283),"")</f>
        <v/>
      </c>
      <c r="AL346" s="916" t="str">
        <f ca="1">IFERROR($J346*44/12*参考2_エネ使用量経年!$J196*(参考2_エネ使用量経年!AL196+参考2_エネ使用量経年!AL283),"")</f>
        <v/>
      </c>
      <c r="AM346" s="916" t="str">
        <f ca="1">IFERROR($K346*44/12*参考2_エネ使用量経年!$K196*(参考2_エネ使用量経年!AM196+参考2_エネ使用量経年!AM283),"")</f>
        <v/>
      </c>
      <c r="AN346" s="916" t="str">
        <f ca="1">IFERROR($H346*44/12*参考2_エネ使用量経年!$H196*(参考2_エネ使用量経年!AN196+参考2_エネ使用量経年!AN283),"")</f>
        <v/>
      </c>
      <c r="AO346" s="916" t="str">
        <f ca="1">IFERROR($I346*44/12*参考2_エネ使用量経年!$I196*(参考2_エネ使用量経年!AO196+参考2_エネ使用量経年!AO283),"")</f>
        <v/>
      </c>
      <c r="AP346" s="916" t="str">
        <f ca="1">IFERROR($J346*44/12*参考2_エネ使用量経年!$J196*(参考2_エネ使用量経年!AP196+参考2_エネ使用量経年!AP283),"")</f>
        <v/>
      </c>
      <c r="AQ346" s="916" t="str">
        <f ca="1">IFERROR($K346*44/12*参考2_エネ使用量経年!$K196*(参考2_エネ使用量経年!AQ196+参考2_エネ使用量経年!AQ283),"")</f>
        <v/>
      </c>
      <c r="AR346" s="916" t="str">
        <f ca="1">IFERROR($H346*44/12*参考2_エネ使用量経年!$H196*(参考2_エネ使用量経年!AR196+参考2_エネ使用量経年!AR283),"")</f>
        <v/>
      </c>
      <c r="AS346" s="916" t="str">
        <f ca="1">IFERROR($I346*44/12*参考2_エネ使用量経年!$I196*(参考2_エネ使用量経年!AS196+参考2_エネ使用量経年!AS283),"")</f>
        <v/>
      </c>
      <c r="AT346" s="916" t="str">
        <f ca="1">IFERROR($J346*44/12*参考2_エネ使用量経年!$J196*(参考2_エネ使用量経年!AT196+参考2_エネ使用量経年!AT283),"")</f>
        <v/>
      </c>
      <c r="AU346" s="916" t="str">
        <f ca="1">IFERROR($K346*44/12*参考2_エネ使用量経年!$K196*(参考2_エネ使用量経年!AU196+参考2_エネ使用量経年!AU283),"")</f>
        <v/>
      </c>
      <c r="AV346" s="916" t="str">
        <f ca="1">IFERROR($H346*44/12*参考2_エネ使用量経年!$H196*(参考2_エネ使用量経年!AV196+参考2_エネ使用量経年!AV283),"")</f>
        <v/>
      </c>
      <c r="AW346" s="916" t="str">
        <f ca="1">IFERROR($I346*44/12*参考2_エネ使用量経年!$I196*(参考2_エネ使用量経年!AW196+参考2_エネ使用量経年!AW283),"")</f>
        <v/>
      </c>
      <c r="AX346" s="916" t="str">
        <f ca="1">IFERROR($J346*44/12*参考2_エネ使用量経年!$J196*(参考2_エネ使用量経年!AX196+参考2_エネ使用量経年!AX283),"")</f>
        <v/>
      </c>
      <c r="AY346" s="916" t="str">
        <f ca="1">IFERROR($K346*44/12*参考2_エネ使用量経年!$K196*(参考2_エネ使用量経年!AY196+参考2_エネ使用量経年!AY283),"")</f>
        <v/>
      </c>
      <c r="AZ346" s="916" t="str">
        <f ca="1">IFERROR($H346*44/12*参考2_エネ使用量経年!$H196*(参考2_エネ使用量経年!AZ196+参考2_エネ使用量経年!AZ283),"")</f>
        <v/>
      </c>
      <c r="BA346" s="916" t="str">
        <f ca="1">IFERROR($I346*44/12*参考2_エネ使用量経年!$I196*(参考2_エネ使用量経年!BA196+参考2_エネ使用量経年!BA283),"")</f>
        <v/>
      </c>
      <c r="BB346" s="916" t="str">
        <f ca="1">IFERROR($J346*44/12*参考2_エネ使用量経年!$J196*(参考2_エネ使用量経年!BB196+参考2_エネ使用量経年!BB283),"")</f>
        <v/>
      </c>
      <c r="BC346" s="916" t="str">
        <f ca="1">IFERROR($K346*44/12*参考2_エネ使用量経年!$K196*(参考2_エネ使用量経年!BC196+参考2_エネ使用量経年!BC283),"")</f>
        <v/>
      </c>
      <c r="BD346" s="916" t="str">
        <f ca="1">IFERROR($H346*44/12*参考2_エネ使用量経年!$H196*(参考2_エネ使用量経年!BD196+参考2_エネ使用量経年!BD283),"")</f>
        <v/>
      </c>
      <c r="BE346" s="916" t="str">
        <f ca="1">IFERROR($I346*44/12*参考2_エネ使用量経年!$I196*(参考2_エネ使用量経年!BE196+参考2_エネ使用量経年!BE283),"")</f>
        <v/>
      </c>
      <c r="BF346" s="916" t="str">
        <f ca="1">IFERROR($J346*44/12*参考2_エネ使用量経年!$J196*(参考2_エネ使用量経年!BF196+参考2_エネ使用量経年!BF283),"")</f>
        <v/>
      </c>
      <c r="BG346" s="916" t="str">
        <f ca="1">IFERROR($K346*44/12*参考2_エネ使用量経年!$K196*(参考2_エネ使用量経年!BG196+参考2_エネ使用量経年!BG283),"")</f>
        <v/>
      </c>
      <c r="BH346" s="916" t="str">
        <f ca="1">IFERROR($H346*44/12*参考2_エネ使用量経年!$H196*(参考2_エネ使用量経年!BH196+参考2_エネ使用量経年!BH283),"")</f>
        <v/>
      </c>
      <c r="BI346" s="916" t="str">
        <f ca="1">IFERROR($I346*44/12*参考2_エネ使用量経年!$I196*(参考2_エネ使用量経年!BI196+参考2_エネ使用量経年!BI283),"")</f>
        <v/>
      </c>
      <c r="BJ346" s="916" t="str">
        <f ca="1">IFERROR($J346*44/12*参考2_エネ使用量経年!$J196*(参考2_エネ使用量経年!BJ196+参考2_エネ使用量経年!BJ283),"")</f>
        <v/>
      </c>
      <c r="BK346" s="916" t="str">
        <f ca="1">IFERROR($K346*44/12*参考2_エネ使用量経年!$K196*(参考2_エネ使用量経年!BK196+参考2_エネ使用量経年!BK283),"")</f>
        <v/>
      </c>
      <c r="BL346" s="916" t="str">
        <f ca="1">IFERROR($H346*44/12*参考2_エネ使用量経年!$H196*(参考2_エネ使用量経年!BL196+参考2_エネ使用量経年!BL283),"")</f>
        <v/>
      </c>
      <c r="BM346" s="916" t="str">
        <f ca="1">IFERROR($I346*44/12*参考2_エネ使用量経年!$I196*(参考2_エネ使用量経年!BM196+参考2_エネ使用量経年!BM283),"")</f>
        <v/>
      </c>
      <c r="BN346" s="916" t="str">
        <f ca="1">IFERROR($J346*44/12*参考2_エネ使用量経年!$J196*(参考2_エネ使用量経年!BN196+参考2_エネ使用量経年!BN283),"")</f>
        <v/>
      </c>
      <c r="BO346" s="916" t="str">
        <f ca="1">IFERROR($K346*44/12*参考2_エネ使用量経年!$K196*(参考2_エネ使用量経年!BO196+参考2_エネ使用量経年!BO283),"")</f>
        <v/>
      </c>
    </row>
    <row r="347" spans="1:67" ht="20.100000000000001" customHeight="1">
      <c r="A347" s="914">
        <v>34</v>
      </c>
      <c r="B347" s="1594"/>
      <c r="C347" s="1596"/>
      <c r="D347" s="785" t="s">
        <v>375</v>
      </c>
      <c r="E347" s="785"/>
      <c r="F347" s="786"/>
      <c r="G347" s="852" t="s">
        <v>1281</v>
      </c>
      <c r="H347" s="915">
        <f t="shared" ca="1" si="109"/>
        <v>4.2000000000000003E-2</v>
      </c>
      <c r="I347" s="915">
        <f t="shared" ca="1" si="110"/>
        <v>4.2000000000000003E-2</v>
      </c>
      <c r="J347" s="915">
        <f t="shared" ca="1" si="111"/>
        <v>4.2000000000000003E-2</v>
      </c>
      <c r="K347" s="915">
        <f t="shared" ca="1" si="112"/>
        <v>4.2000000000000003E-2</v>
      </c>
      <c r="L347" s="916">
        <f ca="1">IFERROR($H347*44/12*参考2_エネ使用量経年!$H197*(参考2_エネ使用量経年!L197+参考2_エネ使用量経年!L284),"")</f>
        <v>0</v>
      </c>
      <c r="M347" s="916">
        <f ca="1">IFERROR($I347*44/12*参考2_エネ使用量経年!$I197*(参考2_エネ使用量経年!M197+参考2_エネ使用量経年!M284),"")</f>
        <v>0</v>
      </c>
      <c r="N347" s="916">
        <f ca="1">IFERROR($J347*44/12*参考2_エネ使用量経年!$J197*(参考2_エネ使用量経年!N197+参考2_エネ使用量経年!N284),"")</f>
        <v>0</v>
      </c>
      <c r="O347" s="916">
        <f ca="1">IFERROR($K347*44/12*参考2_エネ使用量経年!$K197*(参考2_エネ使用量経年!O197+参考2_エネ使用量経年!O284),"")</f>
        <v>0</v>
      </c>
      <c r="P347" s="916">
        <f ca="1">IFERROR($H347*44/12*参考2_エネ使用量経年!$H197*(参考2_エネ使用量経年!P197+参考2_エネ使用量経年!P284),"")</f>
        <v>0</v>
      </c>
      <c r="Q347" s="916">
        <f ca="1">IFERROR($I347*44/12*参考2_エネ使用量経年!$I197*(参考2_エネ使用量経年!Q197+参考2_エネ使用量経年!Q284),"")</f>
        <v>0</v>
      </c>
      <c r="R347" s="916">
        <f ca="1">IFERROR($J347*44/12*参考2_エネ使用量経年!$J197*(参考2_エネ使用量経年!R197+参考2_エネ使用量経年!R284),"")</f>
        <v>0</v>
      </c>
      <c r="S347" s="916">
        <f ca="1">IFERROR($K347*44/12*参考2_エネ使用量経年!$K197*(参考2_エネ使用量経年!S197+参考2_エネ使用量経年!S284),"")</f>
        <v>0</v>
      </c>
      <c r="T347" s="916">
        <f ca="1">IFERROR($H347*44/12*参考2_エネ使用量経年!$H197*(参考2_エネ使用量経年!T197+参考2_エネ使用量経年!T284),"")</f>
        <v>0</v>
      </c>
      <c r="U347" s="916">
        <f ca="1">IFERROR($I347*44/12*参考2_エネ使用量経年!$I197*(参考2_エネ使用量経年!U197+参考2_エネ使用量経年!U284),"")</f>
        <v>0</v>
      </c>
      <c r="V347" s="916">
        <f ca="1">IFERROR($J347*44/12*参考2_エネ使用量経年!$J197*(参考2_エネ使用量経年!V197+参考2_エネ使用量経年!V284),"")</f>
        <v>0</v>
      </c>
      <c r="W347" s="916">
        <f ca="1">IFERROR($K347*44/12*参考2_エネ使用量経年!$K197*(参考2_エネ使用量経年!W197+参考2_エネ使用量経年!W284),"")</f>
        <v>0</v>
      </c>
      <c r="X347" s="916">
        <f ca="1">IFERROR($H347*44/12*参考2_エネ使用量経年!$H197*(参考2_エネ使用量経年!X197+参考2_エネ使用量経年!X284),"")</f>
        <v>0</v>
      </c>
      <c r="Y347" s="916">
        <f ca="1">IFERROR($I347*44/12*参考2_エネ使用量経年!$I197*(参考2_エネ使用量経年!Y197+参考2_エネ使用量経年!Y284),"")</f>
        <v>0</v>
      </c>
      <c r="Z347" s="916">
        <f ca="1">IFERROR($J347*44/12*参考2_エネ使用量経年!$J197*(参考2_エネ使用量経年!Z197+参考2_エネ使用量経年!Z284),"")</f>
        <v>0</v>
      </c>
      <c r="AA347" s="916">
        <f ca="1">IFERROR($K347*44/12*参考2_エネ使用量経年!$K197*(参考2_エネ使用量経年!AA197+参考2_エネ使用量経年!AA284),"")</f>
        <v>0</v>
      </c>
      <c r="AB347" s="916" t="str">
        <f ca="1">IFERROR($H347*44/12*参考2_エネ使用量経年!$H197*(参考2_エネ使用量経年!AB197+参考2_エネ使用量経年!AB284),"")</f>
        <v/>
      </c>
      <c r="AC347" s="916" t="str">
        <f ca="1">IFERROR($I347*44/12*参考2_エネ使用量経年!$I197*(参考2_エネ使用量経年!AC197+参考2_エネ使用量経年!AC284),"")</f>
        <v/>
      </c>
      <c r="AD347" s="916" t="str">
        <f ca="1">IFERROR($J347*44/12*参考2_エネ使用量経年!$J197*(参考2_エネ使用量経年!AD197+参考2_エネ使用量経年!AD284),"")</f>
        <v/>
      </c>
      <c r="AE347" s="916" t="str">
        <f ca="1">IFERROR($K347*44/12*参考2_エネ使用量経年!$K197*(参考2_エネ使用量経年!AE197+参考2_エネ使用量経年!AE284),"")</f>
        <v/>
      </c>
      <c r="AF347" s="916" t="str">
        <f ca="1">IFERROR($H347*44/12*参考2_エネ使用量経年!$H197*(参考2_エネ使用量経年!AF197+参考2_エネ使用量経年!AF284),"")</f>
        <v/>
      </c>
      <c r="AG347" s="916" t="str">
        <f ca="1">IFERROR($I347*44/12*参考2_エネ使用量経年!$I197*(参考2_エネ使用量経年!AG197+参考2_エネ使用量経年!AG284),"")</f>
        <v/>
      </c>
      <c r="AH347" s="916" t="str">
        <f ca="1">IFERROR($J347*44/12*参考2_エネ使用量経年!$J197*(参考2_エネ使用量経年!AH197+参考2_エネ使用量経年!AH284),"")</f>
        <v/>
      </c>
      <c r="AI347" s="916" t="str">
        <f ca="1">IFERROR($K347*44/12*参考2_エネ使用量経年!$K197*(参考2_エネ使用量経年!AI197+参考2_エネ使用量経年!AI284),"")</f>
        <v/>
      </c>
      <c r="AJ347" s="916" t="str">
        <f ca="1">IFERROR($H347*44/12*参考2_エネ使用量経年!$H197*(参考2_エネ使用量経年!AJ197+参考2_エネ使用量経年!AJ284),"")</f>
        <v/>
      </c>
      <c r="AK347" s="916" t="str">
        <f ca="1">IFERROR($I347*44/12*参考2_エネ使用量経年!$I197*(参考2_エネ使用量経年!AK197+参考2_エネ使用量経年!AK284),"")</f>
        <v/>
      </c>
      <c r="AL347" s="916" t="str">
        <f ca="1">IFERROR($J347*44/12*参考2_エネ使用量経年!$J197*(参考2_エネ使用量経年!AL197+参考2_エネ使用量経年!AL284),"")</f>
        <v/>
      </c>
      <c r="AM347" s="916" t="str">
        <f ca="1">IFERROR($K347*44/12*参考2_エネ使用量経年!$K197*(参考2_エネ使用量経年!AM197+参考2_エネ使用量経年!AM284),"")</f>
        <v/>
      </c>
      <c r="AN347" s="916" t="str">
        <f ca="1">IFERROR($H347*44/12*参考2_エネ使用量経年!$H197*(参考2_エネ使用量経年!AN197+参考2_エネ使用量経年!AN284),"")</f>
        <v/>
      </c>
      <c r="AO347" s="916" t="str">
        <f ca="1">IFERROR($I347*44/12*参考2_エネ使用量経年!$I197*(参考2_エネ使用量経年!AO197+参考2_エネ使用量経年!AO284),"")</f>
        <v/>
      </c>
      <c r="AP347" s="916" t="str">
        <f ca="1">IFERROR($J347*44/12*参考2_エネ使用量経年!$J197*(参考2_エネ使用量経年!AP197+参考2_エネ使用量経年!AP284),"")</f>
        <v/>
      </c>
      <c r="AQ347" s="916" t="str">
        <f ca="1">IFERROR($K347*44/12*参考2_エネ使用量経年!$K197*(参考2_エネ使用量経年!AQ197+参考2_エネ使用量経年!AQ284),"")</f>
        <v/>
      </c>
      <c r="AR347" s="916" t="str">
        <f ca="1">IFERROR($H347*44/12*参考2_エネ使用量経年!$H197*(参考2_エネ使用量経年!AR197+参考2_エネ使用量経年!AR284),"")</f>
        <v/>
      </c>
      <c r="AS347" s="916" t="str">
        <f ca="1">IFERROR($I347*44/12*参考2_エネ使用量経年!$I197*(参考2_エネ使用量経年!AS197+参考2_エネ使用量経年!AS284),"")</f>
        <v/>
      </c>
      <c r="AT347" s="916" t="str">
        <f ca="1">IFERROR($J347*44/12*参考2_エネ使用量経年!$J197*(参考2_エネ使用量経年!AT197+参考2_エネ使用量経年!AT284),"")</f>
        <v/>
      </c>
      <c r="AU347" s="916" t="str">
        <f ca="1">IFERROR($K347*44/12*参考2_エネ使用量経年!$K197*(参考2_エネ使用量経年!AU197+参考2_エネ使用量経年!AU284),"")</f>
        <v/>
      </c>
      <c r="AV347" s="916" t="str">
        <f ca="1">IFERROR($H347*44/12*参考2_エネ使用量経年!$H197*(参考2_エネ使用量経年!AV197+参考2_エネ使用量経年!AV284),"")</f>
        <v/>
      </c>
      <c r="AW347" s="916" t="str">
        <f ca="1">IFERROR($I347*44/12*参考2_エネ使用量経年!$I197*(参考2_エネ使用量経年!AW197+参考2_エネ使用量経年!AW284),"")</f>
        <v/>
      </c>
      <c r="AX347" s="916" t="str">
        <f ca="1">IFERROR($J347*44/12*参考2_エネ使用量経年!$J197*(参考2_エネ使用量経年!AX197+参考2_エネ使用量経年!AX284),"")</f>
        <v/>
      </c>
      <c r="AY347" s="916" t="str">
        <f ca="1">IFERROR($K347*44/12*参考2_エネ使用量経年!$K197*(参考2_エネ使用量経年!AY197+参考2_エネ使用量経年!AY284),"")</f>
        <v/>
      </c>
      <c r="AZ347" s="916" t="str">
        <f ca="1">IFERROR($H347*44/12*参考2_エネ使用量経年!$H197*(参考2_エネ使用量経年!AZ197+参考2_エネ使用量経年!AZ284),"")</f>
        <v/>
      </c>
      <c r="BA347" s="916" t="str">
        <f ca="1">IFERROR($I347*44/12*参考2_エネ使用量経年!$I197*(参考2_エネ使用量経年!BA197+参考2_エネ使用量経年!BA284),"")</f>
        <v/>
      </c>
      <c r="BB347" s="916" t="str">
        <f ca="1">IFERROR($J347*44/12*参考2_エネ使用量経年!$J197*(参考2_エネ使用量経年!BB197+参考2_エネ使用量経年!BB284),"")</f>
        <v/>
      </c>
      <c r="BC347" s="916" t="str">
        <f ca="1">IFERROR($K347*44/12*参考2_エネ使用量経年!$K197*(参考2_エネ使用量経年!BC197+参考2_エネ使用量経年!BC284),"")</f>
        <v/>
      </c>
      <c r="BD347" s="916" t="str">
        <f ca="1">IFERROR($H347*44/12*参考2_エネ使用量経年!$H197*(参考2_エネ使用量経年!BD197+参考2_エネ使用量経年!BD284),"")</f>
        <v/>
      </c>
      <c r="BE347" s="916" t="str">
        <f ca="1">IFERROR($I347*44/12*参考2_エネ使用量経年!$I197*(参考2_エネ使用量経年!BE197+参考2_エネ使用量経年!BE284),"")</f>
        <v/>
      </c>
      <c r="BF347" s="916" t="str">
        <f ca="1">IFERROR($J347*44/12*参考2_エネ使用量経年!$J197*(参考2_エネ使用量経年!BF197+参考2_エネ使用量経年!BF284),"")</f>
        <v/>
      </c>
      <c r="BG347" s="916" t="str">
        <f ca="1">IFERROR($K347*44/12*参考2_エネ使用量経年!$K197*(参考2_エネ使用量経年!BG197+参考2_エネ使用量経年!BG284),"")</f>
        <v/>
      </c>
      <c r="BH347" s="916" t="str">
        <f ca="1">IFERROR($H347*44/12*参考2_エネ使用量経年!$H197*(参考2_エネ使用量経年!BH197+参考2_エネ使用量経年!BH284),"")</f>
        <v/>
      </c>
      <c r="BI347" s="916" t="str">
        <f ca="1">IFERROR($I347*44/12*参考2_エネ使用量経年!$I197*(参考2_エネ使用量経年!BI197+参考2_エネ使用量経年!BI284),"")</f>
        <v/>
      </c>
      <c r="BJ347" s="916" t="str">
        <f ca="1">IFERROR($J347*44/12*参考2_エネ使用量経年!$J197*(参考2_エネ使用量経年!BJ197+参考2_エネ使用量経年!BJ284),"")</f>
        <v/>
      </c>
      <c r="BK347" s="916" t="str">
        <f ca="1">IFERROR($K347*44/12*参考2_エネ使用量経年!$K197*(参考2_エネ使用量経年!BK197+参考2_エネ使用量経年!BK284),"")</f>
        <v/>
      </c>
      <c r="BL347" s="916" t="str">
        <f ca="1">IFERROR($H347*44/12*参考2_エネ使用量経年!$H197*(参考2_エネ使用量経年!BL197+参考2_エネ使用量経年!BL284),"")</f>
        <v/>
      </c>
      <c r="BM347" s="916" t="str">
        <f ca="1">IFERROR($I347*44/12*参考2_エネ使用量経年!$I197*(参考2_エネ使用量経年!BM197+参考2_エネ使用量経年!BM284),"")</f>
        <v/>
      </c>
      <c r="BN347" s="916" t="str">
        <f ca="1">IFERROR($J347*44/12*参考2_エネ使用量経年!$J197*(参考2_エネ使用量経年!BN197+参考2_エネ使用量経年!BN284),"")</f>
        <v/>
      </c>
      <c r="BO347" s="916" t="str">
        <f ca="1">IFERROR($K347*44/12*参考2_エネ使用量経年!$K197*(参考2_エネ使用量経年!BO197+参考2_エネ使用量経年!BO284),"")</f>
        <v/>
      </c>
    </row>
    <row r="348" spans="1:67" ht="20.100000000000001" customHeight="1">
      <c r="A348" s="914">
        <v>7</v>
      </c>
      <c r="B348" s="1595"/>
      <c r="C348" s="1596"/>
      <c r="D348" s="785" t="s">
        <v>782</v>
      </c>
      <c r="E348" s="790"/>
      <c r="F348" s="786"/>
      <c r="G348" s="852" t="s">
        <v>1281</v>
      </c>
      <c r="H348" s="996"/>
      <c r="I348" s="996"/>
      <c r="J348" s="996"/>
      <c r="K348" s="996"/>
      <c r="L348" s="916">
        <f ca="1">SUM(SUMIFS(OFFSET(A1_集計2024,$A348,10,1,200),OFFSET(貼付け_2024実績,4,9,1,200),{"横浜*","川崎*","県域*","エネルギー管理指定工場等*"}))+SUM(SUMIFS(OFFSET(A1_集計2024,$A348,11,1,200),OFFSET(貼付け_2024実績,4,9,1,200),{"横浜*","川崎*","県域*","エネルギー管理指定工場等*"}))</f>
        <v>0</v>
      </c>
      <c r="M348" s="916">
        <f ca="1">SUM(SUMIFS(OFFSET(A1_集計2025,$A348,10,1,200),OFFSET(貼付け_2025実績,4,9,1,200),{"横浜*","川崎*","県域*","エネルギー管理指定工場等*"}))+SUM(SUMIFS(OFFSET(A1_集計2025,$A348,11,1,200),OFFSET(貼付け_2025実績,4,9,1,200),{"横浜*","川崎*","県域*","エネルギー管理指定工場等*"}))</f>
        <v>0</v>
      </c>
      <c r="N348" s="916">
        <f ca="1">SUM(SUMIFS(OFFSET(A1_集計2026,$A348,10,1,200),OFFSET(貼付け_2026実績,4,9,1,200),{"横浜*","川崎*","県域*","エネルギー管理指定工場等*"}))+SUM(SUMIFS(OFFSET(A1_集計2026,$A348,11,1,200),OFFSET(貼付け_2026実績,4,9,1,200),{"横浜*","川崎*","県域*","エネルギー管理指定工場等*"}))</f>
        <v>0</v>
      </c>
      <c r="O348" s="916">
        <f ca="1">SUM(SUMIFS(OFFSET(A1_集計2027,$A348,10,1,200),OFFSET(貼付け_2027実績,4,9,1,200),{"横浜*","川崎*","県域*","エネルギー管理指定工場等*"}))+SUM(SUMIFS(OFFSET(A1_集計2027,$A348,11,1,200),OFFSET(貼付け_2027実績,4,9,1,200),{"横浜*","川崎*","県域*","エネルギー管理指定工場等*"}))</f>
        <v>0</v>
      </c>
      <c r="P348" s="916">
        <f ca="1">SUM(SUMIFS(OFFSET(A1_集計2024,$A348,10,1,200),OFFSET(貼付け_2024実績,4,9,1,200),{"横浜*","川崎*"}))+SUM(SUMIFS(OFFSET(A1_集計2024,$A348,11,1,200),OFFSET(貼付け_2024実績,4,9,1,200),{"横浜*","川崎*"}))</f>
        <v>0</v>
      </c>
      <c r="Q348" s="916">
        <f ca="1">SUM(SUMIFS(OFFSET(A1_集計2025,$A348,10,1,200),OFFSET(貼付け_2025実績,4,9,1,200),{"横浜*","川崎*"}))+SUM(SUMIFS(OFFSET(A1_集計2025,$A348,11,1,200),OFFSET(貼付け_2025実績,4,9,1,200),{"横浜*","川崎*"}))</f>
        <v>0</v>
      </c>
      <c r="R348" s="916">
        <f ca="1">SUM(SUMIFS(OFFSET(A1_集計2026,$A348,10,1,200),OFFSET(貼付け_2026実績,4,9,1,200),{"横浜*","川崎*"}))+SUM(SUMIFS(OFFSET(A1_集計2026,$A348,11,1,200),OFFSET(貼付け_2026実績,4,9,1,200),{"横浜*","川崎*"}))</f>
        <v>0</v>
      </c>
      <c r="S348" s="916">
        <f ca="1">SUM(SUMIFS(OFFSET(A1_集計2027,$A348,10,1,200),OFFSET(貼付け_2027実績,4,9,1,200),{"横浜*","川崎*"}))+SUM(SUMIFS(OFFSET(A1_集計2027,$A348,11,1,200),OFFSET(貼付け_2027実績,4,9,1,200),{"横浜*","川崎*"}))</f>
        <v>0</v>
      </c>
      <c r="T348" s="916">
        <f ca="1">SUM(SUMIFS(OFFSET(A1_集計2024,$A348,10,1,200),OFFSET(貼付け_2024実績,4,9,1,200),{"県域*","エネルギー管理指定工場等*"}))+SUM(SUMIFS(OFFSET(A1_集計2024,$A348,11,1,200),OFFSET(貼付け_2024実績,4,9,1,200),{"県域*","エネルギー管理指定工場等*"}))</f>
        <v>0</v>
      </c>
      <c r="U348" s="916">
        <f ca="1">SUM(SUMIFS(OFFSET(A1_集計2025,$A348,10,1,200),OFFSET(貼付け_2025実績,4,9,1,200),{"県域*","エネルギー管理指定工場等*"}))+SUM(SUMIFS(OFFSET(A1_集計2025,$A348,11,1,200),OFFSET(貼付け_2025実績,4,9,1,200),{"県域*","エネルギー管理指定工場等*"}))</f>
        <v>0</v>
      </c>
      <c r="V348" s="916">
        <f ca="1">SUM(SUMIFS(OFFSET(A1_集計2026,$A348,10,1,200),OFFSET(貼付け_2026実績,4,9,1,200),{"県域*","エネルギー管理指定工場等*"}))+SUM(SUMIFS(OFFSET(A1_集計2026,$A348,11,1,200),OFFSET(貼付け_2026実績,4,9,1,200),{"県域*","エネルギー管理指定工場等*"}))</f>
        <v>0</v>
      </c>
      <c r="W348" s="916">
        <f ca="1">SUM(SUMIFS(OFFSET(A1_集計2027,$A348,10,1,200),OFFSET(貼付け_2027実績,4,9,1,200),{"県域*","エネルギー管理指定工場等*"}))+SUM(SUMIFS(OFFSET(A1_集計2027,$A348,11,1,200),OFFSET(貼付け_2027実績,4,9,1,200),{"県域*","エネルギー管理指定工場等*"}))</f>
        <v>0</v>
      </c>
      <c r="X348" s="916">
        <f ca="1">SUMIFS(OFFSET(A1_集計2024,$A348,10,1,200),OFFSET(貼付け_2024実績,4,9,1,200),"県域*")+SUMIFS(OFFSET(A1_集計2024,$A348,11,1,200),OFFSET(貼付け_2024実績,4,9,1,200),"県域*")</f>
        <v>0</v>
      </c>
      <c r="Y348" s="916">
        <f ca="1">SUMIFS(OFFSET(A1_集計2025,$A348,10,1,200),OFFSET(貼付け_2025実績,4,9,1,200),"県域*")+SUMIFS(OFFSET(A1_集計2025,$A348,11,1,200),OFFSET(貼付け_2025実績,4,9,1,200),"県域*")</f>
        <v>0</v>
      </c>
      <c r="Z348" s="916">
        <f ca="1">SUMIFS(OFFSET(A1_集計2026,$A348,10,1,200),OFFSET(貼付け_2026実績,4,9,1,200),"県域*")+SUMIFS(OFFSET(A1_集計2026,$A348,11,1,200),OFFSET(貼付け_2026実績,4,9,1,200),"県域*")</f>
        <v>0</v>
      </c>
      <c r="AA348" s="916">
        <f ca="1">SUMIFS(OFFSET(A1_集計2027,$A348,10,1,200),OFFSET(貼付け_2027実績,4,9,1,200),"県域*")+SUMIFS(OFFSET(A1_集計2027,$A348,11,1,200),OFFSET(貼付け_2027実績,4,9,1,200),"県域*")</f>
        <v>0</v>
      </c>
      <c r="AB348" s="916" t="str">
        <f t="shared" ref="AB348:BO348" ca="1" si="113">IFERROR(SUM(OFFSET(A1_集計2024,$A348,AB$1+1,1,2)),"")</f>
        <v/>
      </c>
      <c r="AC348" s="916" t="str">
        <f t="shared" ca="1" si="113"/>
        <v/>
      </c>
      <c r="AD348" s="916" t="str">
        <f t="shared" ca="1" si="113"/>
        <v/>
      </c>
      <c r="AE348" s="916" t="str">
        <f t="shared" ca="1" si="113"/>
        <v/>
      </c>
      <c r="AF348" s="916" t="str">
        <f t="shared" ca="1" si="113"/>
        <v/>
      </c>
      <c r="AG348" s="916" t="str">
        <f t="shared" ca="1" si="113"/>
        <v/>
      </c>
      <c r="AH348" s="916" t="str">
        <f t="shared" ca="1" si="113"/>
        <v/>
      </c>
      <c r="AI348" s="916" t="str">
        <f t="shared" ca="1" si="113"/>
        <v/>
      </c>
      <c r="AJ348" s="916" t="str">
        <f t="shared" ca="1" si="113"/>
        <v/>
      </c>
      <c r="AK348" s="916" t="str">
        <f t="shared" ca="1" si="113"/>
        <v/>
      </c>
      <c r="AL348" s="916" t="str">
        <f t="shared" ca="1" si="113"/>
        <v/>
      </c>
      <c r="AM348" s="916" t="str">
        <f t="shared" ca="1" si="113"/>
        <v/>
      </c>
      <c r="AN348" s="916" t="str">
        <f t="shared" ca="1" si="113"/>
        <v/>
      </c>
      <c r="AO348" s="916" t="str">
        <f t="shared" ca="1" si="113"/>
        <v/>
      </c>
      <c r="AP348" s="916" t="str">
        <f t="shared" ca="1" si="113"/>
        <v/>
      </c>
      <c r="AQ348" s="916" t="str">
        <f t="shared" ca="1" si="113"/>
        <v/>
      </c>
      <c r="AR348" s="916" t="str">
        <f t="shared" ca="1" si="113"/>
        <v/>
      </c>
      <c r="AS348" s="916" t="str">
        <f t="shared" ca="1" si="113"/>
        <v/>
      </c>
      <c r="AT348" s="916" t="str">
        <f t="shared" ca="1" si="113"/>
        <v/>
      </c>
      <c r="AU348" s="916" t="str">
        <f t="shared" ca="1" si="113"/>
        <v/>
      </c>
      <c r="AV348" s="916" t="str">
        <f t="shared" ca="1" si="113"/>
        <v/>
      </c>
      <c r="AW348" s="916" t="str">
        <f t="shared" ca="1" si="113"/>
        <v/>
      </c>
      <c r="AX348" s="916" t="str">
        <f t="shared" ca="1" si="113"/>
        <v/>
      </c>
      <c r="AY348" s="916" t="str">
        <f t="shared" ca="1" si="113"/>
        <v/>
      </c>
      <c r="AZ348" s="916" t="str">
        <f t="shared" ca="1" si="113"/>
        <v/>
      </c>
      <c r="BA348" s="916" t="str">
        <f t="shared" ca="1" si="113"/>
        <v/>
      </c>
      <c r="BB348" s="916" t="str">
        <f t="shared" ca="1" si="113"/>
        <v/>
      </c>
      <c r="BC348" s="916" t="str">
        <f t="shared" ca="1" si="113"/>
        <v/>
      </c>
      <c r="BD348" s="916" t="str">
        <f t="shared" ca="1" si="113"/>
        <v/>
      </c>
      <c r="BE348" s="916" t="str">
        <f t="shared" ca="1" si="113"/>
        <v/>
      </c>
      <c r="BF348" s="916" t="str">
        <f t="shared" ca="1" si="113"/>
        <v/>
      </c>
      <c r="BG348" s="916" t="str">
        <f t="shared" ca="1" si="113"/>
        <v/>
      </c>
      <c r="BH348" s="916" t="str">
        <f t="shared" ca="1" si="113"/>
        <v/>
      </c>
      <c r="BI348" s="916" t="str">
        <f t="shared" ca="1" si="113"/>
        <v/>
      </c>
      <c r="BJ348" s="916" t="str">
        <f t="shared" ca="1" si="113"/>
        <v/>
      </c>
      <c r="BK348" s="916" t="str">
        <f t="shared" ca="1" si="113"/>
        <v/>
      </c>
      <c r="BL348" s="916" t="str">
        <f t="shared" ca="1" si="113"/>
        <v/>
      </c>
      <c r="BM348" s="916" t="str">
        <f t="shared" ca="1" si="113"/>
        <v/>
      </c>
      <c r="BN348" s="916" t="str">
        <f t="shared" ca="1" si="113"/>
        <v/>
      </c>
      <c r="BO348" s="916" t="str">
        <f t="shared" ca="1" si="113"/>
        <v/>
      </c>
    </row>
    <row r="349" spans="1:67" ht="20.100000000000001" customHeight="1">
      <c r="A349" s="914">
        <v>36</v>
      </c>
      <c r="B349" s="1594"/>
      <c r="C349" s="1596"/>
      <c r="D349" s="785" t="s">
        <v>376</v>
      </c>
      <c r="E349" s="792" t="str">
        <f ca="1">E36</f>
        <v/>
      </c>
      <c r="F349" s="786"/>
      <c r="G349" s="852" t="s">
        <v>1281</v>
      </c>
      <c r="H349" s="915">
        <f t="shared" ca="1" si="109"/>
        <v>0</v>
      </c>
      <c r="I349" s="915">
        <f t="shared" ca="1" si="110"/>
        <v>0</v>
      </c>
      <c r="J349" s="915">
        <f t="shared" ca="1" si="111"/>
        <v>0</v>
      </c>
      <c r="K349" s="915">
        <f t="shared" ca="1" si="112"/>
        <v>0</v>
      </c>
      <c r="L349" s="916">
        <f ca="1">IFERROR($H349*44/12*参考2_エネ使用量経年!$H199*(参考2_エネ使用量経年!L199+参考2_エネ使用量経年!L286),"")</f>
        <v>0</v>
      </c>
      <c r="M349" s="916">
        <f ca="1">IFERROR($I349*44/12*参考2_エネ使用量経年!$I199*(参考2_エネ使用量経年!M199+参考2_エネ使用量経年!M286),"")</f>
        <v>0</v>
      </c>
      <c r="N349" s="916">
        <f ca="1">IFERROR($J349*44/12*参考2_エネ使用量経年!$J199*(参考2_エネ使用量経年!N199+参考2_エネ使用量経年!N286),"")</f>
        <v>0</v>
      </c>
      <c r="O349" s="916">
        <f ca="1">IFERROR($K349*44/12*参考2_エネ使用量経年!$K199*(参考2_エネ使用量経年!O199+参考2_エネ使用量経年!O286),"")</f>
        <v>0</v>
      </c>
      <c r="P349" s="916">
        <f ca="1">IFERROR($H349*44/12*参考2_エネ使用量経年!$H199*(参考2_エネ使用量経年!P199+参考2_エネ使用量経年!P286),"")</f>
        <v>0</v>
      </c>
      <c r="Q349" s="916">
        <f ca="1">IFERROR($I349*44/12*参考2_エネ使用量経年!$I199*(参考2_エネ使用量経年!Q199+参考2_エネ使用量経年!Q286),"")</f>
        <v>0</v>
      </c>
      <c r="R349" s="916">
        <f ca="1">IFERROR($J349*44/12*参考2_エネ使用量経年!$J199*(参考2_エネ使用量経年!R199+参考2_エネ使用量経年!R286),"")</f>
        <v>0</v>
      </c>
      <c r="S349" s="916">
        <f ca="1">IFERROR($K349*44/12*参考2_エネ使用量経年!$K199*(参考2_エネ使用量経年!S199+参考2_エネ使用量経年!S286),"")</f>
        <v>0</v>
      </c>
      <c r="T349" s="916">
        <f ca="1">IFERROR($H349*44/12*参考2_エネ使用量経年!$H199*(参考2_エネ使用量経年!T199+参考2_エネ使用量経年!T286),"")</f>
        <v>0</v>
      </c>
      <c r="U349" s="916">
        <f ca="1">IFERROR($I349*44/12*参考2_エネ使用量経年!$I199*(参考2_エネ使用量経年!U199+参考2_エネ使用量経年!U286),"")</f>
        <v>0</v>
      </c>
      <c r="V349" s="916">
        <f ca="1">IFERROR($J349*44/12*参考2_エネ使用量経年!$J199*(参考2_エネ使用量経年!V199+参考2_エネ使用量経年!V286),"")</f>
        <v>0</v>
      </c>
      <c r="W349" s="916">
        <f ca="1">IFERROR($K349*44/12*参考2_エネ使用量経年!$K199*(参考2_エネ使用量経年!W199+参考2_エネ使用量経年!W286),"")</f>
        <v>0</v>
      </c>
      <c r="X349" s="916">
        <f ca="1">IFERROR($H349*44/12*参考2_エネ使用量経年!$H199*(参考2_エネ使用量経年!X199+参考2_エネ使用量経年!X286),"")</f>
        <v>0</v>
      </c>
      <c r="Y349" s="916">
        <f ca="1">IFERROR($I349*44/12*参考2_エネ使用量経年!$I199*(参考2_エネ使用量経年!Y199+参考2_エネ使用量経年!Y286),"")</f>
        <v>0</v>
      </c>
      <c r="Z349" s="916">
        <f ca="1">IFERROR($J349*44/12*参考2_エネ使用量経年!$J199*(参考2_エネ使用量経年!Z199+参考2_エネ使用量経年!Z286),"")</f>
        <v>0</v>
      </c>
      <c r="AA349" s="916">
        <f ca="1">IFERROR($K349*44/12*参考2_エネ使用量経年!$K199*(参考2_エネ使用量経年!AA199+参考2_エネ使用量経年!AA286),"")</f>
        <v>0</v>
      </c>
      <c r="AB349" s="916" t="str">
        <f ca="1">IFERROR($H349*44/12*参考2_エネ使用量経年!$H199*(参考2_エネ使用量経年!AB199+参考2_エネ使用量経年!AB286),"")</f>
        <v/>
      </c>
      <c r="AC349" s="916" t="str">
        <f ca="1">IFERROR($I349*44/12*参考2_エネ使用量経年!$I199*(参考2_エネ使用量経年!AC199+参考2_エネ使用量経年!AC286),"")</f>
        <v/>
      </c>
      <c r="AD349" s="916" t="str">
        <f ca="1">IFERROR($J349*44/12*参考2_エネ使用量経年!$J199*(参考2_エネ使用量経年!AD199+参考2_エネ使用量経年!AD286),"")</f>
        <v/>
      </c>
      <c r="AE349" s="916" t="str">
        <f ca="1">IFERROR($K349*44/12*参考2_エネ使用量経年!$K199*(参考2_エネ使用量経年!AE199+参考2_エネ使用量経年!AE286),"")</f>
        <v/>
      </c>
      <c r="AF349" s="916" t="str">
        <f ca="1">IFERROR($H349*44/12*参考2_エネ使用量経年!$H199*(参考2_エネ使用量経年!AF199+参考2_エネ使用量経年!AF286),"")</f>
        <v/>
      </c>
      <c r="AG349" s="916" t="str">
        <f ca="1">IFERROR($I349*44/12*参考2_エネ使用量経年!$I199*(参考2_エネ使用量経年!AG199+参考2_エネ使用量経年!AG286),"")</f>
        <v/>
      </c>
      <c r="AH349" s="916" t="str">
        <f ca="1">IFERROR($J349*44/12*参考2_エネ使用量経年!$J199*(参考2_エネ使用量経年!AH199+参考2_エネ使用量経年!AH286),"")</f>
        <v/>
      </c>
      <c r="AI349" s="916" t="str">
        <f ca="1">IFERROR($K349*44/12*参考2_エネ使用量経年!$K199*(参考2_エネ使用量経年!AI199+参考2_エネ使用量経年!AI286),"")</f>
        <v/>
      </c>
      <c r="AJ349" s="916" t="str">
        <f ca="1">IFERROR($H349*44/12*参考2_エネ使用量経年!$H199*(参考2_エネ使用量経年!AJ199+参考2_エネ使用量経年!AJ286),"")</f>
        <v/>
      </c>
      <c r="AK349" s="916" t="str">
        <f ca="1">IFERROR($I349*44/12*参考2_エネ使用量経年!$I199*(参考2_エネ使用量経年!AK199+参考2_エネ使用量経年!AK286),"")</f>
        <v/>
      </c>
      <c r="AL349" s="916" t="str">
        <f ca="1">IFERROR($J349*44/12*参考2_エネ使用量経年!$J199*(参考2_エネ使用量経年!AL199+参考2_エネ使用量経年!AL286),"")</f>
        <v/>
      </c>
      <c r="AM349" s="916" t="str">
        <f ca="1">IFERROR($K349*44/12*参考2_エネ使用量経年!$K199*(参考2_エネ使用量経年!AM199+参考2_エネ使用量経年!AM286),"")</f>
        <v/>
      </c>
      <c r="AN349" s="916" t="str">
        <f ca="1">IFERROR($H349*44/12*参考2_エネ使用量経年!$H199*(参考2_エネ使用量経年!AN199+参考2_エネ使用量経年!AN286),"")</f>
        <v/>
      </c>
      <c r="AO349" s="916" t="str">
        <f ca="1">IFERROR($I349*44/12*参考2_エネ使用量経年!$I199*(参考2_エネ使用量経年!AO199+参考2_エネ使用量経年!AO286),"")</f>
        <v/>
      </c>
      <c r="AP349" s="916" t="str">
        <f ca="1">IFERROR($J349*44/12*参考2_エネ使用量経年!$J199*(参考2_エネ使用量経年!AP199+参考2_エネ使用量経年!AP286),"")</f>
        <v/>
      </c>
      <c r="AQ349" s="916" t="str">
        <f ca="1">IFERROR($K349*44/12*参考2_エネ使用量経年!$K199*(参考2_エネ使用量経年!AQ199+参考2_エネ使用量経年!AQ286),"")</f>
        <v/>
      </c>
      <c r="AR349" s="916" t="str">
        <f ca="1">IFERROR($H349*44/12*参考2_エネ使用量経年!$H199*(参考2_エネ使用量経年!AR199+参考2_エネ使用量経年!AR286),"")</f>
        <v/>
      </c>
      <c r="AS349" s="916" t="str">
        <f ca="1">IFERROR($I349*44/12*参考2_エネ使用量経年!$I199*(参考2_エネ使用量経年!AS199+参考2_エネ使用量経年!AS286),"")</f>
        <v/>
      </c>
      <c r="AT349" s="916" t="str">
        <f ca="1">IFERROR($J349*44/12*参考2_エネ使用量経年!$J199*(参考2_エネ使用量経年!AT199+参考2_エネ使用量経年!AT286),"")</f>
        <v/>
      </c>
      <c r="AU349" s="916" t="str">
        <f ca="1">IFERROR($K349*44/12*参考2_エネ使用量経年!$K199*(参考2_エネ使用量経年!AU199+参考2_エネ使用量経年!AU286),"")</f>
        <v/>
      </c>
      <c r="AV349" s="916" t="str">
        <f ca="1">IFERROR($H349*44/12*参考2_エネ使用量経年!$H199*(参考2_エネ使用量経年!AV199+参考2_エネ使用量経年!AV286),"")</f>
        <v/>
      </c>
      <c r="AW349" s="916" t="str">
        <f ca="1">IFERROR($I349*44/12*参考2_エネ使用量経年!$I199*(参考2_エネ使用量経年!AW199+参考2_エネ使用量経年!AW286),"")</f>
        <v/>
      </c>
      <c r="AX349" s="916" t="str">
        <f ca="1">IFERROR($J349*44/12*参考2_エネ使用量経年!$J199*(参考2_エネ使用量経年!AX199+参考2_エネ使用量経年!AX286),"")</f>
        <v/>
      </c>
      <c r="AY349" s="916" t="str">
        <f ca="1">IFERROR($K349*44/12*参考2_エネ使用量経年!$K199*(参考2_エネ使用量経年!AY199+参考2_エネ使用量経年!AY286),"")</f>
        <v/>
      </c>
      <c r="AZ349" s="916" t="str">
        <f ca="1">IFERROR($H349*44/12*参考2_エネ使用量経年!$H199*(参考2_エネ使用量経年!AZ199+参考2_エネ使用量経年!AZ286),"")</f>
        <v/>
      </c>
      <c r="BA349" s="916" t="str">
        <f ca="1">IFERROR($I349*44/12*参考2_エネ使用量経年!$I199*(参考2_エネ使用量経年!BA199+参考2_エネ使用量経年!BA286),"")</f>
        <v/>
      </c>
      <c r="BB349" s="916" t="str">
        <f ca="1">IFERROR($J349*44/12*参考2_エネ使用量経年!$J199*(参考2_エネ使用量経年!BB199+参考2_エネ使用量経年!BB286),"")</f>
        <v/>
      </c>
      <c r="BC349" s="916" t="str">
        <f ca="1">IFERROR($K349*44/12*参考2_エネ使用量経年!$K199*(参考2_エネ使用量経年!BC199+参考2_エネ使用量経年!BC286),"")</f>
        <v/>
      </c>
      <c r="BD349" s="916" t="str">
        <f ca="1">IFERROR($H349*44/12*参考2_エネ使用量経年!$H199*(参考2_エネ使用量経年!BD199+参考2_エネ使用量経年!BD286),"")</f>
        <v/>
      </c>
      <c r="BE349" s="916" t="str">
        <f ca="1">IFERROR($I349*44/12*参考2_エネ使用量経年!$I199*(参考2_エネ使用量経年!BE199+参考2_エネ使用量経年!BE286),"")</f>
        <v/>
      </c>
      <c r="BF349" s="916" t="str">
        <f ca="1">IFERROR($J349*44/12*参考2_エネ使用量経年!$J199*(参考2_エネ使用量経年!BF199+参考2_エネ使用量経年!BF286),"")</f>
        <v/>
      </c>
      <c r="BG349" s="916" t="str">
        <f ca="1">IFERROR($K349*44/12*参考2_エネ使用量経年!$K199*(参考2_エネ使用量経年!BG199+参考2_エネ使用量経年!BG286),"")</f>
        <v/>
      </c>
      <c r="BH349" s="916" t="str">
        <f ca="1">IFERROR($H349*44/12*参考2_エネ使用量経年!$H199*(参考2_エネ使用量経年!BH199+参考2_エネ使用量経年!BH286),"")</f>
        <v/>
      </c>
      <c r="BI349" s="916" t="str">
        <f ca="1">IFERROR($I349*44/12*参考2_エネ使用量経年!$I199*(参考2_エネ使用量経年!BI199+参考2_エネ使用量経年!BI286),"")</f>
        <v/>
      </c>
      <c r="BJ349" s="916" t="str">
        <f ca="1">IFERROR($J349*44/12*参考2_エネ使用量経年!$J199*(参考2_エネ使用量経年!BJ199+参考2_エネ使用量経年!BJ286),"")</f>
        <v/>
      </c>
      <c r="BK349" s="916" t="str">
        <f ca="1">IFERROR($K349*44/12*参考2_エネ使用量経年!$K199*(参考2_エネ使用量経年!BK199+参考2_エネ使用量経年!BK286),"")</f>
        <v/>
      </c>
      <c r="BL349" s="916" t="str">
        <f ca="1">IFERROR($H349*44/12*参考2_エネ使用量経年!$H199*(参考2_エネ使用量経年!BL199+参考2_エネ使用量経年!BL286),"")</f>
        <v/>
      </c>
      <c r="BM349" s="916" t="str">
        <f ca="1">IFERROR($I349*44/12*参考2_エネ使用量経年!$I199*(参考2_エネ使用量経年!BM199+参考2_エネ使用量経年!BM286),"")</f>
        <v/>
      </c>
      <c r="BN349" s="916" t="str">
        <f ca="1">IFERROR($J349*44/12*参考2_エネ使用量経年!$J199*(参考2_エネ使用量経年!BN199+参考2_エネ使用量経年!BN286),"")</f>
        <v/>
      </c>
      <c r="BO349" s="916" t="str">
        <f ca="1">IFERROR($K349*44/12*参考2_エネ使用量経年!$K199*(参考2_エネ使用量経年!BO199+参考2_エネ使用量経年!BO286),"")</f>
        <v/>
      </c>
    </row>
    <row r="350" spans="1:67" ht="20.100000000000001" customHeight="1">
      <c r="A350" s="914">
        <v>37</v>
      </c>
      <c r="B350" s="1594"/>
      <c r="C350" s="1596" t="s">
        <v>377</v>
      </c>
      <c r="D350" s="793" t="s">
        <v>378</v>
      </c>
      <c r="E350" s="785"/>
      <c r="F350" s="786"/>
      <c r="G350" s="852" t="s">
        <v>1281</v>
      </c>
      <c r="H350" s="915">
        <f t="shared" ca="1" si="109"/>
        <v>0</v>
      </c>
      <c r="I350" s="915">
        <f t="shared" ca="1" si="110"/>
        <v>0</v>
      </c>
      <c r="J350" s="915">
        <f t="shared" ca="1" si="111"/>
        <v>0</v>
      </c>
      <c r="K350" s="915">
        <f t="shared" ca="1" si="112"/>
        <v>0</v>
      </c>
      <c r="L350" s="916">
        <f ca="1">IFERROR($H350*44/12*参考2_エネ使用量経年!$H200*(参考2_エネ使用量経年!L200+参考2_エネ使用量経年!L287),"")</f>
        <v>0</v>
      </c>
      <c r="M350" s="916">
        <f ca="1">IFERROR($I350*44/12*参考2_エネ使用量経年!$I200*(参考2_エネ使用量経年!M200+参考2_エネ使用量経年!M287),"")</f>
        <v>0</v>
      </c>
      <c r="N350" s="916">
        <f ca="1">IFERROR($J350*44/12*参考2_エネ使用量経年!$J200*(参考2_エネ使用量経年!N200+参考2_エネ使用量経年!N287),"")</f>
        <v>0</v>
      </c>
      <c r="O350" s="916">
        <f ca="1">IFERROR($K350*44/12*参考2_エネ使用量経年!$K200*(参考2_エネ使用量経年!O200+参考2_エネ使用量経年!O287),"")</f>
        <v>0</v>
      </c>
      <c r="P350" s="916">
        <f ca="1">IFERROR($H350*44/12*参考2_エネ使用量経年!$H200*(参考2_エネ使用量経年!P200+参考2_エネ使用量経年!P287),"")</f>
        <v>0</v>
      </c>
      <c r="Q350" s="916">
        <f ca="1">IFERROR($I350*44/12*参考2_エネ使用量経年!$I200*(参考2_エネ使用量経年!Q200+参考2_エネ使用量経年!Q287),"")</f>
        <v>0</v>
      </c>
      <c r="R350" s="916">
        <f ca="1">IFERROR($J350*44/12*参考2_エネ使用量経年!$J200*(参考2_エネ使用量経年!R200+参考2_エネ使用量経年!R287),"")</f>
        <v>0</v>
      </c>
      <c r="S350" s="916">
        <f ca="1">IFERROR($K350*44/12*参考2_エネ使用量経年!$K200*(参考2_エネ使用量経年!S200+参考2_エネ使用量経年!S287),"")</f>
        <v>0</v>
      </c>
      <c r="T350" s="916">
        <f ca="1">IFERROR($H350*44/12*参考2_エネ使用量経年!$H200*(参考2_エネ使用量経年!T200+参考2_エネ使用量経年!T287),"")</f>
        <v>0</v>
      </c>
      <c r="U350" s="916">
        <f ca="1">IFERROR($I350*44/12*参考2_エネ使用量経年!$I200*(参考2_エネ使用量経年!U200+参考2_エネ使用量経年!U287),"")</f>
        <v>0</v>
      </c>
      <c r="V350" s="916">
        <f ca="1">IFERROR($J350*44/12*参考2_エネ使用量経年!$J200*(参考2_エネ使用量経年!V200+参考2_エネ使用量経年!V287),"")</f>
        <v>0</v>
      </c>
      <c r="W350" s="916">
        <f ca="1">IFERROR($K350*44/12*参考2_エネ使用量経年!$K200*(参考2_エネ使用量経年!W200+参考2_エネ使用量経年!W287),"")</f>
        <v>0</v>
      </c>
      <c r="X350" s="916">
        <f ca="1">IFERROR($H350*44/12*参考2_エネ使用量経年!$H200*(参考2_エネ使用量経年!X200+参考2_エネ使用量経年!X287),"")</f>
        <v>0</v>
      </c>
      <c r="Y350" s="916">
        <f ca="1">IFERROR($I350*44/12*参考2_エネ使用量経年!$I200*(参考2_エネ使用量経年!Y200+参考2_エネ使用量経年!Y287),"")</f>
        <v>0</v>
      </c>
      <c r="Z350" s="916">
        <f ca="1">IFERROR($J350*44/12*参考2_エネ使用量経年!$J200*(参考2_エネ使用量経年!Z200+参考2_エネ使用量経年!Z287),"")</f>
        <v>0</v>
      </c>
      <c r="AA350" s="916">
        <f ca="1">IFERROR($K350*44/12*参考2_エネ使用量経年!$K200*(参考2_エネ使用量経年!AA200+参考2_エネ使用量経年!AA287),"")</f>
        <v>0</v>
      </c>
      <c r="AB350" s="916" t="str">
        <f ca="1">IFERROR($H350*44/12*参考2_エネ使用量経年!$H200*(参考2_エネ使用量経年!AB200+参考2_エネ使用量経年!AB287),"")</f>
        <v/>
      </c>
      <c r="AC350" s="916" t="str">
        <f ca="1">IFERROR($I350*44/12*参考2_エネ使用量経年!$I200*(参考2_エネ使用量経年!AC200+参考2_エネ使用量経年!AC287),"")</f>
        <v/>
      </c>
      <c r="AD350" s="916" t="str">
        <f ca="1">IFERROR($J350*44/12*参考2_エネ使用量経年!$J200*(参考2_エネ使用量経年!AD200+参考2_エネ使用量経年!AD287),"")</f>
        <v/>
      </c>
      <c r="AE350" s="916" t="str">
        <f ca="1">IFERROR($K350*44/12*参考2_エネ使用量経年!$K200*(参考2_エネ使用量経年!AE200+参考2_エネ使用量経年!AE287),"")</f>
        <v/>
      </c>
      <c r="AF350" s="916" t="str">
        <f ca="1">IFERROR($H350*44/12*参考2_エネ使用量経年!$H200*(参考2_エネ使用量経年!AF200+参考2_エネ使用量経年!AF287),"")</f>
        <v/>
      </c>
      <c r="AG350" s="916" t="str">
        <f ca="1">IFERROR($I350*44/12*参考2_エネ使用量経年!$I200*(参考2_エネ使用量経年!AG200+参考2_エネ使用量経年!AG287),"")</f>
        <v/>
      </c>
      <c r="AH350" s="916" t="str">
        <f ca="1">IFERROR($J350*44/12*参考2_エネ使用量経年!$J200*(参考2_エネ使用量経年!AH200+参考2_エネ使用量経年!AH287),"")</f>
        <v/>
      </c>
      <c r="AI350" s="916" t="str">
        <f ca="1">IFERROR($K350*44/12*参考2_エネ使用量経年!$K200*(参考2_エネ使用量経年!AI200+参考2_エネ使用量経年!AI287),"")</f>
        <v/>
      </c>
      <c r="AJ350" s="916" t="str">
        <f ca="1">IFERROR($H350*44/12*参考2_エネ使用量経年!$H200*(参考2_エネ使用量経年!AJ200+参考2_エネ使用量経年!AJ287),"")</f>
        <v/>
      </c>
      <c r="AK350" s="916" t="str">
        <f ca="1">IFERROR($I350*44/12*参考2_エネ使用量経年!$I200*(参考2_エネ使用量経年!AK200+参考2_エネ使用量経年!AK287),"")</f>
        <v/>
      </c>
      <c r="AL350" s="916" t="str">
        <f ca="1">IFERROR($J350*44/12*参考2_エネ使用量経年!$J200*(参考2_エネ使用量経年!AL200+参考2_エネ使用量経年!AL287),"")</f>
        <v/>
      </c>
      <c r="AM350" s="916" t="str">
        <f ca="1">IFERROR($K350*44/12*参考2_エネ使用量経年!$K200*(参考2_エネ使用量経年!AM200+参考2_エネ使用量経年!AM287),"")</f>
        <v/>
      </c>
      <c r="AN350" s="916" t="str">
        <f ca="1">IFERROR($H350*44/12*参考2_エネ使用量経年!$H200*(参考2_エネ使用量経年!AN200+参考2_エネ使用量経年!AN287),"")</f>
        <v/>
      </c>
      <c r="AO350" s="916" t="str">
        <f ca="1">IFERROR($I350*44/12*参考2_エネ使用量経年!$I200*(参考2_エネ使用量経年!AO200+参考2_エネ使用量経年!AO287),"")</f>
        <v/>
      </c>
      <c r="AP350" s="916" t="str">
        <f ca="1">IFERROR($J350*44/12*参考2_エネ使用量経年!$J200*(参考2_エネ使用量経年!AP200+参考2_エネ使用量経年!AP287),"")</f>
        <v/>
      </c>
      <c r="AQ350" s="916" t="str">
        <f ca="1">IFERROR($K350*44/12*参考2_エネ使用量経年!$K200*(参考2_エネ使用量経年!AQ200+参考2_エネ使用量経年!AQ287),"")</f>
        <v/>
      </c>
      <c r="AR350" s="916" t="str">
        <f ca="1">IFERROR($H350*44/12*参考2_エネ使用量経年!$H200*(参考2_エネ使用量経年!AR200+参考2_エネ使用量経年!AR287),"")</f>
        <v/>
      </c>
      <c r="AS350" s="916" t="str">
        <f ca="1">IFERROR($I350*44/12*参考2_エネ使用量経年!$I200*(参考2_エネ使用量経年!AS200+参考2_エネ使用量経年!AS287),"")</f>
        <v/>
      </c>
      <c r="AT350" s="916" t="str">
        <f ca="1">IFERROR($J350*44/12*参考2_エネ使用量経年!$J200*(参考2_エネ使用量経年!AT200+参考2_エネ使用量経年!AT287),"")</f>
        <v/>
      </c>
      <c r="AU350" s="916" t="str">
        <f ca="1">IFERROR($K350*44/12*参考2_エネ使用量経年!$K200*(参考2_エネ使用量経年!AU200+参考2_エネ使用量経年!AU287),"")</f>
        <v/>
      </c>
      <c r="AV350" s="916" t="str">
        <f ca="1">IFERROR($H350*44/12*参考2_エネ使用量経年!$H200*(参考2_エネ使用量経年!AV200+参考2_エネ使用量経年!AV287),"")</f>
        <v/>
      </c>
      <c r="AW350" s="916" t="str">
        <f ca="1">IFERROR($I350*44/12*参考2_エネ使用量経年!$I200*(参考2_エネ使用量経年!AW200+参考2_エネ使用量経年!AW287),"")</f>
        <v/>
      </c>
      <c r="AX350" s="916" t="str">
        <f ca="1">IFERROR($J350*44/12*参考2_エネ使用量経年!$J200*(参考2_エネ使用量経年!AX200+参考2_エネ使用量経年!AX287),"")</f>
        <v/>
      </c>
      <c r="AY350" s="916" t="str">
        <f ca="1">IFERROR($K350*44/12*参考2_エネ使用量経年!$K200*(参考2_エネ使用量経年!AY200+参考2_エネ使用量経年!AY287),"")</f>
        <v/>
      </c>
      <c r="AZ350" s="916" t="str">
        <f ca="1">IFERROR($H350*44/12*参考2_エネ使用量経年!$H200*(参考2_エネ使用量経年!AZ200+参考2_エネ使用量経年!AZ287),"")</f>
        <v/>
      </c>
      <c r="BA350" s="916" t="str">
        <f ca="1">IFERROR($I350*44/12*参考2_エネ使用量経年!$I200*(参考2_エネ使用量経年!BA200+参考2_エネ使用量経年!BA287),"")</f>
        <v/>
      </c>
      <c r="BB350" s="916" t="str">
        <f ca="1">IFERROR($J350*44/12*参考2_エネ使用量経年!$J200*(参考2_エネ使用量経年!BB200+参考2_エネ使用量経年!BB287),"")</f>
        <v/>
      </c>
      <c r="BC350" s="916" t="str">
        <f ca="1">IFERROR($K350*44/12*参考2_エネ使用量経年!$K200*(参考2_エネ使用量経年!BC200+参考2_エネ使用量経年!BC287),"")</f>
        <v/>
      </c>
      <c r="BD350" s="916" t="str">
        <f ca="1">IFERROR($H350*44/12*参考2_エネ使用量経年!$H200*(参考2_エネ使用量経年!BD200+参考2_エネ使用量経年!BD287),"")</f>
        <v/>
      </c>
      <c r="BE350" s="916" t="str">
        <f ca="1">IFERROR($I350*44/12*参考2_エネ使用量経年!$I200*(参考2_エネ使用量経年!BE200+参考2_エネ使用量経年!BE287),"")</f>
        <v/>
      </c>
      <c r="BF350" s="916" t="str">
        <f ca="1">IFERROR($J350*44/12*参考2_エネ使用量経年!$J200*(参考2_エネ使用量経年!BF200+参考2_エネ使用量経年!BF287),"")</f>
        <v/>
      </c>
      <c r="BG350" s="916" t="str">
        <f ca="1">IFERROR($K350*44/12*参考2_エネ使用量経年!$K200*(参考2_エネ使用量経年!BG200+参考2_エネ使用量経年!BG287),"")</f>
        <v/>
      </c>
      <c r="BH350" s="916" t="str">
        <f ca="1">IFERROR($H350*44/12*参考2_エネ使用量経年!$H200*(参考2_エネ使用量経年!BH200+参考2_エネ使用量経年!BH287),"")</f>
        <v/>
      </c>
      <c r="BI350" s="916" t="str">
        <f ca="1">IFERROR($I350*44/12*参考2_エネ使用量経年!$I200*(参考2_エネ使用量経年!BI200+参考2_エネ使用量経年!BI287),"")</f>
        <v/>
      </c>
      <c r="BJ350" s="916" t="str">
        <f ca="1">IFERROR($J350*44/12*参考2_エネ使用量経年!$J200*(参考2_エネ使用量経年!BJ200+参考2_エネ使用量経年!BJ287),"")</f>
        <v/>
      </c>
      <c r="BK350" s="916" t="str">
        <f ca="1">IFERROR($K350*44/12*参考2_エネ使用量経年!$K200*(参考2_エネ使用量経年!BK200+参考2_エネ使用量経年!BK287),"")</f>
        <v/>
      </c>
      <c r="BL350" s="916" t="str">
        <f ca="1">IFERROR($H350*44/12*参考2_エネ使用量経年!$H200*(参考2_エネ使用量経年!BL200+参考2_エネ使用量経年!BL287),"")</f>
        <v/>
      </c>
      <c r="BM350" s="916" t="str">
        <f ca="1">IFERROR($I350*44/12*参考2_エネ使用量経年!$I200*(参考2_エネ使用量経年!BM200+参考2_エネ使用量経年!BM287),"")</f>
        <v/>
      </c>
      <c r="BN350" s="916" t="str">
        <f ca="1">IFERROR($J350*44/12*参考2_エネ使用量経年!$J200*(参考2_エネ使用量経年!BN200+参考2_エネ使用量経年!BN287),"")</f>
        <v/>
      </c>
      <c r="BO350" s="916" t="str">
        <f ca="1">IFERROR($K350*44/12*参考2_エネ使用量経年!$K200*(参考2_エネ使用量経年!BO200+参考2_エネ使用量経年!BO287),"")</f>
        <v/>
      </c>
    </row>
    <row r="351" spans="1:67" ht="20.100000000000001" customHeight="1">
      <c r="A351" s="914">
        <v>38</v>
      </c>
      <c r="B351" s="1594"/>
      <c r="C351" s="1596"/>
      <c r="D351" s="793" t="s">
        <v>379</v>
      </c>
      <c r="E351" s="785"/>
      <c r="F351" s="786"/>
      <c r="G351" s="852" t="s">
        <v>1281</v>
      </c>
      <c r="H351" s="915">
        <f t="shared" ca="1" si="109"/>
        <v>0</v>
      </c>
      <c r="I351" s="915">
        <f t="shared" ca="1" si="110"/>
        <v>0</v>
      </c>
      <c r="J351" s="915">
        <f t="shared" ca="1" si="111"/>
        <v>0</v>
      </c>
      <c r="K351" s="915">
        <f t="shared" ca="1" si="112"/>
        <v>0</v>
      </c>
      <c r="L351" s="916">
        <f ca="1">IFERROR($H351*44/12*参考2_エネ使用量経年!$H201*(参考2_エネ使用量経年!L201+参考2_エネ使用量経年!L288),"")</f>
        <v>0</v>
      </c>
      <c r="M351" s="916">
        <f ca="1">IFERROR($I351*44/12*参考2_エネ使用量経年!$I201*(参考2_エネ使用量経年!M201+参考2_エネ使用量経年!M288),"")</f>
        <v>0</v>
      </c>
      <c r="N351" s="916">
        <f ca="1">IFERROR($J351*44/12*参考2_エネ使用量経年!$J201*(参考2_エネ使用量経年!N201+参考2_エネ使用量経年!N288),"")</f>
        <v>0</v>
      </c>
      <c r="O351" s="916">
        <f ca="1">IFERROR($K351*44/12*参考2_エネ使用量経年!$K201*(参考2_エネ使用量経年!O201+参考2_エネ使用量経年!O288),"")</f>
        <v>0</v>
      </c>
      <c r="P351" s="916">
        <f ca="1">IFERROR($H351*44/12*参考2_エネ使用量経年!$H201*(参考2_エネ使用量経年!P201+参考2_エネ使用量経年!P288),"")</f>
        <v>0</v>
      </c>
      <c r="Q351" s="916">
        <f ca="1">IFERROR($I351*44/12*参考2_エネ使用量経年!$I201*(参考2_エネ使用量経年!Q201+参考2_エネ使用量経年!Q288),"")</f>
        <v>0</v>
      </c>
      <c r="R351" s="916">
        <f ca="1">IFERROR($J351*44/12*参考2_エネ使用量経年!$J201*(参考2_エネ使用量経年!R201+参考2_エネ使用量経年!R288),"")</f>
        <v>0</v>
      </c>
      <c r="S351" s="916">
        <f ca="1">IFERROR($K351*44/12*参考2_エネ使用量経年!$K201*(参考2_エネ使用量経年!S201+参考2_エネ使用量経年!S288),"")</f>
        <v>0</v>
      </c>
      <c r="T351" s="916">
        <f ca="1">IFERROR($H351*44/12*参考2_エネ使用量経年!$H201*(参考2_エネ使用量経年!T201+参考2_エネ使用量経年!T288),"")</f>
        <v>0</v>
      </c>
      <c r="U351" s="916">
        <f ca="1">IFERROR($I351*44/12*参考2_エネ使用量経年!$I201*(参考2_エネ使用量経年!U201+参考2_エネ使用量経年!U288),"")</f>
        <v>0</v>
      </c>
      <c r="V351" s="916">
        <f ca="1">IFERROR($J351*44/12*参考2_エネ使用量経年!$J201*(参考2_エネ使用量経年!V201+参考2_エネ使用量経年!V288),"")</f>
        <v>0</v>
      </c>
      <c r="W351" s="916">
        <f ca="1">IFERROR($K351*44/12*参考2_エネ使用量経年!$K201*(参考2_エネ使用量経年!W201+参考2_エネ使用量経年!W288),"")</f>
        <v>0</v>
      </c>
      <c r="X351" s="916">
        <f ca="1">IFERROR($H351*44/12*参考2_エネ使用量経年!$H201*(参考2_エネ使用量経年!X201+参考2_エネ使用量経年!X288),"")</f>
        <v>0</v>
      </c>
      <c r="Y351" s="916">
        <f ca="1">IFERROR($I351*44/12*参考2_エネ使用量経年!$I201*(参考2_エネ使用量経年!Y201+参考2_エネ使用量経年!Y288),"")</f>
        <v>0</v>
      </c>
      <c r="Z351" s="916">
        <f ca="1">IFERROR($J351*44/12*参考2_エネ使用量経年!$J201*(参考2_エネ使用量経年!Z201+参考2_エネ使用量経年!Z288),"")</f>
        <v>0</v>
      </c>
      <c r="AA351" s="916">
        <f ca="1">IFERROR($K351*44/12*参考2_エネ使用量経年!$K201*(参考2_エネ使用量経年!AA201+参考2_エネ使用量経年!AA288),"")</f>
        <v>0</v>
      </c>
      <c r="AB351" s="916" t="str">
        <f ca="1">IFERROR($H351*44/12*参考2_エネ使用量経年!$H201*(参考2_エネ使用量経年!AB201+参考2_エネ使用量経年!AB288),"")</f>
        <v/>
      </c>
      <c r="AC351" s="916" t="str">
        <f ca="1">IFERROR($I351*44/12*参考2_エネ使用量経年!$I201*(参考2_エネ使用量経年!AC201+参考2_エネ使用量経年!AC288),"")</f>
        <v/>
      </c>
      <c r="AD351" s="916" t="str">
        <f ca="1">IFERROR($J351*44/12*参考2_エネ使用量経年!$J201*(参考2_エネ使用量経年!AD201+参考2_エネ使用量経年!AD288),"")</f>
        <v/>
      </c>
      <c r="AE351" s="916" t="str">
        <f ca="1">IFERROR($K351*44/12*参考2_エネ使用量経年!$K201*(参考2_エネ使用量経年!AE201+参考2_エネ使用量経年!AE288),"")</f>
        <v/>
      </c>
      <c r="AF351" s="916" t="str">
        <f ca="1">IFERROR($H351*44/12*参考2_エネ使用量経年!$H201*(参考2_エネ使用量経年!AF201+参考2_エネ使用量経年!AF288),"")</f>
        <v/>
      </c>
      <c r="AG351" s="916" t="str">
        <f ca="1">IFERROR($I351*44/12*参考2_エネ使用量経年!$I201*(参考2_エネ使用量経年!AG201+参考2_エネ使用量経年!AG288),"")</f>
        <v/>
      </c>
      <c r="AH351" s="916" t="str">
        <f ca="1">IFERROR($J351*44/12*参考2_エネ使用量経年!$J201*(参考2_エネ使用量経年!AH201+参考2_エネ使用量経年!AH288),"")</f>
        <v/>
      </c>
      <c r="AI351" s="916" t="str">
        <f ca="1">IFERROR($K351*44/12*参考2_エネ使用量経年!$K201*(参考2_エネ使用量経年!AI201+参考2_エネ使用量経年!AI288),"")</f>
        <v/>
      </c>
      <c r="AJ351" s="916" t="str">
        <f ca="1">IFERROR($H351*44/12*参考2_エネ使用量経年!$H201*(参考2_エネ使用量経年!AJ201+参考2_エネ使用量経年!AJ288),"")</f>
        <v/>
      </c>
      <c r="AK351" s="916" t="str">
        <f ca="1">IFERROR($I351*44/12*参考2_エネ使用量経年!$I201*(参考2_エネ使用量経年!AK201+参考2_エネ使用量経年!AK288),"")</f>
        <v/>
      </c>
      <c r="AL351" s="916" t="str">
        <f ca="1">IFERROR($J351*44/12*参考2_エネ使用量経年!$J201*(参考2_エネ使用量経年!AL201+参考2_エネ使用量経年!AL288),"")</f>
        <v/>
      </c>
      <c r="AM351" s="916" t="str">
        <f ca="1">IFERROR($K351*44/12*参考2_エネ使用量経年!$K201*(参考2_エネ使用量経年!AM201+参考2_エネ使用量経年!AM288),"")</f>
        <v/>
      </c>
      <c r="AN351" s="916" t="str">
        <f ca="1">IFERROR($H351*44/12*参考2_エネ使用量経年!$H201*(参考2_エネ使用量経年!AN201+参考2_エネ使用量経年!AN288),"")</f>
        <v/>
      </c>
      <c r="AO351" s="916" t="str">
        <f ca="1">IFERROR($I351*44/12*参考2_エネ使用量経年!$I201*(参考2_エネ使用量経年!AO201+参考2_エネ使用量経年!AO288),"")</f>
        <v/>
      </c>
      <c r="AP351" s="916" t="str">
        <f ca="1">IFERROR($J351*44/12*参考2_エネ使用量経年!$J201*(参考2_エネ使用量経年!AP201+参考2_エネ使用量経年!AP288),"")</f>
        <v/>
      </c>
      <c r="AQ351" s="916" t="str">
        <f ca="1">IFERROR($K351*44/12*参考2_エネ使用量経年!$K201*(参考2_エネ使用量経年!AQ201+参考2_エネ使用量経年!AQ288),"")</f>
        <v/>
      </c>
      <c r="AR351" s="916" t="str">
        <f ca="1">IFERROR($H351*44/12*参考2_エネ使用量経年!$H201*(参考2_エネ使用量経年!AR201+参考2_エネ使用量経年!AR288),"")</f>
        <v/>
      </c>
      <c r="AS351" s="916" t="str">
        <f ca="1">IFERROR($I351*44/12*参考2_エネ使用量経年!$I201*(参考2_エネ使用量経年!AS201+参考2_エネ使用量経年!AS288),"")</f>
        <v/>
      </c>
      <c r="AT351" s="916" t="str">
        <f ca="1">IFERROR($J351*44/12*参考2_エネ使用量経年!$J201*(参考2_エネ使用量経年!AT201+参考2_エネ使用量経年!AT288),"")</f>
        <v/>
      </c>
      <c r="AU351" s="916" t="str">
        <f ca="1">IFERROR($K351*44/12*参考2_エネ使用量経年!$K201*(参考2_エネ使用量経年!AU201+参考2_エネ使用量経年!AU288),"")</f>
        <v/>
      </c>
      <c r="AV351" s="916" t="str">
        <f ca="1">IFERROR($H351*44/12*参考2_エネ使用量経年!$H201*(参考2_エネ使用量経年!AV201+参考2_エネ使用量経年!AV288),"")</f>
        <v/>
      </c>
      <c r="AW351" s="916" t="str">
        <f ca="1">IFERROR($I351*44/12*参考2_エネ使用量経年!$I201*(参考2_エネ使用量経年!AW201+参考2_エネ使用量経年!AW288),"")</f>
        <v/>
      </c>
      <c r="AX351" s="916" t="str">
        <f ca="1">IFERROR($J351*44/12*参考2_エネ使用量経年!$J201*(参考2_エネ使用量経年!AX201+参考2_エネ使用量経年!AX288),"")</f>
        <v/>
      </c>
      <c r="AY351" s="916" t="str">
        <f ca="1">IFERROR($K351*44/12*参考2_エネ使用量経年!$K201*(参考2_エネ使用量経年!AY201+参考2_エネ使用量経年!AY288),"")</f>
        <v/>
      </c>
      <c r="AZ351" s="916" t="str">
        <f ca="1">IFERROR($H351*44/12*参考2_エネ使用量経年!$H201*(参考2_エネ使用量経年!AZ201+参考2_エネ使用量経年!AZ288),"")</f>
        <v/>
      </c>
      <c r="BA351" s="916" t="str">
        <f ca="1">IFERROR($I351*44/12*参考2_エネ使用量経年!$I201*(参考2_エネ使用量経年!BA201+参考2_エネ使用量経年!BA288),"")</f>
        <v/>
      </c>
      <c r="BB351" s="916" t="str">
        <f ca="1">IFERROR($J351*44/12*参考2_エネ使用量経年!$J201*(参考2_エネ使用量経年!BB201+参考2_エネ使用量経年!BB288),"")</f>
        <v/>
      </c>
      <c r="BC351" s="916" t="str">
        <f ca="1">IFERROR($K351*44/12*参考2_エネ使用量経年!$K201*(参考2_エネ使用量経年!BC201+参考2_エネ使用量経年!BC288),"")</f>
        <v/>
      </c>
      <c r="BD351" s="916" t="str">
        <f ca="1">IFERROR($H351*44/12*参考2_エネ使用量経年!$H201*(参考2_エネ使用量経年!BD201+参考2_エネ使用量経年!BD288),"")</f>
        <v/>
      </c>
      <c r="BE351" s="916" t="str">
        <f ca="1">IFERROR($I351*44/12*参考2_エネ使用量経年!$I201*(参考2_エネ使用量経年!BE201+参考2_エネ使用量経年!BE288),"")</f>
        <v/>
      </c>
      <c r="BF351" s="916" t="str">
        <f ca="1">IFERROR($J351*44/12*参考2_エネ使用量経年!$J201*(参考2_エネ使用量経年!BF201+参考2_エネ使用量経年!BF288),"")</f>
        <v/>
      </c>
      <c r="BG351" s="916" t="str">
        <f ca="1">IFERROR($K351*44/12*参考2_エネ使用量経年!$K201*(参考2_エネ使用量経年!BG201+参考2_エネ使用量経年!BG288),"")</f>
        <v/>
      </c>
      <c r="BH351" s="916" t="str">
        <f ca="1">IFERROR($H351*44/12*参考2_エネ使用量経年!$H201*(参考2_エネ使用量経年!BH201+参考2_エネ使用量経年!BH288),"")</f>
        <v/>
      </c>
      <c r="BI351" s="916" t="str">
        <f ca="1">IFERROR($I351*44/12*参考2_エネ使用量経年!$I201*(参考2_エネ使用量経年!BI201+参考2_エネ使用量経年!BI288),"")</f>
        <v/>
      </c>
      <c r="BJ351" s="916" t="str">
        <f ca="1">IFERROR($J351*44/12*参考2_エネ使用量経年!$J201*(参考2_エネ使用量経年!BJ201+参考2_エネ使用量経年!BJ288),"")</f>
        <v/>
      </c>
      <c r="BK351" s="916" t="str">
        <f ca="1">IFERROR($K351*44/12*参考2_エネ使用量経年!$K201*(参考2_エネ使用量経年!BK201+参考2_エネ使用量経年!BK288),"")</f>
        <v/>
      </c>
      <c r="BL351" s="916" t="str">
        <f ca="1">IFERROR($H351*44/12*参考2_エネ使用量経年!$H201*(参考2_エネ使用量経年!BL201+参考2_エネ使用量経年!BL288),"")</f>
        <v/>
      </c>
      <c r="BM351" s="916" t="str">
        <f ca="1">IFERROR($I351*44/12*参考2_エネ使用量経年!$I201*(参考2_エネ使用量経年!BM201+参考2_エネ使用量経年!BM288),"")</f>
        <v/>
      </c>
      <c r="BN351" s="916" t="str">
        <f ca="1">IFERROR($J351*44/12*参考2_エネ使用量経年!$J201*(参考2_エネ使用量経年!BN201+参考2_エネ使用量経年!BN288),"")</f>
        <v/>
      </c>
      <c r="BO351" s="916" t="str">
        <f ca="1">IFERROR($K351*44/12*参考2_エネ使用量経年!$K201*(参考2_エネ使用量経年!BO201+参考2_エネ使用量経年!BO288),"")</f>
        <v/>
      </c>
    </row>
    <row r="352" spans="1:67" ht="20.100000000000001" customHeight="1">
      <c r="A352" s="914">
        <v>39</v>
      </c>
      <c r="B352" s="1594"/>
      <c r="C352" s="1596"/>
      <c r="D352" s="793" t="s">
        <v>380</v>
      </c>
      <c r="E352" s="779"/>
      <c r="F352" s="786"/>
      <c r="G352" s="852" t="s">
        <v>1281</v>
      </c>
      <c r="H352" s="915">
        <f t="shared" ca="1" si="109"/>
        <v>0</v>
      </c>
      <c r="I352" s="915">
        <f t="shared" ca="1" si="110"/>
        <v>0</v>
      </c>
      <c r="J352" s="915">
        <f t="shared" ca="1" si="111"/>
        <v>0</v>
      </c>
      <c r="K352" s="915">
        <f t="shared" ca="1" si="112"/>
        <v>0</v>
      </c>
      <c r="L352" s="916">
        <f ca="1">IFERROR($H352*44/12*参考2_エネ使用量経年!$H202*(参考2_エネ使用量経年!L202+参考2_エネ使用量経年!L289),"")</f>
        <v>0</v>
      </c>
      <c r="M352" s="916">
        <f ca="1">IFERROR($I352*44/12*参考2_エネ使用量経年!$I202*(参考2_エネ使用量経年!M202+参考2_エネ使用量経年!M289),"")</f>
        <v>0</v>
      </c>
      <c r="N352" s="916">
        <f ca="1">IFERROR($J352*44/12*参考2_エネ使用量経年!$J202*(参考2_エネ使用量経年!N202+参考2_エネ使用量経年!N289),"")</f>
        <v>0</v>
      </c>
      <c r="O352" s="916">
        <f ca="1">IFERROR($K352*44/12*参考2_エネ使用量経年!$K202*(参考2_エネ使用量経年!O202+参考2_エネ使用量経年!O289),"")</f>
        <v>0</v>
      </c>
      <c r="P352" s="916">
        <f ca="1">IFERROR($H352*44/12*参考2_エネ使用量経年!$H202*(参考2_エネ使用量経年!P202+参考2_エネ使用量経年!P289),"")</f>
        <v>0</v>
      </c>
      <c r="Q352" s="916">
        <f ca="1">IFERROR($I352*44/12*参考2_エネ使用量経年!$I202*(参考2_エネ使用量経年!Q202+参考2_エネ使用量経年!Q289),"")</f>
        <v>0</v>
      </c>
      <c r="R352" s="916">
        <f ca="1">IFERROR($J352*44/12*参考2_エネ使用量経年!$J202*(参考2_エネ使用量経年!R202+参考2_エネ使用量経年!R289),"")</f>
        <v>0</v>
      </c>
      <c r="S352" s="916">
        <f ca="1">IFERROR($K352*44/12*参考2_エネ使用量経年!$K202*(参考2_エネ使用量経年!S202+参考2_エネ使用量経年!S289),"")</f>
        <v>0</v>
      </c>
      <c r="T352" s="916">
        <f ca="1">IFERROR($H352*44/12*参考2_エネ使用量経年!$H202*(参考2_エネ使用量経年!T202+参考2_エネ使用量経年!T289),"")</f>
        <v>0</v>
      </c>
      <c r="U352" s="916">
        <f ca="1">IFERROR($I352*44/12*参考2_エネ使用量経年!$I202*(参考2_エネ使用量経年!U202+参考2_エネ使用量経年!U289),"")</f>
        <v>0</v>
      </c>
      <c r="V352" s="916">
        <f ca="1">IFERROR($J352*44/12*参考2_エネ使用量経年!$J202*(参考2_エネ使用量経年!V202+参考2_エネ使用量経年!V289),"")</f>
        <v>0</v>
      </c>
      <c r="W352" s="916">
        <f ca="1">IFERROR($K352*44/12*参考2_エネ使用量経年!$K202*(参考2_エネ使用量経年!W202+参考2_エネ使用量経年!W289),"")</f>
        <v>0</v>
      </c>
      <c r="X352" s="916">
        <f ca="1">IFERROR($H352*44/12*参考2_エネ使用量経年!$H202*(参考2_エネ使用量経年!X202+参考2_エネ使用量経年!X289),"")</f>
        <v>0</v>
      </c>
      <c r="Y352" s="916">
        <f ca="1">IFERROR($I352*44/12*参考2_エネ使用量経年!$I202*(参考2_エネ使用量経年!Y202+参考2_エネ使用量経年!Y289),"")</f>
        <v>0</v>
      </c>
      <c r="Z352" s="916">
        <f ca="1">IFERROR($J352*44/12*参考2_エネ使用量経年!$J202*(参考2_エネ使用量経年!Z202+参考2_エネ使用量経年!Z289),"")</f>
        <v>0</v>
      </c>
      <c r="AA352" s="916">
        <f ca="1">IFERROR($K352*44/12*参考2_エネ使用量経年!$K202*(参考2_エネ使用量経年!AA202+参考2_エネ使用量経年!AA289),"")</f>
        <v>0</v>
      </c>
      <c r="AB352" s="916" t="str">
        <f ca="1">IFERROR($H352*44/12*参考2_エネ使用量経年!$H202*(参考2_エネ使用量経年!AB202+参考2_エネ使用量経年!AB289),"")</f>
        <v/>
      </c>
      <c r="AC352" s="916" t="str">
        <f ca="1">IFERROR($I352*44/12*参考2_エネ使用量経年!$I202*(参考2_エネ使用量経年!AC202+参考2_エネ使用量経年!AC289),"")</f>
        <v/>
      </c>
      <c r="AD352" s="916" t="str">
        <f ca="1">IFERROR($J352*44/12*参考2_エネ使用量経年!$J202*(参考2_エネ使用量経年!AD202+参考2_エネ使用量経年!AD289),"")</f>
        <v/>
      </c>
      <c r="AE352" s="916" t="str">
        <f ca="1">IFERROR($K352*44/12*参考2_エネ使用量経年!$K202*(参考2_エネ使用量経年!AE202+参考2_エネ使用量経年!AE289),"")</f>
        <v/>
      </c>
      <c r="AF352" s="916" t="str">
        <f ca="1">IFERROR($H352*44/12*参考2_エネ使用量経年!$H202*(参考2_エネ使用量経年!AF202+参考2_エネ使用量経年!AF289),"")</f>
        <v/>
      </c>
      <c r="AG352" s="916" t="str">
        <f ca="1">IFERROR($I352*44/12*参考2_エネ使用量経年!$I202*(参考2_エネ使用量経年!AG202+参考2_エネ使用量経年!AG289),"")</f>
        <v/>
      </c>
      <c r="AH352" s="916" t="str">
        <f ca="1">IFERROR($J352*44/12*参考2_エネ使用量経年!$J202*(参考2_エネ使用量経年!AH202+参考2_エネ使用量経年!AH289),"")</f>
        <v/>
      </c>
      <c r="AI352" s="916" t="str">
        <f ca="1">IFERROR($K352*44/12*参考2_エネ使用量経年!$K202*(参考2_エネ使用量経年!AI202+参考2_エネ使用量経年!AI289),"")</f>
        <v/>
      </c>
      <c r="AJ352" s="916" t="str">
        <f ca="1">IFERROR($H352*44/12*参考2_エネ使用量経年!$H202*(参考2_エネ使用量経年!AJ202+参考2_エネ使用量経年!AJ289),"")</f>
        <v/>
      </c>
      <c r="AK352" s="916" t="str">
        <f ca="1">IFERROR($I352*44/12*参考2_エネ使用量経年!$I202*(参考2_エネ使用量経年!AK202+参考2_エネ使用量経年!AK289),"")</f>
        <v/>
      </c>
      <c r="AL352" s="916" t="str">
        <f ca="1">IFERROR($J352*44/12*参考2_エネ使用量経年!$J202*(参考2_エネ使用量経年!AL202+参考2_エネ使用量経年!AL289),"")</f>
        <v/>
      </c>
      <c r="AM352" s="916" t="str">
        <f ca="1">IFERROR($K352*44/12*参考2_エネ使用量経年!$K202*(参考2_エネ使用量経年!AM202+参考2_エネ使用量経年!AM289),"")</f>
        <v/>
      </c>
      <c r="AN352" s="916" t="str">
        <f ca="1">IFERROR($H352*44/12*参考2_エネ使用量経年!$H202*(参考2_エネ使用量経年!AN202+参考2_エネ使用量経年!AN289),"")</f>
        <v/>
      </c>
      <c r="AO352" s="916" t="str">
        <f ca="1">IFERROR($I352*44/12*参考2_エネ使用量経年!$I202*(参考2_エネ使用量経年!AO202+参考2_エネ使用量経年!AO289),"")</f>
        <v/>
      </c>
      <c r="AP352" s="916" t="str">
        <f ca="1">IFERROR($J352*44/12*参考2_エネ使用量経年!$J202*(参考2_エネ使用量経年!AP202+参考2_エネ使用量経年!AP289),"")</f>
        <v/>
      </c>
      <c r="AQ352" s="916" t="str">
        <f ca="1">IFERROR($K352*44/12*参考2_エネ使用量経年!$K202*(参考2_エネ使用量経年!AQ202+参考2_エネ使用量経年!AQ289),"")</f>
        <v/>
      </c>
      <c r="AR352" s="916" t="str">
        <f ca="1">IFERROR($H352*44/12*参考2_エネ使用量経年!$H202*(参考2_エネ使用量経年!AR202+参考2_エネ使用量経年!AR289),"")</f>
        <v/>
      </c>
      <c r="AS352" s="916" t="str">
        <f ca="1">IFERROR($I352*44/12*参考2_エネ使用量経年!$I202*(参考2_エネ使用量経年!AS202+参考2_エネ使用量経年!AS289),"")</f>
        <v/>
      </c>
      <c r="AT352" s="916" t="str">
        <f ca="1">IFERROR($J352*44/12*参考2_エネ使用量経年!$J202*(参考2_エネ使用量経年!AT202+参考2_エネ使用量経年!AT289),"")</f>
        <v/>
      </c>
      <c r="AU352" s="916" t="str">
        <f ca="1">IFERROR($K352*44/12*参考2_エネ使用量経年!$K202*(参考2_エネ使用量経年!AU202+参考2_エネ使用量経年!AU289),"")</f>
        <v/>
      </c>
      <c r="AV352" s="916" t="str">
        <f ca="1">IFERROR($H352*44/12*参考2_エネ使用量経年!$H202*(参考2_エネ使用量経年!AV202+参考2_エネ使用量経年!AV289),"")</f>
        <v/>
      </c>
      <c r="AW352" s="916" t="str">
        <f ca="1">IFERROR($I352*44/12*参考2_エネ使用量経年!$I202*(参考2_エネ使用量経年!AW202+参考2_エネ使用量経年!AW289),"")</f>
        <v/>
      </c>
      <c r="AX352" s="916" t="str">
        <f ca="1">IFERROR($J352*44/12*参考2_エネ使用量経年!$J202*(参考2_エネ使用量経年!AX202+参考2_エネ使用量経年!AX289),"")</f>
        <v/>
      </c>
      <c r="AY352" s="916" t="str">
        <f ca="1">IFERROR($K352*44/12*参考2_エネ使用量経年!$K202*(参考2_エネ使用量経年!AY202+参考2_エネ使用量経年!AY289),"")</f>
        <v/>
      </c>
      <c r="AZ352" s="916" t="str">
        <f ca="1">IFERROR($H352*44/12*参考2_エネ使用量経年!$H202*(参考2_エネ使用量経年!AZ202+参考2_エネ使用量経年!AZ289),"")</f>
        <v/>
      </c>
      <c r="BA352" s="916" t="str">
        <f ca="1">IFERROR($I352*44/12*参考2_エネ使用量経年!$I202*(参考2_エネ使用量経年!BA202+参考2_エネ使用量経年!BA289),"")</f>
        <v/>
      </c>
      <c r="BB352" s="916" t="str">
        <f ca="1">IFERROR($J352*44/12*参考2_エネ使用量経年!$J202*(参考2_エネ使用量経年!BB202+参考2_エネ使用量経年!BB289),"")</f>
        <v/>
      </c>
      <c r="BC352" s="916" t="str">
        <f ca="1">IFERROR($K352*44/12*参考2_エネ使用量経年!$K202*(参考2_エネ使用量経年!BC202+参考2_エネ使用量経年!BC289),"")</f>
        <v/>
      </c>
      <c r="BD352" s="916" t="str">
        <f ca="1">IFERROR($H352*44/12*参考2_エネ使用量経年!$H202*(参考2_エネ使用量経年!BD202+参考2_エネ使用量経年!BD289),"")</f>
        <v/>
      </c>
      <c r="BE352" s="916" t="str">
        <f ca="1">IFERROR($I352*44/12*参考2_エネ使用量経年!$I202*(参考2_エネ使用量経年!BE202+参考2_エネ使用量経年!BE289),"")</f>
        <v/>
      </c>
      <c r="BF352" s="916" t="str">
        <f ca="1">IFERROR($J352*44/12*参考2_エネ使用量経年!$J202*(参考2_エネ使用量経年!BF202+参考2_エネ使用量経年!BF289),"")</f>
        <v/>
      </c>
      <c r="BG352" s="916" t="str">
        <f ca="1">IFERROR($K352*44/12*参考2_エネ使用量経年!$K202*(参考2_エネ使用量経年!BG202+参考2_エネ使用量経年!BG289),"")</f>
        <v/>
      </c>
      <c r="BH352" s="916" t="str">
        <f ca="1">IFERROR($H352*44/12*参考2_エネ使用量経年!$H202*(参考2_エネ使用量経年!BH202+参考2_エネ使用量経年!BH289),"")</f>
        <v/>
      </c>
      <c r="BI352" s="916" t="str">
        <f ca="1">IFERROR($I352*44/12*参考2_エネ使用量経年!$I202*(参考2_エネ使用量経年!BI202+参考2_エネ使用量経年!BI289),"")</f>
        <v/>
      </c>
      <c r="BJ352" s="916" t="str">
        <f ca="1">IFERROR($J352*44/12*参考2_エネ使用量経年!$J202*(参考2_エネ使用量経年!BJ202+参考2_エネ使用量経年!BJ289),"")</f>
        <v/>
      </c>
      <c r="BK352" s="916" t="str">
        <f ca="1">IFERROR($K352*44/12*参考2_エネ使用量経年!$K202*(参考2_エネ使用量経年!BK202+参考2_エネ使用量経年!BK289),"")</f>
        <v/>
      </c>
      <c r="BL352" s="916" t="str">
        <f ca="1">IFERROR($H352*44/12*参考2_エネ使用量経年!$H202*(参考2_エネ使用量経年!BL202+参考2_エネ使用量経年!BL289),"")</f>
        <v/>
      </c>
      <c r="BM352" s="916" t="str">
        <f ca="1">IFERROR($I352*44/12*参考2_エネ使用量経年!$I202*(参考2_エネ使用量経年!BM202+参考2_エネ使用量経年!BM289),"")</f>
        <v/>
      </c>
      <c r="BN352" s="916" t="str">
        <f ca="1">IFERROR($J352*44/12*参考2_エネ使用量経年!$J202*(参考2_エネ使用量経年!BN202+参考2_エネ使用量経年!BN289),"")</f>
        <v/>
      </c>
      <c r="BO352" s="916" t="str">
        <f ca="1">IFERROR($K352*44/12*参考2_エネ使用量経年!$K202*(参考2_エネ使用量経年!BO202+参考2_エネ使用量経年!BO289),"")</f>
        <v/>
      </c>
    </row>
    <row r="353" spans="1:68" ht="20.100000000000001" customHeight="1">
      <c r="A353" s="914">
        <v>40</v>
      </c>
      <c r="B353" s="1594"/>
      <c r="C353" s="1596"/>
      <c r="D353" s="785" t="s">
        <v>381</v>
      </c>
      <c r="E353" s="785"/>
      <c r="F353" s="786"/>
      <c r="G353" s="852" t="s">
        <v>1281</v>
      </c>
      <c r="H353" s="915">
        <f t="shared" ca="1" si="109"/>
        <v>0</v>
      </c>
      <c r="I353" s="915">
        <f t="shared" ca="1" si="110"/>
        <v>0</v>
      </c>
      <c r="J353" s="915">
        <f t="shared" ca="1" si="111"/>
        <v>0</v>
      </c>
      <c r="K353" s="915">
        <f t="shared" ca="1" si="112"/>
        <v>0</v>
      </c>
      <c r="L353" s="916">
        <f ca="1">IFERROR($H353*44/12*参考2_エネ使用量経年!$H203*(参考2_エネ使用量経年!L203+参考2_エネ使用量経年!L290),"")</f>
        <v>0</v>
      </c>
      <c r="M353" s="916">
        <f ca="1">IFERROR($I353*44/12*参考2_エネ使用量経年!$I203*(参考2_エネ使用量経年!M203+参考2_エネ使用量経年!M290),"")</f>
        <v>0</v>
      </c>
      <c r="N353" s="916">
        <f ca="1">IFERROR($J353*44/12*参考2_エネ使用量経年!$J203*(参考2_エネ使用量経年!N203+参考2_エネ使用量経年!N290),"")</f>
        <v>0</v>
      </c>
      <c r="O353" s="916">
        <f ca="1">IFERROR($K353*44/12*参考2_エネ使用量経年!$K203*(参考2_エネ使用量経年!O203+参考2_エネ使用量経年!O290),"")</f>
        <v>0</v>
      </c>
      <c r="P353" s="916">
        <f ca="1">IFERROR($H353*44/12*参考2_エネ使用量経年!$H203*(参考2_エネ使用量経年!P203+参考2_エネ使用量経年!P290),"")</f>
        <v>0</v>
      </c>
      <c r="Q353" s="916">
        <f ca="1">IFERROR($I353*44/12*参考2_エネ使用量経年!$I203*(参考2_エネ使用量経年!Q203+参考2_エネ使用量経年!Q290),"")</f>
        <v>0</v>
      </c>
      <c r="R353" s="916">
        <f ca="1">IFERROR($J353*44/12*参考2_エネ使用量経年!$J203*(参考2_エネ使用量経年!R203+参考2_エネ使用量経年!R290),"")</f>
        <v>0</v>
      </c>
      <c r="S353" s="916">
        <f ca="1">IFERROR($K353*44/12*参考2_エネ使用量経年!$K203*(参考2_エネ使用量経年!S203+参考2_エネ使用量経年!S290),"")</f>
        <v>0</v>
      </c>
      <c r="T353" s="916">
        <f ca="1">IFERROR($H353*44/12*参考2_エネ使用量経年!$H203*(参考2_エネ使用量経年!T203+参考2_エネ使用量経年!T290),"")</f>
        <v>0</v>
      </c>
      <c r="U353" s="916">
        <f ca="1">IFERROR($I353*44/12*参考2_エネ使用量経年!$I203*(参考2_エネ使用量経年!U203+参考2_エネ使用量経年!U290),"")</f>
        <v>0</v>
      </c>
      <c r="V353" s="916">
        <f ca="1">IFERROR($J353*44/12*参考2_エネ使用量経年!$J203*(参考2_エネ使用量経年!V203+参考2_エネ使用量経年!V290),"")</f>
        <v>0</v>
      </c>
      <c r="W353" s="916">
        <f ca="1">IFERROR($K353*44/12*参考2_エネ使用量経年!$K203*(参考2_エネ使用量経年!W203+参考2_エネ使用量経年!W290),"")</f>
        <v>0</v>
      </c>
      <c r="X353" s="916">
        <f ca="1">IFERROR($H353*44/12*参考2_エネ使用量経年!$H203*(参考2_エネ使用量経年!X203+参考2_エネ使用量経年!X290),"")</f>
        <v>0</v>
      </c>
      <c r="Y353" s="916">
        <f ca="1">IFERROR($I353*44/12*参考2_エネ使用量経年!$I203*(参考2_エネ使用量経年!Y203+参考2_エネ使用量経年!Y290),"")</f>
        <v>0</v>
      </c>
      <c r="Z353" s="916">
        <f ca="1">IFERROR($J353*44/12*参考2_エネ使用量経年!$J203*(参考2_エネ使用量経年!Z203+参考2_エネ使用量経年!Z290),"")</f>
        <v>0</v>
      </c>
      <c r="AA353" s="916">
        <f ca="1">IFERROR($K353*44/12*参考2_エネ使用量経年!$K203*(参考2_エネ使用量経年!AA203+参考2_エネ使用量経年!AA290),"")</f>
        <v>0</v>
      </c>
      <c r="AB353" s="916" t="str">
        <f ca="1">IFERROR($H353*44/12*参考2_エネ使用量経年!$H203*(参考2_エネ使用量経年!AB203+参考2_エネ使用量経年!AB290),"")</f>
        <v/>
      </c>
      <c r="AC353" s="916" t="str">
        <f ca="1">IFERROR($I353*44/12*参考2_エネ使用量経年!$I203*(参考2_エネ使用量経年!AC203+参考2_エネ使用量経年!AC290),"")</f>
        <v/>
      </c>
      <c r="AD353" s="916" t="str">
        <f ca="1">IFERROR($J353*44/12*参考2_エネ使用量経年!$J203*(参考2_エネ使用量経年!AD203+参考2_エネ使用量経年!AD290),"")</f>
        <v/>
      </c>
      <c r="AE353" s="916" t="str">
        <f ca="1">IFERROR($K353*44/12*参考2_エネ使用量経年!$K203*(参考2_エネ使用量経年!AE203+参考2_エネ使用量経年!AE290),"")</f>
        <v/>
      </c>
      <c r="AF353" s="916" t="str">
        <f ca="1">IFERROR($H353*44/12*参考2_エネ使用量経年!$H203*(参考2_エネ使用量経年!AF203+参考2_エネ使用量経年!AF290),"")</f>
        <v/>
      </c>
      <c r="AG353" s="916" t="str">
        <f ca="1">IFERROR($I353*44/12*参考2_エネ使用量経年!$I203*(参考2_エネ使用量経年!AG203+参考2_エネ使用量経年!AG290),"")</f>
        <v/>
      </c>
      <c r="AH353" s="916" t="str">
        <f ca="1">IFERROR($J353*44/12*参考2_エネ使用量経年!$J203*(参考2_エネ使用量経年!AH203+参考2_エネ使用量経年!AH290),"")</f>
        <v/>
      </c>
      <c r="AI353" s="916" t="str">
        <f ca="1">IFERROR($K353*44/12*参考2_エネ使用量経年!$K203*(参考2_エネ使用量経年!AI203+参考2_エネ使用量経年!AI290),"")</f>
        <v/>
      </c>
      <c r="AJ353" s="916" t="str">
        <f ca="1">IFERROR($H353*44/12*参考2_エネ使用量経年!$H203*(参考2_エネ使用量経年!AJ203+参考2_エネ使用量経年!AJ290),"")</f>
        <v/>
      </c>
      <c r="AK353" s="916" t="str">
        <f ca="1">IFERROR($I353*44/12*参考2_エネ使用量経年!$I203*(参考2_エネ使用量経年!AK203+参考2_エネ使用量経年!AK290),"")</f>
        <v/>
      </c>
      <c r="AL353" s="916" t="str">
        <f ca="1">IFERROR($J353*44/12*参考2_エネ使用量経年!$J203*(参考2_エネ使用量経年!AL203+参考2_エネ使用量経年!AL290),"")</f>
        <v/>
      </c>
      <c r="AM353" s="916" t="str">
        <f ca="1">IFERROR($K353*44/12*参考2_エネ使用量経年!$K203*(参考2_エネ使用量経年!AM203+参考2_エネ使用量経年!AM290),"")</f>
        <v/>
      </c>
      <c r="AN353" s="916" t="str">
        <f ca="1">IFERROR($H353*44/12*参考2_エネ使用量経年!$H203*(参考2_エネ使用量経年!AN203+参考2_エネ使用量経年!AN290),"")</f>
        <v/>
      </c>
      <c r="AO353" s="916" t="str">
        <f ca="1">IFERROR($I353*44/12*参考2_エネ使用量経年!$I203*(参考2_エネ使用量経年!AO203+参考2_エネ使用量経年!AO290),"")</f>
        <v/>
      </c>
      <c r="AP353" s="916" t="str">
        <f ca="1">IFERROR($J353*44/12*参考2_エネ使用量経年!$J203*(参考2_エネ使用量経年!AP203+参考2_エネ使用量経年!AP290),"")</f>
        <v/>
      </c>
      <c r="AQ353" s="916" t="str">
        <f ca="1">IFERROR($K353*44/12*参考2_エネ使用量経年!$K203*(参考2_エネ使用量経年!AQ203+参考2_エネ使用量経年!AQ290),"")</f>
        <v/>
      </c>
      <c r="AR353" s="916" t="str">
        <f ca="1">IFERROR($H353*44/12*参考2_エネ使用量経年!$H203*(参考2_エネ使用量経年!AR203+参考2_エネ使用量経年!AR290),"")</f>
        <v/>
      </c>
      <c r="AS353" s="916" t="str">
        <f ca="1">IFERROR($I353*44/12*参考2_エネ使用量経年!$I203*(参考2_エネ使用量経年!AS203+参考2_エネ使用量経年!AS290),"")</f>
        <v/>
      </c>
      <c r="AT353" s="916" t="str">
        <f ca="1">IFERROR($J353*44/12*参考2_エネ使用量経年!$J203*(参考2_エネ使用量経年!AT203+参考2_エネ使用量経年!AT290),"")</f>
        <v/>
      </c>
      <c r="AU353" s="916" t="str">
        <f ca="1">IFERROR($K353*44/12*参考2_エネ使用量経年!$K203*(参考2_エネ使用量経年!AU203+参考2_エネ使用量経年!AU290),"")</f>
        <v/>
      </c>
      <c r="AV353" s="916" t="str">
        <f ca="1">IFERROR($H353*44/12*参考2_エネ使用量経年!$H203*(参考2_エネ使用量経年!AV203+参考2_エネ使用量経年!AV290),"")</f>
        <v/>
      </c>
      <c r="AW353" s="916" t="str">
        <f ca="1">IFERROR($I353*44/12*参考2_エネ使用量経年!$I203*(参考2_エネ使用量経年!AW203+参考2_エネ使用量経年!AW290),"")</f>
        <v/>
      </c>
      <c r="AX353" s="916" t="str">
        <f ca="1">IFERROR($J353*44/12*参考2_エネ使用量経年!$J203*(参考2_エネ使用量経年!AX203+参考2_エネ使用量経年!AX290),"")</f>
        <v/>
      </c>
      <c r="AY353" s="916" t="str">
        <f ca="1">IFERROR($K353*44/12*参考2_エネ使用量経年!$K203*(参考2_エネ使用量経年!AY203+参考2_エネ使用量経年!AY290),"")</f>
        <v/>
      </c>
      <c r="AZ353" s="916" t="str">
        <f ca="1">IFERROR($H353*44/12*参考2_エネ使用量経年!$H203*(参考2_エネ使用量経年!AZ203+参考2_エネ使用量経年!AZ290),"")</f>
        <v/>
      </c>
      <c r="BA353" s="916" t="str">
        <f ca="1">IFERROR($I353*44/12*参考2_エネ使用量経年!$I203*(参考2_エネ使用量経年!BA203+参考2_エネ使用量経年!BA290),"")</f>
        <v/>
      </c>
      <c r="BB353" s="916" t="str">
        <f ca="1">IFERROR($J353*44/12*参考2_エネ使用量経年!$J203*(参考2_エネ使用量経年!BB203+参考2_エネ使用量経年!BB290),"")</f>
        <v/>
      </c>
      <c r="BC353" s="916" t="str">
        <f ca="1">IFERROR($K353*44/12*参考2_エネ使用量経年!$K203*(参考2_エネ使用量経年!BC203+参考2_エネ使用量経年!BC290),"")</f>
        <v/>
      </c>
      <c r="BD353" s="916" t="str">
        <f ca="1">IFERROR($H353*44/12*参考2_エネ使用量経年!$H203*(参考2_エネ使用量経年!BD203+参考2_エネ使用量経年!BD290),"")</f>
        <v/>
      </c>
      <c r="BE353" s="916" t="str">
        <f ca="1">IFERROR($I353*44/12*参考2_エネ使用量経年!$I203*(参考2_エネ使用量経年!BE203+参考2_エネ使用量経年!BE290),"")</f>
        <v/>
      </c>
      <c r="BF353" s="916" t="str">
        <f ca="1">IFERROR($J353*44/12*参考2_エネ使用量経年!$J203*(参考2_エネ使用量経年!BF203+参考2_エネ使用量経年!BF290),"")</f>
        <v/>
      </c>
      <c r="BG353" s="916" t="str">
        <f ca="1">IFERROR($K353*44/12*参考2_エネ使用量経年!$K203*(参考2_エネ使用量経年!BG203+参考2_エネ使用量経年!BG290),"")</f>
        <v/>
      </c>
      <c r="BH353" s="916" t="str">
        <f ca="1">IFERROR($H353*44/12*参考2_エネ使用量経年!$H203*(参考2_エネ使用量経年!BH203+参考2_エネ使用量経年!BH290),"")</f>
        <v/>
      </c>
      <c r="BI353" s="916" t="str">
        <f ca="1">IFERROR($I353*44/12*参考2_エネ使用量経年!$I203*(参考2_エネ使用量経年!BI203+参考2_エネ使用量経年!BI290),"")</f>
        <v/>
      </c>
      <c r="BJ353" s="916" t="str">
        <f ca="1">IFERROR($J353*44/12*参考2_エネ使用量経年!$J203*(参考2_エネ使用量経年!BJ203+参考2_エネ使用量経年!BJ290),"")</f>
        <v/>
      </c>
      <c r="BK353" s="916" t="str">
        <f ca="1">IFERROR($K353*44/12*参考2_エネ使用量経年!$K203*(参考2_エネ使用量経年!BK203+参考2_エネ使用量経年!BK290),"")</f>
        <v/>
      </c>
      <c r="BL353" s="916" t="str">
        <f ca="1">IFERROR($H353*44/12*参考2_エネ使用量経年!$H203*(参考2_エネ使用量経年!BL203+参考2_エネ使用量経年!BL290),"")</f>
        <v/>
      </c>
      <c r="BM353" s="916" t="str">
        <f ca="1">IFERROR($I353*44/12*参考2_エネ使用量経年!$I203*(参考2_エネ使用量経年!BM203+参考2_エネ使用量経年!BM290),"")</f>
        <v/>
      </c>
      <c r="BN353" s="916" t="str">
        <f ca="1">IFERROR($J353*44/12*参考2_エネ使用量経年!$J203*(参考2_エネ使用量経年!BN203+参考2_エネ使用量経年!BN290),"")</f>
        <v/>
      </c>
      <c r="BO353" s="916" t="str">
        <f ca="1">IFERROR($K353*44/12*参考2_エネ使用量経年!$K203*(参考2_エネ使用量経年!BO203+参考2_エネ使用量経年!BO290),"")</f>
        <v/>
      </c>
    </row>
    <row r="354" spans="1:68" ht="20.100000000000001" customHeight="1">
      <c r="A354" s="914">
        <v>41</v>
      </c>
      <c r="B354" s="1594"/>
      <c r="C354" s="1596"/>
      <c r="D354" s="785" t="s">
        <v>382</v>
      </c>
      <c r="E354" s="785"/>
      <c r="F354" s="786"/>
      <c r="G354" s="852" t="s">
        <v>1281</v>
      </c>
      <c r="H354" s="915">
        <f t="shared" ca="1" si="109"/>
        <v>0</v>
      </c>
      <c r="I354" s="915">
        <f t="shared" ca="1" si="110"/>
        <v>0</v>
      </c>
      <c r="J354" s="915">
        <f t="shared" ca="1" si="111"/>
        <v>0</v>
      </c>
      <c r="K354" s="915">
        <f t="shared" ca="1" si="112"/>
        <v>0</v>
      </c>
      <c r="L354" s="916">
        <f ca="1">IFERROR($H354*44/12*参考2_エネ使用量経年!$H204*(参考2_エネ使用量経年!L204+参考2_エネ使用量経年!L291),"")</f>
        <v>0</v>
      </c>
      <c r="M354" s="916">
        <f ca="1">IFERROR($I354*44/12*参考2_エネ使用量経年!$I204*(参考2_エネ使用量経年!M204+参考2_エネ使用量経年!M291),"")</f>
        <v>0</v>
      </c>
      <c r="N354" s="916">
        <f ca="1">IFERROR($J354*44/12*参考2_エネ使用量経年!$J204*(参考2_エネ使用量経年!N204+参考2_エネ使用量経年!N291),"")</f>
        <v>0</v>
      </c>
      <c r="O354" s="916">
        <f ca="1">IFERROR($K354*44/12*参考2_エネ使用量経年!$K204*(参考2_エネ使用量経年!O204+参考2_エネ使用量経年!O291),"")</f>
        <v>0</v>
      </c>
      <c r="P354" s="916">
        <f ca="1">IFERROR($H354*44/12*参考2_エネ使用量経年!$H204*(参考2_エネ使用量経年!P204+参考2_エネ使用量経年!P291),"")</f>
        <v>0</v>
      </c>
      <c r="Q354" s="916">
        <f ca="1">IFERROR($I354*44/12*参考2_エネ使用量経年!$I204*(参考2_エネ使用量経年!Q204+参考2_エネ使用量経年!Q291),"")</f>
        <v>0</v>
      </c>
      <c r="R354" s="916">
        <f ca="1">IFERROR($J354*44/12*参考2_エネ使用量経年!$J204*(参考2_エネ使用量経年!R204+参考2_エネ使用量経年!R291),"")</f>
        <v>0</v>
      </c>
      <c r="S354" s="916">
        <f ca="1">IFERROR($K354*44/12*参考2_エネ使用量経年!$K204*(参考2_エネ使用量経年!S204+参考2_エネ使用量経年!S291),"")</f>
        <v>0</v>
      </c>
      <c r="T354" s="916">
        <f ca="1">IFERROR($H354*44/12*参考2_エネ使用量経年!$H204*(参考2_エネ使用量経年!T204+参考2_エネ使用量経年!T291),"")</f>
        <v>0</v>
      </c>
      <c r="U354" s="916">
        <f ca="1">IFERROR($I354*44/12*参考2_エネ使用量経年!$I204*(参考2_エネ使用量経年!U204+参考2_エネ使用量経年!U291),"")</f>
        <v>0</v>
      </c>
      <c r="V354" s="916">
        <f ca="1">IFERROR($J354*44/12*参考2_エネ使用量経年!$J204*(参考2_エネ使用量経年!V204+参考2_エネ使用量経年!V291),"")</f>
        <v>0</v>
      </c>
      <c r="W354" s="916">
        <f ca="1">IFERROR($K354*44/12*参考2_エネ使用量経年!$K204*(参考2_エネ使用量経年!W204+参考2_エネ使用量経年!W291),"")</f>
        <v>0</v>
      </c>
      <c r="X354" s="916">
        <f ca="1">IFERROR($H354*44/12*参考2_エネ使用量経年!$H204*(参考2_エネ使用量経年!X204+参考2_エネ使用量経年!X291),"")</f>
        <v>0</v>
      </c>
      <c r="Y354" s="916">
        <f ca="1">IFERROR($I354*44/12*参考2_エネ使用量経年!$I204*(参考2_エネ使用量経年!Y204+参考2_エネ使用量経年!Y291),"")</f>
        <v>0</v>
      </c>
      <c r="Z354" s="916">
        <f ca="1">IFERROR($J354*44/12*参考2_エネ使用量経年!$J204*(参考2_エネ使用量経年!Z204+参考2_エネ使用量経年!Z291),"")</f>
        <v>0</v>
      </c>
      <c r="AA354" s="916">
        <f ca="1">IFERROR($K354*44/12*参考2_エネ使用量経年!$K204*(参考2_エネ使用量経年!AA204+参考2_エネ使用量経年!AA291),"")</f>
        <v>0</v>
      </c>
      <c r="AB354" s="916" t="str">
        <f ca="1">IFERROR($H354*44/12*参考2_エネ使用量経年!$H204*(参考2_エネ使用量経年!AB204+参考2_エネ使用量経年!AB291),"")</f>
        <v/>
      </c>
      <c r="AC354" s="916" t="str">
        <f ca="1">IFERROR($I354*44/12*参考2_エネ使用量経年!$I204*(参考2_エネ使用量経年!AC204+参考2_エネ使用量経年!AC291),"")</f>
        <v/>
      </c>
      <c r="AD354" s="916" t="str">
        <f ca="1">IFERROR($J354*44/12*参考2_エネ使用量経年!$J204*(参考2_エネ使用量経年!AD204+参考2_エネ使用量経年!AD291),"")</f>
        <v/>
      </c>
      <c r="AE354" s="916" t="str">
        <f ca="1">IFERROR($K354*44/12*参考2_エネ使用量経年!$K204*(参考2_エネ使用量経年!AE204+参考2_エネ使用量経年!AE291),"")</f>
        <v/>
      </c>
      <c r="AF354" s="916" t="str">
        <f ca="1">IFERROR($H354*44/12*参考2_エネ使用量経年!$H204*(参考2_エネ使用量経年!AF204+参考2_エネ使用量経年!AF291),"")</f>
        <v/>
      </c>
      <c r="AG354" s="916" t="str">
        <f ca="1">IFERROR($I354*44/12*参考2_エネ使用量経年!$I204*(参考2_エネ使用量経年!AG204+参考2_エネ使用量経年!AG291),"")</f>
        <v/>
      </c>
      <c r="AH354" s="916" t="str">
        <f ca="1">IFERROR($J354*44/12*参考2_エネ使用量経年!$J204*(参考2_エネ使用量経年!AH204+参考2_エネ使用量経年!AH291),"")</f>
        <v/>
      </c>
      <c r="AI354" s="916" t="str">
        <f ca="1">IFERROR($K354*44/12*参考2_エネ使用量経年!$K204*(参考2_エネ使用量経年!AI204+参考2_エネ使用量経年!AI291),"")</f>
        <v/>
      </c>
      <c r="AJ354" s="916" t="str">
        <f ca="1">IFERROR($H354*44/12*参考2_エネ使用量経年!$H204*(参考2_エネ使用量経年!AJ204+参考2_エネ使用量経年!AJ291),"")</f>
        <v/>
      </c>
      <c r="AK354" s="916" t="str">
        <f ca="1">IFERROR($I354*44/12*参考2_エネ使用量経年!$I204*(参考2_エネ使用量経年!AK204+参考2_エネ使用量経年!AK291),"")</f>
        <v/>
      </c>
      <c r="AL354" s="916" t="str">
        <f ca="1">IFERROR($J354*44/12*参考2_エネ使用量経年!$J204*(参考2_エネ使用量経年!AL204+参考2_エネ使用量経年!AL291),"")</f>
        <v/>
      </c>
      <c r="AM354" s="916" t="str">
        <f ca="1">IFERROR($K354*44/12*参考2_エネ使用量経年!$K204*(参考2_エネ使用量経年!AM204+参考2_エネ使用量経年!AM291),"")</f>
        <v/>
      </c>
      <c r="AN354" s="916" t="str">
        <f ca="1">IFERROR($H354*44/12*参考2_エネ使用量経年!$H204*(参考2_エネ使用量経年!AN204+参考2_エネ使用量経年!AN291),"")</f>
        <v/>
      </c>
      <c r="AO354" s="916" t="str">
        <f ca="1">IFERROR($I354*44/12*参考2_エネ使用量経年!$I204*(参考2_エネ使用量経年!AO204+参考2_エネ使用量経年!AO291),"")</f>
        <v/>
      </c>
      <c r="AP354" s="916" t="str">
        <f ca="1">IFERROR($J354*44/12*参考2_エネ使用量経年!$J204*(参考2_エネ使用量経年!AP204+参考2_エネ使用量経年!AP291),"")</f>
        <v/>
      </c>
      <c r="AQ354" s="916" t="str">
        <f ca="1">IFERROR($K354*44/12*参考2_エネ使用量経年!$K204*(参考2_エネ使用量経年!AQ204+参考2_エネ使用量経年!AQ291),"")</f>
        <v/>
      </c>
      <c r="AR354" s="916" t="str">
        <f ca="1">IFERROR($H354*44/12*参考2_エネ使用量経年!$H204*(参考2_エネ使用量経年!AR204+参考2_エネ使用量経年!AR291),"")</f>
        <v/>
      </c>
      <c r="AS354" s="916" t="str">
        <f ca="1">IFERROR($I354*44/12*参考2_エネ使用量経年!$I204*(参考2_エネ使用量経年!AS204+参考2_エネ使用量経年!AS291),"")</f>
        <v/>
      </c>
      <c r="AT354" s="916" t="str">
        <f ca="1">IFERROR($J354*44/12*参考2_エネ使用量経年!$J204*(参考2_エネ使用量経年!AT204+参考2_エネ使用量経年!AT291),"")</f>
        <v/>
      </c>
      <c r="AU354" s="916" t="str">
        <f ca="1">IFERROR($K354*44/12*参考2_エネ使用量経年!$K204*(参考2_エネ使用量経年!AU204+参考2_エネ使用量経年!AU291),"")</f>
        <v/>
      </c>
      <c r="AV354" s="916" t="str">
        <f ca="1">IFERROR($H354*44/12*参考2_エネ使用量経年!$H204*(参考2_エネ使用量経年!AV204+参考2_エネ使用量経年!AV291),"")</f>
        <v/>
      </c>
      <c r="AW354" s="916" t="str">
        <f ca="1">IFERROR($I354*44/12*参考2_エネ使用量経年!$I204*(参考2_エネ使用量経年!AW204+参考2_エネ使用量経年!AW291),"")</f>
        <v/>
      </c>
      <c r="AX354" s="916" t="str">
        <f ca="1">IFERROR($J354*44/12*参考2_エネ使用量経年!$J204*(参考2_エネ使用量経年!AX204+参考2_エネ使用量経年!AX291),"")</f>
        <v/>
      </c>
      <c r="AY354" s="916" t="str">
        <f ca="1">IFERROR($K354*44/12*参考2_エネ使用量経年!$K204*(参考2_エネ使用量経年!AY204+参考2_エネ使用量経年!AY291),"")</f>
        <v/>
      </c>
      <c r="AZ354" s="916" t="str">
        <f ca="1">IFERROR($H354*44/12*参考2_エネ使用量経年!$H204*(参考2_エネ使用量経年!AZ204+参考2_エネ使用量経年!AZ291),"")</f>
        <v/>
      </c>
      <c r="BA354" s="916" t="str">
        <f ca="1">IFERROR($I354*44/12*参考2_エネ使用量経年!$I204*(参考2_エネ使用量経年!BA204+参考2_エネ使用量経年!BA291),"")</f>
        <v/>
      </c>
      <c r="BB354" s="916" t="str">
        <f ca="1">IFERROR($J354*44/12*参考2_エネ使用量経年!$J204*(参考2_エネ使用量経年!BB204+参考2_エネ使用量経年!BB291),"")</f>
        <v/>
      </c>
      <c r="BC354" s="916" t="str">
        <f ca="1">IFERROR($K354*44/12*参考2_エネ使用量経年!$K204*(参考2_エネ使用量経年!BC204+参考2_エネ使用量経年!BC291),"")</f>
        <v/>
      </c>
      <c r="BD354" s="916" t="str">
        <f ca="1">IFERROR($H354*44/12*参考2_エネ使用量経年!$H204*(参考2_エネ使用量経年!BD204+参考2_エネ使用量経年!BD291),"")</f>
        <v/>
      </c>
      <c r="BE354" s="916" t="str">
        <f ca="1">IFERROR($I354*44/12*参考2_エネ使用量経年!$I204*(参考2_エネ使用量経年!BE204+参考2_エネ使用量経年!BE291),"")</f>
        <v/>
      </c>
      <c r="BF354" s="916" t="str">
        <f ca="1">IFERROR($J354*44/12*参考2_エネ使用量経年!$J204*(参考2_エネ使用量経年!BF204+参考2_エネ使用量経年!BF291),"")</f>
        <v/>
      </c>
      <c r="BG354" s="916" t="str">
        <f ca="1">IFERROR($K354*44/12*参考2_エネ使用量経年!$K204*(参考2_エネ使用量経年!BG204+参考2_エネ使用量経年!BG291),"")</f>
        <v/>
      </c>
      <c r="BH354" s="916" t="str">
        <f ca="1">IFERROR($H354*44/12*参考2_エネ使用量経年!$H204*(参考2_エネ使用量経年!BH204+参考2_エネ使用量経年!BH291),"")</f>
        <v/>
      </c>
      <c r="BI354" s="916" t="str">
        <f ca="1">IFERROR($I354*44/12*参考2_エネ使用量経年!$I204*(参考2_エネ使用量経年!BI204+参考2_エネ使用量経年!BI291),"")</f>
        <v/>
      </c>
      <c r="BJ354" s="916" t="str">
        <f ca="1">IFERROR($J354*44/12*参考2_エネ使用量経年!$J204*(参考2_エネ使用量経年!BJ204+参考2_エネ使用量経年!BJ291),"")</f>
        <v/>
      </c>
      <c r="BK354" s="916" t="str">
        <f ca="1">IFERROR($K354*44/12*参考2_エネ使用量経年!$K204*(参考2_エネ使用量経年!BK204+参考2_エネ使用量経年!BK291),"")</f>
        <v/>
      </c>
      <c r="BL354" s="916" t="str">
        <f ca="1">IFERROR($H354*44/12*参考2_エネ使用量経年!$H204*(参考2_エネ使用量経年!BL204+参考2_エネ使用量経年!BL291),"")</f>
        <v/>
      </c>
      <c r="BM354" s="916" t="str">
        <f ca="1">IFERROR($I354*44/12*参考2_エネ使用量経年!$I204*(参考2_エネ使用量経年!BM204+参考2_エネ使用量経年!BM291),"")</f>
        <v/>
      </c>
      <c r="BN354" s="916" t="str">
        <f ca="1">IFERROR($J354*44/12*参考2_エネ使用量経年!$J204*(参考2_エネ使用量経年!BN204+参考2_エネ使用量経年!BN291),"")</f>
        <v/>
      </c>
      <c r="BO354" s="916" t="str">
        <f ca="1">IFERROR($K354*44/12*参考2_エネ使用量経年!$K204*(参考2_エネ使用量経年!BO204+参考2_エネ使用量経年!BO291),"")</f>
        <v/>
      </c>
    </row>
    <row r="355" spans="1:68" ht="20.100000000000001" customHeight="1">
      <c r="A355" s="914">
        <v>42</v>
      </c>
      <c r="B355" s="1594"/>
      <c r="C355" s="1596"/>
      <c r="D355" s="785" t="s">
        <v>383</v>
      </c>
      <c r="E355" s="785"/>
      <c r="F355" s="786"/>
      <c r="G355" s="852" t="s">
        <v>1281</v>
      </c>
      <c r="H355" s="915">
        <f t="shared" ca="1" si="109"/>
        <v>0</v>
      </c>
      <c r="I355" s="915">
        <f t="shared" ca="1" si="110"/>
        <v>0</v>
      </c>
      <c r="J355" s="915">
        <f t="shared" ca="1" si="111"/>
        <v>0</v>
      </c>
      <c r="K355" s="915">
        <f t="shared" ca="1" si="112"/>
        <v>0</v>
      </c>
      <c r="L355" s="916">
        <f ca="1">IFERROR($H355*44/12*参考2_エネ使用量経年!$H205*(参考2_エネ使用量経年!L205+参考2_エネ使用量経年!L292),"")</f>
        <v>0</v>
      </c>
      <c r="M355" s="916">
        <f ca="1">IFERROR($I355*44/12*参考2_エネ使用量経年!$I205*(参考2_エネ使用量経年!M205+参考2_エネ使用量経年!M292),"")</f>
        <v>0</v>
      </c>
      <c r="N355" s="916">
        <f ca="1">IFERROR($J355*44/12*参考2_エネ使用量経年!$J205*(参考2_エネ使用量経年!N205+参考2_エネ使用量経年!N292),"")</f>
        <v>0</v>
      </c>
      <c r="O355" s="916">
        <f ca="1">IFERROR($K355*44/12*参考2_エネ使用量経年!$K205*(参考2_エネ使用量経年!O205+参考2_エネ使用量経年!O292),"")</f>
        <v>0</v>
      </c>
      <c r="P355" s="916">
        <f ca="1">IFERROR($H355*44/12*参考2_エネ使用量経年!$H205*(参考2_エネ使用量経年!P205+参考2_エネ使用量経年!P292),"")</f>
        <v>0</v>
      </c>
      <c r="Q355" s="916">
        <f ca="1">IFERROR($I355*44/12*参考2_エネ使用量経年!$I205*(参考2_エネ使用量経年!Q205+参考2_エネ使用量経年!Q292),"")</f>
        <v>0</v>
      </c>
      <c r="R355" s="916">
        <f ca="1">IFERROR($J355*44/12*参考2_エネ使用量経年!$J205*(参考2_エネ使用量経年!R205+参考2_エネ使用量経年!R292),"")</f>
        <v>0</v>
      </c>
      <c r="S355" s="916">
        <f ca="1">IFERROR($K355*44/12*参考2_エネ使用量経年!$K205*(参考2_エネ使用量経年!S205+参考2_エネ使用量経年!S292),"")</f>
        <v>0</v>
      </c>
      <c r="T355" s="916">
        <f ca="1">IFERROR($H355*44/12*参考2_エネ使用量経年!$H205*(参考2_エネ使用量経年!T205+参考2_エネ使用量経年!T292),"")</f>
        <v>0</v>
      </c>
      <c r="U355" s="916">
        <f ca="1">IFERROR($I355*44/12*参考2_エネ使用量経年!$I205*(参考2_エネ使用量経年!U205+参考2_エネ使用量経年!U292),"")</f>
        <v>0</v>
      </c>
      <c r="V355" s="916">
        <f ca="1">IFERROR($J355*44/12*参考2_エネ使用量経年!$J205*(参考2_エネ使用量経年!V205+参考2_エネ使用量経年!V292),"")</f>
        <v>0</v>
      </c>
      <c r="W355" s="916">
        <f ca="1">IFERROR($K355*44/12*参考2_エネ使用量経年!$K205*(参考2_エネ使用量経年!W205+参考2_エネ使用量経年!W292),"")</f>
        <v>0</v>
      </c>
      <c r="X355" s="916">
        <f ca="1">IFERROR($H355*44/12*参考2_エネ使用量経年!$H205*(参考2_エネ使用量経年!X205+参考2_エネ使用量経年!X292),"")</f>
        <v>0</v>
      </c>
      <c r="Y355" s="916">
        <f ca="1">IFERROR($I355*44/12*参考2_エネ使用量経年!$I205*(参考2_エネ使用量経年!Y205+参考2_エネ使用量経年!Y292),"")</f>
        <v>0</v>
      </c>
      <c r="Z355" s="916">
        <f ca="1">IFERROR($J355*44/12*参考2_エネ使用量経年!$J205*(参考2_エネ使用量経年!Z205+参考2_エネ使用量経年!Z292),"")</f>
        <v>0</v>
      </c>
      <c r="AA355" s="916">
        <f ca="1">IFERROR($K355*44/12*参考2_エネ使用量経年!$K205*(参考2_エネ使用量経年!AA205+参考2_エネ使用量経年!AA292),"")</f>
        <v>0</v>
      </c>
      <c r="AB355" s="916" t="str">
        <f ca="1">IFERROR($H355*44/12*参考2_エネ使用量経年!$H205*(参考2_エネ使用量経年!AB205+参考2_エネ使用量経年!AB292),"")</f>
        <v/>
      </c>
      <c r="AC355" s="916" t="str">
        <f ca="1">IFERROR($I355*44/12*参考2_エネ使用量経年!$I205*(参考2_エネ使用量経年!AC205+参考2_エネ使用量経年!AC292),"")</f>
        <v/>
      </c>
      <c r="AD355" s="916" t="str">
        <f ca="1">IFERROR($J355*44/12*参考2_エネ使用量経年!$J205*(参考2_エネ使用量経年!AD205+参考2_エネ使用量経年!AD292),"")</f>
        <v/>
      </c>
      <c r="AE355" s="916" t="str">
        <f ca="1">IFERROR($K355*44/12*参考2_エネ使用量経年!$K205*(参考2_エネ使用量経年!AE205+参考2_エネ使用量経年!AE292),"")</f>
        <v/>
      </c>
      <c r="AF355" s="916" t="str">
        <f ca="1">IFERROR($H355*44/12*参考2_エネ使用量経年!$H205*(参考2_エネ使用量経年!AF205+参考2_エネ使用量経年!AF292),"")</f>
        <v/>
      </c>
      <c r="AG355" s="916" t="str">
        <f ca="1">IFERROR($I355*44/12*参考2_エネ使用量経年!$I205*(参考2_エネ使用量経年!AG205+参考2_エネ使用量経年!AG292),"")</f>
        <v/>
      </c>
      <c r="AH355" s="916" t="str">
        <f ca="1">IFERROR($J355*44/12*参考2_エネ使用量経年!$J205*(参考2_エネ使用量経年!AH205+参考2_エネ使用量経年!AH292),"")</f>
        <v/>
      </c>
      <c r="AI355" s="916" t="str">
        <f ca="1">IFERROR($K355*44/12*参考2_エネ使用量経年!$K205*(参考2_エネ使用量経年!AI205+参考2_エネ使用量経年!AI292),"")</f>
        <v/>
      </c>
      <c r="AJ355" s="916" t="str">
        <f ca="1">IFERROR($H355*44/12*参考2_エネ使用量経年!$H205*(参考2_エネ使用量経年!AJ205+参考2_エネ使用量経年!AJ292),"")</f>
        <v/>
      </c>
      <c r="AK355" s="916" t="str">
        <f ca="1">IFERROR($I355*44/12*参考2_エネ使用量経年!$I205*(参考2_エネ使用量経年!AK205+参考2_エネ使用量経年!AK292),"")</f>
        <v/>
      </c>
      <c r="AL355" s="916" t="str">
        <f ca="1">IFERROR($J355*44/12*参考2_エネ使用量経年!$J205*(参考2_エネ使用量経年!AL205+参考2_エネ使用量経年!AL292),"")</f>
        <v/>
      </c>
      <c r="AM355" s="916" t="str">
        <f ca="1">IFERROR($K355*44/12*参考2_エネ使用量経年!$K205*(参考2_エネ使用量経年!AM205+参考2_エネ使用量経年!AM292),"")</f>
        <v/>
      </c>
      <c r="AN355" s="916" t="str">
        <f ca="1">IFERROR($H355*44/12*参考2_エネ使用量経年!$H205*(参考2_エネ使用量経年!AN205+参考2_エネ使用量経年!AN292),"")</f>
        <v/>
      </c>
      <c r="AO355" s="916" t="str">
        <f ca="1">IFERROR($I355*44/12*参考2_エネ使用量経年!$I205*(参考2_エネ使用量経年!AO205+参考2_エネ使用量経年!AO292),"")</f>
        <v/>
      </c>
      <c r="AP355" s="916" t="str">
        <f ca="1">IFERROR($J355*44/12*参考2_エネ使用量経年!$J205*(参考2_エネ使用量経年!AP205+参考2_エネ使用量経年!AP292),"")</f>
        <v/>
      </c>
      <c r="AQ355" s="916" t="str">
        <f ca="1">IFERROR($K355*44/12*参考2_エネ使用量経年!$K205*(参考2_エネ使用量経年!AQ205+参考2_エネ使用量経年!AQ292),"")</f>
        <v/>
      </c>
      <c r="AR355" s="916" t="str">
        <f ca="1">IFERROR($H355*44/12*参考2_エネ使用量経年!$H205*(参考2_エネ使用量経年!AR205+参考2_エネ使用量経年!AR292),"")</f>
        <v/>
      </c>
      <c r="AS355" s="916" t="str">
        <f ca="1">IFERROR($I355*44/12*参考2_エネ使用量経年!$I205*(参考2_エネ使用量経年!AS205+参考2_エネ使用量経年!AS292),"")</f>
        <v/>
      </c>
      <c r="AT355" s="916" t="str">
        <f ca="1">IFERROR($J355*44/12*参考2_エネ使用量経年!$J205*(参考2_エネ使用量経年!AT205+参考2_エネ使用量経年!AT292),"")</f>
        <v/>
      </c>
      <c r="AU355" s="916" t="str">
        <f ca="1">IFERROR($K355*44/12*参考2_エネ使用量経年!$K205*(参考2_エネ使用量経年!AU205+参考2_エネ使用量経年!AU292),"")</f>
        <v/>
      </c>
      <c r="AV355" s="916" t="str">
        <f ca="1">IFERROR($H355*44/12*参考2_エネ使用量経年!$H205*(参考2_エネ使用量経年!AV205+参考2_エネ使用量経年!AV292),"")</f>
        <v/>
      </c>
      <c r="AW355" s="916" t="str">
        <f ca="1">IFERROR($I355*44/12*参考2_エネ使用量経年!$I205*(参考2_エネ使用量経年!AW205+参考2_エネ使用量経年!AW292),"")</f>
        <v/>
      </c>
      <c r="AX355" s="916" t="str">
        <f ca="1">IFERROR($J355*44/12*参考2_エネ使用量経年!$J205*(参考2_エネ使用量経年!AX205+参考2_エネ使用量経年!AX292),"")</f>
        <v/>
      </c>
      <c r="AY355" s="916" t="str">
        <f ca="1">IFERROR($K355*44/12*参考2_エネ使用量経年!$K205*(参考2_エネ使用量経年!AY205+参考2_エネ使用量経年!AY292),"")</f>
        <v/>
      </c>
      <c r="AZ355" s="916" t="str">
        <f ca="1">IFERROR($H355*44/12*参考2_エネ使用量経年!$H205*(参考2_エネ使用量経年!AZ205+参考2_エネ使用量経年!AZ292),"")</f>
        <v/>
      </c>
      <c r="BA355" s="916" t="str">
        <f ca="1">IFERROR($I355*44/12*参考2_エネ使用量経年!$I205*(参考2_エネ使用量経年!BA205+参考2_エネ使用量経年!BA292),"")</f>
        <v/>
      </c>
      <c r="BB355" s="916" t="str">
        <f ca="1">IFERROR($J355*44/12*参考2_エネ使用量経年!$J205*(参考2_エネ使用量経年!BB205+参考2_エネ使用量経年!BB292),"")</f>
        <v/>
      </c>
      <c r="BC355" s="916" t="str">
        <f ca="1">IFERROR($K355*44/12*参考2_エネ使用量経年!$K205*(参考2_エネ使用量経年!BC205+参考2_エネ使用量経年!BC292),"")</f>
        <v/>
      </c>
      <c r="BD355" s="916" t="str">
        <f ca="1">IFERROR($H355*44/12*参考2_エネ使用量経年!$H205*(参考2_エネ使用量経年!BD205+参考2_エネ使用量経年!BD292),"")</f>
        <v/>
      </c>
      <c r="BE355" s="916" t="str">
        <f ca="1">IFERROR($I355*44/12*参考2_エネ使用量経年!$I205*(参考2_エネ使用量経年!BE205+参考2_エネ使用量経年!BE292),"")</f>
        <v/>
      </c>
      <c r="BF355" s="916" t="str">
        <f ca="1">IFERROR($J355*44/12*参考2_エネ使用量経年!$J205*(参考2_エネ使用量経年!BF205+参考2_エネ使用量経年!BF292),"")</f>
        <v/>
      </c>
      <c r="BG355" s="916" t="str">
        <f ca="1">IFERROR($K355*44/12*参考2_エネ使用量経年!$K205*(参考2_エネ使用量経年!BG205+参考2_エネ使用量経年!BG292),"")</f>
        <v/>
      </c>
      <c r="BH355" s="916" t="str">
        <f ca="1">IFERROR($H355*44/12*参考2_エネ使用量経年!$H205*(参考2_エネ使用量経年!BH205+参考2_エネ使用量経年!BH292),"")</f>
        <v/>
      </c>
      <c r="BI355" s="916" t="str">
        <f ca="1">IFERROR($I355*44/12*参考2_エネ使用量経年!$I205*(参考2_エネ使用量経年!BI205+参考2_エネ使用量経年!BI292),"")</f>
        <v/>
      </c>
      <c r="BJ355" s="916" t="str">
        <f ca="1">IFERROR($J355*44/12*参考2_エネ使用量経年!$J205*(参考2_エネ使用量経年!BJ205+参考2_エネ使用量経年!BJ292),"")</f>
        <v/>
      </c>
      <c r="BK355" s="916" t="str">
        <f ca="1">IFERROR($K355*44/12*参考2_エネ使用量経年!$K205*(参考2_エネ使用量経年!BK205+参考2_エネ使用量経年!BK292),"")</f>
        <v/>
      </c>
      <c r="BL355" s="916" t="str">
        <f ca="1">IFERROR($H355*44/12*参考2_エネ使用量経年!$H205*(参考2_エネ使用量経年!BL205+参考2_エネ使用量経年!BL292),"")</f>
        <v/>
      </c>
      <c r="BM355" s="916" t="str">
        <f ca="1">IFERROR($I355*44/12*参考2_エネ使用量経年!$I205*(参考2_エネ使用量経年!BM205+参考2_エネ使用量経年!BM292),"")</f>
        <v/>
      </c>
      <c r="BN355" s="916" t="str">
        <f ca="1">IFERROR($J355*44/12*参考2_エネ使用量経年!$J205*(参考2_エネ使用量経年!BN205+参考2_エネ使用量経年!BN292),"")</f>
        <v/>
      </c>
      <c r="BO355" s="916" t="str">
        <f ca="1">IFERROR($K355*44/12*参考2_エネ使用量経年!$K205*(参考2_エネ使用量経年!BO205+参考2_エネ使用量経年!BO292),"")</f>
        <v/>
      </c>
    </row>
    <row r="356" spans="1:68" ht="20.100000000000001" customHeight="1">
      <c r="A356" s="914">
        <v>43</v>
      </c>
      <c r="B356" s="1594"/>
      <c r="C356" s="1596"/>
      <c r="D356" s="785" t="s">
        <v>384</v>
      </c>
      <c r="E356" s="792" t="str">
        <f ca="1">E43</f>
        <v/>
      </c>
      <c r="F356" s="794"/>
      <c r="G356" s="852" t="s">
        <v>1281</v>
      </c>
      <c r="H356" s="915">
        <f t="shared" ca="1" si="109"/>
        <v>0</v>
      </c>
      <c r="I356" s="915">
        <f t="shared" ca="1" si="110"/>
        <v>0</v>
      </c>
      <c r="J356" s="915">
        <f t="shared" ca="1" si="111"/>
        <v>0</v>
      </c>
      <c r="K356" s="915">
        <f t="shared" ca="1" si="112"/>
        <v>0</v>
      </c>
      <c r="L356" s="916">
        <f ca="1">IFERROR($H356*44/12*参考2_エネ使用量経年!$H206*(参考2_エネ使用量経年!L206+参考2_エネ使用量経年!L293),"")</f>
        <v>0</v>
      </c>
      <c r="M356" s="916">
        <f ca="1">IFERROR($I356*44/12*参考2_エネ使用量経年!$I206*(参考2_エネ使用量経年!M206+参考2_エネ使用量経年!M293),"")</f>
        <v>0</v>
      </c>
      <c r="N356" s="916">
        <f ca="1">IFERROR($J356*44/12*参考2_エネ使用量経年!$J206*(参考2_エネ使用量経年!N206+参考2_エネ使用量経年!N293),"")</f>
        <v>0</v>
      </c>
      <c r="O356" s="916">
        <f ca="1">IFERROR($K356*44/12*参考2_エネ使用量経年!$K206*(参考2_エネ使用量経年!O206+参考2_エネ使用量経年!O293),"")</f>
        <v>0</v>
      </c>
      <c r="P356" s="916">
        <f ca="1">IFERROR($H356*44/12*参考2_エネ使用量経年!$H206*(参考2_エネ使用量経年!P206+参考2_エネ使用量経年!P293),"")</f>
        <v>0</v>
      </c>
      <c r="Q356" s="916">
        <f ca="1">IFERROR($I356*44/12*参考2_エネ使用量経年!$I206*(参考2_エネ使用量経年!Q206+参考2_エネ使用量経年!Q293),"")</f>
        <v>0</v>
      </c>
      <c r="R356" s="916">
        <f ca="1">IFERROR($J356*44/12*参考2_エネ使用量経年!$J206*(参考2_エネ使用量経年!R206+参考2_エネ使用量経年!R293),"")</f>
        <v>0</v>
      </c>
      <c r="S356" s="916">
        <f ca="1">IFERROR($K356*44/12*参考2_エネ使用量経年!$K206*(参考2_エネ使用量経年!S206+参考2_エネ使用量経年!S293),"")</f>
        <v>0</v>
      </c>
      <c r="T356" s="916">
        <f ca="1">IFERROR($H356*44/12*参考2_エネ使用量経年!$H206*(参考2_エネ使用量経年!T206+参考2_エネ使用量経年!T293),"")</f>
        <v>0</v>
      </c>
      <c r="U356" s="916">
        <f ca="1">IFERROR($I356*44/12*参考2_エネ使用量経年!$I206*(参考2_エネ使用量経年!U206+参考2_エネ使用量経年!U293),"")</f>
        <v>0</v>
      </c>
      <c r="V356" s="916">
        <f ca="1">IFERROR($J356*44/12*参考2_エネ使用量経年!$J206*(参考2_エネ使用量経年!V206+参考2_エネ使用量経年!V293),"")</f>
        <v>0</v>
      </c>
      <c r="W356" s="916">
        <f ca="1">IFERROR($K356*44/12*参考2_エネ使用量経年!$K206*(参考2_エネ使用量経年!W206+参考2_エネ使用量経年!W293),"")</f>
        <v>0</v>
      </c>
      <c r="X356" s="916">
        <f ca="1">IFERROR($H356*44/12*参考2_エネ使用量経年!$H206*(参考2_エネ使用量経年!X206+参考2_エネ使用量経年!X293),"")</f>
        <v>0</v>
      </c>
      <c r="Y356" s="916">
        <f ca="1">IFERROR($I356*44/12*参考2_エネ使用量経年!$I206*(参考2_エネ使用量経年!Y206+参考2_エネ使用量経年!Y293),"")</f>
        <v>0</v>
      </c>
      <c r="Z356" s="916">
        <f ca="1">IFERROR($J356*44/12*参考2_エネ使用量経年!$J206*(参考2_エネ使用量経年!Z206+参考2_エネ使用量経年!Z293),"")</f>
        <v>0</v>
      </c>
      <c r="AA356" s="916">
        <f ca="1">IFERROR($K356*44/12*参考2_エネ使用量経年!$K206*(参考2_エネ使用量経年!AA206+参考2_エネ使用量経年!AA293),"")</f>
        <v>0</v>
      </c>
      <c r="AB356" s="916" t="str">
        <f ca="1">IFERROR($H356*44/12*参考2_エネ使用量経年!$H206*(参考2_エネ使用量経年!AB206+参考2_エネ使用量経年!AB293),"")</f>
        <v/>
      </c>
      <c r="AC356" s="916" t="str">
        <f ca="1">IFERROR($I356*44/12*参考2_エネ使用量経年!$I206*(参考2_エネ使用量経年!AC206+参考2_エネ使用量経年!AC293),"")</f>
        <v/>
      </c>
      <c r="AD356" s="916" t="str">
        <f ca="1">IFERROR($J356*44/12*参考2_エネ使用量経年!$J206*(参考2_エネ使用量経年!AD206+参考2_エネ使用量経年!AD293),"")</f>
        <v/>
      </c>
      <c r="AE356" s="916" t="str">
        <f ca="1">IFERROR($K356*44/12*参考2_エネ使用量経年!$K206*(参考2_エネ使用量経年!AE206+参考2_エネ使用量経年!AE293),"")</f>
        <v/>
      </c>
      <c r="AF356" s="916" t="str">
        <f ca="1">IFERROR($H356*44/12*参考2_エネ使用量経年!$H206*(参考2_エネ使用量経年!AF206+参考2_エネ使用量経年!AF293),"")</f>
        <v/>
      </c>
      <c r="AG356" s="916" t="str">
        <f ca="1">IFERROR($I356*44/12*参考2_エネ使用量経年!$I206*(参考2_エネ使用量経年!AG206+参考2_エネ使用量経年!AG293),"")</f>
        <v/>
      </c>
      <c r="AH356" s="916" t="str">
        <f ca="1">IFERROR($J356*44/12*参考2_エネ使用量経年!$J206*(参考2_エネ使用量経年!AH206+参考2_エネ使用量経年!AH293),"")</f>
        <v/>
      </c>
      <c r="AI356" s="916" t="str">
        <f ca="1">IFERROR($K356*44/12*参考2_エネ使用量経年!$K206*(参考2_エネ使用量経年!AI206+参考2_エネ使用量経年!AI293),"")</f>
        <v/>
      </c>
      <c r="AJ356" s="916" t="str">
        <f ca="1">IFERROR($H356*44/12*参考2_エネ使用量経年!$H206*(参考2_エネ使用量経年!AJ206+参考2_エネ使用量経年!AJ293),"")</f>
        <v/>
      </c>
      <c r="AK356" s="916" t="str">
        <f ca="1">IFERROR($I356*44/12*参考2_エネ使用量経年!$I206*(参考2_エネ使用量経年!AK206+参考2_エネ使用量経年!AK293),"")</f>
        <v/>
      </c>
      <c r="AL356" s="916" t="str">
        <f ca="1">IFERROR($J356*44/12*参考2_エネ使用量経年!$J206*(参考2_エネ使用量経年!AL206+参考2_エネ使用量経年!AL293),"")</f>
        <v/>
      </c>
      <c r="AM356" s="916" t="str">
        <f ca="1">IFERROR($K356*44/12*参考2_エネ使用量経年!$K206*(参考2_エネ使用量経年!AM206+参考2_エネ使用量経年!AM293),"")</f>
        <v/>
      </c>
      <c r="AN356" s="916" t="str">
        <f ca="1">IFERROR($H356*44/12*参考2_エネ使用量経年!$H206*(参考2_エネ使用量経年!AN206+参考2_エネ使用量経年!AN293),"")</f>
        <v/>
      </c>
      <c r="AO356" s="916" t="str">
        <f ca="1">IFERROR($I356*44/12*参考2_エネ使用量経年!$I206*(参考2_エネ使用量経年!AO206+参考2_エネ使用量経年!AO293),"")</f>
        <v/>
      </c>
      <c r="AP356" s="916" t="str">
        <f ca="1">IFERROR($J356*44/12*参考2_エネ使用量経年!$J206*(参考2_エネ使用量経年!AP206+参考2_エネ使用量経年!AP293),"")</f>
        <v/>
      </c>
      <c r="AQ356" s="916" t="str">
        <f ca="1">IFERROR($K356*44/12*参考2_エネ使用量経年!$K206*(参考2_エネ使用量経年!AQ206+参考2_エネ使用量経年!AQ293),"")</f>
        <v/>
      </c>
      <c r="AR356" s="916" t="str">
        <f ca="1">IFERROR($H356*44/12*参考2_エネ使用量経年!$H206*(参考2_エネ使用量経年!AR206+参考2_エネ使用量経年!AR293),"")</f>
        <v/>
      </c>
      <c r="AS356" s="916" t="str">
        <f ca="1">IFERROR($I356*44/12*参考2_エネ使用量経年!$I206*(参考2_エネ使用量経年!AS206+参考2_エネ使用量経年!AS293),"")</f>
        <v/>
      </c>
      <c r="AT356" s="916" t="str">
        <f ca="1">IFERROR($J356*44/12*参考2_エネ使用量経年!$J206*(参考2_エネ使用量経年!AT206+参考2_エネ使用量経年!AT293),"")</f>
        <v/>
      </c>
      <c r="AU356" s="916" t="str">
        <f ca="1">IFERROR($K356*44/12*参考2_エネ使用量経年!$K206*(参考2_エネ使用量経年!AU206+参考2_エネ使用量経年!AU293),"")</f>
        <v/>
      </c>
      <c r="AV356" s="916" t="str">
        <f ca="1">IFERROR($H356*44/12*参考2_エネ使用量経年!$H206*(参考2_エネ使用量経年!AV206+参考2_エネ使用量経年!AV293),"")</f>
        <v/>
      </c>
      <c r="AW356" s="916" t="str">
        <f ca="1">IFERROR($I356*44/12*参考2_エネ使用量経年!$I206*(参考2_エネ使用量経年!AW206+参考2_エネ使用量経年!AW293),"")</f>
        <v/>
      </c>
      <c r="AX356" s="916" t="str">
        <f ca="1">IFERROR($J356*44/12*参考2_エネ使用量経年!$J206*(参考2_エネ使用量経年!AX206+参考2_エネ使用量経年!AX293),"")</f>
        <v/>
      </c>
      <c r="AY356" s="916" t="str">
        <f ca="1">IFERROR($K356*44/12*参考2_エネ使用量経年!$K206*(参考2_エネ使用量経年!AY206+参考2_エネ使用量経年!AY293),"")</f>
        <v/>
      </c>
      <c r="AZ356" s="916" t="str">
        <f ca="1">IFERROR($H356*44/12*参考2_エネ使用量経年!$H206*(参考2_エネ使用量経年!AZ206+参考2_エネ使用量経年!AZ293),"")</f>
        <v/>
      </c>
      <c r="BA356" s="916" t="str">
        <f ca="1">IFERROR($I356*44/12*参考2_エネ使用量経年!$I206*(参考2_エネ使用量経年!BA206+参考2_エネ使用量経年!BA293),"")</f>
        <v/>
      </c>
      <c r="BB356" s="916" t="str">
        <f ca="1">IFERROR($J356*44/12*参考2_エネ使用量経年!$J206*(参考2_エネ使用量経年!BB206+参考2_エネ使用量経年!BB293),"")</f>
        <v/>
      </c>
      <c r="BC356" s="916" t="str">
        <f ca="1">IFERROR($K356*44/12*参考2_エネ使用量経年!$K206*(参考2_エネ使用量経年!BC206+参考2_エネ使用量経年!BC293),"")</f>
        <v/>
      </c>
      <c r="BD356" s="916" t="str">
        <f ca="1">IFERROR($H356*44/12*参考2_エネ使用量経年!$H206*(参考2_エネ使用量経年!BD206+参考2_エネ使用量経年!BD293),"")</f>
        <v/>
      </c>
      <c r="BE356" s="916" t="str">
        <f ca="1">IFERROR($I356*44/12*参考2_エネ使用量経年!$I206*(参考2_エネ使用量経年!BE206+参考2_エネ使用量経年!BE293),"")</f>
        <v/>
      </c>
      <c r="BF356" s="916" t="str">
        <f ca="1">IFERROR($J356*44/12*参考2_エネ使用量経年!$J206*(参考2_エネ使用量経年!BF206+参考2_エネ使用量経年!BF293),"")</f>
        <v/>
      </c>
      <c r="BG356" s="916" t="str">
        <f ca="1">IFERROR($K356*44/12*参考2_エネ使用量経年!$K206*(参考2_エネ使用量経年!BG206+参考2_エネ使用量経年!BG293),"")</f>
        <v/>
      </c>
      <c r="BH356" s="916" t="str">
        <f ca="1">IFERROR($H356*44/12*参考2_エネ使用量経年!$H206*(参考2_エネ使用量経年!BH206+参考2_エネ使用量経年!BH293),"")</f>
        <v/>
      </c>
      <c r="BI356" s="916" t="str">
        <f ca="1">IFERROR($I356*44/12*参考2_エネ使用量経年!$I206*(参考2_エネ使用量経年!BI206+参考2_エネ使用量経年!BI293),"")</f>
        <v/>
      </c>
      <c r="BJ356" s="916" t="str">
        <f ca="1">IFERROR($J356*44/12*参考2_エネ使用量経年!$J206*(参考2_エネ使用量経年!BJ206+参考2_エネ使用量経年!BJ293),"")</f>
        <v/>
      </c>
      <c r="BK356" s="916" t="str">
        <f ca="1">IFERROR($K356*44/12*参考2_エネ使用量経年!$K206*(参考2_エネ使用量経年!BK206+参考2_エネ使用量経年!BK293),"")</f>
        <v/>
      </c>
      <c r="BL356" s="916" t="str">
        <f ca="1">IFERROR($H356*44/12*参考2_エネ使用量経年!$H206*(参考2_エネ使用量経年!BL206+参考2_エネ使用量経年!BL293),"")</f>
        <v/>
      </c>
      <c r="BM356" s="916" t="str">
        <f ca="1">IFERROR($I356*44/12*参考2_エネ使用量経年!$I206*(参考2_エネ使用量経年!BM206+参考2_エネ使用量経年!BM293),"")</f>
        <v/>
      </c>
      <c r="BN356" s="916" t="str">
        <f ca="1">IFERROR($J356*44/12*参考2_エネ使用量経年!$J206*(参考2_エネ使用量経年!BN206+参考2_エネ使用量経年!BN293),"")</f>
        <v/>
      </c>
      <c r="BO356" s="916" t="str">
        <f ca="1">IFERROR($K356*44/12*参考2_エネ使用量経年!$K206*(参考2_エネ使用量経年!BO206+参考2_エネ使用量経年!BO293),"")</f>
        <v/>
      </c>
    </row>
    <row r="357" spans="1:68" ht="20.100000000000001" customHeight="1">
      <c r="A357" s="914">
        <v>44</v>
      </c>
      <c r="B357" s="1594"/>
      <c r="C357" s="1596"/>
      <c r="D357" s="793" t="s">
        <v>385</v>
      </c>
      <c r="E357" s="785"/>
      <c r="F357" s="786"/>
      <c r="G357" s="852" t="s">
        <v>1281</v>
      </c>
      <c r="H357" s="915">
        <f t="shared" ca="1" si="109"/>
        <v>1.6199999999999999E-2</v>
      </c>
      <c r="I357" s="915">
        <f t="shared" ca="1" si="110"/>
        <v>1.6199999999999999E-2</v>
      </c>
      <c r="J357" s="915">
        <f t="shared" ca="1" si="111"/>
        <v>1.6199999999999999E-2</v>
      </c>
      <c r="K357" s="915">
        <f t="shared" ca="1" si="112"/>
        <v>1.6199999999999999E-2</v>
      </c>
      <c r="L357" s="916">
        <f ca="1">IFERROR($H357*44/12*参考2_エネ使用量経年!$H207*(参考2_エネ使用量経年!L207+参考2_エネ使用量経年!L294),"")</f>
        <v>0</v>
      </c>
      <c r="M357" s="916">
        <f ca="1">IFERROR($I357*44/12*参考2_エネ使用量経年!$I207*(参考2_エネ使用量経年!M207+参考2_エネ使用量経年!M294),"")</f>
        <v>0</v>
      </c>
      <c r="N357" s="916">
        <f ca="1">IFERROR($J357*44/12*参考2_エネ使用量経年!$J207*(参考2_エネ使用量経年!N207+参考2_エネ使用量経年!N294),"")</f>
        <v>0</v>
      </c>
      <c r="O357" s="916">
        <f ca="1">IFERROR($K357*44/12*参考2_エネ使用量経年!$K207*(参考2_エネ使用量経年!O207+参考2_エネ使用量経年!O294),"")</f>
        <v>0</v>
      </c>
      <c r="P357" s="916">
        <f ca="1">IFERROR($H357*44/12*参考2_エネ使用量経年!$H207*(参考2_エネ使用量経年!P207+参考2_エネ使用量経年!P294),"")</f>
        <v>0</v>
      </c>
      <c r="Q357" s="916">
        <f ca="1">IFERROR($I357*44/12*参考2_エネ使用量経年!$I207*(参考2_エネ使用量経年!Q207+参考2_エネ使用量経年!Q294),"")</f>
        <v>0</v>
      </c>
      <c r="R357" s="916">
        <f ca="1">IFERROR($J357*44/12*参考2_エネ使用量経年!$J207*(参考2_エネ使用量経年!R207+参考2_エネ使用量経年!R294),"")</f>
        <v>0</v>
      </c>
      <c r="S357" s="916">
        <f ca="1">IFERROR($K357*44/12*参考2_エネ使用量経年!$K207*(参考2_エネ使用量経年!S207+参考2_エネ使用量経年!S294),"")</f>
        <v>0</v>
      </c>
      <c r="T357" s="916">
        <f ca="1">IFERROR($H357*44/12*参考2_エネ使用量経年!$H207*(参考2_エネ使用量経年!T207+参考2_エネ使用量経年!T294),"")</f>
        <v>0</v>
      </c>
      <c r="U357" s="916">
        <f ca="1">IFERROR($I357*44/12*参考2_エネ使用量経年!$I207*(参考2_エネ使用量経年!U207+参考2_エネ使用量経年!U294),"")</f>
        <v>0</v>
      </c>
      <c r="V357" s="916">
        <f ca="1">IFERROR($J357*44/12*参考2_エネ使用量経年!$J207*(参考2_エネ使用量経年!V207+参考2_エネ使用量経年!V294),"")</f>
        <v>0</v>
      </c>
      <c r="W357" s="916">
        <f ca="1">IFERROR($K357*44/12*参考2_エネ使用量経年!$K207*(参考2_エネ使用量経年!W207+参考2_エネ使用量経年!W294),"")</f>
        <v>0</v>
      </c>
      <c r="X357" s="916">
        <f ca="1">IFERROR($H357*44/12*参考2_エネ使用量経年!$H207*(参考2_エネ使用量経年!X207+参考2_エネ使用量経年!X294),"")</f>
        <v>0</v>
      </c>
      <c r="Y357" s="916">
        <f ca="1">IFERROR($I357*44/12*参考2_エネ使用量経年!$I207*(参考2_エネ使用量経年!Y207+参考2_エネ使用量経年!Y294),"")</f>
        <v>0</v>
      </c>
      <c r="Z357" s="916">
        <f ca="1">IFERROR($J357*44/12*参考2_エネ使用量経年!$J207*(参考2_エネ使用量経年!Z207+参考2_エネ使用量経年!Z294),"")</f>
        <v>0</v>
      </c>
      <c r="AA357" s="916">
        <f ca="1">IFERROR($K357*44/12*参考2_エネ使用量経年!$K207*(参考2_エネ使用量経年!AA207+参考2_エネ使用量経年!AA294),"")</f>
        <v>0</v>
      </c>
      <c r="AB357" s="916" t="str">
        <f ca="1">IFERROR($H357*44/12*参考2_エネ使用量経年!$H207*(参考2_エネ使用量経年!AB207+参考2_エネ使用量経年!AB294),"")</f>
        <v/>
      </c>
      <c r="AC357" s="916" t="str">
        <f ca="1">IFERROR($I357*44/12*参考2_エネ使用量経年!$I207*(参考2_エネ使用量経年!AC207+参考2_エネ使用量経年!AC294),"")</f>
        <v/>
      </c>
      <c r="AD357" s="916" t="str">
        <f ca="1">IFERROR($J357*44/12*参考2_エネ使用量経年!$J207*(参考2_エネ使用量経年!AD207+参考2_エネ使用量経年!AD294),"")</f>
        <v/>
      </c>
      <c r="AE357" s="916" t="str">
        <f ca="1">IFERROR($K357*44/12*参考2_エネ使用量経年!$K207*(参考2_エネ使用量経年!AE207+参考2_エネ使用量経年!AE294),"")</f>
        <v/>
      </c>
      <c r="AF357" s="916" t="str">
        <f ca="1">IFERROR($H357*44/12*参考2_エネ使用量経年!$H207*(参考2_エネ使用量経年!AF207+参考2_エネ使用量経年!AF294),"")</f>
        <v/>
      </c>
      <c r="AG357" s="916" t="str">
        <f ca="1">IFERROR($I357*44/12*参考2_エネ使用量経年!$I207*(参考2_エネ使用量経年!AG207+参考2_エネ使用量経年!AG294),"")</f>
        <v/>
      </c>
      <c r="AH357" s="916" t="str">
        <f ca="1">IFERROR($J357*44/12*参考2_エネ使用量経年!$J207*(参考2_エネ使用量経年!AH207+参考2_エネ使用量経年!AH294),"")</f>
        <v/>
      </c>
      <c r="AI357" s="916" t="str">
        <f ca="1">IFERROR($K357*44/12*参考2_エネ使用量経年!$K207*(参考2_エネ使用量経年!AI207+参考2_エネ使用量経年!AI294),"")</f>
        <v/>
      </c>
      <c r="AJ357" s="916" t="str">
        <f ca="1">IFERROR($H357*44/12*参考2_エネ使用量経年!$H207*(参考2_エネ使用量経年!AJ207+参考2_エネ使用量経年!AJ294),"")</f>
        <v/>
      </c>
      <c r="AK357" s="916" t="str">
        <f ca="1">IFERROR($I357*44/12*参考2_エネ使用量経年!$I207*(参考2_エネ使用量経年!AK207+参考2_エネ使用量経年!AK294),"")</f>
        <v/>
      </c>
      <c r="AL357" s="916" t="str">
        <f ca="1">IFERROR($J357*44/12*参考2_エネ使用量経年!$J207*(参考2_エネ使用量経年!AL207+参考2_エネ使用量経年!AL294),"")</f>
        <v/>
      </c>
      <c r="AM357" s="916" t="str">
        <f ca="1">IFERROR($K357*44/12*参考2_エネ使用量経年!$K207*(参考2_エネ使用量経年!AM207+参考2_エネ使用量経年!AM294),"")</f>
        <v/>
      </c>
      <c r="AN357" s="916" t="str">
        <f ca="1">IFERROR($H357*44/12*参考2_エネ使用量経年!$H207*(参考2_エネ使用量経年!AN207+参考2_エネ使用量経年!AN294),"")</f>
        <v/>
      </c>
      <c r="AO357" s="916" t="str">
        <f ca="1">IFERROR($I357*44/12*参考2_エネ使用量経年!$I207*(参考2_エネ使用量経年!AO207+参考2_エネ使用量経年!AO294),"")</f>
        <v/>
      </c>
      <c r="AP357" s="916" t="str">
        <f ca="1">IFERROR($J357*44/12*参考2_エネ使用量経年!$J207*(参考2_エネ使用量経年!AP207+参考2_エネ使用量経年!AP294),"")</f>
        <v/>
      </c>
      <c r="AQ357" s="916" t="str">
        <f ca="1">IFERROR($K357*44/12*参考2_エネ使用量経年!$K207*(参考2_エネ使用量経年!AQ207+参考2_エネ使用量経年!AQ294),"")</f>
        <v/>
      </c>
      <c r="AR357" s="916" t="str">
        <f ca="1">IFERROR($H357*44/12*参考2_エネ使用量経年!$H207*(参考2_エネ使用量経年!AR207+参考2_エネ使用量経年!AR294),"")</f>
        <v/>
      </c>
      <c r="AS357" s="916" t="str">
        <f ca="1">IFERROR($I357*44/12*参考2_エネ使用量経年!$I207*(参考2_エネ使用量経年!AS207+参考2_エネ使用量経年!AS294),"")</f>
        <v/>
      </c>
      <c r="AT357" s="916" t="str">
        <f ca="1">IFERROR($J357*44/12*参考2_エネ使用量経年!$J207*(参考2_エネ使用量経年!AT207+参考2_エネ使用量経年!AT294),"")</f>
        <v/>
      </c>
      <c r="AU357" s="916" t="str">
        <f ca="1">IFERROR($K357*44/12*参考2_エネ使用量経年!$K207*(参考2_エネ使用量経年!AU207+参考2_エネ使用量経年!AU294),"")</f>
        <v/>
      </c>
      <c r="AV357" s="916" t="str">
        <f ca="1">IFERROR($H357*44/12*参考2_エネ使用量経年!$H207*(参考2_エネ使用量経年!AV207+参考2_エネ使用量経年!AV294),"")</f>
        <v/>
      </c>
      <c r="AW357" s="916" t="str">
        <f ca="1">IFERROR($I357*44/12*参考2_エネ使用量経年!$I207*(参考2_エネ使用量経年!AW207+参考2_エネ使用量経年!AW294),"")</f>
        <v/>
      </c>
      <c r="AX357" s="916" t="str">
        <f ca="1">IFERROR($J357*44/12*参考2_エネ使用量経年!$J207*(参考2_エネ使用量経年!AX207+参考2_エネ使用量経年!AX294),"")</f>
        <v/>
      </c>
      <c r="AY357" s="916" t="str">
        <f ca="1">IFERROR($K357*44/12*参考2_エネ使用量経年!$K207*(参考2_エネ使用量経年!AY207+参考2_エネ使用量経年!AY294),"")</f>
        <v/>
      </c>
      <c r="AZ357" s="916" t="str">
        <f ca="1">IFERROR($H357*44/12*参考2_エネ使用量経年!$H207*(参考2_エネ使用量経年!AZ207+参考2_エネ使用量経年!AZ294),"")</f>
        <v/>
      </c>
      <c r="BA357" s="916" t="str">
        <f ca="1">IFERROR($I357*44/12*参考2_エネ使用量経年!$I207*(参考2_エネ使用量経年!BA207+参考2_エネ使用量経年!BA294),"")</f>
        <v/>
      </c>
      <c r="BB357" s="916" t="str">
        <f ca="1">IFERROR($J357*44/12*参考2_エネ使用量経年!$J207*(参考2_エネ使用量経年!BB207+参考2_エネ使用量経年!BB294),"")</f>
        <v/>
      </c>
      <c r="BC357" s="916" t="str">
        <f ca="1">IFERROR($K357*44/12*参考2_エネ使用量経年!$K207*(参考2_エネ使用量経年!BC207+参考2_エネ使用量経年!BC294),"")</f>
        <v/>
      </c>
      <c r="BD357" s="916" t="str">
        <f ca="1">IFERROR($H357*44/12*参考2_エネ使用量経年!$H207*(参考2_エネ使用量経年!BD207+参考2_エネ使用量経年!BD294),"")</f>
        <v/>
      </c>
      <c r="BE357" s="916" t="str">
        <f ca="1">IFERROR($I357*44/12*参考2_エネ使用量経年!$I207*(参考2_エネ使用量経年!BE207+参考2_エネ使用量経年!BE294),"")</f>
        <v/>
      </c>
      <c r="BF357" s="916" t="str">
        <f ca="1">IFERROR($J357*44/12*参考2_エネ使用量経年!$J207*(参考2_エネ使用量経年!BF207+参考2_エネ使用量経年!BF294),"")</f>
        <v/>
      </c>
      <c r="BG357" s="916" t="str">
        <f ca="1">IFERROR($K357*44/12*参考2_エネ使用量経年!$K207*(参考2_エネ使用量経年!BG207+参考2_エネ使用量経年!BG294),"")</f>
        <v/>
      </c>
      <c r="BH357" s="916" t="str">
        <f ca="1">IFERROR($H357*44/12*参考2_エネ使用量経年!$H207*(参考2_エネ使用量経年!BH207+参考2_エネ使用量経年!BH294),"")</f>
        <v/>
      </c>
      <c r="BI357" s="916" t="str">
        <f ca="1">IFERROR($I357*44/12*参考2_エネ使用量経年!$I207*(参考2_エネ使用量経年!BI207+参考2_エネ使用量経年!BI294),"")</f>
        <v/>
      </c>
      <c r="BJ357" s="916" t="str">
        <f ca="1">IFERROR($J357*44/12*参考2_エネ使用量経年!$J207*(参考2_エネ使用量経年!BJ207+参考2_エネ使用量経年!BJ294),"")</f>
        <v/>
      </c>
      <c r="BK357" s="916" t="str">
        <f ca="1">IFERROR($K357*44/12*参考2_エネ使用量経年!$K207*(参考2_エネ使用量経年!BK207+参考2_エネ使用量経年!BK294),"")</f>
        <v/>
      </c>
      <c r="BL357" s="916" t="str">
        <f ca="1">IFERROR($H357*44/12*参考2_エネ使用量経年!$H207*(参考2_エネ使用量経年!BL207+参考2_エネ使用量経年!BL294),"")</f>
        <v/>
      </c>
      <c r="BM357" s="916" t="str">
        <f ca="1">IFERROR($I357*44/12*参考2_エネ使用量経年!$I207*(参考2_エネ使用量経年!BM207+参考2_エネ使用量経年!BM294),"")</f>
        <v/>
      </c>
      <c r="BN357" s="916" t="str">
        <f ca="1">IFERROR($J357*44/12*参考2_エネ使用量経年!$J207*(参考2_エネ使用量経年!BN207+参考2_エネ使用量経年!BN294),"")</f>
        <v/>
      </c>
      <c r="BO357" s="916" t="str">
        <f ca="1">IFERROR($K357*44/12*参考2_エネ使用量経年!$K207*(参考2_エネ使用量経年!BO207+参考2_エネ使用量経年!BO294),"")</f>
        <v/>
      </c>
    </row>
    <row r="358" spans="1:68" ht="20.100000000000001" customHeight="1">
      <c r="A358" s="914">
        <v>45</v>
      </c>
      <c r="B358" s="1594"/>
      <c r="C358" s="1596"/>
      <c r="D358" s="793" t="s">
        <v>386</v>
      </c>
      <c r="E358" s="795"/>
      <c r="F358" s="786"/>
      <c r="G358" s="852" t="s">
        <v>1281</v>
      </c>
      <c r="H358" s="915">
        <f t="shared" ca="1" si="109"/>
        <v>1.66E-2</v>
      </c>
      <c r="I358" s="915">
        <f t="shared" ca="1" si="110"/>
        <v>1.66E-2</v>
      </c>
      <c r="J358" s="915">
        <f t="shared" ca="1" si="111"/>
        <v>1.66E-2</v>
      </c>
      <c r="K358" s="915">
        <f t="shared" ca="1" si="112"/>
        <v>1.66E-2</v>
      </c>
      <c r="L358" s="916">
        <f ca="1">IFERROR($H358*44/12*参考2_エネ使用量経年!$H208*(参考2_エネ使用量経年!L208+参考2_エネ使用量経年!L295),"")</f>
        <v>0</v>
      </c>
      <c r="M358" s="916">
        <f ca="1">IFERROR($I358*44/12*参考2_エネ使用量経年!$I208*(参考2_エネ使用量経年!M208+参考2_エネ使用量経年!M295),"")</f>
        <v>0</v>
      </c>
      <c r="N358" s="916">
        <f ca="1">IFERROR($J358*44/12*参考2_エネ使用量経年!$J208*(参考2_エネ使用量経年!N208+参考2_エネ使用量経年!N295),"")</f>
        <v>0</v>
      </c>
      <c r="O358" s="916">
        <f ca="1">IFERROR($K358*44/12*参考2_エネ使用量経年!$K208*(参考2_エネ使用量経年!O208+参考2_エネ使用量経年!O295),"")</f>
        <v>0</v>
      </c>
      <c r="P358" s="916">
        <f ca="1">IFERROR($H358*44/12*参考2_エネ使用量経年!$H208*(参考2_エネ使用量経年!P208+参考2_エネ使用量経年!P295),"")</f>
        <v>0</v>
      </c>
      <c r="Q358" s="916">
        <f ca="1">IFERROR($I358*44/12*参考2_エネ使用量経年!$I208*(参考2_エネ使用量経年!Q208+参考2_エネ使用量経年!Q295),"")</f>
        <v>0</v>
      </c>
      <c r="R358" s="916">
        <f ca="1">IFERROR($J358*44/12*参考2_エネ使用量経年!$J208*(参考2_エネ使用量経年!R208+参考2_エネ使用量経年!R295),"")</f>
        <v>0</v>
      </c>
      <c r="S358" s="916">
        <f ca="1">IFERROR($K358*44/12*参考2_エネ使用量経年!$K208*(参考2_エネ使用量経年!S208+参考2_エネ使用量経年!S295),"")</f>
        <v>0</v>
      </c>
      <c r="T358" s="916">
        <f ca="1">IFERROR($H358*44/12*参考2_エネ使用量経年!$H208*(参考2_エネ使用量経年!T208+参考2_エネ使用量経年!T295),"")</f>
        <v>0</v>
      </c>
      <c r="U358" s="916">
        <f ca="1">IFERROR($I358*44/12*参考2_エネ使用量経年!$I208*(参考2_エネ使用量経年!U208+参考2_エネ使用量経年!U295),"")</f>
        <v>0</v>
      </c>
      <c r="V358" s="916">
        <f ca="1">IFERROR($J358*44/12*参考2_エネ使用量経年!$J208*(参考2_エネ使用量経年!V208+参考2_エネ使用量経年!V295),"")</f>
        <v>0</v>
      </c>
      <c r="W358" s="916">
        <f ca="1">IFERROR($K358*44/12*参考2_エネ使用量経年!$K208*(参考2_エネ使用量経年!W208+参考2_エネ使用量経年!W295),"")</f>
        <v>0</v>
      </c>
      <c r="X358" s="916">
        <f ca="1">IFERROR($H358*44/12*参考2_エネ使用量経年!$H208*(参考2_エネ使用量経年!X208+参考2_エネ使用量経年!X295),"")</f>
        <v>0</v>
      </c>
      <c r="Y358" s="916">
        <f ca="1">IFERROR($I358*44/12*参考2_エネ使用量経年!$I208*(参考2_エネ使用量経年!Y208+参考2_エネ使用量経年!Y295),"")</f>
        <v>0</v>
      </c>
      <c r="Z358" s="916">
        <f ca="1">IFERROR($J358*44/12*参考2_エネ使用量経年!$J208*(参考2_エネ使用量経年!Z208+参考2_エネ使用量経年!Z295),"")</f>
        <v>0</v>
      </c>
      <c r="AA358" s="916">
        <f ca="1">IFERROR($K358*44/12*参考2_エネ使用量経年!$K208*(参考2_エネ使用量経年!AA208+参考2_エネ使用量経年!AA295),"")</f>
        <v>0</v>
      </c>
      <c r="AB358" s="916" t="str">
        <f ca="1">IFERROR($H358*44/12*参考2_エネ使用量経年!$H208*(参考2_エネ使用量経年!AB208+参考2_エネ使用量経年!AB295),"")</f>
        <v/>
      </c>
      <c r="AC358" s="916" t="str">
        <f ca="1">IFERROR($I358*44/12*参考2_エネ使用量経年!$I208*(参考2_エネ使用量経年!AC208+参考2_エネ使用量経年!AC295),"")</f>
        <v/>
      </c>
      <c r="AD358" s="916" t="str">
        <f ca="1">IFERROR($J358*44/12*参考2_エネ使用量経年!$J208*(参考2_エネ使用量経年!AD208+参考2_エネ使用量経年!AD295),"")</f>
        <v/>
      </c>
      <c r="AE358" s="916" t="str">
        <f ca="1">IFERROR($K358*44/12*参考2_エネ使用量経年!$K208*(参考2_エネ使用量経年!AE208+参考2_エネ使用量経年!AE295),"")</f>
        <v/>
      </c>
      <c r="AF358" s="916" t="str">
        <f ca="1">IFERROR($H358*44/12*参考2_エネ使用量経年!$H208*(参考2_エネ使用量経年!AF208+参考2_エネ使用量経年!AF295),"")</f>
        <v/>
      </c>
      <c r="AG358" s="916" t="str">
        <f ca="1">IFERROR($I358*44/12*参考2_エネ使用量経年!$I208*(参考2_エネ使用量経年!AG208+参考2_エネ使用量経年!AG295),"")</f>
        <v/>
      </c>
      <c r="AH358" s="916" t="str">
        <f ca="1">IFERROR($J358*44/12*参考2_エネ使用量経年!$J208*(参考2_エネ使用量経年!AH208+参考2_エネ使用量経年!AH295),"")</f>
        <v/>
      </c>
      <c r="AI358" s="916" t="str">
        <f ca="1">IFERROR($K358*44/12*参考2_エネ使用量経年!$K208*(参考2_エネ使用量経年!AI208+参考2_エネ使用量経年!AI295),"")</f>
        <v/>
      </c>
      <c r="AJ358" s="916" t="str">
        <f ca="1">IFERROR($H358*44/12*参考2_エネ使用量経年!$H208*(参考2_エネ使用量経年!AJ208+参考2_エネ使用量経年!AJ295),"")</f>
        <v/>
      </c>
      <c r="AK358" s="916" t="str">
        <f ca="1">IFERROR($I358*44/12*参考2_エネ使用量経年!$I208*(参考2_エネ使用量経年!AK208+参考2_エネ使用量経年!AK295),"")</f>
        <v/>
      </c>
      <c r="AL358" s="916" t="str">
        <f ca="1">IFERROR($J358*44/12*参考2_エネ使用量経年!$J208*(参考2_エネ使用量経年!AL208+参考2_エネ使用量経年!AL295),"")</f>
        <v/>
      </c>
      <c r="AM358" s="916" t="str">
        <f ca="1">IFERROR($K358*44/12*参考2_エネ使用量経年!$K208*(参考2_エネ使用量経年!AM208+参考2_エネ使用量経年!AM295),"")</f>
        <v/>
      </c>
      <c r="AN358" s="916" t="str">
        <f ca="1">IFERROR($H358*44/12*参考2_エネ使用量経年!$H208*(参考2_エネ使用量経年!AN208+参考2_エネ使用量経年!AN295),"")</f>
        <v/>
      </c>
      <c r="AO358" s="916" t="str">
        <f ca="1">IFERROR($I358*44/12*参考2_エネ使用量経年!$I208*(参考2_エネ使用量経年!AO208+参考2_エネ使用量経年!AO295),"")</f>
        <v/>
      </c>
      <c r="AP358" s="916" t="str">
        <f ca="1">IFERROR($J358*44/12*参考2_エネ使用量経年!$J208*(参考2_エネ使用量経年!AP208+参考2_エネ使用量経年!AP295),"")</f>
        <v/>
      </c>
      <c r="AQ358" s="916" t="str">
        <f ca="1">IFERROR($K358*44/12*参考2_エネ使用量経年!$K208*(参考2_エネ使用量経年!AQ208+参考2_エネ使用量経年!AQ295),"")</f>
        <v/>
      </c>
      <c r="AR358" s="916" t="str">
        <f ca="1">IFERROR($H358*44/12*参考2_エネ使用量経年!$H208*(参考2_エネ使用量経年!AR208+参考2_エネ使用量経年!AR295),"")</f>
        <v/>
      </c>
      <c r="AS358" s="916" t="str">
        <f ca="1">IFERROR($I358*44/12*参考2_エネ使用量経年!$I208*(参考2_エネ使用量経年!AS208+参考2_エネ使用量経年!AS295),"")</f>
        <v/>
      </c>
      <c r="AT358" s="916" t="str">
        <f ca="1">IFERROR($J358*44/12*参考2_エネ使用量経年!$J208*(参考2_エネ使用量経年!AT208+参考2_エネ使用量経年!AT295),"")</f>
        <v/>
      </c>
      <c r="AU358" s="916" t="str">
        <f ca="1">IFERROR($K358*44/12*参考2_エネ使用量経年!$K208*(参考2_エネ使用量経年!AU208+参考2_エネ使用量経年!AU295),"")</f>
        <v/>
      </c>
      <c r="AV358" s="916" t="str">
        <f ca="1">IFERROR($H358*44/12*参考2_エネ使用量経年!$H208*(参考2_エネ使用量経年!AV208+参考2_エネ使用量経年!AV295),"")</f>
        <v/>
      </c>
      <c r="AW358" s="916" t="str">
        <f ca="1">IFERROR($I358*44/12*参考2_エネ使用量経年!$I208*(参考2_エネ使用量経年!AW208+参考2_エネ使用量経年!AW295),"")</f>
        <v/>
      </c>
      <c r="AX358" s="916" t="str">
        <f ca="1">IFERROR($J358*44/12*参考2_エネ使用量経年!$J208*(参考2_エネ使用量経年!AX208+参考2_エネ使用量経年!AX295),"")</f>
        <v/>
      </c>
      <c r="AY358" s="916" t="str">
        <f ca="1">IFERROR($K358*44/12*参考2_エネ使用量経年!$K208*(参考2_エネ使用量経年!AY208+参考2_エネ使用量経年!AY295),"")</f>
        <v/>
      </c>
      <c r="AZ358" s="916" t="str">
        <f ca="1">IFERROR($H358*44/12*参考2_エネ使用量経年!$H208*(参考2_エネ使用量経年!AZ208+参考2_エネ使用量経年!AZ295),"")</f>
        <v/>
      </c>
      <c r="BA358" s="916" t="str">
        <f ca="1">IFERROR($I358*44/12*参考2_エネ使用量経年!$I208*(参考2_エネ使用量経年!BA208+参考2_エネ使用量経年!BA295),"")</f>
        <v/>
      </c>
      <c r="BB358" s="916" t="str">
        <f ca="1">IFERROR($J358*44/12*参考2_エネ使用量経年!$J208*(参考2_エネ使用量経年!BB208+参考2_エネ使用量経年!BB295),"")</f>
        <v/>
      </c>
      <c r="BC358" s="916" t="str">
        <f ca="1">IFERROR($K358*44/12*参考2_エネ使用量経年!$K208*(参考2_エネ使用量経年!BC208+参考2_エネ使用量経年!BC295),"")</f>
        <v/>
      </c>
      <c r="BD358" s="916" t="str">
        <f ca="1">IFERROR($H358*44/12*参考2_エネ使用量経年!$H208*(参考2_エネ使用量経年!BD208+参考2_エネ使用量経年!BD295),"")</f>
        <v/>
      </c>
      <c r="BE358" s="916" t="str">
        <f ca="1">IFERROR($I358*44/12*参考2_エネ使用量経年!$I208*(参考2_エネ使用量経年!BE208+参考2_エネ使用量経年!BE295),"")</f>
        <v/>
      </c>
      <c r="BF358" s="916" t="str">
        <f ca="1">IFERROR($J358*44/12*参考2_エネ使用量経年!$J208*(参考2_エネ使用量経年!BF208+参考2_エネ使用量経年!BF295),"")</f>
        <v/>
      </c>
      <c r="BG358" s="916" t="str">
        <f ca="1">IFERROR($K358*44/12*参考2_エネ使用量経年!$K208*(参考2_エネ使用量経年!BG208+参考2_エネ使用量経年!BG295),"")</f>
        <v/>
      </c>
      <c r="BH358" s="916" t="str">
        <f ca="1">IFERROR($H358*44/12*参考2_エネ使用量経年!$H208*(参考2_エネ使用量経年!BH208+参考2_エネ使用量経年!BH295),"")</f>
        <v/>
      </c>
      <c r="BI358" s="916" t="str">
        <f ca="1">IFERROR($I358*44/12*参考2_エネ使用量経年!$I208*(参考2_エネ使用量経年!BI208+参考2_エネ使用量経年!BI295),"")</f>
        <v/>
      </c>
      <c r="BJ358" s="916" t="str">
        <f ca="1">IFERROR($J358*44/12*参考2_エネ使用量経年!$J208*(参考2_エネ使用量経年!BJ208+参考2_エネ使用量経年!BJ295),"")</f>
        <v/>
      </c>
      <c r="BK358" s="916" t="str">
        <f ca="1">IFERROR($K358*44/12*参考2_エネ使用量経年!$K208*(参考2_エネ使用量経年!BK208+参考2_エネ使用量経年!BK295),"")</f>
        <v/>
      </c>
      <c r="BL358" s="916" t="str">
        <f ca="1">IFERROR($H358*44/12*参考2_エネ使用量経年!$H208*(参考2_エネ使用量経年!BL208+参考2_エネ使用量経年!BL295),"")</f>
        <v/>
      </c>
      <c r="BM358" s="916" t="str">
        <f ca="1">IFERROR($I358*44/12*参考2_エネ使用量経年!$I208*(参考2_エネ使用量経年!BM208+参考2_エネ使用量経年!BM295),"")</f>
        <v/>
      </c>
      <c r="BN358" s="916" t="str">
        <f ca="1">IFERROR($J358*44/12*参考2_エネ使用量経年!$J208*(参考2_エネ使用量経年!BN208+参考2_エネ使用量経年!BN295),"")</f>
        <v/>
      </c>
      <c r="BO358" s="916" t="str">
        <f ca="1">IFERROR($K358*44/12*参考2_エネ使用量経年!$K208*(参考2_エネ使用量経年!BO208+参考2_エネ使用量経年!BO295),"")</f>
        <v/>
      </c>
    </row>
    <row r="359" spans="1:68" ht="20.100000000000001" customHeight="1">
      <c r="A359" s="914">
        <v>46</v>
      </c>
      <c r="B359" s="1594"/>
      <c r="C359" s="1596"/>
      <c r="D359" s="793" t="s">
        <v>387</v>
      </c>
      <c r="E359" s="779"/>
      <c r="F359" s="786"/>
      <c r="G359" s="852" t="s">
        <v>1281</v>
      </c>
      <c r="H359" s="915">
        <f t="shared" ca="1" si="109"/>
        <v>1.35E-2</v>
      </c>
      <c r="I359" s="915">
        <f t="shared" ca="1" si="110"/>
        <v>1.35E-2</v>
      </c>
      <c r="J359" s="915">
        <f t="shared" ca="1" si="111"/>
        <v>1.35E-2</v>
      </c>
      <c r="K359" s="915">
        <f t="shared" ca="1" si="112"/>
        <v>1.35E-2</v>
      </c>
      <c r="L359" s="916">
        <f ca="1">IFERROR($H359*44/12*参考2_エネ使用量経年!$H209*(参考2_エネ使用量経年!L209+参考2_エネ使用量経年!L296),"")</f>
        <v>0</v>
      </c>
      <c r="M359" s="916">
        <f ca="1">IFERROR($I359*44/12*参考2_エネ使用量経年!$I209*(参考2_エネ使用量経年!M209+参考2_エネ使用量経年!M296),"")</f>
        <v>0</v>
      </c>
      <c r="N359" s="916">
        <f ca="1">IFERROR($J359*44/12*参考2_エネ使用量経年!$J209*(参考2_エネ使用量経年!N209+参考2_エネ使用量経年!N296),"")</f>
        <v>0</v>
      </c>
      <c r="O359" s="916">
        <f ca="1">IFERROR($K359*44/12*参考2_エネ使用量経年!$K209*(参考2_エネ使用量経年!O209+参考2_エネ使用量経年!O296),"")</f>
        <v>0</v>
      </c>
      <c r="P359" s="916">
        <f ca="1">IFERROR($H359*44/12*参考2_エネ使用量経年!$H209*(参考2_エネ使用量経年!P209+参考2_エネ使用量経年!P296),"")</f>
        <v>0</v>
      </c>
      <c r="Q359" s="916">
        <f ca="1">IFERROR($I359*44/12*参考2_エネ使用量経年!$I209*(参考2_エネ使用量経年!Q209+参考2_エネ使用量経年!Q296),"")</f>
        <v>0</v>
      </c>
      <c r="R359" s="916">
        <f ca="1">IFERROR($J359*44/12*参考2_エネ使用量経年!$J209*(参考2_エネ使用量経年!R209+参考2_エネ使用量経年!R296),"")</f>
        <v>0</v>
      </c>
      <c r="S359" s="916">
        <f ca="1">IFERROR($K359*44/12*参考2_エネ使用量経年!$K209*(参考2_エネ使用量経年!S209+参考2_エネ使用量経年!S296),"")</f>
        <v>0</v>
      </c>
      <c r="T359" s="916">
        <f ca="1">IFERROR($H359*44/12*参考2_エネ使用量経年!$H209*(参考2_エネ使用量経年!T209+参考2_エネ使用量経年!T296),"")</f>
        <v>0</v>
      </c>
      <c r="U359" s="916">
        <f ca="1">IFERROR($I359*44/12*参考2_エネ使用量経年!$I209*(参考2_エネ使用量経年!U209+参考2_エネ使用量経年!U296),"")</f>
        <v>0</v>
      </c>
      <c r="V359" s="916">
        <f ca="1">IFERROR($J359*44/12*参考2_エネ使用量経年!$J209*(参考2_エネ使用量経年!V209+参考2_エネ使用量経年!V296),"")</f>
        <v>0</v>
      </c>
      <c r="W359" s="916">
        <f ca="1">IFERROR($K359*44/12*参考2_エネ使用量経年!$K209*(参考2_エネ使用量経年!W209+参考2_エネ使用量経年!W296),"")</f>
        <v>0</v>
      </c>
      <c r="X359" s="916">
        <f ca="1">IFERROR($H359*44/12*参考2_エネ使用量経年!$H209*(参考2_エネ使用量経年!X209+参考2_エネ使用量経年!X296),"")</f>
        <v>0</v>
      </c>
      <c r="Y359" s="916">
        <f ca="1">IFERROR($I359*44/12*参考2_エネ使用量経年!$I209*(参考2_エネ使用量経年!Y209+参考2_エネ使用量経年!Y296),"")</f>
        <v>0</v>
      </c>
      <c r="Z359" s="916">
        <f ca="1">IFERROR($J359*44/12*参考2_エネ使用量経年!$J209*(参考2_エネ使用量経年!Z209+参考2_エネ使用量経年!Z296),"")</f>
        <v>0</v>
      </c>
      <c r="AA359" s="916">
        <f ca="1">IFERROR($K359*44/12*参考2_エネ使用量経年!$K209*(参考2_エネ使用量経年!AA209+参考2_エネ使用量経年!AA296),"")</f>
        <v>0</v>
      </c>
      <c r="AB359" s="916" t="str">
        <f ca="1">IFERROR($H359*44/12*参考2_エネ使用量経年!$H209*(参考2_エネ使用量経年!AB209+参考2_エネ使用量経年!AB296),"")</f>
        <v/>
      </c>
      <c r="AC359" s="916" t="str">
        <f ca="1">IFERROR($I359*44/12*参考2_エネ使用量経年!$I209*(参考2_エネ使用量経年!AC209+参考2_エネ使用量経年!AC296),"")</f>
        <v/>
      </c>
      <c r="AD359" s="916" t="str">
        <f ca="1">IFERROR($J359*44/12*参考2_エネ使用量経年!$J209*(参考2_エネ使用量経年!AD209+参考2_エネ使用量経年!AD296),"")</f>
        <v/>
      </c>
      <c r="AE359" s="916" t="str">
        <f ca="1">IFERROR($K359*44/12*参考2_エネ使用量経年!$K209*(参考2_エネ使用量経年!AE209+参考2_エネ使用量経年!AE296),"")</f>
        <v/>
      </c>
      <c r="AF359" s="916" t="str">
        <f ca="1">IFERROR($H359*44/12*参考2_エネ使用量経年!$H209*(参考2_エネ使用量経年!AF209+参考2_エネ使用量経年!AF296),"")</f>
        <v/>
      </c>
      <c r="AG359" s="916" t="str">
        <f ca="1">IFERROR($I359*44/12*参考2_エネ使用量経年!$I209*(参考2_エネ使用量経年!AG209+参考2_エネ使用量経年!AG296),"")</f>
        <v/>
      </c>
      <c r="AH359" s="916" t="str">
        <f ca="1">IFERROR($J359*44/12*参考2_エネ使用量経年!$J209*(参考2_エネ使用量経年!AH209+参考2_エネ使用量経年!AH296),"")</f>
        <v/>
      </c>
      <c r="AI359" s="916" t="str">
        <f ca="1">IFERROR($K359*44/12*参考2_エネ使用量経年!$K209*(参考2_エネ使用量経年!AI209+参考2_エネ使用量経年!AI296),"")</f>
        <v/>
      </c>
      <c r="AJ359" s="916" t="str">
        <f ca="1">IFERROR($H359*44/12*参考2_エネ使用量経年!$H209*(参考2_エネ使用量経年!AJ209+参考2_エネ使用量経年!AJ296),"")</f>
        <v/>
      </c>
      <c r="AK359" s="916" t="str">
        <f ca="1">IFERROR($I359*44/12*参考2_エネ使用量経年!$I209*(参考2_エネ使用量経年!AK209+参考2_エネ使用量経年!AK296),"")</f>
        <v/>
      </c>
      <c r="AL359" s="916" t="str">
        <f ca="1">IFERROR($J359*44/12*参考2_エネ使用量経年!$J209*(参考2_エネ使用量経年!AL209+参考2_エネ使用量経年!AL296),"")</f>
        <v/>
      </c>
      <c r="AM359" s="916" t="str">
        <f ca="1">IFERROR($K359*44/12*参考2_エネ使用量経年!$K209*(参考2_エネ使用量経年!AM209+参考2_エネ使用量経年!AM296),"")</f>
        <v/>
      </c>
      <c r="AN359" s="916" t="str">
        <f ca="1">IFERROR($H359*44/12*参考2_エネ使用量経年!$H209*(参考2_エネ使用量経年!AN209+参考2_エネ使用量経年!AN296),"")</f>
        <v/>
      </c>
      <c r="AO359" s="916" t="str">
        <f ca="1">IFERROR($I359*44/12*参考2_エネ使用量経年!$I209*(参考2_エネ使用量経年!AO209+参考2_エネ使用量経年!AO296),"")</f>
        <v/>
      </c>
      <c r="AP359" s="916" t="str">
        <f ca="1">IFERROR($J359*44/12*参考2_エネ使用量経年!$J209*(参考2_エネ使用量経年!AP209+参考2_エネ使用量経年!AP296),"")</f>
        <v/>
      </c>
      <c r="AQ359" s="916" t="str">
        <f ca="1">IFERROR($K359*44/12*参考2_エネ使用量経年!$K209*(参考2_エネ使用量経年!AQ209+参考2_エネ使用量経年!AQ296),"")</f>
        <v/>
      </c>
      <c r="AR359" s="916" t="str">
        <f ca="1">IFERROR($H359*44/12*参考2_エネ使用量経年!$H209*(参考2_エネ使用量経年!AR209+参考2_エネ使用量経年!AR296),"")</f>
        <v/>
      </c>
      <c r="AS359" s="916" t="str">
        <f ca="1">IFERROR($I359*44/12*参考2_エネ使用量経年!$I209*(参考2_エネ使用量経年!AS209+参考2_エネ使用量経年!AS296),"")</f>
        <v/>
      </c>
      <c r="AT359" s="916" t="str">
        <f ca="1">IFERROR($J359*44/12*参考2_エネ使用量経年!$J209*(参考2_エネ使用量経年!AT209+参考2_エネ使用量経年!AT296),"")</f>
        <v/>
      </c>
      <c r="AU359" s="916" t="str">
        <f ca="1">IFERROR($K359*44/12*参考2_エネ使用量経年!$K209*(参考2_エネ使用量経年!AU209+参考2_エネ使用量経年!AU296),"")</f>
        <v/>
      </c>
      <c r="AV359" s="916" t="str">
        <f ca="1">IFERROR($H359*44/12*参考2_エネ使用量経年!$H209*(参考2_エネ使用量経年!AV209+参考2_エネ使用量経年!AV296),"")</f>
        <v/>
      </c>
      <c r="AW359" s="916" t="str">
        <f ca="1">IFERROR($I359*44/12*参考2_エネ使用量経年!$I209*(参考2_エネ使用量経年!AW209+参考2_エネ使用量経年!AW296),"")</f>
        <v/>
      </c>
      <c r="AX359" s="916" t="str">
        <f ca="1">IFERROR($J359*44/12*参考2_エネ使用量経年!$J209*(参考2_エネ使用量経年!AX209+参考2_エネ使用量経年!AX296),"")</f>
        <v/>
      </c>
      <c r="AY359" s="916" t="str">
        <f ca="1">IFERROR($K359*44/12*参考2_エネ使用量経年!$K209*(参考2_エネ使用量経年!AY209+参考2_エネ使用量経年!AY296),"")</f>
        <v/>
      </c>
      <c r="AZ359" s="916" t="str">
        <f ca="1">IFERROR($H359*44/12*参考2_エネ使用量経年!$H209*(参考2_エネ使用量経年!AZ209+参考2_エネ使用量経年!AZ296),"")</f>
        <v/>
      </c>
      <c r="BA359" s="916" t="str">
        <f ca="1">IFERROR($I359*44/12*参考2_エネ使用量経年!$I209*(参考2_エネ使用量経年!BA209+参考2_エネ使用量経年!BA296),"")</f>
        <v/>
      </c>
      <c r="BB359" s="916" t="str">
        <f ca="1">IFERROR($J359*44/12*参考2_エネ使用量経年!$J209*(参考2_エネ使用量経年!BB209+参考2_エネ使用量経年!BB296),"")</f>
        <v/>
      </c>
      <c r="BC359" s="916" t="str">
        <f ca="1">IFERROR($K359*44/12*参考2_エネ使用量経年!$K209*(参考2_エネ使用量経年!BC209+参考2_エネ使用量経年!BC296),"")</f>
        <v/>
      </c>
      <c r="BD359" s="916" t="str">
        <f ca="1">IFERROR($H359*44/12*参考2_エネ使用量経年!$H209*(参考2_エネ使用量経年!BD209+参考2_エネ使用量経年!BD296),"")</f>
        <v/>
      </c>
      <c r="BE359" s="916" t="str">
        <f ca="1">IFERROR($I359*44/12*参考2_エネ使用量経年!$I209*(参考2_エネ使用量経年!BE209+参考2_エネ使用量経年!BE296),"")</f>
        <v/>
      </c>
      <c r="BF359" s="916" t="str">
        <f ca="1">IFERROR($J359*44/12*参考2_エネ使用量経年!$J209*(参考2_エネ使用量経年!BF209+参考2_エネ使用量経年!BF296),"")</f>
        <v/>
      </c>
      <c r="BG359" s="916" t="str">
        <f ca="1">IFERROR($K359*44/12*参考2_エネ使用量経年!$K209*(参考2_エネ使用量経年!BG209+参考2_エネ使用量経年!BG296),"")</f>
        <v/>
      </c>
      <c r="BH359" s="916" t="str">
        <f ca="1">IFERROR($H359*44/12*参考2_エネ使用量経年!$H209*(参考2_エネ使用量経年!BH209+参考2_エネ使用量経年!BH296),"")</f>
        <v/>
      </c>
      <c r="BI359" s="916" t="str">
        <f ca="1">IFERROR($I359*44/12*参考2_エネ使用量経年!$I209*(参考2_エネ使用量経年!BI209+参考2_エネ使用量経年!BI296),"")</f>
        <v/>
      </c>
      <c r="BJ359" s="916" t="str">
        <f ca="1">IFERROR($J359*44/12*参考2_エネ使用量経年!$J209*(参考2_エネ使用量経年!BJ209+参考2_エネ使用量経年!BJ296),"")</f>
        <v/>
      </c>
      <c r="BK359" s="916" t="str">
        <f ca="1">IFERROR($K359*44/12*参考2_エネ使用量経年!$K209*(参考2_エネ使用量経年!BK209+参考2_エネ使用量経年!BK296),"")</f>
        <v/>
      </c>
      <c r="BL359" s="916" t="str">
        <f ca="1">IFERROR($H359*44/12*参考2_エネ使用量経年!$H209*(参考2_エネ使用量経年!BL209+参考2_エネ使用量経年!BL296),"")</f>
        <v/>
      </c>
      <c r="BM359" s="916" t="str">
        <f ca="1">IFERROR($I359*44/12*参考2_エネ使用量経年!$I209*(参考2_エネ使用量経年!BM209+参考2_エネ使用量経年!BM296),"")</f>
        <v/>
      </c>
      <c r="BN359" s="916" t="str">
        <f ca="1">IFERROR($J359*44/12*参考2_エネ使用量経年!$J209*(参考2_エネ使用量経年!BN209+参考2_エネ使用量経年!BN296),"")</f>
        <v/>
      </c>
      <c r="BO359" s="916" t="str">
        <f ca="1">IFERROR($K359*44/12*参考2_エネ使用量経年!$K209*(参考2_エネ使用量経年!BO209+参考2_エネ使用量経年!BO296),"")</f>
        <v/>
      </c>
    </row>
    <row r="360" spans="1:68" ht="20.100000000000001" customHeight="1">
      <c r="A360" s="914">
        <v>47</v>
      </c>
      <c r="B360" s="1595"/>
      <c r="C360" s="1596"/>
      <c r="D360" s="793" t="s">
        <v>388</v>
      </c>
      <c r="E360" s="785"/>
      <c r="F360" s="786"/>
      <c r="G360" s="852" t="s">
        <v>1281</v>
      </c>
      <c r="H360" s="915">
        <f t="shared" ca="1" si="109"/>
        <v>2.5700000000000001E-2</v>
      </c>
      <c r="I360" s="915">
        <f t="shared" ca="1" si="110"/>
        <v>2.5700000000000001E-2</v>
      </c>
      <c r="J360" s="915">
        <f t="shared" ca="1" si="111"/>
        <v>2.5700000000000001E-2</v>
      </c>
      <c r="K360" s="915">
        <f t="shared" ca="1" si="112"/>
        <v>2.5700000000000001E-2</v>
      </c>
      <c r="L360" s="916">
        <f ca="1">IFERROR($H360*44/12*参考2_エネ使用量経年!$H210*(参考2_エネ使用量経年!L210+参考2_エネ使用量経年!L297),"")</f>
        <v>0</v>
      </c>
      <c r="M360" s="916">
        <f ca="1">IFERROR($I360*44/12*参考2_エネ使用量経年!$I210*(参考2_エネ使用量経年!M210+参考2_エネ使用量経年!M297),"")</f>
        <v>0</v>
      </c>
      <c r="N360" s="916">
        <f ca="1">IFERROR($J360*44/12*参考2_エネ使用量経年!$J210*(参考2_エネ使用量経年!N210+参考2_エネ使用量経年!N297),"")</f>
        <v>0</v>
      </c>
      <c r="O360" s="916">
        <f ca="1">IFERROR($K360*44/12*参考2_エネ使用量経年!$K210*(参考2_エネ使用量経年!O210+参考2_エネ使用量経年!O297),"")</f>
        <v>0</v>
      </c>
      <c r="P360" s="916">
        <f ca="1">IFERROR($H360*44/12*参考2_エネ使用量経年!$H210*(参考2_エネ使用量経年!P210+参考2_エネ使用量経年!P297),"")</f>
        <v>0</v>
      </c>
      <c r="Q360" s="916">
        <f ca="1">IFERROR($I360*44/12*参考2_エネ使用量経年!$I210*(参考2_エネ使用量経年!Q210+参考2_エネ使用量経年!Q297),"")</f>
        <v>0</v>
      </c>
      <c r="R360" s="916">
        <f ca="1">IFERROR($J360*44/12*参考2_エネ使用量経年!$J210*(参考2_エネ使用量経年!R210+参考2_エネ使用量経年!R297),"")</f>
        <v>0</v>
      </c>
      <c r="S360" s="916">
        <f ca="1">IFERROR($K360*44/12*参考2_エネ使用量経年!$K210*(参考2_エネ使用量経年!S210+参考2_エネ使用量経年!S297),"")</f>
        <v>0</v>
      </c>
      <c r="T360" s="916">
        <f ca="1">IFERROR($H360*44/12*参考2_エネ使用量経年!$H210*(参考2_エネ使用量経年!T210+参考2_エネ使用量経年!T297),"")</f>
        <v>0</v>
      </c>
      <c r="U360" s="916">
        <f ca="1">IFERROR($I360*44/12*参考2_エネ使用量経年!$I210*(参考2_エネ使用量経年!U210+参考2_エネ使用量経年!U297),"")</f>
        <v>0</v>
      </c>
      <c r="V360" s="916">
        <f ca="1">IFERROR($J360*44/12*参考2_エネ使用量経年!$J210*(参考2_エネ使用量経年!V210+参考2_エネ使用量経年!V297),"")</f>
        <v>0</v>
      </c>
      <c r="W360" s="916">
        <f ca="1">IFERROR($K360*44/12*参考2_エネ使用量経年!$K210*(参考2_エネ使用量経年!W210+参考2_エネ使用量経年!W297),"")</f>
        <v>0</v>
      </c>
      <c r="X360" s="916">
        <f ca="1">IFERROR($H360*44/12*参考2_エネ使用量経年!$H210*(参考2_エネ使用量経年!X210+参考2_エネ使用量経年!X297),"")</f>
        <v>0</v>
      </c>
      <c r="Y360" s="916">
        <f ca="1">IFERROR($I360*44/12*参考2_エネ使用量経年!$I210*(参考2_エネ使用量経年!Y210+参考2_エネ使用量経年!Y297),"")</f>
        <v>0</v>
      </c>
      <c r="Z360" s="916">
        <f ca="1">IFERROR($J360*44/12*参考2_エネ使用量経年!$J210*(参考2_エネ使用量経年!Z210+参考2_エネ使用量経年!Z297),"")</f>
        <v>0</v>
      </c>
      <c r="AA360" s="916">
        <f ca="1">IFERROR($K360*44/12*参考2_エネ使用量経年!$K210*(参考2_エネ使用量経年!AA210+参考2_エネ使用量経年!AA297),"")</f>
        <v>0</v>
      </c>
      <c r="AB360" s="916" t="str">
        <f ca="1">IFERROR($H360*44/12*参考2_エネ使用量経年!$H210*(参考2_エネ使用量経年!AB210+参考2_エネ使用量経年!AB297),"")</f>
        <v/>
      </c>
      <c r="AC360" s="916" t="str">
        <f ca="1">IFERROR($I360*44/12*参考2_エネ使用量経年!$I210*(参考2_エネ使用量経年!AC210+参考2_エネ使用量経年!AC297),"")</f>
        <v/>
      </c>
      <c r="AD360" s="916" t="str">
        <f ca="1">IFERROR($J360*44/12*参考2_エネ使用量経年!$J210*(参考2_エネ使用量経年!AD210+参考2_エネ使用量経年!AD297),"")</f>
        <v/>
      </c>
      <c r="AE360" s="916" t="str">
        <f ca="1">IFERROR($K360*44/12*参考2_エネ使用量経年!$K210*(参考2_エネ使用量経年!AE210+参考2_エネ使用量経年!AE297),"")</f>
        <v/>
      </c>
      <c r="AF360" s="916" t="str">
        <f ca="1">IFERROR($H360*44/12*参考2_エネ使用量経年!$H210*(参考2_エネ使用量経年!AF210+参考2_エネ使用量経年!AF297),"")</f>
        <v/>
      </c>
      <c r="AG360" s="916" t="str">
        <f ca="1">IFERROR($I360*44/12*参考2_エネ使用量経年!$I210*(参考2_エネ使用量経年!AG210+参考2_エネ使用量経年!AG297),"")</f>
        <v/>
      </c>
      <c r="AH360" s="916" t="str">
        <f ca="1">IFERROR($J360*44/12*参考2_エネ使用量経年!$J210*(参考2_エネ使用量経年!AH210+参考2_エネ使用量経年!AH297),"")</f>
        <v/>
      </c>
      <c r="AI360" s="916" t="str">
        <f ca="1">IFERROR($K360*44/12*参考2_エネ使用量経年!$K210*(参考2_エネ使用量経年!AI210+参考2_エネ使用量経年!AI297),"")</f>
        <v/>
      </c>
      <c r="AJ360" s="916" t="str">
        <f ca="1">IFERROR($H360*44/12*参考2_エネ使用量経年!$H210*(参考2_エネ使用量経年!AJ210+参考2_エネ使用量経年!AJ297),"")</f>
        <v/>
      </c>
      <c r="AK360" s="916" t="str">
        <f ca="1">IFERROR($I360*44/12*参考2_エネ使用量経年!$I210*(参考2_エネ使用量経年!AK210+参考2_エネ使用量経年!AK297),"")</f>
        <v/>
      </c>
      <c r="AL360" s="916" t="str">
        <f ca="1">IFERROR($J360*44/12*参考2_エネ使用量経年!$J210*(参考2_エネ使用量経年!AL210+参考2_エネ使用量経年!AL297),"")</f>
        <v/>
      </c>
      <c r="AM360" s="916" t="str">
        <f ca="1">IFERROR($K360*44/12*参考2_エネ使用量経年!$K210*(参考2_エネ使用量経年!AM210+参考2_エネ使用量経年!AM297),"")</f>
        <v/>
      </c>
      <c r="AN360" s="916" t="str">
        <f ca="1">IFERROR($H360*44/12*参考2_エネ使用量経年!$H210*(参考2_エネ使用量経年!AN210+参考2_エネ使用量経年!AN297),"")</f>
        <v/>
      </c>
      <c r="AO360" s="916" t="str">
        <f ca="1">IFERROR($I360*44/12*参考2_エネ使用量経年!$I210*(参考2_エネ使用量経年!AO210+参考2_エネ使用量経年!AO297),"")</f>
        <v/>
      </c>
      <c r="AP360" s="916" t="str">
        <f ca="1">IFERROR($J360*44/12*参考2_エネ使用量経年!$J210*(参考2_エネ使用量経年!AP210+参考2_エネ使用量経年!AP297),"")</f>
        <v/>
      </c>
      <c r="AQ360" s="916" t="str">
        <f ca="1">IFERROR($K360*44/12*参考2_エネ使用量経年!$K210*(参考2_エネ使用量経年!AQ210+参考2_エネ使用量経年!AQ297),"")</f>
        <v/>
      </c>
      <c r="AR360" s="916" t="str">
        <f ca="1">IFERROR($H360*44/12*参考2_エネ使用量経年!$H210*(参考2_エネ使用量経年!AR210+参考2_エネ使用量経年!AR297),"")</f>
        <v/>
      </c>
      <c r="AS360" s="916" t="str">
        <f ca="1">IFERROR($I360*44/12*参考2_エネ使用量経年!$I210*(参考2_エネ使用量経年!AS210+参考2_エネ使用量経年!AS297),"")</f>
        <v/>
      </c>
      <c r="AT360" s="916" t="str">
        <f ca="1">IFERROR($J360*44/12*参考2_エネ使用量経年!$J210*(参考2_エネ使用量経年!AT210+参考2_エネ使用量経年!AT297),"")</f>
        <v/>
      </c>
      <c r="AU360" s="916" t="str">
        <f ca="1">IFERROR($K360*44/12*参考2_エネ使用量経年!$K210*(参考2_エネ使用量経年!AU210+参考2_エネ使用量経年!AU297),"")</f>
        <v/>
      </c>
      <c r="AV360" s="916" t="str">
        <f ca="1">IFERROR($H360*44/12*参考2_エネ使用量経年!$H210*(参考2_エネ使用量経年!AV210+参考2_エネ使用量経年!AV297),"")</f>
        <v/>
      </c>
      <c r="AW360" s="916" t="str">
        <f ca="1">IFERROR($I360*44/12*参考2_エネ使用量経年!$I210*(参考2_エネ使用量経年!AW210+参考2_エネ使用量経年!AW297),"")</f>
        <v/>
      </c>
      <c r="AX360" s="916" t="str">
        <f ca="1">IFERROR($J360*44/12*参考2_エネ使用量経年!$J210*(参考2_エネ使用量経年!AX210+参考2_エネ使用量経年!AX297),"")</f>
        <v/>
      </c>
      <c r="AY360" s="916" t="str">
        <f ca="1">IFERROR($K360*44/12*参考2_エネ使用量経年!$K210*(参考2_エネ使用量経年!AY210+参考2_エネ使用量経年!AY297),"")</f>
        <v/>
      </c>
      <c r="AZ360" s="916" t="str">
        <f ca="1">IFERROR($H360*44/12*参考2_エネ使用量経年!$H210*(参考2_エネ使用量経年!AZ210+参考2_エネ使用量経年!AZ297),"")</f>
        <v/>
      </c>
      <c r="BA360" s="916" t="str">
        <f ca="1">IFERROR($I360*44/12*参考2_エネ使用量経年!$I210*(参考2_エネ使用量経年!BA210+参考2_エネ使用量経年!BA297),"")</f>
        <v/>
      </c>
      <c r="BB360" s="916" t="str">
        <f ca="1">IFERROR($J360*44/12*参考2_エネ使用量経年!$J210*(参考2_エネ使用量経年!BB210+参考2_エネ使用量経年!BB297),"")</f>
        <v/>
      </c>
      <c r="BC360" s="916" t="str">
        <f ca="1">IFERROR($K360*44/12*参考2_エネ使用量経年!$K210*(参考2_エネ使用量経年!BC210+参考2_エネ使用量経年!BC297),"")</f>
        <v/>
      </c>
      <c r="BD360" s="916" t="str">
        <f ca="1">IFERROR($H360*44/12*参考2_エネ使用量経年!$H210*(参考2_エネ使用量経年!BD210+参考2_エネ使用量経年!BD297),"")</f>
        <v/>
      </c>
      <c r="BE360" s="916" t="str">
        <f ca="1">IFERROR($I360*44/12*参考2_エネ使用量経年!$I210*(参考2_エネ使用量経年!BE210+参考2_エネ使用量経年!BE297),"")</f>
        <v/>
      </c>
      <c r="BF360" s="916" t="str">
        <f ca="1">IFERROR($J360*44/12*参考2_エネ使用量経年!$J210*(参考2_エネ使用量経年!BF210+参考2_エネ使用量経年!BF297),"")</f>
        <v/>
      </c>
      <c r="BG360" s="916" t="str">
        <f ca="1">IFERROR($K360*44/12*参考2_エネ使用量経年!$K210*(参考2_エネ使用量経年!BG210+参考2_エネ使用量経年!BG297),"")</f>
        <v/>
      </c>
      <c r="BH360" s="916" t="str">
        <f ca="1">IFERROR($H360*44/12*参考2_エネ使用量経年!$H210*(参考2_エネ使用量経年!BH210+参考2_エネ使用量経年!BH297),"")</f>
        <v/>
      </c>
      <c r="BI360" s="916" t="str">
        <f ca="1">IFERROR($I360*44/12*参考2_エネ使用量経年!$I210*(参考2_エネ使用量経年!BI210+参考2_エネ使用量経年!BI297),"")</f>
        <v/>
      </c>
      <c r="BJ360" s="916" t="str">
        <f ca="1">IFERROR($J360*44/12*参考2_エネ使用量経年!$J210*(参考2_エネ使用量経年!BJ210+参考2_エネ使用量経年!BJ297),"")</f>
        <v/>
      </c>
      <c r="BK360" s="916" t="str">
        <f ca="1">IFERROR($K360*44/12*参考2_エネ使用量経年!$K210*(参考2_エネ使用量経年!BK210+参考2_エネ使用量経年!BK297),"")</f>
        <v/>
      </c>
      <c r="BL360" s="916" t="str">
        <f ca="1">IFERROR($H360*44/12*参考2_エネ使用量経年!$H210*(参考2_エネ使用量経年!BL210+参考2_エネ使用量経年!BL297),"")</f>
        <v/>
      </c>
      <c r="BM360" s="916" t="str">
        <f ca="1">IFERROR($I360*44/12*参考2_エネ使用量経年!$I210*(参考2_エネ使用量経年!BM210+参考2_エネ使用量経年!BM297),"")</f>
        <v/>
      </c>
      <c r="BN360" s="916" t="str">
        <f ca="1">IFERROR($J360*44/12*参考2_エネ使用量経年!$J210*(参考2_エネ使用量経年!BN210+参考2_エネ使用量経年!BN297),"")</f>
        <v/>
      </c>
      <c r="BO360" s="916" t="str">
        <f ca="1">IFERROR($K360*44/12*参考2_エネ使用量経年!$K210*(参考2_エネ使用量経年!BO210+参考2_エネ使用量経年!BO297),"")</f>
        <v/>
      </c>
    </row>
    <row r="361" spans="1:68" ht="20.100000000000001" customHeight="1">
      <c r="A361" s="914">
        <v>48</v>
      </c>
      <c r="B361" s="1595"/>
      <c r="C361" s="1596"/>
      <c r="D361" s="793" t="s">
        <v>389</v>
      </c>
      <c r="E361" s="785"/>
      <c r="F361" s="786"/>
      <c r="G361" s="852" t="s">
        <v>1281</v>
      </c>
      <c r="H361" s="915">
        <f t="shared" ca="1" si="109"/>
        <v>2.3900000000000001E-2</v>
      </c>
      <c r="I361" s="915">
        <f t="shared" ca="1" si="110"/>
        <v>2.3900000000000001E-2</v>
      </c>
      <c r="J361" s="915">
        <f t="shared" ca="1" si="111"/>
        <v>2.3900000000000001E-2</v>
      </c>
      <c r="K361" s="915">
        <f t="shared" ca="1" si="112"/>
        <v>2.3900000000000001E-2</v>
      </c>
      <c r="L361" s="916">
        <f ca="1">IFERROR($H361*44/12*参考2_エネ使用量経年!$H211*(参考2_エネ使用量経年!L211+参考2_エネ使用量経年!L298),"")</f>
        <v>0</v>
      </c>
      <c r="M361" s="916">
        <f ca="1">IFERROR($I361*44/12*参考2_エネ使用量経年!$I211*(参考2_エネ使用量経年!M211+参考2_エネ使用量経年!M298),"")</f>
        <v>0</v>
      </c>
      <c r="N361" s="916">
        <f ca="1">IFERROR($J361*44/12*参考2_エネ使用量経年!$J211*(参考2_エネ使用量経年!N211+参考2_エネ使用量経年!N298),"")</f>
        <v>0</v>
      </c>
      <c r="O361" s="916">
        <f ca="1">IFERROR($K361*44/12*参考2_エネ使用量経年!$K211*(参考2_エネ使用量経年!O211+参考2_エネ使用量経年!O298),"")</f>
        <v>0</v>
      </c>
      <c r="P361" s="916">
        <f ca="1">IFERROR($H361*44/12*参考2_エネ使用量経年!$H211*(参考2_エネ使用量経年!P211+参考2_エネ使用量経年!P298),"")</f>
        <v>0</v>
      </c>
      <c r="Q361" s="916">
        <f ca="1">IFERROR($I361*44/12*参考2_エネ使用量経年!$I211*(参考2_エネ使用量経年!Q211+参考2_エネ使用量経年!Q298),"")</f>
        <v>0</v>
      </c>
      <c r="R361" s="916">
        <f ca="1">IFERROR($J361*44/12*参考2_エネ使用量経年!$J211*(参考2_エネ使用量経年!R211+参考2_エネ使用量経年!R298),"")</f>
        <v>0</v>
      </c>
      <c r="S361" s="916">
        <f ca="1">IFERROR($K361*44/12*参考2_エネ使用量経年!$K211*(参考2_エネ使用量経年!S211+参考2_エネ使用量経年!S298),"")</f>
        <v>0</v>
      </c>
      <c r="T361" s="916">
        <f ca="1">IFERROR($H361*44/12*参考2_エネ使用量経年!$H211*(参考2_エネ使用量経年!T211+参考2_エネ使用量経年!T298),"")</f>
        <v>0</v>
      </c>
      <c r="U361" s="916">
        <f ca="1">IFERROR($I361*44/12*参考2_エネ使用量経年!$I211*(参考2_エネ使用量経年!U211+参考2_エネ使用量経年!U298),"")</f>
        <v>0</v>
      </c>
      <c r="V361" s="916">
        <f ca="1">IFERROR($J361*44/12*参考2_エネ使用量経年!$J211*(参考2_エネ使用量経年!V211+参考2_エネ使用量経年!V298),"")</f>
        <v>0</v>
      </c>
      <c r="W361" s="916">
        <f ca="1">IFERROR($K361*44/12*参考2_エネ使用量経年!$K211*(参考2_エネ使用量経年!W211+参考2_エネ使用量経年!W298),"")</f>
        <v>0</v>
      </c>
      <c r="X361" s="916">
        <f ca="1">IFERROR($H361*44/12*参考2_エネ使用量経年!$H211*(参考2_エネ使用量経年!X211+参考2_エネ使用量経年!X298),"")</f>
        <v>0</v>
      </c>
      <c r="Y361" s="916">
        <f ca="1">IFERROR($I361*44/12*参考2_エネ使用量経年!$I211*(参考2_エネ使用量経年!Y211+参考2_エネ使用量経年!Y298),"")</f>
        <v>0</v>
      </c>
      <c r="Z361" s="916">
        <f ca="1">IFERROR($J361*44/12*参考2_エネ使用量経年!$J211*(参考2_エネ使用量経年!Z211+参考2_エネ使用量経年!Z298),"")</f>
        <v>0</v>
      </c>
      <c r="AA361" s="916">
        <f ca="1">IFERROR($K361*44/12*参考2_エネ使用量経年!$K211*(参考2_エネ使用量経年!AA211+参考2_エネ使用量経年!AA298),"")</f>
        <v>0</v>
      </c>
      <c r="AB361" s="916" t="str">
        <f ca="1">IFERROR($H361*44/12*参考2_エネ使用量経年!$H211*(参考2_エネ使用量経年!AB211+参考2_エネ使用量経年!AB298),"")</f>
        <v/>
      </c>
      <c r="AC361" s="916" t="str">
        <f ca="1">IFERROR($I361*44/12*参考2_エネ使用量経年!$I211*(参考2_エネ使用量経年!AC211+参考2_エネ使用量経年!AC298),"")</f>
        <v/>
      </c>
      <c r="AD361" s="916" t="str">
        <f ca="1">IFERROR($J361*44/12*参考2_エネ使用量経年!$J211*(参考2_エネ使用量経年!AD211+参考2_エネ使用量経年!AD298),"")</f>
        <v/>
      </c>
      <c r="AE361" s="916" t="str">
        <f ca="1">IFERROR($K361*44/12*参考2_エネ使用量経年!$K211*(参考2_エネ使用量経年!AE211+参考2_エネ使用量経年!AE298),"")</f>
        <v/>
      </c>
      <c r="AF361" s="916" t="str">
        <f ca="1">IFERROR($H361*44/12*参考2_エネ使用量経年!$H211*(参考2_エネ使用量経年!AF211+参考2_エネ使用量経年!AF298),"")</f>
        <v/>
      </c>
      <c r="AG361" s="916" t="str">
        <f ca="1">IFERROR($I361*44/12*参考2_エネ使用量経年!$I211*(参考2_エネ使用量経年!AG211+参考2_エネ使用量経年!AG298),"")</f>
        <v/>
      </c>
      <c r="AH361" s="916" t="str">
        <f ca="1">IFERROR($J361*44/12*参考2_エネ使用量経年!$J211*(参考2_エネ使用量経年!AH211+参考2_エネ使用量経年!AH298),"")</f>
        <v/>
      </c>
      <c r="AI361" s="916" t="str">
        <f ca="1">IFERROR($K361*44/12*参考2_エネ使用量経年!$K211*(参考2_エネ使用量経年!AI211+参考2_エネ使用量経年!AI298),"")</f>
        <v/>
      </c>
      <c r="AJ361" s="916" t="str">
        <f ca="1">IFERROR($H361*44/12*参考2_エネ使用量経年!$H211*(参考2_エネ使用量経年!AJ211+参考2_エネ使用量経年!AJ298),"")</f>
        <v/>
      </c>
      <c r="AK361" s="916" t="str">
        <f ca="1">IFERROR($I361*44/12*参考2_エネ使用量経年!$I211*(参考2_エネ使用量経年!AK211+参考2_エネ使用量経年!AK298),"")</f>
        <v/>
      </c>
      <c r="AL361" s="916" t="str">
        <f ca="1">IFERROR($J361*44/12*参考2_エネ使用量経年!$J211*(参考2_エネ使用量経年!AL211+参考2_エネ使用量経年!AL298),"")</f>
        <v/>
      </c>
      <c r="AM361" s="916" t="str">
        <f ca="1">IFERROR($K361*44/12*参考2_エネ使用量経年!$K211*(参考2_エネ使用量経年!AM211+参考2_エネ使用量経年!AM298),"")</f>
        <v/>
      </c>
      <c r="AN361" s="916" t="str">
        <f ca="1">IFERROR($H361*44/12*参考2_エネ使用量経年!$H211*(参考2_エネ使用量経年!AN211+参考2_エネ使用量経年!AN298),"")</f>
        <v/>
      </c>
      <c r="AO361" s="916" t="str">
        <f ca="1">IFERROR($I361*44/12*参考2_エネ使用量経年!$I211*(参考2_エネ使用量経年!AO211+参考2_エネ使用量経年!AO298),"")</f>
        <v/>
      </c>
      <c r="AP361" s="916" t="str">
        <f ca="1">IFERROR($J361*44/12*参考2_エネ使用量経年!$J211*(参考2_エネ使用量経年!AP211+参考2_エネ使用量経年!AP298),"")</f>
        <v/>
      </c>
      <c r="AQ361" s="916" t="str">
        <f ca="1">IFERROR($K361*44/12*参考2_エネ使用量経年!$K211*(参考2_エネ使用量経年!AQ211+参考2_エネ使用量経年!AQ298),"")</f>
        <v/>
      </c>
      <c r="AR361" s="916" t="str">
        <f ca="1">IFERROR($H361*44/12*参考2_エネ使用量経年!$H211*(参考2_エネ使用量経年!AR211+参考2_エネ使用量経年!AR298),"")</f>
        <v/>
      </c>
      <c r="AS361" s="916" t="str">
        <f ca="1">IFERROR($I361*44/12*参考2_エネ使用量経年!$I211*(参考2_エネ使用量経年!AS211+参考2_エネ使用量経年!AS298),"")</f>
        <v/>
      </c>
      <c r="AT361" s="916" t="str">
        <f ca="1">IFERROR($J361*44/12*参考2_エネ使用量経年!$J211*(参考2_エネ使用量経年!AT211+参考2_エネ使用量経年!AT298),"")</f>
        <v/>
      </c>
      <c r="AU361" s="916" t="str">
        <f ca="1">IFERROR($K361*44/12*参考2_エネ使用量経年!$K211*(参考2_エネ使用量経年!AU211+参考2_エネ使用量経年!AU298),"")</f>
        <v/>
      </c>
      <c r="AV361" s="916" t="str">
        <f ca="1">IFERROR($H361*44/12*参考2_エネ使用量経年!$H211*(参考2_エネ使用量経年!AV211+参考2_エネ使用量経年!AV298),"")</f>
        <v/>
      </c>
      <c r="AW361" s="916" t="str">
        <f ca="1">IFERROR($I361*44/12*参考2_エネ使用量経年!$I211*(参考2_エネ使用量経年!AW211+参考2_エネ使用量経年!AW298),"")</f>
        <v/>
      </c>
      <c r="AX361" s="916" t="str">
        <f ca="1">IFERROR($J361*44/12*参考2_エネ使用量経年!$J211*(参考2_エネ使用量経年!AX211+参考2_エネ使用量経年!AX298),"")</f>
        <v/>
      </c>
      <c r="AY361" s="916" t="str">
        <f ca="1">IFERROR($K361*44/12*参考2_エネ使用量経年!$K211*(参考2_エネ使用量経年!AY211+参考2_エネ使用量経年!AY298),"")</f>
        <v/>
      </c>
      <c r="AZ361" s="916" t="str">
        <f ca="1">IFERROR($H361*44/12*参考2_エネ使用量経年!$H211*(参考2_エネ使用量経年!AZ211+参考2_エネ使用量経年!AZ298),"")</f>
        <v/>
      </c>
      <c r="BA361" s="916" t="str">
        <f ca="1">IFERROR($I361*44/12*参考2_エネ使用量経年!$I211*(参考2_エネ使用量経年!BA211+参考2_エネ使用量経年!BA298),"")</f>
        <v/>
      </c>
      <c r="BB361" s="916" t="str">
        <f ca="1">IFERROR($J361*44/12*参考2_エネ使用量経年!$J211*(参考2_エネ使用量経年!BB211+参考2_エネ使用量経年!BB298),"")</f>
        <v/>
      </c>
      <c r="BC361" s="916" t="str">
        <f ca="1">IFERROR($K361*44/12*参考2_エネ使用量経年!$K211*(参考2_エネ使用量経年!BC211+参考2_エネ使用量経年!BC298),"")</f>
        <v/>
      </c>
      <c r="BD361" s="916" t="str">
        <f ca="1">IFERROR($H361*44/12*参考2_エネ使用量経年!$H211*(参考2_エネ使用量経年!BD211+参考2_エネ使用量経年!BD298),"")</f>
        <v/>
      </c>
      <c r="BE361" s="916" t="str">
        <f ca="1">IFERROR($I361*44/12*参考2_エネ使用量経年!$I211*(参考2_エネ使用量経年!BE211+参考2_エネ使用量経年!BE298),"")</f>
        <v/>
      </c>
      <c r="BF361" s="916" t="str">
        <f ca="1">IFERROR($J361*44/12*参考2_エネ使用量経年!$J211*(参考2_エネ使用量経年!BF211+参考2_エネ使用量経年!BF298),"")</f>
        <v/>
      </c>
      <c r="BG361" s="916" t="str">
        <f ca="1">IFERROR($K361*44/12*参考2_エネ使用量経年!$K211*(参考2_エネ使用量経年!BG211+参考2_エネ使用量経年!BG298),"")</f>
        <v/>
      </c>
      <c r="BH361" s="916" t="str">
        <f ca="1">IFERROR($H361*44/12*参考2_エネ使用量経年!$H211*(参考2_エネ使用量経年!BH211+参考2_エネ使用量経年!BH298),"")</f>
        <v/>
      </c>
      <c r="BI361" s="916" t="str">
        <f ca="1">IFERROR($I361*44/12*参考2_エネ使用量経年!$I211*(参考2_エネ使用量経年!BI211+参考2_エネ使用量経年!BI298),"")</f>
        <v/>
      </c>
      <c r="BJ361" s="916" t="str">
        <f ca="1">IFERROR($J361*44/12*参考2_エネ使用量経年!$J211*(参考2_エネ使用量経年!BJ211+参考2_エネ使用量経年!BJ298),"")</f>
        <v/>
      </c>
      <c r="BK361" s="916" t="str">
        <f ca="1">IFERROR($K361*44/12*参考2_エネ使用量経年!$K211*(参考2_エネ使用量経年!BK211+参考2_エネ使用量経年!BK298),"")</f>
        <v/>
      </c>
      <c r="BL361" s="916" t="str">
        <f ca="1">IFERROR($H361*44/12*参考2_エネ使用量経年!$H211*(参考2_エネ使用量経年!BL211+参考2_エネ使用量経年!BL298),"")</f>
        <v/>
      </c>
      <c r="BM361" s="916" t="str">
        <f ca="1">IFERROR($I361*44/12*参考2_エネ使用量経年!$I211*(参考2_エネ使用量経年!BM211+参考2_エネ使用量経年!BM298),"")</f>
        <v/>
      </c>
      <c r="BN361" s="916" t="str">
        <f ca="1">IFERROR($J361*44/12*参考2_エネ使用量経年!$J211*(参考2_エネ使用量経年!BN211+参考2_エネ使用量経年!BN298),"")</f>
        <v/>
      </c>
      <c r="BO361" s="916" t="str">
        <f ca="1">IFERROR($K361*44/12*参考2_エネ使用量経年!$K211*(参考2_エネ使用量経年!BO211+参考2_エネ使用量経年!BO298),"")</f>
        <v/>
      </c>
    </row>
    <row r="362" spans="1:68" ht="20.100000000000001" customHeight="1">
      <c r="A362" s="914">
        <v>49</v>
      </c>
      <c r="B362" s="1595"/>
      <c r="C362" s="1596"/>
      <c r="D362" s="793" t="s">
        <v>390</v>
      </c>
      <c r="E362" s="785"/>
      <c r="F362" s="786"/>
      <c r="G362" s="852" t="s">
        <v>1281</v>
      </c>
      <c r="H362" s="915">
        <f t="shared" ca="1" si="109"/>
        <v>1.7899999999999999E-2</v>
      </c>
      <c r="I362" s="915">
        <f t="shared" ca="1" si="110"/>
        <v>1.7899999999999999E-2</v>
      </c>
      <c r="J362" s="915">
        <f t="shared" ca="1" si="111"/>
        <v>1.7899999999999999E-2</v>
      </c>
      <c r="K362" s="915">
        <f t="shared" ca="1" si="112"/>
        <v>1.7899999999999999E-2</v>
      </c>
      <c r="L362" s="916">
        <f ca="1">IFERROR($H362*44/12*参考2_エネ使用量経年!$H212*(参考2_エネ使用量経年!L212+参考2_エネ使用量経年!L299),"")</f>
        <v>0</v>
      </c>
      <c r="M362" s="916">
        <f ca="1">IFERROR($I362*44/12*参考2_エネ使用量経年!$I212*(参考2_エネ使用量経年!M212+参考2_エネ使用量経年!M299),"")</f>
        <v>0</v>
      </c>
      <c r="N362" s="916">
        <f ca="1">IFERROR($J362*44/12*参考2_エネ使用量経年!$J212*(参考2_エネ使用量経年!N212+参考2_エネ使用量経年!N299),"")</f>
        <v>0</v>
      </c>
      <c r="O362" s="916">
        <f ca="1">IFERROR($K362*44/12*参考2_エネ使用量経年!$K212*(参考2_エネ使用量経年!O212+参考2_エネ使用量経年!O299),"")</f>
        <v>0</v>
      </c>
      <c r="P362" s="916">
        <f ca="1">IFERROR($H362*44/12*参考2_エネ使用量経年!$H212*(参考2_エネ使用量経年!P212+参考2_エネ使用量経年!P299),"")</f>
        <v>0</v>
      </c>
      <c r="Q362" s="916">
        <f ca="1">IFERROR($I362*44/12*参考2_エネ使用量経年!$I212*(参考2_エネ使用量経年!Q212+参考2_エネ使用量経年!Q299),"")</f>
        <v>0</v>
      </c>
      <c r="R362" s="916">
        <f ca="1">IFERROR($J362*44/12*参考2_エネ使用量経年!$J212*(参考2_エネ使用量経年!R212+参考2_エネ使用量経年!R299),"")</f>
        <v>0</v>
      </c>
      <c r="S362" s="916">
        <f ca="1">IFERROR($K362*44/12*参考2_エネ使用量経年!$K212*(参考2_エネ使用量経年!S212+参考2_エネ使用量経年!S299),"")</f>
        <v>0</v>
      </c>
      <c r="T362" s="916">
        <f ca="1">IFERROR($H362*44/12*参考2_エネ使用量経年!$H212*(参考2_エネ使用量経年!T212+参考2_エネ使用量経年!T299),"")</f>
        <v>0</v>
      </c>
      <c r="U362" s="916">
        <f ca="1">IFERROR($I362*44/12*参考2_エネ使用量経年!$I212*(参考2_エネ使用量経年!U212+参考2_エネ使用量経年!U299),"")</f>
        <v>0</v>
      </c>
      <c r="V362" s="916">
        <f ca="1">IFERROR($J362*44/12*参考2_エネ使用量経年!$J212*(参考2_エネ使用量経年!V212+参考2_エネ使用量経年!V299),"")</f>
        <v>0</v>
      </c>
      <c r="W362" s="916">
        <f ca="1">IFERROR($K362*44/12*参考2_エネ使用量経年!$K212*(参考2_エネ使用量経年!W212+参考2_エネ使用量経年!W299),"")</f>
        <v>0</v>
      </c>
      <c r="X362" s="916">
        <f ca="1">IFERROR($H362*44/12*参考2_エネ使用量経年!$H212*(参考2_エネ使用量経年!X212+参考2_エネ使用量経年!X299),"")</f>
        <v>0</v>
      </c>
      <c r="Y362" s="916">
        <f ca="1">IFERROR($I362*44/12*参考2_エネ使用量経年!$I212*(参考2_エネ使用量経年!Y212+参考2_エネ使用量経年!Y299),"")</f>
        <v>0</v>
      </c>
      <c r="Z362" s="916">
        <f ca="1">IFERROR($J362*44/12*参考2_エネ使用量経年!$J212*(参考2_エネ使用量経年!Z212+参考2_エネ使用量経年!Z299),"")</f>
        <v>0</v>
      </c>
      <c r="AA362" s="916">
        <f ca="1">IFERROR($K362*44/12*参考2_エネ使用量経年!$K212*(参考2_エネ使用量経年!AA212+参考2_エネ使用量経年!AA299),"")</f>
        <v>0</v>
      </c>
      <c r="AB362" s="916" t="str">
        <f ca="1">IFERROR($H362*44/12*参考2_エネ使用量経年!$H212*(参考2_エネ使用量経年!AB212+参考2_エネ使用量経年!AB299),"")</f>
        <v/>
      </c>
      <c r="AC362" s="916" t="str">
        <f ca="1">IFERROR($I362*44/12*参考2_エネ使用量経年!$I212*(参考2_エネ使用量経年!AC212+参考2_エネ使用量経年!AC299),"")</f>
        <v/>
      </c>
      <c r="AD362" s="916" t="str">
        <f ca="1">IFERROR($J362*44/12*参考2_エネ使用量経年!$J212*(参考2_エネ使用量経年!AD212+参考2_エネ使用量経年!AD299),"")</f>
        <v/>
      </c>
      <c r="AE362" s="916" t="str">
        <f ca="1">IFERROR($K362*44/12*参考2_エネ使用量経年!$K212*(参考2_エネ使用量経年!AE212+参考2_エネ使用量経年!AE299),"")</f>
        <v/>
      </c>
      <c r="AF362" s="916" t="str">
        <f ca="1">IFERROR($H362*44/12*参考2_エネ使用量経年!$H212*(参考2_エネ使用量経年!AF212+参考2_エネ使用量経年!AF299),"")</f>
        <v/>
      </c>
      <c r="AG362" s="916" t="str">
        <f ca="1">IFERROR($I362*44/12*参考2_エネ使用量経年!$I212*(参考2_エネ使用量経年!AG212+参考2_エネ使用量経年!AG299),"")</f>
        <v/>
      </c>
      <c r="AH362" s="916" t="str">
        <f ca="1">IFERROR($J362*44/12*参考2_エネ使用量経年!$J212*(参考2_エネ使用量経年!AH212+参考2_エネ使用量経年!AH299),"")</f>
        <v/>
      </c>
      <c r="AI362" s="916" t="str">
        <f ca="1">IFERROR($K362*44/12*参考2_エネ使用量経年!$K212*(参考2_エネ使用量経年!AI212+参考2_エネ使用量経年!AI299),"")</f>
        <v/>
      </c>
      <c r="AJ362" s="916" t="str">
        <f ca="1">IFERROR($H362*44/12*参考2_エネ使用量経年!$H212*(参考2_エネ使用量経年!AJ212+参考2_エネ使用量経年!AJ299),"")</f>
        <v/>
      </c>
      <c r="AK362" s="916" t="str">
        <f ca="1">IFERROR($I362*44/12*参考2_エネ使用量経年!$I212*(参考2_エネ使用量経年!AK212+参考2_エネ使用量経年!AK299),"")</f>
        <v/>
      </c>
      <c r="AL362" s="916" t="str">
        <f ca="1">IFERROR($J362*44/12*参考2_エネ使用量経年!$J212*(参考2_エネ使用量経年!AL212+参考2_エネ使用量経年!AL299),"")</f>
        <v/>
      </c>
      <c r="AM362" s="916" t="str">
        <f ca="1">IFERROR($K362*44/12*参考2_エネ使用量経年!$K212*(参考2_エネ使用量経年!AM212+参考2_エネ使用量経年!AM299),"")</f>
        <v/>
      </c>
      <c r="AN362" s="916" t="str">
        <f ca="1">IFERROR($H362*44/12*参考2_エネ使用量経年!$H212*(参考2_エネ使用量経年!AN212+参考2_エネ使用量経年!AN299),"")</f>
        <v/>
      </c>
      <c r="AO362" s="916" t="str">
        <f ca="1">IFERROR($I362*44/12*参考2_エネ使用量経年!$I212*(参考2_エネ使用量経年!AO212+参考2_エネ使用量経年!AO299),"")</f>
        <v/>
      </c>
      <c r="AP362" s="916" t="str">
        <f ca="1">IFERROR($J362*44/12*参考2_エネ使用量経年!$J212*(参考2_エネ使用量経年!AP212+参考2_エネ使用量経年!AP299),"")</f>
        <v/>
      </c>
      <c r="AQ362" s="916" t="str">
        <f ca="1">IFERROR($K362*44/12*参考2_エネ使用量経年!$K212*(参考2_エネ使用量経年!AQ212+参考2_エネ使用量経年!AQ299),"")</f>
        <v/>
      </c>
      <c r="AR362" s="916" t="str">
        <f ca="1">IFERROR($H362*44/12*参考2_エネ使用量経年!$H212*(参考2_エネ使用量経年!AR212+参考2_エネ使用量経年!AR299),"")</f>
        <v/>
      </c>
      <c r="AS362" s="916" t="str">
        <f ca="1">IFERROR($I362*44/12*参考2_エネ使用量経年!$I212*(参考2_エネ使用量経年!AS212+参考2_エネ使用量経年!AS299),"")</f>
        <v/>
      </c>
      <c r="AT362" s="916" t="str">
        <f ca="1">IFERROR($J362*44/12*参考2_エネ使用量経年!$J212*(参考2_エネ使用量経年!AT212+参考2_エネ使用量経年!AT299),"")</f>
        <v/>
      </c>
      <c r="AU362" s="916" t="str">
        <f ca="1">IFERROR($K362*44/12*参考2_エネ使用量経年!$K212*(参考2_エネ使用量経年!AU212+参考2_エネ使用量経年!AU299),"")</f>
        <v/>
      </c>
      <c r="AV362" s="916" t="str">
        <f ca="1">IFERROR($H362*44/12*参考2_エネ使用量経年!$H212*(参考2_エネ使用量経年!AV212+参考2_エネ使用量経年!AV299),"")</f>
        <v/>
      </c>
      <c r="AW362" s="916" t="str">
        <f ca="1">IFERROR($I362*44/12*参考2_エネ使用量経年!$I212*(参考2_エネ使用量経年!AW212+参考2_エネ使用量経年!AW299),"")</f>
        <v/>
      </c>
      <c r="AX362" s="916" t="str">
        <f ca="1">IFERROR($J362*44/12*参考2_エネ使用量経年!$J212*(参考2_エネ使用量経年!AX212+参考2_エネ使用量経年!AX299),"")</f>
        <v/>
      </c>
      <c r="AY362" s="916" t="str">
        <f ca="1">IFERROR($K362*44/12*参考2_エネ使用量経年!$K212*(参考2_エネ使用量経年!AY212+参考2_エネ使用量経年!AY299),"")</f>
        <v/>
      </c>
      <c r="AZ362" s="916" t="str">
        <f ca="1">IFERROR($H362*44/12*参考2_エネ使用量経年!$H212*(参考2_エネ使用量経年!AZ212+参考2_エネ使用量経年!AZ299),"")</f>
        <v/>
      </c>
      <c r="BA362" s="916" t="str">
        <f ca="1">IFERROR($I362*44/12*参考2_エネ使用量経年!$I212*(参考2_エネ使用量経年!BA212+参考2_エネ使用量経年!BA299),"")</f>
        <v/>
      </c>
      <c r="BB362" s="916" t="str">
        <f ca="1">IFERROR($J362*44/12*参考2_エネ使用量経年!$J212*(参考2_エネ使用量経年!BB212+参考2_エネ使用量経年!BB299),"")</f>
        <v/>
      </c>
      <c r="BC362" s="916" t="str">
        <f ca="1">IFERROR($K362*44/12*参考2_エネ使用量経年!$K212*(参考2_エネ使用量経年!BC212+参考2_エネ使用量経年!BC299),"")</f>
        <v/>
      </c>
      <c r="BD362" s="916" t="str">
        <f ca="1">IFERROR($H362*44/12*参考2_エネ使用量経年!$H212*(参考2_エネ使用量経年!BD212+参考2_エネ使用量経年!BD299),"")</f>
        <v/>
      </c>
      <c r="BE362" s="916" t="str">
        <f ca="1">IFERROR($I362*44/12*参考2_エネ使用量経年!$I212*(参考2_エネ使用量経年!BE212+参考2_エネ使用量経年!BE299),"")</f>
        <v/>
      </c>
      <c r="BF362" s="916" t="str">
        <f ca="1">IFERROR($J362*44/12*参考2_エネ使用量経年!$J212*(参考2_エネ使用量経年!BF212+参考2_エネ使用量経年!BF299),"")</f>
        <v/>
      </c>
      <c r="BG362" s="916" t="str">
        <f ca="1">IFERROR($K362*44/12*参考2_エネ使用量経年!$K212*(参考2_エネ使用量経年!BG212+参考2_エネ使用量経年!BG299),"")</f>
        <v/>
      </c>
      <c r="BH362" s="916" t="str">
        <f ca="1">IFERROR($H362*44/12*参考2_エネ使用量経年!$H212*(参考2_エネ使用量経年!BH212+参考2_エネ使用量経年!BH299),"")</f>
        <v/>
      </c>
      <c r="BI362" s="916" t="str">
        <f ca="1">IFERROR($I362*44/12*参考2_エネ使用量経年!$I212*(参考2_エネ使用量経年!BI212+参考2_エネ使用量経年!BI299),"")</f>
        <v/>
      </c>
      <c r="BJ362" s="916" t="str">
        <f ca="1">IFERROR($J362*44/12*参考2_エネ使用量経年!$J212*(参考2_エネ使用量経年!BJ212+参考2_エネ使用量経年!BJ299),"")</f>
        <v/>
      </c>
      <c r="BK362" s="916" t="str">
        <f ca="1">IFERROR($K362*44/12*参考2_エネ使用量経年!$K212*(参考2_エネ使用量経年!BK212+参考2_エネ使用量経年!BK299),"")</f>
        <v/>
      </c>
      <c r="BL362" s="916" t="str">
        <f ca="1">IFERROR($H362*44/12*参考2_エネ使用量経年!$H212*(参考2_エネ使用量経年!BL212+参考2_エネ使用量経年!BL299),"")</f>
        <v/>
      </c>
      <c r="BM362" s="916" t="str">
        <f ca="1">IFERROR($I362*44/12*参考2_エネ使用量経年!$I212*(参考2_エネ使用量経年!BM212+参考2_エネ使用量経年!BM299),"")</f>
        <v/>
      </c>
      <c r="BN362" s="916" t="str">
        <f ca="1">IFERROR($J362*44/12*参考2_エネ使用量経年!$J212*(参考2_エネ使用量経年!BN212+参考2_エネ使用量経年!BN299),"")</f>
        <v/>
      </c>
      <c r="BO362" s="916" t="str">
        <f ca="1">IFERROR($K362*44/12*参考2_エネ使用量経年!$K212*(参考2_エネ使用量経年!BO212+参考2_エネ使用量経年!BO299),"")</f>
        <v/>
      </c>
    </row>
    <row r="363" spans="1:68" ht="20.100000000000001" customHeight="1">
      <c r="A363" s="914">
        <v>50</v>
      </c>
      <c r="B363" s="1594"/>
      <c r="C363" s="1596"/>
      <c r="D363" s="785" t="s">
        <v>391</v>
      </c>
      <c r="E363" s="785"/>
      <c r="F363" s="786"/>
      <c r="G363" s="852" t="s">
        <v>1281</v>
      </c>
      <c r="H363" s="915">
        <f t="shared" ca="1" si="109"/>
        <v>0</v>
      </c>
      <c r="I363" s="915">
        <f t="shared" ca="1" si="110"/>
        <v>0</v>
      </c>
      <c r="J363" s="915">
        <f t="shared" ca="1" si="111"/>
        <v>0</v>
      </c>
      <c r="K363" s="915">
        <f t="shared" ca="1" si="112"/>
        <v>0</v>
      </c>
      <c r="L363" s="916">
        <f ca="1">IFERROR($H363*44/12*参考2_エネ使用量経年!$H213*(参考2_エネ使用量経年!L213+参考2_エネ使用量経年!L300),"")</f>
        <v>0</v>
      </c>
      <c r="M363" s="916">
        <f ca="1">IFERROR($I363*44/12*参考2_エネ使用量経年!$I213*(参考2_エネ使用量経年!M213+参考2_エネ使用量経年!M300),"")</f>
        <v>0</v>
      </c>
      <c r="N363" s="916">
        <f ca="1">IFERROR($J363*44/12*参考2_エネ使用量経年!$J213*(参考2_エネ使用量経年!N213+参考2_エネ使用量経年!N300),"")</f>
        <v>0</v>
      </c>
      <c r="O363" s="916">
        <f ca="1">IFERROR($K363*44/12*参考2_エネ使用量経年!$K213*(参考2_エネ使用量経年!O213+参考2_エネ使用量経年!O300),"")</f>
        <v>0</v>
      </c>
      <c r="P363" s="916">
        <f ca="1">IFERROR($H363*44/12*参考2_エネ使用量経年!$H213*(参考2_エネ使用量経年!P213+参考2_エネ使用量経年!P300),"")</f>
        <v>0</v>
      </c>
      <c r="Q363" s="916">
        <f ca="1">IFERROR($I363*44/12*参考2_エネ使用量経年!$I213*(参考2_エネ使用量経年!Q213+参考2_エネ使用量経年!Q300),"")</f>
        <v>0</v>
      </c>
      <c r="R363" s="916">
        <f ca="1">IFERROR($J363*44/12*参考2_エネ使用量経年!$J213*(参考2_エネ使用量経年!R213+参考2_エネ使用量経年!R300),"")</f>
        <v>0</v>
      </c>
      <c r="S363" s="916">
        <f ca="1">IFERROR($K363*44/12*参考2_エネ使用量経年!$K213*(参考2_エネ使用量経年!S213+参考2_エネ使用量経年!S300),"")</f>
        <v>0</v>
      </c>
      <c r="T363" s="916">
        <f ca="1">IFERROR($H363*44/12*参考2_エネ使用量経年!$H213*(参考2_エネ使用量経年!T213+参考2_エネ使用量経年!T300),"")</f>
        <v>0</v>
      </c>
      <c r="U363" s="916">
        <f ca="1">IFERROR($I363*44/12*参考2_エネ使用量経年!$I213*(参考2_エネ使用量経年!U213+参考2_エネ使用量経年!U300),"")</f>
        <v>0</v>
      </c>
      <c r="V363" s="916">
        <f ca="1">IFERROR($J363*44/12*参考2_エネ使用量経年!$J213*(参考2_エネ使用量経年!V213+参考2_エネ使用量経年!V300),"")</f>
        <v>0</v>
      </c>
      <c r="W363" s="916">
        <f ca="1">IFERROR($K363*44/12*参考2_エネ使用量経年!$K213*(参考2_エネ使用量経年!W213+参考2_エネ使用量経年!W300),"")</f>
        <v>0</v>
      </c>
      <c r="X363" s="916">
        <f ca="1">IFERROR($H363*44/12*参考2_エネ使用量経年!$H213*(参考2_エネ使用量経年!X213+参考2_エネ使用量経年!X300),"")</f>
        <v>0</v>
      </c>
      <c r="Y363" s="916">
        <f ca="1">IFERROR($I363*44/12*参考2_エネ使用量経年!$I213*(参考2_エネ使用量経年!Y213+参考2_エネ使用量経年!Y300),"")</f>
        <v>0</v>
      </c>
      <c r="Z363" s="916">
        <f ca="1">IFERROR($J363*44/12*参考2_エネ使用量経年!$J213*(参考2_エネ使用量経年!Z213+参考2_エネ使用量経年!Z300),"")</f>
        <v>0</v>
      </c>
      <c r="AA363" s="916">
        <f ca="1">IFERROR($K363*44/12*参考2_エネ使用量経年!$K213*(参考2_エネ使用量経年!AA213+参考2_エネ使用量経年!AA300),"")</f>
        <v>0</v>
      </c>
      <c r="AB363" s="916" t="str">
        <f ca="1">IFERROR($H363*44/12*参考2_エネ使用量経年!$H213*(参考2_エネ使用量経年!AB213+参考2_エネ使用量経年!AB300),"")</f>
        <v/>
      </c>
      <c r="AC363" s="916" t="str">
        <f ca="1">IFERROR($I363*44/12*参考2_エネ使用量経年!$I213*(参考2_エネ使用量経年!AC213+参考2_エネ使用量経年!AC300),"")</f>
        <v/>
      </c>
      <c r="AD363" s="916" t="str">
        <f ca="1">IFERROR($J363*44/12*参考2_エネ使用量経年!$J213*(参考2_エネ使用量経年!AD213+参考2_エネ使用量経年!AD300),"")</f>
        <v/>
      </c>
      <c r="AE363" s="916" t="str">
        <f ca="1">IFERROR($K363*44/12*参考2_エネ使用量経年!$K213*(参考2_エネ使用量経年!AE213+参考2_エネ使用量経年!AE300),"")</f>
        <v/>
      </c>
      <c r="AF363" s="916" t="str">
        <f ca="1">IFERROR($H363*44/12*参考2_エネ使用量経年!$H213*(参考2_エネ使用量経年!AF213+参考2_エネ使用量経年!AF300),"")</f>
        <v/>
      </c>
      <c r="AG363" s="916" t="str">
        <f ca="1">IFERROR($I363*44/12*参考2_エネ使用量経年!$I213*(参考2_エネ使用量経年!AG213+参考2_エネ使用量経年!AG300),"")</f>
        <v/>
      </c>
      <c r="AH363" s="916" t="str">
        <f ca="1">IFERROR($J363*44/12*参考2_エネ使用量経年!$J213*(参考2_エネ使用量経年!AH213+参考2_エネ使用量経年!AH300),"")</f>
        <v/>
      </c>
      <c r="AI363" s="916" t="str">
        <f ca="1">IFERROR($K363*44/12*参考2_エネ使用量経年!$K213*(参考2_エネ使用量経年!AI213+参考2_エネ使用量経年!AI300),"")</f>
        <v/>
      </c>
      <c r="AJ363" s="916" t="str">
        <f ca="1">IFERROR($H363*44/12*参考2_エネ使用量経年!$H213*(参考2_エネ使用量経年!AJ213+参考2_エネ使用量経年!AJ300),"")</f>
        <v/>
      </c>
      <c r="AK363" s="916" t="str">
        <f ca="1">IFERROR($I363*44/12*参考2_エネ使用量経年!$I213*(参考2_エネ使用量経年!AK213+参考2_エネ使用量経年!AK300),"")</f>
        <v/>
      </c>
      <c r="AL363" s="916" t="str">
        <f ca="1">IFERROR($J363*44/12*参考2_エネ使用量経年!$J213*(参考2_エネ使用量経年!AL213+参考2_エネ使用量経年!AL300),"")</f>
        <v/>
      </c>
      <c r="AM363" s="916" t="str">
        <f ca="1">IFERROR($K363*44/12*参考2_エネ使用量経年!$K213*(参考2_エネ使用量経年!AM213+参考2_エネ使用量経年!AM300),"")</f>
        <v/>
      </c>
      <c r="AN363" s="916" t="str">
        <f ca="1">IFERROR($H363*44/12*参考2_エネ使用量経年!$H213*(参考2_エネ使用量経年!AN213+参考2_エネ使用量経年!AN300),"")</f>
        <v/>
      </c>
      <c r="AO363" s="916" t="str">
        <f ca="1">IFERROR($I363*44/12*参考2_エネ使用量経年!$I213*(参考2_エネ使用量経年!AO213+参考2_エネ使用量経年!AO300),"")</f>
        <v/>
      </c>
      <c r="AP363" s="916" t="str">
        <f ca="1">IFERROR($J363*44/12*参考2_エネ使用量経年!$J213*(参考2_エネ使用量経年!AP213+参考2_エネ使用量経年!AP300),"")</f>
        <v/>
      </c>
      <c r="AQ363" s="916" t="str">
        <f ca="1">IFERROR($K363*44/12*参考2_エネ使用量経年!$K213*(参考2_エネ使用量経年!AQ213+参考2_エネ使用量経年!AQ300),"")</f>
        <v/>
      </c>
      <c r="AR363" s="916" t="str">
        <f ca="1">IFERROR($H363*44/12*参考2_エネ使用量経年!$H213*(参考2_エネ使用量経年!AR213+参考2_エネ使用量経年!AR300),"")</f>
        <v/>
      </c>
      <c r="AS363" s="916" t="str">
        <f ca="1">IFERROR($I363*44/12*参考2_エネ使用量経年!$I213*(参考2_エネ使用量経年!AS213+参考2_エネ使用量経年!AS300),"")</f>
        <v/>
      </c>
      <c r="AT363" s="916" t="str">
        <f ca="1">IFERROR($J363*44/12*参考2_エネ使用量経年!$J213*(参考2_エネ使用量経年!AT213+参考2_エネ使用量経年!AT300),"")</f>
        <v/>
      </c>
      <c r="AU363" s="916" t="str">
        <f ca="1">IFERROR($K363*44/12*参考2_エネ使用量経年!$K213*(参考2_エネ使用量経年!AU213+参考2_エネ使用量経年!AU300),"")</f>
        <v/>
      </c>
      <c r="AV363" s="916" t="str">
        <f ca="1">IFERROR($H363*44/12*参考2_エネ使用量経年!$H213*(参考2_エネ使用量経年!AV213+参考2_エネ使用量経年!AV300),"")</f>
        <v/>
      </c>
      <c r="AW363" s="916" t="str">
        <f ca="1">IFERROR($I363*44/12*参考2_エネ使用量経年!$I213*(参考2_エネ使用量経年!AW213+参考2_エネ使用量経年!AW300),"")</f>
        <v/>
      </c>
      <c r="AX363" s="916" t="str">
        <f ca="1">IFERROR($J363*44/12*参考2_エネ使用量経年!$J213*(参考2_エネ使用量経年!AX213+参考2_エネ使用量経年!AX300),"")</f>
        <v/>
      </c>
      <c r="AY363" s="916" t="str">
        <f ca="1">IFERROR($K363*44/12*参考2_エネ使用量経年!$K213*(参考2_エネ使用量経年!AY213+参考2_エネ使用量経年!AY300),"")</f>
        <v/>
      </c>
      <c r="AZ363" s="916" t="str">
        <f ca="1">IFERROR($H363*44/12*参考2_エネ使用量経年!$H213*(参考2_エネ使用量経年!AZ213+参考2_エネ使用量経年!AZ300),"")</f>
        <v/>
      </c>
      <c r="BA363" s="916" t="str">
        <f ca="1">IFERROR($I363*44/12*参考2_エネ使用量経年!$I213*(参考2_エネ使用量経年!BA213+参考2_エネ使用量経年!BA300),"")</f>
        <v/>
      </c>
      <c r="BB363" s="916" t="str">
        <f ca="1">IFERROR($J363*44/12*参考2_エネ使用量経年!$J213*(参考2_エネ使用量経年!BB213+参考2_エネ使用量経年!BB300),"")</f>
        <v/>
      </c>
      <c r="BC363" s="916" t="str">
        <f ca="1">IFERROR($K363*44/12*参考2_エネ使用量経年!$K213*(参考2_エネ使用量経年!BC213+参考2_エネ使用量経年!BC300),"")</f>
        <v/>
      </c>
      <c r="BD363" s="916" t="str">
        <f ca="1">IFERROR($H363*44/12*参考2_エネ使用量経年!$H213*(参考2_エネ使用量経年!BD213+参考2_エネ使用量経年!BD300),"")</f>
        <v/>
      </c>
      <c r="BE363" s="916" t="str">
        <f ca="1">IFERROR($I363*44/12*参考2_エネ使用量経年!$I213*(参考2_エネ使用量経年!BE213+参考2_エネ使用量経年!BE300),"")</f>
        <v/>
      </c>
      <c r="BF363" s="916" t="str">
        <f ca="1">IFERROR($J363*44/12*参考2_エネ使用量経年!$J213*(参考2_エネ使用量経年!BF213+参考2_エネ使用量経年!BF300),"")</f>
        <v/>
      </c>
      <c r="BG363" s="916" t="str">
        <f ca="1">IFERROR($K363*44/12*参考2_エネ使用量経年!$K213*(参考2_エネ使用量経年!BG213+参考2_エネ使用量経年!BG300),"")</f>
        <v/>
      </c>
      <c r="BH363" s="916" t="str">
        <f ca="1">IFERROR($H363*44/12*参考2_エネ使用量経年!$H213*(参考2_エネ使用量経年!BH213+参考2_エネ使用量経年!BH300),"")</f>
        <v/>
      </c>
      <c r="BI363" s="916" t="str">
        <f ca="1">IFERROR($I363*44/12*参考2_エネ使用量経年!$I213*(参考2_エネ使用量経年!BI213+参考2_エネ使用量経年!BI300),"")</f>
        <v/>
      </c>
      <c r="BJ363" s="916" t="str">
        <f ca="1">IFERROR($J363*44/12*参考2_エネ使用量経年!$J213*(参考2_エネ使用量経年!BJ213+参考2_エネ使用量経年!BJ300),"")</f>
        <v/>
      </c>
      <c r="BK363" s="916" t="str">
        <f ca="1">IFERROR($K363*44/12*参考2_エネ使用量経年!$K213*(参考2_エネ使用量経年!BK213+参考2_エネ使用量経年!BK300),"")</f>
        <v/>
      </c>
      <c r="BL363" s="916" t="str">
        <f ca="1">IFERROR($H363*44/12*参考2_エネ使用量経年!$H213*(参考2_エネ使用量経年!BL213+参考2_エネ使用量経年!BL300),"")</f>
        <v/>
      </c>
      <c r="BM363" s="916" t="str">
        <f ca="1">IFERROR($I363*44/12*参考2_エネ使用量経年!$I213*(参考2_エネ使用量経年!BM213+参考2_エネ使用量経年!BM300),"")</f>
        <v/>
      </c>
      <c r="BN363" s="916" t="str">
        <f ca="1">IFERROR($J363*44/12*参考2_エネ使用量経年!$J213*(参考2_エネ使用量経年!BN213+参考2_エネ使用量経年!BN300),"")</f>
        <v/>
      </c>
      <c r="BO363" s="916" t="str">
        <f ca="1">IFERROR($K363*44/12*参考2_エネ使用量経年!$K213*(参考2_エネ使用量経年!BO213+参考2_エネ使用量経年!BO300),"")</f>
        <v/>
      </c>
    </row>
    <row r="364" spans="1:68" ht="20.100000000000001" customHeight="1">
      <c r="A364" s="914">
        <v>51</v>
      </c>
      <c r="B364" s="1594"/>
      <c r="C364" s="1596"/>
      <c r="D364" s="785" t="s">
        <v>392</v>
      </c>
      <c r="E364" s="785"/>
      <c r="F364" s="786"/>
      <c r="G364" s="852" t="s">
        <v>1281</v>
      </c>
      <c r="H364" s="915">
        <f t="shared" ca="1" si="109"/>
        <v>0</v>
      </c>
      <c r="I364" s="915">
        <f t="shared" ca="1" si="110"/>
        <v>0</v>
      </c>
      <c r="J364" s="915">
        <f t="shared" ca="1" si="111"/>
        <v>0</v>
      </c>
      <c r="K364" s="915">
        <f t="shared" ca="1" si="112"/>
        <v>0</v>
      </c>
      <c r="L364" s="916">
        <f ca="1">IFERROR($H364*44/12*参考2_エネ使用量経年!$H214*(参考2_エネ使用量経年!L214+参考2_エネ使用量経年!L301),"")</f>
        <v>0</v>
      </c>
      <c r="M364" s="916">
        <f ca="1">IFERROR($I364*44/12*参考2_エネ使用量経年!$I214*(参考2_エネ使用量経年!M214+参考2_エネ使用量経年!M301),"")</f>
        <v>0</v>
      </c>
      <c r="N364" s="916">
        <f ca="1">IFERROR($J364*44/12*参考2_エネ使用量経年!$J214*(参考2_エネ使用量経年!N214+参考2_エネ使用量経年!N301),"")</f>
        <v>0</v>
      </c>
      <c r="O364" s="916">
        <f ca="1">IFERROR($K364*44/12*参考2_エネ使用量経年!$K214*(参考2_エネ使用量経年!O214+参考2_エネ使用量経年!O301),"")</f>
        <v>0</v>
      </c>
      <c r="P364" s="916">
        <f ca="1">IFERROR($H364*44/12*参考2_エネ使用量経年!$H214*(参考2_エネ使用量経年!P214+参考2_エネ使用量経年!P301),"")</f>
        <v>0</v>
      </c>
      <c r="Q364" s="916">
        <f ca="1">IFERROR($I364*44/12*参考2_エネ使用量経年!$I214*(参考2_エネ使用量経年!Q214+参考2_エネ使用量経年!Q301),"")</f>
        <v>0</v>
      </c>
      <c r="R364" s="916">
        <f ca="1">IFERROR($J364*44/12*参考2_エネ使用量経年!$J214*(参考2_エネ使用量経年!R214+参考2_エネ使用量経年!R301),"")</f>
        <v>0</v>
      </c>
      <c r="S364" s="916">
        <f ca="1">IFERROR($K364*44/12*参考2_エネ使用量経年!$K214*(参考2_エネ使用量経年!S214+参考2_エネ使用量経年!S301),"")</f>
        <v>0</v>
      </c>
      <c r="T364" s="916">
        <f ca="1">IFERROR($H364*44/12*参考2_エネ使用量経年!$H214*(参考2_エネ使用量経年!T214+参考2_エネ使用量経年!T301),"")</f>
        <v>0</v>
      </c>
      <c r="U364" s="916">
        <f ca="1">IFERROR($I364*44/12*参考2_エネ使用量経年!$I214*(参考2_エネ使用量経年!U214+参考2_エネ使用量経年!U301),"")</f>
        <v>0</v>
      </c>
      <c r="V364" s="916">
        <f ca="1">IFERROR($J364*44/12*参考2_エネ使用量経年!$J214*(参考2_エネ使用量経年!V214+参考2_エネ使用量経年!V301),"")</f>
        <v>0</v>
      </c>
      <c r="W364" s="916">
        <f ca="1">IFERROR($K364*44/12*参考2_エネ使用量経年!$K214*(参考2_エネ使用量経年!W214+参考2_エネ使用量経年!W301),"")</f>
        <v>0</v>
      </c>
      <c r="X364" s="916">
        <f ca="1">IFERROR($H364*44/12*参考2_エネ使用量経年!$H214*(参考2_エネ使用量経年!X214+参考2_エネ使用量経年!X301),"")</f>
        <v>0</v>
      </c>
      <c r="Y364" s="916">
        <f ca="1">IFERROR($I364*44/12*参考2_エネ使用量経年!$I214*(参考2_エネ使用量経年!Y214+参考2_エネ使用量経年!Y301),"")</f>
        <v>0</v>
      </c>
      <c r="Z364" s="916">
        <f ca="1">IFERROR($J364*44/12*参考2_エネ使用量経年!$J214*(参考2_エネ使用量経年!Z214+参考2_エネ使用量経年!Z301),"")</f>
        <v>0</v>
      </c>
      <c r="AA364" s="916">
        <f ca="1">IFERROR($K364*44/12*参考2_エネ使用量経年!$K214*(参考2_エネ使用量経年!AA214+参考2_エネ使用量経年!AA301),"")</f>
        <v>0</v>
      </c>
      <c r="AB364" s="916" t="str">
        <f ca="1">IFERROR($H364*44/12*参考2_エネ使用量経年!$H214*(参考2_エネ使用量経年!AB214+参考2_エネ使用量経年!AB301),"")</f>
        <v/>
      </c>
      <c r="AC364" s="916" t="str">
        <f ca="1">IFERROR($I364*44/12*参考2_エネ使用量経年!$I214*(参考2_エネ使用量経年!AC214+参考2_エネ使用量経年!AC301),"")</f>
        <v/>
      </c>
      <c r="AD364" s="916" t="str">
        <f ca="1">IFERROR($J364*44/12*参考2_エネ使用量経年!$J214*(参考2_エネ使用量経年!AD214+参考2_エネ使用量経年!AD301),"")</f>
        <v/>
      </c>
      <c r="AE364" s="916" t="str">
        <f ca="1">IFERROR($K364*44/12*参考2_エネ使用量経年!$K214*(参考2_エネ使用量経年!AE214+参考2_エネ使用量経年!AE301),"")</f>
        <v/>
      </c>
      <c r="AF364" s="916" t="str">
        <f ca="1">IFERROR($H364*44/12*参考2_エネ使用量経年!$H214*(参考2_エネ使用量経年!AF214+参考2_エネ使用量経年!AF301),"")</f>
        <v/>
      </c>
      <c r="AG364" s="916" t="str">
        <f ca="1">IFERROR($I364*44/12*参考2_エネ使用量経年!$I214*(参考2_エネ使用量経年!AG214+参考2_エネ使用量経年!AG301),"")</f>
        <v/>
      </c>
      <c r="AH364" s="916" t="str">
        <f ca="1">IFERROR($J364*44/12*参考2_エネ使用量経年!$J214*(参考2_エネ使用量経年!AH214+参考2_エネ使用量経年!AH301),"")</f>
        <v/>
      </c>
      <c r="AI364" s="916" t="str">
        <f ca="1">IFERROR($K364*44/12*参考2_エネ使用量経年!$K214*(参考2_エネ使用量経年!AI214+参考2_エネ使用量経年!AI301),"")</f>
        <v/>
      </c>
      <c r="AJ364" s="916" t="str">
        <f ca="1">IFERROR($H364*44/12*参考2_エネ使用量経年!$H214*(参考2_エネ使用量経年!AJ214+参考2_エネ使用量経年!AJ301),"")</f>
        <v/>
      </c>
      <c r="AK364" s="916" t="str">
        <f ca="1">IFERROR($I364*44/12*参考2_エネ使用量経年!$I214*(参考2_エネ使用量経年!AK214+参考2_エネ使用量経年!AK301),"")</f>
        <v/>
      </c>
      <c r="AL364" s="916" t="str">
        <f ca="1">IFERROR($J364*44/12*参考2_エネ使用量経年!$J214*(参考2_エネ使用量経年!AL214+参考2_エネ使用量経年!AL301),"")</f>
        <v/>
      </c>
      <c r="AM364" s="916" t="str">
        <f ca="1">IFERROR($K364*44/12*参考2_エネ使用量経年!$K214*(参考2_エネ使用量経年!AM214+参考2_エネ使用量経年!AM301),"")</f>
        <v/>
      </c>
      <c r="AN364" s="916" t="str">
        <f ca="1">IFERROR($H364*44/12*参考2_エネ使用量経年!$H214*(参考2_エネ使用量経年!AN214+参考2_エネ使用量経年!AN301),"")</f>
        <v/>
      </c>
      <c r="AO364" s="916" t="str">
        <f ca="1">IFERROR($I364*44/12*参考2_エネ使用量経年!$I214*(参考2_エネ使用量経年!AO214+参考2_エネ使用量経年!AO301),"")</f>
        <v/>
      </c>
      <c r="AP364" s="916" t="str">
        <f ca="1">IFERROR($J364*44/12*参考2_エネ使用量経年!$J214*(参考2_エネ使用量経年!AP214+参考2_エネ使用量経年!AP301),"")</f>
        <v/>
      </c>
      <c r="AQ364" s="916" t="str">
        <f ca="1">IFERROR($K364*44/12*参考2_エネ使用量経年!$K214*(参考2_エネ使用量経年!AQ214+参考2_エネ使用量経年!AQ301),"")</f>
        <v/>
      </c>
      <c r="AR364" s="916" t="str">
        <f ca="1">IFERROR($H364*44/12*参考2_エネ使用量経年!$H214*(参考2_エネ使用量経年!AR214+参考2_エネ使用量経年!AR301),"")</f>
        <v/>
      </c>
      <c r="AS364" s="916" t="str">
        <f ca="1">IFERROR($I364*44/12*参考2_エネ使用量経年!$I214*(参考2_エネ使用量経年!AS214+参考2_エネ使用量経年!AS301),"")</f>
        <v/>
      </c>
      <c r="AT364" s="916" t="str">
        <f ca="1">IFERROR($J364*44/12*参考2_エネ使用量経年!$J214*(参考2_エネ使用量経年!AT214+参考2_エネ使用量経年!AT301),"")</f>
        <v/>
      </c>
      <c r="AU364" s="916" t="str">
        <f ca="1">IFERROR($K364*44/12*参考2_エネ使用量経年!$K214*(参考2_エネ使用量経年!AU214+参考2_エネ使用量経年!AU301),"")</f>
        <v/>
      </c>
      <c r="AV364" s="916" t="str">
        <f ca="1">IFERROR($H364*44/12*参考2_エネ使用量経年!$H214*(参考2_エネ使用量経年!AV214+参考2_エネ使用量経年!AV301),"")</f>
        <v/>
      </c>
      <c r="AW364" s="916" t="str">
        <f ca="1">IFERROR($I364*44/12*参考2_エネ使用量経年!$I214*(参考2_エネ使用量経年!AW214+参考2_エネ使用量経年!AW301),"")</f>
        <v/>
      </c>
      <c r="AX364" s="916" t="str">
        <f ca="1">IFERROR($J364*44/12*参考2_エネ使用量経年!$J214*(参考2_エネ使用量経年!AX214+参考2_エネ使用量経年!AX301),"")</f>
        <v/>
      </c>
      <c r="AY364" s="916" t="str">
        <f ca="1">IFERROR($K364*44/12*参考2_エネ使用量経年!$K214*(参考2_エネ使用量経年!AY214+参考2_エネ使用量経年!AY301),"")</f>
        <v/>
      </c>
      <c r="AZ364" s="916" t="str">
        <f ca="1">IFERROR($H364*44/12*参考2_エネ使用量経年!$H214*(参考2_エネ使用量経年!AZ214+参考2_エネ使用量経年!AZ301),"")</f>
        <v/>
      </c>
      <c r="BA364" s="916" t="str">
        <f ca="1">IFERROR($I364*44/12*参考2_エネ使用量経年!$I214*(参考2_エネ使用量経年!BA214+参考2_エネ使用量経年!BA301),"")</f>
        <v/>
      </c>
      <c r="BB364" s="916" t="str">
        <f ca="1">IFERROR($J364*44/12*参考2_エネ使用量経年!$J214*(参考2_エネ使用量経年!BB214+参考2_エネ使用量経年!BB301),"")</f>
        <v/>
      </c>
      <c r="BC364" s="916" t="str">
        <f ca="1">IFERROR($K364*44/12*参考2_エネ使用量経年!$K214*(参考2_エネ使用量経年!BC214+参考2_エネ使用量経年!BC301),"")</f>
        <v/>
      </c>
      <c r="BD364" s="916" t="str">
        <f ca="1">IFERROR($H364*44/12*参考2_エネ使用量経年!$H214*(参考2_エネ使用量経年!BD214+参考2_エネ使用量経年!BD301),"")</f>
        <v/>
      </c>
      <c r="BE364" s="916" t="str">
        <f ca="1">IFERROR($I364*44/12*参考2_エネ使用量経年!$I214*(参考2_エネ使用量経年!BE214+参考2_エネ使用量経年!BE301),"")</f>
        <v/>
      </c>
      <c r="BF364" s="916" t="str">
        <f ca="1">IFERROR($J364*44/12*参考2_エネ使用量経年!$J214*(参考2_エネ使用量経年!BF214+参考2_エネ使用量経年!BF301),"")</f>
        <v/>
      </c>
      <c r="BG364" s="916" t="str">
        <f ca="1">IFERROR($K364*44/12*参考2_エネ使用量経年!$K214*(参考2_エネ使用量経年!BG214+参考2_エネ使用量経年!BG301),"")</f>
        <v/>
      </c>
      <c r="BH364" s="916" t="str">
        <f ca="1">IFERROR($H364*44/12*参考2_エネ使用量経年!$H214*(参考2_エネ使用量経年!BH214+参考2_エネ使用量経年!BH301),"")</f>
        <v/>
      </c>
      <c r="BI364" s="916" t="str">
        <f ca="1">IFERROR($I364*44/12*参考2_エネ使用量経年!$I214*(参考2_エネ使用量経年!BI214+参考2_エネ使用量経年!BI301),"")</f>
        <v/>
      </c>
      <c r="BJ364" s="916" t="str">
        <f ca="1">IFERROR($J364*44/12*参考2_エネ使用量経年!$J214*(参考2_エネ使用量経年!BJ214+参考2_エネ使用量経年!BJ301),"")</f>
        <v/>
      </c>
      <c r="BK364" s="916" t="str">
        <f ca="1">IFERROR($K364*44/12*参考2_エネ使用量経年!$K214*(参考2_エネ使用量経年!BK214+参考2_エネ使用量経年!BK301),"")</f>
        <v/>
      </c>
      <c r="BL364" s="916" t="str">
        <f ca="1">IFERROR($H364*44/12*参考2_エネ使用量経年!$H214*(参考2_エネ使用量経年!BL214+参考2_エネ使用量経年!BL301),"")</f>
        <v/>
      </c>
      <c r="BM364" s="916" t="str">
        <f ca="1">IFERROR($I364*44/12*参考2_エネ使用量経年!$I214*(参考2_エネ使用量経年!BM214+参考2_エネ使用量経年!BM301),"")</f>
        <v/>
      </c>
      <c r="BN364" s="916" t="str">
        <f ca="1">IFERROR($J364*44/12*参考2_エネ使用量経年!$J214*(参考2_エネ使用量経年!BN214+参考2_エネ使用量経年!BN301),"")</f>
        <v/>
      </c>
      <c r="BO364" s="916" t="str">
        <f ca="1">IFERROR($K364*44/12*参考2_エネ使用量経年!$K214*(参考2_エネ使用量経年!BO214+参考2_エネ使用量経年!BO301),"")</f>
        <v/>
      </c>
    </row>
    <row r="365" spans="1:68" ht="20.100000000000001" customHeight="1">
      <c r="A365" s="914">
        <v>52</v>
      </c>
      <c r="B365" s="1594"/>
      <c r="C365" s="1596"/>
      <c r="D365" s="785" t="s">
        <v>393</v>
      </c>
      <c r="E365" s="785"/>
      <c r="F365" s="786"/>
      <c r="G365" s="852" t="s">
        <v>1281</v>
      </c>
      <c r="H365" s="915">
        <f t="shared" ca="1" si="109"/>
        <v>0</v>
      </c>
      <c r="I365" s="915">
        <f t="shared" ca="1" si="110"/>
        <v>0</v>
      </c>
      <c r="J365" s="915">
        <f t="shared" ca="1" si="111"/>
        <v>0</v>
      </c>
      <c r="K365" s="915">
        <f t="shared" ca="1" si="112"/>
        <v>0</v>
      </c>
      <c r="L365" s="916">
        <f ca="1">IFERROR($H365*44/12*参考2_エネ使用量経年!$H215*(参考2_エネ使用量経年!L215+参考2_エネ使用量経年!L302),"")</f>
        <v>0</v>
      </c>
      <c r="M365" s="916">
        <f ca="1">IFERROR($I365*44/12*参考2_エネ使用量経年!$I215*(参考2_エネ使用量経年!M215+参考2_エネ使用量経年!M302),"")</f>
        <v>0</v>
      </c>
      <c r="N365" s="916">
        <f ca="1">IFERROR($J365*44/12*参考2_エネ使用量経年!$J215*(参考2_エネ使用量経年!N215+参考2_エネ使用量経年!N302),"")</f>
        <v>0</v>
      </c>
      <c r="O365" s="916">
        <f ca="1">IFERROR($K365*44/12*参考2_エネ使用量経年!$K215*(参考2_エネ使用量経年!O215+参考2_エネ使用量経年!O302),"")</f>
        <v>0</v>
      </c>
      <c r="P365" s="916">
        <f ca="1">IFERROR($H365*44/12*参考2_エネ使用量経年!$H215*(参考2_エネ使用量経年!P215+参考2_エネ使用量経年!P302),"")</f>
        <v>0</v>
      </c>
      <c r="Q365" s="916">
        <f ca="1">IFERROR($I365*44/12*参考2_エネ使用量経年!$I215*(参考2_エネ使用量経年!Q215+参考2_エネ使用量経年!Q302),"")</f>
        <v>0</v>
      </c>
      <c r="R365" s="916">
        <f ca="1">IFERROR($J365*44/12*参考2_エネ使用量経年!$J215*(参考2_エネ使用量経年!R215+参考2_エネ使用量経年!R302),"")</f>
        <v>0</v>
      </c>
      <c r="S365" s="916">
        <f ca="1">IFERROR($K365*44/12*参考2_エネ使用量経年!$K215*(参考2_エネ使用量経年!S215+参考2_エネ使用量経年!S302),"")</f>
        <v>0</v>
      </c>
      <c r="T365" s="916">
        <f ca="1">IFERROR($H365*44/12*参考2_エネ使用量経年!$H215*(参考2_エネ使用量経年!T215+参考2_エネ使用量経年!T302),"")</f>
        <v>0</v>
      </c>
      <c r="U365" s="916">
        <f ca="1">IFERROR($I365*44/12*参考2_エネ使用量経年!$I215*(参考2_エネ使用量経年!U215+参考2_エネ使用量経年!U302),"")</f>
        <v>0</v>
      </c>
      <c r="V365" s="916">
        <f ca="1">IFERROR($J365*44/12*参考2_エネ使用量経年!$J215*(参考2_エネ使用量経年!V215+参考2_エネ使用量経年!V302),"")</f>
        <v>0</v>
      </c>
      <c r="W365" s="916">
        <f ca="1">IFERROR($K365*44/12*参考2_エネ使用量経年!$K215*(参考2_エネ使用量経年!W215+参考2_エネ使用量経年!W302),"")</f>
        <v>0</v>
      </c>
      <c r="X365" s="916">
        <f ca="1">IFERROR($H365*44/12*参考2_エネ使用量経年!$H215*(参考2_エネ使用量経年!X215+参考2_エネ使用量経年!X302),"")</f>
        <v>0</v>
      </c>
      <c r="Y365" s="916">
        <f ca="1">IFERROR($I365*44/12*参考2_エネ使用量経年!$I215*(参考2_エネ使用量経年!Y215+参考2_エネ使用量経年!Y302),"")</f>
        <v>0</v>
      </c>
      <c r="Z365" s="916">
        <f ca="1">IFERROR($J365*44/12*参考2_エネ使用量経年!$J215*(参考2_エネ使用量経年!Z215+参考2_エネ使用量経年!Z302),"")</f>
        <v>0</v>
      </c>
      <c r="AA365" s="916">
        <f ca="1">IFERROR($K365*44/12*参考2_エネ使用量経年!$K215*(参考2_エネ使用量経年!AA215+参考2_エネ使用量経年!AA302),"")</f>
        <v>0</v>
      </c>
      <c r="AB365" s="916" t="str">
        <f ca="1">IFERROR($H365*44/12*参考2_エネ使用量経年!$H215*(参考2_エネ使用量経年!AB215+参考2_エネ使用量経年!AB302),"")</f>
        <v/>
      </c>
      <c r="AC365" s="916" t="str">
        <f ca="1">IFERROR($I365*44/12*参考2_エネ使用量経年!$I215*(参考2_エネ使用量経年!AC215+参考2_エネ使用量経年!AC302),"")</f>
        <v/>
      </c>
      <c r="AD365" s="916" t="str">
        <f ca="1">IFERROR($J365*44/12*参考2_エネ使用量経年!$J215*(参考2_エネ使用量経年!AD215+参考2_エネ使用量経年!AD302),"")</f>
        <v/>
      </c>
      <c r="AE365" s="916" t="str">
        <f ca="1">IFERROR($K365*44/12*参考2_エネ使用量経年!$K215*(参考2_エネ使用量経年!AE215+参考2_エネ使用量経年!AE302),"")</f>
        <v/>
      </c>
      <c r="AF365" s="916" t="str">
        <f ca="1">IFERROR($H365*44/12*参考2_エネ使用量経年!$H215*(参考2_エネ使用量経年!AF215+参考2_エネ使用量経年!AF302),"")</f>
        <v/>
      </c>
      <c r="AG365" s="916" t="str">
        <f ca="1">IFERROR($I365*44/12*参考2_エネ使用量経年!$I215*(参考2_エネ使用量経年!AG215+参考2_エネ使用量経年!AG302),"")</f>
        <v/>
      </c>
      <c r="AH365" s="916" t="str">
        <f ca="1">IFERROR($J365*44/12*参考2_エネ使用量経年!$J215*(参考2_エネ使用量経年!AH215+参考2_エネ使用量経年!AH302),"")</f>
        <v/>
      </c>
      <c r="AI365" s="916" t="str">
        <f ca="1">IFERROR($K365*44/12*参考2_エネ使用量経年!$K215*(参考2_エネ使用量経年!AI215+参考2_エネ使用量経年!AI302),"")</f>
        <v/>
      </c>
      <c r="AJ365" s="916" t="str">
        <f ca="1">IFERROR($H365*44/12*参考2_エネ使用量経年!$H215*(参考2_エネ使用量経年!AJ215+参考2_エネ使用量経年!AJ302),"")</f>
        <v/>
      </c>
      <c r="AK365" s="916" t="str">
        <f ca="1">IFERROR($I365*44/12*参考2_エネ使用量経年!$I215*(参考2_エネ使用量経年!AK215+参考2_エネ使用量経年!AK302),"")</f>
        <v/>
      </c>
      <c r="AL365" s="916" t="str">
        <f ca="1">IFERROR($J365*44/12*参考2_エネ使用量経年!$J215*(参考2_エネ使用量経年!AL215+参考2_エネ使用量経年!AL302),"")</f>
        <v/>
      </c>
      <c r="AM365" s="916" t="str">
        <f ca="1">IFERROR($K365*44/12*参考2_エネ使用量経年!$K215*(参考2_エネ使用量経年!AM215+参考2_エネ使用量経年!AM302),"")</f>
        <v/>
      </c>
      <c r="AN365" s="916" t="str">
        <f ca="1">IFERROR($H365*44/12*参考2_エネ使用量経年!$H215*(参考2_エネ使用量経年!AN215+参考2_エネ使用量経年!AN302),"")</f>
        <v/>
      </c>
      <c r="AO365" s="916" t="str">
        <f ca="1">IFERROR($I365*44/12*参考2_エネ使用量経年!$I215*(参考2_エネ使用量経年!AO215+参考2_エネ使用量経年!AO302),"")</f>
        <v/>
      </c>
      <c r="AP365" s="916" t="str">
        <f ca="1">IFERROR($J365*44/12*参考2_エネ使用量経年!$J215*(参考2_エネ使用量経年!AP215+参考2_エネ使用量経年!AP302),"")</f>
        <v/>
      </c>
      <c r="AQ365" s="916" t="str">
        <f ca="1">IFERROR($K365*44/12*参考2_エネ使用量経年!$K215*(参考2_エネ使用量経年!AQ215+参考2_エネ使用量経年!AQ302),"")</f>
        <v/>
      </c>
      <c r="AR365" s="916" t="str">
        <f ca="1">IFERROR($H365*44/12*参考2_エネ使用量経年!$H215*(参考2_エネ使用量経年!AR215+参考2_エネ使用量経年!AR302),"")</f>
        <v/>
      </c>
      <c r="AS365" s="916" t="str">
        <f ca="1">IFERROR($I365*44/12*参考2_エネ使用量経年!$I215*(参考2_エネ使用量経年!AS215+参考2_エネ使用量経年!AS302),"")</f>
        <v/>
      </c>
      <c r="AT365" s="916" t="str">
        <f ca="1">IFERROR($J365*44/12*参考2_エネ使用量経年!$J215*(参考2_エネ使用量経年!AT215+参考2_エネ使用量経年!AT302),"")</f>
        <v/>
      </c>
      <c r="AU365" s="916" t="str">
        <f ca="1">IFERROR($K365*44/12*参考2_エネ使用量経年!$K215*(参考2_エネ使用量経年!AU215+参考2_エネ使用量経年!AU302),"")</f>
        <v/>
      </c>
      <c r="AV365" s="916" t="str">
        <f ca="1">IFERROR($H365*44/12*参考2_エネ使用量経年!$H215*(参考2_エネ使用量経年!AV215+参考2_エネ使用量経年!AV302),"")</f>
        <v/>
      </c>
      <c r="AW365" s="916" t="str">
        <f ca="1">IFERROR($I365*44/12*参考2_エネ使用量経年!$I215*(参考2_エネ使用量経年!AW215+参考2_エネ使用量経年!AW302),"")</f>
        <v/>
      </c>
      <c r="AX365" s="916" t="str">
        <f ca="1">IFERROR($J365*44/12*参考2_エネ使用量経年!$J215*(参考2_エネ使用量経年!AX215+参考2_エネ使用量経年!AX302),"")</f>
        <v/>
      </c>
      <c r="AY365" s="916" t="str">
        <f ca="1">IFERROR($K365*44/12*参考2_エネ使用量経年!$K215*(参考2_エネ使用量経年!AY215+参考2_エネ使用量経年!AY302),"")</f>
        <v/>
      </c>
      <c r="AZ365" s="916" t="str">
        <f ca="1">IFERROR($H365*44/12*参考2_エネ使用量経年!$H215*(参考2_エネ使用量経年!AZ215+参考2_エネ使用量経年!AZ302),"")</f>
        <v/>
      </c>
      <c r="BA365" s="916" t="str">
        <f ca="1">IFERROR($I365*44/12*参考2_エネ使用量経年!$I215*(参考2_エネ使用量経年!BA215+参考2_エネ使用量経年!BA302),"")</f>
        <v/>
      </c>
      <c r="BB365" s="916" t="str">
        <f ca="1">IFERROR($J365*44/12*参考2_エネ使用量経年!$J215*(参考2_エネ使用量経年!BB215+参考2_エネ使用量経年!BB302),"")</f>
        <v/>
      </c>
      <c r="BC365" s="916" t="str">
        <f ca="1">IFERROR($K365*44/12*参考2_エネ使用量経年!$K215*(参考2_エネ使用量経年!BC215+参考2_エネ使用量経年!BC302),"")</f>
        <v/>
      </c>
      <c r="BD365" s="916" t="str">
        <f ca="1">IFERROR($H365*44/12*参考2_エネ使用量経年!$H215*(参考2_エネ使用量経年!BD215+参考2_エネ使用量経年!BD302),"")</f>
        <v/>
      </c>
      <c r="BE365" s="916" t="str">
        <f ca="1">IFERROR($I365*44/12*参考2_エネ使用量経年!$I215*(参考2_エネ使用量経年!BE215+参考2_エネ使用量経年!BE302),"")</f>
        <v/>
      </c>
      <c r="BF365" s="916" t="str">
        <f ca="1">IFERROR($J365*44/12*参考2_エネ使用量経年!$J215*(参考2_エネ使用量経年!BF215+参考2_エネ使用量経年!BF302),"")</f>
        <v/>
      </c>
      <c r="BG365" s="916" t="str">
        <f ca="1">IFERROR($K365*44/12*参考2_エネ使用量経年!$K215*(参考2_エネ使用量経年!BG215+参考2_エネ使用量経年!BG302),"")</f>
        <v/>
      </c>
      <c r="BH365" s="916" t="str">
        <f ca="1">IFERROR($H365*44/12*参考2_エネ使用量経年!$H215*(参考2_エネ使用量経年!BH215+参考2_エネ使用量経年!BH302),"")</f>
        <v/>
      </c>
      <c r="BI365" s="916" t="str">
        <f ca="1">IFERROR($I365*44/12*参考2_エネ使用量経年!$I215*(参考2_エネ使用量経年!BI215+参考2_エネ使用量経年!BI302),"")</f>
        <v/>
      </c>
      <c r="BJ365" s="916" t="str">
        <f ca="1">IFERROR($J365*44/12*参考2_エネ使用量経年!$J215*(参考2_エネ使用量経年!BJ215+参考2_エネ使用量経年!BJ302),"")</f>
        <v/>
      </c>
      <c r="BK365" s="916" t="str">
        <f ca="1">IFERROR($K365*44/12*参考2_エネ使用量経年!$K215*(参考2_エネ使用量経年!BK215+参考2_エネ使用量経年!BK302),"")</f>
        <v/>
      </c>
      <c r="BL365" s="916" t="str">
        <f ca="1">IFERROR($H365*44/12*参考2_エネ使用量経年!$H215*(参考2_エネ使用量経年!BL215+参考2_エネ使用量経年!BL302),"")</f>
        <v/>
      </c>
      <c r="BM365" s="916" t="str">
        <f ca="1">IFERROR($I365*44/12*参考2_エネ使用量経年!$I215*(参考2_エネ使用量経年!BM215+参考2_エネ使用量経年!BM302),"")</f>
        <v/>
      </c>
      <c r="BN365" s="916" t="str">
        <f ca="1">IFERROR($J365*44/12*参考2_エネ使用量経年!$J215*(参考2_エネ使用量経年!BN215+参考2_エネ使用量経年!BN302),"")</f>
        <v/>
      </c>
      <c r="BO365" s="916" t="str">
        <f ca="1">IFERROR($K365*44/12*参考2_エネ使用量経年!$K215*(参考2_エネ使用量経年!BO215+参考2_エネ使用量経年!BO302),"")</f>
        <v/>
      </c>
    </row>
    <row r="366" spans="1:68" ht="20.100000000000001" customHeight="1">
      <c r="A366" s="914">
        <v>53</v>
      </c>
      <c r="B366" s="1594"/>
      <c r="C366" s="1596"/>
      <c r="D366" s="785" t="s">
        <v>394</v>
      </c>
      <c r="E366" s="785"/>
      <c r="F366" s="786"/>
      <c r="G366" s="852" t="s">
        <v>1281</v>
      </c>
      <c r="H366" s="915">
        <f t="shared" ca="1" si="109"/>
        <v>0</v>
      </c>
      <c r="I366" s="915">
        <f t="shared" ca="1" si="110"/>
        <v>0</v>
      </c>
      <c r="J366" s="915">
        <f t="shared" ca="1" si="111"/>
        <v>0</v>
      </c>
      <c r="K366" s="915">
        <f t="shared" ca="1" si="112"/>
        <v>0</v>
      </c>
      <c r="L366" s="916">
        <f ca="1">IFERROR($H366*44/12*参考2_エネ使用量経年!$H216*(参考2_エネ使用量経年!L216+参考2_エネ使用量経年!L303),"")</f>
        <v>0</v>
      </c>
      <c r="M366" s="916">
        <f ca="1">IFERROR($I366*44/12*参考2_エネ使用量経年!$I216*(参考2_エネ使用量経年!M216+参考2_エネ使用量経年!M303),"")</f>
        <v>0</v>
      </c>
      <c r="N366" s="916">
        <f ca="1">IFERROR($J366*44/12*参考2_エネ使用量経年!$J216*(参考2_エネ使用量経年!N216+参考2_エネ使用量経年!N303),"")</f>
        <v>0</v>
      </c>
      <c r="O366" s="916">
        <f ca="1">IFERROR($K366*44/12*参考2_エネ使用量経年!$K216*(参考2_エネ使用量経年!O216+参考2_エネ使用量経年!O303),"")</f>
        <v>0</v>
      </c>
      <c r="P366" s="916">
        <f ca="1">IFERROR($H366*44/12*参考2_エネ使用量経年!$H216*(参考2_エネ使用量経年!P216+参考2_エネ使用量経年!P303),"")</f>
        <v>0</v>
      </c>
      <c r="Q366" s="916">
        <f ca="1">IFERROR($I366*44/12*参考2_エネ使用量経年!$I216*(参考2_エネ使用量経年!Q216+参考2_エネ使用量経年!Q303),"")</f>
        <v>0</v>
      </c>
      <c r="R366" s="916">
        <f ca="1">IFERROR($J366*44/12*参考2_エネ使用量経年!$J216*(参考2_エネ使用量経年!R216+参考2_エネ使用量経年!R303),"")</f>
        <v>0</v>
      </c>
      <c r="S366" s="916">
        <f ca="1">IFERROR($K366*44/12*参考2_エネ使用量経年!$K216*(参考2_エネ使用量経年!S216+参考2_エネ使用量経年!S303),"")</f>
        <v>0</v>
      </c>
      <c r="T366" s="916">
        <f ca="1">IFERROR($H366*44/12*参考2_エネ使用量経年!$H216*(参考2_エネ使用量経年!T216+参考2_エネ使用量経年!T303),"")</f>
        <v>0</v>
      </c>
      <c r="U366" s="916">
        <f ca="1">IFERROR($I366*44/12*参考2_エネ使用量経年!$I216*(参考2_エネ使用量経年!U216+参考2_エネ使用量経年!U303),"")</f>
        <v>0</v>
      </c>
      <c r="V366" s="916">
        <f ca="1">IFERROR($J366*44/12*参考2_エネ使用量経年!$J216*(参考2_エネ使用量経年!V216+参考2_エネ使用量経年!V303),"")</f>
        <v>0</v>
      </c>
      <c r="W366" s="916">
        <f ca="1">IFERROR($K366*44/12*参考2_エネ使用量経年!$K216*(参考2_エネ使用量経年!W216+参考2_エネ使用量経年!W303),"")</f>
        <v>0</v>
      </c>
      <c r="X366" s="916">
        <f ca="1">IFERROR($H366*44/12*参考2_エネ使用量経年!$H216*(参考2_エネ使用量経年!X216+参考2_エネ使用量経年!X303),"")</f>
        <v>0</v>
      </c>
      <c r="Y366" s="916">
        <f ca="1">IFERROR($I366*44/12*参考2_エネ使用量経年!$I216*(参考2_エネ使用量経年!Y216+参考2_エネ使用量経年!Y303),"")</f>
        <v>0</v>
      </c>
      <c r="Z366" s="916">
        <f ca="1">IFERROR($J366*44/12*参考2_エネ使用量経年!$J216*(参考2_エネ使用量経年!Z216+参考2_エネ使用量経年!Z303),"")</f>
        <v>0</v>
      </c>
      <c r="AA366" s="916">
        <f ca="1">IFERROR($K366*44/12*参考2_エネ使用量経年!$K216*(参考2_エネ使用量経年!AA216+参考2_エネ使用量経年!AA303),"")</f>
        <v>0</v>
      </c>
      <c r="AB366" s="916" t="str">
        <f ca="1">IFERROR($H366*44/12*参考2_エネ使用量経年!$H216*(参考2_エネ使用量経年!AB216+参考2_エネ使用量経年!AB303),"")</f>
        <v/>
      </c>
      <c r="AC366" s="916" t="str">
        <f ca="1">IFERROR($I366*44/12*参考2_エネ使用量経年!$I216*(参考2_エネ使用量経年!AC216+参考2_エネ使用量経年!AC303),"")</f>
        <v/>
      </c>
      <c r="AD366" s="916" t="str">
        <f ca="1">IFERROR($J366*44/12*参考2_エネ使用量経年!$J216*(参考2_エネ使用量経年!AD216+参考2_エネ使用量経年!AD303),"")</f>
        <v/>
      </c>
      <c r="AE366" s="916" t="str">
        <f ca="1">IFERROR($K366*44/12*参考2_エネ使用量経年!$K216*(参考2_エネ使用量経年!AE216+参考2_エネ使用量経年!AE303),"")</f>
        <v/>
      </c>
      <c r="AF366" s="916" t="str">
        <f ca="1">IFERROR($H366*44/12*参考2_エネ使用量経年!$H216*(参考2_エネ使用量経年!AF216+参考2_エネ使用量経年!AF303),"")</f>
        <v/>
      </c>
      <c r="AG366" s="916" t="str">
        <f ca="1">IFERROR($I366*44/12*参考2_エネ使用量経年!$I216*(参考2_エネ使用量経年!AG216+参考2_エネ使用量経年!AG303),"")</f>
        <v/>
      </c>
      <c r="AH366" s="916" t="str">
        <f ca="1">IFERROR($J366*44/12*参考2_エネ使用量経年!$J216*(参考2_エネ使用量経年!AH216+参考2_エネ使用量経年!AH303),"")</f>
        <v/>
      </c>
      <c r="AI366" s="916" t="str">
        <f ca="1">IFERROR($K366*44/12*参考2_エネ使用量経年!$K216*(参考2_エネ使用量経年!AI216+参考2_エネ使用量経年!AI303),"")</f>
        <v/>
      </c>
      <c r="AJ366" s="916" t="str">
        <f ca="1">IFERROR($H366*44/12*参考2_エネ使用量経年!$H216*(参考2_エネ使用量経年!AJ216+参考2_エネ使用量経年!AJ303),"")</f>
        <v/>
      </c>
      <c r="AK366" s="916" t="str">
        <f ca="1">IFERROR($I366*44/12*参考2_エネ使用量経年!$I216*(参考2_エネ使用量経年!AK216+参考2_エネ使用量経年!AK303),"")</f>
        <v/>
      </c>
      <c r="AL366" s="916" t="str">
        <f ca="1">IFERROR($J366*44/12*参考2_エネ使用量経年!$J216*(参考2_エネ使用量経年!AL216+参考2_エネ使用量経年!AL303),"")</f>
        <v/>
      </c>
      <c r="AM366" s="916" t="str">
        <f ca="1">IFERROR($K366*44/12*参考2_エネ使用量経年!$K216*(参考2_エネ使用量経年!AM216+参考2_エネ使用量経年!AM303),"")</f>
        <v/>
      </c>
      <c r="AN366" s="916" t="str">
        <f ca="1">IFERROR($H366*44/12*参考2_エネ使用量経年!$H216*(参考2_エネ使用量経年!AN216+参考2_エネ使用量経年!AN303),"")</f>
        <v/>
      </c>
      <c r="AO366" s="916" t="str">
        <f ca="1">IFERROR($I366*44/12*参考2_エネ使用量経年!$I216*(参考2_エネ使用量経年!AO216+参考2_エネ使用量経年!AO303),"")</f>
        <v/>
      </c>
      <c r="AP366" s="916" t="str">
        <f ca="1">IFERROR($J366*44/12*参考2_エネ使用量経年!$J216*(参考2_エネ使用量経年!AP216+参考2_エネ使用量経年!AP303),"")</f>
        <v/>
      </c>
      <c r="AQ366" s="916" t="str">
        <f ca="1">IFERROR($K366*44/12*参考2_エネ使用量経年!$K216*(参考2_エネ使用量経年!AQ216+参考2_エネ使用量経年!AQ303),"")</f>
        <v/>
      </c>
      <c r="AR366" s="916" t="str">
        <f ca="1">IFERROR($H366*44/12*参考2_エネ使用量経年!$H216*(参考2_エネ使用量経年!AR216+参考2_エネ使用量経年!AR303),"")</f>
        <v/>
      </c>
      <c r="AS366" s="916" t="str">
        <f ca="1">IFERROR($I366*44/12*参考2_エネ使用量経年!$I216*(参考2_エネ使用量経年!AS216+参考2_エネ使用量経年!AS303),"")</f>
        <v/>
      </c>
      <c r="AT366" s="916" t="str">
        <f ca="1">IFERROR($J366*44/12*参考2_エネ使用量経年!$J216*(参考2_エネ使用量経年!AT216+参考2_エネ使用量経年!AT303),"")</f>
        <v/>
      </c>
      <c r="AU366" s="916" t="str">
        <f ca="1">IFERROR($K366*44/12*参考2_エネ使用量経年!$K216*(参考2_エネ使用量経年!AU216+参考2_エネ使用量経年!AU303),"")</f>
        <v/>
      </c>
      <c r="AV366" s="916" t="str">
        <f ca="1">IFERROR($H366*44/12*参考2_エネ使用量経年!$H216*(参考2_エネ使用量経年!AV216+参考2_エネ使用量経年!AV303),"")</f>
        <v/>
      </c>
      <c r="AW366" s="916" t="str">
        <f ca="1">IFERROR($I366*44/12*参考2_エネ使用量経年!$I216*(参考2_エネ使用量経年!AW216+参考2_エネ使用量経年!AW303),"")</f>
        <v/>
      </c>
      <c r="AX366" s="916" t="str">
        <f ca="1">IFERROR($J366*44/12*参考2_エネ使用量経年!$J216*(参考2_エネ使用量経年!AX216+参考2_エネ使用量経年!AX303),"")</f>
        <v/>
      </c>
      <c r="AY366" s="916" t="str">
        <f ca="1">IFERROR($K366*44/12*参考2_エネ使用量経年!$K216*(参考2_エネ使用量経年!AY216+参考2_エネ使用量経年!AY303),"")</f>
        <v/>
      </c>
      <c r="AZ366" s="916" t="str">
        <f ca="1">IFERROR($H366*44/12*参考2_エネ使用量経年!$H216*(参考2_エネ使用量経年!AZ216+参考2_エネ使用量経年!AZ303),"")</f>
        <v/>
      </c>
      <c r="BA366" s="916" t="str">
        <f ca="1">IFERROR($I366*44/12*参考2_エネ使用量経年!$I216*(参考2_エネ使用量経年!BA216+参考2_エネ使用量経年!BA303),"")</f>
        <v/>
      </c>
      <c r="BB366" s="916" t="str">
        <f ca="1">IFERROR($J366*44/12*参考2_エネ使用量経年!$J216*(参考2_エネ使用量経年!BB216+参考2_エネ使用量経年!BB303),"")</f>
        <v/>
      </c>
      <c r="BC366" s="916" t="str">
        <f ca="1">IFERROR($K366*44/12*参考2_エネ使用量経年!$K216*(参考2_エネ使用量経年!BC216+参考2_エネ使用量経年!BC303),"")</f>
        <v/>
      </c>
      <c r="BD366" s="916" t="str">
        <f ca="1">IFERROR($H366*44/12*参考2_エネ使用量経年!$H216*(参考2_エネ使用量経年!BD216+参考2_エネ使用量経年!BD303),"")</f>
        <v/>
      </c>
      <c r="BE366" s="916" t="str">
        <f ca="1">IFERROR($I366*44/12*参考2_エネ使用量経年!$I216*(参考2_エネ使用量経年!BE216+参考2_エネ使用量経年!BE303),"")</f>
        <v/>
      </c>
      <c r="BF366" s="916" t="str">
        <f ca="1">IFERROR($J366*44/12*参考2_エネ使用量経年!$J216*(参考2_エネ使用量経年!BF216+参考2_エネ使用量経年!BF303),"")</f>
        <v/>
      </c>
      <c r="BG366" s="916" t="str">
        <f ca="1">IFERROR($K366*44/12*参考2_エネ使用量経年!$K216*(参考2_エネ使用量経年!BG216+参考2_エネ使用量経年!BG303),"")</f>
        <v/>
      </c>
      <c r="BH366" s="916" t="str">
        <f ca="1">IFERROR($H366*44/12*参考2_エネ使用量経年!$H216*(参考2_エネ使用量経年!BH216+参考2_エネ使用量経年!BH303),"")</f>
        <v/>
      </c>
      <c r="BI366" s="916" t="str">
        <f ca="1">IFERROR($I366*44/12*参考2_エネ使用量経年!$I216*(参考2_エネ使用量経年!BI216+参考2_エネ使用量経年!BI303),"")</f>
        <v/>
      </c>
      <c r="BJ366" s="916" t="str">
        <f ca="1">IFERROR($J366*44/12*参考2_エネ使用量経年!$J216*(参考2_エネ使用量経年!BJ216+参考2_エネ使用量経年!BJ303),"")</f>
        <v/>
      </c>
      <c r="BK366" s="916" t="str">
        <f ca="1">IFERROR($K366*44/12*参考2_エネ使用量経年!$K216*(参考2_エネ使用量経年!BK216+参考2_エネ使用量経年!BK303),"")</f>
        <v/>
      </c>
      <c r="BL366" s="916" t="str">
        <f ca="1">IFERROR($H366*44/12*参考2_エネ使用量経年!$H216*(参考2_エネ使用量経年!BL216+参考2_エネ使用量経年!BL303),"")</f>
        <v/>
      </c>
      <c r="BM366" s="916" t="str">
        <f ca="1">IFERROR($I366*44/12*参考2_エネ使用量経年!$I216*(参考2_エネ使用量経年!BM216+参考2_エネ使用量経年!BM303),"")</f>
        <v/>
      </c>
      <c r="BN366" s="916" t="str">
        <f ca="1">IFERROR($J366*44/12*参考2_エネ使用量経年!$J216*(参考2_エネ使用量経年!BN216+参考2_エネ使用量経年!BN303),"")</f>
        <v/>
      </c>
      <c r="BO366" s="916" t="str">
        <f ca="1">IFERROR($K366*44/12*参考2_エネ使用量経年!$K216*(参考2_エネ使用量経年!BO216+参考2_エネ使用量経年!BO303),"")</f>
        <v/>
      </c>
    </row>
    <row r="367" spans="1:68" ht="20.100000000000001" customHeight="1">
      <c r="A367" s="914">
        <v>54</v>
      </c>
      <c r="B367" s="1594"/>
      <c r="C367" s="1596"/>
      <c r="D367" s="785" t="s">
        <v>783</v>
      </c>
      <c r="E367" s="792" t="str">
        <f ca="1">E54</f>
        <v/>
      </c>
      <c r="F367" s="794"/>
      <c r="G367" s="852" t="s">
        <v>1281</v>
      </c>
      <c r="H367" s="915">
        <f t="shared" ca="1" si="109"/>
        <v>0</v>
      </c>
      <c r="I367" s="915">
        <f t="shared" ca="1" si="110"/>
        <v>0</v>
      </c>
      <c r="J367" s="915">
        <f t="shared" ca="1" si="111"/>
        <v>0</v>
      </c>
      <c r="K367" s="915">
        <f t="shared" ca="1" si="112"/>
        <v>0</v>
      </c>
      <c r="L367" s="916">
        <f ca="1">IFERROR($H367*44/12*参考2_エネ使用量経年!$H217*(参考2_エネ使用量経年!L217+参考2_エネ使用量経年!L304),"")</f>
        <v>0</v>
      </c>
      <c r="M367" s="916">
        <f ca="1">IFERROR($I367*44/12*参考2_エネ使用量経年!$I217*(参考2_エネ使用量経年!M217+参考2_エネ使用量経年!M304),"")</f>
        <v>0</v>
      </c>
      <c r="N367" s="916">
        <f ca="1">IFERROR($J367*44/12*参考2_エネ使用量経年!$J217*(参考2_エネ使用量経年!N217+参考2_エネ使用量経年!N304),"")</f>
        <v>0</v>
      </c>
      <c r="O367" s="916">
        <f ca="1">IFERROR($K367*44/12*参考2_エネ使用量経年!$K217*(参考2_エネ使用量経年!O217+参考2_エネ使用量経年!O304),"")</f>
        <v>0</v>
      </c>
      <c r="P367" s="916">
        <f ca="1">IFERROR($H367*44/12*参考2_エネ使用量経年!$H217*(参考2_エネ使用量経年!P217+参考2_エネ使用量経年!P304),"")</f>
        <v>0</v>
      </c>
      <c r="Q367" s="916">
        <f ca="1">IFERROR($I367*44/12*参考2_エネ使用量経年!$I217*(参考2_エネ使用量経年!Q217+参考2_エネ使用量経年!Q304),"")</f>
        <v>0</v>
      </c>
      <c r="R367" s="916">
        <f ca="1">IFERROR($J367*44/12*参考2_エネ使用量経年!$J217*(参考2_エネ使用量経年!R217+参考2_エネ使用量経年!R304),"")</f>
        <v>0</v>
      </c>
      <c r="S367" s="916">
        <f ca="1">IFERROR($K367*44/12*参考2_エネ使用量経年!$K217*(参考2_エネ使用量経年!S217+参考2_エネ使用量経年!S304),"")</f>
        <v>0</v>
      </c>
      <c r="T367" s="916">
        <f ca="1">IFERROR($H367*44/12*参考2_エネ使用量経年!$H217*(参考2_エネ使用量経年!T217+参考2_エネ使用量経年!T304),"")</f>
        <v>0</v>
      </c>
      <c r="U367" s="916">
        <f ca="1">IFERROR($I367*44/12*参考2_エネ使用量経年!$I217*(参考2_エネ使用量経年!U217+参考2_エネ使用量経年!U304),"")</f>
        <v>0</v>
      </c>
      <c r="V367" s="916">
        <f ca="1">IFERROR($J367*44/12*参考2_エネ使用量経年!$J217*(参考2_エネ使用量経年!V217+参考2_エネ使用量経年!V304),"")</f>
        <v>0</v>
      </c>
      <c r="W367" s="916">
        <f ca="1">IFERROR($K367*44/12*参考2_エネ使用量経年!$K217*(参考2_エネ使用量経年!W217+参考2_エネ使用量経年!W304),"")</f>
        <v>0</v>
      </c>
      <c r="X367" s="916">
        <f ca="1">IFERROR($H367*44/12*参考2_エネ使用量経年!$H217*(参考2_エネ使用量経年!X217+参考2_エネ使用量経年!X304),"")</f>
        <v>0</v>
      </c>
      <c r="Y367" s="916">
        <f ca="1">IFERROR($I367*44/12*参考2_エネ使用量経年!$I217*(参考2_エネ使用量経年!Y217+参考2_エネ使用量経年!Y304),"")</f>
        <v>0</v>
      </c>
      <c r="Z367" s="916">
        <f ca="1">IFERROR($J367*44/12*参考2_エネ使用量経年!$J217*(参考2_エネ使用量経年!Z217+参考2_エネ使用量経年!Z304),"")</f>
        <v>0</v>
      </c>
      <c r="AA367" s="916">
        <f ca="1">IFERROR($K367*44/12*参考2_エネ使用量経年!$K217*(参考2_エネ使用量経年!AA217+参考2_エネ使用量経年!AA304),"")</f>
        <v>0</v>
      </c>
      <c r="AB367" s="916" t="str">
        <f ca="1">IFERROR($H367*44/12*参考2_エネ使用量経年!$H217*(参考2_エネ使用量経年!AB217+参考2_エネ使用量経年!AB304),"")</f>
        <v/>
      </c>
      <c r="AC367" s="916" t="str">
        <f ca="1">IFERROR($I367*44/12*参考2_エネ使用量経年!$I217*(参考2_エネ使用量経年!AC217+参考2_エネ使用量経年!AC304),"")</f>
        <v/>
      </c>
      <c r="AD367" s="916" t="str">
        <f ca="1">IFERROR($J367*44/12*参考2_エネ使用量経年!$J217*(参考2_エネ使用量経年!AD217+参考2_エネ使用量経年!AD304),"")</f>
        <v/>
      </c>
      <c r="AE367" s="916" t="str">
        <f ca="1">IFERROR($K367*44/12*参考2_エネ使用量経年!$K217*(参考2_エネ使用量経年!AE217+参考2_エネ使用量経年!AE304),"")</f>
        <v/>
      </c>
      <c r="AF367" s="916" t="str">
        <f ca="1">IFERROR($H367*44/12*参考2_エネ使用量経年!$H217*(参考2_エネ使用量経年!AF217+参考2_エネ使用量経年!AF304),"")</f>
        <v/>
      </c>
      <c r="AG367" s="916" t="str">
        <f ca="1">IFERROR($I367*44/12*参考2_エネ使用量経年!$I217*(参考2_エネ使用量経年!AG217+参考2_エネ使用量経年!AG304),"")</f>
        <v/>
      </c>
      <c r="AH367" s="916" t="str">
        <f ca="1">IFERROR($J367*44/12*参考2_エネ使用量経年!$J217*(参考2_エネ使用量経年!AH217+参考2_エネ使用量経年!AH304),"")</f>
        <v/>
      </c>
      <c r="AI367" s="916" t="str">
        <f ca="1">IFERROR($K367*44/12*参考2_エネ使用量経年!$K217*(参考2_エネ使用量経年!AI217+参考2_エネ使用量経年!AI304),"")</f>
        <v/>
      </c>
      <c r="AJ367" s="916" t="str">
        <f ca="1">IFERROR($H367*44/12*参考2_エネ使用量経年!$H217*(参考2_エネ使用量経年!AJ217+参考2_エネ使用量経年!AJ304),"")</f>
        <v/>
      </c>
      <c r="AK367" s="916" t="str">
        <f ca="1">IFERROR($I367*44/12*参考2_エネ使用量経年!$I217*(参考2_エネ使用量経年!AK217+参考2_エネ使用量経年!AK304),"")</f>
        <v/>
      </c>
      <c r="AL367" s="916" t="str">
        <f ca="1">IFERROR($J367*44/12*参考2_エネ使用量経年!$J217*(参考2_エネ使用量経年!AL217+参考2_エネ使用量経年!AL304),"")</f>
        <v/>
      </c>
      <c r="AM367" s="916" t="str">
        <f ca="1">IFERROR($K367*44/12*参考2_エネ使用量経年!$K217*(参考2_エネ使用量経年!AM217+参考2_エネ使用量経年!AM304),"")</f>
        <v/>
      </c>
      <c r="AN367" s="916" t="str">
        <f ca="1">IFERROR($H367*44/12*参考2_エネ使用量経年!$H217*(参考2_エネ使用量経年!AN217+参考2_エネ使用量経年!AN304),"")</f>
        <v/>
      </c>
      <c r="AO367" s="916" t="str">
        <f ca="1">IFERROR($I367*44/12*参考2_エネ使用量経年!$I217*(参考2_エネ使用量経年!AO217+参考2_エネ使用量経年!AO304),"")</f>
        <v/>
      </c>
      <c r="AP367" s="916" t="str">
        <f ca="1">IFERROR($J367*44/12*参考2_エネ使用量経年!$J217*(参考2_エネ使用量経年!AP217+参考2_エネ使用量経年!AP304),"")</f>
        <v/>
      </c>
      <c r="AQ367" s="916" t="str">
        <f ca="1">IFERROR($K367*44/12*参考2_エネ使用量経年!$K217*(参考2_エネ使用量経年!AQ217+参考2_エネ使用量経年!AQ304),"")</f>
        <v/>
      </c>
      <c r="AR367" s="916" t="str">
        <f ca="1">IFERROR($H367*44/12*参考2_エネ使用量経年!$H217*(参考2_エネ使用量経年!AR217+参考2_エネ使用量経年!AR304),"")</f>
        <v/>
      </c>
      <c r="AS367" s="916" t="str">
        <f ca="1">IFERROR($I367*44/12*参考2_エネ使用量経年!$I217*(参考2_エネ使用量経年!AS217+参考2_エネ使用量経年!AS304),"")</f>
        <v/>
      </c>
      <c r="AT367" s="916" t="str">
        <f ca="1">IFERROR($J367*44/12*参考2_エネ使用量経年!$J217*(参考2_エネ使用量経年!AT217+参考2_エネ使用量経年!AT304),"")</f>
        <v/>
      </c>
      <c r="AU367" s="916" t="str">
        <f ca="1">IFERROR($K367*44/12*参考2_エネ使用量経年!$K217*(参考2_エネ使用量経年!AU217+参考2_エネ使用量経年!AU304),"")</f>
        <v/>
      </c>
      <c r="AV367" s="916" t="str">
        <f ca="1">IFERROR($H367*44/12*参考2_エネ使用量経年!$H217*(参考2_エネ使用量経年!AV217+参考2_エネ使用量経年!AV304),"")</f>
        <v/>
      </c>
      <c r="AW367" s="916" t="str">
        <f ca="1">IFERROR($I367*44/12*参考2_エネ使用量経年!$I217*(参考2_エネ使用量経年!AW217+参考2_エネ使用量経年!AW304),"")</f>
        <v/>
      </c>
      <c r="AX367" s="916" t="str">
        <f ca="1">IFERROR($J367*44/12*参考2_エネ使用量経年!$J217*(参考2_エネ使用量経年!AX217+参考2_エネ使用量経年!AX304),"")</f>
        <v/>
      </c>
      <c r="AY367" s="916" t="str">
        <f ca="1">IFERROR($K367*44/12*参考2_エネ使用量経年!$K217*(参考2_エネ使用量経年!AY217+参考2_エネ使用量経年!AY304),"")</f>
        <v/>
      </c>
      <c r="AZ367" s="916" t="str">
        <f ca="1">IFERROR($H367*44/12*参考2_エネ使用量経年!$H217*(参考2_エネ使用量経年!AZ217+参考2_エネ使用量経年!AZ304),"")</f>
        <v/>
      </c>
      <c r="BA367" s="916" t="str">
        <f ca="1">IFERROR($I367*44/12*参考2_エネ使用量経年!$I217*(参考2_エネ使用量経年!BA217+参考2_エネ使用量経年!BA304),"")</f>
        <v/>
      </c>
      <c r="BB367" s="916" t="str">
        <f ca="1">IFERROR($J367*44/12*参考2_エネ使用量経年!$J217*(参考2_エネ使用量経年!BB217+参考2_エネ使用量経年!BB304),"")</f>
        <v/>
      </c>
      <c r="BC367" s="916" t="str">
        <f ca="1">IFERROR($K367*44/12*参考2_エネ使用量経年!$K217*(参考2_エネ使用量経年!BC217+参考2_エネ使用量経年!BC304),"")</f>
        <v/>
      </c>
      <c r="BD367" s="916" t="str">
        <f ca="1">IFERROR($H367*44/12*参考2_エネ使用量経年!$H217*(参考2_エネ使用量経年!BD217+参考2_エネ使用量経年!BD304),"")</f>
        <v/>
      </c>
      <c r="BE367" s="916" t="str">
        <f ca="1">IFERROR($I367*44/12*参考2_エネ使用量経年!$I217*(参考2_エネ使用量経年!BE217+参考2_エネ使用量経年!BE304),"")</f>
        <v/>
      </c>
      <c r="BF367" s="916" t="str">
        <f ca="1">IFERROR($J367*44/12*参考2_エネ使用量経年!$J217*(参考2_エネ使用量経年!BF217+参考2_エネ使用量経年!BF304),"")</f>
        <v/>
      </c>
      <c r="BG367" s="916" t="str">
        <f ca="1">IFERROR($K367*44/12*参考2_エネ使用量経年!$K217*(参考2_エネ使用量経年!BG217+参考2_エネ使用量経年!BG304),"")</f>
        <v/>
      </c>
      <c r="BH367" s="916" t="str">
        <f ca="1">IFERROR($H367*44/12*参考2_エネ使用量経年!$H217*(参考2_エネ使用量経年!BH217+参考2_エネ使用量経年!BH304),"")</f>
        <v/>
      </c>
      <c r="BI367" s="916" t="str">
        <f ca="1">IFERROR($I367*44/12*参考2_エネ使用量経年!$I217*(参考2_エネ使用量経年!BI217+参考2_エネ使用量経年!BI304),"")</f>
        <v/>
      </c>
      <c r="BJ367" s="916" t="str">
        <f ca="1">IFERROR($J367*44/12*参考2_エネ使用量経年!$J217*(参考2_エネ使用量経年!BJ217+参考2_エネ使用量経年!BJ304),"")</f>
        <v/>
      </c>
      <c r="BK367" s="916" t="str">
        <f ca="1">IFERROR($K367*44/12*参考2_エネ使用量経年!$K217*(参考2_エネ使用量経年!BK217+参考2_エネ使用量経年!BK304),"")</f>
        <v/>
      </c>
      <c r="BL367" s="916" t="str">
        <f ca="1">IFERROR($H367*44/12*参考2_エネ使用量経年!$H217*(参考2_エネ使用量経年!BL217+参考2_エネ使用量経年!BL304),"")</f>
        <v/>
      </c>
      <c r="BM367" s="916" t="str">
        <f ca="1">IFERROR($I367*44/12*参考2_エネ使用量経年!$I217*(参考2_エネ使用量経年!BM217+参考2_エネ使用量経年!BM304),"")</f>
        <v/>
      </c>
      <c r="BN367" s="916" t="str">
        <f ca="1">IFERROR($J367*44/12*参考2_エネ使用量経年!$J217*(参考2_エネ使用量経年!BN217+参考2_エネ使用量経年!BN304),"")</f>
        <v/>
      </c>
      <c r="BO367" s="916" t="str">
        <f ca="1">IFERROR($K367*44/12*参考2_エネ使用量経年!$K217*(参考2_エネ使用量経年!BO217+参考2_エネ使用量経年!BO304),"")</f>
        <v/>
      </c>
    </row>
    <row r="368" spans="1:68" ht="20.100000000000001" customHeight="1">
      <c r="A368" s="914">
        <v>55</v>
      </c>
      <c r="B368" s="1594"/>
      <c r="C368" s="1596"/>
      <c r="D368" s="785" t="s">
        <v>784</v>
      </c>
      <c r="E368" s="792" t="str">
        <f ca="1">E55</f>
        <v/>
      </c>
      <c r="F368" s="794"/>
      <c r="G368" s="852" t="s">
        <v>1281</v>
      </c>
      <c r="H368" s="915">
        <f t="shared" ca="1" si="109"/>
        <v>0</v>
      </c>
      <c r="I368" s="915">
        <f t="shared" ca="1" si="110"/>
        <v>0</v>
      </c>
      <c r="J368" s="915">
        <f t="shared" ca="1" si="111"/>
        <v>0</v>
      </c>
      <c r="K368" s="915">
        <f t="shared" ca="1" si="112"/>
        <v>0</v>
      </c>
      <c r="L368" s="916">
        <f ca="1">IFERROR($H368*44/12*参考2_エネ使用量経年!$H218*(参考2_エネ使用量経年!L218+参考2_エネ使用量経年!L305),"")</f>
        <v>0</v>
      </c>
      <c r="M368" s="916">
        <f ca="1">IFERROR($I368*44/12*参考2_エネ使用量経年!$I218*(参考2_エネ使用量経年!M218+参考2_エネ使用量経年!M305),"")</f>
        <v>0</v>
      </c>
      <c r="N368" s="916">
        <f ca="1">IFERROR($J368*44/12*参考2_エネ使用量経年!$J218*(参考2_エネ使用量経年!N218+参考2_エネ使用量経年!N305),"")</f>
        <v>0</v>
      </c>
      <c r="O368" s="916">
        <f ca="1">IFERROR($K368*44/12*参考2_エネ使用量経年!$K218*(参考2_エネ使用量経年!O218+参考2_エネ使用量経年!O305),"")</f>
        <v>0</v>
      </c>
      <c r="P368" s="916">
        <f ca="1">IFERROR($H368*44/12*参考2_エネ使用量経年!$H218*(参考2_エネ使用量経年!P218+参考2_エネ使用量経年!P305),"")</f>
        <v>0</v>
      </c>
      <c r="Q368" s="916">
        <f ca="1">IFERROR($I368*44/12*参考2_エネ使用量経年!$I218*(参考2_エネ使用量経年!Q218+参考2_エネ使用量経年!Q305),"")</f>
        <v>0</v>
      </c>
      <c r="R368" s="916">
        <f ca="1">IFERROR($J368*44/12*参考2_エネ使用量経年!$J218*(参考2_エネ使用量経年!R218+参考2_エネ使用量経年!R305),"")</f>
        <v>0</v>
      </c>
      <c r="S368" s="916">
        <f ca="1">IFERROR($K368*44/12*参考2_エネ使用量経年!$K218*(参考2_エネ使用量経年!S218+参考2_エネ使用量経年!S305),"")</f>
        <v>0</v>
      </c>
      <c r="T368" s="916">
        <f ca="1">IFERROR($H368*44/12*参考2_エネ使用量経年!$H218*(参考2_エネ使用量経年!T218+参考2_エネ使用量経年!T305),"")</f>
        <v>0</v>
      </c>
      <c r="U368" s="916">
        <f ca="1">IFERROR($I368*44/12*参考2_エネ使用量経年!$I218*(参考2_エネ使用量経年!U218+参考2_エネ使用量経年!U305),"")</f>
        <v>0</v>
      </c>
      <c r="V368" s="916">
        <f ca="1">IFERROR($J368*44/12*参考2_エネ使用量経年!$J218*(参考2_エネ使用量経年!V218+参考2_エネ使用量経年!V305),"")</f>
        <v>0</v>
      </c>
      <c r="W368" s="916">
        <f ca="1">IFERROR($K368*44/12*参考2_エネ使用量経年!$K218*(参考2_エネ使用量経年!W218+参考2_エネ使用量経年!W305),"")</f>
        <v>0</v>
      </c>
      <c r="X368" s="916">
        <f ca="1">IFERROR($H368*44/12*参考2_エネ使用量経年!$H218*(参考2_エネ使用量経年!X218+参考2_エネ使用量経年!X305),"")</f>
        <v>0</v>
      </c>
      <c r="Y368" s="916">
        <f ca="1">IFERROR($I368*44/12*参考2_エネ使用量経年!$I218*(参考2_エネ使用量経年!Y218+参考2_エネ使用量経年!Y305),"")</f>
        <v>0</v>
      </c>
      <c r="Z368" s="916">
        <f ca="1">IFERROR($J368*44/12*参考2_エネ使用量経年!$J218*(参考2_エネ使用量経年!Z218+参考2_エネ使用量経年!Z305),"")</f>
        <v>0</v>
      </c>
      <c r="AA368" s="916">
        <f ca="1">IFERROR($K368*44/12*参考2_エネ使用量経年!$K218*(参考2_エネ使用量経年!AA218+参考2_エネ使用量経年!AA305),"")</f>
        <v>0</v>
      </c>
      <c r="AB368" s="916" t="str">
        <f ca="1">IFERROR($H368*44/12*参考2_エネ使用量経年!$H218*(参考2_エネ使用量経年!AB218+参考2_エネ使用量経年!AB305),"")</f>
        <v/>
      </c>
      <c r="AC368" s="916" t="str">
        <f ca="1">IFERROR($I368*44/12*参考2_エネ使用量経年!$I218*(参考2_エネ使用量経年!AC218+参考2_エネ使用量経年!AC305),"")</f>
        <v/>
      </c>
      <c r="AD368" s="916" t="str">
        <f ca="1">IFERROR($J368*44/12*参考2_エネ使用量経年!$J218*(参考2_エネ使用量経年!AD218+参考2_エネ使用量経年!AD305),"")</f>
        <v/>
      </c>
      <c r="AE368" s="916" t="str">
        <f ca="1">IFERROR($K368*44/12*参考2_エネ使用量経年!$K218*(参考2_エネ使用量経年!AE218+参考2_エネ使用量経年!AE305),"")</f>
        <v/>
      </c>
      <c r="AF368" s="916" t="str">
        <f ca="1">IFERROR($H368*44/12*参考2_エネ使用量経年!$H218*(参考2_エネ使用量経年!AF218+参考2_エネ使用量経年!AF305),"")</f>
        <v/>
      </c>
      <c r="AG368" s="916" t="str">
        <f ca="1">IFERROR($I368*44/12*参考2_エネ使用量経年!$I218*(参考2_エネ使用量経年!AG218+参考2_エネ使用量経年!AG305),"")</f>
        <v/>
      </c>
      <c r="AH368" s="916" t="str">
        <f ca="1">IFERROR($J368*44/12*参考2_エネ使用量経年!$J218*(参考2_エネ使用量経年!AH218+参考2_エネ使用量経年!AH305),"")</f>
        <v/>
      </c>
      <c r="AI368" s="916" t="str">
        <f ca="1">IFERROR($K368*44/12*参考2_エネ使用量経年!$K218*(参考2_エネ使用量経年!AI218+参考2_エネ使用量経年!AI305),"")</f>
        <v/>
      </c>
      <c r="AJ368" s="916" t="str">
        <f ca="1">IFERROR($H368*44/12*参考2_エネ使用量経年!$H218*(参考2_エネ使用量経年!AJ218+参考2_エネ使用量経年!AJ305),"")</f>
        <v/>
      </c>
      <c r="AK368" s="916" t="str">
        <f ca="1">IFERROR($I368*44/12*参考2_エネ使用量経年!$I218*(参考2_エネ使用量経年!AK218+参考2_エネ使用量経年!AK305),"")</f>
        <v/>
      </c>
      <c r="AL368" s="916" t="str">
        <f ca="1">IFERROR($J368*44/12*参考2_エネ使用量経年!$J218*(参考2_エネ使用量経年!AL218+参考2_エネ使用量経年!AL305),"")</f>
        <v/>
      </c>
      <c r="AM368" s="916" t="str">
        <f ca="1">IFERROR($K368*44/12*参考2_エネ使用量経年!$K218*(参考2_エネ使用量経年!AM218+参考2_エネ使用量経年!AM305),"")</f>
        <v/>
      </c>
      <c r="AN368" s="916" t="str">
        <f ca="1">IFERROR($H368*44/12*参考2_エネ使用量経年!$H218*(参考2_エネ使用量経年!AN218+参考2_エネ使用量経年!AN305),"")</f>
        <v/>
      </c>
      <c r="AO368" s="916" t="str">
        <f ca="1">IFERROR($I368*44/12*参考2_エネ使用量経年!$I218*(参考2_エネ使用量経年!AO218+参考2_エネ使用量経年!AO305),"")</f>
        <v/>
      </c>
      <c r="AP368" s="916" t="str">
        <f ca="1">IFERROR($J368*44/12*参考2_エネ使用量経年!$J218*(参考2_エネ使用量経年!AP218+参考2_エネ使用量経年!AP305),"")</f>
        <v/>
      </c>
      <c r="AQ368" s="916" t="str">
        <f ca="1">IFERROR($K368*44/12*参考2_エネ使用量経年!$K218*(参考2_エネ使用量経年!AQ218+参考2_エネ使用量経年!AQ305),"")</f>
        <v/>
      </c>
      <c r="AR368" s="916" t="str">
        <f ca="1">IFERROR($H368*44/12*参考2_エネ使用量経年!$H218*(参考2_エネ使用量経年!AR218+参考2_エネ使用量経年!AR305),"")</f>
        <v/>
      </c>
      <c r="AS368" s="916" t="str">
        <f ca="1">IFERROR($I368*44/12*参考2_エネ使用量経年!$I218*(参考2_エネ使用量経年!AS218+参考2_エネ使用量経年!AS305),"")</f>
        <v/>
      </c>
      <c r="AT368" s="916" t="str">
        <f ca="1">IFERROR($J368*44/12*参考2_エネ使用量経年!$J218*(参考2_エネ使用量経年!AT218+参考2_エネ使用量経年!AT305),"")</f>
        <v/>
      </c>
      <c r="AU368" s="916" t="str">
        <f ca="1">IFERROR($K368*44/12*参考2_エネ使用量経年!$K218*(参考2_エネ使用量経年!AU218+参考2_エネ使用量経年!AU305),"")</f>
        <v/>
      </c>
      <c r="AV368" s="916" t="str">
        <f ca="1">IFERROR($H368*44/12*参考2_エネ使用量経年!$H218*(参考2_エネ使用量経年!AV218+参考2_エネ使用量経年!AV305),"")</f>
        <v/>
      </c>
      <c r="AW368" s="916" t="str">
        <f ca="1">IFERROR($I368*44/12*参考2_エネ使用量経年!$I218*(参考2_エネ使用量経年!AW218+参考2_エネ使用量経年!AW305),"")</f>
        <v/>
      </c>
      <c r="AX368" s="916" t="str">
        <f ca="1">IFERROR($J368*44/12*参考2_エネ使用量経年!$J218*(参考2_エネ使用量経年!AX218+参考2_エネ使用量経年!AX305),"")</f>
        <v/>
      </c>
      <c r="AY368" s="916" t="str">
        <f ca="1">IFERROR($K368*44/12*参考2_エネ使用量経年!$K218*(参考2_エネ使用量経年!AY218+参考2_エネ使用量経年!AY305),"")</f>
        <v/>
      </c>
      <c r="AZ368" s="916" t="str">
        <f ca="1">IFERROR($H368*44/12*参考2_エネ使用量経年!$H218*(参考2_エネ使用量経年!AZ218+参考2_エネ使用量経年!AZ305),"")</f>
        <v/>
      </c>
      <c r="BA368" s="916" t="str">
        <f ca="1">IFERROR($I368*44/12*参考2_エネ使用量経年!$I218*(参考2_エネ使用量経年!BA218+参考2_エネ使用量経年!BA305),"")</f>
        <v/>
      </c>
      <c r="BB368" s="916" t="str">
        <f ca="1">IFERROR($J368*44/12*参考2_エネ使用量経年!$J218*(参考2_エネ使用量経年!BB218+参考2_エネ使用量経年!BB305),"")</f>
        <v/>
      </c>
      <c r="BC368" s="916" t="str">
        <f ca="1">IFERROR($K368*44/12*参考2_エネ使用量経年!$K218*(参考2_エネ使用量経年!BC218+参考2_エネ使用量経年!BC305),"")</f>
        <v/>
      </c>
      <c r="BD368" s="916" t="str">
        <f ca="1">IFERROR($H368*44/12*参考2_エネ使用量経年!$H218*(参考2_エネ使用量経年!BD218+参考2_エネ使用量経年!BD305),"")</f>
        <v/>
      </c>
      <c r="BE368" s="916" t="str">
        <f ca="1">IFERROR($I368*44/12*参考2_エネ使用量経年!$I218*(参考2_エネ使用量経年!BE218+参考2_エネ使用量経年!BE305),"")</f>
        <v/>
      </c>
      <c r="BF368" s="916" t="str">
        <f ca="1">IFERROR($J368*44/12*参考2_エネ使用量経年!$J218*(参考2_エネ使用量経年!BF218+参考2_エネ使用量経年!BF305),"")</f>
        <v/>
      </c>
      <c r="BG368" s="916" t="str">
        <f ca="1">IFERROR($K368*44/12*参考2_エネ使用量経年!$K218*(参考2_エネ使用量経年!BG218+参考2_エネ使用量経年!BG305),"")</f>
        <v/>
      </c>
      <c r="BH368" s="916" t="str">
        <f ca="1">IFERROR($H368*44/12*参考2_エネ使用量経年!$H218*(参考2_エネ使用量経年!BH218+参考2_エネ使用量経年!BH305),"")</f>
        <v/>
      </c>
      <c r="BI368" s="916" t="str">
        <f ca="1">IFERROR($I368*44/12*参考2_エネ使用量経年!$I218*(参考2_エネ使用量経年!BI218+参考2_エネ使用量経年!BI305),"")</f>
        <v/>
      </c>
      <c r="BJ368" s="916" t="str">
        <f ca="1">IFERROR($J368*44/12*参考2_エネ使用量経年!$J218*(参考2_エネ使用量経年!BJ218+参考2_エネ使用量経年!BJ305),"")</f>
        <v/>
      </c>
      <c r="BK368" s="916" t="str">
        <f ca="1">IFERROR($K368*44/12*参考2_エネ使用量経年!$K218*(参考2_エネ使用量経年!BK218+参考2_エネ使用量経年!BK305),"")</f>
        <v/>
      </c>
      <c r="BL368" s="916" t="str">
        <f ca="1">IFERROR($H368*44/12*参考2_エネ使用量経年!$H218*(参考2_エネ使用量経年!BL218+参考2_エネ使用量経年!BL305),"")</f>
        <v/>
      </c>
      <c r="BM368" s="916" t="str">
        <f ca="1">IFERROR($I368*44/12*参考2_エネ使用量経年!$I218*(参考2_エネ使用量経年!BM218+参考2_エネ使用量経年!BM305),"")</f>
        <v/>
      </c>
      <c r="BN368" s="916" t="str">
        <f ca="1">IFERROR($J368*44/12*参考2_エネ使用量経年!$J218*(参考2_エネ使用量経年!BN218+参考2_エネ使用量経年!BN305),"")</f>
        <v/>
      </c>
      <c r="BO368" s="916" t="str">
        <f ca="1">IFERROR($K368*44/12*参考2_エネ使用量経年!$K218*(参考2_エネ使用量経年!BO218+参考2_エネ使用量経年!BO305),"")</f>
        <v/>
      </c>
      <c r="BP368" s="802"/>
    </row>
    <row r="369" spans="1:68" ht="20.100000000000001" customHeight="1">
      <c r="A369" s="747">
        <v>56</v>
      </c>
      <c r="B369" s="1593" t="s">
        <v>421</v>
      </c>
      <c r="C369" s="1596" t="s">
        <v>396</v>
      </c>
      <c r="D369" s="785" t="s">
        <v>397</v>
      </c>
      <c r="E369" s="790"/>
      <c r="F369" s="810"/>
      <c r="G369" s="852" t="s">
        <v>1281</v>
      </c>
      <c r="H369" s="915">
        <f t="shared" ca="1" si="109"/>
        <v>6.54E-2</v>
      </c>
      <c r="I369" s="915">
        <f t="shared" ca="1" si="110"/>
        <v>6.54E-2</v>
      </c>
      <c r="J369" s="915">
        <f t="shared" ca="1" si="111"/>
        <v>6.54E-2</v>
      </c>
      <c r="K369" s="915">
        <f t="shared" ca="1" si="112"/>
        <v>6.54E-2</v>
      </c>
      <c r="L369" s="916">
        <f ca="1">IFERROR($H369*(参考2_エネ使用量経年!L219+参考2_エネ使用量経年!L306),"")</f>
        <v>0</v>
      </c>
      <c r="M369" s="916">
        <f ca="1">IFERROR($I369*(参考2_エネ使用量経年!M219+参考2_エネ使用量経年!M306),"")</f>
        <v>0</v>
      </c>
      <c r="N369" s="916">
        <f ca="1">IFERROR($J369*(参考2_エネ使用量経年!N219+参考2_エネ使用量経年!N306),"")</f>
        <v>0</v>
      </c>
      <c r="O369" s="916">
        <f ca="1">IFERROR($K369*(参考2_エネ使用量経年!O219+参考2_エネ使用量経年!O306),"")</f>
        <v>0</v>
      </c>
      <c r="P369" s="916">
        <f ca="1">IFERROR($H369*(参考2_エネ使用量経年!P219+参考2_エネ使用量経年!P306),"")</f>
        <v>0</v>
      </c>
      <c r="Q369" s="916">
        <f ca="1">IFERROR($I369*(参考2_エネ使用量経年!Q219+参考2_エネ使用量経年!Q306),"")</f>
        <v>0</v>
      </c>
      <c r="R369" s="916">
        <f ca="1">IFERROR($J369*(参考2_エネ使用量経年!R219+参考2_エネ使用量経年!R306),"")</f>
        <v>0</v>
      </c>
      <c r="S369" s="916">
        <f ca="1">IFERROR($K369*(参考2_エネ使用量経年!S219+参考2_エネ使用量経年!S306),"")</f>
        <v>0</v>
      </c>
      <c r="T369" s="916">
        <f ca="1">IFERROR($H369*(参考2_エネ使用量経年!T219+参考2_エネ使用量経年!T306),"")</f>
        <v>0</v>
      </c>
      <c r="U369" s="916">
        <f ca="1">IFERROR($I369*(参考2_エネ使用量経年!U219+参考2_エネ使用量経年!U306),"")</f>
        <v>0</v>
      </c>
      <c r="V369" s="916">
        <f ca="1">IFERROR($J369*(参考2_エネ使用量経年!V219+参考2_エネ使用量経年!V306),"")</f>
        <v>0</v>
      </c>
      <c r="W369" s="916">
        <f ca="1">IFERROR($K369*(参考2_エネ使用量経年!W219+参考2_エネ使用量経年!W306),"")</f>
        <v>0</v>
      </c>
      <c r="X369" s="916">
        <f ca="1">IFERROR($H369*(参考2_エネ使用量経年!X219+参考2_エネ使用量経年!X306),"")</f>
        <v>0</v>
      </c>
      <c r="Y369" s="916">
        <f ca="1">IFERROR($I369*(参考2_エネ使用量経年!Y219+参考2_エネ使用量経年!Y306),"")</f>
        <v>0</v>
      </c>
      <c r="Z369" s="916">
        <f ca="1">IFERROR($J369*(参考2_エネ使用量経年!Z219+参考2_エネ使用量経年!Z306),"")</f>
        <v>0</v>
      </c>
      <c r="AA369" s="916">
        <f ca="1">IFERROR($K369*(参考2_エネ使用量経年!AA219+参考2_エネ使用量経年!AA306),"")</f>
        <v>0</v>
      </c>
      <c r="AB369" s="916" t="str">
        <f ca="1">IFERROR($H369*(参考2_エネ使用量経年!AB219+参考2_エネ使用量経年!AB306),"")</f>
        <v/>
      </c>
      <c r="AC369" s="916" t="str">
        <f ca="1">IFERROR($I369*(参考2_エネ使用量経年!AC219+参考2_エネ使用量経年!AC306),"")</f>
        <v/>
      </c>
      <c r="AD369" s="916" t="str">
        <f ca="1">IFERROR($J369*(参考2_エネ使用量経年!AD219+参考2_エネ使用量経年!AD306),"")</f>
        <v/>
      </c>
      <c r="AE369" s="916" t="str">
        <f ca="1">IFERROR($K369*(参考2_エネ使用量経年!AE219+参考2_エネ使用量経年!AE306),"")</f>
        <v/>
      </c>
      <c r="AF369" s="916" t="str">
        <f ca="1">IFERROR($H369*(参考2_エネ使用量経年!AF219+参考2_エネ使用量経年!AF306),"")</f>
        <v/>
      </c>
      <c r="AG369" s="916" t="str">
        <f ca="1">IFERROR($I369*(参考2_エネ使用量経年!AG219+参考2_エネ使用量経年!AG306),"")</f>
        <v/>
      </c>
      <c r="AH369" s="916" t="str">
        <f ca="1">IFERROR($J369*(参考2_エネ使用量経年!AH219+参考2_エネ使用量経年!AH306),"")</f>
        <v/>
      </c>
      <c r="AI369" s="916" t="str">
        <f ca="1">IFERROR($K369*(参考2_エネ使用量経年!AI219+参考2_エネ使用量経年!AI306),"")</f>
        <v/>
      </c>
      <c r="AJ369" s="916" t="str">
        <f ca="1">IFERROR($H369*(参考2_エネ使用量経年!AJ219+参考2_エネ使用量経年!AJ306),"")</f>
        <v/>
      </c>
      <c r="AK369" s="916" t="str">
        <f ca="1">IFERROR($I369*(参考2_エネ使用量経年!AK219+参考2_エネ使用量経年!AK306),"")</f>
        <v/>
      </c>
      <c r="AL369" s="916" t="str">
        <f ca="1">IFERROR($J369*(参考2_エネ使用量経年!AL219+参考2_エネ使用量経年!AL306),"")</f>
        <v/>
      </c>
      <c r="AM369" s="916" t="str">
        <f ca="1">IFERROR($K369*(参考2_エネ使用量経年!AM219+参考2_エネ使用量経年!AM306),"")</f>
        <v/>
      </c>
      <c r="AN369" s="916" t="str">
        <f ca="1">IFERROR($H369*(参考2_エネ使用量経年!AN219+参考2_エネ使用量経年!AN306),"")</f>
        <v/>
      </c>
      <c r="AO369" s="916" t="str">
        <f ca="1">IFERROR($I369*(参考2_エネ使用量経年!AO219+参考2_エネ使用量経年!AO306),"")</f>
        <v/>
      </c>
      <c r="AP369" s="916" t="str">
        <f ca="1">IFERROR($J369*(参考2_エネ使用量経年!AP219+参考2_エネ使用量経年!AP306),"")</f>
        <v/>
      </c>
      <c r="AQ369" s="916" t="str">
        <f ca="1">IFERROR($K369*(参考2_エネ使用量経年!AQ219+参考2_エネ使用量経年!AQ306),"")</f>
        <v/>
      </c>
      <c r="AR369" s="916" t="str">
        <f ca="1">IFERROR($H369*(参考2_エネ使用量経年!AR219+参考2_エネ使用量経年!AR306),"")</f>
        <v/>
      </c>
      <c r="AS369" s="916" t="str">
        <f ca="1">IFERROR($I369*(参考2_エネ使用量経年!AS219+参考2_エネ使用量経年!AS306),"")</f>
        <v/>
      </c>
      <c r="AT369" s="916" t="str">
        <f ca="1">IFERROR($J369*(参考2_エネ使用量経年!AT219+参考2_エネ使用量経年!AT306),"")</f>
        <v/>
      </c>
      <c r="AU369" s="916" t="str">
        <f ca="1">IFERROR($K369*(参考2_エネ使用量経年!AU219+参考2_エネ使用量経年!AU306),"")</f>
        <v/>
      </c>
      <c r="AV369" s="916" t="str">
        <f ca="1">IFERROR($H369*(参考2_エネ使用量経年!AV219+参考2_エネ使用量経年!AV306),"")</f>
        <v/>
      </c>
      <c r="AW369" s="916" t="str">
        <f ca="1">IFERROR($I369*(参考2_エネ使用量経年!AW219+参考2_エネ使用量経年!AW306),"")</f>
        <v/>
      </c>
      <c r="AX369" s="916" t="str">
        <f ca="1">IFERROR($J369*(参考2_エネ使用量経年!AX219+参考2_エネ使用量経年!AX306),"")</f>
        <v/>
      </c>
      <c r="AY369" s="916" t="str">
        <f ca="1">IFERROR($K369*(参考2_エネ使用量経年!AY219+参考2_エネ使用量経年!AY306),"")</f>
        <v/>
      </c>
      <c r="AZ369" s="916" t="str">
        <f ca="1">IFERROR($H369*(参考2_エネ使用量経年!AZ219+参考2_エネ使用量経年!AZ306),"")</f>
        <v/>
      </c>
      <c r="BA369" s="916" t="str">
        <f ca="1">IFERROR($I369*(参考2_エネ使用量経年!BA219+参考2_エネ使用量経年!BA306),"")</f>
        <v/>
      </c>
      <c r="BB369" s="916" t="str">
        <f ca="1">IFERROR($J369*(参考2_エネ使用量経年!BB219+参考2_エネ使用量経年!BB306),"")</f>
        <v/>
      </c>
      <c r="BC369" s="916" t="str">
        <f ca="1">IFERROR($K369*(参考2_エネ使用量経年!BC219+参考2_エネ使用量経年!BC306),"")</f>
        <v/>
      </c>
      <c r="BD369" s="916" t="str">
        <f ca="1">IFERROR($H369*(参考2_エネ使用量経年!BD219+参考2_エネ使用量経年!BD306),"")</f>
        <v/>
      </c>
      <c r="BE369" s="916" t="str">
        <f ca="1">IFERROR($I369*(参考2_エネ使用量経年!BE219+参考2_エネ使用量経年!BE306),"")</f>
        <v/>
      </c>
      <c r="BF369" s="916" t="str">
        <f ca="1">IFERROR($J369*(参考2_エネ使用量経年!BF219+参考2_エネ使用量経年!BF306),"")</f>
        <v/>
      </c>
      <c r="BG369" s="916" t="str">
        <f ca="1">IFERROR($K369*(参考2_エネ使用量経年!BG219+参考2_エネ使用量経年!BG306),"")</f>
        <v/>
      </c>
      <c r="BH369" s="916" t="str">
        <f ca="1">IFERROR($H369*(参考2_エネ使用量経年!BH219+参考2_エネ使用量経年!BH306),"")</f>
        <v/>
      </c>
      <c r="BI369" s="916" t="str">
        <f ca="1">IFERROR($I369*(参考2_エネ使用量経年!BI219+参考2_エネ使用量経年!BI306),"")</f>
        <v/>
      </c>
      <c r="BJ369" s="916" t="str">
        <f ca="1">IFERROR($J369*(参考2_エネ使用量経年!BJ219+参考2_エネ使用量経年!BJ306),"")</f>
        <v/>
      </c>
      <c r="BK369" s="916" t="str">
        <f ca="1">IFERROR($K369*(参考2_エネ使用量経年!BK219+参考2_エネ使用量経年!BK306),"")</f>
        <v/>
      </c>
      <c r="BL369" s="916" t="str">
        <f ca="1">IFERROR($H369*(参考2_エネ使用量経年!BL219+参考2_エネ使用量経年!BL306),"")</f>
        <v/>
      </c>
      <c r="BM369" s="916" t="str">
        <f ca="1">IFERROR($I369*(参考2_エネ使用量経年!BM219+参考2_エネ使用量経年!BM306),"")</f>
        <v/>
      </c>
      <c r="BN369" s="916" t="str">
        <f ca="1">IFERROR($J369*(参考2_エネ使用量経年!BN219+参考2_エネ使用量経年!BN306),"")</f>
        <v/>
      </c>
      <c r="BO369" s="916" t="str">
        <f ca="1">IFERROR($K369*(参考2_エネ使用量経年!BO219+参考2_エネ使用量経年!BO306),"")</f>
        <v/>
      </c>
      <c r="BP369" s="802"/>
    </row>
    <row r="370" spans="1:68" ht="20.100000000000001" customHeight="1">
      <c r="A370" s="914">
        <v>9</v>
      </c>
      <c r="B370" s="1594"/>
      <c r="C370" s="1596"/>
      <c r="D370" s="785" t="s">
        <v>785</v>
      </c>
      <c r="E370" s="790"/>
      <c r="F370" s="810"/>
      <c r="G370" s="852" t="s">
        <v>1281</v>
      </c>
      <c r="H370" s="996"/>
      <c r="I370" s="996"/>
      <c r="J370" s="996"/>
      <c r="K370" s="996"/>
      <c r="L370" s="916">
        <f ca="1">SUM(SUMIFS(OFFSET(A1_集計2024,$A370,10,1,200),OFFSET(貼付け_2024実績,4,9,1,200),{"横浜*","川崎*","県域*","エネルギー管理指定工場等*"}))+SUM(SUMIFS(OFFSET(A1_集計2024,$A370,11,1,200),OFFSET(貼付け_2024実績,4,9,1,200),{"横浜*","川崎*","県域*","エネルギー管理指定工場等*"}))</f>
        <v>0</v>
      </c>
      <c r="M370" s="916">
        <f ca="1">SUM(SUMIFS(OFFSET(A1_集計2025,$A370,10,1,200),OFFSET(貼付け_2025実績,4,9,1,200),{"横浜*","川崎*","県域*","エネルギー管理指定工場等*"}))+SUM(SUMIFS(OFFSET(A1_集計2025,$A370,11,1,200),OFFSET(貼付け_2025実績,4,9,1,200),{"横浜*","川崎*","県域*","エネルギー管理指定工場等*"}))</f>
        <v>0</v>
      </c>
      <c r="N370" s="916">
        <f ca="1">SUM(SUMIFS(OFFSET(A1_集計2026,$A370,10,1,200),OFFSET(貼付け_2026実績,4,9,1,200),{"横浜*","川崎*","県域*","エネルギー管理指定工場等*"}))+SUM(SUMIFS(OFFSET(A1_集計2026,$A370,11,1,200),OFFSET(貼付け_2026実績,4,9,1,200),{"横浜*","川崎*","県域*","エネルギー管理指定工場等*"}))</f>
        <v>0</v>
      </c>
      <c r="O370" s="916">
        <f ca="1">SUM(SUMIFS(OFFSET(A1_集計2027,$A370,10,1,200),OFFSET(貼付け_2027実績,4,9,1,200),{"横浜*","川崎*","県域*","エネルギー管理指定工場等*"}))+SUM(SUMIFS(OFFSET(A1_集計2027,$A370,11,1,200),OFFSET(貼付け_2027実績,4,9,1,200),{"横浜*","川崎*","県域*","エネルギー管理指定工場等*"}))</f>
        <v>0</v>
      </c>
      <c r="P370" s="916">
        <f ca="1">SUM(SUMIFS(OFFSET(A1_集計2024,$A370,10,1,200),OFFSET(貼付け_2024実績,4,9,1,200),{"横浜*","川崎*"}))+SUM(SUMIFS(OFFSET(A1_集計2024,$A370,11,1,200),OFFSET(貼付け_2024実績,4,9,1,200),{"横浜*","川崎*"}))</f>
        <v>0</v>
      </c>
      <c r="Q370" s="916">
        <f ca="1">SUM(SUMIFS(OFFSET(A1_集計2025,$A370,10,1,200),OFFSET(貼付け_2025実績,4,9,1,200),{"横浜*","川崎*"}))+SUM(SUMIFS(OFFSET(A1_集計2025,$A370,11,1,200),OFFSET(貼付け_2025実績,4,9,1,200),{"横浜*","川崎*"}))</f>
        <v>0</v>
      </c>
      <c r="R370" s="916">
        <f ca="1">SUM(SUMIFS(OFFSET(A1_集計2026,$A370,10,1,200),OFFSET(貼付け_2026実績,4,9,1,200),{"横浜*","川崎*"}))+SUM(SUMIFS(OFFSET(A1_集計2026,$A370,11,1,200),OFFSET(貼付け_2026実績,4,9,1,200),{"横浜*","川崎*"}))</f>
        <v>0</v>
      </c>
      <c r="S370" s="916">
        <f ca="1">SUM(SUMIFS(OFFSET(A1_集計2027,$A370,10,1,200),OFFSET(貼付け_2027実績,4,9,1,200),{"横浜*","川崎*"}))+SUM(SUMIFS(OFFSET(A1_集計2027,$A370,11,1,200),OFFSET(貼付け_2027実績,4,9,1,200),{"横浜*","川崎*"}))</f>
        <v>0</v>
      </c>
      <c r="T370" s="916">
        <f ca="1">SUM(SUMIFS(OFFSET(A1_集計2024,$A370,10,1,200),OFFSET(貼付け_2024実績,4,9,1,200),{"県域*","エネルギー管理指定工場等*"}))+SUM(SUMIFS(OFFSET(A1_集計2024,$A370,11,1,200),OFFSET(貼付け_2024実績,4,9,1,200),{"県域*","エネルギー管理指定工場等*"}))</f>
        <v>0</v>
      </c>
      <c r="U370" s="916">
        <f ca="1">SUM(SUMIFS(OFFSET(A1_集計2025,$A370,10,1,200),OFFSET(貼付け_2025実績,4,9,1,200),{"県域*","エネルギー管理指定工場等*"}))+SUM(SUMIFS(OFFSET(A1_集計2025,$A370,11,1,200),OFFSET(貼付け_2025実績,4,9,1,200),{"県域*","エネルギー管理指定工場等*"}))</f>
        <v>0</v>
      </c>
      <c r="V370" s="916">
        <f ca="1">SUM(SUMIFS(OFFSET(A1_集計2026,$A370,10,1,200),OFFSET(貼付け_2026実績,4,9,1,200),{"県域*","エネルギー管理指定工場等*"}))+SUM(SUMIFS(OFFSET(A1_集計2026,$A370,11,1,200),OFFSET(貼付け_2026実績,4,9,1,200),{"県域*","エネルギー管理指定工場等*"}))</f>
        <v>0</v>
      </c>
      <c r="W370" s="916">
        <f ca="1">SUM(SUMIFS(OFFSET(A1_集計2027,$A370,10,1,200),OFFSET(貼付け_2027実績,4,9,1,200),{"県域*","エネルギー管理指定工場等*"}))+SUM(SUMIFS(OFFSET(A1_集計2027,$A370,11,1,200),OFFSET(貼付け_2027実績,4,9,1,200),{"県域*","エネルギー管理指定工場等*"}))</f>
        <v>0</v>
      </c>
      <c r="X370" s="916">
        <f ca="1">SUMIFS(OFFSET(A1_集計2024,$A370,10,1,200),OFFSET(貼付け_2024実績,4,9,1,200),"県域*")+SUMIFS(OFFSET(A1_集計2024,$A370,11,1,200),OFFSET(貼付け_2024実績,4,9,1,200),"県域*")</f>
        <v>0</v>
      </c>
      <c r="Y370" s="916">
        <f ca="1">SUMIFS(OFFSET(A1_集計2025,$A370,10,1,200),OFFSET(貼付け_2025実績,4,9,1,200),"県域*")+SUMIFS(OFFSET(A1_集計2025,$A370,11,1,200),OFFSET(貼付け_2025実績,4,9,1,200),"県域*")</f>
        <v>0</v>
      </c>
      <c r="Z370" s="916">
        <f ca="1">SUMIFS(OFFSET(A1_集計2026,$A370,10,1,200),OFFSET(貼付け_2026実績,4,9,1,200),"県域*")+SUMIFS(OFFSET(A1_集計2026,$A370,11,1,200),OFFSET(貼付け_2026実績,4,9,1,200),"県域*")</f>
        <v>0</v>
      </c>
      <c r="AA370" s="916">
        <f ca="1">SUMIFS(OFFSET(A1_集計2027,$A370,10,1,200),OFFSET(貼付け_2027実績,4,9,1,200),"県域*")+SUMIFS(OFFSET(A1_集計2027,$A370,11,1,200),OFFSET(貼付け_2027実績,4,9,1,200),"県域*")</f>
        <v>0</v>
      </c>
      <c r="AB370" s="916" t="str">
        <f t="shared" ref="AB370:AK372" ca="1" si="114">IFERROR(SUM(OFFSET(A1_集計2024,$A370,AB$1+1,1,2)),"")</f>
        <v/>
      </c>
      <c r="AC370" s="916" t="str">
        <f t="shared" ca="1" si="114"/>
        <v/>
      </c>
      <c r="AD370" s="916" t="str">
        <f t="shared" ca="1" si="114"/>
        <v/>
      </c>
      <c r="AE370" s="916" t="str">
        <f t="shared" ca="1" si="114"/>
        <v/>
      </c>
      <c r="AF370" s="916" t="str">
        <f t="shared" ca="1" si="114"/>
        <v/>
      </c>
      <c r="AG370" s="916" t="str">
        <f t="shared" ca="1" si="114"/>
        <v/>
      </c>
      <c r="AH370" s="916" t="str">
        <f t="shared" ca="1" si="114"/>
        <v/>
      </c>
      <c r="AI370" s="916" t="str">
        <f t="shared" ca="1" si="114"/>
        <v/>
      </c>
      <c r="AJ370" s="916" t="str">
        <f t="shared" ca="1" si="114"/>
        <v/>
      </c>
      <c r="AK370" s="916" t="str">
        <f t="shared" ca="1" si="114"/>
        <v/>
      </c>
      <c r="AL370" s="916" t="str">
        <f t="shared" ref="AL370:AU372" ca="1" si="115">IFERROR(SUM(OFFSET(A1_集計2024,$A370,AL$1+1,1,2)),"")</f>
        <v/>
      </c>
      <c r="AM370" s="916" t="str">
        <f t="shared" ca="1" si="115"/>
        <v/>
      </c>
      <c r="AN370" s="916" t="str">
        <f t="shared" ca="1" si="115"/>
        <v/>
      </c>
      <c r="AO370" s="916" t="str">
        <f t="shared" ca="1" si="115"/>
        <v/>
      </c>
      <c r="AP370" s="916" t="str">
        <f t="shared" ca="1" si="115"/>
        <v/>
      </c>
      <c r="AQ370" s="916" t="str">
        <f t="shared" ca="1" si="115"/>
        <v/>
      </c>
      <c r="AR370" s="916" t="str">
        <f t="shared" ca="1" si="115"/>
        <v/>
      </c>
      <c r="AS370" s="916" t="str">
        <f t="shared" ca="1" si="115"/>
        <v/>
      </c>
      <c r="AT370" s="916" t="str">
        <f t="shared" ca="1" si="115"/>
        <v/>
      </c>
      <c r="AU370" s="916" t="str">
        <f t="shared" ca="1" si="115"/>
        <v/>
      </c>
      <c r="AV370" s="916" t="str">
        <f t="shared" ref="AV370:BE372" ca="1" si="116">IFERROR(SUM(OFFSET(A1_集計2024,$A370,AV$1+1,1,2)),"")</f>
        <v/>
      </c>
      <c r="AW370" s="916" t="str">
        <f t="shared" ca="1" si="116"/>
        <v/>
      </c>
      <c r="AX370" s="916" t="str">
        <f t="shared" ca="1" si="116"/>
        <v/>
      </c>
      <c r="AY370" s="916" t="str">
        <f t="shared" ca="1" si="116"/>
        <v/>
      </c>
      <c r="AZ370" s="916" t="str">
        <f t="shared" ca="1" si="116"/>
        <v/>
      </c>
      <c r="BA370" s="916" t="str">
        <f t="shared" ca="1" si="116"/>
        <v/>
      </c>
      <c r="BB370" s="916" t="str">
        <f t="shared" ca="1" si="116"/>
        <v/>
      </c>
      <c r="BC370" s="916" t="str">
        <f t="shared" ca="1" si="116"/>
        <v/>
      </c>
      <c r="BD370" s="916" t="str">
        <f t="shared" ca="1" si="116"/>
        <v/>
      </c>
      <c r="BE370" s="916" t="str">
        <f t="shared" ca="1" si="116"/>
        <v/>
      </c>
      <c r="BF370" s="916" t="str">
        <f t="shared" ref="BF370:BO372" ca="1" si="117">IFERROR(SUM(OFFSET(A1_集計2024,$A370,BF$1+1,1,2)),"")</f>
        <v/>
      </c>
      <c r="BG370" s="916" t="str">
        <f t="shared" ca="1" si="117"/>
        <v/>
      </c>
      <c r="BH370" s="916" t="str">
        <f t="shared" ca="1" si="117"/>
        <v/>
      </c>
      <c r="BI370" s="916" t="str">
        <f t="shared" ca="1" si="117"/>
        <v/>
      </c>
      <c r="BJ370" s="916" t="str">
        <f t="shared" ca="1" si="117"/>
        <v/>
      </c>
      <c r="BK370" s="916" t="str">
        <f t="shared" ca="1" si="117"/>
        <v/>
      </c>
      <c r="BL370" s="916" t="str">
        <f t="shared" ca="1" si="117"/>
        <v/>
      </c>
      <c r="BM370" s="916" t="str">
        <f t="shared" ca="1" si="117"/>
        <v/>
      </c>
      <c r="BN370" s="916" t="str">
        <f t="shared" ca="1" si="117"/>
        <v/>
      </c>
      <c r="BO370" s="916" t="str">
        <f t="shared" ca="1" si="117"/>
        <v/>
      </c>
      <c r="BP370" s="802"/>
    </row>
    <row r="371" spans="1:68" ht="20.100000000000001" customHeight="1">
      <c r="A371" s="747">
        <v>11</v>
      </c>
      <c r="B371" s="1594"/>
      <c r="C371" s="1596"/>
      <c r="D371" s="785" t="s">
        <v>786</v>
      </c>
      <c r="E371" s="790"/>
      <c r="F371" s="810"/>
      <c r="G371" s="852" t="s">
        <v>1281</v>
      </c>
      <c r="H371" s="996"/>
      <c r="I371" s="996"/>
      <c r="J371" s="996"/>
      <c r="K371" s="996"/>
      <c r="L371" s="916">
        <f ca="1">SUM(SUMIFS(OFFSET(A1_集計2024,$A371,10,1,200),OFFSET(貼付け_2024実績,4,9,1,200),{"横浜*","川崎*","県域*","エネルギー管理指定工場等*"}))+SUM(SUMIFS(OFFSET(A1_集計2024,$A371,11,1,200),OFFSET(貼付け_2024実績,4,9,1,200),{"横浜*","川崎*","県域*","エネルギー管理指定工場等*"}))</f>
        <v>0</v>
      </c>
      <c r="M371" s="916">
        <f ca="1">SUM(SUMIFS(OFFSET(A1_集計2025,$A371,10,1,200),OFFSET(貼付け_2025実績,4,9,1,200),{"横浜*","川崎*","県域*","エネルギー管理指定工場等*"}))+SUM(SUMIFS(OFFSET(A1_集計2025,$A371,11,1,200),OFFSET(貼付け_2025実績,4,9,1,200),{"横浜*","川崎*","県域*","エネルギー管理指定工場等*"}))</f>
        <v>0</v>
      </c>
      <c r="N371" s="916">
        <f ca="1">SUM(SUMIFS(OFFSET(A1_集計2026,$A371,10,1,200),OFFSET(貼付け_2026実績,4,9,1,200),{"横浜*","川崎*","県域*","エネルギー管理指定工場等*"}))+SUM(SUMIFS(OFFSET(A1_集計2026,$A371,11,1,200),OFFSET(貼付け_2026実績,4,9,1,200),{"横浜*","川崎*","県域*","エネルギー管理指定工場等*"}))</f>
        <v>0</v>
      </c>
      <c r="O371" s="916">
        <f ca="1">SUM(SUMIFS(OFFSET(A1_集計2027,$A371,10,1,200),OFFSET(貼付け_2027実績,4,9,1,200),{"横浜*","川崎*","県域*","エネルギー管理指定工場等*"}))+SUM(SUMIFS(OFFSET(A1_集計2027,$A371,11,1,200),OFFSET(貼付け_2027実績,4,9,1,200),{"横浜*","川崎*","県域*","エネルギー管理指定工場等*"}))</f>
        <v>0</v>
      </c>
      <c r="P371" s="916">
        <f ca="1">SUM(SUMIFS(OFFSET(A1_集計2024,$A371,10,1,200),OFFSET(貼付け_2024実績,4,9,1,200),{"横浜*","川崎*"}))+SUM(SUMIFS(OFFSET(A1_集計2024,$A371,11,1,200),OFFSET(貼付け_2024実績,4,9,1,200),{"横浜*","川崎*"}))</f>
        <v>0</v>
      </c>
      <c r="Q371" s="916">
        <f ca="1">SUM(SUMIFS(OFFSET(A1_集計2025,$A371,10,1,200),OFFSET(貼付け_2025実績,4,9,1,200),{"横浜*","川崎*"}))+SUM(SUMIFS(OFFSET(A1_集計2025,$A371,11,1,200),OFFSET(貼付け_2025実績,4,9,1,200),{"横浜*","川崎*"}))</f>
        <v>0</v>
      </c>
      <c r="R371" s="916">
        <f ca="1">SUM(SUMIFS(OFFSET(A1_集計2026,$A371,10,1,200),OFFSET(貼付け_2026実績,4,9,1,200),{"横浜*","川崎*"}))+SUM(SUMIFS(OFFSET(A1_集計2026,$A371,11,1,200),OFFSET(貼付け_2026実績,4,9,1,200),{"横浜*","川崎*"}))</f>
        <v>0</v>
      </c>
      <c r="S371" s="916">
        <f ca="1">SUM(SUMIFS(OFFSET(A1_集計2027,$A371,10,1,200),OFFSET(貼付け_2027実績,4,9,1,200),{"横浜*","川崎*"}))+SUM(SUMIFS(OFFSET(A1_集計2027,$A371,11,1,200),OFFSET(貼付け_2027実績,4,9,1,200),{"横浜*","川崎*"}))</f>
        <v>0</v>
      </c>
      <c r="T371" s="916">
        <f ca="1">SUM(SUMIFS(OFFSET(A1_集計2024,$A371,10,1,200),OFFSET(貼付け_2024実績,4,9,1,200),{"県域*","エネルギー管理指定工場等*"}))+SUM(SUMIFS(OFFSET(A1_集計2024,$A371,11,1,200),OFFSET(貼付け_2024実績,4,9,1,200),{"県域*","エネルギー管理指定工場等*"}))</f>
        <v>0</v>
      </c>
      <c r="U371" s="916">
        <f ca="1">SUM(SUMIFS(OFFSET(A1_集計2025,$A371,10,1,200),OFFSET(貼付け_2025実績,4,9,1,200),{"県域*","エネルギー管理指定工場等*"}))+SUM(SUMIFS(OFFSET(A1_集計2025,$A371,11,1,200),OFFSET(貼付け_2025実績,4,9,1,200),{"県域*","エネルギー管理指定工場等*"}))</f>
        <v>0</v>
      </c>
      <c r="V371" s="916">
        <f ca="1">SUM(SUMIFS(OFFSET(A1_集計2026,$A371,10,1,200),OFFSET(貼付け_2026実績,4,9,1,200),{"県域*","エネルギー管理指定工場等*"}))+SUM(SUMIFS(OFFSET(A1_集計2026,$A371,11,1,200),OFFSET(貼付け_2026実績,4,9,1,200),{"県域*","エネルギー管理指定工場等*"}))</f>
        <v>0</v>
      </c>
      <c r="W371" s="916">
        <f ca="1">SUM(SUMIFS(OFFSET(A1_集計2027,$A371,10,1,200),OFFSET(貼付け_2027実績,4,9,1,200),{"県域*","エネルギー管理指定工場等*"}))+SUM(SUMIFS(OFFSET(A1_集計2027,$A371,11,1,200),OFFSET(貼付け_2027実績,4,9,1,200),{"県域*","エネルギー管理指定工場等*"}))</f>
        <v>0</v>
      </c>
      <c r="X371" s="916">
        <f ca="1">SUMIFS(OFFSET(A1_集計2024,$A371,10,1,200),OFFSET(貼付け_2024実績,4,9,1,200),"県域*")+SUMIFS(OFFSET(A1_集計2024,$A371,11,1,200),OFFSET(貼付け_2024実績,4,9,1,200),"県域*")</f>
        <v>0</v>
      </c>
      <c r="Y371" s="916">
        <f ca="1">SUMIFS(OFFSET(A1_集計2025,$A371,10,1,200),OFFSET(貼付け_2025実績,4,9,1,200),"県域*")+SUMIFS(OFFSET(A1_集計2025,$A371,11,1,200),OFFSET(貼付け_2025実績,4,9,1,200),"県域*")</f>
        <v>0</v>
      </c>
      <c r="Z371" s="916">
        <f ca="1">SUMIFS(OFFSET(A1_集計2026,$A371,10,1,200),OFFSET(貼付け_2026実績,4,9,1,200),"県域*")+SUMIFS(OFFSET(A1_集計2026,$A371,11,1,200),OFFSET(貼付け_2026実績,4,9,1,200),"県域*")</f>
        <v>0</v>
      </c>
      <c r="AA371" s="916">
        <f ca="1">SUMIFS(OFFSET(A1_集計2027,$A371,10,1,200),OFFSET(貼付け_2027実績,4,9,1,200),"県域*")+SUMIFS(OFFSET(A1_集計2027,$A371,11,1,200),OFFSET(貼付け_2027実績,4,9,1,200),"県域*")</f>
        <v>0</v>
      </c>
      <c r="AB371" s="916" t="str">
        <f t="shared" ca="1" si="114"/>
        <v/>
      </c>
      <c r="AC371" s="916" t="str">
        <f t="shared" ca="1" si="114"/>
        <v/>
      </c>
      <c r="AD371" s="916" t="str">
        <f t="shared" ca="1" si="114"/>
        <v/>
      </c>
      <c r="AE371" s="916" t="str">
        <f t="shared" ca="1" si="114"/>
        <v/>
      </c>
      <c r="AF371" s="916" t="str">
        <f t="shared" ca="1" si="114"/>
        <v/>
      </c>
      <c r="AG371" s="916" t="str">
        <f t="shared" ca="1" si="114"/>
        <v/>
      </c>
      <c r="AH371" s="916" t="str">
        <f t="shared" ca="1" si="114"/>
        <v/>
      </c>
      <c r="AI371" s="916" t="str">
        <f t="shared" ca="1" si="114"/>
        <v/>
      </c>
      <c r="AJ371" s="916" t="str">
        <f t="shared" ca="1" si="114"/>
        <v/>
      </c>
      <c r="AK371" s="916" t="str">
        <f t="shared" ca="1" si="114"/>
        <v/>
      </c>
      <c r="AL371" s="916" t="str">
        <f t="shared" ca="1" si="115"/>
        <v/>
      </c>
      <c r="AM371" s="916" t="str">
        <f t="shared" ca="1" si="115"/>
        <v/>
      </c>
      <c r="AN371" s="916" t="str">
        <f t="shared" ca="1" si="115"/>
        <v/>
      </c>
      <c r="AO371" s="916" t="str">
        <f t="shared" ca="1" si="115"/>
        <v/>
      </c>
      <c r="AP371" s="916" t="str">
        <f t="shared" ca="1" si="115"/>
        <v/>
      </c>
      <c r="AQ371" s="916" t="str">
        <f t="shared" ca="1" si="115"/>
        <v/>
      </c>
      <c r="AR371" s="916" t="str">
        <f t="shared" ca="1" si="115"/>
        <v/>
      </c>
      <c r="AS371" s="916" t="str">
        <f t="shared" ca="1" si="115"/>
        <v/>
      </c>
      <c r="AT371" s="916" t="str">
        <f t="shared" ca="1" si="115"/>
        <v/>
      </c>
      <c r="AU371" s="916" t="str">
        <f t="shared" ca="1" si="115"/>
        <v/>
      </c>
      <c r="AV371" s="916" t="str">
        <f t="shared" ca="1" si="116"/>
        <v/>
      </c>
      <c r="AW371" s="916" t="str">
        <f t="shared" ca="1" si="116"/>
        <v/>
      </c>
      <c r="AX371" s="916" t="str">
        <f t="shared" ca="1" si="116"/>
        <v/>
      </c>
      <c r="AY371" s="916" t="str">
        <f t="shared" ca="1" si="116"/>
        <v/>
      </c>
      <c r="AZ371" s="916" t="str">
        <f t="shared" ca="1" si="116"/>
        <v/>
      </c>
      <c r="BA371" s="916" t="str">
        <f t="shared" ca="1" si="116"/>
        <v/>
      </c>
      <c r="BB371" s="916" t="str">
        <f t="shared" ca="1" si="116"/>
        <v/>
      </c>
      <c r="BC371" s="916" t="str">
        <f t="shared" ca="1" si="116"/>
        <v/>
      </c>
      <c r="BD371" s="916" t="str">
        <f t="shared" ca="1" si="116"/>
        <v/>
      </c>
      <c r="BE371" s="916" t="str">
        <f t="shared" ca="1" si="116"/>
        <v/>
      </c>
      <c r="BF371" s="916" t="str">
        <f t="shared" ca="1" si="117"/>
        <v/>
      </c>
      <c r="BG371" s="916" t="str">
        <f t="shared" ca="1" si="117"/>
        <v/>
      </c>
      <c r="BH371" s="916" t="str">
        <f t="shared" ca="1" si="117"/>
        <v/>
      </c>
      <c r="BI371" s="916" t="str">
        <f t="shared" ca="1" si="117"/>
        <v/>
      </c>
      <c r="BJ371" s="916" t="str">
        <f t="shared" ca="1" si="117"/>
        <v/>
      </c>
      <c r="BK371" s="916" t="str">
        <f t="shared" ca="1" si="117"/>
        <v/>
      </c>
      <c r="BL371" s="916" t="str">
        <f t="shared" ca="1" si="117"/>
        <v/>
      </c>
      <c r="BM371" s="916" t="str">
        <f t="shared" ca="1" si="117"/>
        <v/>
      </c>
      <c r="BN371" s="916" t="str">
        <f t="shared" ca="1" si="117"/>
        <v/>
      </c>
      <c r="BO371" s="916" t="str">
        <f t="shared" ca="1" si="117"/>
        <v/>
      </c>
      <c r="BP371" s="802"/>
    </row>
    <row r="372" spans="1:68" ht="20.100000000000001" customHeight="1">
      <c r="A372" s="914">
        <v>13</v>
      </c>
      <c r="B372" s="1594"/>
      <c r="C372" s="1596"/>
      <c r="D372" s="785" t="s">
        <v>787</v>
      </c>
      <c r="E372" s="790"/>
      <c r="F372" s="810"/>
      <c r="G372" s="852" t="s">
        <v>1281</v>
      </c>
      <c r="H372" s="996"/>
      <c r="I372" s="996"/>
      <c r="J372" s="996"/>
      <c r="K372" s="996"/>
      <c r="L372" s="916">
        <f ca="1">SUM(SUMIFS(OFFSET(A1_集計2024,$A372,10,1,200),OFFSET(貼付け_2024実績,4,9,1,200),{"横浜*","川崎*","県域*","エネルギー管理指定工場等*"}))+SUM(SUMIFS(OFFSET(A1_集計2024,$A372,11,1,200),OFFSET(貼付け_2024実績,4,9,1,200),{"横浜*","川崎*","県域*","エネルギー管理指定工場等*"}))</f>
        <v>0</v>
      </c>
      <c r="M372" s="916">
        <f ca="1">SUM(SUMIFS(OFFSET(A1_集計2025,$A372,10,1,200),OFFSET(貼付け_2025実績,4,9,1,200),{"横浜*","川崎*","県域*","エネルギー管理指定工場等*"}))+SUM(SUMIFS(OFFSET(A1_集計2025,$A372,11,1,200),OFFSET(貼付け_2025実績,4,9,1,200),{"横浜*","川崎*","県域*","エネルギー管理指定工場等*"}))</f>
        <v>0</v>
      </c>
      <c r="N372" s="916">
        <f ca="1">SUM(SUMIFS(OFFSET(A1_集計2026,$A372,10,1,200),OFFSET(貼付け_2026実績,4,9,1,200),{"横浜*","川崎*","県域*","エネルギー管理指定工場等*"}))+SUM(SUMIFS(OFFSET(A1_集計2026,$A372,11,1,200),OFFSET(貼付け_2026実績,4,9,1,200),{"横浜*","川崎*","県域*","エネルギー管理指定工場等*"}))</f>
        <v>0</v>
      </c>
      <c r="O372" s="916">
        <f ca="1">SUM(SUMIFS(OFFSET(A1_集計2027,$A372,10,1,200),OFFSET(貼付け_2027実績,4,9,1,200),{"横浜*","川崎*","県域*","エネルギー管理指定工場等*"}))+SUM(SUMIFS(OFFSET(A1_集計2027,$A372,11,1,200),OFFSET(貼付け_2027実績,4,9,1,200),{"横浜*","川崎*","県域*","エネルギー管理指定工場等*"}))</f>
        <v>0</v>
      </c>
      <c r="P372" s="916">
        <f ca="1">SUM(SUMIFS(OFFSET(A1_集計2024,$A372,10,1,200),OFFSET(貼付け_2024実績,4,9,1,200),{"横浜*","川崎*"}))+SUM(SUMIFS(OFFSET(A1_集計2024,$A372,11,1,200),OFFSET(貼付け_2024実績,4,9,1,200),{"横浜*","川崎*"}))</f>
        <v>0</v>
      </c>
      <c r="Q372" s="916">
        <f ca="1">SUM(SUMIFS(OFFSET(A1_集計2025,$A372,10,1,200),OFFSET(貼付け_2025実績,4,9,1,200),{"横浜*","川崎*"}))+SUM(SUMIFS(OFFSET(A1_集計2025,$A372,11,1,200),OFFSET(貼付け_2025実績,4,9,1,200),{"横浜*","川崎*"}))</f>
        <v>0</v>
      </c>
      <c r="R372" s="916">
        <f ca="1">SUM(SUMIFS(OFFSET(A1_集計2026,$A372,10,1,200),OFFSET(貼付け_2026実績,4,9,1,200),{"横浜*","川崎*"}))+SUM(SUMIFS(OFFSET(A1_集計2026,$A372,11,1,200),OFFSET(貼付け_2026実績,4,9,1,200),{"横浜*","川崎*"}))</f>
        <v>0</v>
      </c>
      <c r="S372" s="916">
        <f ca="1">SUM(SUMIFS(OFFSET(A1_集計2027,$A372,10,1,200),OFFSET(貼付け_2027実績,4,9,1,200),{"横浜*","川崎*"}))+SUM(SUMIFS(OFFSET(A1_集計2027,$A372,11,1,200),OFFSET(貼付け_2027実績,4,9,1,200),{"横浜*","川崎*"}))</f>
        <v>0</v>
      </c>
      <c r="T372" s="916">
        <f ca="1">SUM(SUMIFS(OFFSET(A1_集計2024,$A372,10,1,200),OFFSET(貼付け_2024実績,4,9,1,200),{"県域*","エネルギー管理指定工場等*"}))+SUM(SUMIFS(OFFSET(A1_集計2024,$A372,11,1,200),OFFSET(貼付け_2024実績,4,9,1,200),{"県域*","エネルギー管理指定工場等*"}))</f>
        <v>0</v>
      </c>
      <c r="U372" s="916">
        <f ca="1">SUM(SUMIFS(OFFSET(A1_集計2025,$A372,10,1,200),OFFSET(貼付け_2025実績,4,9,1,200),{"県域*","エネルギー管理指定工場等*"}))+SUM(SUMIFS(OFFSET(A1_集計2025,$A372,11,1,200),OFFSET(貼付け_2025実績,4,9,1,200),{"県域*","エネルギー管理指定工場等*"}))</f>
        <v>0</v>
      </c>
      <c r="V372" s="916">
        <f ca="1">SUM(SUMIFS(OFFSET(A1_集計2026,$A372,10,1,200),OFFSET(貼付け_2026実績,4,9,1,200),{"県域*","エネルギー管理指定工場等*"}))+SUM(SUMIFS(OFFSET(A1_集計2026,$A372,11,1,200),OFFSET(貼付け_2026実績,4,9,1,200),{"県域*","エネルギー管理指定工場等*"}))</f>
        <v>0</v>
      </c>
      <c r="W372" s="916">
        <f ca="1">SUM(SUMIFS(OFFSET(A1_集計2027,$A372,10,1,200),OFFSET(貼付け_2027実績,4,9,1,200),{"県域*","エネルギー管理指定工場等*"}))+SUM(SUMIFS(OFFSET(A1_集計2027,$A372,11,1,200),OFFSET(貼付け_2027実績,4,9,1,200),{"県域*","エネルギー管理指定工場等*"}))</f>
        <v>0</v>
      </c>
      <c r="X372" s="916">
        <f ca="1">SUMIFS(OFFSET(A1_集計2024,$A372,10,1,200),OFFSET(貼付け_2024実績,4,9,1,200),"県域*")+SUMIFS(OFFSET(A1_集計2024,$A372,11,1,200),OFFSET(貼付け_2024実績,4,9,1,200),"県域*")</f>
        <v>0</v>
      </c>
      <c r="Y372" s="916">
        <f ca="1">SUMIFS(OFFSET(A1_集計2025,$A372,10,1,200),OFFSET(貼付け_2025実績,4,9,1,200),"県域*")+SUMIFS(OFFSET(A1_集計2025,$A372,11,1,200),OFFSET(貼付け_2025実績,4,9,1,200),"県域*")</f>
        <v>0</v>
      </c>
      <c r="Z372" s="916">
        <f ca="1">SUMIFS(OFFSET(A1_集計2026,$A372,10,1,200),OFFSET(貼付け_2026実績,4,9,1,200),"県域*")+SUMIFS(OFFSET(A1_集計2026,$A372,11,1,200),OFFSET(貼付け_2026実績,4,9,1,200),"県域*")</f>
        <v>0</v>
      </c>
      <c r="AA372" s="916">
        <f ca="1">SUMIFS(OFFSET(A1_集計2027,$A372,10,1,200),OFFSET(貼付け_2027実績,4,9,1,200),"県域*")+SUMIFS(OFFSET(A1_集計2027,$A372,11,1,200),OFFSET(貼付け_2027実績,4,9,1,200),"県域*")</f>
        <v>0</v>
      </c>
      <c r="AB372" s="916" t="str">
        <f t="shared" ca="1" si="114"/>
        <v/>
      </c>
      <c r="AC372" s="916" t="str">
        <f t="shared" ca="1" si="114"/>
        <v/>
      </c>
      <c r="AD372" s="916" t="str">
        <f t="shared" ca="1" si="114"/>
        <v/>
      </c>
      <c r="AE372" s="916" t="str">
        <f t="shared" ca="1" si="114"/>
        <v/>
      </c>
      <c r="AF372" s="916" t="str">
        <f t="shared" ca="1" si="114"/>
        <v/>
      </c>
      <c r="AG372" s="916" t="str">
        <f t="shared" ca="1" si="114"/>
        <v/>
      </c>
      <c r="AH372" s="916" t="str">
        <f t="shared" ca="1" si="114"/>
        <v/>
      </c>
      <c r="AI372" s="916" t="str">
        <f t="shared" ca="1" si="114"/>
        <v/>
      </c>
      <c r="AJ372" s="916" t="str">
        <f t="shared" ca="1" si="114"/>
        <v/>
      </c>
      <c r="AK372" s="916" t="str">
        <f t="shared" ca="1" si="114"/>
        <v/>
      </c>
      <c r="AL372" s="916" t="str">
        <f t="shared" ca="1" si="115"/>
        <v/>
      </c>
      <c r="AM372" s="916" t="str">
        <f t="shared" ca="1" si="115"/>
        <v/>
      </c>
      <c r="AN372" s="916" t="str">
        <f t="shared" ca="1" si="115"/>
        <v/>
      </c>
      <c r="AO372" s="916" t="str">
        <f t="shared" ca="1" si="115"/>
        <v/>
      </c>
      <c r="AP372" s="916" t="str">
        <f t="shared" ca="1" si="115"/>
        <v/>
      </c>
      <c r="AQ372" s="916" t="str">
        <f t="shared" ca="1" si="115"/>
        <v/>
      </c>
      <c r="AR372" s="916" t="str">
        <f t="shared" ca="1" si="115"/>
        <v/>
      </c>
      <c r="AS372" s="916" t="str">
        <f t="shared" ca="1" si="115"/>
        <v/>
      </c>
      <c r="AT372" s="916" t="str">
        <f t="shared" ca="1" si="115"/>
        <v/>
      </c>
      <c r="AU372" s="916" t="str">
        <f t="shared" ca="1" si="115"/>
        <v/>
      </c>
      <c r="AV372" s="916" t="str">
        <f t="shared" ca="1" si="116"/>
        <v/>
      </c>
      <c r="AW372" s="916" t="str">
        <f t="shared" ca="1" si="116"/>
        <v/>
      </c>
      <c r="AX372" s="916" t="str">
        <f t="shared" ca="1" si="116"/>
        <v/>
      </c>
      <c r="AY372" s="916" t="str">
        <f t="shared" ca="1" si="116"/>
        <v/>
      </c>
      <c r="AZ372" s="916" t="str">
        <f t="shared" ca="1" si="116"/>
        <v/>
      </c>
      <c r="BA372" s="916" t="str">
        <f t="shared" ca="1" si="116"/>
        <v/>
      </c>
      <c r="BB372" s="916" t="str">
        <f t="shared" ca="1" si="116"/>
        <v/>
      </c>
      <c r="BC372" s="916" t="str">
        <f t="shared" ca="1" si="116"/>
        <v/>
      </c>
      <c r="BD372" s="916" t="str">
        <f t="shared" ca="1" si="116"/>
        <v/>
      </c>
      <c r="BE372" s="916" t="str">
        <f t="shared" ca="1" si="116"/>
        <v/>
      </c>
      <c r="BF372" s="916" t="str">
        <f t="shared" ca="1" si="117"/>
        <v/>
      </c>
      <c r="BG372" s="916" t="str">
        <f t="shared" ca="1" si="117"/>
        <v/>
      </c>
      <c r="BH372" s="916" t="str">
        <f t="shared" ca="1" si="117"/>
        <v/>
      </c>
      <c r="BI372" s="916" t="str">
        <f t="shared" ca="1" si="117"/>
        <v/>
      </c>
      <c r="BJ372" s="916" t="str">
        <f t="shared" ca="1" si="117"/>
        <v/>
      </c>
      <c r="BK372" s="916" t="str">
        <f t="shared" ca="1" si="117"/>
        <v/>
      </c>
      <c r="BL372" s="916" t="str">
        <f t="shared" ca="1" si="117"/>
        <v/>
      </c>
      <c r="BM372" s="916" t="str">
        <f t="shared" ca="1" si="117"/>
        <v/>
      </c>
      <c r="BN372" s="916" t="str">
        <f t="shared" ca="1" si="117"/>
        <v/>
      </c>
      <c r="BO372" s="916" t="str">
        <f t="shared" ca="1" si="117"/>
        <v/>
      </c>
      <c r="BP372" s="802"/>
    </row>
    <row r="373" spans="1:68" ht="20.100000000000001" customHeight="1">
      <c r="A373" s="747">
        <v>64</v>
      </c>
      <c r="B373" s="1594"/>
      <c r="C373" s="1596"/>
      <c r="D373" s="812" t="s">
        <v>398</v>
      </c>
      <c r="E373" s="792" t="str">
        <f ca="1">E60</f>
        <v/>
      </c>
      <c r="F373" s="794"/>
      <c r="G373" s="852" t="s">
        <v>1281</v>
      </c>
      <c r="H373" s="915">
        <f t="shared" ca="1" si="109"/>
        <v>0</v>
      </c>
      <c r="I373" s="915">
        <f t="shared" ca="1" si="110"/>
        <v>0</v>
      </c>
      <c r="J373" s="915">
        <f t="shared" ca="1" si="111"/>
        <v>0</v>
      </c>
      <c r="K373" s="915">
        <f t="shared" ca="1" si="112"/>
        <v>0</v>
      </c>
      <c r="L373" s="916">
        <f ca="1">IFERROR($H373*(参考2_エネ使用量経年!L223+参考2_エネ使用量経年!L310),"")</f>
        <v>0</v>
      </c>
      <c r="M373" s="916">
        <f ca="1">IFERROR($I373*(参考2_エネ使用量経年!M223+参考2_エネ使用量経年!M310),"")</f>
        <v>0</v>
      </c>
      <c r="N373" s="916">
        <f ca="1">IFERROR($J373*(参考2_エネ使用量経年!N223+参考2_エネ使用量経年!N310),"")</f>
        <v>0</v>
      </c>
      <c r="O373" s="916">
        <f ca="1">IFERROR($K373*(参考2_エネ使用量経年!O223+参考2_エネ使用量経年!O310),"")</f>
        <v>0</v>
      </c>
      <c r="P373" s="916">
        <f ca="1">IFERROR($H373*(参考2_エネ使用量経年!P223+参考2_エネ使用量経年!P310),"")</f>
        <v>0</v>
      </c>
      <c r="Q373" s="916">
        <f ca="1">IFERROR($I373*(参考2_エネ使用量経年!Q223+参考2_エネ使用量経年!Q310),"")</f>
        <v>0</v>
      </c>
      <c r="R373" s="916">
        <f ca="1">IFERROR($J373*(参考2_エネ使用量経年!R223+参考2_エネ使用量経年!R310),"")</f>
        <v>0</v>
      </c>
      <c r="S373" s="916">
        <f ca="1">IFERROR($K373*(参考2_エネ使用量経年!S223+参考2_エネ使用量経年!S310),"")</f>
        <v>0</v>
      </c>
      <c r="T373" s="916">
        <f ca="1">IFERROR($H373*(参考2_エネ使用量経年!T223+参考2_エネ使用量経年!T310),"")</f>
        <v>0</v>
      </c>
      <c r="U373" s="916">
        <f ca="1">IFERROR($I373*(参考2_エネ使用量経年!U223+参考2_エネ使用量経年!U310),"")</f>
        <v>0</v>
      </c>
      <c r="V373" s="916">
        <f ca="1">IFERROR($J373*(参考2_エネ使用量経年!V223+参考2_エネ使用量経年!V310),"")</f>
        <v>0</v>
      </c>
      <c r="W373" s="916">
        <f ca="1">IFERROR($K373*(参考2_エネ使用量経年!W223+参考2_エネ使用量経年!W310),"")</f>
        <v>0</v>
      </c>
      <c r="X373" s="916">
        <f ca="1">IFERROR($H373*(参考2_エネ使用量経年!X223+参考2_エネ使用量経年!X310),"")</f>
        <v>0</v>
      </c>
      <c r="Y373" s="916">
        <f ca="1">IFERROR($I373*(参考2_エネ使用量経年!Y223+参考2_エネ使用量経年!Y310),"")</f>
        <v>0</v>
      </c>
      <c r="Z373" s="916">
        <f ca="1">IFERROR($J373*(参考2_エネ使用量経年!Z223+参考2_エネ使用量経年!Z310),"")</f>
        <v>0</v>
      </c>
      <c r="AA373" s="916">
        <f ca="1">IFERROR($K373*(参考2_エネ使用量経年!AA223+参考2_エネ使用量経年!AA310),"")</f>
        <v>0</v>
      </c>
      <c r="AB373" s="916" t="str">
        <f ca="1">IFERROR($H373*(参考2_エネ使用量経年!AB223+参考2_エネ使用量経年!AB310),"")</f>
        <v/>
      </c>
      <c r="AC373" s="916" t="str">
        <f ca="1">IFERROR($I373*(参考2_エネ使用量経年!AC223+参考2_エネ使用量経年!AC310),"")</f>
        <v/>
      </c>
      <c r="AD373" s="916" t="str">
        <f ca="1">IFERROR($J373*(参考2_エネ使用量経年!AD223+参考2_エネ使用量経年!AD310),"")</f>
        <v/>
      </c>
      <c r="AE373" s="916" t="str">
        <f ca="1">IFERROR($K373*(参考2_エネ使用量経年!AE223+参考2_エネ使用量経年!AE310),"")</f>
        <v/>
      </c>
      <c r="AF373" s="916" t="str">
        <f ca="1">IFERROR($H373*(参考2_エネ使用量経年!AF223+参考2_エネ使用量経年!AF310),"")</f>
        <v/>
      </c>
      <c r="AG373" s="916" t="str">
        <f ca="1">IFERROR($I373*(参考2_エネ使用量経年!AG223+参考2_エネ使用量経年!AG310),"")</f>
        <v/>
      </c>
      <c r="AH373" s="916" t="str">
        <f ca="1">IFERROR($J373*(参考2_エネ使用量経年!AH223+参考2_エネ使用量経年!AH310),"")</f>
        <v/>
      </c>
      <c r="AI373" s="916" t="str">
        <f ca="1">IFERROR($K373*(参考2_エネ使用量経年!AI223+参考2_エネ使用量経年!AI310),"")</f>
        <v/>
      </c>
      <c r="AJ373" s="916" t="str">
        <f ca="1">IFERROR($H373*(参考2_エネ使用量経年!AJ223+参考2_エネ使用量経年!AJ310),"")</f>
        <v/>
      </c>
      <c r="AK373" s="916" t="str">
        <f ca="1">IFERROR($I373*(参考2_エネ使用量経年!AK223+参考2_エネ使用量経年!AK310),"")</f>
        <v/>
      </c>
      <c r="AL373" s="916" t="str">
        <f ca="1">IFERROR($J373*(参考2_エネ使用量経年!AL223+参考2_エネ使用量経年!AL310),"")</f>
        <v/>
      </c>
      <c r="AM373" s="916" t="str">
        <f ca="1">IFERROR($K373*(参考2_エネ使用量経年!AM223+参考2_エネ使用量経年!AM310),"")</f>
        <v/>
      </c>
      <c r="AN373" s="916" t="str">
        <f ca="1">IFERROR($H373*(参考2_エネ使用量経年!AN223+参考2_エネ使用量経年!AN310),"")</f>
        <v/>
      </c>
      <c r="AO373" s="916" t="str">
        <f ca="1">IFERROR($I373*(参考2_エネ使用量経年!AO223+参考2_エネ使用量経年!AO310),"")</f>
        <v/>
      </c>
      <c r="AP373" s="916" t="str">
        <f ca="1">IFERROR($J373*(参考2_エネ使用量経年!AP223+参考2_エネ使用量経年!AP310),"")</f>
        <v/>
      </c>
      <c r="AQ373" s="916" t="str">
        <f ca="1">IFERROR($K373*(参考2_エネ使用量経年!AQ223+参考2_エネ使用量経年!AQ310),"")</f>
        <v/>
      </c>
      <c r="AR373" s="916" t="str">
        <f ca="1">IFERROR($H373*(参考2_エネ使用量経年!AR223+参考2_エネ使用量経年!AR310),"")</f>
        <v/>
      </c>
      <c r="AS373" s="916" t="str">
        <f ca="1">IFERROR($I373*(参考2_エネ使用量経年!AS223+参考2_エネ使用量経年!AS310),"")</f>
        <v/>
      </c>
      <c r="AT373" s="916" t="str">
        <f ca="1">IFERROR($J373*(参考2_エネ使用量経年!AT223+参考2_エネ使用量経年!AT310),"")</f>
        <v/>
      </c>
      <c r="AU373" s="916" t="str">
        <f ca="1">IFERROR($K373*(参考2_エネ使用量経年!AU223+参考2_エネ使用量経年!AU310),"")</f>
        <v/>
      </c>
      <c r="AV373" s="916" t="str">
        <f ca="1">IFERROR($H373*(参考2_エネ使用量経年!AV223+参考2_エネ使用量経年!AV310),"")</f>
        <v/>
      </c>
      <c r="AW373" s="916" t="str">
        <f ca="1">IFERROR($I373*(参考2_エネ使用量経年!AW223+参考2_エネ使用量経年!AW310),"")</f>
        <v/>
      </c>
      <c r="AX373" s="916" t="str">
        <f ca="1">IFERROR($J373*(参考2_エネ使用量経年!AX223+参考2_エネ使用量経年!AX310),"")</f>
        <v/>
      </c>
      <c r="AY373" s="916" t="str">
        <f ca="1">IFERROR($K373*(参考2_エネ使用量経年!AY223+参考2_エネ使用量経年!AY310),"")</f>
        <v/>
      </c>
      <c r="AZ373" s="916" t="str">
        <f ca="1">IFERROR($H373*(参考2_エネ使用量経年!AZ223+参考2_エネ使用量経年!AZ310),"")</f>
        <v/>
      </c>
      <c r="BA373" s="916" t="str">
        <f ca="1">IFERROR($I373*(参考2_エネ使用量経年!BA223+参考2_エネ使用量経年!BA310),"")</f>
        <v/>
      </c>
      <c r="BB373" s="916" t="str">
        <f ca="1">IFERROR($J373*(参考2_エネ使用量経年!BB223+参考2_エネ使用量経年!BB310),"")</f>
        <v/>
      </c>
      <c r="BC373" s="916" t="str">
        <f ca="1">IFERROR($K373*(参考2_エネ使用量経年!BC223+参考2_エネ使用量経年!BC310),"")</f>
        <v/>
      </c>
      <c r="BD373" s="916" t="str">
        <f ca="1">IFERROR($H373*(参考2_エネ使用量経年!BD223+参考2_エネ使用量経年!BD310),"")</f>
        <v/>
      </c>
      <c r="BE373" s="916" t="str">
        <f ca="1">IFERROR($I373*(参考2_エネ使用量経年!BE223+参考2_エネ使用量経年!BE310),"")</f>
        <v/>
      </c>
      <c r="BF373" s="916" t="str">
        <f ca="1">IFERROR($J373*(参考2_エネ使用量経年!BF223+参考2_エネ使用量経年!BF310),"")</f>
        <v/>
      </c>
      <c r="BG373" s="916" t="str">
        <f ca="1">IFERROR($K373*(参考2_エネ使用量経年!BG223+参考2_エネ使用量経年!BG310),"")</f>
        <v/>
      </c>
      <c r="BH373" s="916" t="str">
        <f ca="1">IFERROR($H373*(参考2_エネ使用量経年!BH223+参考2_エネ使用量経年!BH310),"")</f>
        <v/>
      </c>
      <c r="BI373" s="916" t="str">
        <f ca="1">IFERROR($I373*(参考2_エネ使用量経年!BI223+参考2_エネ使用量経年!BI310),"")</f>
        <v/>
      </c>
      <c r="BJ373" s="916" t="str">
        <f ca="1">IFERROR($J373*(参考2_エネ使用量経年!BJ223+参考2_エネ使用量経年!BJ310),"")</f>
        <v/>
      </c>
      <c r="BK373" s="916" t="str">
        <f ca="1">IFERROR($K373*(参考2_エネ使用量経年!BK223+参考2_エネ使用量経年!BK310),"")</f>
        <v/>
      </c>
      <c r="BL373" s="916" t="str">
        <f ca="1">IFERROR($H373*(参考2_エネ使用量経年!BL223+参考2_エネ使用量経年!BL310),"")</f>
        <v/>
      </c>
      <c r="BM373" s="916" t="str">
        <f ca="1">IFERROR($I373*(参考2_エネ使用量経年!BM223+参考2_エネ使用量経年!BM310),"")</f>
        <v/>
      </c>
      <c r="BN373" s="916" t="str">
        <f ca="1">IFERROR($J373*(参考2_エネ使用量経年!BN223+参考2_エネ使用量経年!BN310),"")</f>
        <v/>
      </c>
      <c r="BO373" s="916" t="str">
        <f ca="1">IFERROR($K373*(参考2_エネ使用量経年!BO223+参考2_エネ使用量経年!BO310),"")</f>
        <v/>
      </c>
      <c r="BP373" s="802"/>
    </row>
    <row r="374" spans="1:68" ht="20.100000000000001" customHeight="1">
      <c r="A374" s="914"/>
      <c r="B374" s="1594"/>
      <c r="C374" s="1596" t="s">
        <v>399</v>
      </c>
      <c r="D374" s="813" t="s">
        <v>400</v>
      </c>
      <c r="E374" s="785"/>
      <c r="F374" s="810"/>
      <c r="G374" s="852" t="s">
        <v>1281</v>
      </c>
      <c r="H374" s="996"/>
      <c r="I374" s="996"/>
      <c r="J374" s="996"/>
      <c r="K374" s="996"/>
      <c r="L374" s="916">
        <f ca="1">IFERROR($H374*(参考2_エネ使用量経年!L224+参考2_エネ使用量経年!L311),"")</f>
        <v>0</v>
      </c>
      <c r="M374" s="916">
        <f ca="1">IFERROR($I374*(参考2_エネ使用量経年!M224+参考2_エネ使用量経年!M311),"")</f>
        <v>0</v>
      </c>
      <c r="N374" s="916">
        <f ca="1">IFERROR($J374*(参考2_エネ使用量経年!N224+参考2_エネ使用量経年!N311),"")</f>
        <v>0</v>
      </c>
      <c r="O374" s="916">
        <f ca="1">IFERROR($K374*(参考2_エネ使用量経年!O224+参考2_エネ使用量経年!O311),"")</f>
        <v>0</v>
      </c>
      <c r="P374" s="916">
        <f ca="1">IFERROR($H374*(参考2_エネ使用量経年!P224+参考2_エネ使用量経年!P311),"")</f>
        <v>0</v>
      </c>
      <c r="Q374" s="916">
        <f ca="1">IFERROR($I374*(参考2_エネ使用量経年!Q224+参考2_エネ使用量経年!Q311),"")</f>
        <v>0</v>
      </c>
      <c r="R374" s="916">
        <f ca="1">IFERROR($J374*(参考2_エネ使用量経年!R224+参考2_エネ使用量経年!R311),"")</f>
        <v>0</v>
      </c>
      <c r="S374" s="916">
        <f ca="1">IFERROR($K374*(参考2_エネ使用量経年!S224+参考2_エネ使用量経年!S311),"")</f>
        <v>0</v>
      </c>
      <c r="T374" s="916">
        <f ca="1">IFERROR($H374*(参考2_エネ使用量経年!T224+参考2_エネ使用量経年!T311),"")</f>
        <v>0</v>
      </c>
      <c r="U374" s="916">
        <f ca="1">IFERROR($I374*(参考2_エネ使用量経年!U224+参考2_エネ使用量経年!U311),"")</f>
        <v>0</v>
      </c>
      <c r="V374" s="916">
        <f ca="1">IFERROR($J374*(参考2_エネ使用量経年!V224+参考2_エネ使用量経年!V311),"")</f>
        <v>0</v>
      </c>
      <c r="W374" s="916">
        <f ca="1">IFERROR($K374*(参考2_エネ使用量経年!W224+参考2_エネ使用量経年!W311),"")</f>
        <v>0</v>
      </c>
      <c r="X374" s="916">
        <f ca="1">IFERROR($H374*(参考2_エネ使用量経年!X224+参考2_エネ使用量経年!X311),"")</f>
        <v>0</v>
      </c>
      <c r="Y374" s="916">
        <f ca="1">IFERROR($I374*(参考2_エネ使用量経年!Y224+参考2_エネ使用量経年!Y311),"")</f>
        <v>0</v>
      </c>
      <c r="Z374" s="916">
        <f ca="1">IFERROR($J374*(参考2_エネ使用量経年!Z224+参考2_エネ使用量経年!Z311),"")</f>
        <v>0</v>
      </c>
      <c r="AA374" s="916">
        <f ca="1">IFERROR($K374*(参考2_エネ使用量経年!AA224+参考2_エネ使用量経年!AA311),"")</f>
        <v>0</v>
      </c>
      <c r="AB374" s="916" t="str">
        <f ca="1">IFERROR($H374*(参考2_エネ使用量経年!AB224+参考2_エネ使用量経年!AB311),"")</f>
        <v/>
      </c>
      <c r="AC374" s="916" t="str">
        <f ca="1">IFERROR($I374*(参考2_エネ使用量経年!AC224+参考2_エネ使用量経年!AC311),"")</f>
        <v/>
      </c>
      <c r="AD374" s="916" t="str">
        <f ca="1">IFERROR($J374*(参考2_エネ使用量経年!AD224+参考2_エネ使用量経年!AD311),"")</f>
        <v/>
      </c>
      <c r="AE374" s="916" t="str">
        <f ca="1">IFERROR($K374*(参考2_エネ使用量経年!AE224+参考2_エネ使用量経年!AE311),"")</f>
        <v/>
      </c>
      <c r="AF374" s="916" t="str">
        <f ca="1">IFERROR($H374*(参考2_エネ使用量経年!AF224+参考2_エネ使用量経年!AF311),"")</f>
        <v/>
      </c>
      <c r="AG374" s="916" t="str">
        <f ca="1">IFERROR($I374*(参考2_エネ使用量経年!AG224+参考2_エネ使用量経年!AG311),"")</f>
        <v/>
      </c>
      <c r="AH374" s="916" t="str">
        <f ca="1">IFERROR($J374*(参考2_エネ使用量経年!AH224+参考2_エネ使用量経年!AH311),"")</f>
        <v/>
      </c>
      <c r="AI374" s="916" t="str">
        <f ca="1">IFERROR($K374*(参考2_エネ使用量経年!AI224+参考2_エネ使用量経年!AI311),"")</f>
        <v/>
      </c>
      <c r="AJ374" s="916" t="str">
        <f ca="1">IFERROR($H374*(参考2_エネ使用量経年!AJ224+参考2_エネ使用量経年!AJ311),"")</f>
        <v/>
      </c>
      <c r="AK374" s="916" t="str">
        <f ca="1">IFERROR($I374*(参考2_エネ使用量経年!AK224+参考2_エネ使用量経年!AK311),"")</f>
        <v/>
      </c>
      <c r="AL374" s="916" t="str">
        <f ca="1">IFERROR($J374*(参考2_エネ使用量経年!AL224+参考2_エネ使用量経年!AL311),"")</f>
        <v/>
      </c>
      <c r="AM374" s="916" t="str">
        <f ca="1">IFERROR($K374*(参考2_エネ使用量経年!AM224+参考2_エネ使用量経年!AM311),"")</f>
        <v/>
      </c>
      <c r="AN374" s="916" t="str">
        <f ca="1">IFERROR($H374*(参考2_エネ使用量経年!AN224+参考2_エネ使用量経年!AN311),"")</f>
        <v/>
      </c>
      <c r="AO374" s="916" t="str">
        <f ca="1">IFERROR($I374*(参考2_エネ使用量経年!AO224+参考2_エネ使用量経年!AO311),"")</f>
        <v/>
      </c>
      <c r="AP374" s="916" t="str">
        <f ca="1">IFERROR($J374*(参考2_エネ使用量経年!AP224+参考2_エネ使用量経年!AP311),"")</f>
        <v/>
      </c>
      <c r="AQ374" s="916" t="str">
        <f ca="1">IFERROR($K374*(参考2_エネ使用量経年!AQ224+参考2_エネ使用量経年!AQ311),"")</f>
        <v/>
      </c>
      <c r="AR374" s="916" t="str">
        <f ca="1">IFERROR($H374*(参考2_エネ使用量経年!AR224+参考2_エネ使用量経年!AR311),"")</f>
        <v/>
      </c>
      <c r="AS374" s="916" t="str">
        <f ca="1">IFERROR($I374*(参考2_エネ使用量経年!AS224+参考2_エネ使用量経年!AS311),"")</f>
        <v/>
      </c>
      <c r="AT374" s="916" t="str">
        <f ca="1">IFERROR($J374*(参考2_エネ使用量経年!AT224+参考2_エネ使用量経年!AT311),"")</f>
        <v/>
      </c>
      <c r="AU374" s="916" t="str">
        <f ca="1">IFERROR($K374*(参考2_エネ使用量経年!AU224+参考2_エネ使用量経年!AU311),"")</f>
        <v/>
      </c>
      <c r="AV374" s="916" t="str">
        <f ca="1">IFERROR($H374*(参考2_エネ使用量経年!AV224+参考2_エネ使用量経年!AV311),"")</f>
        <v/>
      </c>
      <c r="AW374" s="916" t="str">
        <f ca="1">IFERROR($I374*(参考2_エネ使用量経年!AW224+参考2_エネ使用量経年!AW311),"")</f>
        <v/>
      </c>
      <c r="AX374" s="916" t="str">
        <f ca="1">IFERROR($J374*(参考2_エネ使用量経年!AX224+参考2_エネ使用量経年!AX311),"")</f>
        <v/>
      </c>
      <c r="AY374" s="916" t="str">
        <f ca="1">IFERROR($K374*(参考2_エネ使用量経年!AY224+参考2_エネ使用量経年!AY311),"")</f>
        <v/>
      </c>
      <c r="AZ374" s="916" t="str">
        <f ca="1">IFERROR($H374*(参考2_エネ使用量経年!AZ224+参考2_エネ使用量経年!AZ311),"")</f>
        <v/>
      </c>
      <c r="BA374" s="916" t="str">
        <f ca="1">IFERROR($I374*(参考2_エネ使用量経年!BA224+参考2_エネ使用量経年!BA311),"")</f>
        <v/>
      </c>
      <c r="BB374" s="916" t="str">
        <f ca="1">IFERROR($J374*(参考2_エネ使用量経年!BB224+参考2_エネ使用量経年!BB311),"")</f>
        <v/>
      </c>
      <c r="BC374" s="916" t="str">
        <f ca="1">IFERROR($K374*(参考2_エネ使用量経年!BC224+参考2_エネ使用量経年!BC311),"")</f>
        <v/>
      </c>
      <c r="BD374" s="916" t="str">
        <f ca="1">IFERROR($H374*(参考2_エネ使用量経年!BD224+参考2_エネ使用量経年!BD311),"")</f>
        <v/>
      </c>
      <c r="BE374" s="916" t="str">
        <f ca="1">IFERROR($I374*(参考2_エネ使用量経年!BE224+参考2_エネ使用量経年!BE311),"")</f>
        <v/>
      </c>
      <c r="BF374" s="916" t="str">
        <f ca="1">IFERROR($J374*(参考2_エネ使用量経年!BF224+参考2_エネ使用量経年!BF311),"")</f>
        <v/>
      </c>
      <c r="BG374" s="916" t="str">
        <f ca="1">IFERROR($K374*(参考2_エネ使用量経年!BG224+参考2_エネ使用量経年!BG311),"")</f>
        <v/>
      </c>
      <c r="BH374" s="916" t="str">
        <f ca="1">IFERROR($H374*(参考2_エネ使用量経年!BH224+参考2_エネ使用量経年!BH311),"")</f>
        <v/>
      </c>
      <c r="BI374" s="916" t="str">
        <f ca="1">IFERROR($I374*(参考2_エネ使用量経年!BI224+参考2_エネ使用量経年!BI311),"")</f>
        <v/>
      </c>
      <c r="BJ374" s="916" t="str">
        <f ca="1">IFERROR($J374*(参考2_エネ使用量経年!BJ224+参考2_エネ使用量経年!BJ311),"")</f>
        <v/>
      </c>
      <c r="BK374" s="916" t="str">
        <f ca="1">IFERROR($K374*(参考2_エネ使用量経年!BK224+参考2_エネ使用量経年!BK311),"")</f>
        <v/>
      </c>
      <c r="BL374" s="916" t="str">
        <f ca="1">IFERROR($H374*(参考2_エネ使用量経年!BL224+参考2_エネ使用量経年!BL311),"")</f>
        <v/>
      </c>
      <c r="BM374" s="916" t="str">
        <f ca="1">IFERROR($I374*(参考2_エネ使用量経年!BM224+参考2_エネ使用量経年!BM311),"")</f>
        <v/>
      </c>
      <c r="BN374" s="916" t="str">
        <f ca="1">IFERROR($J374*(参考2_エネ使用量経年!BN224+参考2_エネ使用量経年!BN311),"")</f>
        <v/>
      </c>
      <c r="BO374" s="916" t="str">
        <f ca="1">IFERROR($K374*(参考2_エネ使用量経年!BO224+参考2_エネ使用量経年!BO311),"")</f>
        <v/>
      </c>
      <c r="BP374" s="802"/>
    </row>
    <row r="375" spans="1:68" ht="20.100000000000001" customHeight="1">
      <c r="B375" s="1594"/>
      <c r="C375" s="1596"/>
      <c r="D375" s="813" t="s">
        <v>401</v>
      </c>
      <c r="E375" s="785"/>
      <c r="F375" s="810"/>
      <c r="G375" s="852" t="s">
        <v>1281</v>
      </c>
      <c r="H375" s="996"/>
      <c r="I375" s="996"/>
      <c r="J375" s="996"/>
      <c r="K375" s="996"/>
      <c r="L375" s="916">
        <f ca="1">IFERROR($H375*(参考2_エネ使用量経年!L225+参考2_エネ使用量経年!L312),"")</f>
        <v>0</v>
      </c>
      <c r="M375" s="916">
        <f ca="1">IFERROR($I375*(参考2_エネ使用量経年!M225+参考2_エネ使用量経年!M312),"")</f>
        <v>0</v>
      </c>
      <c r="N375" s="916">
        <f ca="1">IFERROR($J375*(参考2_エネ使用量経年!N225+参考2_エネ使用量経年!N312),"")</f>
        <v>0</v>
      </c>
      <c r="O375" s="916">
        <f ca="1">IFERROR($K375*(参考2_エネ使用量経年!O225+参考2_エネ使用量経年!O312),"")</f>
        <v>0</v>
      </c>
      <c r="P375" s="916">
        <f ca="1">IFERROR($H375*(参考2_エネ使用量経年!P225+参考2_エネ使用量経年!P312),"")</f>
        <v>0</v>
      </c>
      <c r="Q375" s="916">
        <f ca="1">IFERROR($I375*(参考2_エネ使用量経年!Q225+参考2_エネ使用量経年!Q312),"")</f>
        <v>0</v>
      </c>
      <c r="R375" s="916">
        <f ca="1">IFERROR($J375*(参考2_エネ使用量経年!R225+参考2_エネ使用量経年!R312),"")</f>
        <v>0</v>
      </c>
      <c r="S375" s="916">
        <f ca="1">IFERROR($K375*(参考2_エネ使用量経年!S225+参考2_エネ使用量経年!S312),"")</f>
        <v>0</v>
      </c>
      <c r="T375" s="916">
        <f ca="1">IFERROR($H375*(参考2_エネ使用量経年!T225+参考2_エネ使用量経年!T312),"")</f>
        <v>0</v>
      </c>
      <c r="U375" s="916">
        <f ca="1">IFERROR($I375*(参考2_エネ使用量経年!U225+参考2_エネ使用量経年!U312),"")</f>
        <v>0</v>
      </c>
      <c r="V375" s="916">
        <f ca="1">IFERROR($J375*(参考2_エネ使用量経年!V225+参考2_エネ使用量経年!V312),"")</f>
        <v>0</v>
      </c>
      <c r="W375" s="916">
        <f ca="1">IFERROR($K375*(参考2_エネ使用量経年!W225+参考2_エネ使用量経年!W312),"")</f>
        <v>0</v>
      </c>
      <c r="X375" s="916">
        <f ca="1">IFERROR($H375*(参考2_エネ使用量経年!X225+参考2_エネ使用量経年!X312),"")</f>
        <v>0</v>
      </c>
      <c r="Y375" s="916">
        <f ca="1">IFERROR($I375*(参考2_エネ使用量経年!Y225+参考2_エネ使用量経年!Y312),"")</f>
        <v>0</v>
      </c>
      <c r="Z375" s="916">
        <f ca="1">IFERROR($J375*(参考2_エネ使用量経年!Z225+参考2_エネ使用量経年!Z312),"")</f>
        <v>0</v>
      </c>
      <c r="AA375" s="916">
        <f ca="1">IFERROR($K375*(参考2_エネ使用量経年!AA225+参考2_エネ使用量経年!AA312),"")</f>
        <v>0</v>
      </c>
      <c r="AB375" s="916" t="str">
        <f ca="1">IFERROR($H375*(参考2_エネ使用量経年!AB225+参考2_エネ使用量経年!AB312),"")</f>
        <v/>
      </c>
      <c r="AC375" s="916" t="str">
        <f ca="1">IFERROR($I375*(参考2_エネ使用量経年!AC225+参考2_エネ使用量経年!AC312),"")</f>
        <v/>
      </c>
      <c r="AD375" s="916" t="str">
        <f ca="1">IFERROR($J375*(参考2_エネ使用量経年!AD225+参考2_エネ使用量経年!AD312),"")</f>
        <v/>
      </c>
      <c r="AE375" s="916" t="str">
        <f ca="1">IFERROR($K375*(参考2_エネ使用量経年!AE225+参考2_エネ使用量経年!AE312),"")</f>
        <v/>
      </c>
      <c r="AF375" s="916" t="str">
        <f ca="1">IFERROR($H375*(参考2_エネ使用量経年!AF225+参考2_エネ使用量経年!AF312),"")</f>
        <v/>
      </c>
      <c r="AG375" s="916" t="str">
        <f ca="1">IFERROR($I375*(参考2_エネ使用量経年!AG225+参考2_エネ使用量経年!AG312),"")</f>
        <v/>
      </c>
      <c r="AH375" s="916" t="str">
        <f ca="1">IFERROR($J375*(参考2_エネ使用量経年!AH225+参考2_エネ使用量経年!AH312),"")</f>
        <v/>
      </c>
      <c r="AI375" s="916" t="str">
        <f ca="1">IFERROR($K375*(参考2_エネ使用量経年!AI225+参考2_エネ使用量経年!AI312),"")</f>
        <v/>
      </c>
      <c r="AJ375" s="916" t="str">
        <f ca="1">IFERROR($H375*(参考2_エネ使用量経年!AJ225+参考2_エネ使用量経年!AJ312),"")</f>
        <v/>
      </c>
      <c r="AK375" s="916" t="str">
        <f ca="1">IFERROR($I375*(参考2_エネ使用量経年!AK225+参考2_エネ使用量経年!AK312),"")</f>
        <v/>
      </c>
      <c r="AL375" s="916" t="str">
        <f ca="1">IFERROR($J375*(参考2_エネ使用量経年!AL225+参考2_エネ使用量経年!AL312),"")</f>
        <v/>
      </c>
      <c r="AM375" s="916" t="str">
        <f ca="1">IFERROR($K375*(参考2_エネ使用量経年!AM225+参考2_エネ使用量経年!AM312),"")</f>
        <v/>
      </c>
      <c r="AN375" s="916" t="str">
        <f ca="1">IFERROR($H375*(参考2_エネ使用量経年!AN225+参考2_エネ使用量経年!AN312),"")</f>
        <v/>
      </c>
      <c r="AO375" s="916" t="str">
        <f ca="1">IFERROR($I375*(参考2_エネ使用量経年!AO225+参考2_エネ使用量経年!AO312),"")</f>
        <v/>
      </c>
      <c r="AP375" s="916" t="str">
        <f ca="1">IFERROR($J375*(参考2_エネ使用量経年!AP225+参考2_エネ使用量経年!AP312),"")</f>
        <v/>
      </c>
      <c r="AQ375" s="916" t="str">
        <f ca="1">IFERROR($K375*(参考2_エネ使用量経年!AQ225+参考2_エネ使用量経年!AQ312),"")</f>
        <v/>
      </c>
      <c r="AR375" s="916" t="str">
        <f ca="1">IFERROR($H375*(参考2_エネ使用量経年!AR225+参考2_エネ使用量経年!AR312),"")</f>
        <v/>
      </c>
      <c r="AS375" s="916" t="str">
        <f ca="1">IFERROR($I375*(参考2_エネ使用量経年!AS225+参考2_エネ使用量経年!AS312),"")</f>
        <v/>
      </c>
      <c r="AT375" s="916" t="str">
        <f ca="1">IFERROR($J375*(参考2_エネ使用量経年!AT225+参考2_エネ使用量経年!AT312),"")</f>
        <v/>
      </c>
      <c r="AU375" s="916" t="str">
        <f ca="1">IFERROR($K375*(参考2_エネ使用量経年!AU225+参考2_エネ使用量経年!AU312),"")</f>
        <v/>
      </c>
      <c r="AV375" s="916" t="str">
        <f ca="1">IFERROR($H375*(参考2_エネ使用量経年!AV225+参考2_エネ使用量経年!AV312),"")</f>
        <v/>
      </c>
      <c r="AW375" s="916" t="str">
        <f ca="1">IFERROR($I375*(参考2_エネ使用量経年!AW225+参考2_エネ使用量経年!AW312),"")</f>
        <v/>
      </c>
      <c r="AX375" s="916" t="str">
        <f ca="1">IFERROR($J375*(参考2_エネ使用量経年!AX225+参考2_エネ使用量経年!AX312),"")</f>
        <v/>
      </c>
      <c r="AY375" s="916" t="str">
        <f ca="1">IFERROR($K375*(参考2_エネ使用量経年!AY225+参考2_エネ使用量経年!AY312),"")</f>
        <v/>
      </c>
      <c r="AZ375" s="916" t="str">
        <f ca="1">IFERROR($H375*(参考2_エネ使用量経年!AZ225+参考2_エネ使用量経年!AZ312),"")</f>
        <v/>
      </c>
      <c r="BA375" s="916" t="str">
        <f ca="1">IFERROR($I375*(参考2_エネ使用量経年!BA225+参考2_エネ使用量経年!BA312),"")</f>
        <v/>
      </c>
      <c r="BB375" s="916" t="str">
        <f ca="1">IFERROR($J375*(参考2_エネ使用量経年!BB225+参考2_エネ使用量経年!BB312),"")</f>
        <v/>
      </c>
      <c r="BC375" s="916" t="str">
        <f ca="1">IFERROR($K375*(参考2_エネ使用量経年!BC225+参考2_エネ使用量経年!BC312),"")</f>
        <v/>
      </c>
      <c r="BD375" s="916" t="str">
        <f ca="1">IFERROR($H375*(参考2_エネ使用量経年!BD225+参考2_エネ使用量経年!BD312),"")</f>
        <v/>
      </c>
      <c r="BE375" s="916" t="str">
        <f ca="1">IFERROR($I375*(参考2_エネ使用量経年!BE225+参考2_エネ使用量経年!BE312),"")</f>
        <v/>
      </c>
      <c r="BF375" s="916" t="str">
        <f ca="1">IFERROR($J375*(参考2_エネ使用量経年!BF225+参考2_エネ使用量経年!BF312),"")</f>
        <v/>
      </c>
      <c r="BG375" s="916" t="str">
        <f ca="1">IFERROR($K375*(参考2_エネ使用量経年!BG225+参考2_エネ使用量経年!BG312),"")</f>
        <v/>
      </c>
      <c r="BH375" s="916" t="str">
        <f ca="1">IFERROR($H375*(参考2_エネ使用量経年!BH225+参考2_エネ使用量経年!BH312),"")</f>
        <v/>
      </c>
      <c r="BI375" s="916" t="str">
        <f ca="1">IFERROR($I375*(参考2_エネ使用量経年!BI225+参考2_エネ使用量経年!BI312),"")</f>
        <v/>
      </c>
      <c r="BJ375" s="916" t="str">
        <f ca="1">IFERROR($J375*(参考2_エネ使用量経年!BJ225+参考2_エネ使用量経年!BJ312),"")</f>
        <v/>
      </c>
      <c r="BK375" s="916" t="str">
        <f ca="1">IFERROR($K375*(参考2_エネ使用量経年!BK225+参考2_エネ使用量経年!BK312),"")</f>
        <v/>
      </c>
      <c r="BL375" s="916" t="str">
        <f ca="1">IFERROR($H375*(参考2_エネ使用量経年!BL225+参考2_エネ使用量経年!BL312),"")</f>
        <v/>
      </c>
      <c r="BM375" s="916" t="str">
        <f ca="1">IFERROR($I375*(参考2_エネ使用量経年!BM225+参考2_エネ使用量経年!BM312),"")</f>
        <v/>
      </c>
      <c r="BN375" s="916" t="str">
        <f ca="1">IFERROR($J375*(参考2_エネ使用量経年!BN225+参考2_エネ使用量経年!BN312),"")</f>
        <v/>
      </c>
      <c r="BO375" s="916" t="str">
        <f ca="1">IFERROR($K375*(参考2_エネ使用量経年!BO225+参考2_エネ使用量経年!BO312),"")</f>
        <v/>
      </c>
      <c r="BP375" s="802"/>
    </row>
    <row r="376" spans="1:68" ht="20.100000000000001" customHeight="1">
      <c r="A376" s="914"/>
      <c r="B376" s="1594"/>
      <c r="C376" s="1596"/>
      <c r="D376" s="813" t="s">
        <v>402</v>
      </c>
      <c r="E376" s="785"/>
      <c r="F376" s="810"/>
      <c r="G376" s="852" t="s">
        <v>1281</v>
      </c>
      <c r="H376" s="996"/>
      <c r="I376" s="996"/>
      <c r="J376" s="996"/>
      <c r="K376" s="996"/>
      <c r="L376" s="916">
        <f ca="1">IFERROR($H376*(参考2_エネ使用量経年!L226+参考2_エネ使用量経年!L313),"")</f>
        <v>0</v>
      </c>
      <c r="M376" s="916">
        <f ca="1">IFERROR($I376*(参考2_エネ使用量経年!M226+参考2_エネ使用量経年!M313),"")</f>
        <v>0</v>
      </c>
      <c r="N376" s="916">
        <f ca="1">IFERROR($J376*(参考2_エネ使用量経年!N226+参考2_エネ使用量経年!N313),"")</f>
        <v>0</v>
      </c>
      <c r="O376" s="916">
        <f ca="1">IFERROR($K376*(参考2_エネ使用量経年!O226+参考2_エネ使用量経年!O313),"")</f>
        <v>0</v>
      </c>
      <c r="P376" s="916">
        <f ca="1">IFERROR($H376*(参考2_エネ使用量経年!P226+参考2_エネ使用量経年!P313),"")</f>
        <v>0</v>
      </c>
      <c r="Q376" s="916">
        <f ca="1">IFERROR($I376*(参考2_エネ使用量経年!Q226+参考2_エネ使用量経年!Q313),"")</f>
        <v>0</v>
      </c>
      <c r="R376" s="916">
        <f ca="1">IFERROR($J376*(参考2_エネ使用量経年!R226+参考2_エネ使用量経年!R313),"")</f>
        <v>0</v>
      </c>
      <c r="S376" s="916">
        <f ca="1">IFERROR($K376*(参考2_エネ使用量経年!S226+参考2_エネ使用量経年!S313),"")</f>
        <v>0</v>
      </c>
      <c r="T376" s="916">
        <f ca="1">IFERROR($H376*(参考2_エネ使用量経年!T226+参考2_エネ使用量経年!T313),"")</f>
        <v>0</v>
      </c>
      <c r="U376" s="916">
        <f ca="1">IFERROR($I376*(参考2_エネ使用量経年!U226+参考2_エネ使用量経年!U313),"")</f>
        <v>0</v>
      </c>
      <c r="V376" s="916">
        <f ca="1">IFERROR($J376*(参考2_エネ使用量経年!V226+参考2_エネ使用量経年!V313),"")</f>
        <v>0</v>
      </c>
      <c r="W376" s="916">
        <f ca="1">IFERROR($K376*(参考2_エネ使用量経年!W226+参考2_エネ使用量経年!W313),"")</f>
        <v>0</v>
      </c>
      <c r="X376" s="916">
        <f ca="1">IFERROR($H376*(参考2_エネ使用量経年!X226+参考2_エネ使用量経年!X313),"")</f>
        <v>0</v>
      </c>
      <c r="Y376" s="916">
        <f ca="1">IFERROR($I376*(参考2_エネ使用量経年!Y226+参考2_エネ使用量経年!Y313),"")</f>
        <v>0</v>
      </c>
      <c r="Z376" s="916">
        <f ca="1">IFERROR($J376*(参考2_エネ使用量経年!Z226+参考2_エネ使用量経年!Z313),"")</f>
        <v>0</v>
      </c>
      <c r="AA376" s="916">
        <f ca="1">IFERROR($K376*(参考2_エネ使用量経年!AA226+参考2_エネ使用量経年!AA313),"")</f>
        <v>0</v>
      </c>
      <c r="AB376" s="916" t="str">
        <f ca="1">IFERROR($H376*(参考2_エネ使用量経年!AB226+参考2_エネ使用量経年!AB313),"")</f>
        <v/>
      </c>
      <c r="AC376" s="916" t="str">
        <f ca="1">IFERROR($I376*(参考2_エネ使用量経年!AC226+参考2_エネ使用量経年!AC313),"")</f>
        <v/>
      </c>
      <c r="AD376" s="916" t="str">
        <f ca="1">IFERROR($J376*(参考2_エネ使用量経年!AD226+参考2_エネ使用量経年!AD313),"")</f>
        <v/>
      </c>
      <c r="AE376" s="916" t="str">
        <f ca="1">IFERROR($K376*(参考2_エネ使用量経年!AE226+参考2_エネ使用量経年!AE313),"")</f>
        <v/>
      </c>
      <c r="AF376" s="916" t="str">
        <f ca="1">IFERROR($H376*(参考2_エネ使用量経年!AF226+参考2_エネ使用量経年!AF313),"")</f>
        <v/>
      </c>
      <c r="AG376" s="916" t="str">
        <f ca="1">IFERROR($I376*(参考2_エネ使用量経年!AG226+参考2_エネ使用量経年!AG313),"")</f>
        <v/>
      </c>
      <c r="AH376" s="916" t="str">
        <f ca="1">IFERROR($J376*(参考2_エネ使用量経年!AH226+参考2_エネ使用量経年!AH313),"")</f>
        <v/>
      </c>
      <c r="AI376" s="916" t="str">
        <f ca="1">IFERROR($K376*(参考2_エネ使用量経年!AI226+参考2_エネ使用量経年!AI313),"")</f>
        <v/>
      </c>
      <c r="AJ376" s="916" t="str">
        <f ca="1">IFERROR($H376*(参考2_エネ使用量経年!AJ226+参考2_エネ使用量経年!AJ313),"")</f>
        <v/>
      </c>
      <c r="AK376" s="916" t="str">
        <f ca="1">IFERROR($I376*(参考2_エネ使用量経年!AK226+参考2_エネ使用量経年!AK313),"")</f>
        <v/>
      </c>
      <c r="AL376" s="916" t="str">
        <f ca="1">IFERROR($J376*(参考2_エネ使用量経年!AL226+参考2_エネ使用量経年!AL313),"")</f>
        <v/>
      </c>
      <c r="AM376" s="916" t="str">
        <f ca="1">IFERROR($K376*(参考2_エネ使用量経年!AM226+参考2_エネ使用量経年!AM313),"")</f>
        <v/>
      </c>
      <c r="AN376" s="916" t="str">
        <f ca="1">IFERROR($H376*(参考2_エネ使用量経年!AN226+参考2_エネ使用量経年!AN313),"")</f>
        <v/>
      </c>
      <c r="AO376" s="916" t="str">
        <f ca="1">IFERROR($I376*(参考2_エネ使用量経年!AO226+参考2_エネ使用量経年!AO313),"")</f>
        <v/>
      </c>
      <c r="AP376" s="916" t="str">
        <f ca="1">IFERROR($J376*(参考2_エネ使用量経年!AP226+参考2_エネ使用量経年!AP313),"")</f>
        <v/>
      </c>
      <c r="AQ376" s="916" t="str">
        <f ca="1">IFERROR($K376*(参考2_エネ使用量経年!AQ226+参考2_エネ使用量経年!AQ313),"")</f>
        <v/>
      </c>
      <c r="AR376" s="916" t="str">
        <f ca="1">IFERROR($H376*(参考2_エネ使用量経年!AR226+参考2_エネ使用量経年!AR313),"")</f>
        <v/>
      </c>
      <c r="AS376" s="916" t="str">
        <f ca="1">IFERROR($I376*(参考2_エネ使用量経年!AS226+参考2_エネ使用量経年!AS313),"")</f>
        <v/>
      </c>
      <c r="AT376" s="916" t="str">
        <f ca="1">IFERROR($J376*(参考2_エネ使用量経年!AT226+参考2_エネ使用量経年!AT313),"")</f>
        <v/>
      </c>
      <c r="AU376" s="916" t="str">
        <f ca="1">IFERROR($K376*(参考2_エネ使用量経年!AU226+参考2_エネ使用量経年!AU313),"")</f>
        <v/>
      </c>
      <c r="AV376" s="916" t="str">
        <f ca="1">IFERROR($H376*(参考2_エネ使用量経年!AV226+参考2_エネ使用量経年!AV313),"")</f>
        <v/>
      </c>
      <c r="AW376" s="916" t="str">
        <f ca="1">IFERROR($I376*(参考2_エネ使用量経年!AW226+参考2_エネ使用量経年!AW313),"")</f>
        <v/>
      </c>
      <c r="AX376" s="916" t="str">
        <f ca="1">IFERROR($J376*(参考2_エネ使用量経年!AX226+参考2_エネ使用量経年!AX313),"")</f>
        <v/>
      </c>
      <c r="AY376" s="916" t="str">
        <f ca="1">IFERROR($K376*(参考2_エネ使用量経年!AY226+参考2_エネ使用量経年!AY313),"")</f>
        <v/>
      </c>
      <c r="AZ376" s="916" t="str">
        <f ca="1">IFERROR($H376*(参考2_エネ使用量経年!AZ226+参考2_エネ使用量経年!AZ313),"")</f>
        <v/>
      </c>
      <c r="BA376" s="916" t="str">
        <f ca="1">IFERROR($I376*(参考2_エネ使用量経年!BA226+参考2_エネ使用量経年!BA313),"")</f>
        <v/>
      </c>
      <c r="BB376" s="916" t="str">
        <f ca="1">IFERROR($J376*(参考2_エネ使用量経年!BB226+参考2_エネ使用量経年!BB313),"")</f>
        <v/>
      </c>
      <c r="BC376" s="916" t="str">
        <f ca="1">IFERROR($K376*(参考2_エネ使用量経年!BC226+参考2_エネ使用量経年!BC313),"")</f>
        <v/>
      </c>
      <c r="BD376" s="916" t="str">
        <f ca="1">IFERROR($H376*(参考2_エネ使用量経年!BD226+参考2_エネ使用量経年!BD313),"")</f>
        <v/>
      </c>
      <c r="BE376" s="916" t="str">
        <f ca="1">IFERROR($I376*(参考2_エネ使用量経年!BE226+参考2_エネ使用量経年!BE313),"")</f>
        <v/>
      </c>
      <c r="BF376" s="916" t="str">
        <f ca="1">IFERROR($J376*(参考2_エネ使用量経年!BF226+参考2_エネ使用量経年!BF313),"")</f>
        <v/>
      </c>
      <c r="BG376" s="916" t="str">
        <f ca="1">IFERROR($K376*(参考2_エネ使用量経年!BG226+参考2_エネ使用量経年!BG313),"")</f>
        <v/>
      </c>
      <c r="BH376" s="916" t="str">
        <f ca="1">IFERROR($H376*(参考2_エネ使用量経年!BH226+参考2_エネ使用量経年!BH313),"")</f>
        <v/>
      </c>
      <c r="BI376" s="916" t="str">
        <f ca="1">IFERROR($I376*(参考2_エネ使用量経年!BI226+参考2_エネ使用量経年!BI313),"")</f>
        <v/>
      </c>
      <c r="BJ376" s="916" t="str">
        <f ca="1">IFERROR($J376*(参考2_エネ使用量経年!BJ226+参考2_エネ使用量経年!BJ313),"")</f>
        <v/>
      </c>
      <c r="BK376" s="916" t="str">
        <f ca="1">IFERROR($K376*(参考2_エネ使用量経年!BK226+参考2_エネ使用量経年!BK313),"")</f>
        <v/>
      </c>
      <c r="BL376" s="916" t="str">
        <f ca="1">IFERROR($H376*(参考2_エネ使用量経年!BL226+参考2_エネ使用量経年!BL313),"")</f>
        <v/>
      </c>
      <c r="BM376" s="916" t="str">
        <f ca="1">IFERROR($I376*(参考2_エネ使用量経年!BM226+参考2_エネ使用量経年!BM313),"")</f>
        <v/>
      </c>
      <c r="BN376" s="916" t="str">
        <f ca="1">IFERROR($J376*(参考2_エネ使用量経年!BN226+参考2_エネ使用量経年!BN313),"")</f>
        <v/>
      </c>
      <c r="BO376" s="916" t="str">
        <f ca="1">IFERROR($K376*(参考2_エネ使用量経年!BO226+参考2_エネ使用量経年!BO313),"")</f>
        <v/>
      </c>
      <c r="BP376" s="802"/>
    </row>
    <row r="377" spans="1:68" ht="20.100000000000001" customHeight="1">
      <c r="B377" s="1594"/>
      <c r="C377" s="1596"/>
      <c r="D377" s="813" t="s">
        <v>403</v>
      </c>
      <c r="E377" s="785"/>
      <c r="F377" s="810"/>
      <c r="G377" s="852" t="s">
        <v>1281</v>
      </c>
      <c r="H377" s="996"/>
      <c r="I377" s="996"/>
      <c r="J377" s="996"/>
      <c r="K377" s="996"/>
      <c r="L377" s="916">
        <f ca="1">IFERROR($H377*(参考2_エネ使用量経年!L227+参考2_エネ使用量経年!L314),"")</f>
        <v>0</v>
      </c>
      <c r="M377" s="916">
        <f ca="1">IFERROR($I377*(参考2_エネ使用量経年!M227+参考2_エネ使用量経年!M314),"")</f>
        <v>0</v>
      </c>
      <c r="N377" s="916">
        <f ca="1">IFERROR($J377*(参考2_エネ使用量経年!N227+参考2_エネ使用量経年!N314),"")</f>
        <v>0</v>
      </c>
      <c r="O377" s="916">
        <f ca="1">IFERROR($K377*(参考2_エネ使用量経年!O227+参考2_エネ使用量経年!O314),"")</f>
        <v>0</v>
      </c>
      <c r="P377" s="916">
        <f ca="1">IFERROR($H377*(参考2_エネ使用量経年!P227+参考2_エネ使用量経年!P314),"")</f>
        <v>0</v>
      </c>
      <c r="Q377" s="916">
        <f ca="1">IFERROR($I377*(参考2_エネ使用量経年!Q227+参考2_エネ使用量経年!Q314),"")</f>
        <v>0</v>
      </c>
      <c r="R377" s="916">
        <f ca="1">IFERROR($J377*(参考2_エネ使用量経年!R227+参考2_エネ使用量経年!R314),"")</f>
        <v>0</v>
      </c>
      <c r="S377" s="916">
        <f ca="1">IFERROR($K377*(参考2_エネ使用量経年!S227+参考2_エネ使用量経年!S314),"")</f>
        <v>0</v>
      </c>
      <c r="T377" s="916">
        <f ca="1">IFERROR($H377*(参考2_エネ使用量経年!T227+参考2_エネ使用量経年!T314),"")</f>
        <v>0</v>
      </c>
      <c r="U377" s="916">
        <f ca="1">IFERROR($I377*(参考2_エネ使用量経年!U227+参考2_エネ使用量経年!U314),"")</f>
        <v>0</v>
      </c>
      <c r="V377" s="916">
        <f ca="1">IFERROR($J377*(参考2_エネ使用量経年!V227+参考2_エネ使用量経年!V314),"")</f>
        <v>0</v>
      </c>
      <c r="W377" s="916">
        <f ca="1">IFERROR($K377*(参考2_エネ使用量経年!W227+参考2_エネ使用量経年!W314),"")</f>
        <v>0</v>
      </c>
      <c r="X377" s="916">
        <f ca="1">IFERROR($H377*(参考2_エネ使用量経年!X227+参考2_エネ使用量経年!X314),"")</f>
        <v>0</v>
      </c>
      <c r="Y377" s="916">
        <f ca="1">IFERROR($I377*(参考2_エネ使用量経年!Y227+参考2_エネ使用量経年!Y314),"")</f>
        <v>0</v>
      </c>
      <c r="Z377" s="916">
        <f ca="1">IFERROR($J377*(参考2_エネ使用量経年!Z227+参考2_エネ使用量経年!Z314),"")</f>
        <v>0</v>
      </c>
      <c r="AA377" s="916">
        <f ca="1">IFERROR($K377*(参考2_エネ使用量経年!AA227+参考2_エネ使用量経年!AA314),"")</f>
        <v>0</v>
      </c>
      <c r="AB377" s="916" t="str">
        <f ca="1">IFERROR($H377*(参考2_エネ使用量経年!AB227+参考2_エネ使用量経年!AB314),"")</f>
        <v/>
      </c>
      <c r="AC377" s="916" t="str">
        <f ca="1">IFERROR($I377*(参考2_エネ使用量経年!AC227+参考2_エネ使用量経年!AC314),"")</f>
        <v/>
      </c>
      <c r="AD377" s="916" t="str">
        <f ca="1">IFERROR($J377*(参考2_エネ使用量経年!AD227+参考2_エネ使用量経年!AD314),"")</f>
        <v/>
      </c>
      <c r="AE377" s="916" t="str">
        <f ca="1">IFERROR($K377*(参考2_エネ使用量経年!AE227+参考2_エネ使用量経年!AE314),"")</f>
        <v/>
      </c>
      <c r="AF377" s="916" t="str">
        <f ca="1">IFERROR($H377*(参考2_エネ使用量経年!AF227+参考2_エネ使用量経年!AF314),"")</f>
        <v/>
      </c>
      <c r="AG377" s="916" t="str">
        <f ca="1">IFERROR($I377*(参考2_エネ使用量経年!AG227+参考2_エネ使用量経年!AG314),"")</f>
        <v/>
      </c>
      <c r="AH377" s="916" t="str">
        <f ca="1">IFERROR($J377*(参考2_エネ使用量経年!AH227+参考2_エネ使用量経年!AH314),"")</f>
        <v/>
      </c>
      <c r="AI377" s="916" t="str">
        <f ca="1">IFERROR($K377*(参考2_エネ使用量経年!AI227+参考2_エネ使用量経年!AI314),"")</f>
        <v/>
      </c>
      <c r="AJ377" s="916" t="str">
        <f ca="1">IFERROR($H377*(参考2_エネ使用量経年!AJ227+参考2_エネ使用量経年!AJ314),"")</f>
        <v/>
      </c>
      <c r="AK377" s="916" t="str">
        <f ca="1">IFERROR($I377*(参考2_エネ使用量経年!AK227+参考2_エネ使用量経年!AK314),"")</f>
        <v/>
      </c>
      <c r="AL377" s="916" t="str">
        <f ca="1">IFERROR($J377*(参考2_エネ使用量経年!AL227+参考2_エネ使用量経年!AL314),"")</f>
        <v/>
      </c>
      <c r="AM377" s="916" t="str">
        <f ca="1">IFERROR($K377*(参考2_エネ使用量経年!AM227+参考2_エネ使用量経年!AM314),"")</f>
        <v/>
      </c>
      <c r="AN377" s="916" t="str">
        <f ca="1">IFERROR($H377*(参考2_エネ使用量経年!AN227+参考2_エネ使用量経年!AN314),"")</f>
        <v/>
      </c>
      <c r="AO377" s="916" t="str">
        <f ca="1">IFERROR($I377*(参考2_エネ使用量経年!AO227+参考2_エネ使用量経年!AO314),"")</f>
        <v/>
      </c>
      <c r="AP377" s="916" t="str">
        <f ca="1">IFERROR($J377*(参考2_エネ使用量経年!AP227+参考2_エネ使用量経年!AP314),"")</f>
        <v/>
      </c>
      <c r="AQ377" s="916" t="str">
        <f ca="1">IFERROR($K377*(参考2_エネ使用量経年!AQ227+参考2_エネ使用量経年!AQ314),"")</f>
        <v/>
      </c>
      <c r="AR377" s="916" t="str">
        <f ca="1">IFERROR($H377*(参考2_エネ使用量経年!AR227+参考2_エネ使用量経年!AR314),"")</f>
        <v/>
      </c>
      <c r="AS377" s="916" t="str">
        <f ca="1">IFERROR($I377*(参考2_エネ使用量経年!AS227+参考2_エネ使用量経年!AS314),"")</f>
        <v/>
      </c>
      <c r="AT377" s="916" t="str">
        <f ca="1">IFERROR($J377*(参考2_エネ使用量経年!AT227+参考2_エネ使用量経年!AT314),"")</f>
        <v/>
      </c>
      <c r="AU377" s="916" t="str">
        <f ca="1">IFERROR($K377*(参考2_エネ使用量経年!AU227+参考2_エネ使用量経年!AU314),"")</f>
        <v/>
      </c>
      <c r="AV377" s="916" t="str">
        <f ca="1">IFERROR($H377*(参考2_エネ使用量経年!AV227+参考2_エネ使用量経年!AV314),"")</f>
        <v/>
      </c>
      <c r="AW377" s="916" t="str">
        <f ca="1">IFERROR($I377*(参考2_エネ使用量経年!AW227+参考2_エネ使用量経年!AW314),"")</f>
        <v/>
      </c>
      <c r="AX377" s="916" t="str">
        <f ca="1">IFERROR($J377*(参考2_エネ使用量経年!AX227+参考2_エネ使用量経年!AX314),"")</f>
        <v/>
      </c>
      <c r="AY377" s="916" t="str">
        <f ca="1">IFERROR($K377*(参考2_エネ使用量経年!AY227+参考2_エネ使用量経年!AY314),"")</f>
        <v/>
      </c>
      <c r="AZ377" s="916" t="str">
        <f ca="1">IFERROR($H377*(参考2_エネ使用量経年!AZ227+参考2_エネ使用量経年!AZ314),"")</f>
        <v/>
      </c>
      <c r="BA377" s="916" t="str">
        <f ca="1">IFERROR($I377*(参考2_エネ使用量経年!BA227+参考2_エネ使用量経年!BA314),"")</f>
        <v/>
      </c>
      <c r="BB377" s="916" t="str">
        <f ca="1">IFERROR($J377*(参考2_エネ使用量経年!BB227+参考2_エネ使用量経年!BB314),"")</f>
        <v/>
      </c>
      <c r="BC377" s="916" t="str">
        <f ca="1">IFERROR($K377*(参考2_エネ使用量経年!BC227+参考2_エネ使用量経年!BC314),"")</f>
        <v/>
      </c>
      <c r="BD377" s="916" t="str">
        <f ca="1">IFERROR($H377*(参考2_エネ使用量経年!BD227+参考2_エネ使用量経年!BD314),"")</f>
        <v/>
      </c>
      <c r="BE377" s="916" t="str">
        <f ca="1">IFERROR($I377*(参考2_エネ使用量経年!BE227+参考2_エネ使用量経年!BE314),"")</f>
        <v/>
      </c>
      <c r="BF377" s="916" t="str">
        <f ca="1">IFERROR($J377*(参考2_エネ使用量経年!BF227+参考2_エネ使用量経年!BF314),"")</f>
        <v/>
      </c>
      <c r="BG377" s="916" t="str">
        <f ca="1">IFERROR($K377*(参考2_エネ使用量経年!BG227+参考2_エネ使用量経年!BG314),"")</f>
        <v/>
      </c>
      <c r="BH377" s="916" t="str">
        <f ca="1">IFERROR($H377*(参考2_エネ使用量経年!BH227+参考2_エネ使用量経年!BH314),"")</f>
        <v/>
      </c>
      <c r="BI377" s="916" t="str">
        <f ca="1">IFERROR($I377*(参考2_エネ使用量経年!BI227+参考2_エネ使用量経年!BI314),"")</f>
        <v/>
      </c>
      <c r="BJ377" s="916" t="str">
        <f ca="1">IFERROR($J377*(参考2_エネ使用量経年!BJ227+参考2_エネ使用量経年!BJ314),"")</f>
        <v/>
      </c>
      <c r="BK377" s="916" t="str">
        <f ca="1">IFERROR($K377*(参考2_エネ使用量経年!BK227+参考2_エネ使用量経年!BK314),"")</f>
        <v/>
      </c>
      <c r="BL377" s="916" t="str">
        <f ca="1">IFERROR($H377*(参考2_エネ使用量経年!BL227+参考2_エネ使用量経年!BL314),"")</f>
        <v/>
      </c>
      <c r="BM377" s="916" t="str">
        <f ca="1">IFERROR($I377*(参考2_エネ使用量経年!BM227+参考2_エネ使用量経年!BM314),"")</f>
        <v/>
      </c>
      <c r="BN377" s="916" t="str">
        <f ca="1">IFERROR($J377*(参考2_エネ使用量経年!BN227+参考2_エネ使用量経年!BN314),"")</f>
        <v/>
      </c>
      <c r="BO377" s="916" t="str">
        <f ca="1">IFERROR($K377*(参考2_エネ使用量経年!BO227+参考2_エネ使用量経年!BO314),"")</f>
        <v/>
      </c>
      <c r="BP377" s="802"/>
    </row>
    <row r="378" spans="1:68" ht="20.100000000000001" customHeight="1">
      <c r="A378" s="914">
        <v>70</v>
      </c>
      <c r="B378" s="1594"/>
      <c r="C378" s="1596"/>
      <c r="D378" s="814" t="s">
        <v>788</v>
      </c>
      <c r="E378" s="792" t="str">
        <f ca="1">E65</f>
        <v/>
      </c>
      <c r="F378" s="794"/>
      <c r="G378" s="852" t="s">
        <v>1281</v>
      </c>
      <c r="H378" s="915">
        <f t="shared" ca="1" si="109"/>
        <v>0</v>
      </c>
      <c r="I378" s="915">
        <f t="shared" ca="1" si="110"/>
        <v>0</v>
      </c>
      <c r="J378" s="915">
        <f t="shared" ca="1" si="111"/>
        <v>0</v>
      </c>
      <c r="K378" s="915">
        <f t="shared" ca="1" si="112"/>
        <v>0</v>
      </c>
      <c r="L378" s="916">
        <f ca="1">IFERROR($H378*(参考2_エネ使用量経年!L228+参考2_エネ使用量経年!L315),"")</f>
        <v>0</v>
      </c>
      <c r="M378" s="916">
        <f ca="1">IFERROR($I378*(参考2_エネ使用量経年!M228+参考2_エネ使用量経年!M315),"")</f>
        <v>0</v>
      </c>
      <c r="N378" s="916">
        <f ca="1">IFERROR($J378*(参考2_エネ使用量経年!N228+参考2_エネ使用量経年!N315),"")</f>
        <v>0</v>
      </c>
      <c r="O378" s="916">
        <f ca="1">IFERROR($K378*(参考2_エネ使用量経年!O228+参考2_エネ使用量経年!O315),"")</f>
        <v>0</v>
      </c>
      <c r="P378" s="916">
        <f ca="1">IFERROR($H378*(参考2_エネ使用量経年!P228+参考2_エネ使用量経年!P315),"")</f>
        <v>0</v>
      </c>
      <c r="Q378" s="916">
        <f ca="1">IFERROR($I378*(参考2_エネ使用量経年!Q228+参考2_エネ使用量経年!Q315),"")</f>
        <v>0</v>
      </c>
      <c r="R378" s="916">
        <f ca="1">IFERROR($J378*(参考2_エネ使用量経年!R228+参考2_エネ使用量経年!R315),"")</f>
        <v>0</v>
      </c>
      <c r="S378" s="916">
        <f ca="1">IFERROR($K378*(参考2_エネ使用量経年!S228+参考2_エネ使用量経年!S315),"")</f>
        <v>0</v>
      </c>
      <c r="T378" s="916">
        <f ca="1">IFERROR($H378*(参考2_エネ使用量経年!T228+参考2_エネ使用量経年!T315),"")</f>
        <v>0</v>
      </c>
      <c r="U378" s="916">
        <f ca="1">IFERROR($I378*(参考2_エネ使用量経年!U228+参考2_エネ使用量経年!U315),"")</f>
        <v>0</v>
      </c>
      <c r="V378" s="916">
        <f ca="1">IFERROR($J378*(参考2_エネ使用量経年!V228+参考2_エネ使用量経年!V315),"")</f>
        <v>0</v>
      </c>
      <c r="W378" s="916">
        <f ca="1">IFERROR($K378*(参考2_エネ使用量経年!W228+参考2_エネ使用量経年!W315),"")</f>
        <v>0</v>
      </c>
      <c r="X378" s="916">
        <f ca="1">IFERROR($H378*(参考2_エネ使用量経年!X228+参考2_エネ使用量経年!X315),"")</f>
        <v>0</v>
      </c>
      <c r="Y378" s="916">
        <f ca="1">IFERROR($I378*(参考2_エネ使用量経年!Y228+参考2_エネ使用量経年!Y315),"")</f>
        <v>0</v>
      </c>
      <c r="Z378" s="916">
        <f ca="1">IFERROR($J378*(参考2_エネ使用量経年!Z228+参考2_エネ使用量経年!Z315),"")</f>
        <v>0</v>
      </c>
      <c r="AA378" s="916">
        <f ca="1">IFERROR($K378*(参考2_エネ使用量経年!AA228+参考2_エネ使用量経年!AA315),"")</f>
        <v>0</v>
      </c>
      <c r="AB378" s="916" t="str">
        <f ca="1">IFERROR($H378*(参考2_エネ使用量経年!AB228+参考2_エネ使用量経年!AB315),"")</f>
        <v/>
      </c>
      <c r="AC378" s="916" t="str">
        <f ca="1">IFERROR($I378*(参考2_エネ使用量経年!AC228+参考2_エネ使用量経年!AC315),"")</f>
        <v/>
      </c>
      <c r="AD378" s="916" t="str">
        <f ca="1">IFERROR($J378*(参考2_エネ使用量経年!AD228+参考2_エネ使用量経年!AD315),"")</f>
        <v/>
      </c>
      <c r="AE378" s="916" t="str">
        <f ca="1">IFERROR($K378*(参考2_エネ使用量経年!AE228+参考2_エネ使用量経年!AE315),"")</f>
        <v/>
      </c>
      <c r="AF378" s="916" t="str">
        <f ca="1">IFERROR($H378*(参考2_エネ使用量経年!AF228+参考2_エネ使用量経年!AF315),"")</f>
        <v/>
      </c>
      <c r="AG378" s="916" t="str">
        <f ca="1">IFERROR($I378*(参考2_エネ使用量経年!AG228+参考2_エネ使用量経年!AG315),"")</f>
        <v/>
      </c>
      <c r="AH378" s="916" t="str">
        <f ca="1">IFERROR($J378*(参考2_エネ使用量経年!AH228+参考2_エネ使用量経年!AH315),"")</f>
        <v/>
      </c>
      <c r="AI378" s="916" t="str">
        <f ca="1">IFERROR($K378*(参考2_エネ使用量経年!AI228+参考2_エネ使用量経年!AI315),"")</f>
        <v/>
      </c>
      <c r="AJ378" s="916" t="str">
        <f ca="1">IFERROR($H378*(参考2_エネ使用量経年!AJ228+参考2_エネ使用量経年!AJ315),"")</f>
        <v/>
      </c>
      <c r="AK378" s="916" t="str">
        <f ca="1">IFERROR($I378*(参考2_エネ使用量経年!AK228+参考2_エネ使用量経年!AK315),"")</f>
        <v/>
      </c>
      <c r="AL378" s="916" t="str">
        <f ca="1">IFERROR($J378*(参考2_エネ使用量経年!AL228+参考2_エネ使用量経年!AL315),"")</f>
        <v/>
      </c>
      <c r="AM378" s="916" t="str">
        <f ca="1">IFERROR($K378*(参考2_エネ使用量経年!AM228+参考2_エネ使用量経年!AM315),"")</f>
        <v/>
      </c>
      <c r="AN378" s="916" t="str">
        <f ca="1">IFERROR($H378*(参考2_エネ使用量経年!AN228+参考2_エネ使用量経年!AN315),"")</f>
        <v/>
      </c>
      <c r="AO378" s="916" t="str">
        <f ca="1">IFERROR($I378*(参考2_エネ使用量経年!AO228+参考2_エネ使用量経年!AO315),"")</f>
        <v/>
      </c>
      <c r="AP378" s="916" t="str">
        <f ca="1">IFERROR($J378*(参考2_エネ使用量経年!AP228+参考2_エネ使用量経年!AP315),"")</f>
        <v/>
      </c>
      <c r="AQ378" s="916" t="str">
        <f ca="1">IFERROR($K378*(参考2_エネ使用量経年!AQ228+参考2_エネ使用量経年!AQ315),"")</f>
        <v/>
      </c>
      <c r="AR378" s="916" t="str">
        <f ca="1">IFERROR($H378*(参考2_エネ使用量経年!AR228+参考2_エネ使用量経年!AR315),"")</f>
        <v/>
      </c>
      <c r="AS378" s="916" t="str">
        <f ca="1">IFERROR($I378*(参考2_エネ使用量経年!AS228+参考2_エネ使用量経年!AS315),"")</f>
        <v/>
      </c>
      <c r="AT378" s="916" t="str">
        <f ca="1">IFERROR($J378*(参考2_エネ使用量経年!AT228+参考2_エネ使用量経年!AT315),"")</f>
        <v/>
      </c>
      <c r="AU378" s="916" t="str">
        <f ca="1">IFERROR($K378*(参考2_エネ使用量経年!AU228+参考2_エネ使用量経年!AU315),"")</f>
        <v/>
      </c>
      <c r="AV378" s="916" t="str">
        <f ca="1">IFERROR($H378*(参考2_エネ使用量経年!AV228+参考2_エネ使用量経年!AV315),"")</f>
        <v/>
      </c>
      <c r="AW378" s="916" t="str">
        <f ca="1">IFERROR($I378*(参考2_エネ使用量経年!AW228+参考2_エネ使用量経年!AW315),"")</f>
        <v/>
      </c>
      <c r="AX378" s="916" t="str">
        <f ca="1">IFERROR($J378*(参考2_エネ使用量経年!AX228+参考2_エネ使用量経年!AX315),"")</f>
        <v/>
      </c>
      <c r="AY378" s="916" t="str">
        <f ca="1">IFERROR($K378*(参考2_エネ使用量経年!AY228+参考2_エネ使用量経年!AY315),"")</f>
        <v/>
      </c>
      <c r="AZ378" s="916" t="str">
        <f ca="1">IFERROR($H378*(参考2_エネ使用量経年!AZ228+参考2_エネ使用量経年!AZ315),"")</f>
        <v/>
      </c>
      <c r="BA378" s="916" t="str">
        <f ca="1">IFERROR($I378*(参考2_エネ使用量経年!BA228+参考2_エネ使用量経年!BA315),"")</f>
        <v/>
      </c>
      <c r="BB378" s="916" t="str">
        <f ca="1">IFERROR($J378*(参考2_エネ使用量経年!BB228+参考2_エネ使用量経年!BB315),"")</f>
        <v/>
      </c>
      <c r="BC378" s="916" t="str">
        <f ca="1">IFERROR($K378*(参考2_エネ使用量経年!BC228+参考2_エネ使用量経年!BC315),"")</f>
        <v/>
      </c>
      <c r="BD378" s="916" t="str">
        <f ca="1">IFERROR($H378*(参考2_エネ使用量経年!BD228+参考2_エネ使用量経年!BD315),"")</f>
        <v/>
      </c>
      <c r="BE378" s="916" t="str">
        <f ca="1">IFERROR($I378*(参考2_エネ使用量経年!BE228+参考2_エネ使用量経年!BE315),"")</f>
        <v/>
      </c>
      <c r="BF378" s="916" t="str">
        <f ca="1">IFERROR($J378*(参考2_エネ使用量経年!BF228+参考2_エネ使用量経年!BF315),"")</f>
        <v/>
      </c>
      <c r="BG378" s="916" t="str">
        <f ca="1">IFERROR($K378*(参考2_エネ使用量経年!BG228+参考2_エネ使用量経年!BG315),"")</f>
        <v/>
      </c>
      <c r="BH378" s="916" t="str">
        <f ca="1">IFERROR($H378*(参考2_エネ使用量経年!BH228+参考2_エネ使用量経年!BH315),"")</f>
        <v/>
      </c>
      <c r="BI378" s="916" t="str">
        <f ca="1">IFERROR($I378*(参考2_エネ使用量経年!BI228+参考2_エネ使用量経年!BI315),"")</f>
        <v/>
      </c>
      <c r="BJ378" s="916" t="str">
        <f ca="1">IFERROR($J378*(参考2_エネ使用量経年!BJ228+参考2_エネ使用量経年!BJ315),"")</f>
        <v/>
      </c>
      <c r="BK378" s="916" t="str">
        <f ca="1">IFERROR($K378*(参考2_エネ使用量経年!BK228+参考2_エネ使用量経年!BK315),"")</f>
        <v/>
      </c>
      <c r="BL378" s="916" t="str">
        <f ca="1">IFERROR($H378*(参考2_エネ使用量経年!BL228+参考2_エネ使用量経年!BL315),"")</f>
        <v/>
      </c>
      <c r="BM378" s="916" t="str">
        <f ca="1">IFERROR($I378*(参考2_エネ使用量経年!BM228+参考2_エネ使用量経年!BM315),"")</f>
        <v/>
      </c>
      <c r="BN378" s="916" t="str">
        <f ca="1">IFERROR($J378*(参考2_エネ使用量経年!BN228+参考2_エネ使用量経年!BN315),"")</f>
        <v/>
      </c>
      <c r="BO378" s="916" t="str">
        <f ca="1">IFERROR($K378*(参考2_エネ使用量経年!BO228+参考2_エネ使用量経年!BO315),"")</f>
        <v/>
      </c>
      <c r="BP378" s="802"/>
    </row>
    <row r="379" spans="1:68" ht="20.100000000000001" customHeight="1">
      <c r="A379" s="747">
        <v>71</v>
      </c>
      <c r="B379" s="1594"/>
      <c r="C379" s="1596"/>
      <c r="D379" s="814" t="s">
        <v>789</v>
      </c>
      <c r="E379" s="792" t="str">
        <f ca="1">E66</f>
        <v/>
      </c>
      <c r="F379" s="794"/>
      <c r="G379" s="852" t="s">
        <v>1281</v>
      </c>
      <c r="H379" s="915">
        <f t="shared" ca="1" si="109"/>
        <v>0</v>
      </c>
      <c r="I379" s="915">
        <f t="shared" ca="1" si="110"/>
        <v>0</v>
      </c>
      <c r="J379" s="915">
        <f t="shared" ca="1" si="111"/>
        <v>0</v>
      </c>
      <c r="K379" s="915">
        <f t="shared" ca="1" si="112"/>
        <v>0</v>
      </c>
      <c r="L379" s="916">
        <f ca="1">IFERROR($H379*(参考2_エネ使用量経年!L229+参考2_エネ使用量経年!L316),"")</f>
        <v>0</v>
      </c>
      <c r="M379" s="916">
        <f ca="1">IFERROR($I379*(参考2_エネ使用量経年!M229+参考2_エネ使用量経年!M316),"")</f>
        <v>0</v>
      </c>
      <c r="N379" s="916">
        <f ca="1">IFERROR($J379*(参考2_エネ使用量経年!N229+参考2_エネ使用量経年!N316),"")</f>
        <v>0</v>
      </c>
      <c r="O379" s="916">
        <f ca="1">IFERROR($K379*(参考2_エネ使用量経年!O229+参考2_エネ使用量経年!O316),"")</f>
        <v>0</v>
      </c>
      <c r="P379" s="916">
        <f ca="1">IFERROR($H379*(参考2_エネ使用量経年!P229+参考2_エネ使用量経年!P316),"")</f>
        <v>0</v>
      </c>
      <c r="Q379" s="916">
        <f ca="1">IFERROR($I379*(参考2_エネ使用量経年!Q229+参考2_エネ使用量経年!Q316),"")</f>
        <v>0</v>
      </c>
      <c r="R379" s="916">
        <f ca="1">IFERROR($J379*(参考2_エネ使用量経年!R229+参考2_エネ使用量経年!R316),"")</f>
        <v>0</v>
      </c>
      <c r="S379" s="916">
        <f ca="1">IFERROR($K379*(参考2_エネ使用量経年!S229+参考2_エネ使用量経年!S316),"")</f>
        <v>0</v>
      </c>
      <c r="T379" s="916">
        <f ca="1">IFERROR($H379*(参考2_エネ使用量経年!T229+参考2_エネ使用量経年!T316),"")</f>
        <v>0</v>
      </c>
      <c r="U379" s="916">
        <f ca="1">IFERROR($I379*(参考2_エネ使用量経年!U229+参考2_エネ使用量経年!U316),"")</f>
        <v>0</v>
      </c>
      <c r="V379" s="916">
        <f ca="1">IFERROR($J379*(参考2_エネ使用量経年!V229+参考2_エネ使用量経年!V316),"")</f>
        <v>0</v>
      </c>
      <c r="W379" s="916">
        <f ca="1">IFERROR($K379*(参考2_エネ使用量経年!W229+参考2_エネ使用量経年!W316),"")</f>
        <v>0</v>
      </c>
      <c r="X379" s="916">
        <f ca="1">IFERROR($H379*(参考2_エネ使用量経年!X229+参考2_エネ使用量経年!X316),"")</f>
        <v>0</v>
      </c>
      <c r="Y379" s="916">
        <f ca="1">IFERROR($I379*(参考2_エネ使用量経年!Y229+参考2_エネ使用量経年!Y316),"")</f>
        <v>0</v>
      </c>
      <c r="Z379" s="916">
        <f ca="1">IFERROR($J379*(参考2_エネ使用量経年!Z229+参考2_エネ使用量経年!Z316),"")</f>
        <v>0</v>
      </c>
      <c r="AA379" s="916">
        <f ca="1">IFERROR($K379*(参考2_エネ使用量経年!AA229+参考2_エネ使用量経年!AA316),"")</f>
        <v>0</v>
      </c>
      <c r="AB379" s="916" t="str">
        <f ca="1">IFERROR($H379*(参考2_エネ使用量経年!AB229+参考2_エネ使用量経年!AB316),"")</f>
        <v/>
      </c>
      <c r="AC379" s="916" t="str">
        <f ca="1">IFERROR($I379*(参考2_エネ使用量経年!AC229+参考2_エネ使用量経年!AC316),"")</f>
        <v/>
      </c>
      <c r="AD379" s="916" t="str">
        <f ca="1">IFERROR($J379*(参考2_エネ使用量経年!AD229+参考2_エネ使用量経年!AD316),"")</f>
        <v/>
      </c>
      <c r="AE379" s="916" t="str">
        <f ca="1">IFERROR($K379*(参考2_エネ使用量経年!AE229+参考2_エネ使用量経年!AE316),"")</f>
        <v/>
      </c>
      <c r="AF379" s="916" t="str">
        <f ca="1">IFERROR($H379*(参考2_エネ使用量経年!AF229+参考2_エネ使用量経年!AF316),"")</f>
        <v/>
      </c>
      <c r="AG379" s="916" t="str">
        <f ca="1">IFERROR($I379*(参考2_エネ使用量経年!AG229+参考2_エネ使用量経年!AG316),"")</f>
        <v/>
      </c>
      <c r="AH379" s="916" t="str">
        <f ca="1">IFERROR($J379*(参考2_エネ使用量経年!AH229+参考2_エネ使用量経年!AH316),"")</f>
        <v/>
      </c>
      <c r="AI379" s="916" t="str">
        <f ca="1">IFERROR($K379*(参考2_エネ使用量経年!AI229+参考2_エネ使用量経年!AI316),"")</f>
        <v/>
      </c>
      <c r="AJ379" s="916" t="str">
        <f ca="1">IFERROR($H379*(参考2_エネ使用量経年!AJ229+参考2_エネ使用量経年!AJ316),"")</f>
        <v/>
      </c>
      <c r="AK379" s="916" t="str">
        <f ca="1">IFERROR($I379*(参考2_エネ使用量経年!AK229+参考2_エネ使用量経年!AK316),"")</f>
        <v/>
      </c>
      <c r="AL379" s="916" t="str">
        <f ca="1">IFERROR($J379*(参考2_エネ使用量経年!AL229+参考2_エネ使用量経年!AL316),"")</f>
        <v/>
      </c>
      <c r="AM379" s="916" t="str">
        <f ca="1">IFERROR($K379*(参考2_エネ使用量経年!AM229+参考2_エネ使用量経年!AM316),"")</f>
        <v/>
      </c>
      <c r="AN379" s="916" t="str">
        <f ca="1">IFERROR($H379*(参考2_エネ使用量経年!AN229+参考2_エネ使用量経年!AN316),"")</f>
        <v/>
      </c>
      <c r="AO379" s="916" t="str">
        <f ca="1">IFERROR($I379*(参考2_エネ使用量経年!AO229+参考2_エネ使用量経年!AO316),"")</f>
        <v/>
      </c>
      <c r="AP379" s="916" t="str">
        <f ca="1">IFERROR($J379*(参考2_エネ使用量経年!AP229+参考2_エネ使用量経年!AP316),"")</f>
        <v/>
      </c>
      <c r="AQ379" s="916" t="str">
        <f ca="1">IFERROR($K379*(参考2_エネ使用量経年!AQ229+参考2_エネ使用量経年!AQ316),"")</f>
        <v/>
      </c>
      <c r="AR379" s="916" t="str">
        <f ca="1">IFERROR($H379*(参考2_エネ使用量経年!AR229+参考2_エネ使用量経年!AR316),"")</f>
        <v/>
      </c>
      <c r="AS379" s="916" t="str">
        <f ca="1">IFERROR($I379*(参考2_エネ使用量経年!AS229+参考2_エネ使用量経年!AS316),"")</f>
        <v/>
      </c>
      <c r="AT379" s="916" t="str">
        <f ca="1">IFERROR($J379*(参考2_エネ使用量経年!AT229+参考2_エネ使用量経年!AT316),"")</f>
        <v/>
      </c>
      <c r="AU379" s="916" t="str">
        <f ca="1">IFERROR($K379*(参考2_エネ使用量経年!AU229+参考2_エネ使用量経年!AU316),"")</f>
        <v/>
      </c>
      <c r="AV379" s="916" t="str">
        <f ca="1">IFERROR($H379*(参考2_エネ使用量経年!AV229+参考2_エネ使用量経年!AV316),"")</f>
        <v/>
      </c>
      <c r="AW379" s="916" t="str">
        <f ca="1">IFERROR($I379*(参考2_エネ使用量経年!AW229+参考2_エネ使用量経年!AW316),"")</f>
        <v/>
      </c>
      <c r="AX379" s="916" t="str">
        <f ca="1">IFERROR($J379*(参考2_エネ使用量経年!AX229+参考2_エネ使用量経年!AX316),"")</f>
        <v/>
      </c>
      <c r="AY379" s="916" t="str">
        <f ca="1">IFERROR($K379*(参考2_エネ使用量経年!AY229+参考2_エネ使用量経年!AY316),"")</f>
        <v/>
      </c>
      <c r="AZ379" s="916" t="str">
        <f ca="1">IFERROR($H379*(参考2_エネ使用量経年!AZ229+参考2_エネ使用量経年!AZ316),"")</f>
        <v/>
      </c>
      <c r="BA379" s="916" t="str">
        <f ca="1">IFERROR($I379*(参考2_エネ使用量経年!BA229+参考2_エネ使用量経年!BA316),"")</f>
        <v/>
      </c>
      <c r="BB379" s="916" t="str">
        <f ca="1">IFERROR($J379*(参考2_エネ使用量経年!BB229+参考2_エネ使用量経年!BB316),"")</f>
        <v/>
      </c>
      <c r="BC379" s="916" t="str">
        <f ca="1">IFERROR($K379*(参考2_エネ使用量経年!BC229+参考2_エネ使用量経年!BC316),"")</f>
        <v/>
      </c>
      <c r="BD379" s="916" t="str">
        <f ca="1">IFERROR($H379*(参考2_エネ使用量経年!BD229+参考2_エネ使用量経年!BD316),"")</f>
        <v/>
      </c>
      <c r="BE379" s="916" t="str">
        <f ca="1">IFERROR($I379*(参考2_エネ使用量経年!BE229+参考2_エネ使用量経年!BE316),"")</f>
        <v/>
      </c>
      <c r="BF379" s="916" t="str">
        <f ca="1">IFERROR($J379*(参考2_エネ使用量経年!BF229+参考2_エネ使用量経年!BF316),"")</f>
        <v/>
      </c>
      <c r="BG379" s="916" t="str">
        <f ca="1">IFERROR($K379*(参考2_エネ使用量経年!BG229+参考2_エネ使用量経年!BG316),"")</f>
        <v/>
      </c>
      <c r="BH379" s="916" t="str">
        <f ca="1">IFERROR($H379*(参考2_エネ使用量経年!BH229+参考2_エネ使用量経年!BH316),"")</f>
        <v/>
      </c>
      <c r="BI379" s="916" t="str">
        <f ca="1">IFERROR($I379*(参考2_エネ使用量経年!BI229+参考2_エネ使用量経年!BI316),"")</f>
        <v/>
      </c>
      <c r="BJ379" s="916" t="str">
        <f ca="1">IFERROR($J379*(参考2_エネ使用量経年!BJ229+参考2_エネ使用量経年!BJ316),"")</f>
        <v/>
      </c>
      <c r="BK379" s="916" t="str">
        <f ca="1">IFERROR($K379*(参考2_エネ使用量経年!BK229+参考2_エネ使用量経年!BK316),"")</f>
        <v/>
      </c>
      <c r="BL379" s="916" t="str">
        <f ca="1">IFERROR($H379*(参考2_エネ使用量経年!BL229+参考2_エネ使用量経年!BL316),"")</f>
        <v/>
      </c>
      <c r="BM379" s="916" t="str">
        <f ca="1">IFERROR($I379*(参考2_エネ使用量経年!BM229+参考2_エネ使用量経年!BM316),"")</f>
        <v/>
      </c>
      <c r="BN379" s="916" t="str">
        <f ca="1">IFERROR($J379*(参考2_エネ使用量経年!BN229+参考2_エネ使用量経年!BN316),"")</f>
        <v/>
      </c>
      <c r="BO379" s="916" t="str">
        <f ca="1">IFERROR($K379*(参考2_エネ使用量経年!BO229+参考2_エネ使用量経年!BO316),"")</f>
        <v/>
      </c>
      <c r="BP379" s="802"/>
    </row>
    <row r="380" spans="1:68" ht="20.100000000000001" customHeight="1">
      <c r="A380" s="914"/>
      <c r="B380" s="1593" t="s">
        <v>422</v>
      </c>
      <c r="C380" s="997" t="s">
        <v>405</v>
      </c>
      <c r="D380" s="998"/>
      <c r="E380" s="968"/>
      <c r="F380" s="810"/>
      <c r="G380" s="852" t="s">
        <v>1281</v>
      </c>
      <c r="H380" s="999"/>
      <c r="I380" s="999"/>
      <c r="J380" s="999"/>
      <c r="K380" s="999"/>
      <c r="L380" s="999"/>
      <c r="M380" s="999"/>
      <c r="N380" s="999"/>
      <c r="O380" s="999"/>
      <c r="P380" s="999"/>
      <c r="Q380" s="999"/>
      <c r="R380" s="999"/>
      <c r="S380" s="999"/>
      <c r="T380" s="999"/>
      <c r="U380" s="999"/>
      <c r="V380" s="999"/>
      <c r="W380" s="999"/>
      <c r="X380" s="999"/>
      <c r="Y380" s="999"/>
      <c r="Z380" s="999"/>
      <c r="AA380" s="999"/>
      <c r="AB380" s="999"/>
      <c r="AC380" s="999"/>
      <c r="AD380" s="999"/>
      <c r="AE380" s="999"/>
      <c r="AF380" s="999"/>
      <c r="AG380" s="999"/>
      <c r="AH380" s="999"/>
      <c r="AI380" s="999"/>
      <c r="AJ380" s="999"/>
      <c r="AK380" s="999"/>
      <c r="AL380" s="999"/>
      <c r="AM380" s="999"/>
      <c r="AN380" s="999"/>
      <c r="AO380" s="999"/>
      <c r="AP380" s="999"/>
      <c r="AQ380" s="999"/>
      <c r="AR380" s="999"/>
      <c r="AS380" s="999"/>
      <c r="AT380" s="999"/>
      <c r="AU380" s="999"/>
      <c r="AV380" s="999"/>
      <c r="AW380" s="999"/>
      <c r="AX380" s="999"/>
      <c r="AY380" s="999"/>
      <c r="AZ380" s="999"/>
      <c r="BA380" s="999"/>
      <c r="BB380" s="999"/>
      <c r="BC380" s="999"/>
      <c r="BD380" s="999"/>
      <c r="BE380" s="999"/>
      <c r="BF380" s="999"/>
      <c r="BG380" s="999"/>
      <c r="BH380" s="999"/>
      <c r="BI380" s="999"/>
      <c r="BJ380" s="999"/>
      <c r="BK380" s="999"/>
      <c r="BL380" s="999"/>
      <c r="BM380" s="999"/>
      <c r="BN380" s="999"/>
      <c r="BO380" s="999"/>
      <c r="BP380" s="802"/>
    </row>
    <row r="381" spans="1:68" ht="20.100000000000001" customHeight="1">
      <c r="B381" s="1594"/>
      <c r="C381" s="1645" t="s">
        <v>406</v>
      </c>
      <c r="D381" s="1000" t="s">
        <v>407</v>
      </c>
      <c r="E381" s="920"/>
      <c r="F381" s="810"/>
      <c r="G381" s="852" t="s">
        <v>1281</v>
      </c>
      <c r="H381" s="999"/>
      <c r="I381" s="999"/>
      <c r="J381" s="999"/>
      <c r="K381" s="999"/>
      <c r="L381" s="999"/>
      <c r="M381" s="999"/>
      <c r="N381" s="999"/>
      <c r="O381" s="999"/>
      <c r="P381" s="999"/>
      <c r="Q381" s="999"/>
      <c r="R381" s="999"/>
      <c r="S381" s="999"/>
      <c r="T381" s="999"/>
      <c r="U381" s="999"/>
      <c r="V381" s="999"/>
      <c r="W381" s="999"/>
      <c r="X381" s="999"/>
      <c r="Y381" s="999"/>
      <c r="Z381" s="999"/>
      <c r="AA381" s="999"/>
      <c r="AB381" s="999"/>
      <c r="AC381" s="999"/>
      <c r="AD381" s="999"/>
      <c r="AE381" s="999"/>
      <c r="AF381" s="999"/>
      <c r="AG381" s="999"/>
      <c r="AH381" s="999"/>
      <c r="AI381" s="999"/>
      <c r="AJ381" s="999"/>
      <c r="AK381" s="999"/>
      <c r="AL381" s="999"/>
      <c r="AM381" s="999"/>
      <c r="AN381" s="999"/>
      <c r="AO381" s="999"/>
      <c r="AP381" s="999"/>
      <c r="AQ381" s="999"/>
      <c r="AR381" s="999"/>
      <c r="AS381" s="999"/>
      <c r="AT381" s="999"/>
      <c r="AU381" s="999"/>
      <c r="AV381" s="999"/>
      <c r="AW381" s="999"/>
      <c r="AX381" s="999"/>
      <c r="AY381" s="999"/>
      <c r="AZ381" s="999"/>
      <c r="BA381" s="999"/>
      <c r="BB381" s="999"/>
      <c r="BC381" s="999"/>
      <c r="BD381" s="999"/>
      <c r="BE381" s="999"/>
      <c r="BF381" s="999"/>
      <c r="BG381" s="999"/>
      <c r="BH381" s="999"/>
      <c r="BI381" s="999"/>
      <c r="BJ381" s="999"/>
      <c r="BK381" s="999"/>
      <c r="BL381" s="999"/>
      <c r="BM381" s="999"/>
      <c r="BN381" s="999"/>
      <c r="BO381" s="999"/>
      <c r="BP381" s="802"/>
    </row>
    <row r="382" spans="1:68" ht="20.100000000000001" customHeight="1">
      <c r="A382" s="914"/>
      <c r="B382" s="1594"/>
      <c r="C382" s="1646"/>
      <c r="D382" s="923" t="s">
        <v>408</v>
      </c>
      <c r="E382" s="920"/>
      <c r="F382" s="810"/>
      <c r="G382" s="852" t="s">
        <v>1281</v>
      </c>
      <c r="H382" s="999"/>
      <c r="I382" s="999"/>
      <c r="J382" s="999"/>
      <c r="K382" s="999"/>
      <c r="L382" s="999"/>
      <c r="M382" s="999"/>
      <c r="N382" s="999"/>
      <c r="O382" s="999"/>
      <c r="P382" s="999"/>
      <c r="Q382" s="999"/>
      <c r="R382" s="999"/>
      <c r="S382" s="999"/>
      <c r="T382" s="999"/>
      <c r="U382" s="999"/>
      <c r="V382" s="999"/>
      <c r="W382" s="999"/>
      <c r="X382" s="999"/>
      <c r="Y382" s="999"/>
      <c r="Z382" s="999"/>
      <c r="AA382" s="999"/>
      <c r="AB382" s="999"/>
      <c r="AC382" s="999"/>
      <c r="AD382" s="999"/>
      <c r="AE382" s="999"/>
      <c r="AF382" s="999"/>
      <c r="AG382" s="999"/>
      <c r="AH382" s="999"/>
      <c r="AI382" s="999"/>
      <c r="AJ382" s="999"/>
      <c r="AK382" s="999"/>
      <c r="AL382" s="999"/>
      <c r="AM382" s="999"/>
      <c r="AN382" s="999"/>
      <c r="AO382" s="999"/>
      <c r="AP382" s="999"/>
      <c r="AQ382" s="999"/>
      <c r="AR382" s="999"/>
      <c r="AS382" s="999"/>
      <c r="AT382" s="999"/>
      <c r="AU382" s="999"/>
      <c r="AV382" s="999"/>
      <c r="AW382" s="999"/>
      <c r="AX382" s="999"/>
      <c r="AY382" s="999"/>
      <c r="AZ382" s="999"/>
      <c r="BA382" s="999"/>
      <c r="BB382" s="999"/>
      <c r="BC382" s="999"/>
      <c r="BD382" s="999"/>
      <c r="BE382" s="999"/>
      <c r="BF382" s="999"/>
      <c r="BG382" s="999"/>
      <c r="BH382" s="999"/>
      <c r="BI382" s="999"/>
      <c r="BJ382" s="999"/>
      <c r="BK382" s="999"/>
      <c r="BL382" s="999"/>
      <c r="BM382" s="999"/>
      <c r="BN382" s="999"/>
      <c r="BO382" s="999"/>
      <c r="BP382" s="802"/>
    </row>
    <row r="383" spans="1:68" ht="20.100000000000001" customHeight="1">
      <c r="B383" s="1594"/>
      <c r="C383" s="1646"/>
      <c r="D383" s="923" t="s">
        <v>409</v>
      </c>
      <c r="E383" s="1000"/>
      <c r="F383" s="794"/>
      <c r="G383" s="852" t="s">
        <v>1281</v>
      </c>
      <c r="H383" s="999"/>
      <c r="I383" s="999"/>
      <c r="J383" s="999"/>
      <c r="K383" s="999"/>
      <c r="L383" s="999"/>
      <c r="M383" s="999"/>
      <c r="N383" s="999"/>
      <c r="O383" s="999"/>
      <c r="P383" s="999"/>
      <c r="Q383" s="999"/>
      <c r="R383" s="999"/>
      <c r="S383" s="999"/>
      <c r="T383" s="999"/>
      <c r="U383" s="999"/>
      <c r="V383" s="999"/>
      <c r="W383" s="999"/>
      <c r="X383" s="999"/>
      <c r="Y383" s="999"/>
      <c r="Z383" s="999"/>
      <c r="AA383" s="999"/>
      <c r="AB383" s="999"/>
      <c r="AC383" s="999"/>
      <c r="AD383" s="999"/>
      <c r="AE383" s="999"/>
      <c r="AF383" s="999"/>
      <c r="AG383" s="999"/>
      <c r="AH383" s="999"/>
      <c r="AI383" s="999"/>
      <c r="AJ383" s="999"/>
      <c r="AK383" s="999"/>
      <c r="AL383" s="999"/>
      <c r="AM383" s="999"/>
      <c r="AN383" s="999"/>
      <c r="AO383" s="999"/>
      <c r="AP383" s="999"/>
      <c r="AQ383" s="999"/>
      <c r="AR383" s="999"/>
      <c r="AS383" s="999"/>
      <c r="AT383" s="999"/>
      <c r="AU383" s="999"/>
      <c r="AV383" s="999"/>
      <c r="AW383" s="999"/>
      <c r="AX383" s="999"/>
      <c r="AY383" s="999"/>
      <c r="AZ383" s="999"/>
      <c r="BA383" s="999"/>
      <c r="BB383" s="999"/>
      <c r="BC383" s="999"/>
      <c r="BD383" s="999"/>
      <c r="BE383" s="999"/>
      <c r="BF383" s="999"/>
      <c r="BG383" s="999"/>
      <c r="BH383" s="999"/>
      <c r="BI383" s="999"/>
      <c r="BJ383" s="999"/>
      <c r="BK383" s="999"/>
      <c r="BL383" s="999"/>
      <c r="BM383" s="999"/>
      <c r="BN383" s="999"/>
      <c r="BO383" s="999"/>
      <c r="BP383" s="802"/>
    </row>
    <row r="384" spans="1:68" ht="20.100000000000001" customHeight="1">
      <c r="A384" s="914"/>
      <c r="B384" s="1594"/>
      <c r="C384" s="1646"/>
      <c r="D384" s="1001" t="s">
        <v>410</v>
      </c>
      <c r="E384" s="1000"/>
      <c r="F384" s="794"/>
      <c r="G384" s="852" t="s">
        <v>1281</v>
      </c>
      <c r="H384" s="999"/>
      <c r="I384" s="999"/>
      <c r="J384" s="999"/>
      <c r="K384" s="999"/>
      <c r="L384" s="999"/>
      <c r="M384" s="999"/>
      <c r="N384" s="999"/>
      <c r="O384" s="999"/>
      <c r="P384" s="999"/>
      <c r="Q384" s="999"/>
      <c r="R384" s="999"/>
      <c r="S384" s="999"/>
      <c r="T384" s="999"/>
      <c r="U384" s="999"/>
      <c r="V384" s="999"/>
      <c r="W384" s="999"/>
      <c r="X384" s="999"/>
      <c r="Y384" s="999"/>
      <c r="Z384" s="999"/>
      <c r="AA384" s="999"/>
      <c r="AB384" s="999"/>
      <c r="AC384" s="999"/>
      <c r="AD384" s="999"/>
      <c r="AE384" s="999"/>
      <c r="AF384" s="999"/>
      <c r="AG384" s="999"/>
      <c r="AH384" s="999"/>
      <c r="AI384" s="999"/>
      <c r="AJ384" s="999"/>
      <c r="AK384" s="999"/>
      <c r="AL384" s="999"/>
      <c r="AM384" s="999"/>
      <c r="AN384" s="999"/>
      <c r="AO384" s="999"/>
      <c r="AP384" s="999"/>
      <c r="AQ384" s="999"/>
      <c r="AR384" s="999"/>
      <c r="AS384" s="999"/>
      <c r="AT384" s="999"/>
      <c r="AU384" s="999"/>
      <c r="AV384" s="999"/>
      <c r="AW384" s="999"/>
      <c r="AX384" s="999"/>
      <c r="AY384" s="999"/>
      <c r="AZ384" s="999"/>
      <c r="BA384" s="999"/>
      <c r="BB384" s="999"/>
      <c r="BC384" s="999"/>
      <c r="BD384" s="999"/>
      <c r="BE384" s="999"/>
      <c r="BF384" s="999"/>
      <c r="BG384" s="999"/>
      <c r="BH384" s="999"/>
      <c r="BI384" s="999"/>
      <c r="BJ384" s="999"/>
      <c r="BK384" s="999"/>
      <c r="BL384" s="999"/>
      <c r="BM384" s="999"/>
      <c r="BN384" s="999"/>
      <c r="BO384" s="999"/>
      <c r="BP384" s="802"/>
    </row>
    <row r="385" spans="1:68" ht="20.100000000000001" customHeight="1">
      <c r="A385" s="747">
        <v>83</v>
      </c>
      <c r="B385" s="1594"/>
      <c r="C385" s="1596" t="s">
        <v>411</v>
      </c>
      <c r="D385" s="814" t="s">
        <v>791</v>
      </c>
      <c r="E385" s="785"/>
      <c r="F385" s="836"/>
      <c r="G385" s="852" t="s">
        <v>1281</v>
      </c>
      <c r="H385" s="1002"/>
      <c r="I385" s="1003"/>
      <c r="J385" s="1003"/>
      <c r="K385" s="1003"/>
      <c r="L385" s="916">
        <f ca="1">IFERROR($H385*(参考2_エネ使用量経年!L235+参考2_エネ使用量経年!L322)*1000,"")</f>
        <v>0</v>
      </c>
      <c r="M385" s="916">
        <f ca="1">IFERROR($I385*(参考2_エネ使用量経年!M235+参考2_エネ使用量経年!M322)*1000,"")</f>
        <v>0</v>
      </c>
      <c r="N385" s="916">
        <f ca="1">IFERROR($J385*(参考2_エネ使用量経年!N235+参考2_エネ使用量経年!N322)*1000,"")</f>
        <v>0</v>
      </c>
      <c r="O385" s="916">
        <f ca="1">IFERROR($K385*(参考2_エネ使用量経年!O235+参考2_エネ使用量経年!O322)*1000,"")</f>
        <v>0</v>
      </c>
      <c r="P385" s="916">
        <f ca="1">IFERROR($H385*(参考2_エネ使用量経年!P235+参考2_エネ使用量経年!P322)*1000,"")</f>
        <v>0</v>
      </c>
      <c r="Q385" s="916">
        <f ca="1">IFERROR($I385*(参考2_エネ使用量経年!Q235+参考2_エネ使用量経年!Q322)*1000,"")</f>
        <v>0</v>
      </c>
      <c r="R385" s="916">
        <f ca="1">IFERROR($J385*(参考2_エネ使用量経年!R235+参考2_エネ使用量経年!R322)*1000,"")</f>
        <v>0</v>
      </c>
      <c r="S385" s="916">
        <f ca="1">IFERROR($K385*(参考2_エネ使用量経年!S235+参考2_エネ使用量経年!S322)*1000,"")</f>
        <v>0</v>
      </c>
      <c r="T385" s="916">
        <f ca="1">IFERROR($H385*(参考2_エネ使用量経年!T235+参考2_エネ使用量経年!T322)*1000,"")</f>
        <v>0</v>
      </c>
      <c r="U385" s="916">
        <f ca="1">IFERROR($I385*(参考2_エネ使用量経年!U235+参考2_エネ使用量経年!U322)*1000,"")</f>
        <v>0</v>
      </c>
      <c r="V385" s="916">
        <f ca="1">IFERROR($J385*(参考2_エネ使用量経年!V235+参考2_エネ使用量経年!V322)*1000,"")</f>
        <v>0</v>
      </c>
      <c r="W385" s="916">
        <f ca="1">IFERROR($K385*(参考2_エネ使用量経年!W235+参考2_エネ使用量経年!W322)*1000,"")</f>
        <v>0</v>
      </c>
      <c r="X385" s="916">
        <f ca="1">IFERROR($H385*(参考2_エネ使用量経年!X235+参考2_エネ使用量経年!X322)*1000,"")</f>
        <v>0</v>
      </c>
      <c r="Y385" s="916">
        <f ca="1">IFERROR($I385*(参考2_エネ使用量経年!Y235+参考2_エネ使用量経年!Y322)*1000,"")</f>
        <v>0</v>
      </c>
      <c r="Z385" s="916">
        <f ca="1">IFERROR($J385*(参考2_エネ使用量経年!Z235+参考2_エネ使用量経年!Z322)*1000,"")</f>
        <v>0</v>
      </c>
      <c r="AA385" s="916">
        <f ca="1">IFERROR($K385*(参考2_エネ使用量経年!AA235+参考2_エネ使用量経年!AA322)*1000,"")</f>
        <v>0</v>
      </c>
      <c r="AB385" s="916" t="str">
        <f ca="1">IFERROR($H385*(参考2_エネ使用量経年!AB235+参考2_エネ使用量経年!AB322)*1000,"")</f>
        <v/>
      </c>
      <c r="AC385" s="916" t="str">
        <f ca="1">IFERROR($I385*(参考2_エネ使用量経年!AC235+参考2_エネ使用量経年!AC322)*1000,"")</f>
        <v/>
      </c>
      <c r="AD385" s="916" t="str">
        <f ca="1">IFERROR($J385*(参考2_エネ使用量経年!AD235+参考2_エネ使用量経年!AD322)*1000,"")</f>
        <v/>
      </c>
      <c r="AE385" s="916" t="str">
        <f ca="1">IFERROR($K385*(参考2_エネ使用量経年!AE235+参考2_エネ使用量経年!AE322)*1000,"")</f>
        <v/>
      </c>
      <c r="AF385" s="916" t="str">
        <f ca="1">IFERROR($H385*(参考2_エネ使用量経年!AF235+参考2_エネ使用量経年!AF322)*1000,"")</f>
        <v/>
      </c>
      <c r="AG385" s="916" t="str">
        <f ca="1">IFERROR($I385*(参考2_エネ使用量経年!AG235+参考2_エネ使用量経年!AG322)*1000,"")</f>
        <v/>
      </c>
      <c r="AH385" s="916" t="str">
        <f ca="1">IFERROR($J385*(参考2_エネ使用量経年!AH235+参考2_エネ使用量経年!AH322)*1000,"")</f>
        <v/>
      </c>
      <c r="AI385" s="916" t="str">
        <f ca="1">IFERROR($K385*(参考2_エネ使用量経年!AI235+参考2_エネ使用量経年!AI322)*1000,"")</f>
        <v/>
      </c>
      <c r="AJ385" s="916" t="str">
        <f ca="1">IFERROR($H385*(参考2_エネ使用量経年!AJ235+参考2_エネ使用量経年!AJ322)*1000,"")</f>
        <v/>
      </c>
      <c r="AK385" s="916" t="str">
        <f ca="1">IFERROR($I385*(参考2_エネ使用量経年!AK235+参考2_エネ使用量経年!AK322)*1000,"")</f>
        <v/>
      </c>
      <c r="AL385" s="916" t="str">
        <f ca="1">IFERROR($J385*(参考2_エネ使用量経年!AL235+参考2_エネ使用量経年!AL322)*1000,"")</f>
        <v/>
      </c>
      <c r="AM385" s="916" t="str">
        <f ca="1">IFERROR($K385*(参考2_エネ使用量経年!AM235+参考2_エネ使用量経年!AM322)*1000,"")</f>
        <v/>
      </c>
      <c r="AN385" s="916" t="str">
        <f ca="1">IFERROR($H385*(参考2_エネ使用量経年!AN235+参考2_エネ使用量経年!AN322)*1000,"")</f>
        <v/>
      </c>
      <c r="AO385" s="916" t="str">
        <f ca="1">IFERROR($I385*(参考2_エネ使用量経年!AO235+参考2_エネ使用量経年!AO322)*1000,"")</f>
        <v/>
      </c>
      <c r="AP385" s="916" t="str">
        <f ca="1">IFERROR($J385*(参考2_エネ使用量経年!AP235+参考2_エネ使用量経年!AP322)*1000,"")</f>
        <v/>
      </c>
      <c r="AQ385" s="916" t="str">
        <f ca="1">IFERROR($K385*(参考2_エネ使用量経年!AQ235+参考2_エネ使用量経年!AQ322)*1000,"")</f>
        <v/>
      </c>
      <c r="AR385" s="916" t="str">
        <f ca="1">IFERROR($H385*(参考2_エネ使用量経年!AR235+参考2_エネ使用量経年!AR322)*1000,"")</f>
        <v/>
      </c>
      <c r="AS385" s="916" t="str">
        <f ca="1">IFERROR($I385*(参考2_エネ使用量経年!AS235+参考2_エネ使用量経年!AS322)*1000,"")</f>
        <v/>
      </c>
      <c r="AT385" s="916" t="str">
        <f ca="1">IFERROR($J385*(参考2_エネ使用量経年!AT235+参考2_エネ使用量経年!AT322)*1000,"")</f>
        <v/>
      </c>
      <c r="AU385" s="916" t="str">
        <f ca="1">IFERROR($K385*(参考2_エネ使用量経年!AU235+参考2_エネ使用量経年!AU322)*1000,"")</f>
        <v/>
      </c>
      <c r="AV385" s="916" t="str">
        <f ca="1">IFERROR($H385*(参考2_エネ使用量経年!AV235+参考2_エネ使用量経年!AV322)*1000,"")</f>
        <v/>
      </c>
      <c r="AW385" s="916" t="str">
        <f ca="1">IFERROR($I385*(参考2_エネ使用量経年!AW235+参考2_エネ使用量経年!AW322)*1000,"")</f>
        <v/>
      </c>
      <c r="AX385" s="916" t="str">
        <f ca="1">IFERROR($J385*(参考2_エネ使用量経年!AX235+参考2_エネ使用量経年!AX322)*1000,"")</f>
        <v/>
      </c>
      <c r="AY385" s="916" t="str">
        <f ca="1">IFERROR($K385*(参考2_エネ使用量経年!AY235+参考2_エネ使用量経年!AY322)*1000,"")</f>
        <v/>
      </c>
      <c r="AZ385" s="916" t="str">
        <f ca="1">IFERROR($H385*(参考2_エネ使用量経年!AZ235+参考2_エネ使用量経年!AZ322)*1000,"")</f>
        <v/>
      </c>
      <c r="BA385" s="916" t="str">
        <f ca="1">IFERROR($I385*(参考2_エネ使用量経年!BA235+参考2_エネ使用量経年!BA322)*1000,"")</f>
        <v/>
      </c>
      <c r="BB385" s="916" t="str">
        <f ca="1">IFERROR($J385*(参考2_エネ使用量経年!BB235+参考2_エネ使用量経年!BB322)*1000,"")</f>
        <v/>
      </c>
      <c r="BC385" s="916" t="str">
        <f ca="1">IFERROR($K385*(参考2_エネ使用量経年!BC235+参考2_エネ使用量経年!BC322)*1000,"")</f>
        <v/>
      </c>
      <c r="BD385" s="916" t="str">
        <f ca="1">IFERROR($H385*(参考2_エネ使用量経年!BD235+参考2_エネ使用量経年!BD322)*1000,"")</f>
        <v/>
      </c>
      <c r="BE385" s="916" t="str">
        <f ca="1">IFERROR($I385*(参考2_エネ使用量経年!BE235+参考2_エネ使用量経年!BE322)*1000,"")</f>
        <v/>
      </c>
      <c r="BF385" s="916" t="str">
        <f ca="1">IFERROR($J385*(参考2_エネ使用量経年!BF235+参考2_エネ使用量経年!BF322)*1000,"")</f>
        <v/>
      </c>
      <c r="BG385" s="916" t="str">
        <f ca="1">IFERROR($K385*(参考2_エネ使用量経年!BG235+参考2_エネ使用量経年!BG322)*1000,"")</f>
        <v/>
      </c>
      <c r="BH385" s="916" t="str">
        <f ca="1">IFERROR($H385*(参考2_エネ使用量経年!BH235+参考2_エネ使用量経年!BH322)*1000,"")</f>
        <v/>
      </c>
      <c r="BI385" s="916" t="str">
        <f ca="1">IFERROR($I385*(参考2_エネ使用量経年!BI235+参考2_エネ使用量経年!BI322)*1000,"")</f>
        <v/>
      </c>
      <c r="BJ385" s="916" t="str">
        <f ca="1">IFERROR($J385*(参考2_エネ使用量経年!BJ235+参考2_エネ使用量経年!BJ322)*1000,"")</f>
        <v/>
      </c>
      <c r="BK385" s="916" t="str">
        <f ca="1">IFERROR($K385*(参考2_エネ使用量経年!BK235+参考2_エネ使用量経年!BK322)*1000,"")</f>
        <v/>
      </c>
      <c r="BL385" s="916" t="str">
        <f ca="1">IFERROR($H385*(参考2_エネ使用量経年!BL235+参考2_エネ使用量経年!BL322)*1000,"")</f>
        <v/>
      </c>
      <c r="BM385" s="916" t="str">
        <f ca="1">IFERROR($I385*(参考2_エネ使用量経年!BM235+参考2_エネ使用量経年!BM322)*1000,"")</f>
        <v/>
      </c>
      <c r="BN385" s="916" t="str">
        <f ca="1">IFERROR($J385*(参考2_エネ使用量経年!BN235+参考2_エネ使用量経年!BN322)*1000,"")</f>
        <v/>
      </c>
      <c r="BO385" s="916" t="str">
        <f ca="1">IFERROR($K385*(参考2_エネ使用量経年!BO235+参考2_エネ使用量経年!BO322)*1000,"")</f>
        <v/>
      </c>
      <c r="BP385" s="802"/>
    </row>
    <row r="386" spans="1:68" ht="20.100000000000001" customHeight="1">
      <c r="A386" s="914"/>
      <c r="B386" s="1594"/>
      <c r="C386" s="1596"/>
      <c r="D386" s="814" t="s">
        <v>792</v>
      </c>
      <c r="E386" s="785"/>
      <c r="F386" s="836"/>
      <c r="G386" s="852" t="s">
        <v>1281</v>
      </c>
      <c r="H386" s="1002"/>
      <c r="I386" s="1003"/>
      <c r="J386" s="1003"/>
      <c r="K386" s="1003"/>
      <c r="L386" s="1002"/>
      <c r="M386" s="1003"/>
      <c r="N386" s="1003"/>
      <c r="O386" s="1003"/>
      <c r="P386" s="1002"/>
      <c r="Q386" s="1003"/>
      <c r="R386" s="1003"/>
      <c r="S386" s="1003"/>
      <c r="T386" s="1002"/>
      <c r="U386" s="1003"/>
      <c r="V386" s="1003"/>
      <c r="W386" s="1003"/>
      <c r="X386" s="1002"/>
      <c r="Y386" s="1003"/>
      <c r="Z386" s="1003"/>
      <c r="AA386" s="1003"/>
      <c r="AB386" s="1002"/>
      <c r="AC386" s="1003"/>
      <c r="AD386" s="1003"/>
      <c r="AE386" s="1003"/>
      <c r="AF386" s="1002"/>
      <c r="AG386" s="1003"/>
      <c r="AH386" s="1003"/>
      <c r="AI386" s="1003"/>
      <c r="AJ386" s="1002"/>
      <c r="AK386" s="1003"/>
      <c r="AL386" s="1003"/>
      <c r="AM386" s="1003"/>
      <c r="AN386" s="1002"/>
      <c r="AO386" s="1003"/>
      <c r="AP386" s="1003"/>
      <c r="AQ386" s="1003"/>
      <c r="AR386" s="1002"/>
      <c r="AS386" s="1003"/>
      <c r="AT386" s="1003"/>
      <c r="AU386" s="1003"/>
      <c r="AV386" s="1002"/>
      <c r="AW386" s="1003"/>
      <c r="AX386" s="1003"/>
      <c r="AY386" s="1003"/>
      <c r="AZ386" s="1002"/>
      <c r="BA386" s="1003"/>
      <c r="BB386" s="1003"/>
      <c r="BC386" s="1003"/>
      <c r="BD386" s="1002"/>
      <c r="BE386" s="1003"/>
      <c r="BF386" s="1003"/>
      <c r="BG386" s="1003"/>
      <c r="BH386" s="1002"/>
      <c r="BI386" s="1003"/>
      <c r="BJ386" s="1003"/>
      <c r="BK386" s="1003"/>
      <c r="BL386" s="1002"/>
      <c r="BM386" s="1003"/>
      <c r="BN386" s="1003"/>
      <c r="BO386" s="1003"/>
      <c r="BP386" s="802"/>
    </row>
    <row r="387" spans="1:68" ht="20.100000000000001" customHeight="1">
      <c r="A387" s="747">
        <v>85</v>
      </c>
      <c r="B387" s="1594"/>
      <c r="C387" s="1596"/>
      <c r="D387" s="814" t="s">
        <v>793</v>
      </c>
      <c r="E387" s="785"/>
      <c r="F387" s="836"/>
      <c r="G387" s="852" t="s">
        <v>1281</v>
      </c>
      <c r="H387" s="1002"/>
      <c r="I387" s="1003"/>
      <c r="J387" s="1003"/>
      <c r="K387" s="1003"/>
      <c r="L387" s="916">
        <f ca="1">IFERROR($H387*(参考2_エネ使用量経年!L237+参考2_エネ使用量経年!L324)*1000,"")</f>
        <v>0</v>
      </c>
      <c r="M387" s="916">
        <f ca="1">IFERROR($I387*(参考2_エネ使用量経年!M237+参考2_エネ使用量経年!M324)*1000,"")</f>
        <v>0</v>
      </c>
      <c r="N387" s="916">
        <f ca="1">IFERROR($J387*(参考2_エネ使用量経年!N237+参考2_エネ使用量経年!N324)*1000,"")</f>
        <v>0</v>
      </c>
      <c r="O387" s="916">
        <f ca="1">IFERROR($K387*(参考2_エネ使用量経年!O237+参考2_エネ使用量経年!O324)*1000,"")</f>
        <v>0</v>
      </c>
      <c r="P387" s="916">
        <f ca="1">IFERROR($H387*(参考2_エネ使用量経年!P237+参考2_エネ使用量経年!P324)*1000,"")</f>
        <v>0</v>
      </c>
      <c r="Q387" s="916">
        <f ca="1">IFERROR($I387*(参考2_エネ使用量経年!Q237+参考2_エネ使用量経年!Q324)*1000,"")</f>
        <v>0</v>
      </c>
      <c r="R387" s="916">
        <f ca="1">IFERROR($J387*(参考2_エネ使用量経年!R237+参考2_エネ使用量経年!R324)*1000,"")</f>
        <v>0</v>
      </c>
      <c r="S387" s="916">
        <f ca="1">IFERROR($K387*(参考2_エネ使用量経年!S237+参考2_エネ使用量経年!S324)*1000,"")</f>
        <v>0</v>
      </c>
      <c r="T387" s="916">
        <f ca="1">IFERROR($H387*(参考2_エネ使用量経年!T237+参考2_エネ使用量経年!T324)*1000,"")</f>
        <v>0</v>
      </c>
      <c r="U387" s="916">
        <f ca="1">IFERROR($I387*(参考2_エネ使用量経年!U237+参考2_エネ使用量経年!U324)*1000,"")</f>
        <v>0</v>
      </c>
      <c r="V387" s="916">
        <f ca="1">IFERROR($J387*(参考2_エネ使用量経年!V237+参考2_エネ使用量経年!V324)*1000,"")</f>
        <v>0</v>
      </c>
      <c r="W387" s="916">
        <f ca="1">IFERROR($K387*(参考2_エネ使用量経年!W237+参考2_エネ使用量経年!W324)*1000,"")</f>
        <v>0</v>
      </c>
      <c r="X387" s="916">
        <f ca="1">IFERROR($H387*(参考2_エネ使用量経年!X237+参考2_エネ使用量経年!X324)*1000,"")</f>
        <v>0</v>
      </c>
      <c r="Y387" s="916">
        <f ca="1">IFERROR($I387*(参考2_エネ使用量経年!Y237+参考2_エネ使用量経年!Y324)*1000,"")</f>
        <v>0</v>
      </c>
      <c r="Z387" s="916">
        <f ca="1">IFERROR($J387*(参考2_エネ使用量経年!Z237+参考2_エネ使用量経年!Z324)*1000,"")</f>
        <v>0</v>
      </c>
      <c r="AA387" s="916">
        <f ca="1">IFERROR($K387*(参考2_エネ使用量経年!AA237+参考2_エネ使用量経年!AA324)*1000,"")</f>
        <v>0</v>
      </c>
      <c r="AB387" s="916" t="str">
        <f ca="1">IFERROR($H387*(参考2_エネ使用量経年!AB237+参考2_エネ使用量経年!AB324)*1000,"")</f>
        <v/>
      </c>
      <c r="AC387" s="916" t="str">
        <f ca="1">IFERROR($I387*(参考2_エネ使用量経年!AC237+参考2_エネ使用量経年!AC324)*1000,"")</f>
        <v/>
      </c>
      <c r="AD387" s="916" t="str">
        <f ca="1">IFERROR($J387*(参考2_エネ使用量経年!AD237+参考2_エネ使用量経年!AD324)*1000,"")</f>
        <v/>
      </c>
      <c r="AE387" s="916" t="str">
        <f ca="1">IFERROR($K387*(参考2_エネ使用量経年!AE237+参考2_エネ使用量経年!AE324)*1000,"")</f>
        <v/>
      </c>
      <c r="AF387" s="916" t="str">
        <f ca="1">IFERROR($H387*(参考2_エネ使用量経年!AF237+参考2_エネ使用量経年!AF324)*1000,"")</f>
        <v/>
      </c>
      <c r="AG387" s="916" t="str">
        <f ca="1">IFERROR($I387*(参考2_エネ使用量経年!AG237+参考2_エネ使用量経年!AG324)*1000,"")</f>
        <v/>
      </c>
      <c r="AH387" s="916" t="str">
        <f ca="1">IFERROR($J387*(参考2_エネ使用量経年!AH237+参考2_エネ使用量経年!AH324)*1000,"")</f>
        <v/>
      </c>
      <c r="AI387" s="916" t="str">
        <f ca="1">IFERROR($K387*(参考2_エネ使用量経年!AI237+参考2_エネ使用量経年!AI324)*1000,"")</f>
        <v/>
      </c>
      <c r="AJ387" s="916" t="str">
        <f ca="1">IFERROR($H387*(参考2_エネ使用量経年!AJ237+参考2_エネ使用量経年!AJ324)*1000,"")</f>
        <v/>
      </c>
      <c r="AK387" s="916" t="str">
        <f ca="1">IFERROR($I387*(参考2_エネ使用量経年!AK237+参考2_エネ使用量経年!AK324)*1000,"")</f>
        <v/>
      </c>
      <c r="AL387" s="916" t="str">
        <f ca="1">IFERROR($J387*(参考2_エネ使用量経年!AL237+参考2_エネ使用量経年!AL324)*1000,"")</f>
        <v/>
      </c>
      <c r="AM387" s="916" t="str">
        <f ca="1">IFERROR($K387*(参考2_エネ使用量経年!AM237+参考2_エネ使用量経年!AM324)*1000,"")</f>
        <v/>
      </c>
      <c r="AN387" s="916" t="str">
        <f ca="1">IFERROR($H387*(参考2_エネ使用量経年!AN237+参考2_エネ使用量経年!AN324)*1000,"")</f>
        <v/>
      </c>
      <c r="AO387" s="916" t="str">
        <f ca="1">IFERROR($I387*(参考2_エネ使用量経年!AO237+参考2_エネ使用量経年!AO324)*1000,"")</f>
        <v/>
      </c>
      <c r="AP387" s="916" t="str">
        <f ca="1">IFERROR($J387*(参考2_エネ使用量経年!AP237+参考2_エネ使用量経年!AP324)*1000,"")</f>
        <v/>
      </c>
      <c r="AQ387" s="916" t="str">
        <f ca="1">IFERROR($K387*(参考2_エネ使用量経年!AQ237+参考2_エネ使用量経年!AQ324)*1000,"")</f>
        <v/>
      </c>
      <c r="AR387" s="916" t="str">
        <f ca="1">IFERROR($H387*(参考2_エネ使用量経年!AR237+参考2_エネ使用量経年!AR324)*1000,"")</f>
        <v/>
      </c>
      <c r="AS387" s="916" t="str">
        <f ca="1">IFERROR($I387*(参考2_エネ使用量経年!AS237+参考2_エネ使用量経年!AS324)*1000,"")</f>
        <v/>
      </c>
      <c r="AT387" s="916" t="str">
        <f ca="1">IFERROR($J387*(参考2_エネ使用量経年!AT237+参考2_エネ使用量経年!AT324)*1000,"")</f>
        <v/>
      </c>
      <c r="AU387" s="916" t="str">
        <f ca="1">IFERROR($K387*(参考2_エネ使用量経年!AU237+参考2_エネ使用量経年!AU324)*1000,"")</f>
        <v/>
      </c>
      <c r="AV387" s="916" t="str">
        <f ca="1">IFERROR($H387*(参考2_エネ使用量経年!AV237+参考2_エネ使用量経年!AV324)*1000,"")</f>
        <v/>
      </c>
      <c r="AW387" s="916" t="str">
        <f ca="1">IFERROR($I387*(参考2_エネ使用量経年!AW237+参考2_エネ使用量経年!AW324)*1000,"")</f>
        <v/>
      </c>
      <c r="AX387" s="916" t="str">
        <f ca="1">IFERROR($J387*(参考2_エネ使用量経年!AX237+参考2_エネ使用量経年!AX324)*1000,"")</f>
        <v/>
      </c>
      <c r="AY387" s="916" t="str">
        <f ca="1">IFERROR($K387*(参考2_エネ使用量経年!AY237+参考2_エネ使用量経年!AY324)*1000,"")</f>
        <v/>
      </c>
      <c r="AZ387" s="916" t="str">
        <f ca="1">IFERROR($H387*(参考2_エネ使用量経年!AZ237+参考2_エネ使用量経年!AZ324)*1000,"")</f>
        <v/>
      </c>
      <c r="BA387" s="916" t="str">
        <f ca="1">IFERROR($I387*(参考2_エネ使用量経年!BA237+参考2_エネ使用量経年!BA324)*1000,"")</f>
        <v/>
      </c>
      <c r="BB387" s="916" t="str">
        <f ca="1">IFERROR($J387*(参考2_エネ使用量経年!BB237+参考2_エネ使用量経年!BB324)*1000,"")</f>
        <v/>
      </c>
      <c r="BC387" s="916" t="str">
        <f ca="1">IFERROR($K387*(参考2_エネ使用量経年!BC237+参考2_エネ使用量経年!BC324)*1000,"")</f>
        <v/>
      </c>
      <c r="BD387" s="916" t="str">
        <f ca="1">IFERROR($H387*(参考2_エネ使用量経年!BD237+参考2_エネ使用量経年!BD324)*1000,"")</f>
        <v/>
      </c>
      <c r="BE387" s="916" t="str">
        <f ca="1">IFERROR($I387*(参考2_エネ使用量経年!BE237+参考2_エネ使用量経年!BE324)*1000,"")</f>
        <v/>
      </c>
      <c r="BF387" s="916" t="str">
        <f ca="1">IFERROR($J387*(参考2_エネ使用量経年!BF237+参考2_エネ使用量経年!BF324)*1000,"")</f>
        <v/>
      </c>
      <c r="BG387" s="916" t="str">
        <f ca="1">IFERROR($K387*(参考2_エネ使用量経年!BG237+参考2_エネ使用量経年!BG324)*1000,"")</f>
        <v/>
      </c>
      <c r="BH387" s="916" t="str">
        <f ca="1">IFERROR($H387*(参考2_エネ使用量経年!BH237+参考2_エネ使用量経年!BH324)*1000,"")</f>
        <v/>
      </c>
      <c r="BI387" s="916" t="str">
        <f ca="1">IFERROR($I387*(参考2_エネ使用量経年!BI237+参考2_エネ使用量経年!BI324)*1000,"")</f>
        <v/>
      </c>
      <c r="BJ387" s="916" t="str">
        <f ca="1">IFERROR($J387*(参考2_エネ使用量経年!BJ237+参考2_エネ使用量経年!BJ324)*1000,"")</f>
        <v/>
      </c>
      <c r="BK387" s="916" t="str">
        <f ca="1">IFERROR($K387*(参考2_エネ使用量経年!BK237+参考2_エネ使用量経年!BK324)*1000,"")</f>
        <v/>
      </c>
      <c r="BL387" s="916" t="str">
        <f ca="1">IFERROR($H387*(参考2_エネ使用量経年!BL237+参考2_エネ使用量経年!BL324)*1000,"")</f>
        <v/>
      </c>
      <c r="BM387" s="916" t="str">
        <f ca="1">IFERROR($I387*(参考2_エネ使用量経年!BM237+参考2_エネ使用量経年!BM324)*1000,"")</f>
        <v/>
      </c>
      <c r="BN387" s="916" t="str">
        <f ca="1">IFERROR($J387*(参考2_エネ使用量経年!BN237+参考2_エネ使用量経年!BN324)*1000,"")</f>
        <v/>
      </c>
      <c r="BO387" s="916" t="str">
        <f ca="1">IFERROR($K387*(参考2_エネ使用量経年!BO237+参考2_エネ使用量経年!BO324)*1000,"")</f>
        <v/>
      </c>
      <c r="BP387" s="802"/>
    </row>
    <row r="388" spans="1:68" ht="20.100000000000001" customHeight="1">
      <c r="A388" s="914"/>
      <c r="B388" s="1594"/>
      <c r="C388" s="1596"/>
      <c r="D388" s="814" t="s">
        <v>794</v>
      </c>
      <c r="E388" s="785"/>
      <c r="F388" s="836"/>
      <c r="G388" s="852" t="s">
        <v>1281</v>
      </c>
      <c r="H388" s="1002"/>
      <c r="I388" s="1003"/>
      <c r="J388" s="1003"/>
      <c r="K388" s="1003"/>
      <c r="L388" s="1002"/>
      <c r="M388" s="1003"/>
      <c r="N388" s="1003"/>
      <c r="O388" s="1003"/>
      <c r="P388" s="1002"/>
      <c r="Q388" s="1003"/>
      <c r="R388" s="1003"/>
      <c r="S388" s="1003"/>
      <c r="T388" s="1002"/>
      <c r="U388" s="1003"/>
      <c r="V388" s="1003"/>
      <c r="W388" s="1003"/>
      <c r="X388" s="1002"/>
      <c r="Y388" s="1003"/>
      <c r="Z388" s="1003"/>
      <c r="AA388" s="1003"/>
      <c r="AB388" s="1002"/>
      <c r="AC388" s="1003"/>
      <c r="AD388" s="1003"/>
      <c r="AE388" s="1003"/>
      <c r="AF388" s="1002"/>
      <c r="AG388" s="1003"/>
      <c r="AH388" s="1003"/>
      <c r="AI388" s="1003"/>
      <c r="AJ388" s="1002"/>
      <c r="AK388" s="1003"/>
      <c r="AL388" s="1003"/>
      <c r="AM388" s="1003"/>
      <c r="AN388" s="1002"/>
      <c r="AO388" s="1003"/>
      <c r="AP388" s="1003"/>
      <c r="AQ388" s="1003"/>
      <c r="AR388" s="1002"/>
      <c r="AS388" s="1003"/>
      <c r="AT388" s="1003"/>
      <c r="AU388" s="1003"/>
      <c r="AV388" s="1002"/>
      <c r="AW388" s="1003"/>
      <c r="AX388" s="1003"/>
      <c r="AY388" s="1003"/>
      <c r="AZ388" s="1002"/>
      <c r="BA388" s="1003"/>
      <c r="BB388" s="1003"/>
      <c r="BC388" s="1003"/>
      <c r="BD388" s="1002"/>
      <c r="BE388" s="1003"/>
      <c r="BF388" s="1003"/>
      <c r="BG388" s="1003"/>
      <c r="BH388" s="1002"/>
      <c r="BI388" s="1003"/>
      <c r="BJ388" s="1003"/>
      <c r="BK388" s="1003"/>
      <c r="BL388" s="1002"/>
      <c r="BM388" s="1003"/>
      <c r="BN388" s="1003"/>
      <c r="BO388" s="1003"/>
      <c r="BP388" s="802"/>
    </row>
    <row r="389" spans="1:68" ht="20.100000000000001" customHeight="1">
      <c r="A389" s="747">
        <v>87</v>
      </c>
      <c r="B389" s="1594"/>
      <c r="C389" s="1596"/>
      <c r="D389" s="814" t="s">
        <v>795</v>
      </c>
      <c r="E389" s="785"/>
      <c r="F389" s="836"/>
      <c r="G389" s="852" t="s">
        <v>1281</v>
      </c>
      <c r="H389" s="1002"/>
      <c r="I389" s="1003"/>
      <c r="J389" s="1003"/>
      <c r="K389" s="1003"/>
      <c r="L389" s="916">
        <f ca="1">IFERROR($H389*(参考2_エネ使用量経年!L239+参考2_エネ使用量経年!L326)*1000,"")</f>
        <v>0</v>
      </c>
      <c r="M389" s="916">
        <f ca="1">IFERROR($I389*(参考2_エネ使用量経年!M239+参考2_エネ使用量経年!M326)*1000,"")</f>
        <v>0</v>
      </c>
      <c r="N389" s="916">
        <f ca="1">IFERROR($J389*(参考2_エネ使用量経年!N239+参考2_エネ使用量経年!N326)*1000,"")</f>
        <v>0</v>
      </c>
      <c r="O389" s="916">
        <f ca="1">IFERROR($K389*(参考2_エネ使用量経年!O239+参考2_エネ使用量経年!O326)*1000,"")</f>
        <v>0</v>
      </c>
      <c r="P389" s="916">
        <f ca="1">IFERROR($H389*(参考2_エネ使用量経年!P239+参考2_エネ使用量経年!P326)*1000,"")</f>
        <v>0</v>
      </c>
      <c r="Q389" s="916">
        <f ca="1">IFERROR($I389*(参考2_エネ使用量経年!Q239+参考2_エネ使用量経年!Q326)*1000,"")</f>
        <v>0</v>
      </c>
      <c r="R389" s="916">
        <f ca="1">IFERROR($J389*(参考2_エネ使用量経年!R239+参考2_エネ使用量経年!R326)*1000,"")</f>
        <v>0</v>
      </c>
      <c r="S389" s="916">
        <f ca="1">IFERROR($K389*(参考2_エネ使用量経年!S239+参考2_エネ使用量経年!S326)*1000,"")</f>
        <v>0</v>
      </c>
      <c r="T389" s="916">
        <f ca="1">IFERROR($H389*(参考2_エネ使用量経年!T239+参考2_エネ使用量経年!T326)*1000,"")</f>
        <v>0</v>
      </c>
      <c r="U389" s="916">
        <f ca="1">IFERROR($I389*(参考2_エネ使用量経年!U239+参考2_エネ使用量経年!U326)*1000,"")</f>
        <v>0</v>
      </c>
      <c r="V389" s="916">
        <f ca="1">IFERROR($J389*(参考2_エネ使用量経年!V239+参考2_エネ使用量経年!V326)*1000,"")</f>
        <v>0</v>
      </c>
      <c r="W389" s="916">
        <f ca="1">IFERROR($K389*(参考2_エネ使用量経年!W239+参考2_エネ使用量経年!W326)*1000,"")</f>
        <v>0</v>
      </c>
      <c r="X389" s="916">
        <f ca="1">IFERROR($H389*(参考2_エネ使用量経年!X239+参考2_エネ使用量経年!X326)*1000,"")</f>
        <v>0</v>
      </c>
      <c r="Y389" s="916">
        <f ca="1">IFERROR($I389*(参考2_エネ使用量経年!Y239+参考2_エネ使用量経年!Y326)*1000,"")</f>
        <v>0</v>
      </c>
      <c r="Z389" s="916">
        <f ca="1">IFERROR($J389*(参考2_エネ使用量経年!Z239+参考2_エネ使用量経年!Z326)*1000,"")</f>
        <v>0</v>
      </c>
      <c r="AA389" s="916">
        <f ca="1">IFERROR($K389*(参考2_エネ使用量経年!AA239+参考2_エネ使用量経年!AA326)*1000,"")</f>
        <v>0</v>
      </c>
      <c r="AB389" s="916" t="str">
        <f ca="1">IFERROR($H389*(参考2_エネ使用量経年!AB239+参考2_エネ使用量経年!AB326)*1000,"")</f>
        <v/>
      </c>
      <c r="AC389" s="916" t="str">
        <f ca="1">IFERROR($I389*(参考2_エネ使用量経年!AC239+参考2_エネ使用量経年!AC326)*1000,"")</f>
        <v/>
      </c>
      <c r="AD389" s="916" t="str">
        <f ca="1">IFERROR($J389*(参考2_エネ使用量経年!AD239+参考2_エネ使用量経年!AD326)*1000,"")</f>
        <v/>
      </c>
      <c r="AE389" s="916" t="str">
        <f ca="1">IFERROR($K389*(参考2_エネ使用量経年!AE239+参考2_エネ使用量経年!AE326)*1000,"")</f>
        <v/>
      </c>
      <c r="AF389" s="916" t="str">
        <f ca="1">IFERROR($H389*(参考2_エネ使用量経年!AF239+参考2_エネ使用量経年!AF326)*1000,"")</f>
        <v/>
      </c>
      <c r="AG389" s="916" t="str">
        <f ca="1">IFERROR($I389*(参考2_エネ使用量経年!AG239+参考2_エネ使用量経年!AG326)*1000,"")</f>
        <v/>
      </c>
      <c r="AH389" s="916" t="str">
        <f ca="1">IFERROR($J389*(参考2_エネ使用量経年!AH239+参考2_エネ使用量経年!AH326)*1000,"")</f>
        <v/>
      </c>
      <c r="AI389" s="916" t="str">
        <f ca="1">IFERROR($K389*(参考2_エネ使用量経年!AI239+参考2_エネ使用量経年!AI326)*1000,"")</f>
        <v/>
      </c>
      <c r="AJ389" s="916" t="str">
        <f ca="1">IFERROR($H389*(参考2_エネ使用量経年!AJ239+参考2_エネ使用量経年!AJ326)*1000,"")</f>
        <v/>
      </c>
      <c r="AK389" s="916" t="str">
        <f ca="1">IFERROR($I389*(参考2_エネ使用量経年!AK239+参考2_エネ使用量経年!AK326)*1000,"")</f>
        <v/>
      </c>
      <c r="AL389" s="916" t="str">
        <f ca="1">IFERROR($J389*(参考2_エネ使用量経年!AL239+参考2_エネ使用量経年!AL326)*1000,"")</f>
        <v/>
      </c>
      <c r="AM389" s="916" t="str">
        <f ca="1">IFERROR($K389*(参考2_エネ使用量経年!AM239+参考2_エネ使用量経年!AM326)*1000,"")</f>
        <v/>
      </c>
      <c r="AN389" s="916" t="str">
        <f ca="1">IFERROR($H389*(参考2_エネ使用量経年!AN239+参考2_エネ使用量経年!AN326)*1000,"")</f>
        <v/>
      </c>
      <c r="AO389" s="916" t="str">
        <f ca="1">IFERROR($I389*(参考2_エネ使用量経年!AO239+参考2_エネ使用量経年!AO326)*1000,"")</f>
        <v/>
      </c>
      <c r="AP389" s="916" t="str">
        <f ca="1">IFERROR($J389*(参考2_エネ使用量経年!AP239+参考2_エネ使用量経年!AP326)*1000,"")</f>
        <v/>
      </c>
      <c r="AQ389" s="916" t="str">
        <f ca="1">IFERROR($K389*(参考2_エネ使用量経年!AQ239+参考2_エネ使用量経年!AQ326)*1000,"")</f>
        <v/>
      </c>
      <c r="AR389" s="916" t="str">
        <f ca="1">IFERROR($H389*(参考2_エネ使用量経年!AR239+参考2_エネ使用量経年!AR326)*1000,"")</f>
        <v/>
      </c>
      <c r="AS389" s="916" t="str">
        <f ca="1">IFERROR($I389*(参考2_エネ使用量経年!AS239+参考2_エネ使用量経年!AS326)*1000,"")</f>
        <v/>
      </c>
      <c r="AT389" s="916" t="str">
        <f ca="1">IFERROR($J389*(参考2_エネ使用量経年!AT239+参考2_エネ使用量経年!AT326)*1000,"")</f>
        <v/>
      </c>
      <c r="AU389" s="916" t="str">
        <f ca="1">IFERROR($K389*(参考2_エネ使用量経年!AU239+参考2_エネ使用量経年!AU326)*1000,"")</f>
        <v/>
      </c>
      <c r="AV389" s="916" t="str">
        <f ca="1">IFERROR($H389*(参考2_エネ使用量経年!AV239+参考2_エネ使用量経年!AV326)*1000,"")</f>
        <v/>
      </c>
      <c r="AW389" s="916" t="str">
        <f ca="1">IFERROR($I389*(参考2_エネ使用量経年!AW239+参考2_エネ使用量経年!AW326)*1000,"")</f>
        <v/>
      </c>
      <c r="AX389" s="916" t="str">
        <f ca="1">IFERROR($J389*(参考2_エネ使用量経年!AX239+参考2_エネ使用量経年!AX326)*1000,"")</f>
        <v/>
      </c>
      <c r="AY389" s="916" t="str">
        <f ca="1">IFERROR($K389*(参考2_エネ使用量経年!AY239+参考2_エネ使用量経年!AY326)*1000,"")</f>
        <v/>
      </c>
      <c r="AZ389" s="916" t="str">
        <f ca="1">IFERROR($H389*(参考2_エネ使用量経年!AZ239+参考2_エネ使用量経年!AZ326)*1000,"")</f>
        <v/>
      </c>
      <c r="BA389" s="916" t="str">
        <f ca="1">IFERROR($I389*(参考2_エネ使用量経年!BA239+参考2_エネ使用量経年!BA326)*1000,"")</f>
        <v/>
      </c>
      <c r="BB389" s="916" t="str">
        <f ca="1">IFERROR($J389*(参考2_エネ使用量経年!BB239+参考2_エネ使用量経年!BB326)*1000,"")</f>
        <v/>
      </c>
      <c r="BC389" s="916" t="str">
        <f ca="1">IFERROR($K389*(参考2_エネ使用量経年!BC239+参考2_エネ使用量経年!BC326)*1000,"")</f>
        <v/>
      </c>
      <c r="BD389" s="916" t="str">
        <f ca="1">IFERROR($H389*(参考2_エネ使用量経年!BD239+参考2_エネ使用量経年!BD326)*1000,"")</f>
        <v/>
      </c>
      <c r="BE389" s="916" t="str">
        <f ca="1">IFERROR($I389*(参考2_エネ使用量経年!BE239+参考2_エネ使用量経年!BE326)*1000,"")</f>
        <v/>
      </c>
      <c r="BF389" s="916" t="str">
        <f ca="1">IFERROR($J389*(参考2_エネ使用量経年!BF239+参考2_エネ使用量経年!BF326)*1000,"")</f>
        <v/>
      </c>
      <c r="BG389" s="916" t="str">
        <f ca="1">IFERROR($K389*(参考2_エネ使用量経年!BG239+参考2_エネ使用量経年!BG326)*1000,"")</f>
        <v/>
      </c>
      <c r="BH389" s="916" t="str">
        <f ca="1">IFERROR($H389*(参考2_エネ使用量経年!BH239+参考2_エネ使用量経年!BH326)*1000,"")</f>
        <v/>
      </c>
      <c r="BI389" s="916" t="str">
        <f ca="1">IFERROR($I389*(参考2_エネ使用量経年!BI239+参考2_エネ使用量経年!BI326)*1000,"")</f>
        <v/>
      </c>
      <c r="BJ389" s="916" t="str">
        <f ca="1">IFERROR($J389*(参考2_エネ使用量経年!BJ239+参考2_エネ使用量経年!BJ326)*1000,"")</f>
        <v/>
      </c>
      <c r="BK389" s="916" t="str">
        <f ca="1">IFERROR($K389*(参考2_エネ使用量経年!BK239+参考2_エネ使用量経年!BK326)*1000,"")</f>
        <v/>
      </c>
      <c r="BL389" s="916" t="str">
        <f ca="1">IFERROR($H389*(参考2_エネ使用量経年!BL239+参考2_エネ使用量経年!BL326)*1000,"")</f>
        <v/>
      </c>
      <c r="BM389" s="916" t="str">
        <f ca="1">IFERROR($I389*(参考2_エネ使用量経年!BM239+参考2_エネ使用量経年!BM326)*1000,"")</f>
        <v/>
      </c>
      <c r="BN389" s="916" t="str">
        <f ca="1">IFERROR($J389*(参考2_エネ使用量経年!BN239+参考2_エネ使用量経年!BN326)*1000,"")</f>
        <v/>
      </c>
      <c r="BO389" s="916" t="str">
        <f ca="1">IFERROR($K389*(参考2_エネ使用量経年!BO239+参考2_エネ使用量経年!BO326)*1000,"")</f>
        <v/>
      </c>
      <c r="BP389" s="802"/>
    </row>
    <row r="390" spans="1:68" ht="20.100000000000001" customHeight="1">
      <c r="A390" s="914"/>
      <c r="B390" s="1594"/>
      <c r="C390" s="1596"/>
      <c r="D390" s="814" t="s">
        <v>796</v>
      </c>
      <c r="E390" s="785"/>
      <c r="F390" s="836"/>
      <c r="G390" s="852" t="s">
        <v>1281</v>
      </c>
      <c r="H390" s="1002"/>
      <c r="I390" s="1003"/>
      <c r="J390" s="1003"/>
      <c r="K390" s="1003"/>
      <c r="L390" s="1002"/>
      <c r="M390" s="1003"/>
      <c r="N390" s="1003"/>
      <c r="O390" s="1003"/>
      <c r="P390" s="1002"/>
      <c r="Q390" s="1003"/>
      <c r="R390" s="1003"/>
      <c r="S390" s="1003"/>
      <c r="T390" s="1002"/>
      <c r="U390" s="1003"/>
      <c r="V390" s="1003"/>
      <c r="W390" s="1003"/>
      <c r="X390" s="1002"/>
      <c r="Y390" s="1003"/>
      <c r="Z390" s="1003"/>
      <c r="AA390" s="1003"/>
      <c r="AB390" s="1002"/>
      <c r="AC390" s="1003"/>
      <c r="AD390" s="1003"/>
      <c r="AE390" s="1003"/>
      <c r="AF390" s="1002"/>
      <c r="AG390" s="1003"/>
      <c r="AH390" s="1003"/>
      <c r="AI390" s="1003"/>
      <c r="AJ390" s="1002"/>
      <c r="AK390" s="1003"/>
      <c r="AL390" s="1003"/>
      <c r="AM390" s="1003"/>
      <c r="AN390" s="1002"/>
      <c r="AO390" s="1003"/>
      <c r="AP390" s="1003"/>
      <c r="AQ390" s="1003"/>
      <c r="AR390" s="1002"/>
      <c r="AS390" s="1003"/>
      <c r="AT390" s="1003"/>
      <c r="AU390" s="1003"/>
      <c r="AV390" s="1002"/>
      <c r="AW390" s="1003"/>
      <c r="AX390" s="1003"/>
      <c r="AY390" s="1003"/>
      <c r="AZ390" s="1002"/>
      <c r="BA390" s="1003"/>
      <c r="BB390" s="1003"/>
      <c r="BC390" s="1003"/>
      <c r="BD390" s="1002"/>
      <c r="BE390" s="1003"/>
      <c r="BF390" s="1003"/>
      <c r="BG390" s="1003"/>
      <c r="BH390" s="1002"/>
      <c r="BI390" s="1003"/>
      <c r="BJ390" s="1003"/>
      <c r="BK390" s="1003"/>
      <c r="BL390" s="1002"/>
      <c r="BM390" s="1003"/>
      <c r="BN390" s="1003"/>
      <c r="BO390" s="1003"/>
      <c r="BP390" s="802"/>
    </row>
    <row r="391" spans="1:68" ht="20.100000000000001" customHeight="1">
      <c r="A391" s="747">
        <v>89</v>
      </c>
      <c r="B391" s="1594"/>
      <c r="C391" s="1596"/>
      <c r="D391" s="814" t="s">
        <v>797</v>
      </c>
      <c r="E391" s="785"/>
      <c r="F391" s="836"/>
      <c r="G391" s="852" t="s">
        <v>1281</v>
      </c>
      <c r="H391" s="1002"/>
      <c r="I391" s="1003"/>
      <c r="J391" s="1003"/>
      <c r="K391" s="1003"/>
      <c r="L391" s="916">
        <f ca="1">IFERROR($H391*(参考2_エネ使用量経年!L241+参考2_エネ使用量経年!L328)*1000,"")</f>
        <v>0</v>
      </c>
      <c r="M391" s="916">
        <f ca="1">IFERROR($I391*(参考2_エネ使用量経年!M241+参考2_エネ使用量経年!M328)*1000,"")</f>
        <v>0</v>
      </c>
      <c r="N391" s="916">
        <f ca="1">IFERROR($J391*(参考2_エネ使用量経年!N241+参考2_エネ使用量経年!N328)*1000,"")</f>
        <v>0</v>
      </c>
      <c r="O391" s="916">
        <f ca="1">IFERROR($K391*(参考2_エネ使用量経年!O241+参考2_エネ使用量経年!O328)*1000,"")</f>
        <v>0</v>
      </c>
      <c r="P391" s="916">
        <f ca="1">IFERROR($H391*(参考2_エネ使用量経年!P241+参考2_エネ使用量経年!P328)*1000,"")</f>
        <v>0</v>
      </c>
      <c r="Q391" s="916">
        <f ca="1">IFERROR($I391*(参考2_エネ使用量経年!Q241+参考2_エネ使用量経年!Q328)*1000,"")</f>
        <v>0</v>
      </c>
      <c r="R391" s="916">
        <f ca="1">IFERROR($J391*(参考2_エネ使用量経年!R241+参考2_エネ使用量経年!R328)*1000,"")</f>
        <v>0</v>
      </c>
      <c r="S391" s="916">
        <f ca="1">IFERROR($K391*(参考2_エネ使用量経年!S241+参考2_エネ使用量経年!S328)*1000,"")</f>
        <v>0</v>
      </c>
      <c r="T391" s="916">
        <f ca="1">IFERROR($H391*(参考2_エネ使用量経年!T241+参考2_エネ使用量経年!T328)*1000,"")</f>
        <v>0</v>
      </c>
      <c r="U391" s="916">
        <f ca="1">IFERROR($I391*(参考2_エネ使用量経年!U241+参考2_エネ使用量経年!U328)*1000,"")</f>
        <v>0</v>
      </c>
      <c r="V391" s="916">
        <f ca="1">IFERROR($J391*(参考2_エネ使用量経年!V241+参考2_エネ使用量経年!V328)*1000,"")</f>
        <v>0</v>
      </c>
      <c r="W391" s="916">
        <f ca="1">IFERROR($K391*(参考2_エネ使用量経年!W241+参考2_エネ使用量経年!W328)*1000,"")</f>
        <v>0</v>
      </c>
      <c r="X391" s="916">
        <f ca="1">IFERROR($H391*(参考2_エネ使用量経年!X241+参考2_エネ使用量経年!X328)*1000,"")</f>
        <v>0</v>
      </c>
      <c r="Y391" s="916">
        <f ca="1">IFERROR($I391*(参考2_エネ使用量経年!Y241+参考2_エネ使用量経年!Y328)*1000,"")</f>
        <v>0</v>
      </c>
      <c r="Z391" s="916">
        <f ca="1">IFERROR($J391*(参考2_エネ使用量経年!Z241+参考2_エネ使用量経年!Z328)*1000,"")</f>
        <v>0</v>
      </c>
      <c r="AA391" s="916">
        <f ca="1">IFERROR($K391*(参考2_エネ使用量経年!AA241+参考2_エネ使用量経年!AA328)*1000,"")</f>
        <v>0</v>
      </c>
      <c r="AB391" s="916" t="str">
        <f ca="1">IFERROR($H391*(参考2_エネ使用量経年!AB241+参考2_エネ使用量経年!AB328)*1000,"")</f>
        <v/>
      </c>
      <c r="AC391" s="916" t="str">
        <f ca="1">IFERROR($I391*(参考2_エネ使用量経年!AC241+参考2_エネ使用量経年!AC328)*1000,"")</f>
        <v/>
      </c>
      <c r="AD391" s="916" t="str">
        <f ca="1">IFERROR($J391*(参考2_エネ使用量経年!AD241+参考2_エネ使用量経年!AD328)*1000,"")</f>
        <v/>
      </c>
      <c r="AE391" s="916" t="str">
        <f ca="1">IFERROR($K391*(参考2_エネ使用量経年!AE241+参考2_エネ使用量経年!AE328)*1000,"")</f>
        <v/>
      </c>
      <c r="AF391" s="916" t="str">
        <f ca="1">IFERROR($H391*(参考2_エネ使用量経年!AF241+参考2_エネ使用量経年!AF328)*1000,"")</f>
        <v/>
      </c>
      <c r="AG391" s="916" t="str">
        <f ca="1">IFERROR($I391*(参考2_エネ使用量経年!AG241+参考2_エネ使用量経年!AG328)*1000,"")</f>
        <v/>
      </c>
      <c r="AH391" s="916" t="str">
        <f ca="1">IFERROR($J391*(参考2_エネ使用量経年!AH241+参考2_エネ使用量経年!AH328)*1000,"")</f>
        <v/>
      </c>
      <c r="AI391" s="916" t="str">
        <f ca="1">IFERROR($K391*(参考2_エネ使用量経年!AI241+参考2_エネ使用量経年!AI328)*1000,"")</f>
        <v/>
      </c>
      <c r="AJ391" s="916" t="str">
        <f ca="1">IFERROR($H391*(参考2_エネ使用量経年!AJ241+参考2_エネ使用量経年!AJ328)*1000,"")</f>
        <v/>
      </c>
      <c r="AK391" s="916" t="str">
        <f ca="1">IFERROR($I391*(参考2_エネ使用量経年!AK241+参考2_エネ使用量経年!AK328)*1000,"")</f>
        <v/>
      </c>
      <c r="AL391" s="916" t="str">
        <f ca="1">IFERROR($J391*(参考2_エネ使用量経年!AL241+参考2_エネ使用量経年!AL328)*1000,"")</f>
        <v/>
      </c>
      <c r="AM391" s="916" t="str">
        <f ca="1">IFERROR($K391*(参考2_エネ使用量経年!AM241+参考2_エネ使用量経年!AM328)*1000,"")</f>
        <v/>
      </c>
      <c r="AN391" s="916" t="str">
        <f ca="1">IFERROR($H391*(参考2_エネ使用量経年!AN241+参考2_エネ使用量経年!AN328)*1000,"")</f>
        <v/>
      </c>
      <c r="AO391" s="916" t="str">
        <f ca="1">IFERROR($I391*(参考2_エネ使用量経年!AO241+参考2_エネ使用量経年!AO328)*1000,"")</f>
        <v/>
      </c>
      <c r="AP391" s="916" t="str">
        <f ca="1">IFERROR($J391*(参考2_エネ使用量経年!AP241+参考2_エネ使用量経年!AP328)*1000,"")</f>
        <v/>
      </c>
      <c r="AQ391" s="916" t="str">
        <f ca="1">IFERROR($K391*(参考2_エネ使用量経年!AQ241+参考2_エネ使用量経年!AQ328)*1000,"")</f>
        <v/>
      </c>
      <c r="AR391" s="916" t="str">
        <f ca="1">IFERROR($H391*(参考2_エネ使用量経年!AR241+参考2_エネ使用量経年!AR328)*1000,"")</f>
        <v/>
      </c>
      <c r="AS391" s="916" t="str">
        <f ca="1">IFERROR($I391*(参考2_エネ使用量経年!AS241+参考2_エネ使用量経年!AS328)*1000,"")</f>
        <v/>
      </c>
      <c r="AT391" s="916" t="str">
        <f ca="1">IFERROR($J391*(参考2_エネ使用量経年!AT241+参考2_エネ使用量経年!AT328)*1000,"")</f>
        <v/>
      </c>
      <c r="AU391" s="916" t="str">
        <f ca="1">IFERROR($K391*(参考2_エネ使用量経年!AU241+参考2_エネ使用量経年!AU328)*1000,"")</f>
        <v/>
      </c>
      <c r="AV391" s="916" t="str">
        <f ca="1">IFERROR($H391*(参考2_エネ使用量経年!AV241+参考2_エネ使用量経年!AV328)*1000,"")</f>
        <v/>
      </c>
      <c r="AW391" s="916" t="str">
        <f ca="1">IFERROR($I391*(参考2_エネ使用量経年!AW241+参考2_エネ使用量経年!AW328)*1000,"")</f>
        <v/>
      </c>
      <c r="AX391" s="916" t="str">
        <f ca="1">IFERROR($J391*(参考2_エネ使用量経年!AX241+参考2_エネ使用量経年!AX328)*1000,"")</f>
        <v/>
      </c>
      <c r="AY391" s="916" t="str">
        <f ca="1">IFERROR($K391*(参考2_エネ使用量経年!AY241+参考2_エネ使用量経年!AY328)*1000,"")</f>
        <v/>
      </c>
      <c r="AZ391" s="916" t="str">
        <f ca="1">IFERROR($H391*(参考2_エネ使用量経年!AZ241+参考2_エネ使用量経年!AZ328)*1000,"")</f>
        <v/>
      </c>
      <c r="BA391" s="916" t="str">
        <f ca="1">IFERROR($I391*(参考2_エネ使用量経年!BA241+参考2_エネ使用量経年!BA328)*1000,"")</f>
        <v/>
      </c>
      <c r="BB391" s="916" t="str">
        <f ca="1">IFERROR($J391*(参考2_エネ使用量経年!BB241+参考2_エネ使用量経年!BB328)*1000,"")</f>
        <v/>
      </c>
      <c r="BC391" s="916" t="str">
        <f ca="1">IFERROR($K391*(参考2_エネ使用量経年!BC241+参考2_エネ使用量経年!BC328)*1000,"")</f>
        <v/>
      </c>
      <c r="BD391" s="916" t="str">
        <f ca="1">IFERROR($H391*(参考2_エネ使用量経年!BD241+参考2_エネ使用量経年!BD328)*1000,"")</f>
        <v/>
      </c>
      <c r="BE391" s="916" t="str">
        <f ca="1">IFERROR($I391*(参考2_エネ使用量経年!BE241+参考2_エネ使用量経年!BE328)*1000,"")</f>
        <v/>
      </c>
      <c r="BF391" s="916" t="str">
        <f ca="1">IFERROR($J391*(参考2_エネ使用量経年!BF241+参考2_エネ使用量経年!BF328)*1000,"")</f>
        <v/>
      </c>
      <c r="BG391" s="916" t="str">
        <f ca="1">IFERROR($K391*(参考2_エネ使用量経年!BG241+参考2_エネ使用量経年!BG328)*1000,"")</f>
        <v/>
      </c>
      <c r="BH391" s="916" t="str">
        <f ca="1">IFERROR($H391*(参考2_エネ使用量経年!BH241+参考2_エネ使用量経年!BH328)*1000,"")</f>
        <v/>
      </c>
      <c r="BI391" s="916" t="str">
        <f ca="1">IFERROR($I391*(参考2_エネ使用量経年!BI241+参考2_エネ使用量経年!BI328)*1000,"")</f>
        <v/>
      </c>
      <c r="BJ391" s="916" t="str">
        <f ca="1">IFERROR($J391*(参考2_エネ使用量経年!BJ241+参考2_エネ使用量経年!BJ328)*1000,"")</f>
        <v/>
      </c>
      <c r="BK391" s="916" t="str">
        <f ca="1">IFERROR($K391*(参考2_エネ使用量経年!BK241+参考2_エネ使用量経年!BK328)*1000,"")</f>
        <v/>
      </c>
      <c r="BL391" s="916" t="str">
        <f ca="1">IFERROR($H391*(参考2_エネ使用量経年!BL241+参考2_エネ使用量経年!BL328)*1000,"")</f>
        <v/>
      </c>
      <c r="BM391" s="916" t="str">
        <f ca="1">IFERROR($I391*(参考2_エネ使用量経年!BM241+参考2_エネ使用量経年!BM328)*1000,"")</f>
        <v/>
      </c>
      <c r="BN391" s="916" t="str">
        <f ca="1">IFERROR($J391*(参考2_エネ使用量経年!BN241+参考2_エネ使用量経年!BN328)*1000,"")</f>
        <v/>
      </c>
      <c r="BO391" s="916" t="str">
        <f ca="1">IFERROR($K391*(参考2_エネ使用量経年!BO241+参考2_エネ使用量経年!BO328)*1000,"")</f>
        <v/>
      </c>
      <c r="BP391" s="802"/>
    </row>
    <row r="392" spans="1:68" ht="20.100000000000001" customHeight="1">
      <c r="A392" s="914"/>
      <c r="B392" s="1594"/>
      <c r="C392" s="1596"/>
      <c r="D392" s="814" t="s">
        <v>798</v>
      </c>
      <c r="E392" s="785"/>
      <c r="F392" s="836"/>
      <c r="G392" s="852" t="s">
        <v>1281</v>
      </c>
      <c r="H392" s="1002"/>
      <c r="I392" s="1003"/>
      <c r="J392" s="1003"/>
      <c r="K392" s="1003"/>
      <c r="L392" s="1002"/>
      <c r="M392" s="1003"/>
      <c r="N392" s="1003"/>
      <c r="O392" s="1003"/>
      <c r="P392" s="1002"/>
      <c r="Q392" s="1003"/>
      <c r="R392" s="1003"/>
      <c r="S392" s="1003"/>
      <c r="T392" s="1002"/>
      <c r="U392" s="1003"/>
      <c r="V392" s="1003"/>
      <c r="W392" s="1003"/>
      <c r="X392" s="1002"/>
      <c r="Y392" s="1003"/>
      <c r="Z392" s="1003"/>
      <c r="AA392" s="1003"/>
      <c r="AB392" s="1002"/>
      <c r="AC392" s="1003"/>
      <c r="AD392" s="1003"/>
      <c r="AE392" s="1003"/>
      <c r="AF392" s="1002"/>
      <c r="AG392" s="1003"/>
      <c r="AH392" s="1003"/>
      <c r="AI392" s="1003"/>
      <c r="AJ392" s="1002"/>
      <c r="AK392" s="1003"/>
      <c r="AL392" s="1003"/>
      <c r="AM392" s="1003"/>
      <c r="AN392" s="1002"/>
      <c r="AO392" s="1003"/>
      <c r="AP392" s="1003"/>
      <c r="AQ392" s="1003"/>
      <c r="AR392" s="1002"/>
      <c r="AS392" s="1003"/>
      <c r="AT392" s="1003"/>
      <c r="AU392" s="1003"/>
      <c r="AV392" s="1002"/>
      <c r="AW392" s="1003"/>
      <c r="AX392" s="1003"/>
      <c r="AY392" s="1003"/>
      <c r="AZ392" s="1002"/>
      <c r="BA392" s="1003"/>
      <c r="BB392" s="1003"/>
      <c r="BC392" s="1003"/>
      <c r="BD392" s="1002"/>
      <c r="BE392" s="1003"/>
      <c r="BF392" s="1003"/>
      <c r="BG392" s="1003"/>
      <c r="BH392" s="1002"/>
      <c r="BI392" s="1003"/>
      <c r="BJ392" s="1003"/>
      <c r="BK392" s="1003"/>
      <c r="BL392" s="1002"/>
      <c r="BM392" s="1003"/>
      <c r="BN392" s="1003"/>
      <c r="BO392" s="1003"/>
      <c r="BP392" s="802"/>
    </row>
    <row r="393" spans="1:68" ht="20.100000000000001" customHeight="1">
      <c r="A393" s="747">
        <v>91</v>
      </c>
      <c r="B393" s="1594"/>
      <c r="C393" s="1596"/>
      <c r="D393" s="1617" t="s">
        <v>799</v>
      </c>
      <c r="E393" s="838" t="str">
        <f ca="1">参考2_エネ使用量経年!E419</f>
        <v/>
      </c>
      <c r="F393" s="839"/>
      <c r="G393" s="852" t="s">
        <v>1281</v>
      </c>
      <c r="H393" s="915">
        <f t="shared" ref="H393" ca="1" si="118">IFERROR(OFFSET(貼付け_2024実績,$A393,6),"")</f>
        <v>0</v>
      </c>
      <c r="I393" s="915">
        <f t="shared" ref="I393" ca="1" si="119">IFERROR(OFFSET(貼付け_2025実績,$A393,6),"")</f>
        <v>0</v>
      </c>
      <c r="J393" s="915">
        <f t="shared" ref="J393" ca="1" si="120">IFERROR(OFFSET(貼付け_2026実績,$A393,6),"")</f>
        <v>0</v>
      </c>
      <c r="K393" s="915">
        <f t="shared" ref="K393" ca="1" si="121">IFERROR(OFFSET(貼付け_2027実績,$A393,6),"")</f>
        <v>0</v>
      </c>
      <c r="L393" s="916">
        <f ca="1">IFERROR($H393*(参考2_エネ使用量経年!L243+参考2_エネ使用量経年!L330)*1000,"")</f>
        <v>0</v>
      </c>
      <c r="M393" s="916">
        <f ca="1">IFERROR($I393*(参考2_エネ使用量経年!M243+参考2_エネ使用量経年!M330)*1000,"")</f>
        <v>0</v>
      </c>
      <c r="N393" s="916">
        <f ca="1">IFERROR($J393*(参考2_エネ使用量経年!N243+参考2_エネ使用量経年!N330)*1000,"")</f>
        <v>0</v>
      </c>
      <c r="O393" s="916">
        <f ca="1">IFERROR($K393*(参考2_エネ使用量経年!O243+参考2_エネ使用量経年!O330)*1000,"")</f>
        <v>0</v>
      </c>
      <c r="P393" s="916">
        <f ca="1">IFERROR($H393*(参考2_エネ使用量経年!P243+参考2_エネ使用量経年!P330)*1000,"")</f>
        <v>0</v>
      </c>
      <c r="Q393" s="916">
        <f ca="1">IFERROR($I393*(参考2_エネ使用量経年!Q243+参考2_エネ使用量経年!Q330)*1000,"")</f>
        <v>0</v>
      </c>
      <c r="R393" s="916">
        <f ca="1">IFERROR($J393*(参考2_エネ使用量経年!R243+参考2_エネ使用量経年!R330)*1000,"")</f>
        <v>0</v>
      </c>
      <c r="S393" s="916">
        <f ca="1">IFERROR($K393*(参考2_エネ使用量経年!S243+参考2_エネ使用量経年!S330)*1000,"")</f>
        <v>0</v>
      </c>
      <c r="T393" s="916">
        <f ca="1">IFERROR($H393*(参考2_エネ使用量経年!T243+参考2_エネ使用量経年!T330)*1000,"")</f>
        <v>0</v>
      </c>
      <c r="U393" s="916">
        <f ca="1">IFERROR($I393*(参考2_エネ使用量経年!U243+参考2_エネ使用量経年!U330)*1000,"")</f>
        <v>0</v>
      </c>
      <c r="V393" s="916">
        <f ca="1">IFERROR($J393*(参考2_エネ使用量経年!V243+参考2_エネ使用量経年!V330)*1000,"")</f>
        <v>0</v>
      </c>
      <c r="W393" s="916">
        <f ca="1">IFERROR($K393*(参考2_エネ使用量経年!W243+参考2_エネ使用量経年!W330)*1000,"")</f>
        <v>0</v>
      </c>
      <c r="X393" s="916">
        <f ca="1">IFERROR($H393*(参考2_エネ使用量経年!X243+参考2_エネ使用量経年!X330)*1000,"")</f>
        <v>0</v>
      </c>
      <c r="Y393" s="916">
        <f ca="1">IFERROR($I393*(参考2_エネ使用量経年!Y243+参考2_エネ使用量経年!Y330)*1000,"")</f>
        <v>0</v>
      </c>
      <c r="Z393" s="916">
        <f ca="1">IFERROR($J393*(参考2_エネ使用量経年!Z243+参考2_エネ使用量経年!Z330)*1000,"")</f>
        <v>0</v>
      </c>
      <c r="AA393" s="916">
        <f ca="1">IFERROR($K393*(参考2_エネ使用量経年!AA243+参考2_エネ使用量経年!AA330)*1000,"")</f>
        <v>0</v>
      </c>
      <c r="AB393" s="916" t="str">
        <f ca="1">IFERROR($H393*(参考2_エネ使用量経年!AB243+参考2_エネ使用量経年!AB330)*1000,"")</f>
        <v/>
      </c>
      <c r="AC393" s="916" t="str">
        <f ca="1">IFERROR($I393*(参考2_エネ使用量経年!AC243+参考2_エネ使用量経年!AC330)*1000,"")</f>
        <v/>
      </c>
      <c r="AD393" s="916" t="str">
        <f ca="1">IFERROR($J393*(参考2_エネ使用量経年!AD243+参考2_エネ使用量経年!AD330)*1000,"")</f>
        <v/>
      </c>
      <c r="AE393" s="916" t="str">
        <f ca="1">IFERROR($K393*(参考2_エネ使用量経年!AE243+参考2_エネ使用量経年!AE330)*1000,"")</f>
        <v/>
      </c>
      <c r="AF393" s="916" t="str">
        <f ca="1">IFERROR($H393*(参考2_エネ使用量経年!AF243+参考2_エネ使用量経年!AF330)*1000,"")</f>
        <v/>
      </c>
      <c r="AG393" s="916" t="str">
        <f ca="1">IFERROR($I393*(参考2_エネ使用量経年!AG243+参考2_エネ使用量経年!AG330)*1000,"")</f>
        <v/>
      </c>
      <c r="AH393" s="916" t="str">
        <f ca="1">IFERROR($J393*(参考2_エネ使用量経年!AH243+参考2_エネ使用量経年!AH330)*1000,"")</f>
        <v/>
      </c>
      <c r="AI393" s="916" t="str">
        <f ca="1">IFERROR($K393*(参考2_エネ使用量経年!AI243+参考2_エネ使用量経年!AI330)*1000,"")</f>
        <v/>
      </c>
      <c r="AJ393" s="916" t="str">
        <f ca="1">IFERROR($H393*(参考2_エネ使用量経年!AJ243+参考2_エネ使用量経年!AJ330)*1000,"")</f>
        <v/>
      </c>
      <c r="AK393" s="916" t="str">
        <f ca="1">IFERROR($I393*(参考2_エネ使用量経年!AK243+参考2_エネ使用量経年!AK330)*1000,"")</f>
        <v/>
      </c>
      <c r="AL393" s="916" t="str">
        <f ca="1">IFERROR($J393*(参考2_エネ使用量経年!AL243+参考2_エネ使用量経年!AL330)*1000,"")</f>
        <v/>
      </c>
      <c r="AM393" s="916" t="str">
        <f ca="1">IFERROR($K393*(参考2_エネ使用量経年!AM243+参考2_エネ使用量経年!AM330)*1000,"")</f>
        <v/>
      </c>
      <c r="AN393" s="916" t="str">
        <f ca="1">IFERROR($H393*(参考2_エネ使用量経年!AN243+参考2_エネ使用量経年!AN330)*1000,"")</f>
        <v/>
      </c>
      <c r="AO393" s="916" t="str">
        <f ca="1">IFERROR($I393*(参考2_エネ使用量経年!AO243+参考2_エネ使用量経年!AO330)*1000,"")</f>
        <v/>
      </c>
      <c r="AP393" s="916" t="str">
        <f ca="1">IFERROR($J393*(参考2_エネ使用量経年!AP243+参考2_エネ使用量経年!AP330)*1000,"")</f>
        <v/>
      </c>
      <c r="AQ393" s="916" t="str">
        <f ca="1">IFERROR($K393*(参考2_エネ使用量経年!AQ243+参考2_エネ使用量経年!AQ330)*1000,"")</f>
        <v/>
      </c>
      <c r="AR393" s="916" t="str">
        <f ca="1">IFERROR($H393*(参考2_エネ使用量経年!AR243+参考2_エネ使用量経年!AR330)*1000,"")</f>
        <v/>
      </c>
      <c r="AS393" s="916" t="str">
        <f ca="1">IFERROR($I393*(参考2_エネ使用量経年!AS243+参考2_エネ使用量経年!AS330)*1000,"")</f>
        <v/>
      </c>
      <c r="AT393" s="916" t="str">
        <f ca="1">IFERROR($J393*(参考2_エネ使用量経年!AT243+参考2_エネ使用量経年!AT330)*1000,"")</f>
        <v/>
      </c>
      <c r="AU393" s="916" t="str">
        <f ca="1">IFERROR($K393*(参考2_エネ使用量経年!AU243+参考2_エネ使用量経年!AU330)*1000,"")</f>
        <v/>
      </c>
      <c r="AV393" s="916" t="str">
        <f ca="1">IFERROR($H393*(参考2_エネ使用量経年!AV243+参考2_エネ使用量経年!AV330)*1000,"")</f>
        <v/>
      </c>
      <c r="AW393" s="916" t="str">
        <f ca="1">IFERROR($I393*(参考2_エネ使用量経年!AW243+参考2_エネ使用量経年!AW330)*1000,"")</f>
        <v/>
      </c>
      <c r="AX393" s="916" t="str">
        <f ca="1">IFERROR($J393*(参考2_エネ使用量経年!AX243+参考2_エネ使用量経年!AX330)*1000,"")</f>
        <v/>
      </c>
      <c r="AY393" s="916" t="str">
        <f ca="1">IFERROR($K393*(参考2_エネ使用量経年!AY243+参考2_エネ使用量経年!AY330)*1000,"")</f>
        <v/>
      </c>
      <c r="AZ393" s="916" t="str">
        <f ca="1">IFERROR($H393*(参考2_エネ使用量経年!AZ243+参考2_エネ使用量経年!AZ330)*1000,"")</f>
        <v/>
      </c>
      <c r="BA393" s="916" t="str">
        <f ca="1">IFERROR($I393*(参考2_エネ使用量経年!BA243+参考2_エネ使用量経年!BA330)*1000,"")</f>
        <v/>
      </c>
      <c r="BB393" s="916" t="str">
        <f ca="1">IFERROR($J393*(参考2_エネ使用量経年!BB243+参考2_エネ使用量経年!BB330)*1000,"")</f>
        <v/>
      </c>
      <c r="BC393" s="916" t="str">
        <f ca="1">IFERROR($K393*(参考2_エネ使用量経年!BC243+参考2_エネ使用量経年!BC330)*1000,"")</f>
        <v/>
      </c>
      <c r="BD393" s="916" t="str">
        <f ca="1">IFERROR($H393*(参考2_エネ使用量経年!BD243+参考2_エネ使用量経年!BD330)*1000,"")</f>
        <v/>
      </c>
      <c r="BE393" s="916" t="str">
        <f ca="1">IFERROR($I393*(参考2_エネ使用量経年!BE243+参考2_エネ使用量経年!BE330)*1000,"")</f>
        <v/>
      </c>
      <c r="BF393" s="916" t="str">
        <f ca="1">IFERROR($J393*(参考2_エネ使用量経年!BF243+参考2_エネ使用量経年!BF330)*1000,"")</f>
        <v/>
      </c>
      <c r="BG393" s="916" t="str">
        <f ca="1">IFERROR($K393*(参考2_エネ使用量経年!BG243+参考2_エネ使用量経年!BG330)*1000,"")</f>
        <v/>
      </c>
      <c r="BH393" s="916" t="str">
        <f ca="1">IFERROR($H393*(参考2_エネ使用量経年!BH243+参考2_エネ使用量経年!BH330)*1000,"")</f>
        <v/>
      </c>
      <c r="BI393" s="916" t="str">
        <f ca="1">IFERROR($I393*(参考2_エネ使用量経年!BI243+参考2_エネ使用量経年!BI330)*1000,"")</f>
        <v/>
      </c>
      <c r="BJ393" s="916" t="str">
        <f ca="1">IFERROR($J393*(参考2_エネ使用量経年!BJ243+参考2_エネ使用量経年!BJ330)*1000,"")</f>
        <v/>
      </c>
      <c r="BK393" s="916" t="str">
        <f ca="1">IFERROR($K393*(参考2_エネ使用量経年!BK243+参考2_エネ使用量経年!BK330)*1000,"")</f>
        <v/>
      </c>
      <c r="BL393" s="916" t="str">
        <f ca="1">IFERROR($H393*(参考2_エネ使用量経年!BL243+参考2_エネ使用量経年!BL330)*1000,"")</f>
        <v/>
      </c>
      <c r="BM393" s="916" t="str">
        <f ca="1">IFERROR($I393*(参考2_エネ使用量経年!BM243+参考2_エネ使用量経年!BM330)*1000,"")</f>
        <v/>
      </c>
      <c r="BN393" s="916" t="str">
        <f ca="1">IFERROR($J393*(参考2_エネ使用量経年!BN243+参考2_エネ使用量経年!BN330)*1000,"")</f>
        <v/>
      </c>
      <c r="BO393" s="916" t="str">
        <f ca="1">IFERROR($K393*(参考2_エネ使用量経年!BO243+参考2_エネ使用量経年!BO330)*1000,"")</f>
        <v/>
      </c>
      <c r="BP393" s="802"/>
    </row>
    <row r="394" spans="1:68" ht="20.100000000000001" customHeight="1">
      <c r="A394" s="914"/>
      <c r="B394" s="1594"/>
      <c r="C394" s="1596"/>
      <c r="D394" s="1617"/>
      <c r="E394" s="840"/>
      <c r="F394" s="841"/>
      <c r="G394" s="852"/>
      <c r="H394" s="1002"/>
      <c r="I394" s="1003"/>
      <c r="J394" s="1003"/>
      <c r="K394" s="1003"/>
      <c r="L394" s="1002"/>
      <c r="M394" s="1003"/>
      <c r="N394" s="1003"/>
      <c r="O394" s="1003"/>
      <c r="P394" s="1002"/>
      <c r="Q394" s="1003"/>
      <c r="R394" s="1003"/>
      <c r="S394" s="1003"/>
      <c r="T394" s="1002"/>
      <c r="U394" s="1003"/>
      <c r="V394" s="1003"/>
      <c r="W394" s="1003"/>
      <c r="X394" s="1002"/>
      <c r="Y394" s="1003"/>
      <c r="Z394" s="1003"/>
      <c r="AA394" s="1003"/>
      <c r="AB394" s="1002"/>
      <c r="AC394" s="1003"/>
      <c r="AD394" s="1003"/>
      <c r="AE394" s="1003"/>
      <c r="AF394" s="1002"/>
      <c r="AG394" s="1003"/>
      <c r="AH394" s="1003"/>
      <c r="AI394" s="1003"/>
      <c r="AJ394" s="1002"/>
      <c r="AK394" s="1003"/>
      <c r="AL394" s="1003"/>
      <c r="AM394" s="1003"/>
      <c r="AN394" s="1002"/>
      <c r="AO394" s="1003"/>
      <c r="AP394" s="1003"/>
      <c r="AQ394" s="1003"/>
      <c r="AR394" s="1002"/>
      <c r="AS394" s="1003"/>
      <c r="AT394" s="1003"/>
      <c r="AU394" s="1003"/>
      <c r="AV394" s="1002"/>
      <c r="AW394" s="1003"/>
      <c r="AX394" s="1003"/>
      <c r="AY394" s="1003"/>
      <c r="AZ394" s="1002"/>
      <c r="BA394" s="1003"/>
      <c r="BB394" s="1003"/>
      <c r="BC394" s="1003"/>
      <c r="BD394" s="1002"/>
      <c r="BE394" s="1003"/>
      <c r="BF394" s="1003"/>
      <c r="BG394" s="1003"/>
      <c r="BH394" s="1002"/>
      <c r="BI394" s="1003"/>
      <c r="BJ394" s="1003"/>
      <c r="BK394" s="1003"/>
      <c r="BL394" s="1002"/>
      <c r="BM394" s="1003"/>
      <c r="BN394" s="1003"/>
      <c r="BO394" s="1003"/>
      <c r="BP394" s="802"/>
    </row>
    <row r="395" spans="1:68" ht="20.100000000000001" customHeight="1">
      <c r="A395" s="747">
        <v>93</v>
      </c>
      <c r="B395" s="1594"/>
      <c r="C395" s="1596"/>
      <c r="D395" s="1617" t="s">
        <v>800</v>
      </c>
      <c r="E395" s="838" t="str">
        <f ca="1">参考2_エネ使用量経年!E421</f>
        <v/>
      </c>
      <c r="F395" s="839"/>
      <c r="G395" s="852" t="s">
        <v>1281</v>
      </c>
      <c r="H395" s="915">
        <f t="shared" ref="H395" ca="1" si="122">IFERROR(OFFSET(貼付け_2024実績,$A395,6),"")</f>
        <v>0</v>
      </c>
      <c r="I395" s="915">
        <f t="shared" ref="I395" ca="1" si="123">IFERROR(OFFSET(貼付け_2025実績,$A395,6),"")</f>
        <v>0</v>
      </c>
      <c r="J395" s="915">
        <f t="shared" ref="J395" ca="1" si="124">IFERROR(OFFSET(貼付け_2026実績,$A395,6),"")</f>
        <v>0</v>
      </c>
      <c r="K395" s="915">
        <f t="shared" ref="K395" ca="1" si="125">IFERROR(OFFSET(貼付け_2027実績,$A395,6),"")</f>
        <v>0</v>
      </c>
      <c r="L395" s="916">
        <f ca="1">IFERROR($H395*(参考2_エネ使用量経年!L245+参考2_エネ使用量経年!L332)*1000,"")</f>
        <v>0</v>
      </c>
      <c r="M395" s="916">
        <f ca="1">IFERROR($I395*(参考2_エネ使用量経年!M245+参考2_エネ使用量経年!M332)*1000,"")</f>
        <v>0</v>
      </c>
      <c r="N395" s="916">
        <f ca="1">IFERROR($J395*(参考2_エネ使用量経年!N245+参考2_エネ使用量経年!N332)*1000,"")</f>
        <v>0</v>
      </c>
      <c r="O395" s="916">
        <f ca="1">IFERROR($K395*(参考2_エネ使用量経年!O245+参考2_エネ使用量経年!O332)*1000,"")</f>
        <v>0</v>
      </c>
      <c r="P395" s="916">
        <f ca="1">IFERROR($H395*(参考2_エネ使用量経年!P245+参考2_エネ使用量経年!P332)*1000,"")</f>
        <v>0</v>
      </c>
      <c r="Q395" s="916">
        <f ca="1">IFERROR($I395*(参考2_エネ使用量経年!Q245+参考2_エネ使用量経年!Q332)*1000,"")</f>
        <v>0</v>
      </c>
      <c r="R395" s="916">
        <f ca="1">IFERROR($J395*(参考2_エネ使用量経年!R245+参考2_エネ使用量経年!R332)*1000,"")</f>
        <v>0</v>
      </c>
      <c r="S395" s="916">
        <f ca="1">IFERROR($K395*(参考2_エネ使用量経年!S245+参考2_エネ使用量経年!S332)*1000,"")</f>
        <v>0</v>
      </c>
      <c r="T395" s="916">
        <f ca="1">IFERROR($H395*(参考2_エネ使用量経年!T245+参考2_エネ使用量経年!T332)*1000,"")</f>
        <v>0</v>
      </c>
      <c r="U395" s="916">
        <f ca="1">IFERROR($I395*(参考2_エネ使用量経年!U245+参考2_エネ使用量経年!U332)*1000,"")</f>
        <v>0</v>
      </c>
      <c r="V395" s="916">
        <f ca="1">IFERROR($J395*(参考2_エネ使用量経年!V245+参考2_エネ使用量経年!V332)*1000,"")</f>
        <v>0</v>
      </c>
      <c r="W395" s="916">
        <f ca="1">IFERROR($K395*(参考2_エネ使用量経年!W245+参考2_エネ使用量経年!W332)*1000,"")</f>
        <v>0</v>
      </c>
      <c r="X395" s="916">
        <f ca="1">IFERROR($H395*(参考2_エネ使用量経年!X245+参考2_エネ使用量経年!X332)*1000,"")</f>
        <v>0</v>
      </c>
      <c r="Y395" s="916">
        <f ca="1">IFERROR($I395*(参考2_エネ使用量経年!Y245+参考2_エネ使用量経年!Y332)*1000,"")</f>
        <v>0</v>
      </c>
      <c r="Z395" s="916">
        <f ca="1">IFERROR($J395*(参考2_エネ使用量経年!Z245+参考2_エネ使用量経年!Z332)*1000,"")</f>
        <v>0</v>
      </c>
      <c r="AA395" s="916">
        <f ca="1">IFERROR($K395*(参考2_エネ使用量経年!AA245+参考2_エネ使用量経年!AA332)*1000,"")</f>
        <v>0</v>
      </c>
      <c r="AB395" s="916" t="str">
        <f ca="1">IFERROR($H395*(参考2_エネ使用量経年!AB245+参考2_エネ使用量経年!AB332)*1000,"")</f>
        <v/>
      </c>
      <c r="AC395" s="916" t="str">
        <f ca="1">IFERROR($I395*(参考2_エネ使用量経年!AC245+参考2_エネ使用量経年!AC332)*1000,"")</f>
        <v/>
      </c>
      <c r="AD395" s="916" t="str">
        <f ca="1">IFERROR($J395*(参考2_エネ使用量経年!AD245+参考2_エネ使用量経年!AD332)*1000,"")</f>
        <v/>
      </c>
      <c r="AE395" s="916" t="str">
        <f ca="1">IFERROR($K395*(参考2_エネ使用量経年!AE245+参考2_エネ使用量経年!AE332)*1000,"")</f>
        <v/>
      </c>
      <c r="AF395" s="916" t="str">
        <f ca="1">IFERROR($H395*(参考2_エネ使用量経年!AF245+参考2_エネ使用量経年!AF332)*1000,"")</f>
        <v/>
      </c>
      <c r="AG395" s="916" t="str">
        <f ca="1">IFERROR($I395*(参考2_エネ使用量経年!AG245+参考2_エネ使用量経年!AG332)*1000,"")</f>
        <v/>
      </c>
      <c r="AH395" s="916" t="str">
        <f ca="1">IFERROR($J395*(参考2_エネ使用量経年!AH245+参考2_エネ使用量経年!AH332)*1000,"")</f>
        <v/>
      </c>
      <c r="AI395" s="916" t="str">
        <f ca="1">IFERROR($K395*(参考2_エネ使用量経年!AI245+参考2_エネ使用量経年!AI332)*1000,"")</f>
        <v/>
      </c>
      <c r="AJ395" s="916" t="str">
        <f ca="1">IFERROR($H395*(参考2_エネ使用量経年!AJ245+参考2_エネ使用量経年!AJ332)*1000,"")</f>
        <v/>
      </c>
      <c r="AK395" s="916" t="str">
        <f ca="1">IFERROR($I395*(参考2_エネ使用量経年!AK245+参考2_エネ使用量経年!AK332)*1000,"")</f>
        <v/>
      </c>
      <c r="AL395" s="916" t="str">
        <f ca="1">IFERROR($J395*(参考2_エネ使用量経年!AL245+参考2_エネ使用量経年!AL332)*1000,"")</f>
        <v/>
      </c>
      <c r="AM395" s="916" t="str">
        <f ca="1">IFERROR($K395*(参考2_エネ使用量経年!AM245+参考2_エネ使用量経年!AM332)*1000,"")</f>
        <v/>
      </c>
      <c r="AN395" s="916" t="str">
        <f ca="1">IFERROR($H395*(参考2_エネ使用量経年!AN245+参考2_エネ使用量経年!AN332)*1000,"")</f>
        <v/>
      </c>
      <c r="AO395" s="916" t="str">
        <f ca="1">IFERROR($I395*(参考2_エネ使用量経年!AO245+参考2_エネ使用量経年!AO332)*1000,"")</f>
        <v/>
      </c>
      <c r="AP395" s="916" t="str">
        <f ca="1">IFERROR($J395*(参考2_エネ使用量経年!AP245+参考2_エネ使用量経年!AP332)*1000,"")</f>
        <v/>
      </c>
      <c r="AQ395" s="916" t="str">
        <f ca="1">IFERROR($K395*(参考2_エネ使用量経年!AQ245+参考2_エネ使用量経年!AQ332)*1000,"")</f>
        <v/>
      </c>
      <c r="AR395" s="916" t="str">
        <f ca="1">IFERROR($H395*(参考2_エネ使用量経年!AR245+参考2_エネ使用量経年!AR332)*1000,"")</f>
        <v/>
      </c>
      <c r="AS395" s="916" t="str">
        <f ca="1">IFERROR($I395*(参考2_エネ使用量経年!AS245+参考2_エネ使用量経年!AS332)*1000,"")</f>
        <v/>
      </c>
      <c r="AT395" s="916" t="str">
        <f ca="1">IFERROR($J395*(参考2_エネ使用量経年!AT245+参考2_エネ使用量経年!AT332)*1000,"")</f>
        <v/>
      </c>
      <c r="AU395" s="916" t="str">
        <f ca="1">IFERROR($K395*(参考2_エネ使用量経年!AU245+参考2_エネ使用量経年!AU332)*1000,"")</f>
        <v/>
      </c>
      <c r="AV395" s="916" t="str">
        <f ca="1">IFERROR($H395*(参考2_エネ使用量経年!AV245+参考2_エネ使用量経年!AV332)*1000,"")</f>
        <v/>
      </c>
      <c r="AW395" s="916" t="str">
        <f ca="1">IFERROR($I395*(参考2_エネ使用量経年!AW245+参考2_エネ使用量経年!AW332)*1000,"")</f>
        <v/>
      </c>
      <c r="AX395" s="916" t="str">
        <f ca="1">IFERROR($J395*(参考2_エネ使用量経年!AX245+参考2_エネ使用量経年!AX332)*1000,"")</f>
        <v/>
      </c>
      <c r="AY395" s="916" t="str">
        <f ca="1">IFERROR($K395*(参考2_エネ使用量経年!AY245+参考2_エネ使用量経年!AY332)*1000,"")</f>
        <v/>
      </c>
      <c r="AZ395" s="916" t="str">
        <f ca="1">IFERROR($H395*(参考2_エネ使用量経年!AZ245+参考2_エネ使用量経年!AZ332)*1000,"")</f>
        <v/>
      </c>
      <c r="BA395" s="916" t="str">
        <f ca="1">IFERROR($I395*(参考2_エネ使用量経年!BA245+参考2_エネ使用量経年!BA332)*1000,"")</f>
        <v/>
      </c>
      <c r="BB395" s="916" t="str">
        <f ca="1">IFERROR($J395*(参考2_エネ使用量経年!BB245+参考2_エネ使用量経年!BB332)*1000,"")</f>
        <v/>
      </c>
      <c r="BC395" s="916" t="str">
        <f ca="1">IFERROR($K395*(参考2_エネ使用量経年!BC245+参考2_エネ使用量経年!BC332)*1000,"")</f>
        <v/>
      </c>
      <c r="BD395" s="916" t="str">
        <f ca="1">IFERROR($H395*(参考2_エネ使用量経年!BD245+参考2_エネ使用量経年!BD332)*1000,"")</f>
        <v/>
      </c>
      <c r="BE395" s="916" t="str">
        <f ca="1">IFERROR($I395*(参考2_エネ使用量経年!BE245+参考2_エネ使用量経年!BE332)*1000,"")</f>
        <v/>
      </c>
      <c r="BF395" s="916" t="str">
        <f ca="1">IFERROR($J395*(参考2_エネ使用量経年!BF245+参考2_エネ使用量経年!BF332)*1000,"")</f>
        <v/>
      </c>
      <c r="BG395" s="916" t="str">
        <f ca="1">IFERROR($K395*(参考2_エネ使用量経年!BG245+参考2_エネ使用量経年!BG332)*1000,"")</f>
        <v/>
      </c>
      <c r="BH395" s="916" t="str">
        <f ca="1">IFERROR($H395*(参考2_エネ使用量経年!BH245+参考2_エネ使用量経年!BH332)*1000,"")</f>
        <v/>
      </c>
      <c r="BI395" s="916" t="str">
        <f ca="1">IFERROR($I395*(参考2_エネ使用量経年!BI245+参考2_エネ使用量経年!BI332)*1000,"")</f>
        <v/>
      </c>
      <c r="BJ395" s="916" t="str">
        <f ca="1">IFERROR($J395*(参考2_エネ使用量経年!BJ245+参考2_エネ使用量経年!BJ332)*1000,"")</f>
        <v/>
      </c>
      <c r="BK395" s="916" t="str">
        <f ca="1">IFERROR($K395*(参考2_エネ使用量経年!BK245+参考2_エネ使用量経年!BK332)*1000,"")</f>
        <v/>
      </c>
      <c r="BL395" s="916" t="str">
        <f ca="1">IFERROR($H395*(参考2_エネ使用量経年!BL245+参考2_エネ使用量経年!BL332)*1000,"")</f>
        <v/>
      </c>
      <c r="BM395" s="916" t="str">
        <f ca="1">IFERROR($I395*(参考2_エネ使用量経年!BM245+参考2_エネ使用量経年!BM332)*1000,"")</f>
        <v/>
      </c>
      <c r="BN395" s="916" t="str">
        <f ca="1">IFERROR($J395*(参考2_エネ使用量経年!BN245+参考2_エネ使用量経年!BN332)*1000,"")</f>
        <v/>
      </c>
      <c r="BO395" s="916" t="str">
        <f ca="1">IFERROR($K395*(参考2_エネ使用量経年!BO245+参考2_エネ使用量経年!BO332)*1000,"")</f>
        <v/>
      </c>
      <c r="BP395" s="802"/>
    </row>
    <row r="396" spans="1:68" ht="20.100000000000001" customHeight="1">
      <c r="A396" s="914"/>
      <c r="B396" s="1594"/>
      <c r="C396" s="1596"/>
      <c r="D396" s="1617"/>
      <c r="E396" s="840"/>
      <c r="F396" s="841"/>
      <c r="G396" s="852"/>
      <c r="H396" s="1002"/>
      <c r="I396" s="1003"/>
      <c r="J396" s="1003"/>
      <c r="K396" s="1003"/>
      <c r="L396" s="1002"/>
      <c r="M396" s="1003"/>
      <c r="N396" s="1003"/>
      <c r="O396" s="1003"/>
      <c r="P396" s="1002"/>
      <c r="Q396" s="1003"/>
      <c r="R396" s="1003"/>
      <c r="S396" s="1003"/>
      <c r="T396" s="1002"/>
      <c r="U396" s="1003"/>
      <c r="V396" s="1003"/>
      <c r="W396" s="1003"/>
      <c r="X396" s="1002"/>
      <c r="Y396" s="1003"/>
      <c r="Z396" s="1003"/>
      <c r="AA396" s="1003"/>
      <c r="AB396" s="1002"/>
      <c r="AC396" s="1003"/>
      <c r="AD396" s="1003"/>
      <c r="AE396" s="1003"/>
      <c r="AF396" s="1002"/>
      <c r="AG396" s="1003"/>
      <c r="AH396" s="1003"/>
      <c r="AI396" s="1003"/>
      <c r="AJ396" s="1002"/>
      <c r="AK396" s="1003"/>
      <c r="AL396" s="1003"/>
      <c r="AM396" s="1003"/>
      <c r="AN396" s="1002"/>
      <c r="AO396" s="1003"/>
      <c r="AP396" s="1003"/>
      <c r="AQ396" s="1003"/>
      <c r="AR396" s="1002"/>
      <c r="AS396" s="1003"/>
      <c r="AT396" s="1003"/>
      <c r="AU396" s="1003"/>
      <c r="AV396" s="1002"/>
      <c r="AW396" s="1003"/>
      <c r="AX396" s="1003"/>
      <c r="AY396" s="1003"/>
      <c r="AZ396" s="1002"/>
      <c r="BA396" s="1003"/>
      <c r="BB396" s="1003"/>
      <c r="BC396" s="1003"/>
      <c r="BD396" s="1002"/>
      <c r="BE396" s="1003"/>
      <c r="BF396" s="1003"/>
      <c r="BG396" s="1003"/>
      <c r="BH396" s="1002"/>
      <c r="BI396" s="1003"/>
      <c r="BJ396" s="1003"/>
      <c r="BK396" s="1003"/>
      <c r="BL396" s="1002"/>
      <c r="BM396" s="1003"/>
      <c r="BN396" s="1003"/>
      <c r="BO396" s="1003"/>
      <c r="BP396" s="802"/>
    </row>
    <row r="397" spans="1:68" ht="20.100000000000001" customHeight="1">
      <c r="A397" s="747">
        <v>95</v>
      </c>
      <c r="B397" s="1594"/>
      <c r="C397" s="1596"/>
      <c r="D397" s="814" t="s">
        <v>412</v>
      </c>
      <c r="E397" s="838" t="str">
        <f ca="1">参考2_エネ使用量経年!E423</f>
        <v/>
      </c>
      <c r="F397" s="786"/>
      <c r="G397" s="852" t="s">
        <v>1281</v>
      </c>
      <c r="H397" s="915">
        <f t="shared" ref="H397:H400" ca="1" si="126">IFERROR(OFFSET(貼付け_2024実績,$A397,6),"")</f>
        <v>0</v>
      </c>
      <c r="I397" s="915">
        <f t="shared" ref="I397:I400" ca="1" si="127">IFERROR(OFFSET(貼付け_2025実績,$A397,6),"")</f>
        <v>0</v>
      </c>
      <c r="J397" s="915">
        <f t="shared" ref="J397:J400" ca="1" si="128">IFERROR(OFFSET(貼付け_2026実績,$A397,6),"")</f>
        <v>0</v>
      </c>
      <c r="K397" s="915">
        <f t="shared" ref="K397:K400" ca="1" si="129">IFERROR(OFFSET(貼付け_2027実績,$A397,6),"")</f>
        <v>0</v>
      </c>
      <c r="L397" s="916">
        <f ca="1">IFERROR($H397*(参考2_エネ使用量経年!L247+参考2_エネ使用量経年!L334)*1000,"")</f>
        <v>0</v>
      </c>
      <c r="M397" s="916">
        <f ca="1">IFERROR($I397*(参考2_エネ使用量経年!M247+参考2_エネ使用量経年!M334)*1000,"")</f>
        <v>0</v>
      </c>
      <c r="N397" s="916">
        <f ca="1">IFERROR($J397*(参考2_エネ使用量経年!N247+参考2_エネ使用量経年!N334)*1000,"")</f>
        <v>0</v>
      </c>
      <c r="O397" s="916">
        <f ca="1">IFERROR($K397*(参考2_エネ使用量経年!O247+参考2_エネ使用量経年!O334)*1000,"")</f>
        <v>0</v>
      </c>
      <c r="P397" s="916">
        <f ca="1">IFERROR($H397*(参考2_エネ使用量経年!P247+参考2_エネ使用量経年!P334)*1000,"")</f>
        <v>0</v>
      </c>
      <c r="Q397" s="916">
        <f ca="1">IFERROR($I397*(参考2_エネ使用量経年!Q247+参考2_エネ使用量経年!Q334)*1000,"")</f>
        <v>0</v>
      </c>
      <c r="R397" s="916">
        <f ca="1">IFERROR($J397*(参考2_エネ使用量経年!R247+参考2_エネ使用量経年!R334)*1000,"")</f>
        <v>0</v>
      </c>
      <c r="S397" s="916">
        <f ca="1">IFERROR($K397*(参考2_エネ使用量経年!S247+参考2_エネ使用量経年!S334)*1000,"")</f>
        <v>0</v>
      </c>
      <c r="T397" s="916">
        <f ca="1">IFERROR($H397*(参考2_エネ使用量経年!T247+参考2_エネ使用量経年!T334)*1000,"")</f>
        <v>0</v>
      </c>
      <c r="U397" s="916">
        <f ca="1">IFERROR($I397*(参考2_エネ使用量経年!U247+参考2_エネ使用量経年!U334)*1000,"")</f>
        <v>0</v>
      </c>
      <c r="V397" s="916">
        <f ca="1">IFERROR($J397*(参考2_エネ使用量経年!V247+参考2_エネ使用量経年!V334)*1000,"")</f>
        <v>0</v>
      </c>
      <c r="W397" s="916">
        <f ca="1">IFERROR($K397*(参考2_エネ使用量経年!W247+参考2_エネ使用量経年!W334)*1000,"")</f>
        <v>0</v>
      </c>
      <c r="X397" s="916">
        <f ca="1">IFERROR($H397*(参考2_エネ使用量経年!X247+参考2_エネ使用量経年!X334)*1000,"")</f>
        <v>0</v>
      </c>
      <c r="Y397" s="916">
        <f ca="1">IFERROR($I397*(参考2_エネ使用量経年!Y247+参考2_エネ使用量経年!Y334)*1000,"")</f>
        <v>0</v>
      </c>
      <c r="Z397" s="916">
        <f ca="1">IFERROR($J397*(参考2_エネ使用量経年!Z247+参考2_エネ使用量経年!Z334)*1000,"")</f>
        <v>0</v>
      </c>
      <c r="AA397" s="916">
        <f ca="1">IFERROR($K397*(参考2_エネ使用量経年!AA247+参考2_エネ使用量経年!AA334)*1000,"")</f>
        <v>0</v>
      </c>
      <c r="AB397" s="916" t="str">
        <f ca="1">IFERROR($H397*(参考2_エネ使用量経年!AB247+参考2_エネ使用量経年!AB334)*1000,"")</f>
        <v/>
      </c>
      <c r="AC397" s="916" t="str">
        <f ca="1">IFERROR($I397*(参考2_エネ使用量経年!AC247+参考2_エネ使用量経年!AC334)*1000,"")</f>
        <v/>
      </c>
      <c r="AD397" s="916" t="str">
        <f ca="1">IFERROR($J397*(参考2_エネ使用量経年!AD247+参考2_エネ使用量経年!AD334)*1000,"")</f>
        <v/>
      </c>
      <c r="AE397" s="916" t="str">
        <f ca="1">IFERROR($K397*(参考2_エネ使用量経年!AE247+参考2_エネ使用量経年!AE334)*1000,"")</f>
        <v/>
      </c>
      <c r="AF397" s="916" t="str">
        <f ca="1">IFERROR($H397*(参考2_エネ使用量経年!AF247+参考2_エネ使用量経年!AF334)*1000,"")</f>
        <v/>
      </c>
      <c r="AG397" s="916" t="str">
        <f ca="1">IFERROR($I397*(参考2_エネ使用量経年!AG247+参考2_エネ使用量経年!AG334)*1000,"")</f>
        <v/>
      </c>
      <c r="AH397" s="916" t="str">
        <f ca="1">IFERROR($J397*(参考2_エネ使用量経年!AH247+参考2_エネ使用量経年!AH334)*1000,"")</f>
        <v/>
      </c>
      <c r="AI397" s="916" t="str">
        <f ca="1">IFERROR($K397*(参考2_エネ使用量経年!AI247+参考2_エネ使用量経年!AI334)*1000,"")</f>
        <v/>
      </c>
      <c r="AJ397" s="916" t="str">
        <f ca="1">IFERROR($H397*(参考2_エネ使用量経年!AJ247+参考2_エネ使用量経年!AJ334)*1000,"")</f>
        <v/>
      </c>
      <c r="AK397" s="916" t="str">
        <f ca="1">IFERROR($I397*(参考2_エネ使用量経年!AK247+参考2_エネ使用量経年!AK334)*1000,"")</f>
        <v/>
      </c>
      <c r="AL397" s="916" t="str">
        <f ca="1">IFERROR($J397*(参考2_エネ使用量経年!AL247+参考2_エネ使用量経年!AL334)*1000,"")</f>
        <v/>
      </c>
      <c r="AM397" s="916" t="str">
        <f ca="1">IFERROR($K397*(参考2_エネ使用量経年!AM247+参考2_エネ使用量経年!AM334)*1000,"")</f>
        <v/>
      </c>
      <c r="AN397" s="916" t="str">
        <f ca="1">IFERROR($H397*(参考2_エネ使用量経年!AN247+参考2_エネ使用量経年!AN334)*1000,"")</f>
        <v/>
      </c>
      <c r="AO397" s="916" t="str">
        <f ca="1">IFERROR($I397*(参考2_エネ使用量経年!AO247+参考2_エネ使用量経年!AO334)*1000,"")</f>
        <v/>
      </c>
      <c r="AP397" s="916" t="str">
        <f ca="1">IFERROR($J397*(参考2_エネ使用量経年!AP247+参考2_エネ使用量経年!AP334)*1000,"")</f>
        <v/>
      </c>
      <c r="AQ397" s="916" t="str">
        <f ca="1">IFERROR($K397*(参考2_エネ使用量経年!AQ247+参考2_エネ使用量経年!AQ334)*1000,"")</f>
        <v/>
      </c>
      <c r="AR397" s="916" t="str">
        <f ca="1">IFERROR($H397*(参考2_エネ使用量経年!AR247+参考2_エネ使用量経年!AR334)*1000,"")</f>
        <v/>
      </c>
      <c r="AS397" s="916" t="str">
        <f ca="1">IFERROR($I397*(参考2_エネ使用量経年!AS247+参考2_エネ使用量経年!AS334)*1000,"")</f>
        <v/>
      </c>
      <c r="AT397" s="916" t="str">
        <f ca="1">IFERROR($J397*(参考2_エネ使用量経年!AT247+参考2_エネ使用量経年!AT334)*1000,"")</f>
        <v/>
      </c>
      <c r="AU397" s="916" t="str">
        <f ca="1">IFERROR($K397*(参考2_エネ使用量経年!AU247+参考2_エネ使用量経年!AU334)*1000,"")</f>
        <v/>
      </c>
      <c r="AV397" s="916" t="str">
        <f ca="1">IFERROR($H397*(参考2_エネ使用量経年!AV247+参考2_エネ使用量経年!AV334)*1000,"")</f>
        <v/>
      </c>
      <c r="AW397" s="916" t="str">
        <f ca="1">IFERROR($I397*(参考2_エネ使用量経年!AW247+参考2_エネ使用量経年!AW334)*1000,"")</f>
        <v/>
      </c>
      <c r="AX397" s="916" t="str">
        <f ca="1">IFERROR($J397*(参考2_エネ使用量経年!AX247+参考2_エネ使用量経年!AX334)*1000,"")</f>
        <v/>
      </c>
      <c r="AY397" s="916" t="str">
        <f ca="1">IFERROR($K397*(参考2_エネ使用量経年!AY247+参考2_エネ使用量経年!AY334)*1000,"")</f>
        <v/>
      </c>
      <c r="AZ397" s="916" t="str">
        <f ca="1">IFERROR($H397*(参考2_エネ使用量経年!AZ247+参考2_エネ使用量経年!AZ334)*1000,"")</f>
        <v/>
      </c>
      <c r="BA397" s="916" t="str">
        <f ca="1">IFERROR($I397*(参考2_エネ使用量経年!BA247+参考2_エネ使用量経年!BA334)*1000,"")</f>
        <v/>
      </c>
      <c r="BB397" s="916" t="str">
        <f ca="1">IFERROR($J397*(参考2_エネ使用量経年!BB247+参考2_エネ使用量経年!BB334)*1000,"")</f>
        <v/>
      </c>
      <c r="BC397" s="916" t="str">
        <f ca="1">IFERROR($K397*(参考2_エネ使用量経年!BC247+参考2_エネ使用量経年!BC334)*1000,"")</f>
        <v/>
      </c>
      <c r="BD397" s="916" t="str">
        <f ca="1">IFERROR($H397*(参考2_エネ使用量経年!BD247+参考2_エネ使用量経年!BD334)*1000,"")</f>
        <v/>
      </c>
      <c r="BE397" s="916" t="str">
        <f ca="1">IFERROR($I397*(参考2_エネ使用量経年!BE247+参考2_エネ使用量経年!BE334)*1000,"")</f>
        <v/>
      </c>
      <c r="BF397" s="916" t="str">
        <f ca="1">IFERROR($J397*(参考2_エネ使用量経年!BF247+参考2_エネ使用量経年!BF334)*1000,"")</f>
        <v/>
      </c>
      <c r="BG397" s="916" t="str">
        <f ca="1">IFERROR($K397*(参考2_エネ使用量経年!BG247+参考2_エネ使用量経年!BG334)*1000,"")</f>
        <v/>
      </c>
      <c r="BH397" s="916" t="str">
        <f ca="1">IFERROR($H397*(参考2_エネ使用量経年!BH247+参考2_エネ使用量経年!BH334)*1000,"")</f>
        <v/>
      </c>
      <c r="BI397" s="916" t="str">
        <f ca="1">IFERROR($I397*(参考2_エネ使用量経年!BI247+参考2_エネ使用量経年!BI334)*1000,"")</f>
        <v/>
      </c>
      <c r="BJ397" s="916" t="str">
        <f ca="1">IFERROR($J397*(参考2_エネ使用量経年!BJ247+参考2_エネ使用量経年!BJ334)*1000,"")</f>
        <v/>
      </c>
      <c r="BK397" s="916" t="str">
        <f ca="1">IFERROR($K397*(参考2_エネ使用量経年!BK247+参考2_エネ使用量経年!BK334)*1000,"")</f>
        <v/>
      </c>
      <c r="BL397" s="916" t="str">
        <f ca="1">IFERROR($H397*(参考2_エネ使用量経年!BL247+参考2_エネ使用量経年!BL334)*1000,"")</f>
        <v/>
      </c>
      <c r="BM397" s="916" t="str">
        <f ca="1">IFERROR($I397*(参考2_エネ使用量経年!BM247+参考2_エネ使用量経年!BM334)*1000,"")</f>
        <v/>
      </c>
      <c r="BN397" s="916" t="str">
        <f ca="1">IFERROR($J397*(参考2_エネ使用量経年!BN247+参考2_エネ使用量経年!BN334)*1000,"")</f>
        <v/>
      </c>
      <c r="BO397" s="916" t="str">
        <f ca="1">IFERROR($K397*(参考2_エネ使用量経年!BO247+参考2_エネ使用量経年!BO334)*1000,"")</f>
        <v/>
      </c>
      <c r="BP397" s="802"/>
    </row>
    <row r="398" spans="1:68" ht="20.100000000000001" customHeight="1">
      <c r="A398" s="914">
        <v>96</v>
      </c>
      <c r="B398" s="1594"/>
      <c r="C398" s="1596"/>
      <c r="D398" s="814" t="s">
        <v>414</v>
      </c>
      <c r="E398" s="838" t="str">
        <f ca="1">参考2_エネ使用量経年!E424</f>
        <v/>
      </c>
      <c r="F398" s="842"/>
      <c r="G398" s="852" t="s">
        <v>1281</v>
      </c>
      <c r="H398" s="915">
        <f t="shared" ca="1" si="126"/>
        <v>0</v>
      </c>
      <c r="I398" s="915">
        <f t="shared" ca="1" si="127"/>
        <v>0</v>
      </c>
      <c r="J398" s="915">
        <f t="shared" ca="1" si="128"/>
        <v>0</v>
      </c>
      <c r="K398" s="915">
        <f t="shared" ca="1" si="129"/>
        <v>0</v>
      </c>
      <c r="L398" s="916">
        <f ca="1">IFERROR($H398*(参考2_エネ使用量経年!L248+参考2_エネ使用量経年!L335)*1000,"")</f>
        <v>0</v>
      </c>
      <c r="M398" s="916">
        <f ca="1">IFERROR($I398*(参考2_エネ使用量経年!M248+参考2_エネ使用量経年!M335)*1000,"")</f>
        <v>0</v>
      </c>
      <c r="N398" s="916">
        <f ca="1">IFERROR($J398*(参考2_エネ使用量経年!N248+参考2_エネ使用量経年!N335)*1000,"")</f>
        <v>0</v>
      </c>
      <c r="O398" s="916">
        <f ca="1">IFERROR($K398*(参考2_エネ使用量経年!O248+参考2_エネ使用量経年!O335)*1000,"")</f>
        <v>0</v>
      </c>
      <c r="P398" s="916">
        <f ca="1">IFERROR($H398*(参考2_エネ使用量経年!P248+参考2_エネ使用量経年!P335)*1000,"")</f>
        <v>0</v>
      </c>
      <c r="Q398" s="916">
        <f ca="1">IFERROR($I398*(参考2_エネ使用量経年!Q248+参考2_エネ使用量経年!Q335)*1000,"")</f>
        <v>0</v>
      </c>
      <c r="R398" s="916">
        <f ca="1">IFERROR($J398*(参考2_エネ使用量経年!R248+参考2_エネ使用量経年!R335)*1000,"")</f>
        <v>0</v>
      </c>
      <c r="S398" s="916">
        <f ca="1">IFERROR($K398*(参考2_エネ使用量経年!S248+参考2_エネ使用量経年!S335)*1000,"")</f>
        <v>0</v>
      </c>
      <c r="T398" s="916">
        <f ca="1">IFERROR($H398*(参考2_エネ使用量経年!T248+参考2_エネ使用量経年!T335)*1000,"")</f>
        <v>0</v>
      </c>
      <c r="U398" s="916">
        <f ca="1">IFERROR($I398*(参考2_エネ使用量経年!U248+参考2_エネ使用量経年!U335)*1000,"")</f>
        <v>0</v>
      </c>
      <c r="V398" s="916">
        <f ca="1">IFERROR($J398*(参考2_エネ使用量経年!V248+参考2_エネ使用量経年!V335)*1000,"")</f>
        <v>0</v>
      </c>
      <c r="W398" s="916">
        <f ca="1">IFERROR($K398*(参考2_エネ使用量経年!W248+参考2_エネ使用量経年!W335)*1000,"")</f>
        <v>0</v>
      </c>
      <c r="X398" s="916">
        <f ca="1">IFERROR($H398*(参考2_エネ使用量経年!X248+参考2_エネ使用量経年!X335)*1000,"")</f>
        <v>0</v>
      </c>
      <c r="Y398" s="916">
        <f ca="1">IFERROR($I398*(参考2_エネ使用量経年!Y248+参考2_エネ使用量経年!Y335)*1000,"")</f>
        <v>0</v>
      </c>
      <c r="Z398" s="916">
        <f ca="1">IFERROR($J398*(参考2_エネ使用量経年!Z248+参考2_エネ使用量経年!Z335)*1000,"")</f>
        <v>0</v>
      </c>
      <c r="AA398" s="916">
        <f ca="1">IFERROR($K398*(参考2_エネ使用量経年!AA248+参考2_エネ使用量経年!AA335)*1000,"")</f>
        <v>0</v>
      </c>
      <c r="AB398" s="916" t="str">
        <f ca="1">IFERROR($H398*(参考2_エネ使用量経年!AB248+参考2_エネ使用量経年!AB335)*1000,"")</f>
        <v/>
      </c>
      <c r="AC398" s="916" t="str">
        <f ca="1">IFERROR($I398*(参考2_エネ使用量経年!AC248+参考2_エネ使用量経年!AC335)*1000,"")</f>
        <v/>
      </c>
      <c r="AD398" s="916" t="str">
        <f ca="1">IFERROR($J398*(参考2_エネ使用量経年!AD248+参考2_エネ使用量経年!AD335)*1000,"")</f>
        <v/>
      </c>
      <c r="AE398" s="916" t="str">
        <f ca="1">IFERROR($K398*(参考2_エネ使用量経年!AE248+参考2_エネ使用量経年!AE335)*1000,"")</f>
        <v/>
      </c>
      <c r="AF398" s="916" t="str">
        <f ca="1">IFERROR($H398*(参考2_エネ使用量経年!AF248+参考2_エネ使用量経年!AF335)*1000,"")</f>
        <v/>
      </c>
      <c r="AG398" s="916" t="str">
        <f ca="1">IFERROR($I398*(参考2_エネ使用量経年!AG248+参考2_エネ使用量経年!AG335)*1000,"")</f>
        <v/>
      </c>
      <c r="AH398" s="916" t="str">
        <f ca="1">IFERROR($J398*(参考2_エネ使用量経年!AH248+参考2_エネ使用量経年!AH335)*1000,"")</f>
        <v/>
      </c>
      <c r="AI398" s="916" t="str">
        <f ca="1">IFERROR($K398*(参考2_エネ使用量経年!AI248+参考2_エネ使用量経年!AI335)*1000,"")</f>
        <v/>
      </c>
      <c r="AJ398" s="916" t="str">
        <f ca="1">IFERROR($H398*(参考2_エネ使用量経年!AJ248+参考2_エネ使用量経年!AJ335)*1000,"")</f>
        <v/>
      </c>
      <c r="AK398" s="916" t="str">
        <f ca="1">IFERROR($I398*(参考2_エネ使用量経年!AK248+参考2_エネ使用量経年!AK335)*1000,"")</f>
        <v/>
      </c>
      <c r="AL398" s="916" t="str">
        <f ca="1">IFERROR($J398*(参考2_エネ使用量経年!AL248+参考2_エネ使用量経年!AL335)*1000,"")</f>
        <v/>
      </c>
      <c r="AM398" s="916" t="str">
        <f ca="1">IFERROR($K398*(参考2_エネ使用量経年!AM248+参考2_エネ使用量経年!AM335)*1000,"")</f>
        <v/>
      </c>
      <c r="AN398" s="916" t="str">
        <f ca="1">IFERROR($H398*(参考2_エネ使用量経年!AN248+参考2_エネ使用量経年!AN335)*1000,"")</f>
        <v/>
      </c>
      <c r="AO398" s="916" t="str">
        <f ca="1">IFERROR($I398*(参考2_エネ使用量経年!AO248+参考2_エネ使用量経年!AO335)*1000,"")</f>
        <v/>
      </c>
      <c r="AP398" s="916" t="str">
        <f ca="1">IFERROR($J398*(参考2_エネ使用量経年!AP248+参考2_エネ使用量経年!AP335)*1000,"")</f>
        <v/>
      </c>
      <c r="AQ398" s="916" t="str">
        <f ca="1">IFERROR($K398*(参考2_エネ使用量経年!AQ248+参考2_エネ使用量経年!AQ335)*1000,"")</f>
        <v/>
      </c>
      <c r="AR398" s="916" t="str">
        <f ca="1">IFERROR($H398*(参考2_エネ使用量経年!AR248+参考2_エネ使用量経年!AR335)*1000,"")</f>
        <v/>
      </c>
      <c r="AS398" s="916" t="str">
        <f ca="1">IFERROR($I398*(参考2_エネ使用量経年!AS248+参考2_エネ使用量経年!AS335)*1000,"")</f>
        <v/>
      </c>
      <c r="AT398" s="916" t="str">
        <f ca="1">IFERROR($J398*(参考2_エネ使用量経年!AT248+参考2_エネ使用量経年!AT335)*1000,"")</f>
        <v/>
      </c>
      <c r="AU398" s="916" t="str">
        <f ca="1">IFERROR($K398*(参考2_エネ使用量経年!AU248+参考2_エネ使用量経年!AU335)*1000,"")</f>
        <v/>
      </c>
      <c r="AV398" s="916" t="str">
        <f ca="1">IFERROR($H398*(参考2_エネ使用量経年!AV248+参考2_エネ使用量経年!AV335)*1000,"")</f>
        <v/>
      </c>
      <c r="AW398" s="916" t="str">
        <f ca="1">IFERROR($I398*(参考2_エネ使用量経年!AW248+参考2_エネ使用量経年!AW335)*1000,"")</f>
        <v/>
      </c>
      <c r="AX398" s="916" t="str">
        <f ca="1">IFERROR($J398*(参考2_エネ使用量経年!AX248+参考2_エネ使用量経年!AX335)*1000,"")</f>
        <v/>
      </c>
      <c r="AY398" s="916" t="str">
        <f ca="1">IFERROR($K398*(参考2_エネ使用量経年!AY248+参考2_エネ使用量経年!AY335)*1000,"")</f>
        <v/>
      </c>
      <c r="AZ398" s="916" t="str">
        <f ca="1">IFERROR($H398*(参考2_エネ使用量経年!AZ248+参考2_エネ使用量経年!AZ335)*1000,"")</f>
        <v/>
      </c>
      <c r="BA398" s="916" t="str">
        <f ca="1">IFERROR($I398*(参考2_エネ使用量経年!BA248+参考2_エネ使用量経年!BA335)*1000,"")</f>
        <v/>
      </c>
      <c r="BB398" s="916" t="str">
        <f ca="1">IFERROR($J398*(参考2_エネ使用量経年!BB248+参考2_エネ使用量経年!BB335)*1000,"")</f>
        <v/>
      </c>
      <c r="BC398" s="916" t="str">
        <f ca="1">IFERROR($K398*(参考2_エネ使用量経年!BC248+参考2_エネ使用量経年!BC335)*1000,"")</f>
        <v/>
      </c>
      <c r="BD398" s="916" t="str">
        <f ca="1">IFERROR($H398*(参考2_エネ使用量経年!BD248+参考2_エネ使用量経年!BD335)*1000,"")</f>
        <v/>
      </c>
      <c r="BE398" s="916" t="str">
        <f ca="1">IFERROR($I398*(参考2_エネ使用量経年!BE248+参考2_エネ使用量経年!BE335)*1000,"")</f>
        <v/>
      </c>
      <c r="BF398" s="916" t="str">
        <f ca="1">IFERROR($J398*(参考2_エネ使用量経年!BF248+参考2_エネ使用量経年!BF335)*1000,"")</f>
        <v/>
      </c>
      <c r="BG398" s="916" t="str">
        <f ca="1">IFERROR($K398*(参考2_エネ使用量経年!BG248+参考2_エネ使用量経年!BG335)*1000,"")</f>
        <v/>
      </c>
      <c r="BH398" s="916" t="str">
        <f ca="1">IFERROR($H398*(参考2_エネ使用量経年!BH248+参考2_エネ使用量経年!BH335)*1000,"")</f>
        <v/>
      </c>
      <c r="BI398" s="916" t="str">
        <f ca="1">IFERROR($I398*(参考2_エネ使用量経年!BI248+参考2_エネ使用量経年!BI335)*1000,"")</f>
        <v/>
      </c>
      <c r="BJ398" s="916" t="str">
        <f ca="1">IFERROR($J398*(参考2_エネ使用量経年!BJ248+参考2_エネ使用量経年!BJ335)*1000,"")</f>
        <v/>
      </c>
      <c r="BK398" s="916" t="str">
        <f ca="1">IFERROR($K398*(参考2_エネ使用量経年!BK248+参考2_エネ使用量経年!BK335)*1000,"")</f>
        <v/>
      </c>
      <c r="BL398" s="916" t="str">
        <f ca="1">IFERROR($H398*(参考2_エネ使用量経年!BL248+参考2_エネ使用量経年!BL335)*1000,"")</f>
        <v/>
      </c>
      <c r="BM398" s="916" t="str">
        <f ca="1">IFERROR($I398*(参考2_エネ使用量経年!BM248+参考2_エネ使用量経年!BM335)*1000,"")</f>
        <v/>
      </c>
      <c r="BN398" s="916" t="str">
        <f ca="1">IFERROR($J398*(参考2_エネ使用量経年!BN248+参考2_エネ使用量経年!BN335)*1000,"")</f>
        <v/>
      </c>
      <c r="BO398" s="916" t="str">
        <f ca="1">IFERROR($K398*(参考2_エネ使用量経年!BO248+参考2_エネ使用量経年!BO335)*1000,"")</f>
        <v/>
      </c>
      <c r="BP398" s="802"/>
    </row>
    <row r="399" spans="1:68" ht="20.100000000000001" customHeight="1">
      <c r="A399" s="747">
        <v>97</v>
      </c>
      <c r="B399" s="1594"/>
      <c r="C399" s="1596"/>
      <c r="D399" s="814" t="s">
        <v>416</v>
      </c>
      <c r="E399" s="838" t="str">
        <f ca="1">参考2_エネ使用量経年!E425</f>
        <v/>
      </c>
      <c r="F399" s="842"/>
      <c r="G399" s="852" t="s">
        <v>1281</v>
      </c>
      <c r="H399" s="915">
        <f t="shared" ca="1" si="126"/>
        <v>0</v>
      </c>
      <c r="I399" s="915">
        <f t="shared" ca="1" si="127"/>
        <v>0</v>
      </c>
      <c r="J399" s="915">
        <f t="shared" ca="1" si="128"/>
        <v>0</v>
      </c>
      <c r="K399" s="915">
        <f t="shared" ca="1" si="129"/>
        <v>0</v>
      </c>
      <c r="L399" s="916">
        <f ca="1">IFERROR($H399*(参考2_エネ使用量経年!L249+参考2_エネ使用量経年!L336)*1000,"")</f>
        <v>0</v>
      </c>
      <c r="M399" s="916">
        <f ca="1">IFERROR($I399*(参考2_エネ使用量経年!M249+参考2_エネ使用量経年!M336)*1000,"")</f>
        <v>0</v>
      </c>
      <c r="N399" s="916">
        <f ca="1">IFERROR($J399*(参考2_エネ使用量経年!N249+参考2_エネ使用量経年!N336)*1000,"")</f>
        <v>0</v>
      </c>
      <c r="O399" s="916">
        <f ca="1">IFERROR($K399*(参考2_エネ使用量経年!O249+参考2_エネ使用量経年!O336)*1000,"")</f>
        <v>0</v>
      </c>
      <c r="P399" s="916">
        <f ca="1">IFERROR($H399*(参考2_エネ使用量経年!P249+参考2_エネ使用量経年!P336)*1000,"")</f>
        <v>0</v>
      </c>
      <c r="Q399" s="916">
        <f ca="1">IFERROR($I399*(参考2_エネ使用量経年!Q249+参考2_エネ使用量経年!Q336)*1000,"")</f>
        <v>0</v>
      </c>
      <c r="R399" s="916">
        <f ca="1">IFERROR($J399*(参考2_エネ使用量経年!R249+参考2_エネ使用量経年!R336)*1000,"")</f>
        <v>0</v>
      </c>
      <c r="S399" s="916">
        <f ca="1">IFERROR($K399*(参考2_エネ使用量経年!S249+参考2_エネ使用量経年!S336)*1000,"")</f>
        <v>0</v>
      </c>
      <c r="T399" s="916">
        <f ca="1">IFERROR($H399*(参考2_エネ使用量経年!T249+参考2_エネ使用量経年!T336)*1000,"")</f>
        <v>0</v>
      </c>
      <c r="U399" s="916">
        <f ca="1">IFERROR($I399*(参考2_エネ使用量経年!U249+参考2_エネ使用量経年!U336)*1000,"")</f>
        <v>0</v>
      </c>
      <c r="V399" s="916">
        <f ca="1">IFERROR($J399*(参考2_エネ使用量経年!V249+参考2_エネ使用量経年!V336)*1000,"")</f>
        <v>0</v>
      </c>
      <c r="W399" s="916">
        <f ca="1">IFERROR($K399*(参考2_エネ使用量経年!W249+参考2_エネ使用量経年!W336)*1000,"")</f>
        <v>0</v>
      </c>
      <c r="X399" s="916">
        <f ca="1">IFERROR($H399*(参考2_エネ使用量経年!X249+参考2_エネ使用量経年!X336)*1000,"")</f>
        <v>0</v>
      </c>
      <c r="Y399" s="916">
        <f ca="1">IFERROR($I399*(参考2_エネ使用量経年!Y249+参考2_エネ使用量経年!Y336)*1000,"")</f>
        <v>0</v>
      </c>
      <c r="Z399" s="916">
        <f ca="1">IFERROR($J399*(参考2_エネ使用量経年!Z249+参考2_エネ使用量経年!Z336)*1000,"")</f>
        <v>0</v>
      </c>
      <c r="AA399" s="916">
        <f ca="1">IFERROR($K399*(参考2_エネ使用量経年!AA249+参考2_エネ使用量経年!AA336)*1000,"")</f>
        <v>0</v>
      </c>
      <c r="AB399" s="916" t="str">
        <f ca="1">IFERROR($H399*(参考2_エネ使用量経年!AB249+参考2_エネ使用量経年!AB336)*1000,"")</f>
        <v/>
      </c>
      <c r="AC399" s="916" t="str">
        <f ca="1">IFERROR($I399*(参考2_エネ使用量経年!AC249+参考2_エネ使用量経年!AC336)*1000,"")</f>
        <v/>
      </c>
      <c r="AD399" s="916" t="str">
        <f ca="1">IFERROR($J399*(参考2_エネ使用量経年!AD249+参考2_エネ使用量経年!AD336)*1000,"")</f>
        <v/>
      </c>
      <c r="AE399" s="916" t="str">
        <f ca="1">IFERROR($K399*(参考2_エネ使用量経年!AE249+参考2_エネ使用量経年!AE336)*1000,"")</f>
        <v/>
      </c>
      <c r="AF399" s="916" t="str">
        <f ca="1">IFERROR($H399*(参考2_エネ使用量経年!AF249+参考2_エネ使用量経年!AF336)*1000,"")</f>
        <v/>
      </c>
      <c r="AG399" s="916" t="str">
        <f ca="1">IFERROR($I399*(参考2_エネ使用量経年!AG249+参考2_エネ使用量経年!AG336)*1000,"")</f>
        <v/>
      </c>
      <c r="AH399" s="916" t="str">
        <f ca="1">IFERROR($J399*(参考2_エネ使用量経年!AH249+参考2_エネ使用量経年!AH336)*1000,"")</f>
        <v/>
      </c>
      <c r="AI399" s="916" t="str">
        <f ca="1">IFERROR($K399*(参考2_エネ使用量経年!AI249+参考2_エネ使用量経年!AI336)*1000,"")</f>
        <v/>
      </c>
      <c r="AJ399" s="916" t="str">
        <f ca="1">IFERROR($H399*(参考2_エネ使用量経年!AJ249+参考2_エネ使用量経年!AJ336)*1000,"")</f>
        <v/>
      </c>
      <c r="AK399" s="916" t="str">
        <f ca="1">IFERROR($I399*(参考2_エネ使用量経年!AK249+参考2_エネ使用量経年!AK336)*1000,"")</f>
        <v/>
      </c>
      <c r="AL399" s="916" t="str">
        <f ca="1">IFERROR($J399*(参考2_エネ使用量経年!AL249+参考2_エネ使用量経年!AL336)*1000,"")</f>
        <v/>
      </c>
      <c r="AM399" s="916" t="str">
        <f ca="1">IFERROR($K399*(参考2_エネ使用量経年!AM249+参考2_エネ使用量経年!AM336)*1000,"")</f>
        <v/>
      </c>
      <c r="AN399" s="916" t="str">
        <f ca="1">IFERROR($H399*(参考2_エネ使用量経年!AN249+参考2_エネ使用量経年!AN336)*1000,"")</f>
        <v/>
      </c>
      <c r="AO399" s="916" t="str">
        <f ca="1">IFERROR($I399*(参考2_エネ使用量経年!AO249+参考2_エネ使用量経年!AO336)*1000,"")</f>
        <v/>
      </c>
      <c r="AP399" s="916" t="str">
        <f ca="1">IFERROR($J399*(参考2_エネ使用量経年!AP249+参考2_エネ使用量経年!AP336)*1000,"")</f>
        <v/>
      </c>
      <c r="AQ399" s="916" t="str">
        <f ca="1">IFERROR($K399*(参考2_エネ使用量経年!AQ249+参考2_エネ使用量経年!AQ336)*1000,"")</f>
        <v/>
      </c>
      <c r="AR399" s="916" t="str">
        <f ca="1">IFERROR($H399*(参考2_エネ使用量経年!AR249+参考2_エネ使用量経年!AR336)*1000,"")</f>
        <v/>
      </c>
      <c r="AS399" s="916" t="str">
        <f ca="1">IFERROR($I399*(参考2_エネ使用量経年!AS249+参考2_エネ使用量経年!AS336)*1000,"")</f>
        <v/>
      </c>
      <c r="AT399" s="916" t="str">
        <f ca="1">IFERROR($J399*(参考2_エネ使用量経年!AT249+参考2_エネ使用量経年!AT336)*1000,"")</f>
        <v/>
      </c>
      <c r="AU399" s="916" t="str">
        <f ca="1">IFERROR($K399*(参考2_エネ使用量経年!AU249+参考2_エネ使用量経年!AU336)*1000,"")</f>
        <v/>
      </c>
      <c r="AV399" s="916" t="str">
        <f ca="1">IFERROR($H399*(参考2_エネ使用量経年!AV249+参考2_エネ使用量経年!AV336)*1000,"")</f>
        <v/>
      </c>
      <c r="AW399" s="916" t="str">
        <f ca="1">IFERROR($I399*(参考2_エネ使用量経年!AW249+参考2_エネ使用量経年!AW336)*1000,"")</f>
        <v/>
      </c>
      <c r="AX399" s="916" t="str">
        <f ca="1">IFERROR($J399*(参考2_エネ使用量経年!AX249+参考2_エネ使用量経年!AX336)*1000,"")</f>
        <v/>
      </c>
      <c r="AY399" s="916" t="str">
        <f ca="1">IFERROR($K399*(参考2_エネ使用量経年!AY249+参考2_エネ使用量経年!AY336)*1000,"")</f>
        <v/>
      </c>
      <c r="AZ399" s="916" t="str">
        <f ca="1">IFERROR($H399*(参考2_エネ使用量経年!AZ249+参考2_エネ使用量経年!AZ336)*1000,"")</f>
        <v/>
      </c>
      <c r="BA399" s="916" t="str">
        <f ca="1">IFERROR($I399*(参考2_エネ使用量経年!BA249+参考2_エネ使用量経年!BA336)*1000,"")</f>
        <v/>
      </c>
      <c r="BB399" s="916" t="str">
        <f ca="1">IFERROR($J399*(参考2_エネ使用量経年!BB249+参考2_エネ使用量経年!BB336)*1000,"")</f>
        <v/>
      </c>
      <c r="BC399" s="916" t="str">
        <f ca="1">IFERROR($K399*(参考2_エネ使用量経年!BC249+参考2_エネ使用量経年!BC336)*1000,"")</f>
        <v/>
      </c>
      <c r="BD399" s="916" t="str">
        <f ca="1">IFERROR($H399*(参考2_エネ使用量経年!BD249+参考2_エネ使用量経年!BD336)*1000,"")</f>
        <v/>
      </c>
      <c r="BE399" s="916" t="str">
        <f ca="1">IFERROR($I399*(参考2_エネ使用量経年!BE249+参考2_エネ使用量経年!BE336)*1000,"")</f>
        <v/>
      </c>
      <c r="BF399" s="916" t="str">
        <f ca="1">IFERROR($J399*(参考2_エネ使用量経年!BF249+参考2_エネ使用量経年!BF336)*1000,"")</f>
        <v/>
      </c>
      <c r="BG399" s="916" t="str">
        <f ca="1">IFERROR($K399*(参考2_エネ使用量経年!BG249+参考2_エネ使用量経年!BG336)*1000,"")</f>
        <v/>
      </c>
      <c r="BH399" s="916" t="str">
        <f ca="1">IFERROR($H399*(参考2_エネ使用量経年!BH249+参考2_エネ使用量経年!BH336)*1000,"")</f>
        <v/>
      </c>
      <c r="BI399" s="916" t="str">
        <f ca="1">IFERROR($I399*(参考2_エネ使用量経年!BI249+参考2_エネ使用量経年!BI336)*1000,"")</f>
        <v/>
      </c>
      <c r="BJ399" s="916" t="str">
        <f ca="1">IFERROR($J399*(参考2_エネ使用量経年!BJ249+参考2_エネ使用量経年!BJ336)*1000,"")</f>
        <v/>
      </c>
      <c r="BK399" s="916" t="str">
        <f ca="1">IFERROR($K399*(参考2_エネ使用量経年!BK249+参考2_エネ使用量経年!BK336)*1000,"")</f>
        <v/>
      </c>
      <c r="BL399" s="916" t="str">
        <f ca="1">IFERROR($H399*(参考2_エネ使用量経年!BL249+参考2_エネ使用量経年!BL336)*1000,"")</f>
        <v/>
      </c>
      <c r="BM399" s="916" t="str">
        <f ca="1">IFERROR($I399*(参考2_エネ使用量経年!BM249+参考2_エネ使用量経年!BM336)*1000,"")</f>
        <v/>
      </c>
      <c r="BN399" s="916" t="str">
        <f ca="1">IFERROR($J399*(参考2_エネ使用量経年!BN249+参考2_エネ使用量経年!BN336)*1000,"")</f>
        <v/>
      </c>
      <c r="BO399" s="916" t="str">
        <f ca="1">IFERROR($K399*(参考2_エネ使用量経年!BO249+参考2_エネ使用量経年!BO336)*1000,"")</f>
        <v/>
      </c>
      <c r="BP399" s="802"/>
    </row>
    <row r="400" spans="1:68" ht="20.100000000000001" customHeight="1">
      <c r="A400" s="914">
        <v>98</v>
      </c>
      <c r="B400" s="1594"/>
      <c r="C400" s="1596"/>
      <c r="D400" s="814" t="s">
        <v>418</v>
      </c>
      <c r="E400" s="838" t="str">
        <f ca="1">参考2_エネ使用量経年!E426</f>
        <v/>
      </c>
      <c r="F400" s="842"/>
      <c r="G400" s="852" t="s">
        <v>1281</v>
      </c>
      <c r="H400" s="915">
        <f t="shared" ca="1" si="126"/>
        <v>0</v>
      </c>
      <c r="I400" s="915">
        <f t="shared" ca="1" si="127"/>
        <v>0</v>
      </c>
      <c r="J400" s="915">
        <f t="shared" ca="1" si="128"/>
        <v>0</v>
      </c>
      <c r="K400" s="915">
        <f t="shared" ca="1" si="129"/>
        <v>0</v>
      </c>
      <c r="L400" s="916">
        <f ca="1">IFERROR($H400*(参考2_エネ使用量経年!L250+参考2_エネ使用量経年!L337)*1000,"")</f>
        <v>0</v>
      </c>
      <c r="M400" s="916">
        <f ca="1">IFERROR($I400*(参考2_エネ使用量経年!M250+参考2_エネ使用量経年!M337)*1000,"")</f>
        <v>0</v>
      </c>
      <c r="N400" s="916">
        <f ca="1">IFERROR($J400*(参考2_エネ使用量経年!N250+参考2_エネ使用量経年!N337)*1000,"")</f>
        <v>0</v>
      </c>
      <c r="O400" s="916">
        <f ca="1">IFERROR($K400*(参考2_エネ使用量経年!O250+参考2_エネ使用量経年!O337)*1000,"")</f>
        <v>0</v>
      </c>
      <c r="P400" s="916">
        <f ca="1">IFERROR($H400*(参考2_エネ使用量経年!P250+参考2_エネ使用量経年!P337)*1000,"")</f>
        <v>0</v>
      </c>
      <c r="Q400" s="916">
        <f ca="1">IFERROR($I400*(参考2_エネ使用量経年!Q250+参考2_エネ使用量経年!Q337)*1000,"")</f>
        <v>0</v>
      </c>
      <c r="R400" s="916">
        <f ca="1">IFERROR($J400*(参考2_エネ使用量経年!R250+参考2_エネ使用量経年!R337)*1000,"")</f>
        <v>0</v>
      </c>
      <c r="S400" s="916">
        <f ca="1">IFERROR($K400*(参考2_エネ使用量経年!S250+参考2_エネ使用量経年!S337)*1000,"")</f>
        <v>0</v>
      </c>
      <c r="T400" s="916">
        <f ca="1">IFERROR($H400*(参考2_エネ使用量経年!T250+参考2_エネ使用量経年!T337)*1000,"")</f>
        <v>0</v>
      </c>
      <c r="U400" s="916">
        <f ca="1">IFERROR($I400*(参考2_エネ使用量経年!U250+参考2_エネ使用量経年!U337)*1000,"")</f>
        <v>0</v>
      </c>
      <c r="V400" s="916">
        <f ca="1">IFERROR($J400*(参考2_エネ使用量経年!V250+参考2_エネ使用量経年!V337)*1000,"")</f>
        <v>0</v>
      </c>
      <c r="W400" s="916">
        <f ca="1">IFERROR($K400*(参考2_エネ使用量経年!W250+参考2_エネ使用量経年!W337)*1000,"")</f>
        <v>0</v>
      </c>
      <c r="X400" s="916">
        <f ca="1">IFERROR($H400*(参考2_エネ使用量経年!X250+参考2_エネ使用量経年!X337)*1000,"")</f>
        <v>0</v>
      </c>
      <c r="Y400" s="916">
        <f ca="1">IFERROR($I400*(参考2_エネ使用量経年!Y250+参考2_エネ使用量経年!Y337)*1000,"")</f>
        <v>0</v>
      </c>
      <c r="Z400" s="916">
        <f ca="1">IFERROR($J400*(参考2_エネ使用量経年!Z250+参考2_エネ使用量経年!Z337)*1000,"")</f>
        <v>0</v>
      </c>
      <c r="AA400" s="916">
        <f ca="1">IFERROR($K400*(参考2_エネ使用量経年!AA250+参考2_エネ使用量経年!AA337)*1000,"")</f>
        <v>0</v>
      </c>
      <c r="AB400" s="916" t="str">
        <f ca="1">IFERROR($H400*(参考2_エネ使用量経年!AB250+参考2_エネ使用量経年!AB337)*1000,"")</f>
        <v/>
      </c>
      <c r="AC400" s="916" t="str">
        <f ca="1">IFERROR($I400*(参考2_エネ使用量経年!AC250+参考2_エネ使用量経年!AC337)*1000,"")</f>
        <v/>
      </c>
      <c r="AD400" s="916" t="str">
        <f ca="1">IFERROR($J400*(参考2_エネ使用量経年!AD250+参考2_エネ使用量経年!AD337)*1000,"")</f>
        <v/>
      </c>
      <c r="AE400" s="916" t="str">
        <f ca="1">IFERROR($K400*(参考2_エネ使用量経年!AE250+参考2_エネ使用量経年!AE337)*1000,"")</f>
        <v/>
      </c>
      <c r="AF400" s="916" t="str">
        <f ca="1">IFERROR($H400*(参考2_エネ使用量経年!AF250+参考2_エネ使用量経年!AF337)*1000,"")</f>
        <v/>
      </c>
      <c r="AG400" s="916" t="str">
        <f ca="1">IFERROR($I400*(参考2_エネ使用量経年!AG250+参考2_エネ使用量経年!AG337)*1000,"")</f>
        <v/>
      </c>
      <c r="AH400" s="916" t="str">
        <f ca="1">IFERROR($J400*(参考2_エネ使用量経年!AH250+参考2_エネ使用量経年!AH337)*1000,"")</f>
        <v/>
      </c>
      <c r="AI400" s="916" t="str">
        <f ca="1">IFERROR($K400*(参考2_エネ使用量経年!AI250+参考2_エネ使用量経年!AI337)*1000,"")</f>
        <v/>
      </c>
      <c r="AJ400" s="916" t="str">
        <f ca="1">IFERROR($H400*(参考2_エネ使用量経年!AJ250+参考2_エネ使用量経年!AJ337)*1000,"")</f>
        <v/>
      </c>
      <c r="AK400" s="916" t="str">
        <f ca="1">IFERROR($I400*(参考2_エネ使用量経年!AK250+参考2_エネ使用量経年!AK337)*1000,"")</f>
        <v/>
      </c>
      <c r="AL400" s="916" t="str">
        <f ca="1">IFERROR($J400*(参考2_エネ使用量経年!AL250+参考2_エネ使用量経年!AL337)*1000,"")</f>
        <v/>
      </c>
      <c r="AM400" s="916" t="str">
        <f ca="1">IFERROR($K400*(参考2_エネ使用量経年!AM250+参考2_エネ使用量経年!AM337)*1000,"")</f>
        <v/>
      </c>
      <c r="AN400" s="916" t="str">
        <f ca="1">IFERROR($H400*(参考2_エネ使用量経年!AN250+参考2_エネ使用量経年!AN337)*1000,"")</f>
        <v/>
      </c>
      <c r="AO400" s="916" t="str">
        <f ca="1">IFERROR($I400*(参考2_エネ使用量経年!AO250+参考2_エネ使用量経年!AO337)*1000,"")</f>
        <v/>
      </c>
      <c r="AP400" s="916" t="str">
        <f ca="1">IFERROR($J400*(参考2_エネ使用量経年!AP250+参考2_エネ使用量経年!AP337)*1000,"")</f>
        <v/>
      </c>
      <c r="AQ400" s="916" t="str">
        <f ca="1">IFERROR($K400*(参考2_エネ使用量経年!AQ250+参考2_エネ使用量経年!AQ337)*1000,"")</f>
        <v/>
      </c>
      <c r="AR400" s="916" t="str">
        <f ca="1">IFERROR($H400*(参考2_エネ使用量経年!AR250+参考2_エネ使用量経年!AR337)*1000,"")</f>
        <v/>
      </c>
      <c r="AS400" s="916" t="str">
        <f ca="1">IFERROR($I400*(参考2_エネ使用量経年!AS250+参考2_エネ使用量経年!AS337)*1000,"")</f>
        <v/>
      </c>
      <c r="AT400" s="916" t="str">
        <f ca="1">IFERROR($J400*(参考2_エネ使用量経年!AT250+参考2_エネ使用量経年!AT337)*1000,"")</f>
        <v/>
      </c>
      <c r="AU400" s="916" t="str">
        <f ca="1">IFERROR($K400*(参考2_エネ使用量経年!AU250+参考2_エネ使用量経年!AU337)*1000,"")</f>
        <v/>
      </c>
      <c r="AV400" s="916" t="str">
        <f ca="1">IFERROR($H400*(参考2_エネ使用量経年!AV250+参考2_エネ使用量経年!AV337)*1000,"")</f>
        <v/>
      </c>
      <c r="AW400" s="916" t="str">
        <f ca="1">IFERROR($I400*(参考2_エネ使用量経年!AW250+参考2_エネ使用量経年!AW337)*1000,"")</f>
        <v/>
      </c>
      <c r="AX400" s="916" t="str">
        <f ca="1">IFERROR($J400*(参考2_エネ使用量経年!AX250+参考2_エネ使用量経年!AX337)*1000,"")</f>
        <v/>
      </c>
      <c r="AY400" s="916" t="str">
        <f ca="1">IFERROR($K400*(参考2_エネ使用量経年!AY250+参考2_エネ使用量経年!AY337)*1000,"")</f>
        <v/>
      </c>
      <c r="AZ400" s="916" t="str">
        <f ca="1">IFERROR($H400*(参考2_エネ使用量経年!AZ250+参考2_エネ使用量経年!AZ337)*1000,"")</f>
        <v/>
      </c>
      <c r="BA400" s="916" t="str">
        <f ca="1">IFERROR($I400*(参考2_エネ使用量経年!BA250+参考2_エネ使用量経年!BA337)*1000,"")</f>
        <v/>
      </c>
      <c r="BB400" s="916" t="str">
        <f ca="1">IFERROR($J400*(参考2_エネ使用量経年!BB250+参考2_エネ使用量経年!BB337)*1000,"")</f>
        <v/>
      </c>
      <c r="BC400" s="916" t="str">
        <f ca="1">IFERROR($K400*(参考2_エネ使用量経年!BC250+参考2_エネ使用量経年!BC337)*1000,"")</f>
        <v/>
      </c>
      <c r="BD400" s="916" t="str">
        <f ca="1">IFERROR($H400*(参考2_エネ使用量経年!BD250+参考2_エネ使用量経年!BD337)*1000,"")</f>
        <v/>
      </c>
      <c r="BE400" s="916" t="str">
        <f ca="1">IFERROR($I400*(参考2_エネ使用量経年!BE250+参考2_エネ使用量経年!BE337)*1000,"")</f>
        <v/>
      </c>
      <c r="BF400" s="916" t="str">
        <f ca="1">IFERROR($J400*(参考2_エネ使用量経年!BF250+参考2_エネ使用量経年!BF337)*1000,"")</f>
        <v/>
      </c>
      <c r="BG400" s="916" t="str">
        <f ca="1">IFERROR($K400*(参考2_エネ使用量経年!BG250+参考2_エネ使用量経年!BG337)*1000,"")</f>
        <v/>
      </c>
      <c r="BH400" s="916" t="str">
        <f ca="1">IFERROR($H400*(参考2_エネ使用量経年!BH250+参考2_エネ使用量経年!BH337)*1000,"")</f>
        <v/>
      </c>
      <c r="BI400" s="916" t="str">
        <f ca="1">IFERROR($I400*(参考2_エネ使用量経年!BI250+参考2_エネ使用量経年!BI337)*1000,"")</f>
        <v/>
      </c>
      <c r="BJ400" s="916" t="str">
        <f ca="1">IFERROR($J400*(参考2_エネ使用量経年!BJ250+参考2_エネ使用量経年!BJ337)*1000,"")</f>
        <v/>
      </c>
      <c r="BK400" s="916" t="str">
        <f ca="1">IFERROR($K400*(参考2_エネ使用量経年!BK250+参考2_エネ使用量経年!BK337)*1000,"")</f>
        <v/>
      </c>
      <c r="BL400" s="916" t="str">
        <f ca="1">IFERROR($H400*(参考2_エネ使用量経年!BL250+参考2_エネ使用量経年!BL337)*1000,"")</f>
        <v/>
      </c>
      <c r="BM400" s="916" t="str">
        <f ca="1">IFERROR($I400*(参考2_エネ使用量経年!BM250+参考2_エネ使用量経年!BM337)*1000,"")</f>
        <v/>
      </c>
      <c r="BN400" s="916" t="str">
        <f ca="1">IFERROR($J400*(参考2_エネ使用量経年!BN250+参考2_エネ使用量経年!BN337)*1000,"")</f>
        <v/>
      </c>
      <c r="BO400" s="916" t="str">
        <f ca="1">IFERROR($K400*(参考2_エネ使用量経年!BO250+参考2_エネ使用量経年!BO337)*1000,"")</f>
        <v/>
      </c>
      <c r="BP400" s="802"/>
    </row>
    <row r="401" spans="1:68" ht="20.100000000000001" customHeight="1">
      <c r="B401" s="1004" t="s">
        <v>972</v>
      </c>
      <c r="C401" s="1005"/>
      <c r="D401" s="785"/>
      <c r="E401" s="785"/>
      <c r="F401" s="810"/>
      <c r="G401" s="852" t="s">
        <v>1281</v>
      </c>
      <c r="H401" s="921"/>
      <c r="I401" s="921"/>
      <c r="J401" s="921"/>
      <c r="K401" s="921"/>
      <c r="L401" s="928">
        <f t="shared" ref="L401:O401" ca="1" si="130">SUM(L321:L400)</f>
        <v>0</v>
      </c>
      <c r="M401" s="928">
        <f t="shared" ca="1" si="130"/>
        <v>0</v>
      </c>
      <c r="N401" s="928">
        <f t="shared" ca="1" si="130"/>
        <v>0</v>
      </c>
      <c r="O401" s="928">
        <f t="shared" ca="1" si="130"/>
        <v>0</v>
      </c>
      <c r="P401" s="929">
        <f t="shared" ref="P401:BO401" ca="1" si="131">SUM(P321:P400)</f>
        <v>0</v>
      </c>
      <c r="Q401" s="929">
        <f t="shared" ca="1" si="131"/>
        <v>0</v>
      </c>
      <c r="R401" s="929">
        <f t="shared" ca="1" si="131"/>
        <v>0</v>
      </c>
      <c r="S401" s="929">
        <f t="shared" ca="1" si="131"/>
        <v>0</v>
      </c>
      <c r="T401" s="929">
        <f t="shared" ca="1" si="131"/>
        <v>0</v>
      </c>
      <c r="U401" s="929">
        <f t="shared" ca="1" si="131"/>
        <v>0</v>
      </c>
      <c r="V401" s="929">
        <f t="shared" ca="1" si="131"/>
        <v>0</v>
      </c>
      <c r="W401" s="929">
        <f t="shared" ca="1" si="131"/>
        <v>0</v>
      </c>
      <c r="X401" s="929">
        <f t="shared" ca="1" si="131"/>
        <v>0</v>
      </c>
      <c r="Y401" s="929">
        <f t="shared" ca="1" si="131"/>
        <v>0</v>
      </c>
      <c r="Z401" s="929">
        <f t="shared" ca="1" si="131"/>
        <v>0</v>
      </c>
      <c r="AA401" s="929">
        <f t="shared" ca="1" si="131"/>
        <v>0</v>
      </c>
      <c r="AB401" s="929">
        <f t="shared" ca="1" si="131"/>
        <v>0</v>
      </c>
      <c r="AC401" s="929">
        <f t="shared" ca="1" si="131"/>
        <v>0</v>
      </c>
      <c r="AD401" s="929">
        <f t="shared" ca="1" si="131"/>
        <v>0</v>
      </c>
      <c r="AE401" s="929">
        <f t="shared" ca="1" si="131"/>
        <v>0</v>
      </c>
      <c r="AF401" s="929">
        <f t="shared" ca="1" si="131"/>
        <v>0</v>
      </c>
      <c r="AG401" s="929">
        <f t="shared" ca="1" si="131"/>
        <v>0</v>
      </c>
      <c r="AH401" s="929">
        <f t="shared" ca="1" si="131"/>
        <v>0</v>
      </c>
      <c r="AI401" s="929">
        <f t="shared" ca="1" si="131"/>
        <v>0</v>
      </c>
      <c r="AJ401" s="929">
        <f t="shared" ca="1" si="131"/>
        <v>0</v>
      </c>
      <c r="AK401" s="929">
        <f t="shared" ca="1" si="131"/>
        <v>0</v>
      </c>
      <c r="AL401" s="929">
        <f t="shared" ca="1" si="131"/>
        <v>0</v>
      </c>
      <c r="AM401" s="929">
        <f t="shared" ca="1" si="131"/>
        <v>0</v>
      </c>
      <c r="AN401" s="929">
        <f t="shared" ca="1" si="131"/>
        <v>0</v>
      </c>
      <c r="AO401" s="929">
        <f t="shared" ca="1" si="131"/>
        <v>0</v>
      </c>
      <c r="AP401" s="929">
        <f t="shared" ca="1" si="131"/>
        <v>0</v>
      </c>
      <c r="AQ401" s="929">
        <f t="shared" ca="1" si="131"/>
        <v>0</v>
      </c>
      <c r="AR401" s="929">
        <f t="shared" ca="1" si="131"/>
        <v>0</v>
      </c>
      <c r="AS401" s="929">
        <f t="shared" ca="1" si="131"/>
        <v>0</v>
      </c>
      <c r="AT401" s="929">
        <f t="shared" ca="1" si="131"/>
        <v>0</v>
      </c>
      <c r="AU401" s="929">
        <f t="shared" ca="1" si="131"/>
        <v>0</v>
      </c>
      <c r="AV401" s="929">
        <f t="shared" ca="1" si="131"/>
        <v>0</v>
      </c>
      <c r="AW401" s="929">
        <f t="shared" ca="1" si="131"/>
        <v>0</v>
      </c>
      <c r="AX401" s="929">
        <f t="shared" ca="1" si="131"/>
        <v>0</v>
      </c>
      <c r="AY401" s="929">
        <f t="shared" ca="1" si="131"/>
        <v>0</v>
      </c>
      <c r="AZ401" s="929">
        <f t="shared" ca="1" si="131"/>
        <v>0</v>
      </c>
      <c r="BA401" s="929">
        <f t="shared" ca="1" si="131"/>
        <v>0</v>
      </c>
      <c r="BB401" s="929">
        <f t="shared" ca="1" si="131"/>
        <v>0</v>
      </c>
      <c r="BC401" s="929">
        <f t="shared" ca="1" si="131"/>
        <v>0</v>
      </c>
      <c r="BD401" s="929">
        <f t="shared" ca="1" si="131"/>
        <v>0</v>
      </c>
      <c r="BE401" s="929">
        <f t="shared" ca="1" si="131"/>
        <v>0</v>
      </c>
      <c r="BF401" s="929">
        <f t="shared" ca="1" si="131"/>
        <v>0</v>
      </c>
      <c r="BG401" s="929">
        <f t="shared" ca="1" si="131"/>
        <v>0</v>
      </c>
      <c r="BH401" s="929">
        <f t="shared" ca="1" si="131"/>
        <v>0</v>
      </c>
      <c r="BI401" s="929">
        <f t="shared" ca="1" si="131"/>
        <v>0</v>
      </c>
      <c r="BJ401" s="929">
        <f t="shared" ca="1" si="131"/>
        <v>0</v>
      </c>
      <c r="BK401" s="929">
        <f t="shared" ca="1" si="131"/>
        <v>0</v>
      </c>
      <c r="BL401" s="929">
        <f t="shared" ca="1" si="131"/>
        <v>0</v>
      </c>
      <c r="BM401" s="929">
        <f t="shared" ca="1" si="131"/>
        <v>0</v>
      </c>
      <c r="BN401" s="929">
        <f t="shared" ca="1" si="131"/>
        <v>0</v>
      </c>
      <c r="BO401" s="929">
        <f t="shared" ca="1" si="131"/>
        <v>0</v>
      </c>
      <c r="BP401" s="802"/>
    </row>
    <row r="402" spans="1:68" ht="20.100000000000001" customHeight="1">
      <c r="A402" s="747">
        <v>8</v>
      </c>
      <c r="B402" s="1662" t="s">
        <v>973</v>
      </c>
      <c r="C402" s="1663"/>
      <c r="D402" s="785" t="s">
        <v>782</v>
      </c>
      <c r="E402" s="790"/>
      <c r="F402" s="786"/>
      <c r="G402" s="852" t="s">
        <v>1281</v>
      </c>
      <c r="H402" s="996"/>
      <c r="I402" s="996"/>
      <c r="J402" s="996"/>
      <c r="K402" s="996"/>
      <c r="L402" s="916">
        <f ca="1">SUM(SUMIFS(OFFSET(A1_集計2024,$A402,10,1,200),OFFSET(貼付け_2024実績,4,9,1,200),{"横浜*","川崎*","県域*","エネルギー管理指定工場等*"}))+SUM(SUMIFS(OFFSET(A1_集計2024,$A402,11,1,200),OFFSET(貼付け_2024実績,4,9,1,200),{"横浜*","川崎*","県域*","エネルギー管理指定工場等*"}))</f>
        <v>0</v>
      </c>
      <c r="M402" s="916">
        <f ca="1">SUM(SUMIFS(OFFSET(A1_集計2025,$A402,10,1,200),OFFSET(貼付け_2025実績,4,9,1,200),{"横浜*","川崎*","県域*","エネルギー管理指定工場等*"}))+SUM(SUMIFS(OFFSET(A1_集計2025,$A402,11,1,200),OFFSET(貼付け_2025実績,4,9,1,200),{"横浜*","川崎*","県域*","エネルギー管理指定工場等*"}))</f>
        <v>0</v>
      </c>
      <c r="N402" s="916">
        <f ca="1">SUM(SUMIFS(OFFSET(A1_集計2026,$A402,10,1,200),OFFSET(貼付け_2026実績,4,9,1,200),{"横浜*","川崎*","県域*","エネルギー管理指定工場等*"}))+SUM(SUMIFS(OFFSET(A1_集計2026,$A402,11,1,200),OFFSET(貼付け_2026実績,4,9,1,200),{"横浜*","川崎*","県域*","エネルギー管理指定工場等*"}))</f>
        <v>0</v>
      </c>
      <c r="O402" s="916">
        <f ca="1">SUM(SUMIFS(OFFSET(A1_集計2027,$A402,10,1,200),OFFSET(貼付け_2027実績,4,9,1,200),{"横浜*","川崎*","県域*","エネルギー管理指定工場等*"}))+SUM(SUMIFS(OFFSET(A1_集計2027,$A402,11,1,200),OFFSET(貼付け_2027実績,4,9,1,200),{"横浜*","川崎*","県域*","エネルギー管理指定工場等*"}))</f>
        <v>0</v>
      </c>
      <c r="P402" s="916">
        <f ca="1">SUM(SUMIFS(OFFSET(A1_集計2024,$A402,10,1,200),OFFSET(貼付け_2024実績,4,9,1,200),{"横浜*","川崎*"}))+SUM(SUMIFS(OFFSET(A1_集計2024,$A402,11,1,200),OFFSET(貼付け_2024実績,4,9,1,200),{"横浜*","川崎*"}))</f>
        <v>0</v>
      </c>
      <c r="Q402" s="916">
        <f ca="1">SUM(SUMIFS(OFFSET(A1_集計2025,$A402,10,1,200),OFFSET(貼付け_2025実績,4,9,1,200),{"横浜*","川崎*"}))+SUM(SUMIFS(OFFSET(A1_集計2025,$A402,11,1,200),OFFSET(貼付け_2025実績,4,9,1,200),{"横浜*","川崎*"}))</f>
        <v>0</v>
      </c>
      <c r="R402" s="916">
        <f ca="1">SUM(SUMIFS(OFFSET(A1_集計2026,$A402,10,1,200),OFFSET(貼付け_2026実績,4,9,1,200),{"横浜*","川崎*"}))+SUM(SUMIFS(OFFSET(A1_集計2026,$A402,11,1,200),OFFSET(貼付け_2026実績,4,9,1,200),{"横浜*","川崎*"}))</f>
        <v>0</v>
      </c>
      <c r="S402" s="916">
        <f ca="1">SUM(SUMIFS(OFFSET(A1_集計2027,$A402,10,1,200),OFFSET(貼付け_2027実績,4,9,1,200),{"横浜*","川崎*"}))+SUM(SUMIFS(OFFSET(A1_集計2027,$A402,11,1,200),OFFSET(貼付け_2027実績,4,9,1,200),{"横浜*","川崎*"}))</f>
        <v>0</v>
      </c>
      <c r="T402" s="916">
        <f ca="1">SUM(SUMIFS(OFFSET(A1_集計2024,$A402,10,1,200),OFFSET(貼付け_2024実績,4,9,1,200),{"県域*","エネルギー管理指定工場等*"}))+SUM(SUMIFS(OFFSET(A1_集計2024,$A402,11,1,200),OFFSET(貼付け_2024実績,4,9,1,200),{"県域*","エネルギー管理指定工場等*"}))</f>
        <v>0</v>
      </c>
      <c r="U402" s="916">
        <f ca="1">SUM(SUMIFS(OFFSET(A1_集計2025,$A402,10,1,200),OFFSET(貼付け_2025実績,4,9,1,200),{"県域*","エネルギー管理指定工場等*"}))+SUM(SUMIFS(OFFSET(A1_集計2025,$A402,11,1,200),OFFSET(貼付け_2025実績,4,9,1,200),{"県域*","エネルギー管理指定工場等*"}))</f>
        <v>0</v>
      </c>
      <c r="V402" s="916">
        <f ca="1">SUM(SUMIFS(OFFSET(A1_集計2026,$A402,10,1,200),OFFSET(貼付け_2026実績,4,9,1,200),{"県域*","エネルギー管理指定工場等*"}))+SUM(SUMIFS(OFFSET(A1_集計2026,$A402,11,1,200),OFFSET(貼付け_2026実績,4,9,1,200),{"県域*","エネルギー管理指定工場等*"}))</f>
        <v>0</v>
      </c>
      <c r="W402" s="916">
        <f ca="1">SUM(SUMIFS(OFFSET(A1_集計2027,$A402,10,1,200),OFFSET(貼付け_2027実績,4,9,1,200),{"県域*","エネルギー管理指定工場等*"}))+SUM(SUMIFS(OFFSET(A1_集計2027,$A402,11,1,200),OFFSET(貼付け_2027実績,4,9,1,200),{"県域*","エネルギー管理指定工場等*"}))</f>
        <v>0</v>
      </c>
      <c r="X402" s="916">
        <f ca="1">SUMIFS(OFFSET(A1_集計2024,$A402,10,1,200),OFFSET(貼付け_2024実績,4,9,1,200),"県域*")+SUMIFS(OFFSET(A1_集計2024,$A402,11,1,200),OFFSET(貼付け_2024実績,4,9,1,200),"県域*")</f>
        <v>0</v>
      </c>
      <c r="Y402" s="916">
        <f ca="1">SUMIFS(OFFSET(A1_集計2025,$A402,10,1,200),OFFSET(貼付け_2025実績,4,9,1,200),"県域*")+SUMIFS(OFFSET(A1_集計2025,$A402,11,1,200),OFFSET(貼付け_2025実績,4,9,1,200),"県域*")</f>
        <v>0</v>
      </c>
      <c r="Z402" s="916">
        <f ca="1">SUMIFS(OFFSET(A1_集計2026,$A402,10,1,200),OFFSET(貼付け_2026実績,4,9,1,200),"県域*")+SUMIFS(OFFSET(A1_集計2026,$A402,11,1,200),OFFSET(貼付け_2026実績,4,9,1,200),"県域*")</f>
        <v>0</v>
      </c>
      <c r="AA402" s="916">
        <f ca="1">SUMIFS(OFFSET(A1_集計2027,$A402,10,1,200),OFFSET(貼付け_2027実績,4,9,1,200),"県域*")+SUMIFS(OFFSET(A1_集計2027,$A402,11,1,200),OFFSET(貼付け_2027実績,4,9,1,200),"県域*")</f>
        <v>0</v>
      </c>
      <c r="AB402" s="916" t="str">
        <f t="shared" ref="AB402:AK405" ca="1" si="132">IFERROR(SUM(OFFSET(A1_集計2024,$A402,AB$1+1,1,2)),"")</f>
        <v/>
      </c>
      <c r="AC402" s="916" t="str">
        <f t="shared" ca="1" si="132"/>
        <v/>
      </c>
      <c r="AD402" s="916" t="str">
        <f t="shared" ca="1" si="132"/>
        <v/>
      </c>
      <c r="AE402" s="916" t="str">
        <f t="shared" ca="1" si="132"/>
        <v/>
      </c>
      <c r="AF402" s="916" t="str">
        <f t="shared" ca="1" si="132"/>
        <v/>
      </c>
      <c r="AG402" s="916" t="str">
        <f t="shared" ca="1" si="132"/>
        <v/>
      </c>
      <c r="AH402" s="916" t="str">
        <f t="shared" ca="1" si="132"/>
        <v/>
      </c>
      <c r="AI402" s="916" t="str">
        <f t="shared" ca="1" si="132"/>
        <v/>
      </c>
      <c r="AJ402" s="916" t="str">
        <f t="shared" ca="1" si="132"/>
        <v/>
      </c>
      <c r="AK402" s="916" t="str">
        <f t="shared" ca="1" si="132"/>
        <v/>
      </c>
      <c r="AL402" s="916" t="str">
        <f t="shared" ref="AL402:AU405" ca="1" si="133">IFERROR(SUM(OFFSET(A1_集計2024,$A402,AL$1+1,1,2)),"")</f>
        <v/>
      </c>
      <c r="AM402" s="916" t="str">
        <f t="shared" ca="1" si="133"/>
        <v/>
      </c>
      <c r="AN402" s="916" t="str">
        <f t="shared" ca="1" si="133"/>
        <v/>
      </c>
      <c r="AO402" s="916" t="str">
        <f t="shared" ca="1" si="133"/>
        <v/>
      </c>
      <c r="AP402" s="916" t="str">
        <f t="shared" ca="1" si="133"/>
        <v/>
      </c>
      <c r="AQ402" s="916" t="str">
        <f t="shared" ca="1" si="133"/>
        <v/>
      </c>
      <c r="AR402" s="916" t="str">
        <f t="shared" ca="1" si="133"/>
        <v/>
      </c>
      <c r="AS402" s="916" t="str">
        <f t="shared" ca="1" si="133"/>
        <v/>
      </c>
      <c r="AT402" s="916" t="str">
        <f t="shared" ca="1" si="133"/>
        <v/>
      </c>
      <c r="AU402" s="916" t="str">
        <f t="shared" ca="1" si="133"/>
        <v/>
      </c>
      <c r="AV402" s="916" t="str">
        <f t="shared" ref="AV402:BE405" ca="1" si="134">IFERROR(SUM(OFFSET(A1_集計2024,$A402,AV$1+1,1,2)),"")</f>
        <v/>
      </c>
      <c r="AW402" s="916" t="str">
        <f t="shared" ca="1" si="134"/>
        <v/>
      </c>
      <c r="AX402" s="916" t="str">
        <f t="shared" ca="1" si="134"/>
        <v/>
      </c>
      <c r="AY402" s="916" t="str">
        <f t="shared" ca="1" si="134"/>
        <v/>
      </c>
      <c r="AZ402" s="916" t="str">
        <f t="shared" ca="1" si="134"/>
        <v/>
      </c>
      <c r="BA402" s="916" t="str">
        <f t="shared" ca="1" si="134"/>
        <v/>
      </c>
      <c r="BB402" s="916" t="str">
        <f t="shared" ca="1" si="134"/>
        <v/>
      </c>
      <c r="BC402" s="916" t="str">
        <f t="shared" ca="1" si="134"/>
        <v/>
      </c>
      <c r="BD402" s="916" t="str">
        <f t="shared" ca="1" si="134"/>
        <v/>
      </c>
      <c r="BE402" s="916" t="str">
        <f t="shared" ca="1" si="134"/>
        <v/>
      </c>
      <c r="BF402" s="916" t="str">
        <f t="shared" ref="BF402:BO405" ca="1" si="135">IFERROR(SUM(OFFSET(A1_集計2024,$A402,BF$1+1,1,2)),"")</f>
        <v/>
      </c>
      <c r="BG402" s="916" t="str">
        <f t="shared" ca="1" si="135"/>
        <v/>
      </c>
      <c r="BH402" s="916" t="str">
        <f t="shared" ca="1" si="135"/>
        <v/>
      </c>
      <c r="BI402" s="916" t="str">
        <f t="shared" ca="1" si="135"/>
        <v/>
      </c>
      <c r="BJ402" s="916" t="str">
        <f t="shared" ca="1" si="135"/>
        <v/>
      </c>
      <c r="BK402" s="916" t="str">
        <f t="shared" ca="1" si="135"/>
        <v/>
      </c>
      <c r="BL402" s="916" t="str">
        <f t="shared" ca="1" si="135"/>
        <v/>
      </c>
      <c r="BM402" s="916" t="str">
        <f t="shared" ca="1" si="135"/>
        <v/>
      </c>
      <c r="BN402" s="916" t="str">
        <f t="shared" ca="1" si="135"/>
        <v/>
      </c>
      <c r="BO402" s="916" t="str">
        <f t="shared" ca="1" si="135"/>
        <v/>
      </c>
      <c r="BP402" s="802"/>
    </row>
    <row r="403" spans="1:68" ht="20.100000000000001" customHeight="1">
      <c r="A403" s="914">
        <v>10</v>
      </c>
      <c r="B403" s="1664"/>
      <c r="C403" s="1665"/>
      <c r="D403" s="785" t="s">
        <v>785</v>
      </c>
      <c r="E403" s="790"/>
      <c r="F403" s="810"/>
      <c r="G403" s="852" t="s">
        <v>1281</v>
      </c>
      <c r="H403" s="996"/>
      <c r="I403" s="996"/>
      <c r="J403" s="996"/>
      <c r="K403" s="996"/>
      <c r="L403" s="916">
        <f ca="1">SUM(SUMIFS(OFFSET(A1_集計2024,$A403,10,1,200),OFFSET(貼付け_2024実績,4,9,1,200),{"横浜*","川崎*","県域*","エネルギー管理指定工場等*"}))+SUM(SUMIFS(OFFSET(A1_集計2024,$A403,11,1,200),OFFSET(貼付け_2024実績,4,9,1,200),{"横浜*","川崎*","県域*","エネルギー管理指定工場等*"}))</f>
        <v>0</v>
      </c>
      <c r="M403" s="916">
        <f ca="1">SUM(SUMIFS(OFFSET(A1_集計2025,$A403,10,1,200),OFFSET(貼付け_2025実績,4,9,1,200),{"横浜*","川崎*","県域*","エネルギー管理指定工場等*"}))+SUM(SUMIFS(OFFSET(A1_集計2025,$A403,11,1,200),OFFSET(貼付け_2025実績,4,9,1,200),{"横浜*","川崎*","県域*","エネルギー管理指定工場等*"}))</f>
        <v>0</v>
      </c>
      <c r="N403" s="916">
        <f ca="1">SUM(SUMIFS(OFFSET(A1_集計2026,$A403,10,1,200),OFFSET(貼付け_2026実績,4,9,1,200),{"横浜*","川崎*","県域*","エネルギー管理指定工場等*"}))+SUM(SUMIFS(OFFSET(A1_集計2026,$A403,11,1,200),OFFSET(貼付け_2026実績,4,9,1,200),{"横浜*","川崎*","県域*","エネルギー管理指定工場等*"}))</f>
        <v>0</v>
      </c>
      <c r="O403" s="916">
        <f ca="1">SUM(SUMIFS(OFFSET(A1_集計2027,$A403,10,1,200),OFFSET(貼付け_2027実績,4,9,1,200),{"横浜*","川崎*","県域*","エネルギー管理指定工場等*"}))+SUM(SUMIFS(OFFSET(A1_集計2027,$A403,11,1,200),OFFSET(貼付け_2027実績,4,9,1,200),{"横浜*","川崎*","県域*","エネルギー管理指定工場等*"}))</f>
        <v>0</v>
      </c>
      <c r="P403" s="916">
        <f ca="1">SUM(SUMIFS(OFFSET(A1_集計2024,$A403,10,1,200),OFFSET(貼付け_2024実績,4,9,1,200),{"横浜*","川崎*"}))+SUM(SUMIFS(OFFSET(A1_集計2024,$A403,11,1,200),OFFSET(貼付け_2024実績,4,9,1,200),{"横浜*","川崎*"}))</f>
        <v>0</v>
      </c>
      <c r="Q403" s="916">
        <f ca="1">SUM(SUMIFS(OFFSET(A1_集計2025,$A403,10,1,200),OFFSET(貼付け_2025実績,4,9,1,200),{"横浜*","川崎*"}))+SUM(SUMIFS(OFFSET(A1_集計2025,$A403,11,1,200),OFFSET(貼付け_2025実績,4,9,1,200),{"横浜*","川崎*"}))</f>
        <v>0</v>
      </c>
      <c r="R403" s="916">
        <f ca="1">SUM(SUMIFS(OFFSET(A1_集計2026,$A403,10,1,200),OFFSET(貼付け_2026実績,4,9,1,200),{"横浜*","川崎*"}))+SUM(SUMIFS(OFFSET(A1_集計2026,$A403,11,1,200),OFFSET(貼付け_2026実績,4,9,1,200),{"横浜*","川崎*"}))</f>
        <v>0</v>
      </c>
      <c r="S403" s="916">
        <f ca="1">SUM(SUMIFS(OFFSET(A1_集計2027,$A403,10,1,200),OFFSET(貼付け_2027実績,4,9,1,200),{"横浜*","川崎*"}))+SUM(SUMIFS(OFFSET(A1_集計2027,$A403,11,1,200),OFFSET(貼付け_2027実績,4,9,1,200),{"横浜*","川崎*"}))</f>
        <v>0</v>
      </c>
      <c r="T403" s="916">
        <f ca="1">SUM(SUMIFS(OFFSET(A1_集計2024,$A403,10,1,200),OFFSET(貼付け_2024実績,4,9,1,200),{"県域*","エネルギー管理指定工場等*"}))+SUM(SUMIFS(OFFSET(A1_集計2024,$A403,11,1,200),OFFSET(貼付け_2024実績,4,9,1,200),{"県域*","エネルギー管理指定工場等*"}))</f>
        <v>0</v>
      </c>
      <c r="U403" s="916">
        <f ca="1">SUM(SUMIFS(OFFSET(A1_集計2025,$A403,10,1,200),OFFSET(貼付け_2025実績,4,9,1,200),{"県域*","エネルギー管理指定工場等*"}))+SUM(SUMIFS(OFFSET(A1_集計2025,$A403,11,1,200),OFFSET(貼付け_2025実績,4,9,1,200),{"県域*","エネルギー管理指定工場等*"}))</f>
        <v>0</v>
      </c>
      <c r="V403" s="916">
        <f ca="1">SUM(SUMIFS(OFFSET(A1_集計2026,$A403,10,1,200),OFFSET(貼付け_2026実績,4,9,1,200),{"県域*","エネルギー管理指定工場等*"}))+SUM(SUMIFS(OFFSET(A1_集計2026,$A403,11,1,200),OFFSET(貼付け_2026実績,4,9,1,200),{"県域*","エネルギー管理指定工場等*"}))</f>
        <v>0</v>
      </c>
      <c r="W403" s="916">
        <f ca="1">SUM(SUMIFS(OFFSET(A1_集計2027,$A403,10,1,200),OFFSET(貼付け_2027実績,4,9,1,200),{"県域*","エネルギー管理指定工場等*"}))+SUM(SUMIFS(OFFSET(A1_集計2027,$A403,11,1,200),OFFSET(貼付け_2027実績,4,9,1,200),{"県域*","エネルギー管理指定工場等*"}))</f>
        <v>0</v>
      </c>
      <c r="X403" s="916">
        <f ca="1">SUMIFS(OFFSET(A1_集計2024,$A403,10,1,200),OFFSET(貼付け_2024実績,4,9,1,200),"県域*")+SUMIFS(OFFSET(A1_集計2024,$A403,11,1,200),OFFSET(貼付け_2024実績,4,9,1,200),"県域*")</f>
        <v>0</v>
      </c>
      <c r="Y403" s="916">
        <f ca="1">SUMIFS(OFFSET(A1_集計2025,$A403,10,1,200),OFFSET(貼付け_2025実績,4,9,1,200),"県域*")+SUMIFS(OFFSET(A1_集計2025,$A403,11,1,200),OFFSET(貼付け_2025実績,4,9,1,200),"県域*")</f>
        <v>0</v>
      </c>
      <c r="Z403" s="916">
        <f ca="1">SUMIFS(OFFSET(A1_集計2026,$A403,10,1,200),OFFSET(貼付け_2026実績,4,9,1,200),"県域*")+SUMIFS(OFFSET(A1_集計2026,$A403,11,1,200),OFFSET(貼付け_2026実績,4,9,1,200),"県域*")</f>
        <v>0</v>
      </c>
      <c r="AA403" s="916">
        <f ca="1">SUMIFS(OFFSET(A1_集計2027,$A403,10,1,200),OFFSET(貼付け_2027実績,4,9,1,200),"県域*")+SUMIFS(OFFSET(A1_集計2027,$A403,11,1,200),OFFSET(貼付け_2027実績,4,9,1,200),"県域*")</f>
        <v>0</v>
      </c>
      <c r="AB403" s="916" t="str">
        <f t="shared" ca="1" si="132"/>
        <v/>
      </c>
      <c r="AC403" s="916" t="str">
        <f t="shared" ca="1" si="132"/>
        <v/>
      </c>
      <c r="AD403" s="916" t="str">
        <f t="shared" ca="1" si="132"/>
        <v/>
      </c>
      <c r="AE403" s="916" t="str">
        <f t="shared" ca="1" si="132"/>
        <v/>
      </c>
      <c r="AF403" s="916" t="str">
        <f t="shared" ca="1" si="132"/>
        <v/>
      </c>
      <c r="AG403" s="916" t="str">
        <f t="shared" ca="1" si="132"/>
        <v/>
      </c>
      <c r="AH403" s="916" t="str">
        <f t="shared" ca="1" si="132"/>
        <v/>
      </c>
      <c r="AI403" s="916" t="str">
        <f t="shared" ca="1" si="132"/>
        <v/>
      </c>
      <c r="AJ403" s="916" t="str">
        <f t="shared" ca="1" si="132"/>
        <v/>
      </c>
      <c r="AK403" s="916" t="str">
        <f t="shared" ca="1" si="132"/>
        <v/>
      </c>
      <c r="AL403" s="916" t="str">
        <f t="shared" ca="1" si="133"/>
        <v/>
      </c>
      <c r="AM403" s="916" t="str">
        <f t="shared" ca="1" si="133"/>
        <v/>
      </c>
      <c r="AN403" s="916" t="str">
        <f t="shared" ca="1" si="133"/>
        <v/>
      </c>
      <c r="AO403" s="916" t="str">
        <f t="shared" ca="1" si="133"/>
        <v/>
      </c>
      <c r="AP403" s="916" t="str">
        <f t="shared" ca="1" si="133"/>
        <v/>
      </c>
      <c r="AQ403" s="916" t="str">
        <f t="shared" ca="1" si="133"/>
        <v/>
      </c>
      <c r="AR403" s="916" t="str">
        <f t="shared" ca="1" si="133"/>
        <v/>
      </c>
      <c r="AS403" s="916" t="str">
        <f t="shared" ca="1" si="133"/>
        <v/>
      </c>
      <c r="AT403" s="916" t="str">
        <f t="shared" ca="1" si="133"/>
        <v/>
      </c>
      <c r="AU403" s="916" t="str">
        <f t="shared" ca="1" si="133"/>
        <v/>
      </c>
      <c r="AV403" s="916" t="str">
        <f t="shared" ca="1" si="134"/>
        <v/>
      </c>
      <c r="AW403" s="916" t="str">
        <f t="shared" ca="1" si="134"/>
        <v/>
      </c>
      <c r="AX403" s="916" t="str">
        <f t="shared" ca="1" si="134"/>
        <v/>
      </c>
      <c r="AY403" s="916" t="str">
        <f t="shared" ca="1" si="134"/>
        <v/>
      </c>
      <c r="AZ403" s="916" t="str">
        <f t="shared" ca="1" si="134"/>
        <v/>
      </c>
      <c r="BA403" s="916" t="str">
        <f t="shared" ca="1" si="134"/>
        <v/>
      </c>
      <c r="BB403" s="916" t="str">
        <f t="shared" ca="1" si="134"/>
        <v/>
      </c>
      <c r="BC403" s="916" t="str">
        <f t="shared" ca="1" si="134"/>
        <v/>
      </c>
      <c r="BD403" s="916" t="str">
        <f t="shared" ca="1" si="134"/>
        <v/>
      </c>
      <c r="BE403" s="916" t="str">
        <f t="shared" ca="1" si="134"/>
        <v/>
      </c>
      <c r="BF403" s="916" t="str">
        <f t="shared" ca="1" si="135"/>
        <v/>
      </c>
      <c r="BG403" s="916" t="str">
        <f t="shared" ca="1" si="135"/>
        <v/>
      </c>
      <c r="BH403" s="916" t="str">
        <f t="shared" ca="1" si="135"/>
        <v/>
      </c>
      <c r="BI403" s="916" t="str">
        <f t="shared" ca="1" si="135"/>
        <v/>
      </c>
      <c r="BJ403" s="916" t="str">
        <f t="shared" ca="1" si="135"/>
        <v/>
      </c>
      <c r="BK403" s="916" t="str">
        <f t="shared" ca="1" si="135"/>
        <v/>
      </c>
      <c r="BL403" s="916" t="str">
        <f t="shared" ca="1" si="135"/>
        <v/>
      </c>
      <c r="BM403" s="916" t="str">
        <f t="shared" ca="1" si="135"/>
        <v/>
      </c>
      <c r="BN403" s="916" t="str">
        <f t="shared" ca="1" si="135"/>
        <v/>
      </c>
      <c r="BO403" s="916" t="str">
        <f t="shared" ca="1" si="135"/>
        <v/>
      </c>
      <c r="BP403" s="802"/>
    </row>
    <row r="404" spans="1:68" ht="20.100000000000001" customHeight="1">
      <c r="A404" s="747">
        <v>12</v>
      </c>
      <c r="B404" s="1664"/>
      <c r="C404" s="1665"/>
      <c r="D404" s="785" t="s">
        <v>786</v>
      </c>
      <c r="E404" s="790"/>
      <c r="F404" s="810"/>
      <c r="G404" s="852" t="s">
        <v>1281</v>
      </c>
      <c r="H404" s="996"/>
      <c r="I404" s="996"/>
      <c r="J404" s="996"/>
      <c r="K404" s="996"/>
      <c r="L404" s="916">
        <f ca="1">SUM(SUMIFS(OFFSET(A1_集計2024,$A404,10,1,200),OFFSET(貼付け_2024実績,4,9,1,200),{"横浜*","川崎*","県域*","エネルギー管理指定工場等*"}))+SUM(SUMIFS(OFFSET(A1_集計2024,$A404,11,1,200),OFFSET(貼付け_2024実績,4,9,1,200),{"横浜*","川崎*","県域*","エネルギー管理指定工場等*"}))</f>
        <v>0</v>
      </c>
      <c r="M404" s="916">
        <f ca="1">SUM(SUMIFS(OFFSET(A1_集計2025,$A404,10,1,200),OFFSET(貼付け_2025実績,4,9,1,200),{"横浜*","川崎*","県域*","エネルギー管理指定工場等*"}))+SUM(SUMIFS(OFFSET(A1_集計2025,$A404,11,1,200),OFFSET(貼付け_2025実績,4,9,1,200),{"横浜*","川崎*","県域*","エネルギー管理指定工場等*"}))</f>
        <v>0</v>
      </c>
      <c r="N404" s="916">
        <f ca="1">SUM(SUMIFS(OFFSET(A1_集計2026,$A404,10,1,200),OFFSET(貼付け_2026実績,4,9,1,200),{"横浜*","川崎*","県域*","エネルギー管理指定工場等*"}))+SUM(SUMIFS(OFFSET(A1_集計2026,$A404,11,1,200),OFFSET(貼付け_2026実績,4,9,1,200),{"横浜*","川崎*","県域*","エネルギー管理指定工場等*"}))</f>
        <v>0</v>
      </c>
      <c r="O404" s="916">
        <f ca="1">SUM(SUMIFS(OFFSET(A1_集計2027,$A404,10,1,200),OFFSET(貼付け_2027実績,4,9,1,200),{"横浜*","川崎*","県域*","エネルギー管理指定工場等*"}))+SUM(SUMIFS(OFFSET(A1_集計2027,$A404,11,1,200),OFFSET(貼付け_2027実績,4,9,1,200),{"横浜*","川崎*","県域*","エネルギー管理指定工場等*"}))</f>
        <v>0</v>
      </c>
      <c r="P404" s="916">
        <f ca="1">SUM(SUMIFS(OFFSET(A1_集計2024,$A404,10,1,200),OFFSET(貼付け_2024実績,4,9,1,200),{"横浜*","川崎*"}))+SUM(SUMIFS(OFFSET(A1_集計2024,$A404,11,1,200),OFFSET(貼付け_2024実績,4,9,1,200),{"横浜*","川崎*"}))</f>
        <v>0</v>
      </c>
      <c r="Q404" s="916">
        <f ca="1">SUM(SUMIFS(OFFSET(A1_集計2025,$A404,10,1,200),OFFSET(貼付け_2025実績,4,9,1,200),{"横浜*","川崎*"}))+SUM(SUMIFS(OFFSET(A1_集計2025,$A404,11,1,200),OFFSET(貼付け_2025実績,4,9,1,200),{"横浜*","川崎*"}))</f>
        <v>0</v>
      </c>
      <c r="R404" s="916">
        <f ca="1">SUM(SUMIFS(OFFSET(A1_集計2026,$A404,10,1,200),OFFSET(貼付け_2026実績,4,9,1,200),{"横浜*","川崎*"}))+SUM(SUMIFS(OFFSET(A1_集計2026,$A404,11,1,200),OFFSET(貼付け_2026実績,4,9,1,200),{"横浜*","川崎*"}))</f>
        <v>0</v>
      </c>
      <c r="S404" s="916">
        <f ca="1">SUM(SUMIFS(OFFSET(A1_集計2027,$A404,10,1,200),OFFSET(貼付け_2027実績,4,9,1,200),{"横浜*","川崎*"}))+SUM(SUMIFS(OFFSET(A1_集計2027,$A404,11,1,200),OFFSET(貼付け_2027実績,4,9,1,200),{"横浜*","川崎*"}))</f>
        <v>0</v>
      </c>
      <c r="T404" s="916">
        <f ca="1">SUM(SUMIFS(OFFSET(A1_集計2024,$A404,10,1,200),OFFSET(貼付け_2024実績,4,9,1,200),{"県域*","エネルギー管理指定工場等*"}))+SUM(SUMIFS(OFFSET(A1_集計2024,$A404,11,1,200),OFFSET(貼付け_2024実績,4,9,1,200),{"県域*","エネルギー管理指定工場等*"}))</f>
        <v>0</v>
      </c>
      <c r="U404" s="916">
        <f ca="1">SUM(SUMIFS(OFFSET(A1_集計2025,$A404,10,1,200),OFFSET(貼付け_2025実績,4,9,1,200),{"県域*","エネルギー管理指定工場等*"}))+SUM(SUMIFS(OFFSET(A1_集計2025,$A404,11,1,200),OFFSET(貼付け_2025実績,4,9,1,200),{"県域*","エネルギー管理指定工場等*"}))</f>
        <v>0</v>
      </c>
      <c r="V404" s="916">
        <f ca="1">SUM(SUMIFS(OFFSET(A1_集計2026,$A404,10,1,200),OFFSET(貼付け_2026実績,4,9,1,200),{"県域*","エネルギー管理指定工場等*"}))+SUM(SUMIFS(OFFSET(A1_集計2026,$A404,11,1,200),OFFSET(貼付け_2026実績,4,9,1,200),{"県域*","エネルギー管理指定工場等*"}))</f>
        <v>0</v>
      </c>
      <c r="W404" s="916">
        <f ca="1">SUM(SUMIFS(OFFSET(A1_集計2027,$A404,10,1,200),OFFSET(貼付け_2027実績,4,9,1,200),{"県域*","エネルギー管理指定工場等*"}))+SUM(SUMIFS(OFFSET(A1_集計2027,$A404,11,1,200),OFFSET(貼付け_2027実績,4,9,1,200),{"県域*","エネルギー管理指定工場等*"}))</f>
        <v>0</v>
      </c>
      <c r="X404" s="916">
        <f ca="1">SUMIFS(OFFSET(A1_集計2024,$A404,10,1,200),OFFSET(貼付け_2024実績,4,9,1,200),"県域*")+SUMIFS(OFFSET(A1_集計2024,$A404,11,1,200),OFFSET(貼付け_2024実績,4,9,1,200),"県域*")</f>
        <v>0</v>
      </c>
      <c r="Y404" s="916">
        <f ca="1">SUMIFS(OFFSET(A1_集計2025,$A404,10,1,200),OFFSET(貼付け_2025実績,4,9,1,200),"県域*")+SUMIFS(OFFSET(A1_集計2025,$A404,11,1,200),OFFSET(貼付け_2025実績,4,9,1,200),"県域*")</f>
        <v>0</v>
      </c>
      <c r="Z404" s="916">
        <f ca="1">SUMIFS(OFFSET(A1_集計2026,$A404,10,1,200),OFFSET(貼付け_2026実績,4,9,1,200),"県域*")+SUMIFS(OFFSET(A1_集計2026,$A404,11,1,200),OFFSET(貼付け_2026実績,4,9,1,200),"県域*")</f>
        <v>0</v>
      </c>
      <c r="AA404" s="916">
        <f ca="1">SUMIFS(OFFSET(A1_集計2027,$A404,10,1,200),OFFSET(貼付け_2027実績,4,9,1,200),"県域*")+SUMIFS(OFFSET(A1_集計2027,$A404,11,1,200),OFFSET(貼付け_2027実績,4,9,1,200),"県域*")</f>
        <v>0</v>
      </c>
      <c r="AB404" s="916" t="str">
        <f t="shared" ca="1" si="132"/>
        <v/>
      </c>
      <c r="AC404" s="916" t="str">
        <f t="shared" ca="1" si="132"/>
        <v/>
      </c>
      <c r="AD404" s="916" t="str">
        <f t="shared" ca="1" si="132"/>
        <v/>
      </c>
      <c r="AE404" s="916" t="str">
        <f t="shared" ca="1" si="132"/>
        <v/>
      </c>
      <c r="AF404" s="916" t="str">
        <f t="shared" ca="1" si="132"/>
        <v/>
      </c>
      <c r="AG404" s="916" t="str">
        <f t="shared" ca="1" si="132"/>
        <v/>
      </c>
      <c r="AH404" s="916" t="str">
        <f t="shared" ca="1" si="132"/>
        <v/>
      </c>
      <c r="AI404" s="916" t="str">
        <f t="shared" ca="1" si="132"/>
        <v/>
      </c>
      <c r="AJ404" s="916" t="str">
        <f t="shared" ca="1" si="132"/>
        <v/>
      </c>
      <c r="AK404" s="916" t="str">
        <f t="shared" ca="1" si="132"/>
        <v/>
      </c>
      <c r="AL404" s="916" t="str">
        <f t="shared" ca="1" si="133"/>
        <v/>
      </c>
      <c r="AM404" s="916" t="str">
        <f t="shared" ca="1" si="133"/>
        <v/>
      </c>
      <c r="AN404" s="916" t="str">
        <f t="shared" ca="1" si="133"/>
        <v/>
      </c>
      <c r="AO404" s="916" t="str">
        <f t="shared" ca="1" si="133"/>
        <v/>
      </c>
      <c r="AP404" s="916" t="str">
        <f t="shared" ca="1" si="133"/>
        <v/>
      </c>
      <c r="AQ404" s="916" t="str">
        <f t="shared" ca="1" si="133"/>
        <v/>
      </c>
      <c r="AR404" s="916" t="str">
        <f t="shared" ca="1" si="133"/>
        <v/>
      </c>
      <c r="AS404" s="916" t="str">
        <f t="shared" ca="1" si="133"/>
        <v/>
      </c>
      <c r="AT404" s="916" t="str">
        <f t="shared" ca="1" si="133"/>
        <v/>
      </c>
      <c r="AU404" s="916" t="str">
        <f t="shared" ca="1" si="133"/>
        <v/>
      </c>
      <c r="AV404" s="916" t="str">
        <f t="shared" ca="1" si="134"/>
        <v/>
      </c>
      <c r="AW404" s="916" t="str">
        <f t="shared" ca="1" si="134"/>
        <v/>
      </c>
      <c r="AX404" s="916" t="str">
        <f t="shared" ca="1" si="134"/>
        <v/>
      </c>
      <c r="AY404" s="916" t="str">
        <f t="shared" ca="1" si="134"/>
        <v/>
      </c>
      <c r="AZ404" s="916" t="str">
        <f t="shared" ca="1" si="134"/>
        <v/>
      </c>
      <c r="BA404" s="916" t="str">
        <f t="shared" ca="1" si="134"/>
        <v/>
      </c>
      <c r="BB404" s="916" t="str">
        <f t="shared" ca="1" si="134"/>
        <v/>
      </c>
      <c r="BC404" s="916" t="str">
        <f t="shared" ca="1" si="134"/>
        <v/>
      </c>
      <c r="BD404" s="916" t="str">
        <f t="shared" ca="1" si="134"/>
        <v/>
      </c>
      <c r="BE404" s="916" t="str">
        <f t="shared" ca="1" si="134"/>
        <v/>
      </c>
      <c r="BF404" s="916" t="str">
        <f t="shared" ca="1" si="135"/>
        <v/>
      </c>
      <c r="BG404" s="916" t="str">
        <f t="shared" ca="1" si="135"/>
        <v/>
      </c>
      <c r="BH404" s="916" t="str">
        <f t="shared" ca="1" si="135"/>
        <v/>
      </c>
      <c r="BI404" s="916" t="str">
        <f t="shared" ca="1" si="135"/>
        <v/>
      </c>
      <c r="BJ404" s="916" t="str">
        <f t="shared" ca="1" si="135"/>
        <v/>
      </c>
      <c r="BK404" s="916" t="str">
        <f t="shared" ca="1" si="135"/>
        <v/>
      </c>
      <c r="BL404" s="916" t="str">
        <f t="shared" ca="1" si="135"/>
        <v/>
      </c>
      <c r="BM404" s="916" t="str">
        <f t="shared" ca="1" si="135"/>
        <v/>
      </c>
      <c r="BN404" s="916" t="str">
        <f t="shared" ca="1" si="135"/>
        <v/>
      </c>
      <c r="BO404" s="916" t="str">
        <f t="shared" ca="1" si="135"/>
        <v/>
      </c>
      <c r="BP404" s="802"/>
    </row>
    <row r="405" spans="1:68" ht="20.100000000000001" customHeight="1">
      <c r="A405" s="914">
        <v>14</v>
      </c>
      <c r="B405" s="1666"/>
      <c r="C405" s="1667"/>
      <c r="D405" s="785" t="s">
        <v>787</v>
      </c>
      <c r="E405" s="790"/>
      <c r="F405" s="810"/>
      <c r="G405" s="852" t="s">
        <v>1281</v>
      </c>
      <c r="H405" s="996"/>
      <c r="I405" s="996"/>
      <c r="J405" s="996"/>
      <c r="K405" s="996"/>
      <c r="L405" s="916">
        <f ca="1">SUM(SUMIFS(OFFSET(A1_集計2024,$A405,10,1,200),OFFSET(貼付け_2024実績,4,9,1,200),{"横浜*","川崎*","県域*","エネルギー管理指定工場等*"}))+SUM(SUMIFS(OFFSET(A1_集計2024,$A405,11,1,200),OFFSET(貼付け_2024実績,4,9,1,200),{"横浜*","川崎*","県域*","エネルギー管理指定工場等*"}))</f>
        <v>0</v>
      </c>
      <c r="M405" s="916">
        <f ca="1">SUM(SUMIFS(OFFSET(A1_集計2025,$A405,10,1,200),OFFSET(貼付け_2025実績,4,9,1,200),{"横浜*","川崎*","県域*","エネルギー管理指定工場等*"}))+SUM(SUMIFS(OFFSET(A1_集計2025,$A405,11,1,200),OFFSET(貼付け_2025実績,4,9,1,200),{"横浜*","川崎*","県域*","エネルギー管理指定工場等*"}))</f>
        <v>0</v>
      </c>
      <c r="N405" s="916">
        <f ca="1">SUM(SUMIFS(OFFSET(A1_集計2026,$A405,10,1,200),OFFSET(貼付け_2026実績,4,9,1,200),{"横浜*","川崎*","県域*","エネルギー管理指定工場等*"}))+SUM(SUMIFS(OFFSET(A1_集計2026,$A405,11,1,200),OFFSET(貼付け_2026実績,4,9,1,200),{"横浜*","川崎*","県域*","エネルギー管理指定工場等*"}))</f>
        <v>0</v>
      </c>
      <c r="O405" s="916">
        <f ca="1">SUM(SUMIFS(OFFSET(A1_集計2027,$A405,10,1,200),OFFSET(貼付け_2027実績,4,9,1,200),{"横浜*","川崎*","県域*","エネルギー管理指定工場等*"}))+SUM(SUMIFS(OFFSET(A1_集計2027,$A405,11,1,200),OFFSET(貼付け_2027実績,4,9,1,200),{"横浜*","川崎*","県域*","エネルギー管理指定工場等*"}))</f>
        <v>0</v>
      </c>
      <c r="P405" s="916">
        <f ca="1">SUM(SUMIFS(OFFSET(A1_集計2024,$A405,10,1,200),OFFSET(貼付け_2024実績,4,9,1,200),{"横浜*","川崎*"}))+SUM(SUMIFS(OFFSET(A1_集計2024,$A405,11,1,200),OFFSET(貼付け_2024実績,4,9,1,200),{"横浜*","川崎*"}))</f>
        <v>0</v>
      </c>
      <c r="Q405" s="916">
        <f ca="1">SUM(SUMIFS(OFFSET(A1_集計2025,$A405,10,1,200),OFFSET(貼付け_2025実績,4,9,1,200),{"横浜*","川崎*"}))+SUM(SUMIFS(OFFSET(A1_集計2025,$A405,11,1,200),OFFSET(貼付け_2025実績,4,9,1,200),{"横浜*","川崎*"}))</f>
        <v>0</v>
      </c>
      <c r="R405" s="916">
        <f ca="1">SUM(SUMIFS(OFFSET(A1_集計2026,$A405,10,1,200),OFFSET(貼付け_2026実績,4,9,1,200),{"横浜*","川崎*"}))+SUM(SUMIFS(OFFSET(A1_集計2026,$A405,11,1,200),OFFSET(貼付け_2026実績,4,9,1,200),{"横浜*","川崎*"}))</f>
        <v>0</v>
      </c>
      <c r="S405" s="916">
        <f ca="1">SUM(SUMIFS(OFFSET(A1_集計2027,$A405,10,1,200),OFFSET(貼付け_2027実績,4,9,1,200),{"横浜*","川崎*"}))+SUM(SUMIFS(OFFSET(A1_集計2027,$A405,11,1,200),OFFSET(貼付け_2027実績,4,9,1,200),{"横浜*","川崎*"}))</f>
        <v>0</v>
      </c>
      <c r="T405" s="916">
        <f ca="1">SUM(SUMIFS(OFFSET(A1_集計2024,$A405,10,1,200),OFFSET(貼付け_2024実績,4,9,1,200),{"県域*","エネルギー管理指定工場等*"}))+SUM(SUMIFS(OFFSET(A1_集計2024,$A405,11,1,200),OFFSET(貼付け_2024実績,4,9,1,200),{"県域*","エネルギー管理指定工場等*"}))</f>
        <v>0</v>
      </c>
      <c r="U405" s="916">
        <f ca="1">SUM(SUMIFS(OFFSET(A1_集計2025,$A405,10,1,200),OFFSET(貼付け_2025実績,4,9,1,200),{"県域*","エネルギー管理指定工場等*"}))+SUM(SUMIFS(OFFSET(A1_集計2025,$A405,11,1,200),OFFSET(貼付け_2025実績,4,9,1,200),{"県域*","エネルギー管理指定工場等*"}))</f>
        <v>0</v>
      </c>
      <c r="V405" s="916">
        <f ca="1">SUM(SUMIFS(OFFSET(A1_集計2026,$A405,10,1,200),OFFSET(貼付け_2026実績,4,9,1,200),{"県域*","エネルギー管理指定工場等*"}))+SUM(SUMIFS(OFFSET(A1_集計2026,$A405,11,1,200),OFFSET(貼付け_2026実績,4,9,1,200),{"県域*","エネルギー管理指定工場等*"}))</f>
        <v>0</v>
      </c>
      <c r="W405" s="916">
        <f ca="1">SUM(SUMIFS(OFFSET(A1_集計2027,$A405,10,1,200),OFFSET(貼付け_2027実績,4,9,1,200),{"県域*","エネルギー管理指定工場等*"}))+SUM(SUMIFS(OFFSET(A1_集計2027,$A405,11,1,200),OFFSET(貼付け_2027実績,4,9,1,200),{"県域*","エネルギー管理指定工場等*"}))</f>
        <v>0</v>
      </c>
      <c r="X405" s="916">
        <f ca="1">SUMIFS(OFFSET(A1_集計2024,$A405,10,1,200),OFFSET(貼付け_2024実績,4,9,1,200),"県域*")+SUMIFS(OFFSET(A1_集計2024,$A405,11,1,200),OFFSET(貼付け_2024実績,4,9,1,200),"県域*")</f>
        <v>0</v>
      </c>
      <c r="Y405" s="916">
        <f ca="1">SUMIFS(OFFSET(A1_集計2025,$A405,10,1,200),OFFSET(貼付け_2025実績,4,9,1,200),"県域*")+SUMIFS(OFFSET(A1_集計2025,$A405,11,1,200),OFFSET(貼付け_2025実績,4,9,1,200),"県域*")</f>
        <v>0</v>
      </c>
      <c r="Z405" s="916">
        <f ca="1">SUMIFS(OFFSET(A1_集計2026,$A405,10,1,200),OFFSET(貼付け_2026実績,4,9,1,200),"県域*")+SUMIFS(OFFSET(A1_集計2026,$A405,11,1,200),OFFSET(貼付け_2026実績,4,9,1,200),"県域*")</f>
        <v>0</v>
      </c>
      <c r="AA405" s="916">
        <f ca="1">SUMIFS(OFFSET(A1_集計2027,$A405,10,1,200),OFFSET(貼付け_2027実績,4,9,1,200),"県域*")+SUMIFS(OFFSET(A1_集計2027,$A405,11,1,200),OFFSET(貼付け_2027実績,4,9,1,200),"県域*")</f>
        <v>0</v>
      </c>
      <c r="AB405" s="916" t="str">
        <f t="shared" ca="1" si="132"/>
        <v/>
      </c>
      <c r="AC405" s="916" t="str">
        <f t="shared" ca="1" si="132"/>
        <v/>
      </c>
      <c r="AD405" s="916" t="str">
        <f t="shared" ca="1" si="132"/>
        <v/>
      </c>
      <c r="AE405" s="916" t="str">
        <f t="shared" ca="1" si="132"/>
        <v/>
      </c>
      <c r="AF405" s="916" t="str">
        <f t="shared" ca="1" si="132"/>
        <v/>
      </c>
      <c r="AG405" s="916" t="str">
        <f t="shared" ca="1" si="132"/>
        <v/>
      </c>
      <c r="AH405" s="916" t="str">
        <f t="shared" ca="1" si="132"/>
        <v/>
      </c>
      <c r="AI405" s="916" t="str">
        <f t="shared" ca="1" si="132"/>
        <v/>
      </c>
      <c r="AJ405" s="916" t="str">
        <f t="shared" ca="1" si="132"/>
        <v/>
      </c>
      <c r="AK405" s="916" t="str">
        <f t="shared" ca="1" si="132"/>
        <v/>
      </c>
      <c r="AL405" s="916" t="str">
        <f t="shared" ca="1" si="133"/>
        <v/>
      </c>
      <c r="AM405" s="916" t="str">
        <f t="shared" ca="1" si="133"/>
        <v/>
      </c>
      <c r="AN405" s="916" t="str">
        <f t="shared" ca="1" si="133"/>
        <v/>
      </c>
      <c r="AO405" s="916" t="str">
        <f t="shared" ca="1" si="133"/>
        <v/>
      </c>
      <c r="AP405" s="916" t="str">
        <f t="shared" ca="1" si="133"/>
        <v/>
      </c>
      <c r="AQ405" s="916" t="str">
        <f t="shared" ca="1" si="133"/>
        <v/>
      </c>
      <c r="AR405" s="916" t="str">
        <f t="shared" ca="1" si="133"/>
        <v/>
      </c>
      <c r="AS405" s="916" t="str">
        <f t="shared" ca="1" si="133"/>
        <v/>
      </c>
      <c r="AT405" s="916" t="str">
        <f t="shared" ca="1" si="133"/>
        <v/>
      </c>
      <c r="AU405" s="916" t="str">
        <f t="shared" ca="1" si="133"/>
        <v/>
      </c>
      <c r="AV405" s="916" t="str">
        <f t="shared" ca="1" si="134"/>
        <v/>
      </c>
      <c r="AW405" s="916" t="str">
        <f t="shared" ca="1" si="134"/>
        <v/>
      </c>
      <c r="AX405" s="916" t="str">
        <f t="shared" ca="1" si="134"/>
        <v/>
      </c>
      <c r="AY405" s="916" t="str">
        <f t="shared" ca="1" si="134"/>
        <v/>
      </c>
      <c r="AZ405" s="916" t="str">
        <f t="shared" ca="1" si="134"/>
        <v/>
      </c>
      <c r="BA405" s="916" t="str">
        <f t="shared" ca="1" si="134"/>
        <v/>
      </c>
      <c r="BB405" s="916" t="str">
        <f t="shared" ca="1" si="134"/>
        <v/>
      </c>
      <c r="BC405" s="916" t="str">
        <f t="shared" ca="1" si="134"/>
        <v/>
      </c>
      <c r="BD405" s="916" t="str">
        <f t="shared" ca="1" si="134"/>
        <v/>
      </c>
      <c r="BE405" s="916" t="str">
        <f t="shared" ca="1" si="134"/>
        <v/>
      </c>
      <c r="BF405" s="916" t="str">
        <f t="shared" ca="1" si="135"/>
        <v/>
      </c>
      <c r="BG405" s="916" t="str">
        <f t="shared" ca="1" si="135"/>
        <v/>
      </c>
      <c r="BH405" s="916" t="str">
        <f t="shared" ca="1" si="135"/>
        <v/>
      </c>
      <c r="BI405" s="916" t="str">
        <f t="shared" ca="1" si="135"/>
        <v/>
      </c>
      <c r="BJ405" s="916" t="str">
        <f t="shared" ca="1" si="135"/>
        <v/>
      </c>
      <c r="BK405" s="916" t="str">
        <f t="shared" ca="1" si="135"/>
        <v/>
      </c>
      <c r="BL405" s="916" t="str">
        <f t="shared" ca="1" si="135"/>
        <v/>
      </c>
      <c r="BM405" s="916" t="str">
        <f t="shared" ca="1" si="135"/>
        <v/>
      </c>
      <c r="BN405" s="916" t="str">
        <f t="shared" ca="1" si="135"/>
        <v/>
      </c>
      <c r="BO405" s="916" t="str">
        <f t="shared" ca="1" si="135"/>
        <v/>
      </c>
      <c r="BP405" s="802"/>
    </row>
    <row r="406" spans="1:68" ht="20.100000000000001" customHeight="1">
      <c r="B406" s="1004" t="s">
        <v>974</v>
      </c>
      <c r="C406" s="1005"/>
      <c r="D406" s="785"/>
      <c r="E406" s="785"/>
      <c r="F406" s="810"/>
      <c r="G406" s="852" t="s">
        <v>1281</v>
      </c>
      <c r="H406" s="921"/>
      <c r="I406" s="921"/>
      <c r="J406" s="921"/>
      <c r="K406" s="921"/>
      <c r="L406" s="928">
        <f ca="1">SUM(L321:L347,L349:L369,L373:L400,L402:L405)</f>
        <v>0</v>
      </c>
      <c r="M406" s="928">
        <f t="shared" ref="M406:BO406" ca="1" si="136">SUM(M321:M347,M349:M369,M373:M400,M402:M405)</f>
        <v>0</v>
      </c>
      <c r="N406" s="928">
        <f t="shared" ca="1" si="136"/>
        <v>0</v>
      </c>
      <c r="O406" s="928">
        <f t="shared" ca="1" si="136"/>
        <v>0</v>
      </c>
      <c r="P406" s="929">
        <f t="shared" ca="1" si="136"/>
        <v>0</v>
      </c>
      <c r="Q406" s="929">
        <f t="shared" ca="1" si="136"/>
        <v>0</v>
      </c>
      <c r="R406" s="929">
        <f t="shared" ca="1" si="136"/>
        <v>0</v>
      </c>
      <c r="S406" s="929">
        <f t="shared" ca="1" si="136"/>
        <v>0</v>
      </c>
      <c r="T406" s="929">
        <f t="shared" ca="1" si="136"/>
        <v>0</v>
      </c>
      <c r="U406" s="929">
        <f t="shared" ca="1" si="136"/>
        <v>0</v>
      </c>
      <c r="V406" s="929">
        <f t="shared" ca="1" si="136"/>
        <v>0</v>
      </c>
      <c r="W406" s="929">
        <f t="shared" ca="1" si="136"/>
        <v>0</v>
      </c>
      <c r="X406" s="929">
        <f t="shared" ca="1" si="136"/>
        <v>0</v>
      </c>
      <c r="Y406" s="929">
        <f t="shared" ca="1" si="136"/>
        <v>0</v>
      </c>
      <c r="Z406" s="929">
        <f t="shared" ca="1" si="136"/>
        <v>0</v>
      </c>
      <c r="AA406" s="929">
        <f t="shared" ca="1" si="136"/>
        <v>0</v>
      </c>
      <c r="AB406" s="929">
        <f t="shared" ca="1" si="136"/>
        <v>0</v>
      </c>
      <c r="AC406" s="929">
        <f t="shared" ca="1" si="136"/>
        <v>0</v>
      </c>
      <c r="AD406" s="929">
        <f t="shared" ca="1" si="136"/>
        <v>0</v>
      </c>
      <c r="AE406" s="929">
        <f t="shared" ca="1" si="136"/>
        <v>0</v>
      </c>
      <c r="AF406" s="929">
        <f t="shared" ca="1" si="136"/>
        <v>0</v>
      </c>
      <c r="AG406" s="929">
        <f t="shared" ca="1" si="136"/>
        <v>0</v>
      </c>
      <c r="AH406" s="929">
        <f t="shared" ca="1" si="136"/>
        <v>0</v>
      </c>
      <c r="AI406" s="929">
        <f t="shared" ca="1" si="136"/>
        <v>0</v>
      </c>
      <c r="AJ406" s="929">
        <f t="shared" ca="1" si="136"/>
        <v>0</v>
      </c>
      <c r="AK406" s="929">
        <f t="shared" ca="1" si="136"/>
        <v>0</v>
      </c>
      <c r="AL406" s="929">
        <f t="shared" ca="1" si="136"/>
        <v>0</v>
      </c>
      <c r="AM406" s="929">
        <f t="shared" ca="1" si="136"/>
        <v>0</v>
      </c>
      <c r="AN406" s="929">
        <f t="shared" ca="1" si="136"/>
        <v>0</v>
      </c>
      <c r="AO406" s="929">
        <f t="shared" ca="1" si="136"/>
        <v>0</v>
      </c>
      <c r="AP406" s="929">
        <f t="shared" ca="1" si="136"/>
        <v>0</v>
      </c>
      <c r="AQ406" s="929">
        <f t="shared" ca="1" si="136"/>
        <v>0</v>
      </c>
      <c r="AR406" s="929">
        <f t="shared" ca="1" si="136"/>
        <v>0</v>
      </c>
      <c r="AS406" s="929">
        <f t="shared" ca="1" si="136"/>
        <v>0</v>
      </c>
      <c r="AT406" s="929">
        <f t="shared" ca="1" si="136"/>
        <v>0</v>
      </c>
      <c r="AU406" s="929">
        <f t="shared" ca="1" si="136"/>
        <v>0</v>
      </c>
      <c r="AV406" s="929">
        <f t="shared" ca="1" si="136"/>
        <v>0</v>
      </c>
      <c r="AW406" s="929">
        <f t="shared" ca="1" si="136"/>
        <v>0</v>
      </c>
      <c r="AX406" s="929">
        <f t="shared" ca="1" si="136"/>
        <v>0</v>
      </c>
      <c r="AY406" s="929">
        <f t="shared" ca="1" si="136"/>
        <v>0</v>
      </c>
      <c r="AZ406" s="929">
        <f t="shared" ca="1" si="136"/>
        <v>0</v>
      </c>
      <c r="BA406" s="929">
        <f t="shared" ca="1" si="136"/>
        <v>0</v>
      </c>
      <c r="BB406" s="929">
        <f t="shared" ca="1" si="136"/>
        <v>0</v>
      </c>
      <c r="BC406" s="929">
        <f t="shared" ca="1" si="136"/>
        <v>0</v>
      </c>
      <c r="BD406" s="929">
        <f t="shared" ca="1" si="136"/>
        <v>0</v>
      </c>
      <c r="BE406" s="929">
        <f t="shared" ca="1" si="136"/>
        <v>0</v>
      </c>
      <c r="BF406" s="929">
        <f t="shared" ca="1" si="136"/>
        <v>0</v>
      </c>
      <c r="BG406" s="929">
        <f t="shared" ca="1" si="136"/>
        <v>0</v>
      </c>
      <c r="BH406" s="929">
        <f t="shared" ca="1" si="136"/>
        <v>0</v>
      </c>
      <c r="BI406" s="929">
        <f t="shared" ca="1" si="136"/>
        <v>0</v>
      </c>
      <c r="BJ406" s="929">
        <f t="shared" ca="1" si="136"/>
        <v>0</v>
      </c>
      <c r="BK406" s="929">
        <f t="shared" ca="1" si="136"/>
        <v>0</v>
      </c>
      <c r="BL406" s="929">
        <f t="shared" ca="1" si="136"/>
        <v>0</v>
      </c>
      <c r="BM406" s="929">
        <f t="shared" ca="1" si="136"/>
        <v>0</v>
      </c>
      <c r="BN406" s="929">
        <f t="shared" ca="1" si="136"/>
        <v>0</v>
      </c>
      <c r="BO406" s="929">
        <f t="shared" ca="1" si="136"/>
        <v>0</v>
      </c>
      <c r="BP406" s="802"/>
    </row>
  </sheetData>
  <sheetProtection algorithmName="SHA-512" hashValue="WiM8fxNOaa4LLOFYetIXyOml34VBoWou39ZRGfVMY1EUwDiG74MJcnMcoPL/6/H766lbKgUD7AJisBG0ki/lVQ==" saltValue="dyelF9flYqQsOXIaJ45OKg==" spinCount="100000" sheet="1" formatCells="0" autoFilter="0"/>
  <mergeCells count="118">
    <mergeCell ref="B380:B400"/>
    <mergeCell ref="C381:C384"/>
    <mergeCell ref="C385:C400"/>
    <mergeCell ref="D393:D394"/>
    <mergeCell ref="D395:D396"/>
    <mergeCell ref="B402:C405"/>
    <mergeCell ref="B321:B368"/>
    <mergeCell ref="C321:C349"/>
    <mergeCell ref="C350:C368"/>
    <mergeCell ref="B369:B379"/>
    <mergeCell ref="C369:C373"/>
    <mergeCell ref="C374:C379"/>
    <mergeCell ref="D298:D302"/>
    <mergeCell ref="D303:D306"/>
    <mergeCell ref="C309:C316"/>
    <mergeCell ref="D309:D310"/>
    <mergeCell ref="D311:D312"/>
    <mergeCell ref="D313:D314"/>
    <mergeCell ref="D315:D316"/>
    <mergeCell ref="B275:B288"/>
    <mergeCell ref="C275:C283"/>
    <mergeCell ref="C284:C288"/>
    <mergeCell ref="B289:B293"/>
    <mergeCell ref="C290:C293"/>
    <mergeCell ref="B296:B317"/>
    <mergeCell ref="C296:C307"/>
    <mergeCell ref="H263:K263"/>
    <mergeCell ref="C264:C271"/>
    <mergeCell ref="D264:D265"/>
    <mergeCell ref="H265:K265"/>
    <mergeCell ref="D266:D267"/>
    <mergeCell ref="H267:K267"/>
    <mergeCell ref="D268:D269"/>
    <mergeCell ref="D270:D271"/>
    <mergeCell ref="B244:B248"/>
    <mergeCell ref="C245:C248"/>
    <mergeCell ref="B251:B272"/>
    <mergeCell ref="C251:C262"/>
    <mergeCell ref="D253:D257"/>
    <mergeCell ref="D258:D261"/>
    <mergeCell ref="D216:D217"/>
    <mergeCell ref="D218:D219"/>
    <mergeCell ref="D220:D221"/>
    <mergeCell ref="D222:D223"/>
    <mergeCell ref="B230:B243"/>
    <mergeCell ref="C230:C238"/>
    <mergeCell ref="C239:C243"/>
    <mergeCell ref="B177:B197"/>
    <mergeCell ref="C178:C181"/>
    <mergeCell ref="C182:C197"/>
    <mergeCell ref="D190:D191"/>
    <mergeCell ref="D192:D193"/>
    <mergeCell ref="B203:B226"/>
    <mergeCell ref="C203:C214"/>
    <mergeCell ref="D205:D209"/>
    <mergeCell ref="D210:D213"/>
    <mergeCell ref="C216:C223"/>
    <mergeCell ref="B118:B165"/>
    <mergeCell ref="C118:C146"/>
    <mergeCell ref="C147:C165"/>
    <mergeCell ref="B166:B176"/>
    <mergeCell ref="C166:C170"/>
    <mergeCell ref="C171:C176"/>
    <mergeCell ref="H105:K105"/>
    <mergeCell ref="C106:C113"/>
    <mergeCell ref="D106:D107"/>
    <mergeCell ref="H107:K107"/>
    <mergeCell ref="D108:D109"/>
    <mergeCell ref="H109:K109"/>
    <mergeCell ref="D110:D111"/>
    <mergeCell ref="D112:D113"/>
    <mergeCell ref="D80:D81"/>
    <mergeCell ref="D82:D83"/>
    <mergeCell ref="B93:B115"/>
    <mergeCell ref="C93:C104"/>
    <mergeCell ref="D95:D99"/>
    <mergeCell ref="D100:D103"/>
    <mergeCell ref="B56:B66"/>
    <mergeCell ref="C56:C60"/>
    <mergeCell ref="C61:C66"/>
    <mergeCell ref="B67:B87"/>
    <mergeCell ref="C68:C71"/>
    <mergeCell ref="C72:C87"/>
    <mergeCell ref="B8:B55"/>
    <mergeCell ref="C8:C36"/>
    <mergeCell ref="C37:C55"/>
    <mergeCell ref="AG4:AI4"/>
    <mergeCell ref="AK4:AM4"/>
    <mergeCell ref="AO4:AQ4"/>
    <mergeCell ref="AS4:AU4"/>
    <mergeCell ref="AW4:AY4"/>
    <mergeCell ref="BA4:BC4"/>
    <mergeCell ref="BD3:BG3"/>
    <mergeCell ref="BH3:BK3"/>
    <mergeCell ref="BL3:BO3"/>
    <mergeCell ref="D4:E4"/>
    <mergeCell ref="L4:O4"/>
    <mergeCell ref="T4:W4"/>
    <mergeCell ref="X4:AA4"/>
    <mergeCell ref="AC4:AE4"/>
    <mergeCell ref="X3:AA3"/>
    <mergeCell ref="AB3:AE3"/>
    <mergeCell ref="AF3:AI3"/>
    <mergeCell ref="AJ3:AM3"/>
    <mergeCell ref="AN3:AQ3"/>
    <mergeCell ref="AR3:AU3"/>
    <mergeCell ref="BE4:BG4"/>
    <mergeCell ref="BI4:BK4"/>
    <mergeCell ref="BM4:BO4"/>
    <mergeCell ref="D2:E2"/>
    <mergeCell ref="H2:K2"/>
    <mergeCell ref="L2:O2"/>
    <mergeCell ref="P2:S2"/>
    <mergeCell ref="T2:W2"/>
    <mergeCell ref="D3:E3"/>
    <mergeCell ref="T3:W3"/>
    <mergeCell ref="AV3:AY3"/>
    <mergeCell ref="AZ3:BC3"/>
  </mergeCells>
  <phoneticPr fontId="4"/>
  <hyperlinks>
    <hyperlink ref="K1" location="基礎_12" display="基礎排出量" xr:uid="{00000000-0004-0000-0A00-000000000000}"/>
    <hyperlink ref="M1" location="調整後_12" display="調整後排出量" xr:uid="{00000000-0004-0000-0A00-000001000000}"/>
    <hyperlink ref="O1" location="外部供給排出量" display="外部供給排出量" xr:uid="{00000000-0004-0000-0A00-000002000000}"/>
    <hyperlink ref="R1" location="基礎_3" display="基礎排出量" xr:uid="{00000000-0004-0000-0A00-000003000000}"/>
    <hyperlink ref="T1" location="調整後_3" display="調整後排出量" xr:uid="{00000000-0004-0000-0A00-000004000000}"/>
  </hyperlinks>
  <pageMargins left="0.7" right="0.7" top="0.75" bottom="0.75" header="0.3" footer="0.3"/>
  <pageSetup paperSize="9" scale="20"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IH315"/>
  <sheetViews>
    <sheetView showGridLines="0" zoomScale="80" zoomScaleNormal="80" workbookViewId="0">
      <selection activeCell="J110" sqref="J110"/>
    </sheetView>
  </sheetViews>
  <sheetFormatPr defaultColWidth="10" defaultRowHeight="18" outlineLevelCol="1"/>
  <cols>
    <col min="1" max="1" width="10.109375" style="156" bestFit="1" customWidth="1"/>
    <col min="2" max="2" width="18.88671875" style="156" customWidth="1"/>
    <col min="3" max="3" width="10.109375" style="156" bestFit="1" customWidth="1"/>
    <col min="4" max="4" width="10.44140625" style="156" bestFit="1" customWidth="1"/>
    <col min="5" max="5" width="12.88671875" style="156" customWidth="1"/>
    <col min="6" max="10" width="12.88671875" style="156" bestFit="1" customWidth="1"/>
    <col min="11" max="210" width="10" style="156" hidden="1" customWidth="1" outlineLevel="1"/>
    <col min="211" max="211" width="9.44140625" style="156" customWidth="1" collapsed="1"/>
    <col min="212" max="218" width="9.44140625" style="156" customWidth="1"/>
    <col min="219" max="219" width="10" style="156"/>
    <col min="220" max="220" width="5.77734375" style="156" customWidth="1"/>
    <col min="221" max="236" width="13.21875" style="156" customWidth="1"/>
    <col min="237" max="238" width="10" style="156"/>
    <col min="239" max="242" width="10" style="159" hidden="1" customWidth="1"/>
    <col min="243" max="16384" width="10" style="156"/>
  </cols>
  <sheetData>
    <row r="1" spans="1:242" ht="39.9" customHeight="1">
      <c r="A1" s="152" t="s">
        <v>483</v>
      </c>
      <c r="B1" s="153"/>
      <c r="C1" s="154"/>
      <c r="D1" s="155"/>
      <c r="E1" s="154"/>
      <c r="F1" s="155"/>
      <c r="G1" s="154"/>
      <c r="H1" s="155"/>
      <c r="I1" s="154"/>
      <c r="J1" s="155"/>
      <c r="K1" s="154"/>
      <c r="L1" s="155"/>
      <c r="M1" s="154"/>
      <c r="N1" s="155"/>
      <c r="O1" s="154"/>
      <c r="P1" s="155"/>
      <c r="Q1" s="154"/>
      <c r="R1" s="155"/>
      <c r="S1" s="154"/>
      <c r="T1" s="155"/>
      <c r="U1" s="154"/>
      <c r="V1" s="155"/>
      <c r="W1" s="154"/>
      <c r="X1" s="155"/>
      <c r="Y1" s="154"/>
      <c r="Z1" s="155"/>
      <c r="AA1" s="154"/>
      <c r="AB1" s="155"/>
      <c r="AC1" s="154"/>
      <c r="AD1" s="155"/>
      <c r="AE1" s="154"/>
      <c r="AF1" s="155"/>
      <c r="AG1" s="154"/>
      <c r="AH1" s="155"/>
      <c r="AI1" s="154"/>
      <c r="AJ1" s="155"/>
      <c r="AK1" s="154"/>
      <c r="AL1" s="155"/>
      <c r="AM1" s="154"/>
      <c r="AN1" s="155"/>
      <c r="AO1" s="154"/>
      <c r="AP1" s="155"/>
      <c r="AQ1" s="154"/>
      <c r="AR1" s="155"/>
      <c r="AS1" s="154"/>
      <c r="AT1" s="155"/>
      <c r="AU1" s="154"/>
      <c r="AV1" s="155"/>
      <c r="AW1" s="154"/>
      <c r="AX1" s="155"/>
      <c r="AY1" s="154"/>
      <c r="AZ1" s="155"/>
      <c r="BA1" s="154"/>
      <c r="BB1" s="155"/>
      <c r="BC1" s="154"/>
      <c r="BD1" s="155"/>
      <c r="BE1" s="154"/>
      <c r="BF1" s="155"/>
      <c r="BG1" s="154"/>
      <c r="BH1" s="155"/>
      <c r="BI1" s="154"/>
      <c r="BJ1" s="155"/>
      <c r="BK1" s="154"/>
      <c r="BL1" s="155"/>
      <c r="BM1" s="154"/>
      <c r="BN1" s="155"/>
      <c r="BO1" s="154"/>
      <c r="BP1" s="155"/>
      <c r="BQ1" s="154"/>
      <c r="BR1" s="155"/>
      <c r="BS1" s="154"/>
      <c r="BT1" s="155"/>
      <c r="BU1" s="154"/>
      <c r="BV1" s="155"/>
      <c r="BW1" s="154"/>
      <c r="BX1" s="155"/>
      <c r="BY1" s="154"/>
      <c r="BZ1" s="155"/>
      <c r="CA1" s="154"/>
      <c r="CB1" s="155"/>
      <c r="CC1" s="154"/>
      <c r="CD1" s="155"/>
      <c r="CE1" s="154"/>
      <c r="CF1" s="155"/>
      <c r="CG1" s="154"/>
      <c r="CH1" s="155"/>
      <c r="CI1" s="154"/>
      <c r="CJ1" s="155"/>
      <c r="CK1" s="154"/>
      <c r="CL1" s="155"/>
      <c r="CM1" s="154"/>
      <c r="CN1" s="155"/>
      <c r="CO1" s="154"/>
      <c r="CP1" s="155"/>
      <c r="CQ1" s="154"/>
      <c r="CR1" s="155"/>
      <c r="CS1" s="154"/>
      <c r="CT1" s="155"/>
      <c r="CU1" s="154"/>
      <c r="CV1" s="155"/>
      <c r="CW1" s="154"/>
      <c r="CX1" s="155"/>
      <c r="CY1" s="154"/>
      <c r="CZ1" s="155"/>
      <c r="DA1" s="154"/>
      <c r="DB1" s="155"/>
      <c r="DC1" s="154"/>
      <c r="DD1" s="155"/>
      <c r="DE1" s="154"/>
      <c r="DF1" s="155"/>
      <c r="DG1" s="154"/>
      <c r="DH1" s="155"/>
      <c r="DI1" s="154"/>
      <c r="DJ1" s="155"/>
      <c r="DK1" s="154"/>
      <c r="DL1" s="155"/>
      <c r="DM1" s="154"/>
      <c r="DN1" s="155"/>
      <c r="DO1" s="154"/>
      <c r="DP1" s="155"/>
      <c r="DQ1" s="154"/>
      <c r="DR1" s="155"/>
      <c r="DS1" s="154"/>
      <c r="DT1" s="155"/>
      <c r="DU1" s="154"/>
      <c r="DV1" s="155"/>
      <c r="DW1" s="154"/>
      <c r="DX1" s="155"/>
      <c r="DY1" s="154"/>
      <c r="DZ1" s="155"/>
      <c r="EA1" s="154"/>
      <c r="EB1" s="155"/>
      <c r="EC1" s="154"/>
      <c r="ED1" s="155"/>
      <c r="EE1" s="154"/>
      <c r="EF1" s="155"/>
      <c r="EG1" s="154"/>
      <c r="EH1" s="155"/>
      <c r="EI1" s="154"/>
      <c r="EJ1" s="155"/>
      <c r="EK1" s="154"/>
      <c r="EL1" s="155"/>
      <c r="EM1" s="154"/>
      <c r="EN1" s="155"/>
      <c r="EO1" s="154"/>
      <c r="EP1" s="155"/>
      <c r="EQ1" s="154"/>
      <c r="ER1" s="155"/>
      <c r="ES1" s="154"/>
      <c r="ET1" s="155"/>
      <c r="EU1" s="154"/>
      <c r="EV1" s="155"/>
      <c r="EW1" s="154"/>
      <c r="EX1" s="155"/>
      <c r="EY1" s="154"/>
      <c r="EZ1" s="155"/>
      <c r="FA1" s="154"/>
      <c r="FB1" s="155"/>
      <c r="FC1" s="154"/>
      <c r="FD1" s="155"/>
      <c r="FE1" s="154"/>
      <c r="FF1" s="155"/>
      <c r="FG1" s="154"/>
      <c r="FH1" s="155"/>
      <c r="FI1" s="154"/>
      <c r="FJ1" s="155"/>
      <c r="FK1" s="154"/>
      <c r="FL1" s="155"/>
      <c r="FM1" s="154"/>
      <c r="FN1" s="155"/>
      <c r="FO1" s="154"/>
      <c r="FP1" s="155"/>
      <c r="FQ1" s="154"/>
      <c r="FR1" s="155"/>
      <c r="FS1" s="154"/>
      <c r="FT1" s="155"/>
      <c r="FU1" s="154"/>
      <c r="FV1" s="155"/>
      <c r="FW1" s="154"/>
      <c r="FX1" s="155"/>
      <c r="FY1" s="154"/>
      <c r="FZ1" s="155"/>
      <c r="GA1" s="154"/>
      <c r="GB1" s="155"/>
      <c r="GC1" s="154"/>
      <c r="GD1" s="155"/>
      <c r="GE1" s="154"/>
      <c r="GF1" s="155"/>
      <c r="GG1" s="154"/>
      <c r="GH1" s="155"/>
      <c r="GI1" s="154"/>
      <c r="GJ1" s="155"/>
      <c r="GK1" s="154"/>
      <c r="GL1" s="155"/>
      <c r="GM1" s="154"/>
      <c r="GN1" s="155"/>
      <c r="GO1" s="154"/>
      <c r="GP1" s="155"/>
      <c r="GQ1" s="154"/>
      <c r="GR1" s="155"/>
      <c r="GS1" s="154"/>
      <c r="GT1" s="155"/>
      <c r="GU1" s="154"/>
      <c r="GV1" s="155"/>
      <c r="GW1" s="154"/>
      <c r="GX1" s="155"/>
      <c r="GY1" s="154"/>
      <c r="GZ1" s="155"/>
      <c r="HA1" s="154"/>
      <c r="HB1" s="155"/>
      <c r="HC1" s="154"/>
      <c r="HD1" s="155"/>
      <c r="HE1" s="154"/>
      <c r="HF1" s="155"/>
      <c r="HG1" s="154"/>
      <c r="HH1" s="155"/>
      <c r="HI1" s="154"/>
      <c r="HJ1" s="155"/>
      <c r="HL1" s="157" t="s">
        <v>484</v>
      </c>
      <c r="HM1" s="158"/>
      <c r="HN1" s="158"/>
      <c r="HO1" s="158"/>
      <c r="HP1" s="158"/>
      <c r="HQ1" s="158"/>
      <c r="HR1" s="158"/>
      <c r="HS1" s="158"/>
      <c r="HT1" s="158"/>
    </row>
    <row r="2" spans="1:242" ht="26.4">
      <c r="A2" s="703" t="s">
        <v>485</v>
      </c>
      <c r="B2" s="702" t="s">
        <v>486</v>
      </c>
      <c r="C2" s="160"/>
      <c r="D2" s="161"/>
      <c r="E2" s="161"/>
      <c r="F2" s="162"/>
      <c r="G2" s="704"/>
      <c r="H2" s="163"/>
      <c r="I2" s="160"/>
      <c r="J2" s="161"/>
      <c r="K2" s="154"/>
      <c r="L2" s="154"/>
      <c r="M2" s="154"/>
      <c r="N2" s="154"/>
      <c r="O2" s="154"/>
      <c r="P2" s="16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8"/>
      <c r="HM2" s="158" t="s">
        <v>487</v>
      </c>
      <c r="HN2" s="158"/>
      <c r="HO2" s="158"/>
      <c r="HP2" s="158"/>
      <c r="HQ2" s="158"/>
      <c r="HR2" s="158"/>
      <c r="HS2" s="158"/>
      <c r="HT2" s="158"/>
    </row>
    <row r="3" spans="1:242" ht="26.4">
      <c r="A3" s="703" t="s">
        <v>488</v>
      </c>
      <c r="B3" s="165" t="str">
        <f>IF(N11&lt;&gt;"■","「前年度からの法人情報変更有無」、「区分」を選択してください。","")</f>
        <v>「前年度からの法人情報変更有無」、「区分」を選択してください。</v>
      </c>
      <c r="C3" s="162"/>
      <c r="D3" s="162"/>
      <c r="E3" s="162"/>
      <c r="F3" s="162"/>
      <c r="G3" s="704"/>
      <c r="H3" s="163"/>
      <c r="I3" s="160"/>
      <c r="J3" s="161"/>
      <c r="K3" s="154"/>
      <c r="L3" s="154"/>
      <c r="M3" s="154"/>
      <c r="N3" s="154"/>
      <c r="O3" s="154"/>
      <c r="P3" s="166"/>
      <c r="Q3" s="154"/>
      <c r="R3" s="154"/>
      <c r="S3" s="154"/>
      <c r="T3" s="154"/>
      <c r="V3" s="705"/>
      <c r="W3" s="705"/>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67" t="s">
        <v>489</v>
      </c>
      <c r="HM3" s="167"/>
      <c r="HN3" s="158"/>
      <c r="HO3" s="158"/>
      <c r="HP3" s="158"/>
      <c r="HQ3" s="158"/>
      <c r="HR3" s="158"/>
      <c r="HS3" s="158"/>
      <c r="HT3" s="158"/>
    </row>
    <row r="4" spans="1:242" ht="26.4">
      <c r="A4" s="703" t="s">
        <v>490</v>
      </c>
      <c r="B4" s="165"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162"/>
      <c r="D4" s="162"/>
      <c r="E4" s="162"/>
      <c r="F4" s="162"/>
      <c r="G4" s="704"/>
      <c r="H4" s="168"/>
      <c r="I4" s="160"/>
      <c r="J4" s="161"/>
      <c r="K4" s="154"/>
      <c r="L4" s="154"/>
      <c r="M4" s="154"/>
      <c r="N4" s="154"/>
      <c r="O4" s="154"/>
      <c r="P4" s="166"/>
      <c r="Q4" s="154"/>
      <c r="R4" s="154"/>
      <c r="S4" s="154"/>
      <c r="T4" s="154"/>
      <c r="V4" s="705"/>
      <c r="W4" s="705"/>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8" t="s">
        <v>491</v>
      </c>
      <c r="HM4" s="167"/>
      <c r="HN4" s="158"/>
      <c r="HO4" s="158"/>
      <c r="HP4" s="158"/>
      <c r="HQ4" s="158"/>
      <c r="HR4" s="158"/>
      <c r="HS4" s="158"/>
      <c r="HT4" s="158"/>
    </row>
    <row r="5" spans="1:242" ht="26.4">
      <c r="A5" s="703" t="s">
        <v>492</v>
      </c>
      <c r="B5" s="165" t="str">
        <f>IF(N11&lt;&gt;"■","「工場等の名称」が過年度と一致しているか確認してください。","")</f>
        <v>「工場等の名称」が過年度と一致しているか確認してください。</v>
      </c>
      <c r="C5" s="162"/>
      <c r="D5" s="161"/>
      <c r="E5" s="161"/>
      <c r="F5" s="706"/>
      <c r="G5" s="704"/>
      <c r="H5" s="168"/>
      <c r="I5" s="160"/>
      <c r="J5" s="161"/>
      <c r="K5" s="154"/>
      <c r="L5" s="154"/>
      <c r="M5" s="154"/>
      <c r="N5" s="154"/>
      <c r="O5" s="154"/>
      <c r="P5" s="166"/>
      <c r="Q5" s="154"/>
      <c r="R5" s="154"/>
      <c r="S5" s="154"/>
      <c r="T5" s="154"/>
      <c r="V5" s="705"/>
      <c r="W5" s="705"/>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8" t="s">
        <v>1283</v>
      </c>
      <c r="HM5" s="167"/>
      <c r="HN5" s="158"/>
      <c r="HO5" s="158"/>
      <c r="HP5" s="158"/>
      <c r="HQ5" s="158"/>
      <c r="HR5" s="158"/>
      <c r="HS5" s="158"/>
      <c r="HT5" s="158"/>
    </row>
    <row r="6" spans="1:242" ht="26.4">
      <c r="A6" s="169" t="s">
        <v>1269</v>
      </c>
      <c r="B6" s="1020" t="s">
        <v>1268</v>
      </c>
      <c r="C6" s="1020"/>
      <c r="D6" s="1020"/>
      <c r="E6" s="1020"/>
      <c r="F6" s="1020"/>
      <c r="G6" s="1020"/>
      <c r="H6" s="1020"/>
      <c r="I6" s="1020"/>
      <c r="J6" s="1021"/>
      <c r="K6" s="170" t="s">
        <v>444</v>
      </c>
      <c r="L6" s="171" t="str">
        <f>L14&amp;""</f>
        <v/>
      </c>
      <c r="M6" s="171"/>
      <c r="N6" s="172"/>
      <c r="O6" s="170" t="s">
        <v>444</v>
      </c>
      <c r="P6" s="171" t="str">
        <f t="shared" ref="P6" si="0">P14&amp;""</f>
        <v/>
      </c>
      <c r="Q6" s="171"/>
      <c r="R6" s="172"/>
      <c r="S6" s="170" t="s">
        <v>444</v>
      </c>
      <c r="T6" s="171" t="str">
        <f t="shared" ref="T6" si="1">T14&amp;""</f>
        <v/>
      </c>
      <c r="U6" s="171"/>
      <c r="V6" s="172"/>
      <c r="W6" s="170" t="s">
        <v>444</v>
      </c>
      <c r="X6" s="171" t="str">
        <f t="shared" ref="X6" si="2">X14&amp;""</f>
        <v/>
      </c>
      <c r="Y6" s="171"/>
      <c r="Z6" s="172"/>
      <c r="AA6" s="170" t="s">
        <v>444</v>
      </c>
      <c r="AB6" s="171" t="str">
        <f t="shared" ref="AB6" si="3">AB14&amp;""</f>
        <v/>
      </c>
      <c r="AC6" s="171"/>
      <c r="AD6" s="172"/>
      <c r="AE6" s="170" t="s">
        <v>444</v>
      </c>
      <c r="AF6" s="171" t="str">
        <f t="shared" ref="AF6" si="4">AF14&amp;""</f>
        <v/>
      </c>
      <c r="AG6" s="171"/>
      <c r="AH6" s="172"/>
      <c r="AI6" s="170" t="s">
        <v>444</v>
      </c>
      <c r="AJ6" s="171" t="str">
        <f t="shared" ref="AJ6" si="5">AJ14&amp;""</f>
        <v/>
      </c>
      <c r="AK6" s="171"/>
      <c r="AL6" s="172"/>
      <c r="AM6" s="170" t="s">
        <v>444</v>
      </c>
      <c r="AN6" s="171" t="str">
        <f t="shared" ref="AN6" si="6">AN14&amp;""</f>
        <v/>
      </c>
      <c r="AO6" s="171"/>
      <c r="AP6" s="172"/>
      <c r="AQ6" s="170" t="s">
        <v>444</v>
      </c>
      <c r="AR6" s="171" t="str">
        <f t="shared" ref="AR6" si="7">AR14&amp;""</f>
        <v/>
      </c>
      <c r="AS6" s="171"/>
      <c r="AT6" s="172"/>
      <c r="AU6" s="170" t="s">
        <v>444</v>
      </c>
      <c r="AV6" s="171" t="str">
        <f t="shared" ref="AV6" si="8">AV14&amp;""</f>
        <v/>
      </c>
      <c r="AW6" s="171"/>
      <c r="AX6" s="172"/>
      <c r="AY6" s="170" t="s">
        <v>444</v>
      </c>
      <c r="AZ6" s="171" t="str">
        <f t="shared" ref="AZ6" si="9">AZ14&amp;""</f>
        <v/>
      </c>
      <c r="BA6" s="171"/>
      <c r="BB6" s="172"/>
      <c r="BC6" s="170" t="s">
        <v>444</v>
      </c>
      <c r="BD6" s="171" t="str">
        <f t="shared" ref="BD6" si="10">BD14&amp;""</f>
        <v/>
      </c>
      <c r="BE6" s="171"/>
      <c r="BF6" s="172"/>
      <c r="BG6" s="170" t="s">
        <v>444</v>
      </c>
      <c r="BH6" s="171" t="str">
        <f t="shared" ref="BH6" si="11">BH14&amp;""</f>
        <v/>
      </c>
      <c r="BI6" s="171"/>
      <c r="BJ6" s="172"/>
      <c r="BK6" s="170" t="s">
        <v>444</v>
      </c>
      <c r="BL6" s="171" t="str">
        <f t="shared" ref="BL6" si="12">BL14&amp;""</f>
        <v/>
      </c>
      <c r="BM6" s="171"/>
      <c r="BN6" s="172"/>
      <c r="BO6" s="170" t="s">
        <v>444</v>
      </c>
      <c r="BP6" s="171" t="str">
        <f t="shared" ref="BP6" si="13">BP14&amp;""</f>
        <v/>
      </c>
      <c r="BQ6" s="171"/>
      <c r="BR6" s="172"/>
      <c r="BS6" s="170" t="s">
        <v>444</v>
      </c>
      <c r="BT6" s="171" t="str">
        <f t="shared" ref="BT6" si="14">BT14&amp;""</f>
        <v/>
      </c>
      <c r="BU6" s="171"/>
      <c r="BV6" s="172"/>
      <c r="BW6" s="170" t="s">
        <v>444</v>
      </c>
      <c r="BX6" s="171" t="str">
        <f t="shared" ref="BX6" si="15">BX14&amp;""</f>
        <v/>
      </c>
      <c r="BY6" s="171"/>
      <c r="BZ6" s="172"/>
      <c r="CA6" s="170" t="s">
        <v>444</v>
      </c>
      <c r="CB6" s="171" t="str">
        <f t="shared" ref="CB6" si="16">CB14&amp;""</f>
        <v/>
      </c>
      <c r="CC6" s="171"/>
      <c r="CD6" s="172"/>
      <c r="CE6" s="170" t="s">
        <v>444</v>
      </c>
      <c r="CF6" s="171" t="str">
        <f t="shared" ref="CF6" si="17">CF14&amp;""</f>
        <v/>
      </c>
      <c r="CG6" s="171"/>
      <c r="CH6" s="172"/>
      <c r="CI6" s="170" t="s">
        <v>444</v>
      </c>
      <c r="CJ6" s="171" t="str">
        <f t="shared" ref="CJ6" si="18">CJ14&amp;""</f>
        <v/>
      </c>
      <c r="CK6" s="171"/>
      <c r="CL6" s="172"/>
      <c r="CM6" s="170" t="s">
        <v>444</v>
      </c>
      <c r="CN6" s="171" t="str">
        <f t="shared" ref="CN6" si="19">CN14&amp;""</f>
        <v/>
      </c>
      <c r="CO6" s="171"/>
      <c r="CP6" s="172"/>
      <c r="CQ6" s="170" t="s">
        <v>444</v>
      </c>
      <c r="CR6" s="171" t="str">
        <f t="shared" ref="CR6" si="20">CR14&amp;""</f>
        <v/>
      </c>
      <c r="CS6" s="171"/>
      <c r="CT6" s="172"/>
      <c r="CU6" s="170" t="s">
        <v>444</v>
      </c>
      <c r="CV6" s="171" t="str">
        <f t="shared" ref="CV6" si="21">CV14&amp;""</f>
        <v/>
      </c>
      <c r="CW6" s="171"/>
      <c r="CX6" s="172"/>
      <c r="CY6" s="170" t="s">
        <v>444</v>
      </c>
      <c r="CZ6" s="171" t="str">
        <f t="shared" ref="CZ6" si="22">CZ14&amp;""</f>
        <v/>
      </c>
      <c r="DA6" s="171"/>
      <c r="DB6" s="172"/>
      <c r="DC6" s="170" t="s">
        <v>444</v>
      </c>
      <c r="DD6" s="171" t="str">
        <f t="shared" ref="DD6" si="23">DD14&amp;""</f>
        <v/>
      </c>
      <c r="DE6" s="171"/>
      <c r="DF6" s="172"/>
      <c r="DG6" s="170" t="s">
        <v>444</v>
      </c>
      <c r="DH6" s="171" t="str">
        <f t="shared" ref="DH6" si="24">DH14&amp;""</f>
        <v/>
      </c>
      <c r="DI6" s="171"/>
      <c r="DJ6" s="172"/>
      <c r="DK6" s="170" t="s">
        <v>444</v>
      </c>
      <c r="DL6" s="171" t="str">
        <f t="shared" ref="DL6" si="25">DL14&amp;""</f>
        <v/>
      </c>
      <c r="DM6" s="171"/>
      <c r="DN6" s="172"/>
      <c r="DO6" s="170" t="s">
        <v>444</v>
      </c>
      <c r="DP6" s="171" t="str">
        <f t="shared" ref="DP6" si="26">DP14&amp;""</f>
        <v/>
      </c>
      <c r="DQ6" s="171"/>
      <c r="DR6" s="172"/>
      <c r="DS6" s="170" t="s">
        <v>444</v>
      </c>
      <c r="DT6" s="171" t="str">
        <f t="shared" ref="DT6" si="27">DT14&amp;""</f>
        <v/>
      </c>
      <c r="DU6" s="171"/>
      <c r="DV6" s="172"/>
      <c r="DW6" s="170" t="s">
        <v>444</v>
      </c>
      <c r="DX6" s="171" t="str">
        <f t="shared" ref="DX6" si="28">DX14&amp;""</f>
        <v/>
      </c>
      <c r="DY6" s="171"/>
      <c r="DZ6" s="172"/>
      <c r="EA6" s="170" t="s">
        <v>444</v>
      </c>
      <c r="EB6" s="171" t="str">
        <f t="shared" ref="EB6" si="29">EB14&amp;""</f>
        <v/>
      </c>
      <c r="EC6" s="171"/>
      <c r="ED6" s="172"/>
      <c r="EE6" s="170" t="s">
        <v>444</v>
      </c>
      <c r="EF6" s="171" t="str">
        <f t="shared" ref="EF6" si="30">EF14&amp;""</f>
        <v/>
      </c>
      <c r="EG6" s="171"/>
      <c r="EH6" s="172"/>
      <c r="EI6" s="170" t="s">
        <v>444</v>
      </c>
      <c r="EJ6" s="171" t="str">
        <f t="shared" ref="EJ6" si="31">EJ14&amp;""</f>
        <v/>
      </c>
      <c r="EK6" s="171"/>
      <c r="EL6" s="172"/>
      <c r="EM6" s="170" t="s">
        <v>444</v>
      </c>
      <c r="EN6" s="171" t="str">
        <f t="shared" ref="EN6" si="32">EN14&amp;""</f>
        <v/>
      </c>
      <c r="EO6" s="171"/>
      <c r="EP6" s="172"/>
      <c r="EQ6" s="170" t="s">
        <v>444</v>
      </c>
      <c r="ER6" s="171" t="str">
        <f t="shared" ref="ER6" si="33">ER14&amp;""</f>
        <v/>
      </c>
      <c r="ES6" s="171"/>
      <c r="ET6" s="172"/>
      <c r="EU6" s="170" t="s">
        <v>444</v>
      </c>
      <c r="EV6" s="171" t="str">
        <f t="shared" ref="EV6" si="34">EV14&amp;""</f>
        <v/>
      </c>
      <c r="EW6" s="171"/>
      <c r="EX6" s="172"/>
      <c r="EY6" s="170" t="s">
        <v>444</v>
      </c>
      <c r="EZ6" s="171" t="str">
        <f t="shared" ref="EZ6" si="35">EZ14&amp;""</f>
        <v/>
      </c>
      <c r="FA6" s="171"/>
      <c r="FB6" s="172"/>
      <c r="FC6" s="170" t="s">
        <v>444</v>
      </c>
      <c r="FD6" s="171" t="str">
        <f t="shared" ref="FD6" si="36">FD14&amp;""</f>
        <v/>
      </c>
      <c r="FE6" s="171"/>
      <c r="FF6" s="172"/>
      <c r="FG6" s="170" t="s">
        <v>444</v>
      </c>
      <c r="FH6" s="171" t="str">
        <f t="shared" ref="FH6" si="37">FH14&amp;""</f>
        <v/>
      </c>
      <c r="FI6" s="171"/>
      <c r="FJ6" s="172"/>
      <c r="FK6" s="170" t="s">
        <v>444</v>
      </c>
      <c r="FL6" s="171" t="str">
        <f t="shared" ref="FL6" si="38">FL14&amp;""</f>
        <v/>
      </c>
      <c r="FM6" s="171"/>
      <c r="FN6" s="172"/>
      <c r="FO6" s="170" t="s">
        <v>444</v>
      </c>
      <c r="FP6" s="171" t="str">
        <f t="shared" ref="FP6" si="39">FP14&amp;""</f>
        <v/>
      </c>
      <c r="FQ6" s="171"/>
      <c r="FR6" s="172"/>
      <c r="FS6" s="170" t="s">
        <v>444</v>
      </c>
      <c r="FT6" s="171" t="str">
        <f t="shared" ref="FT6" si="40">FT14&amp;""</f>
        <v/>
      </c>
      <c r="FU6" s="171"/>
      <c r="FV6" s="172"/>
      <c r="FW6" s="170" t="s">
        <v>444</v>
      </c>
      <c r="FX6" s="171" t="str">
        <f t="shared" ref="FX6" si="41">FX14&amp;""</f>
        <v/>
      </c>
      <c r="FY6" s="171"/>
      <c r="FZ6" s="172"/>
      <c r="GA6" s="170" t="s">
        <v>444</v>
      </c>
      <c r="GB6" s="171" t="str">
        <f t="shared" ref="GB6" si="42">GB14&amp;""</f>
        <v/>
      </c>
      <c r="GC6" s="171"/>
      <c r="GD6" s="172"/>
      <c r="GE6" s="170" t="s">
        <v>444</v>
      </c>
      <c r="GF6" s="171" t="str">
        <f t="shared" ref="GF6" si="43">GF14&amp;""</f>
        <v/>
      </c>
      <c r="GG6" s="171"/>
      <c r="GH6" s="172"/>
      <c r="GI6" s="170" t="s">
        <v>444</v>
      </c>
      <c r="GJ6" s="171" t="str">
        <f t="shared" ref="GJ6" si="44">GJ14&amp;""</f>
        <v/>
      </c>
      <c r="GK6" s="171"/>
      <c r="GL6" s="172"/>
      <c r="GM6" s="170" t="s">
        <v>444</v>
      </c>
      <c r="GN6" s="171" t="str">
        <f t="shared" ref="GN6" si="45">GN14&amp;""</f>
        <v/>
      </c>
      <c r="GO6" s="171"/>
      <c r="GP6" s="172"/>
      <c r="GQ6" s="170" t="s">
        <v>444</v>
      </c>
      <c r="GR6" s="171" t="str">
        <f t="shared" ref="GR6" si="46">GR14&amp;""</f>
        <v/>
      </c>
      <c r="GS6" s="171"/>
      <c r="GT6" s="172"/>
      <c r="GU6" s="170" t="s">
        <v>444</v>
      </c>
      <c r="GV6" s="171" t="str">
        <f t="shared" ref="GV6" si="47">GV14&amp;""</f>
        <v/>
      </c>
      <c r="GW6" s="171"/>
      <c r="GX6" s="172"/>
      <c r="GY6" s="170" t="s">
        <v>444</v>
      </c>
      <c r="GZ6" s="171" t="str">
        <f t="shared" ref="GZ6" si="48">GZ14&amp;""</f>
        <v/>
      </c>
      <c r="HA6" s="171"/>
      <c r="HB6" s="172"/>
      <c r="HC6" s="154"/>
      <c r="HD6" s="154"/>
      <c r="HE6" s="154"/>
      <c r="HF6" s="154"/>
      <c r="HG6" s="154"/>
      <c r="HH6" s="154"/>
      <c r="HI6" s="154"/>
      <c r="HJ6" s="154"/>
      <c r="HK6" s="154"/>
      <c r="HL6" s="158" t="s">
        <v>493</v>
      </c>
      <c r="HM6" s="158"/>
      <c r="HN6" s="158"/>
      <c r="HO6" s="158"/>
      <c r="HP6" s="158"/>
      <c r="HQ6" s="158"/>
      <c r="HR6" s="158"/>
      <c r="HS6" s="158"/>
      <c r="HT6" s="158"/>
    </row>
    <row r="7" spans="1:242" ht="27" thickBot="1">
      <c r="A7" s="173" t="s">
        <v>1270</v>
      </c>
      <c r="B7" s="174"/>
      <c r="C7" s="175"/>
      <c r="D7" s="175"/>
      <c r="E7" s="176"/>
      <c r="F7" s="175"/>
      <c r="G7" s="175"/>
      <c r="H7" s="175"/>
      <c r="I7" s="175"/>
      <c r="J7" s="175"/>
      <c r="K7" s="175"/>
      <c r="L7" s="175"/>
      <c r="M7" s="175"/>
      <c r="N7" s="175"/>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8"/>
      <c r="AP7" s="178"/>
      <c r="AQ7" s="178"/>
      <c r="AR7" s="178"/>
      <c r="AS7" s="178"/>
      <c r="AT7" s="178"/>
      <c r="AU7" s="178"/>
      <c r="AV7" s="178"/>
      <c r="AW7" s="178"/>
      <c r="AX7" s="178"/>
      <c r="AY7" s="178"/>
      <c r="AZ7" s="178"/>
      <c r="BA7" s="178"/>
      <c r="BB7" s="178"/>
      <c r="BC7" s="178"/>
      <c r="BD7" s="178"/>
      <c r="BE7" s="178"/>
      <c r="BF7" s="178"/>
      <c r="BG7" s="178"/>
      <c r="BH7" s="178"/>
      <c r="BI7" s="178"/>
      <c r="BJ7" s="178"/>
      <c r="BK7" s="178"/>
      <c r="BL7" s="178"/>
      <c r="BM7" s="178"/>
      <c r="BN7" s="178"/>
      <c r="BO7" s="178"/>
      <c r="BP7" s="178"/>
      <c r="BQ7" s="178"/>
      <c r="BR7" s="178"/>
      <c r="BS7" s="178"/>
      <c r="BT7" s="178"/>
      <c r="BU7" s="178"/>
      <c r="BV7" s="178"/>
      <c r="BW7" s="178"/>
      <c r="BX7" s="178"/>
      <c r="BY7" s="178"/>
      <c r="BZ7" s="178"/>
      <c r="CA7" s="178"/>
      <c r="CB7" s="178"/>
      <c r="CC7" s="178"/>
      <c r="CD7" s="178"/>
      <c r="CE7" s="178"/>
      <c r="CF7" s="178"/>
      <c r="CG7" s="178"/>
      <c r="CH7" s="178"/>
      <c r="CI7" s="178"/>
      <c r="CJ7" s="178"/>
      <c r="CK7" s="178"/>
      <c r="CL7" s="178"/>
      <c r="CM7" s="178"/>
      <c r="CN7" s="178"/>
      <c r="CO7" s="178"/>
      <c r="CP7" s="178"/>
      <c r="CQ7" s="178"/>
      <c r="CR7" s="178"/>
      <c r="CS7" s="178"/>
      <c r="CT7" s="178"/>
      <c r="CU7" s="178"/>
      <c r="CV7" s="178"/>
      <c r="CW7" s="178"/>
      <c r="CX7" s="178"/>
      <c r="CY7" s="178"/>
      <c r="CZ7" s="178"/>
      <c r="DA7" s="178"/>
      <c r="DB7" s="178"/>
      <c r="DC7" s="178"/>
      <c r="DD7" s="178"/>
      <c r="DE7" s="178"/>
      <c r="DF7" s="178"/>
      <c r="DG7" s="178"/>
      <c r="DH7" s="178"/>
      <c r="DI7" s="178"/>
      <c r="DJ7" s="178"/>
      <c r="DK7" s="178"/>
      <c r="DL7" s="178"/>
      <c r="DM7" s="178"/>
      <c r="DN7" s="178"/>
      <c r="DO7" s="178"/>
      <c r="DP7" s="178"/>
      <c r="DQ7" s="178"/>
      <c r="DR7" s="178"/>
      <c r="DS7" s="178"/>
      <c r="DT7" s="178"/>
      <c r="DU7" s="178"/>
      <c r="DV7" s="178"/>
      <c r="DW7" s="178"/>
      <c r="DX7" s="178"/>
      <c r="DY7" s="178"/>
      <c r="DZ7" s="178"/>
      <c r="EA7" s="178"/>
      <c r="EB7" s="178"/>
      <c r="EC7" s="178"/>
      <c r="ED7" s="178"/>
      <c r="EE7" s="178"/>
      <c r="EF7" s="178"/>
      <c r="EG7" s="178"/>
      <c r="EH7" s="178"/>
      <c r="EI7" s="178"/>
      <c r="EJ7" s="178"/>
      <c r="EK7" s="178"/>
      <c r="EL7" s="178"/>
      <c r="EM7" s="178"/>
      <c r="EN7" s="178"/>
      <c r="EO7" s="178"/>
      <c r="EP7" s="178"/>
      <c r="EQ7" s="178"/>
      <c r="ER7" s="178"/>
      <c r="ES7" s="178"/>
      <c r="ET7" s="178"/>
      <c r="EU7" s="178"/>
      <c r="EV7" s="178"/>
      <c r="EW7" s="178"/>
      <c r="EX7" s="178"/>
      <c r="EY7" s="178"/>
      <c r="EZ7" s="178"/>
      <c r="FA7" s="178"/>
      <c r="FB7" s="178"/>
      <c r="FC7" s="178"/>
      <c r="FD7" s="178"/>
      <c r="FE7" s="178"/>
      <c r="FF7" s="178"/>
      <c r="FG7" s="178"/>
      <c r="FH7" s="178"/>
      <c r="FI7" s="178"/>
      <c r="FJ7" s="178"/>
      <c r="FK7" s="178"/>
      <c r="FL7" s="178"/>
      <c r="FM7" s="178"/>
      <c r="FN7" s="178"/>
      <c r="FO7" s="178"/>
      <c r="FP7" s="178"/>
      <c r="FQ7" s="178"/>
      <c r="FR7" s="178"/>
      <c r="FS7" s="178"/>
      <c r="FT7" s="178"/>
      <c r="FU7" s="178"/>
      <c r="FV7" s="178"/>
      <c r="FW7" s="178"/>
      <c r="FX7" s="178"/>
      <c r="FY7" s="178"/>
      <c r="FZ7" s="178"/>
      <c r="GA7" s="178"/>
      <c r="GB7" s="178"/>
      <c r="GC7" s="178"/>
      <c r="GD7" s="178"/>
      <c r="GE7" s="178"/>
      <c r="GF7" s="178"/>
      <c r="GG7" s="178"/>
      <c r="GH7" s="178"/>
      <c r="GI7" s="178"/>
      <c r="GJ7" s="178"/>
      <c r="GK7" s="178"/>
      <c r="GL7" s="178"/>
      <c r="GM7" s="178"/>
      <c r="GN7" s="178"/>
      <c r="GO7" s="178"/>
      <c r="GP7" s="178"/>
      <c r="GQ7" s="178"/>
      <c r="GR7" s="178"/>
      <c r="GS7" s="178"/>
      <c r="GT7" s="178"/>
      <c r="GU7" s="178"/>
      <c r="GV7" s="178"/>
      <c r="GW7" s="178"/>
      <c r="GX7" s="178"/>
      <c r="GY7" s="178"/>
      <c r="GZ7" s="178"/>
      <c r="HA7" s="178"/>
      <c r="HB7" s="178"/>
      <c r="HL7" s="173" t="s">
        <v>494</v>
      </c>
      <c r="HM7" s="173"/>
      <c r="HN7" s="179"/>
      <c r="HO7" s="180"/>
      <c r="HP7" s="181"/>
      <c r="HQ7" s="180"/>
      <c r="HR7" s="180"/>
      <c r="HS7" s="181"/>
      <c r="HT7" s="180"/>
      <c r="HU7" s="180"/>
      <c r="HV7" s="181"/>
      <c r="HW7" s="180"/>
      <c r="HX7" s="180"/>
      <c r="HY7" s="181"/>
      <c r="HZ7" s="181"/>
      <c r="IA7" s="181"/>
      <c r="IB7" s="181"/>
    </row>
    <row r="8" spans="1:242" ht="27" thickBot="1">
      <c r="A8" s="154"/>
      <c r="B8" s="182" t="s">
        <v>495</v>
      </c>
      <c r="C8" s="178"/>
      <c r="D8" s="178"/>
      <c r="E8" s="183"/>
      <c r="F8" s="178"/>
      <c r="G8" s="178"/>
      <c r="H8" s="183"/>
      <c r="I8" s="178"/>
      <c r="J8" s="178"/>
      <c r="K8" s="183"/>
      <c r="L8" s="178"/>
      <c r="M8" s="178"/>
      <c r="N8" s="183"/>
      <c r="O8" s="178"/>
      <c r="P8" s="178"/>
      <c r="Q8" s="183"/>
      <c r="R8" s="178"/>
      <c r="S8" s="178"/>
      <c r="T8" s="183"/>
      <c r="U8" s="178"/>
      <c r="V8" s="178"/>
      <c r="W8" s="183"/>
      <c r="X8" s="178"/>
      <c r="Y8" s="178"/>
      <c r="Z8" s="183"/>
      <c r="AA8" s="178"/>
      <c r="AB8" s="178"/>
      <c r="AC8" s="183"/>
      <c r="AD8" s="178"/>
      <c r="AE8" s="178"/>
      <c r="AF8" s="183"/>
      <c r="AG8" s="178"/>
      <c r="AH8" s="178"/>
      <c r="AI8" s="183"/>
      <c r="AJ8" s="178"/>
      <c r="AK8" s="178"/>
      <c r="AL8" s="183"/>
      <c r="AM8" s="178"/>
      <c r="AN8" s="178"/>
      <c r="AO8" s="183"/>
      <c r="AP8" s="178"/>
      <c r="AQ8" s="178"/>
      <c r="AR8" s="183"/>
      <c r="AS8" s="178"/>
      <c r="AT8" s="178"/>
      <c r="AU8" s="183"/>
      <c r="AV8" s="178"/>
      <c r="AW8" s="178"/>
      <c r="AX8" s="183"/>
      <c r="AY8" s="178"/>
      <c r="AZ8" s="178"/>
      <c r="BA8" s="183"/>
      <c r="BB8" s="178"/>
      <c r="BC8" s="178"/>
      <c r="BD8" s="183"/>
      <c r="BE8" s="178"/>
      <c r="BF8" s="178"/>
      <c r="BG8" s="183"/>
      <c r="BH8" s="178"/>
      <c r="BI8" s="178"/>
      <c r="BJ8" s="183"/>
      <c r="BK8" s="178"/>
      <c r="BL8" s="178"/>
      <c r="BM8" s="183"/>
      <c r="BN8" s="178"/>
      <c r="BO8" s="178"/>
      <c r="BP8" s="183"/>
      <c r="BQ8" s="178"/>
      <c r="BR8" s="178"/>
      <c r="BS8" s="183"/>
      <c r="BT8" s="178"/>
      <c r="BU8" s="178"/>
      <c r="BV8" s="178"/>
      <c r="BW8" s="178"/>
      <c r="BX8" s="178"/>
      <c r="BY8" s="178"/>
      <c r="BZ8" s="178"/>
      <c r="CA8" s="178"/>
      <c r="CB8" s="178"/>
      <c r="CC8" s="178"/>
      <c r="CD8" s="178"/>
      <c r="CE8" s="178"/>
      <c r="CF8" s="178"/>
      <c r="CG8" s="178"/>
      <c r="CH8" s="178"/>
      <c r="CI8" s="178"/>
      <c r="CJ8" s="178"/>
      <c r="CK8" s="178"/>
      <c r="CL8" s="178"/>
      <c r="CM8" s="178"/>
      <c r="CN8" s="178"/>
      <c r="CO8" s="178"/>
      <c r="CP8" s="178"/>
      <c r="CQ8" s="178"/>
      <c r="CR8" s="178"/>
      <c r="CS8" s="178"/>
      <c r="CT8" s="178"/>
      <c r="CU8" s="178"/>
      <c r="CV8" s="178"/>
      <c r="CW8" s="178"/>
      <c r="CX8" s="178"/>
      <c r="CY8" s="178"/>
      <c r="CZ8" s="178"/>
      <c r="DA8" s="178"/>
      <c r="DB8" s="178"/>
      <c r="DC8" s="178"/>
      <c r="DD8" s="178"/>
      <c r="DE8" s="178"/>
      <c r="DF8" s="178"/>
      <c r="DG8" s="178"/>
      <c r="DH8" s="178"/>
      <c r="DI8" s="178"/>
      <c r="DJ8" s="178"/>
      <c r="DK8" s="178"/>
      <c r="DL8" s="178"/>
      <c r="DM8" s="178"/>
      <c r="DN8" s="178"/>
      <c r="DO8" s="178"/>
      <c r="DP8" s="178"/>
      <c r="DQ8" s="178"/>
      <c r="DR8" s="178"/>
      <c r="DS8" s="178"/>
      <c r="DT8" s="178"/>
      <c r="DU8" s="178"/>
      <c r="DV8" s="178"/>
      <c r="DW8" s="178"/>
      <c r="DX8" s="178"/>
      <c r="DY8" s="178"/>
      <c r="DZ8" s="178"/>
      <c r="EA8" s="178"/>
      <c r="EB8" s="178"/>
      <c r="EC8" s="178"/>
      <c r="ED8" s="178"/>
      <c r="EE8" s="178"/>
      <c r="EF8" s="178"/>
      <c r="EG8" s="178"/>
      <c r="EH8" s="178"/>
      <c r="EI8" s="178"/>
      <c r="EJ8" s="178"/>
      <c r="EK8" s="178"/>
      <c r="EL8" s="178"/>
      <c r="EM8" s="178"/>
      <c r="EN8" s="178"/>
      <c r="EO8" s="178"/>
      <c r="EP8" s="178"/>
      <c r="EQ8" s="178"/>
      <c r="ER8" s="178"/>
      <c r="ES8" s="178"/>
      <c r="ET8" s="178"/>
      <c r="EU8" s="178"/>
      <c r="EV8" s="178"/>
      <c r="EW8" s="178"/>
      <c r="EX8" s="178"/>
      <c r="EY8" s="178"/>
      <c r="EZ8" s="178"/>
      <c r="FA8" s="178"/>
      <c r="FB8" s="178"/>
      <c r="FC8" s="178"/>
      <c r="FD8" s="178"/>
      <c r="FE8" s="178"/>
      <c r="FF8" s="178"/>
      <c r="FG8" s="178"/>
      <c r="FH8" s="178"/>
      <c r="FI8" s="178"/>
      <c r="FJ8" s="178"/>
      <c r="FK8" s="178"/>
      <c r="FL8" s="178"/>
      <c r="FM8" s="178"/>
      <c r="FN8" s="178"/>
      <c r="FO8" s="178"/>
      <c r="FP8" s="178"/>
      <c r="FQ8" s="178"/>
      <c r="FR8" s="178"/>
      <c r="FS8" s="178"/>
      <c r="FT8" s="178"/>
      <c r="FU8" s="178"/>
      <c r="FV8" s="178"/>
      <c r="FW8" s="178"/>
      <c r="FX8" s="178"/>
      <c r="FY8" s="178"/>
      <c r="FZ8" s="178"/>
      <c r="GA8" s="178"/>
      <c r="GB8" s="178"/>
      <c r="GC8" s="178"/>
      <c r="GD8" s="178"/>
      <c r="GE8" s="178"/>
      <c r="GF8" s="178"/>
      <c r="GG8" s="178"/>
      <c r="GH8" s="178"/>
      <c r="GI8" s="178"/>
      <c r="GJ8" s="178"/>
      <c r="GK8" s="178"/>
      <c r="GL8" s="178"/>
      <c r="GM8" s="178"/>
      <c r="GN8" s="178"/>
      <c r="GO8" s="178"/>
      <c r="GP8" s="178"/>
      <c r="GQ8" s="178"/>
      <c r="GR8" s="178"/>
      <c r="GS8" s="178"/>
      <c r="GT8" s="178"/>
      <c r="GU8" s="178"/>
      <c r="GV8" s="178"/>
      <c r="GW8" s="178"/>
      <c r="GX8" s="178"/>
      <c r="GY8" s="178"/>
      <c r="GZ8" s="178"/>
      <c r="HA8" s="178"/>
      <c r="HB8" s="178"/>
      <c r="HL8" s="1022" t="s">
        <v>496</v>
      </c>
      <c r="HM8" s="1009" t="s">
        <v>497</v>
      </c>
      <c r="HN8" s="1010"/>
      <c r="HO8" s="1010"/>
      <c r="HP8" s="1011"/>
      <c r="HQ8" s="1009" t="s">
        <v>498</v>
      </c>
      <c r="HR8" s="1010"/>
      <c r="HS8" s="1010"/>
      <c r="HT8" s="1011"/>
      <c r="HU8" s="1009" t="s">
        <v>499</v>
      </c>
      <c r="HV8" s="1010"/>
      <c r="HW8" s="1010"/>
      <c r="HX8" s="1011"/>
      <c r="HY8" s="1009" t="s">
        <v>500</v>
      </c>
      <c r="HZ8" s="1010"/>
      <c r="IA8" s="1010"/>
      <c r="IB8" s="1011"/>
      <c r="IE8" s="159" t="s">
        <v>501</v>
      </c>
    </row>
    <row r="9" spans="1:242" ht="69.900000000000006" customHeight="1" thickBot="1">
      <c r="A9" s="164"/>
      <c r="B9" s="184" t="s">
        <v>502</v>
      </c>
      <c r="C9" s="185"/>
      <c r="D9" s="186" t="s">
        <v>1284</v>
      </c>
      <c r="E9" s="187" t="s">
        <v>1285</v>
      </c>
      <c r="F9" s="188" t="s">
        <v>1267</v>
      </c>
      <c r="G9" s="189" t="s">
        <v>1286</v>
      </c>
      <c r="H9" s="190"/>
      <c r="I9" s="189" t="s">
        <v>1287</v>
      </c>
      <c r="J9" s="190"/>
      <c r="K9" s="191" t="s">
        <v>1288</v>
      </c>
      <c r="L9" s="192" t="s">
        <v>1289</v>
      </c>
      <c r="M9" s="193" t="s">
        <v>1290</v>
      </c>
      <c r="N9" s="194" t="s">
        <v>1291</v>
      </c>
      <c r="O9" s="195" t="s">
        <v>1292</v>
      </c>
      <c r="P9" s="196" t="s">
        <v>1293</v>
      </c>
      <c r="Q9" s="197" t="s">
        <v>1294</v>
      </c>
      <c r="R9" s="197" t="s">
        <v>1295</v>
      </c>
      <c r="S9" s="197" t="s">
        <v>1296</v>
      </c>
      <c r="T9" s="197" t="s">
        <v>1297</v>
      </c>
      <c r="U9" s="197" t="s">
        <v>1298</v>
      </c>
      <c r="V9" s="197" t="s">
        <v>1299</v>
      </c>
      <c r="W9" s="197" t="s">
        <v>1300</v>
      </c>
      <c r="X9" s="197" t="s">
        <v>1301</v>
      </c>
      <c r="Y9" s="197" t="s">
        <v>1302</v>
      </c>
      <c r="Z9" s="197" t="s">
        <v>1303</v>
      </c>
      <c r="AA9" s="197" t="s">
        <v>1304</v>
      </c>
      <c r="AB9" s="197" t="s">
        <v>1305</v>
      </c>
      <c r="AC9" s="197" t="s">
        <v>1306</v>
      </c>
      <c r="AD9" s="197" t="s">
        <v>1307</v>
      </c>
      <c r="AE9" s="197" t="s">
        <v>1308</v>
      </c>
      <c r="AF9" s="197" t="s">
        <v>1309</v>
      </c>
      <c r="AG9" s="197" t="s">
        <v>1310</v>
      </c>
      <c r="AH9" s="197" t="s">
        <v>1311</v>
      </c>
      <c r="AI9" s="197" t="s">
        <v>1312</v>
      </c>
      <c r="AJ9" s="197" t="s">
        <v>1313</v>
      </c>
      <c r="AK9" s="197" t="s">
        <v>1314</v>
      </c>
      <c r="AL9" s="197" t="s">
        <v>1315</v>
      </c>
      <c r="AM9" s="197" t="s">
        <v>1316</v>
      </c>
      <c r="AN9" s="197" t="s">
        <v>1317</v>
      </c>
      <c r="AO9" s="197" t="s">
        <v>1318</v>
      </c>
      <c r="AP9" s="197" t="s">
        <v>1319</v>
      </c>
      <c r="AQ9" s="197" t="s">
        <v>1320</v>
      </c>
      <c r="AR9" s="197" t="s">
        <v>1321</v>
      </c>
      <c r="AS9" s="197" t="s">
        <v>1322</v>
      </c>
      <c r="AT9" s="197" t="s">
        <v>1323</v>
      </c>
      <c r="AU9" s="197" t="s">
        <v>1324</v>
      </c>
      <c r="AV9" s="197" t="s">
        <v>1325</v>
      </c>
      <c r="AW9" s="197" t="s">
        <v>1326</v>
      </c>
      <c r="AX9" s="197" t="s">
        <v>1327</v>
      </c>
      <c r="AY9" s="197" t="s">
        <v>1328</v>
      </c>
      <c r="AZ9" s="198" t="s">
        <v>1329</v>
      </c>
      <c r="BA9" s="198" t="s">
        <v>1330</v>
      </c>
      <c r="BB9" s="198" t="s">
        <v>1331</v>
      </c>
      <c r="BC9" s="198" t="s">
        <v>1332</v>
      </c>
      <c r="BD9" s="198" t="s">
        <v>1333</v>
      </c>
      <c r="BE9" s="198" t="s">
        <v>1334</v>
      </c>
      <c r="BF9" s="198" t="s">
        <v>1335</v>
      </c>
      <c r="BG9" s="198" t="s">
        <v>1336</v>
      </c>
      <c r="BH9" s="198" t="s">
        <v>1337</v>
      </c>
      <c r="BI9" s="198" t="s">
        <v>1338</v>
      </c>
      <c r="BJ9" s="198" t="s">
        <v>1339</v>
      </c>
      <c r="BK9" s="198" t="s">
        <v>1340</v>
      </c>
      <c r="BL9" s="198" t="s">
        <v>1341</v>
      </c>
      <c r="BM9" s="198" t="s">
        <v>1342</v>
      </c>
      <c r="BN9" s="198" t="s">
        <v>1343</v>
      </c>
      <c r="BO9" s="198" t="s">
        <v>1344</v>
      </c>
      <c r="BP9" s="198" t="s">
        <v>1345</v>
      </c>
      <c r="BQ9" s="198" t="s">
        <v>1346</v>
      </c>
      <c r="BR9" s="198" t="s">
        <v>1347</v>
      </c>
      <c r="BS9" s="199" t="s">
        <v>1348</v>
      </c>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200"/>
      <c r="GV9" s="200"/>
      <c r="GW9" s="200"/>
      <c r="GX9" s="200"/>
      <c r="GY9" s="200"/>
      <c r="GZ9" s="200"/>
      <c r="HA9" s="200"/>
      <c r="HB9" s="200"/>
      <c r="HC9" s="1012" t="s">
        <v>503</v>
      </c>
      <c r="HD9" s="1013"/>
      <c r="HE9" s="1014" t="s">
        <v>504</v>
      </c>
      <c r="HF9" s="1015"/>
      <c r="HG9" s="1016" t="s">
        <v>498</v>
      </c>
      <c r="HH9" s="1014"/>
      <c r="HI9" s="1014"/>
      <c r="HJ9" s="1017"/>
      <c r="HL9" s="1023"/>
      <c r="HM9" s="201" t="s">
        <v>505</v>
      </c>
      <c r="HN9" s="1018" t="s">
        <v>1271</v>
      </c>
      <c r="HO9" s="1019"/>
      <c r="HP9" s="202" t="s">
        <v>506</v>
      </c>
      <c r="HQ9" s="201" t="s">
        <v>505</v>
      </c>
      <c r="HR9" s="1018" t="s">
        <v>1271</v>
      </c>
      <c r="HS9" s="1019"/>
      <c r="HT9" s="202" t="s">
        <v>506</v>
      </c>
      <c r="HU9" s="201" t="s">
        <v>505</v>
      </c>
      <c r="HV9" s="1018" t="s">
        <v>1271</v>
      </c>
      <c r="HW9" s="1019"/>
      <c r="HX9" s="202" t="s">
        <v>506</v>
      </c>
      <c r="HY9" s="201" t="s">
        <v>505</v>
      </c>
      <c r="HZ9" s="1018" t="s">
        <v>1271</v>
      </c>
      <c r="IA9" s="1019"/>
      <c r="IB9" s="202" t="s">
        <v>506</v>
      </c>
      <c r="IE9" s="159" t="s">
        <v>507</v>
      </c>
      <c r="IF9" s="159" t="s">
        <v>498</v>
      </c>
      <c r="IG9" s="159" t="s">
        <v>499</v>
      </c>
      <c r="IH9" s="159" t="s">
        <v>500</v>
      </c>
    </row>
    <row r="10" spans="1:242" ht="19.8">
      <c r="A10" s="164"/>
      <c r="B10" s="203" t="s">
        <v>440</v>
      </c>
      <c r="C10" s="204"/>
      <c r="D10" s="205"/>
      <c r="E10" s="205"/>
      <c r="F10" s="205"/>
      <c r="G10" s="206" t="s">
        <v>1349</v>
      </c>
      <c r="H10" s="207"/>
      <c r="I10" s="206" t="s">
        <v>1350</v>
      </c>
      <c r="J10" s="208"/>
      <c r="K10" s="209" t="s">
        <v>508</v>
      </c>
      <c r="L10" s="210"/>
      <c r="M10" s="211"/>
      <c r="N10" s="212"/>
      <c r="O10" s="213"/>
      <c r="P10" s="214"/>
      <c r="Q10" s="215"/>
      <c r="R10" s="215"/>
      <c r="S10" s="215"/>
      <c r="T10" s="215"/>
      <c r="U10" s="215"/>
      <c r="V10" s="215"/>
      <c r="W10" s="215"/>
      <c r="X10" s="215"/>
      <c r="Y10" s="215"/>
      <c r="Z10" s="215"/>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7"/>
      <c r="BA10" s="217"/>
      <c r="BB10" s="217"/>
      <c r="BC10" s="217"/>
      <c r="BD10" s="217"/>
      <c r="BE10" s="217"/>
      <c r="BF10" s="217"/>
      <c r="BG10" s="217"/>
      <c r="BH10" s="217"/>
      <c r="BI10" s="217"/>
      <c r="BJ10" s="217"/>
      <c r="BK10" s="217"/>
      <c r="BL10" s="217"/>
      <c r="BM10" s="217"/>
      <c r="BN10" s="217"/>
      <c r="BO10" s="217"/>
      <c r="BP10" s="217"/>
      <c r="BQ10" s="217"/>
      <c r="BR10" s="217"/>
      <c r="BS10" s="218"/>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1024" t="s">
        <v>509</v>
      </c>
      <c r="HD10" s="1025"/>
      <c r="HE10" s="1026" t="str">
        <f>IF(L10="","",L10)</f>
        <v/>
      </c>
      <c r="HF10" s="1027"/>
      <c r="HG10" s="1028" t="str">
        <f>IF(M10="","",M10)</f>
        <v/>
      </c>
      <c r="HH10" s="1026"/>
      <c r="HI10" s="1026"/>
      <c r="HJ10" s="1029"/>
      <c r="HL10" s="219">
        <v>1</v>
      </c>
      <c r="HM10" s="707"/>
      <c r="HN10" s="708" t="str">
        <f ca="1">OFFSET(A1_原単位2024,5,HL10+2)&amp;""</f>
        <v/>
      </c>
      <c r="HO10" s="709" t="str">
        <f t="shared" ref="HO10:HO59" ca="1" si="49">IF(HN10="","",HYPERLINK("#"&amp;IE10,"&lt;"&amp;IE10&amp;"&gt;"))</f>
        <v/>
      </c>
      <c r="HP10" s="710" t="str">
        <f t="shared" ref="HP10:HP41" ca="1" si="50">IF(HN10="","",HYPERLINK("#"&amp;OFFSET(A1_原単位2024,66,$HL10+2),OFFSET(A1_原単位2024,62,$HL10+2)))</f>
        <v/>
      </c>
      <c r="HQ10" s="707"/>
      <c r="HR10" s="708" t="str">
        <f ca="1">OFFSET(A1_原単位2024,17,HL10+2)&amp;""</f>
        <v/>
      </c>
      <c r="HS10" s="709" t="str">
        <f t="shared" ref="HS10:HS59" ca="1" si="51">IF(HR10="","",HYPERLINK("#"&amp;IF10,"&lt;"&amp;IF10&amp;"&gt;"))</f>
        <v/>
      </c>
      <c r="HT10" s="711" t="str">
        <f t="shared" ref="HT10:HT41" ca="1" si="52">IF(HR10="","",HYPERLINK("#"&amp;OFFSET(A1_原単位2024,67,$HL10+2),OFFSET(A1_原単位2024,63,$HL10+2)))</f>
        <v/>
      </c>
      <c r="HU10" s="707"/>
      <c r="HV10" s="708" t="str">
        <f ca="1">OFFSET(A1_原単位2024,29,HL10+2)&amp;""</f>
        <v/>
      </c>
      <c r="HW10" s="712" t="str">
        <f t="shared" ref="HW10:HW59" ca="1" si="53">IF(HV10="","",HYPERLINK("#"&amp;IG10,"&lt;"&amp;IG10&amp;"&gt;"))</f>
        <v/>
      </c>
      <c r="HX10" s="711" t="str">
        <f t="shared" ref="HX10:HX41" ca="1" si="54">IF(HV10="","",HYPERLINK("#"&amp;OFFSET(A1_原単位2024,68,$HL10+2),OFFSET(A1_原単位2024,64,$HL10+2)))</f>
        <v/>
      </c>
      <c r="HY10" s="707"/>
      <c r="HZ10" s="708" t="str">
        <f ca="1">OFFSET(A1_原単位2024,41,HL10+2)&amp;""</f>
        <v/>
      </c>
      <c r="IA10" s="712" t="str">
        <f t="shared" ref="IA10:IA59" ca="1" si="55">IF(HZ10="","",HYPERLINK("#"&amp;IH10,"&lt;"&amp;IH10&amp;"&gt;"))</f>
        <v/>
      </c>
      <c r="IB10" s="713" t="str">
        <f t="shared" ref="IB10:IB41" ca="1" si="56">IF(HZ10="","",HYPERLINK("#"&amp;OFFSET(A1_原単位2024,69,$HL10+2),OFFSET(A1_原単位2024,65,$HL10+2)))</f>
        <v/>
      </c>
      <c r="IE10" s="159" t="str">
        <f t="shared" ref="IE10:IE41" ca="1" si="57">IF($HN10="","",ADDRESS(ROW(貼付け_2024実績)+5,OFFSET(A1_原単位2024,7,$HL10+2)+COLUMN(貼付け_2024実績)+1,4))</f>
        <v/>
      </c>
      <c r="IF10" s="159" t="str">
        <f t="shared" ref="IF10:IF41" ca="1" si="58">IF($HR10="","",ADDRESS(ROW(貼付け_2024実績)+5,OFFSET(A1_原単位2024,19,$HL10+2)+COLUMN(貼付け_2024実績)+1,4))</f>
        <v/>
      </c>
      <c r="IG10" s="159" t="str">
        <f t="shared" ref="IG10:IG41" ca="1" si="59">IF($HV10="","",ADDRESS(ROW(貼付け_2024実績)+5,OFFSET(A1_原単位2024,31,$HL10+2)+COLUMN(貼付け_2024実績)+1,4))</f>
        <v/>
      </c>
      <c r="IH10" s="159" t="str">
        <f t="shared" ref="IH10:IH41" ca="1" si="60">IF($HZ10="","",ADDRESS(ROW(貼付け_2024実績)+5,OFFSET(A1_原単位2024,43,$HL10+2)+COLUMN(貼付け_2024実績)+1,4))</f>
        <v/>
      </c>
    </row>
    <row r="11" spans="1:242" ht="19.8">
      <c r="A11" s="164"/>
      <c r="B11" s="220" t="s">
        <v>1351</v>
      </c>
      <c r="C11" s="221" t="s">
        <v>1352</v>
      </c>
      <c r="D11" s="222"/>
      <c r="E11" s="223" t="s">
        <v>1353</v>
      </c>
      <c r="F11" s="224"/>
      <c r="G11" s="206" t="s">
        <v>1354</v>
      </c>
      <c r="H11" s="207"/>
      <c r="I11" s="206" t="s">
        <v>1355</v>
      </c>
      <c r="J11" s="208"/>
      <c r="K11" s="209" t="s">
        <v>510</v>
      </c>
      <c r="L11" s="210"/>
      <c r="M11" s="211"/>
      <c r="N11" s="225" t="s">
        <v>280</v>
      </c>
      <c r="O11" s="226"/>
      <c r="P11" s="227" t="s">
        <v>327</v>
      </c>
      <c r="Q11" s="228" t="s">
        <v>327</v>
      </c>
      <c r="R11" s="228" t="s">
        <v>327</v>
      </c>
      <c r="S11" s="228" t="s">
        <v>327</v>
      </c>
      <c r="T11" s="228" t="s">
        <v>327</v>
      </c>
      <c r="U11" s="228" t="s">
        <v>327</v>
      </c>
      <c r="V11" s="228" t="s">
        <v>327</v>
      </c>
      <c r="W11" s="228" t="s">
        <v>327</v>
      </c>
      <c r="X11" s="228" t="s">
        <v>327</v>
      </c>
      <c r="Y11" s="228" t="s">
        <v>327</v>
      </c>
      <c r="Z11" s="228" t="s">
        <v>327</v>
      </c>
      <c r="AA11" s="228" t="s">
        <v>327</v>
      </c>
      <c r="AB11" s="228" t="s">
        <v>327</v>
      </c>
      <c r="AC11" s="228" t="s">
        <v>327</v>
      </c>
      <c r="AD11" s="228" t="s">
        <v>327</v>
      </c>
      <c r="AE11" s="228" t="s">
        <v>327</v>
      </c>
      <c r="AF11" s="228" t="s">
        <v>327</v>
      </c>
      <c r="AG11" s="228" t="s">
        <v>327</v>
      </c>
      <c r="AH11" s="228" t="s">
        <v>327</v>
      </c>
      <c r="AI11" s="228" t="s">
        <v>327</v>
      </c>
      <c r="AJ11" s="228" t="s">
        <v>327</v>
      </c>
      <c r="AK11" s="228" t="s">
        <v>327</v>
      </c>
      <c r="AL11" s="228" t="s">
        <v>327</v>
      </c>
      <c r="AM11" s="228" t="s">
        <v>327</v>
      </c>
      <c r="AN11" s="228" t="s">
        <v>327</v>
      </c>
      <c r="AO11" s="228" t="s">
        <v>327</v>
      </c>
      <c r="AP11" s="228" t="s">
        <v>327</v>
      </c>
      <c r="AQ11" s="228" t="s">
        <v>327</v>
      </c>
      <c r="AR11" s="228" t="s">
        <v>327</v>
      </c>
      <c r="AS11" s="228" t="s">
        <v>327</v>
      </c>
      <c r="AT11" s="228" t="s">
        <v>327</v>
      </c>
      <c r="AU11" s="228" t="s">
        <v>327</v>
      </c>
      <c r="AV11" s="228" t="s">
        <v>327</v>
      </c>
      <c r="AW11" s="228" t="s">
        <v>327</v>
      </c>
      <c r="AX11" s="228" t="s">
        <v>327</v>
      </c>
      <c r="AY11" s="228" t="s">
        <v>327</v>
      </c>
      <c r="AZ11" s="229" t="s">
        <v>327</v>
      </c>
      <c r="BA11" s="229" t="s">
        <v>327</v>
      </c>
      <c r="BB11" s="229" t="s">
        <v>327</v>
      </c>
      <c r="BC11" s="229" t="s">
        <v>327</v>
      </c>
      <c r="BD11" s="229" t="s">
        <v>327</v>
      </c>
      <c r="BE11" s="229" t="s">
        <v>327</v>
      </c>
      <c r="BF11" s="229" t="s">
        <v>327</v>
      </c>
      <c r="BG11" s="229" t="s">
        <v>327</v>
      </c>
      <c r="BH11" s="229" t="s">
        <v>327</v>
      </c>
      <c r="BI11" s="229" t="s">
        <v>327</v>
      </c>
      <c r="BJ11" s="229" t="s">
        <v>327</v>
      </c>
      <c r="BK11" s="229" t="s">
        <v>327</v>
      </c>
      <c r="BL11" s="229" t="s">
        <v>327</v>
      </c>
      <c r="BM11" s="229" t="s">
        <v>327</v>
      </c>
      <c r="BN11" s="229" t="s">
        <v>327</v>
      </c>
      <c r="BO11" s="229" t="s">
        <v>327</v>
      </c>
      <c r="BP11" s="229" t="s">
        <v>327</v>
      </c>
      <c r="BQ11" s="229" t="s">
        <v>327</v>
      </c>
      <c r="BR11" s="229" t="s">
        <v>327</v>
      </c>
      <c r="BS11" s="208" t="s">
        <v>327</v>
      </c>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0"/>
      <c r="GH11" s="200"/>
      <c r="GI11" s="200"/>
      <c r="GJ11" s="200"/>
      <c r="GK11" s="200"/>
      <c r="GL11" s="200"/>
      <c r="GM11" s="200"/>
      <c r="GN11" s="200"/>
      <c r="GO11" s="200"/>
      <c r="GP11" s="200"/>
      <c r="GQ11" s="200"/>
      <c r="GR11" s="200"/>
      <c r="GS11" s="200"/>
      <c r="GT11" s="200"/>
      <c r="GU11" s="200"/>
      <c r="GV11" s="200"/>
      <c r="GW11" s="200"/>
      <c r="GX11" s="200"/>
      <c r="GY11" s="200"/>
      <c r="GZ11" s="200"/>
      <c r="HA11" s="200"/>
      <c r="HB11" s="200"/>
      <c r="HC11" s="1024" t="s">
        <v>511</v>
      </c>
      <c r="HD11" s="1025"/>
      <c r="HE11" s="1026" t="str">
        <f t="shared" ref="HE11:HE12" si="61">IF(L11="","",L11)</f>
        <v/>
      </c>
      <c r="HF11" s="1027"/>
      <c r="HG11" s="1028" t="str">
        <f>IF(M11="","",M11)</f>
        <v/>
      </c>
      <c r="HH11" s="1026"/>
      <c r="HI11" s="1026"/>
      <c r="HJ11" s="1029"/>
      <c r="HL11" s="230">
        <v>2</v>
      </c>
      <c r="HM11" s="714"/>
      <c r="HN11" s="715" t="str">
        <f ca="1">IF(COUNTIF(HN$10:HN10,OFFSET(A1_原単位2024,5,HL11+2))&gt;=1,"",OFFSET(A1_原単位2024,5,HL11+2)&amp;"")</f>
        <v/>
      </c>
      <c r="HO11" s="716" t="str">
        <f t="shared" ca="1" si="49"/>
        <v/>
      </c>
      <c r="HP11" s="717" t="str">
        <f t="shared" ca="1" si="50"/>
        <v/>
      </c>
      <c r="HQ11" s="714"/>
      <c r="HR11" s="715" t="str">
        <f ca="1">IF(COUNTIF(HR$10:HR10,OFFSET(A1_原単位2024,17,HL11+2))&gt;=1,"",OFFSET(A1_原単位2024,17,HL11+2)&amp;"")</f>
        <v/>
      </c>
      <c r="HS11" s="718" t="str">
        <f t="shared" ca="1" si="51"/>
        <v/>
      </c>
      <c r="HT11" s="719" t="str">
        <f t="shared" ca="1" si="52"/>
        <v/>
      </c>
      <c r="HU11" s="714"/>
      <c r="HV11" s="715" t="str">
        <f ca="1">IF(COUNTIF(HV$10:HV10,OFFSET(A1_原単位2024,29,HL11+2))&gt;=1,"",OFFSET(A1_原単位2024,29,HL11+2)&amp;"")</f>
        <v/>
      </c>
      <c r="HW11" s="718" t="str">
        <f t="shared" ca="1" si="53"/>
        <v/>
      </c>
      <c r="HX11" s="719" t="str">
        <f t="shared" ca="1" si="54"/>
        <v/>
      </c>
      <c r="HY11" s="714"/>
      <c r="HZ11" s="715" t="str">
        <f ca="1">IF(COUNTIF(HZ$10:HZ10,OFFSET(A1_原単位2024,41,HL11+2))&gt;=1,"",OFFSET(A1_原単位2024,41,HL11+2)&amp;"")</f>
        <v/>
      </c>
      <c r="IA11" s="720" t="str">
        <f t="shared" ca="1" si="55"/>
        <v/>
      </c>
      <c r="IB11" s="721" t="str">
        <f t="shared" ca="1" si="56"/>
        <v/>
      </c>
      <c r="IE11" s="159" t="str">
        <f t="shared" ca="1" si="57"/>
        <v/>
      </c>
      <c r="IF11" s="159" t="str">
        <f t="shared" ca="1" si="58"/>
        <v/>
      </c>
      <c r="IG11" s="159" t="str">
        <f t="shared" ca="1" si="59"/>
        <v/>
      </c>
      <c r="IH11" s="159" t="str">
        <f t="shared" ca="1" si="60"/>
        <v/>
      </c>
    </row>
    <row r="12" spans="1:242" ht="19.95" customHeight="1" thickBot="1">
      <c r="A12" s="164"/>
      <c r="B12" s="231" t="s">
        <v>441</v>
      </c>
      <c r="C12" s="232"/>
      <c r="D12" s="233"/>
      <c r="E12" s="234"/>
      <c r="F12" s="235"/>
      <c r="G12" s="236" t="s">
        <v>1356</v>
      </c>
      <c r="H12" s="237"/>
      <c r="I12" s="238"/>
      <c r="J12" s="239"/>
      <c r="K12" s="240" t="s">
        <v>1357</v>
      </c>
      <c r="L12" s="241"/>
      <c r="M12" s="242"/>
      <c r="N12" s="243"/>
      <c r="O12" s="244"/>
      <c r="P12" s="245"/>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7"/>
      <c r="BA12" s="247"/>
      <c r="BB12" s="247"/>
      <c r="BC12" s="247"/>
      <c r="BD12" s="247"/>
      <c r="BE12" s="247"/>
      <c r="BF12" s="247"/>
      <c r="BG12" s="247"/>
      <c r="BH12" s="247"/>
      <c r="BI12" s="247"/>
      <c r="BJ12" s="247"/>
      <c r="BK12" s="247"/>
      <c r="BL12" s="247"/>
      <c r="BM12" s="247"/>
      <c r="BN12" s="247"/>
      <c r="BO12" s="247"/>
      <c r="BP12" s="247"/>
      <c r="BQ12" s="247"/>
      <c r="BR12" s="247"/>
      <c r="BS12" s="248"/>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1030" t="s">
        <v>512</v>
      </c>
      <c r="HD12" s="1031"/>
      <c r="HE12" s="1032" t="str">
        <f t="shared" si="61"/>
        <v/>
      </c>
      <c r="HF12" s="1033"/>
      <c r="HG12" s="1034" t="str">
        <f>IF(M12="","",M12)</f>
        <v/>
      </c>
      <c r="HH12" s="1032"/>
      <c r="HI12" s="1032"/>
      <c r="HJ12" s="1035"/>
      <c r="HL12" s="219">
        <v>3</v>
      </c>
      <c r="HM12" s="714"/>
      <c r="HN12" s="715" t="str">
        <f ca="1">IF(COUNTIF(HN$10:HN11,OFFSET(A1_原単位2024,5,HL12+2))&gt;=1,"",OFFSET(A1_原単位2024,5,HL12+2)&amp;"")</f>
        <v/>
      </c>
      <c r="HO12" s="716" t="str">
        <f t="shared" ca="1" si="49"/>
        <v/>
      </c>
      <c r="HP12" s="717" t="str">
        <f t="shared" ca="1" si="50"/>
        <v/>
      </c>
      <c r="HQ12" s="714"/>
      <c r="HR12" s="715" t="str">
        <f ca="1">IF(COUNTIF(HR$10:HR11,OFFSET(A1_原単位2024,17,HL12+2))&gt;=1,"",OFFSET(A1_原単位2024,17,HL12+2)&amp;"")</f>
        <v/>
      </c>
      <c r="HS12" s="718" t="str">
        <f t="shared" ca="1" si="51"/>
        <v/>
      </c>
      <c r="HT12" s="719" t="str">
        <f t="shared" ca="1" si="52"/>
        <v/>
      </c>
      <c r="HU12" s="714"/>
      <c r="HV12" s="715" t="str">
        <f ca="1">IF(COUNTIF(HV$10:HV11,OFFSET(A1_原単位2024,29,HL12+2))&gt;=1,"",OFFSET(A1_原単位2024,29,HL12+2)&amp;"")</f>
        <v/>
      </c>
      <c r="HW12" s="718" t="str">
        <f t="shared" ca="1" si="53"/>
        <v/>
      </c>
      <c r="HX12" s="719" t="str">
        <f t="shared" ca="1" si="54"/>
        <v/>
      </c>
      <c r="HY12" s="714"/>
      <c r="HZ12" s="715" t="str">
        <f ca="1">IF(COUNTIF(HZ$10:HZ11,OFFSET(A1_原単位2024,41,HL12+2))&gt;=1,"",OFFSET(A1_原単位2024,41,HL12+2)&amp;"")</f>
        <v/>
      </c>
      <c r="IA12" s="720" t="str">
        <f t="shared" ca="1" si="55"/>
        <v/>
      </c>
      <c r="IB12" s="721" t="str">
        <f t="shared" ca="1" si="56"/>
        <v/>
      </c>
      <c r="IE12" s="159" t="str">
        <f t="shared" ca="1" si="57"/>
        <v/>
      </c>
      <c r="IF12" s="159" t="str">
        <f t="shared" ca="1" si="58"/>
        <v/>
      </c>
      <c r="IG12" s="159" t="str">
        <f t="shared" ca="1" si="59"/>
        <v/>
      </c>
      <c r="IH12" s="159" t="str">
        <f t="shared" ca="1" si="60"/>
        <v/>
      </c>
    </row>
    <row r="13" spans="1:242" ht="19.8">
      <c r="A13" s="164"/>
      <c r="B13" s="250" t="s">
        <v>1358</v>
      </c>
      <c r="C13" s="251"/>
      <c r="D13" s="251"/>
      <c r="E13" s="251"/>
      <c r="F13" s="252" t="s">
        <v>442</v>
      </c>
      <c r="G13" s="250" t="s">
        <v>1359</v>
      </c>
      <c r="H13" s="253"/>
      <c r="I13" s="250" t="s">
        <v>1355</v>
      </c>
      <c r="J13" s="253"/>
      <c r="K13" s="254" t="s">
        <v>513</v>
      </c>
      <c r="L13" s="255"/>
      <c r="M13" s="255" t="s">
        <v>1360</v>
      </c>
      <c r="N13" s="256"/>
      <c r="O13" s="257" t="s">
        <v>1361</v>
      </c>
      <c r="P13" s="258"/>
      <c r="Q13" s="258" t="s">
        <v>1360</v>
      </c>
      <c r="R13" s="256"/>
      <c r="S13" s="257" t="s">
        <v>514</v>
      </c>
      <c r="T13" s="258"/>
      <c r="U13" s="259" t="s">
        <v>1360</v>
      </c>
      <c r="V13" s="260"/>
      <c r="W13" s="257" t="s">
        <v>515</v>
      </c>
      <c r="X13" s="258"/>
      <c r="Y13" s="259" t="s">
        <v>1360</v>
      </c>
      <c r="Z13" s="260"/>
      <c r="AA13" s="257" t="s">
        <v>516</v>
      </c>
      <c r="AB13" s="258"/>
      <c r="AC13" s="259" t="s">
        <v>1360</v>
      </c>
      <c r="AD13" s="260"/>
      <c r="AE13" s="257" t="s">
        <v>517</v>
      </c>
      <c r="AF13" s="258"/>
      <c r="AG13" s="259" t="s">
        <v>1360</v>
      </c>
      <c r="AH13" s="260"/>
      <c r="AI13" s="257" t="s">
        <v>518</v>
      </c>
      <c r="AJ13" s="258"/>
      <c r="AK13" s="259"/>
      <c r="AL13" s="260"/>
      <c r="AM13" s="257" t="s">
        <v>519</v>
      </c>
      <c r="AN13" s="258"/>
      <c r="AO13" s="259"/>
      <c r="AP13" s="260"/>
      <c r="AQ13" s="257" t="s">
        <v>520</v>
      </c>
      <c r="AR13" s="258"/>
      <c r="AS13" s="259"/>
      <c r="AT13" s="260"/>
      <c r="AU13" s="257" t="s">
        <v>521</v>
      </c>
      <c r="AV13" s="258"/>
      <c r="AW13" s="259"/>
      <c r="AX13" s="260"/>
      <c r="AY13" s="257" t="s">
        <v>522</v>
      </c>
      <c r="AZ13" s="258"/>
      <c r="BA13" s="259"/>
      <c r="BB13" s="260"/>
      <c r="BC13" s="257" t="s">
        <v>523</v>
      </c>
      <c r="BD13" s="258"/>
      <c r="BE13" s="259"/>
      <c r="BF13" s="260"/>
      <c r="BG13" s="257" t="s">
        <v>524</v>
      </c>
      <c r="BH13" s="258"/>
      <c r="BI13" s="259"/>
      <c r="BJ13" s="260"/>
      <c r="BK13" s="257" t="s">
        <v>525</v>
      </c>
      <c r="BL13" s="258"/>
      <c r="BM13" s="259"/>
      <c r="BN13" s="260"/>
      <c r="BO13" s="257" t="s">
        <v>526</v>
      </c>
      <c r="BP13" s="258"/>
      <c r="BQ13" s="259"/>
      <c r="BR13" s="260"/>
      <c r="BS13" s="257" t="s">
        <v>527</v>
      </c>
      <c r="BT13" s="258"/>
      <c r="BU13" s="259"/>
      <c r="BV13" s="260"/>
      <c r="BW13" s="257"/>
      <c r="BX13" s="258"/>
      <c r="BY13" s="259" t="s">
        <v>443</v>
      </c>
      <c r="BZ13" s="260"/>
      <c r="CA13" s="257" t="s">
        <v>528</v>
      </c>
      <c r="CB13" s="258"/>
      <c r="CC13" s="259" t="s">
        <v>443</v>
      </c>
      <c r="CD13" s="260"/>
      <c r="CE13" s="257" t="s">
        <v>529</v>
      </c>
      <c r="CF13" s="258"/>
      <c r="CG13" s="259" t="s">
        <v>443</v>
      </c>
      <c r="CH13" s="260"/>
      <c r="CI13" s="257" t="s">
        <v>530</v>
      </c>
      <c r="CJ13" s="258"/>
      <c r="CK13" s="259" t="s">
        <v>443</v>
      </c>
      <c r="CL13" s="260"/>
      <c r="CM13" s="257" t="s">
        <v>531</v>
      </c>
      <c r="CN13" s="258"/>
      <c r="CO13" s="259" t="s">
        <v>443</v>
      </c>
      <c r="CP13" s="260"/>
      <c r="CQ13" s="257" t="s">
        <v>532</v>
      </c>
      <c r="CR13" s="258"/>
      <c r="CS13" s="259" t="s">
        <v>443</v>
      </c>
      <c r="CT13" s="260"/>
      <c r="CU13" s="257" t="s">
        <v>533</v>
      </c>
      <c r="CV13" s="258"/>
      <c r="CW13" s="259" t="s">
        <v>443</v>
      </c>
      <c r="CX13" s="260"/>
      <c r="CY13" s="257" t="s">
        <v>534</v>
      </c>
      <c r="CZ13" s="258"/>
      <c r="DA13" s="259" t="s">
        <v>443</v>
      </c>
      <c r="DB13" s="260"/>
      <c r="DC13" s="257" t="s">
        <v>535</v>
      </c>
      <c r="DD13" s="258"/>
      <c r="DE13" s="259" t="s">
        <v>443</v>
      </c>
      <c r="DF13" s="260"/>
      <c r="DG13" s="257" t="s">
        <v>536</v>
      </c>
      <c r="DH13" s="258"/>
      <c r="DI13" s="259" t="s">
        <v>443</v>
      </c>
      <c r="DJ13" s="260"/>
      <c r="DK13" s="257" t="s">
        <v>537</v>
      </c>
      <c r="DL13" s="258"/>
      <c r="DM13" s="259" t="s">
        <v>443</v>
      </c>
      <c r="DN13" s="260"/>
      <c r="DO13" s="257" t="s">
        <v>538</v>
      </c>
      <c r="DP13" s="258"/>
      <c r="DQ13" s="259" t="s">
        <v>443</v>
      </c>
      <c r="DR13" s="260"/>
      <c r="DS13" s="257" t="s">
        <v>539</v>
      </c>
      <c r="DT13" s="258"/>
      <c r="DU13" s="259" t="s">
        <v>443</v>
      </c>
      <c r="DV13" s="260"/>
      <c r="DW13" s="257" t="s">
        <v>540</v>
      </c>
      <c r="DX13" s="258"/>
      <c r="DY13" s="259" t="s">
        <v>443</v>
      </c>
      <c r="DZ13" s="260"/>
      <c r="EA13" s="257" t="s">
        <v>541</v>
      </c>
      <c r="EB13" s="258"/>
      <c r="EC13" s="259" t="s">
        <v>443</v>
      </c>
      <c r="ED13" s="260"/>
      <c r="EE13" s="257" t="s">
        <v>542</v>
      </c>
      <c r="EF13" s="258"/>
      <c r="EG13" s="259" t="s">
        <v>443</v>
      </c>
      <c r="EH13" s="260"/>
      <c r="EI13" s="257" t="s">
        <v>543</v>
      </c>
      <c r="EJ13" s="258"/>
      <c r="EK13" s="259" t="s">
        <v>443</v>
      </c>
      <c r="EL13" s="260"/>
      <c r="EM13" s="257" t="s">
        <v>544</v>
      </c>
      <c r="EN13" s="258"/>
      <c r="EO13" s="259" t="s">
        <v>443</v>
      </c>
      <c r="EP13" s="260"/>
      <c r="EQ13" s="257" t="s">
        <v>545</v>
      </c>
      <c r="ER13" s="258"/>
      <c r="ES13" s="259" t="s">
        <v>443</v>
      </c>
      <c r="ET13" s="260"/>
      <c r="EU13" s="257" t="s">
        <v>546</v>
      </c>
      <c r="EV13" s="258"/>
      <c r="EW13" s="259" t="s">
        <v>443</v>
      </c>
      <c r="EX13" s="260"/>
      <c r="EY13" s="257" t="s">
        <v>547</v>
      </c>
      <c r="EZ13" s="258"/>
      <c r="FA13" s="259" t="s">
        <v>443</v>
      </c>
      <c r="FB13" s="260"/>
      <c r="FC13" s="257" t="s">
        <v>548</v>
      </c>
      <c r="FD13" s="258"/>
      <c r="FE13" s="259" t="s">
        <v>443</v>
      </c>
      <c r="FF13" s="260"/>
      <c r="FG13" s="257" t="s">
        <v>549</v>
      </c>
      <c r="FH13" s="258"/>
      <c r="FI13" s="259" t="s">
        <v>443</v>
      </c>
      <c r="FJ13" s="260"/>
      <c r="FK13" s="257" t="s">
        <v>550</v>
      </c>
      <c r="FL13" s="258"/>
      <c r="FM13" s="259" t="s">
        <v>443</v>
      </c>
      <c r="FN13" s="260"/>
      <c r="FO13" s="257" t="s">
        <v>551</v>
      </c>
      <c r="FP13" s="258"/>
      <c r="FQ13" s="259" t="s">
        <v>443</v>
      </c>
      <c r="FR13" s="260"/>
      <c r="FS13" s="257" t="s">
        <v>552</v>
      </c>
      <c r="FT13" s="258"/>
      <c r="FU13" s="259" t="s">
        <v>443</v>
      </c>
      <c r="FV13" s="260"/>
      <c r="FW13" s="257" t="s">
        <v>553</v>
      </c>
      <c r="FX13" s="258"/>
      <c r="FY13" s="259" t="s">
        <v>443</v>
      </c>
      <c r="FZ13" s="260"/>
      <c r="GA13" s="257" t="s">
        <v>554</v>
      </c>
      <c r="GB13" s="258"/>
      <c r="GC13" s="259" t="s">
        <v>443</v>
      </c>
      <c r="GD13" s="260"/>
      <c r="GE13" s="257" t="s">
        <v>555</v>
      </c>
      <c r="GF13" s="258"/>
      <c r="GG13" s="259" t="s">
        <v>443</v>
      </c>
      <c r="GH13" s="260"/>
      <c r="GI13" s="257" t="s">
        <v>556</v>
      </c>
      <c r="GJ13" s="258"/>
      <c r="GK13" s="259" t="s">
        <v>443</v>
      </c>
      <c r="GL13" s="260"/>
      <c r="GM13" s="257" t="s">
        <v>557</v>
      </c>
      <c r="GN13" s="258"/>
      <c r="GO13" s="259" t="s">
        <v>443</v>
      </c>
      <c r="GP13" s="260"/>
      <c r="GQ13" s="257" t="s">
        <v>558</v>
      </c>
      <c r="GR13" s="258"/>
      <c r="GS13" s="259" t="s">
        <v>443</v>
      </c>
      <c r="GT13" s="260"/>
      <c r="GU13" s="257" t="s">
        <v>559</v>
      </c>
      <c r="GV13" s="258"/>
      <c r="GW13" s="259" t="s">
        <v>443</v>
      </c>
      <c r="GX13" s="260"/>
      <c r="GY13" s="257" t="s">
        <v>560</v>
      </c>
      <c r="GZ13" s="258"/>
      <c r="HA13" s="259" t="s">
        <v>443</v>
      </c>
      <c r="HB13" s="260"/>
      <c r="HC13" s="1036" t="s">
        <v>504</v>
      </c>
      <c r="HD13" s="1037"/>
      <c r="HE13" s="1037"/>
      <c r="HF13" s="1038"/>
      <c r="HG13" s="1036" t="s">
        <v>498</v>
      </c>
      <c r="HH13" s="1037"/>
      <c r="HI13" s="1037"/>
      <c r="HJ13" s="1038"/>
      <c r="HL13" s="230">
        <v>4</v>
      </c>
      <c r="HM13" s="714"/>
      <c r="HN13" s="715" t="str">
        <f ca="1">IF(COUNTIF(HN$10:HN12,OFFSET(A1_原単位2024,5,HL13+2))&gt;=1,"",OFFSET(A1_原単位2024,5,HL13+2)&amp;"")</f>
        <v/>
      </c>
      <c r="HO13" s="716" t="str">
        <f t="shared" ca="1" si="49"/>
        <v/>
      </c>
      <c r="HP13" s="717" t="str">
        <f t="shared" ca="1" si="50"/>
        <v/>
      </c>
      <c r="HQ13" s="714"/>
      <c r="HR13" s="715" t="str">
        <f ca="1">IF(COUNTIF(HR$10:HR12,OFFSET(A1_原単位2024,17,HL13+2))&gt;=1,"",OFFSET(A1_原単位2024,17,HL13+2)&amp;"")</f>
        <v/>
      </c>
      <c r="HS13" s="718" t="str">
        <f t="shared" ca="1" si="51"/>
        <v/>
      </c>
      <c r="HT13" s="719" t="str">
        <f t="shared" ca="1" si="52"/>
        <v/>
      </c>
      <c r="HU13" s="714"/>
      <c r="HV13" s="715" t="str">
        <f ca="1">IF(COUNTIF(HV$10:HV12,OFFSET(A1_原単位2024,29,HL13+2))&gt;=1,"",OFFSET(A1_原単位2024,29,HL13+2)&amp;"")</f>
        <v/>
      </c>
      <c r="HW13" s="718" t="str">
        <f t="shared" ca="1" si="53"/>
        <v/>
      </c>
      <c r="HX13" s="719" t="str">
        <f t="shared" ca="1" si="54"/>
        <v/>
      </c>
      <c r="HY13" s="714"/>
      <c r="HZ13" s="715" t="str">
        <f ca="1">IF(COUNTIF(HZ$10:HZ12,OFFSET(A1_原単位2024,41,HL13+2))&gt;=1,"",OFFSET(A1_原単位2024,41,HL13+2)&amp;"")</f>
        <v/>
      </c>
      <c r="IA13" s="720" t="str">
        <f t="shared" ca="1" si="55"/>
        <v/>
      </c>
      <c r="IB13" s="721" t="str">
        <f t="shared" ca="1" si="56"/>
        <v/>
      </c>
      <c r="IE13" s="159" t="str">
        <f t="shared" ca="1" si="57"/>
        <v/>
      </c>
      <c r="IF13" s="159" t="str">
        <f t="shared" ca="1" si="58"/>
        <v/>
      </c>
      <c r="IG13" s="159" t="str">
        <f t="shared" ca="1" si="59"/>
        <v/>
      </c>
      <c r="IH13" s="159" t="str">
        <f t="shared" ca="1" si="60"/>
        <v/>
      </c>
    </row>
    <row r="14" spans="1:242" ht="19.8">
      <c r="A14" s="164"/>
      <c r="B14" s="250" t="s">
        <v>1362</v>
      </c>
      <c r="C14" s="251"/>
      <c r="D14" s="251"/>
      <c r="E14" s="261"/>
      <c r="F14" s="262" t="s">
        <v>444</v>
      </c>
      <c r="G14" s="254" t="s">
        <v>1363</v>
      </c>
      <c r="H14" s="263"/>
      <c r="I14" s="264" t="s">
        <v>1364</v>
      </c>
      <c r="J14" s="265"/>
      <c r="K14" s="266" t="s">
        <v>1365</v>
      </c>
      <c r="L14" s="267"/>
      <c r="M14" s="267"/>
      <c r="N14" s="268"/>
      <c r="O14" s="266" t="s">
        <v>1365</v>
      </c>
      <c r="P14" s="267"/>
      <c r="Q14" s="267"/>
      <c r="R14" s="268"/>
      <c r="S14" s="266" t="s">
        <v>1365</v>
      </c>
      <c r="T14" s="267"/>
      <c r="U14" s="267"/>
      <c r="V14" s="268"/>
      <c r="W14" s="266" t="s">
        <v>1365</v>
      </c>
      <c r="X14" s="267"/>
      <c r="Y14" s="267"/>
      <c r="Z14" s="268"/>
      <c r="AA14" s="266" t="s">
        <v>1365</v>
      </c>
      <c r="AB14" s="267"/>
      <c r="AC14" s="267"/>
      <c r="AD14" s="268"/>
      <c r="AE14" s="266" t="s">
        <v>1365</v>
      </c>
      <c r="AF14" s="267"/>
      <c r="AG14" s="267"/>
      <c r="AH14" s="268"/>
      <c r="AI14" s="266" t="s">
        <v>1365</v>
      </c>
      <c r="AJ14" s="267"/>
      <c r="AK14" s="267"/>
      <c r="AL14" s="268"/>
      <c r="AM14" s="266" t="s">
        <v>1365</v>
      </c>
      <c r="AN14" s="267"/>
      <c r="AO14" s="267"/>
      <c r="AP14" s="268"/>
      <c r="AQ14" s="266" t="s">
        <v>1365</v>
      </c>
      <c r="AR14" s="267"/>
      <c r="AS14" s="267"/>
      <c r="AT14" s="268"/>
      <c r="AU14" s="266" t="s">
        <v>1365</v>
      </c>
      <c r="AV14" s="267"/>
      <c r="AW14" s="267"/>
      <c r="AX14" s="268"/>
      <c r="AY14" s="266" t="s">
        <v>1365</v>
      </c>
      <c r="AZ14" s="267"/>
      <c r="BA14" s="267"/>
      <c r="BB14" s="268"/>
      <c r="BC14" s="266" t="s">
        <v>1365</v>
      </c>
      <c r="BD14" s="267"/>
      <c r="BE14" s="267"/>
      <c r="BF14" s="268"/>
      <c r="BG14" s="266" t="s">
        <v>1365</v>
      </c>
      <c r="BH14" s="267"/>
      <c r="BI14" s="267"/>
      <c r="BJ14" s="268"/>
      <c r="BK14" s="266" t="s">
        <v>1365</v>
      </c>
      <c r="BL14" s="267"/>
      <c r="BM14" s="267"/>
      <c r="BN14" s="268"/>
      <c r="BO14" s="266" t="s">
        <v>1365</v>
      </c>
      <c r="BP14" s="267"/>
      <c r="BQ14" s="267"/>
      <c r="BR14" s="268"/>
      <c r="BS14" s="266" t="s">
        <v>1365</v>
      </c>
      <c r="BT14" s="267"/>
      <c r="BU14" s="267"/>
      <c r="BV14" s="268"/>
      <c r="BW14" s="266" t="s">
        <v>444</v>
      </c>
      <c r="BX14" s="267"/>
      <c r="BY14" s="267"/>
      <c r="BZ14" s="268"/>
      <c r="CA14" s="266" t="s">
        <v>444</v>
      </c>
      <c r="CB14" s="267"/>
      <c r="CC14" s="267"/>
      <c r="CD14" s="268"/>
      <c r="CE14" s="266" t="s">
        <v>444</v>
      </c>
      <c r="CF14" s="267"/>
      <c r="CG14" s="267"/>
      <c r="CH14" s="268"/>
      <c r="CI14" s="266" t="s">
        <v>444</v>
      </c>
      <c r="CJ14" s="267"/>
      <c r="CK14" s="267"/>
      <c r="CL14" s="268"/>
      <c r="CM14" s="266" t="s">
        <v>444</v>
      </c>
      <c r="CN14" s="267"/>
      <c r="CO14" s="267"/>
      <c r="CP14" s="268"/>
      <c r="CQ14" s="266" t="s">
        <v>444</v>
      </c>
      <c r="CR14" s="267"/>
      <c r="CS14" s="267"/>
      <c r="CT14" s="268"/>
      <c r="CU14" s="266" t="s">
        <v>444</v>
      </c>
      <c r="CV14" s="267"/>
      <c r="CW14" s="267"/>
      <c r="CX14" s="268"/>
      <c r="CY14" s="266" t="s">
        <v>444</v>
      </c>
      <c r="CZ14" s="267"/>
      <c r="DA14" s="267"/>
      <c r="DB14" s="268"/>
      <c r="DC14" s="266" t="s">
        <v>444</v>
      </c>
      <c r="DD14" s="267"/>
      <c r="DE14" s="267"/>
      <c r="DF14" s="268"/>
      <c r="DG14" s="266" t="s">
        <v>444</v>
      </c>
      <c r="DH14" s="267"/>
      <c r="DI14" s="267"/>
      <c r="DJ14" s="268"/>
      <c r="DK14" s="266" t="s">
        <v>444</v>
      </c>
      <c r="DL14" s="267"/>
      <c r="DM14" s="267"/>
      <c r="DN14" s="268"/>
      <c r="DO14" s="266" t="s">
        <v>444</v>
      </c>
      <c r="DP14" s="267"/>
      <c r="DQ14" s="267"/>
      <c r="DR14" s="268"/>
      <c r="DS14" s="266" t="s">
        <v>444</v>
      </c>
      <c r="DT14" s="267"/>
      <c r="DU14" s="267"/>
      <c r="DV14" s="268"/>
      <c r="DW14" s="266" t="s">
        <v>444</v>
      </c>
      <c r="DX14" s="267"/>
      <c r="DY14" s="267"/>
      <c r="DZ14" s="268"/>
      <c r="EA14" s="266" t="s">
        <v>444</v>
      </c>
      <c r="EB14" s="267"/>
      <c r="EC14" s="267"/>
      <c r="ED14" s="268"/>
      <c r="EE14" s="266" t="s">
        <v>444</v>
      </c>
      <c r="EF14" s="267"/>
      <c r="EG14" s="267"/>
      <c r="EH14" s="268"/>
      <c r="EI14" s="266" t="s">
        <v>444</v>
      </c>
      <c r="EJ14" s="267"/>
      <c r="EK14" s="267"/>
      <c r="EL14" s="268"/>
      <c r="EM14" s="266" t="s">
        <v>444</v>
      </c>
      <c r="EN14" s="267"/>
      <c r="EO14" s="267"/>
      <c r="EP14" s="268"/>
      <c r="EQ14" s="266" t="s">
        <v>444</v>
      </c>
      <c r="ER14" s="267"/>
      <c r="ES14" s="267"/>
      <c r="ET14" s="268"/>
      <c r="EU14" s="266" t="s">
        <v>444</v>
      </c>
      <c r="EV14" s="267"/>
      <c r="EW14" s="267"/>
      <c r="EX14" s="268"/>
      <c r="EY14" s="266" t="s">
        <v>444</v>
      </c>
      <c r="EZ14" s="267"/>
      <c r="FA14" s="267"/>
      <c r="FB14" s="268"/>
      <c r="FC14" s="266" t="s">
        <v>444</v>
      </c>
      <c r="FD14" s="267"/>
      <c r="FE14" s="267"/>
      <c r="FF14" s="268"/>
      <c r="FG14" s="266" t="s">
        <v>444</v>
      </c>
      <c r="FH14" s="267"/>
      <c r="FI14" s="267"/>
      <c r="FJ14" s="268"/>
      <c r="FK14" s="266" t="s">
        <v>444</v>
      </c>
      <c r="FL14" s="267"/>
      <c r="FM14" s="267"/>
      <c r="FN14" s="268"/>
      <c r="FO14" s="266" t="s">
        <v>444</v>
      </c>
      <c r="FP14" s="267"/>
      <c r="FQ14" s="267"/>
      <c r="FR14" s="268"/>
      <c r="FS14" s="266" t="s">
        <v>444</v>
      </c>
      <c r="FT14" s="267"/>
      <c r="FU14" s="267"/>
      <c r="FV14" s="268"/>
      <c r="FW14" s="266" t="s">
        <v>444</v>
      </c>
      <c r="FX14" s="267"/>
      <c r="FY14" s="267"/>
      <c r="FZ14" s="268"/>
      <c r="GA14" s="266" t="s">
        <v>444</v>
      </c>
      <c r="GB14" s="267"/>
      <c r="GC14" s="267"/>
      <c r="GD14" s="268"/>
      <c r="GE14" s="266" t="s">
        <v>444</v>
      </c>
      <c r="GF14" s="267"/>
      <c r="GG14" s="267"/>
      <c r="GH14" s="268"/>
      <c r="GI14" s="266" t="s">
        <v>444</v>
      </c>
      <c r="GJ14" s="267"/>
      <c r="GK14" s="267"/>
      <c r="GL14" s="268"/>
      <c r="GM14" s="266" t="s">
        <v>444</v>
      </c>
      <c r="GN14" s="267"/>
      <c r="GO14" s="267"/>
      <c r="GP14" s="268"/>
      <c r="GQ14" s="266" t="s">
        <v>444</v>
      </c>
      <c r="GR14" s="267"/>
      <c r="GS14" s="267"/>
      <c r="GT14" s="268"/>
      <c r="GU14" s="266" t="s">
        <v>444</v>
      </c>
      <c r="GV14" s="267"/>
      <c r="GW14" s="267"/>
      <c r="GX14" s="268"/>
      <c r="GY14" s="266" t="s">
        <v>444</v>
      </c>
      <c r="GZ14" s="267"/>
      <c r="HA14" s="267"/>
      <c r="HB14" s="268"/>
      <c r="HC14" s="1039" t="s">
        <v>561</v>
      </c>
      <c r="HD14" s="1040"/>
      <c r="HE14" s="722">
        <f ca="1">参考2_エネ使用量経年!L95</f>
        <v>0</v>
      </c>
      <c r="HF14" s="269" t="s">
        <v>562</v>
      </c>
      <c r="HG14" s="1039" t="s">
        <v>561</v>
      </c>
      <c r="HH14" s="1040"/>
      <c r="HI14" s="722">
        <f ca="1">参考2_エネ使用量経年!T95</f>
        <v>0</v>
      </c>
      <c r="HJ14" s="269" t="s">
        <v>562</v>
      </c>
      <c r="HL14" s="219">
        <v>5</v>
      </c>
      <c r="HM14" s="714"/>
      <c r="HN14" s="715" t="str">
        <f ca="1">IF(COUNTIF(HN$10:HN13,OFFSET(A1_原単位2024,5,HL14+2))&gt;=1,"",OFFSET(A1_原単位2024,5,HL14+2)&amp;"")</f>
        <v/>
      </c>
      <c r="HO14" s="716" t="str">
        <f t="shared" ca="1" si="49"/>
        <v/>
      </c>
      <c r="HP14" s="717" t="str">
        <f t="shared" ca="1" si="50"/>
        <v/>
      </c>
      <c r="HQ14" s="714"/>
      <c r="HR14" s="715" t="str">
        <f ca="1">IF(COUNTIF(HR$10:HR13,OFFSET(A1_原単位2024,17,HL14+2))&gt;=1,"",OFFSET(A1_原単位2024,17,HL14+2)&amp;"")</f>
        <v/>
      </c>
      <c r="HS14" s="718" t="str">
        <f t="shared" ca="1" si="51"/>
        <v/>
      </c>
      <c r="HT14" s="719" t="str">
        <f t="shared" ca="1" si="52"/>
        <v/>
      </c>
      <c r="HU14" s="714"/>
      <c r="HV14" s="715" t="str">
        <f ca="1">IF(COUNTIF(HV$10:HV13,OFFSET(A1_原単位2024,29,HL14+2))&gt;=1,"",OFFSET(A1_原単位2024,29,HL14+2)&amp;"")</f>
        <v/>
      </c>
      <c r="HW14" s="718" t="str">
        <f t="shared" ca="1" si="53"/>
        <v/>
      </c>
      <c r="HX14" s="719" t="str">
        <f t="shared" ca="1" si="54"/>
        <v/>
      </c>
      <c r="HY14" s="714"/>
      <c r="HZ14" s="715" t="str">
        <f ca="1">IF(COUNTIF(HZ$10:HZ13,OFFSET(A1_原単位2024,41,HL14+2))&gt;=1,"",OFFSET(A1_原単位2024,41,HL14+2)&amp;"")</f>
        <v/>
      </c>
      <c r="IA14" s="720" t="str">
        <f t="shared" ca="1" si="55"/>
        <v/>
      </c>
      <c r="IB14" s="721" t="str">
        <f t="shared" ca="1" si="56"/>
        <v/>
      </c>
      <c r="IE14" s="159" t="str">
        <f t="shared" ca="1" si="57"/>
        <v/>
      </c>
      <c r="IF14" s="159" t="str">
        <f t="shared" ca="1" si="58"/>
        <v/>
      </c>
      <c r="IG14" s="159" t="str">
        <f t="shared" ca="1" si="59"/>
        <v/>
      </c>
      <c r="IH14" s="159" t="str">
        <f t="shared" ca="1" si="60"/>
        <v/>
      </c>
    </row>
    <row r="15" spans="1:242" ht="19.95" customHeight="1" thickBot="1">
      <c r="A15" s="164"/>
      <c r="B15" s="254" t="s">
        <v>445</v>
      </c>
      <c r="C15" s="255"/>
      <c r="D15" s="255"/>
      <c r="E15" s="270"/>
      <c r="F15" s="271" t="s">
        <v>446</v>
      </c>
      <c r="G15" s="272" t="s">
        <v>447</v>
      </c>
      <c r="H15" s="273" t="s">
        <v>448</v>
      </c>
      <c r="I15" s="272" t="s">
        <v>1366</v>
      </c>
      <c r="J15" s="273" t="s">
        <v>1290</v>
      </c>
      <c r="K15" s="274" t="s">
        <v>1367</v>
      </c>
      <c r="L15" s="275"/>
      <c r="M15" s="275"/>
      <c r="N15" s="276"/>
      <c r="O15" s="274" t="s">
        <v>1367</v>
      </c>
      <c r="P15" s="275"/>
      <c r="Q15" s="275"/>
      <c r="R15" s="276"/>
      <c r="S15" s="274" t="s">
        <v>1367</v>
      </c>
      <c r="T15" s="275"/>
      <c r="U15" s="275"/>
      <c r="V15" s="276"/>
      <c r="W15" s="274" t="s">
        <v>1367</v>
      </c>
      <c r="X15" s="275"/>
      <c r="Y15" s="275"/>
      <c r="Z15" s="276"/>
      <c r="AA15" s="274" t="s">
        <v>1367</v>
      </c>
      <c r="AB15" s="275"/>
      <c r="AC15" s="275"/>
      <c r="AD15" s="276"/>
      <c r="AE15" s="274" t="s">
        <v>1367</v>
      </c>
      <c r="AF15" s="275"/>
      <c r="AG15" s="275"/>
      <c r="AH15" s="276"/>
      <c r="AI15" s="274" t="s">
        <v>1367</v>
      </c>
      <c r="AJ15" s="275"/>
      <c r="AK15" s="275"/>
      <c r="AL15" s="276"/>
      <c r="AM15" s="274" t="s">
        <v>1367</v>
      </c>
      <c r="AN15" s="275"/>
      <c r="AO15" s="275"/>
      <c r="AP15" s="276"/>
      <c r="AQ15" s="274" t="s">
        <v>1367</v>
      </c>
      <c r="AR15" s="275"/>
      <c r="AS15" s="275"/>
      <c r="AT15" s="276"/>
      <c r="AU15" s="274" t="s">
        <v>1367</v>
      </c>
      <c r="AV15" s="275"/>
      <c r="AW15" s="275"/>
      <c r="AX15" s="276"/>
      <c r="AY15" s="274" t="s">
        <v>1367</v>
      </c>
      <c r="AZ15" s="275"/>
      <c r="BA15" s="275"/>
      <c r="BB15" s="276"/>
      <c r="BC15" s="274" t="s">
        <v>1367</v>
      </c>
      <c r="BD15" s="275"/>
      <c r="BE15" s="275"/>
      <c r="BF15" s="276"/>
      <c r="BG15" s="274" t="s">
        <v>1367</v>
      </c>
      <c r="BH15" s="275"/>
      <c r="BI15" s="275"/>
      <c r="BJ15" s="276"/>
      <c r="BK15" s="274" t="s">
        <v>1367</v>
      </c>
      <c r="BL15" s="275"/>
      <c r="BM15" s="275"/>
      <c r="BN15" s="276"/>
      <c r="BO15" s="274" t="s">
        <v>1367</v>
      </c>
      <c r="BP15" s="275"/>
      <c r="BQ15" s="275"/>
      <c r="BR15" s="276"/>
      <c r="BS15" s="274" t="s">
        <v>1367</v>
      </c>
      <c r="BT15" s="275"/>
      <c r="BU15" s="275"/>
      <c r="BV15" s="276"/>
      <c r="BW15" s="274" t="s">
        <v>446</v>
      </c>
      <c r="BX15" s="275"/>
      <c r="BY15" s="275"/>
      <c r="BZ15" s="276"/>
      <c r="CA15" s="274" t="s">
        <v>446</v>
      </c>
      <c r="CB15" s="275"/>
      <c r="CC15" s="275"/>
      <c r="CD15" s="276"/>
      <c r="CE15" s="274" t="s">
        <v>446</v>
      </c>
      <c r="CF15" s="275"/>
      <c r="CG15" s="275"/>
      <c r="CH15" s="276"/>
      <c r="CI15" s="274" t="s">
        <v>446</v>
      </c>
      <c r="CJ15" s="275"/>
      <c r="CK15" s="275"/>
      <c r="CL15" s="276"/>
      <c r="CM15" s="274" t="s">
        <v>446</v>
      </c>
      <c r="CN15" s="275"/>
      <c r="CO15" s="275"/>
      <c r="CP15" s="276"/>
      <c r="CQ15" s="274" t="s">
        <v>446</v>
      </c>
      <c r="CR15" s="275"/>
      <c r="CS15" s="275"/>
      <c r="CT15" s="276"/>
      <c r="CU15" s="274" t="s">
        <v>446</v>
      </c>
      <c r="CV15" s="275"/>
      <c r="CW15" s="275"/>
      <c r="CX15" s="276"/>
      <c r="CY15" s="274" t="s">
        <v>446</v>
      </c>
      <c r="CZ15" s="275"/>
      <c r="DA15" s="275"/>
      <c r="DB15" s="276"/>
      <c r="DC15" s="274" t="s">
        <v>446</v>
      </c>
      <c r="DD15" s="275"/>
      <c r="DE15" s="275"/>
      <c r="DF15" s="276"/>
      <c r="DG15" s="274" t="s">
        <v>446</v>
      </c>
      <c r="DH15" s="275"/>
      <c r="DI15" s="275"/>
      <c r="DJ15" s="276"/>
      <c r="DK15" s="274" t="s">
        <v>446</v>
      </c>
      <c r="DL15" s="275"/>
      <c r="DM15" s="275"/>
      <c r="DN15" s="276"/>
      <c r="DO15" s="274" t="s">
        <v>446</v>
      </c>
      <c r="DP15" s="275"/>
      <c r="DQ15" s="275"/>
      <c r="DR15" s="276"/>
      <c r="DS15" s="274" t="s">
        <v>446</v>
      </c>
      <c r="DT15" s="275"/>
      <c r="DU15" s="275"/>
      <c r="DV15" s="276"/>
      <c r="DW15" s="274" t="s">
        <v>446</v>
      </c>
      <c r="DX15" s="275"/>
      <c r="DY15" s="275"/>
      <c r="DZ15" s="276"/>
      <c r="EA15" s="274" t="s">
        <v>446</v>
      </c>
      <c r="EB15" s="275"/>
      <c r="EC15" s="275"/>
      <c r="ED15" s="276"/>
      <c r="EE15" s="274" t="s">
        <v>446</v>
      </c>
      <c r="EF15" s="275"/>
      <c r="EG15" s="275"/>
      <c r="EH15" s="276"/>
      <c r="EI15" s="274" t="s">
        <v>446</v>
      </c>
      <c r="EJ15" s="275"/>
      <c r="EK15" s="275"/>
      <c r="EL15" s="276"/>
      <c r="EM15" s="274" t="s">
        <v>446</v>
      </c>
      <c r="EN15" s="275"/>
      <c r="EO15" s="275"/>
      <c r="EP15" s="276"/>
      <c r="EQ15" s="274" t="s">
        <v>446</v>
      </c>
      <c r="ER15" s="275"/>
      <c r="ES15" s="275"/>
      <c r="ET15" s="276"/>
      <c r="EU15" s="274" t="s">
        <v>446</v>
      </c>
      <c r="EV15" s="275"/>
      <c r="EW15" s="275"/>
      <c r="EX15" s="276"/>
      <c r="EY15" s="274" t="s">
        <v>446</v>
      </c>
      <c r="EZ15" s="275"/>
      <c r="FA15" s="275"/>
      <c r="FB15" s="276"/>
      <c r="FC15" s="274" t="s">
        <v>446</v>
      </c>
      <c r="FD15" s="275"/>
      <c r="FE15" s="275"/>
      <c r="FF15" s="276"/>
      <c r="FG15" s="274" t="s">
        <v>446</v>
      </c>
      <c r="FH15" s="275"/>
      <c r="FI15" s="275"/>
      <c r="FJ15" s="276"/>
      <c r="FK15" s="274" t="s">
        <v>446</v>
      </c>
      <c r="FL15" s="275"/>
      <c r="FM15" s="275"/>
      <c r="FN15" s="276"/>
      <c r="FO15" s="274" t="s">
        <v>446</v>
      </c>
      <c r="FP15" s="275"/>
      <c r="FQ15" s="275"/>
      <c r="FR15" s="276"/>
      <c r="FS15" s="274" t="s">
        <v>446</v>
      </c>
      <c r="FT15" s="275"/>
      <c r="FU15" s="275"/>
      <c r="FV15" s="276"/>
      <c r="FW15" s="274" t="s">
        <v>446</v>
      </c>
      <c r="FX15" s="275"/>
      <c r="FY15" s="275"/>
      <c r="FZ15" s="276"/>
      <c r="GA15" s="274" t="s">
        <v>446</v>
      </c>
      <c r="GB15" s="275"/>
      <c r="GC15" s="275"/>
      <c r="GD15" s="276"/>
      <c r="GE15" s="274" t="s">
        <v>446</v>
      </c>
      <c r="GF15" s="275"/>
      <c r="GG15" s="275"/>
      <c r="GH15" s="276"/>
      <c r="GI15" s="274" t="s">
        <v>446</v>
      </c>
      <c r="GJ15" s="275"/>
      <c r="GK15" s="275"/>
      <c r="GL15" s="276"/>
      <c r="GM15" s="274" t="s">
        <v>446</v>
      </c>
      <c r="GN15" s="275"/>
      <c r="GO15" s="275"/>
      <c r="GP15" s="276"/>
      <c r="GQ15" s="274" t="s">
        <v>446</v>
      </c>
      <c r="GR15" s="275"/>
      <c r="GS15" s="275"/>
      <c r="GT15" s="276"/>
      <c r="GU15" s="274" t="s">
        <v>446</v>
      </c>
      <c r="GV15" s="275"/>
      <c r="GW15" s="275"/>
      <c r="GX15" s="276"/>
      <c r="GY15" s="274" t="s">
        <v>446</v>
      </c>
      <c r="GZ15" s="275"/>
      <c r="HA15" s="275"/>
      <c r="HB15" s="276"/>
      <c r="HC15" s="1041" t="s">
        <v>563</v>
      </c>
      <c r="HD15" s="1042"/>
      <c r="HE15" s="723">
        <f ca="1">参考3_排出量経年!L116</f>
        <v>0</v>
      </c>
      <c r="HF15" s="277" t="s">
        <v>564</v>
      </c>
      <c r="HG15" s="1041" t="s">
        <v>563</v>
      </c>
      <c r="HH15" s="1042"/>
      <c r="HI15" s="723">
        <f ca="1">参考3_排出量経年!T116</f>
        <v>0</v>
      </c>
      <c r="HJ15" s="277" t="s">
        <v>564</v>
      </c>
      <c r="HL15" s="230">
        <v>6</v>
      </c>
      <c r="HM15" s="714"/>
      <c r="HN15" s="715" t="str">
        <f ca="1">IF(COUNTIF(HN$10:HN14,OFFSET(A1_原単位2024,5,HL15+2))&gt;=1,"",OFFSET(A1_原単位2024,5,HL15+2)&amp;"")</f>
        <v/>
      </c>
      <c r="HO15" s="716" t="str">
        <f t="shared" ca="1" si="49"/>
        <v/>
      </c>
      <c r="HP15" s="717" t="str">
        <f t="shared" ca="1" si="50"/>
        <v/>
      </c>
      <c r="HQ15" s="714"/>
      <c r="HR15" s="715" t="str">
        <f ca="1">IF(COUNTIF(HR$10:HR14,OFFSET(A1_原単位2024,17,HL15+2))&gt;=1,"",OFFSET(A1_原単位2024,17,HL15+2)&amp;"")</f>
        <v/>
      </c>
      <c r="HS15" s="718" t="str">
        <f t="shared" ca="1" si="51"/>
        <v/>
      </c>
      <c r="HT15" s="719" t="str">
        <f t="shared" ca="1" si="52"/>
        <v/>
      </c>
      <c r="HU15" s="714"/>
      <c r="HV15" s="715" t="str">
        <f ca="1">IF(COUNTIF(HV$10:HV14,OFFSET(A1_原単位2024,29,HL15+2))&gt;=1,"",OFFSET(A1_原単位2024,29,HL15+2)&amp;"")</f>
        <v/>
      </c>
      <c r="HW15" s="718" t="str">
        <f t="shared" ca="1" si="53"/>
        <v/>
      </c>
      <c r="HX15" s="719" t="str">
        <f t="shared" ca="1" si="54"/>
        <v/>
      </c>
      <c r="HY15" s="714"/>
      <c r="HZ15" s="715" t="str">
        <f ca="1">IF(COUNTIF(HZ$10:HZ14,OFFSET(A1_原単位2024,41,HL15+2))&gt;=1,"",OFFSET(A1_原単位2024,41,HL15+2)&amp;"")</f>
        <v/>
      </c>
      <c r="IA15" s="720" t="str">
        <f t="shared" ca="1" si="55"/>
        <v/>
      </c>
      <c r="IB15" s="721" t="str">
        <f t="shared" ca="1" si="56"/>
        <v/>
      </c>
      <c r="IE15" s="159" t="str">
        <f t="shared" ca="1" si="57"/>
        <v/>
      </c>
      <c r="IF15" s="159" t="str">
        <f t="shared" ca="1" si="58"/>
        <v/>
      </c>
      <c r="IG15" s="159" t="str">
        <f t="shared" ca="1" si="59"/>
        <v/>
      </c>
      <c r="IH15" s="159" t="str">
        <f t="shared" ca="1" si="60"/>
        <v/>
      </c>
    </row>
    <row r="16" spans="1:242" ht="19.95" customHeight="1" thickBot="1">
      <c r="A16" s="164"/>
      <c r="B16" s="250" t="s">
        <v>565</v>
      </c>
      <c r="C16" s="278"/>
      <c r="D16" s="278"/>
      <c r="E16" s="279"/>
      <c r="F16" s="280" t="s">
        <v>566</v>
      </c>
      <c r="G16" s="281" t="s">
        <v>1368</v>
      </c>
      <c r="H16" s="282" t="s">
        <v>348</v>
      </c>
      <c r="I16" s="283" t="s">
        <v>1369</v>
      </c>
      <c r="J16" s="284" t="s">
        <v>1369</v>
      </c>
      <c r="K16" s="285" t="s">
        <v>567</v>
      </c>
      <c r="L16" s="286" t="s">
        <v>1370</v>
      </c>
      <c r="M16" s="286" t="s">
        <v>1371</v>
      </c>
      <c r="N16" s="282" t="s">
        <v>568</v>
      </c>
      <c r="O16" s="285" t="s">
        <v>567</v>
      </c>
      <c r="P16" s="286" t="s">
        <v>1370</v>
      </c>
      <c r="Q16" s="286" t="s">
        <v>1371</v>
      </c>
      <c r="R16" s="282" t="s">
        <v>568</v>
      </c>
      <c r="S16" s="285" t="s">
        <v>567</v>
      </c>
      <c r="T16" s="286" t="s">
        <v>1370</v>
      </c>
      <c r="U16" s="286" t="s">
        <v>1371</v>
      </c>
      <c r="V16" s="282" t="s">
        <v>568</v>
      </c>
      <c r="W16" s="285" t="s">
        <v>567</v>
      </c>
      <c r="X16" s="286" t="s">
        <v>1370</v>
      </c>
      <c r="Y16" s="286" t="s">
        <v>1371</v>
      </c>
      <c r="Z16" s="282" t="s">
        <v>568</v>
      </c>
      <c r="AA16" s="285" t="s">
        <v>567</v>
      </c>
      <c r="AB16" s="286" t="s">
        <v>1370</v>
      </c>
      <c r="AC16" s="286" t="s">
        <v>1371</v>
      </c>
      <c r="AD16" s="282" t="s">
        <v>568</v>
      </c>
      <c r="AE16" s="285" t="s">
        <v>567</v>
      </c>
      <c r="AF16" s="286" t="s">
        <v>1370</v>
      </c>
      <c r="AG16" s="286" t="s">
        <v>1371</v>
      </c>
      <c r="AH16" s="282" t="s">
        <v>568</v>
      </c>
      <c r="AI16" s="285" t="s">
        <v>567</v>
      </c>
      <c r="AJ16" s="286" t="s">
        <v>1370</v>
      </c>
      <c r="AK16" s="286" t="s">
        <v>1371</v>
      </c>
      <c r="AL16" s="282" t="s">
        <v>568</v>
      </c>
      <c r="AM16" s="285" t="s">
        <v>567</v>
      </c>
      <c r="AN16" s="286" t="s">
        <v>1370</v>
      </c>
      <c r="AO16" s="286" t="s">
        <v>1371</v>
      </c>
      <c r="AP16" s="282" t="s">
        <v>568</v>
      </c>
      <c r="AQ16" s="285" t="s">
        <v>567</v>
      </c>
      <c r="AR16" s="286" t="s">
        <v>1370</v>
      </c>
      <c r="AS16" s="286" t="s">
        <v>1371</v>
      </c>
      <c r="AT16" s="282" t="s">
        <v>568</v>
      </c>
      <c r="AU16" s="285" t="s">
        <v>567</v>
      </c>
      <c r="AV16" s="286" t="s">
        <v>1370</v>
      </c>
      <c r="AW16" s="286" t="s">
        <v>1371</v>
      </c>
      <c r="AX16" s="282" t="s">
        <v>568</v>
      </c>
      <c r="AY16" s="285" t="s">
        <v>567</v>
      </c>
      <c r="AZ16" s="286" t="s">
        <v>1370</v>
      </c>
      <c r="BA16" s="286" t="s">
        <v>1371</v>
      </c>
      <c r="BB16" s="282" t="s">
        <v>568</v>
      </c>
      <c r="BC16" s="285" t="s">
        <v>567</v>
      </c>
      <c r="BD16" s="286" t="s">
        <v>1370</v>
      </c>
      <c r="BE16" s="286" t="s">
        <v>1371</v>
      </c>
      <c r="BF16" s="282" t="s">
        <v>568</v>
      </c>
      <c r="BG16" s="285" t="s">
        <v>567</v>
      </c>
      <c r="BH16" s="286" t="s">
        <v>1370</v>
      </c>
      <c r="BI16" s="286" t="s">
        <v>1371</v>
      </c>
      <c r="BJ16" s="282" t="s">
        <v>568</v>
      </c>
      <c r="BK16" s="285" t="s">
        <v>567</v>
      </c>
      <c r="BL16" s="286" t="s">
        <v>1370</v>
      </c>
      <c r="BM16" s="286" t="s">
        <v>1371</v>
      </c>
      <c r="BN16" s="282" t="s">
        <v>568</v>
      </c>
      <c r="BO16" s="285" t="s">
        <v>567</v>
      </c>
      <c r="BP16" s="286" t="s">
        <v>1370</v>
      </c>
      <c r="BQ16" s="286" t="s">
        <v>1371</v>
      </c>
      <c r="BR16" s="282" t="s">
        <v>568</v>
      </c>
      <c r="BS16" s="285" t="s">
        <v>567</v>
      </c>
      <c r="BT16" s="286" t="s">
        <v>1370</v>
      </c>
      <c r="BU16" s="286" t="s">
        <v>1371</v>
      </c>
      <c r="BV16" s="282" t="s">
        <v>568</v>
      </c>
      <c r="BW16" s="285" t="s">
        <v>449</v>
      </c>
      <c r="BX16" s="286" t="s">
        <v>450</v>
      </c>
      <c r="BY16" s="286" t="s">
        <v>451</v>
      </c>
      <c r="BZ16" s="282" t="s">
        <v>452</v>
      </c>
      <c r="CA16" s="285" t="s">
        <v>449</v>
      </c>
      <c r="CB16" s="286" t="s">
        <v>450</v>
      </c>
      <c r="CC16" s="286" t="s">
        <v>451</v>
      </c>
      <c r="CD16" s="282" t="s">
        <v>452</v>
      </c>
      <c r="CE16" s="285" t="s">
        <v>449</v>
      </c>
      <c r="CF16" s="286" t="s">
        <v>450</v>
      </c>
      <c r="CG16" s="286" t="s">
        <v>451</v>
      </c>
      <c r="CH16" s="282" t="s">
        <v>452</v>
      </c>
      <c r="CI16" s="285" t="s">
        <v>449</v>
      </c>
      <c r="CJ16" s="286" t="s">
        <v>450</v>
      </c>
      <c r="CK16" s="286" t="s">
        <v>451</v>
      </c>
      <c r="CL16" s="282" t="s">
        <v>452</v>
      </c>
      <c r="CM16" s="285" t="s">
        <v>449</v>
      </c>
      <c r="CN16" s="286" t="s">
        <v>450</v>
      </c>
      <c r="CO16" s="286" t="s">
        <v>451</v>
      </c>
      <c r="CP16" s="282" t="s">
        <v>452</v>
      </c>
      <c r="CQ16" s="285" t="s">
        <v>449</v>
      </c>
      <c r="CR16" s="286" t="s">
        <v>450</v>
      </c>
      <c r="CS16" s="286" t="s">
        <v>451</v>
      </c>
      <c r="CT16" s="282" t="s">
        <v>452</v>
      </c>
      <c r="CU16" s="285" t="s">
        <v>449</v>
      </c>
      <c r="CV16" s="286" t="s">
        <v>450</v>
      </c>
      <c r="CW16" s="286" t="s">
        <v>451</v>
      </c>
      <c r="CX16" s="282" t="s">
        <v>452</v>
      </c>
      <c r="CY16" s="285" t="s">
        <v>449</v>
      </c>
      <c r="CZ16" s="286" t="s">
        <v>450</v>
      </c>
      <c r="DA16" s="286" t="s">
        <v>451</v>
      </c>
      <c r="DB16" s="282" t="s">
        <v>452</v>
      </c>
      <c r="DC16" s="285" t="s">
        <v>449</v>
      </c>
      <c r="DD16" s="286" t="s">
        <v>450</v>
      </c>
      <c r="DE16" s="286" t="s">
        <v>451</v>
      </c>
      <c r="DF16" s="282" t="s">
        <v>452</v>
      </c>
      <c r="DG16" s="285" t="s">
        <v>449</v>
      </c>
      <c r="DH16" s="286" t="s">
        <v>450</v>
      </c>
      <c r="DI16" s="286" t="s">
        <v>451</v>
      </c>
      <c r="DJ16" s="282" t="s">
        <v>452</v>
      </c>
      <c r="DK16" s="285" t="s">
        <v>449</v>
      </c>
      <c r="DL16" s="286" t="s">
        <v>450</v>
      </c>
      <c r="DM16" s="286" t="s">
        <v>451</v>
      </c>
      <c r="DN16" s="282" t="s">
        <v>452</v>
      </c>
      <c r="DO16" s="285" t="s">
        <v>449</v>
      </c>
      <c r="DP16" s="286" t="s">
        <v>450</v>
      </c>
      <c r="DQ16" s="286" t="s">
        <v>451</v>
      </c>
      <c r="DR16" s="282" t="s">
        <v>452</v>
      </c>
      <c r="DS16" s="285" t="s">
        <v>449</v>
      </c>
      <c r="DT16" s="286" t="s">
        <v>450</v>
      </c>
      <c r="DU16" s="286" t="s">
        <v>451</v>
      </c>
      <c r="DV16" s="282" t="s">
        <v>452</v>
      </c>
      <c r="DW16" s="285" t="s">
        <v>449</v>
      </c>
      <c r="DX16" s="286" t="s">
        <v>450</v>
      </c>
      <c r="DY16" s="286" t="s">
        <v>451</v>
      </c>
      <c r="DZ16" s="282" t="s">
        <v>452</v>
      </c>
      <c r="EA16" s="285" t="s">
        <v>449</v>
      </c>
      <c r="EB16" s="286" t="s">
        <v>450</v>
      </c>
      <c r="EC16" s="286" t="s">
        <v>451</v>
      </c>
      <c r="ED16" s="282" t="s">
        <v>452</v>
      </c>
      <c r="EE16" s="285" t="s">
        <v>449</v>
      </c>
      <c r="EF16" s="286" t="s">
        <v>450</v>
      </c>
      <c r="EG16" s="286" t="s">
        <v>451</v>
      </c>
      <c r="EH16" s="282" t="s">
        <v>452</v>
      </c>
      <c r="EI16" s="285" t="s">
        <v>449</v>
      </c>
      <c r="EJ16" s="286" t="s">
        <v>450</v>
      </c>
      <c r="EK16" s="286" t="s">
        <v>451</v>
      </c>
      <c r="EL16" s="282" t="s">
        <v>452</v>
      </c>
      <c r="EM16" s="285" t="s">
        <v>449</v>
      </c>
      <c r="EN16" s="286" t="s">
        <v>450</v>
      </c>
      <c r="EO16" s="286" t="s">
        <v>451</v>
      </c>
      <c r="EP16" s="282" t="s">
        <v>452</v>
      </c>
      <c r="EQ16" s="285" t="s">
        <v>449</v>
      </c>
      <c r="ER16" s="286" t="s">
        <v>450</v>
      </c>
      <c r="ES16" s="286" t="s">
        <v>451</v>
      </c>
      <c r="ET16" s="282" t="s">
        <v>452</v>
      </c>
      <c r="EU16" s="285" t="s">
        <v>449</v>
      </c>
      <c r="EV16" s="286" t="s">
        <v>450</v>
      </c>
      <c r="EW16" s="286" t="s">
        <v>451</v>
      </c>
      <c r="EX16" s="282" t="s">
        <v>452</v>
      </c>
      <c r="EY16" s="285" t="s">
        <v>449</v>
      </c>
      <c r="EZ16" s="286" t="s">
        <v>450</v>
      </c>
      <c r="FA16" s="286" t="s">
        <v>451</v>
      </c>
      <c r="FB16" s="282" t="s">
        <v>452</v>
      </c>
      <c r="FC16" s="285" t="s">
        <v>449</v>
      </c>
      <c r="FD16" s="286" t="s">
        <v>450</v>
      </c>
      <c r="FE16" s="286" t="s">
        <v>451</v>
      </c>
      <c r="FF16" s="282" t="s">
        <v>452</v>
      </c>
      <c r="FG16" s="285" t="s">
        <v>449</v>
      </c>
      <c r="FH16" s="286" t="s">
        <v>450</v>
      </c>
      <c r="FI16" s="286" t="s">
        <v>451</v>
      </c>
      <c r="FJ16" s="282" t="s">
        <v>452</v>
      </c>
      <c r="FK16" s="285" t="s">
        <v>449</v>
      </c>
      <c r="FL16" s="286" t="s">
        <v>450</v>
      </c>
      <c r="FM16" s="286" t="s">
        <v>451</v>
      </c>
      <c r="FN16" s="282" t="s">
        <v>452</v>
      </c>
      <c r="FO16" s="285" t="s">
        <v>449</v>
      </c>
      <c r="FP16" s="286" t="s">
        <v>450</v>
      </c>
      <c r="FQ16" s="286" t="s">
        <v>451</v>
      </c>
      <c r="FR16" s="282" t="s">
        <v>452</v>
      </c>
      <c r="FS16" s="285" t="s">
        <v>449</v>
      </c>
      <c r="FT16" s="286" t="s">
        <v>450</v>
      </c>
      <c r="FU16" s="286" t="s">
        <v>451</v>
      </c>
      <c r="FV16" s="282" t="s">
        <v>452</v>
      </c>
      <c r="FW16" s="285" t="s">
        <v>449</v>
      </c>
      <c r="FX16" s="286" t="s">
        <v>450</v>
      </c>
      <c r="FY16" s="286" t="s">
        <v>451</v>
      </c>
      <c r="FZ16" s="282" t="s">
        <v>452</v>
      </c>
      <c r="GA16" s="285" t="s">
        <v>449</v>
      </c>
      <c r="GB16" s="286" t="s">
        <v>450</v>
      </c>
      <c r="GC16" s="286" t="s">
        <v>451</v>
      </c>
      <c r="GD16" s="282" t="s">
        <v>452</v>
      </c>
      <c r="GE16" s="285" t="s">
        <v>449</v>
      </c>
      <c r="GF16" s="286" t="s">
        <v>450</v>
      </c>
      <c r="GG16" s="286" t="s">
        <v>451</v>
      </c>
      <c r="GH16" s="282" t="s">
        <v>452</v>
      </c>
      <c r="GI16" s="285" t="s">
        <v>449</v>
      </c>
      <c r="GJ16" s="286" t="s">
        <v>450</v>
      </c>
      <c r="GK16" s="286" t="s">
        <v>451</v>
      </c>
      <c r="GL16" s="282" t="s">
        <v>452</v>
      </c>
      <c r="GM16" s="285" t="s">
        <v>449</v>
      </c>
      <c r="GN16" s="286" t="s">
        <v>450</v>
      </c>
      <c r="GO16" s="286" t="s">
        <v>451</v>
      </c>
      <c r="GP16" s="282" t="s">
        <v>452</v>
      </c>
      <c r="GQ16" s="285" t="s">
        <v>449</v>
      </c>
      <c r="GR16" s="286" t="s">
        <v>450</v>
      </c>
      <c r="GS16" s="286" t="s">
        <v>451</v>
      </c>
      <c r="GT16" s="282" t="s">
        <v>452</v>
      </c>
      <c r="GU16" s="285" t="s">
        <v>449</v>
      </c>
      <c r="GV16" s="286" t="s">
        <v>450</v>
      </c>
      <c r="GW16" s="286" t="s">
        <v>451</v>
      </c>
      <c r="GX16" s="282" t="s">
        <v>452</v>
      </c>
      <c r="GY16" s="285" t="s">
        <v>449</v>
      </c>
      <c r="GZ16" s="286" t="s">
        <v>450</v>
      </c>
      <c r="HA16" s="286" t="s">
        <v>451</v>
      </c>
      <c r="HB16" s="282" t="s">
        <v>452</v>
      </c>
      <c r="HC16" s="287" t="s">
        <v>569</v>
      </c>
      <c r="HD16" s="288" t="s">
        <v>570</v>
      </c>
      <c r="HE16" s="288" t="s">
        <v>571</v>
      </c>
      <c r="HF16" s="289" t="s">
        <v>572</v>
      </c>
      <c r="HG16" s="287" t="s">
        <v>569</v>
      </c>
      <c r="HH16" s="288" t="s">
        <v>570</v>
      </c>
      <c r="HI16" s="288" t="s">
        <v>571</v>
      </c>
      <c r="HJ16" s="289" t="s">
        <v>572</v>
      </c>
      <c r="HL16" s="219">
        <v>7</v>
      </c>
      <c r="HM16" s="714"/>
      <c r="HN16" s="715" t="str">
        <f ca="1">IF(COUNTIF(HN$10:HN15,OFFSET(A1_原単位2024,5,HL16+2))&gt;=1,"",OFFSET(A1_原単位2024,5,HL16+2)&amp;"")</f>
        <v/>
      </c>
      <c r="HO16" s="716" t="str">
        <f t="shared" ca="1" si="49"/>
        <v/>
      </c>
      <c r="HP16" s="717" t="str">
        <f t="shared" ca="1" si="50"/>
        <v/>
      </c>
      <c r="HQ16" s="714"/>
      <c r="HR16" s="715" t="str">
        <f ca="1">IF(COUNTIF(HR$10:HR15,OFFSET(A1_原単位2024,17,HL16+2))&gt;=1,"",OFFSET(A1_原単位2024,17,HL16+2)&amp;"")</f>
        <v/>
      </c>
      <c r="HS16" s="718" t="str">
        <f t="shared" ca="1" si="51"/>
        <v/>
      </c>
      <c r="HT16" s="719" t="str">
        <f t="shared" ca="1" si="52"/>
        <v/>
      </c>
      <c r="HU16" s="714"/>
      <c r="HV16" s="715" t="str">
        <f ca="1">IF(COUNTIF(HV$10:HV15,OFFSET(A1_原単位2024,29,HL16+2))&gt;=1,"",OFFSET(A1_原単位2024,29,HL16+2)&amp;"")</f>
        <v/>
      </c>
      <c r="HW16" s="718" t="str">
        <f t="shared" ca="1" si="53"/>
        <v/>
      </c>
      <c r="HX16" s="719" t="str">
        <f t="shared" ca="1" si="54"/>
        <v/>
      </c>
      <c r="HY16" s="714"/>
      <c r="HZ16" s="715" t="str">
        <f ca="1">IF(COUNTIF(HZ$10:HZ15,OFFSET(A1_原単位2024,41,HL16+2))&gt;=1,"",OFFSET(A1_原単位2024,41,HL16+2)&amp;"")</f>
        <v/>
      </c>
      <c r="IA16" s="720" t="str">
        <f t="shared" ca="1" si="55"/>
        <v/>
      </c>
      <c r="IB16" s="721" t="str">
        <f t="shared" ca="1" si="56"/>
        <v/>
      </c>
      <c r="IE16" s="159" t="str">
        <f t="shared" ca="1" si="57"/>
        <v/>
      </c>
      <c r="IF16" s="159" t="str">
        <f t="shared" ca="1" si="58"/>
        <v/>
      </c>
      <c r="IG16" s="159" t="str">
        <f t="shared" ca="1" si="59"/>
        <v/>
      </c>
      <c r="IH16" s="159" t="str">
        <f t="shared" ca="1" si="60"/>
        <v/>
      </c>
    </row>
    <row r="17" spans="1:242" ht="19.8">
      <c r="A17" s="164"/>
      <c r="B17" s="290" t="s">
        <v>573</v>
      </c>
      <c r="C17" s="291" t="s">
        <v>346</v>
      </c>
      <c r="D17" s="258"/>
      <c r="E17" s="292"/>
      <c r="F17" s="291" t="s">
        <v>453</v>
      </c>
      <c r="G17" s="293">
        <v>38.299999999999997</v>
      </c>
      <c r="H17" s="294">
        <v>1.9E-2</v>
      </c>
      <c r="I17" s="295"/>
      <c r="J17" s="296"/>
      <c r="K17" s="297"/>
      <c r="L17" s="298"/>
      <c r="M17" s="298"/>
      <c r="N17" s="296"/>
      <c r="O17" s="297"/>
      <c r="P17" s="298"/>
      <c r="Q17" s="298"/>
      <c r="R17" s="296"/>
      <c r="S17" s="297"/>
      <c r="T17" s="298"/>
      <c r="U17" s="298"/>
      <c r="V17" s="296"/>
      <c r="W17" s="297"/>
      <c r="X17" s="298"/>
      <c r="Y17" s="298"/>
      <c r="Z17" s="296"/>
      <c r="AA17" s="297"/>
      <c r="AB17" s="298"/>
      <c r="AC17" s="298"/>
      <c r="AD17" s="296"/>
      <c r="AE17" s="297"/>
      <c r="AF17" s="298"/>
      <c r="AG17" s="298"/>
      <c r="AH17" s="296"/>
      <c r="AI17" s="297"/>
      <c r="AJ17" s="298"/>
      <c r="AK17" s="298"/>
      <c r="AL17" s="296"/>
      <c r="AM17" s="297"/>
      <c r="AN17" s="298"/>
      <c r="AO17" s="298"/>
      <c r="AP17" s="296"/>
      <c r="AQ17" s="297"/>
      <c r="AR17" s="298"/>
      <c r="AS17" s="298"/>
      <c r="AT17" s="296"/>
      <c r="AU17" s="297"/>
      <c r="AV17" s="298"/>
      <c r="AW17" s="298"/>
      <c r="AX17" s="296"/>
      <c r="AY17" s="297"/>
      <c r="AZ17" s="298"/>
      <c r="BA17" s="298"/>
      <c r="BB17" s="296"/>
      <c r="BC17" s="297"/>
      <c r="BD17" s="298"/>
      <c r="BE17" s="298"/>
      <c r="BF17" s="296"/>
      <c r="BG17" s="297"/>
      <c r="BH17" s="298"/>
      <c r="BI17" s="298"/>
      <c r="BJ17" s="296"/>
      <c r="BK17" s="297"/>
      <c r="BL17" s="298"/>
      <c r="BM17" s="298"/>
      <c r="BN17" s="296"/>
      <c r="BO17" s="297"/>
      <c r="BP17" s="298"/>
      <c r="BQ17" s="298"/>
      <c r="BR17" s="296"/>
      <c r="BS17" s="297"/>
      <c r="BT17" s="298"/>
      <c r="BU17" s="298"/>
      <c r="BV17" s="296"/>
      <c r="BW17" s="297"/>
      <c r="BX17" s="298"/>
      <c r="BY17" s="298"/>
      <c r="BZ17" s="296"/>
      <c r="CA17" s="297"/>
      <c r="CB17" s="298"/>
      <c r="CC17" s="298"/>
      <c r="CD17" s="296"/>
      <c r="CE17" s="297"/>
      <c r="CF17" s="298"/>
      <c r="CG17" s="298"/>
      <c r="CH17" s="296"/>
      <c r="CI17" s="297"/>
      <c r="CJ17" s="298"/>
      <c r="CK17" s="298"/>
      <c r="CL17" s="296"/>
      <c r="CM17" s="297"/>
      <c r="CN17" s="298"/>
      <c r="CO17" s="298"/>
      <c r="CP17" s="296"/>
      <c r="CQ17" s="297"/>
      <c r="CR17" s="298"/>
      <c r="CS17" s="298"/>
      <c r="CT17" s="296"/>
      <c r="CU17" s="297"/>
      <c r="CV17" s="298"/>
      <c r="CW17" s="298"/>
      <c r="CX17" s="296"/>
      <c r="CY17" s="297"/>
      <c r="CZ17" s="298"/>
      <c r="DA17" s="298"/>
      <c r="DB17" s="296"/>
      <c r="DC17" s="297"/>
      <c r="DD17" s="298"/>
      <c r="DE17" s="298"/>
      <c r="DF17" s="296"/>
      <c r="DG17" s="297"/>
      <c r="DH17" s="298"/>
      <c r="DI17" s="298"/>
      <c r="DJ17" s="296"/>
      <c r="DK17" s="297"/>
      <c r="DL17" s="298"/>
      <c r="DM17" s="298"/>
      <c r="DN17" s="296"/>
      <c r="DO17" s="297"/>
      <c r="DP17" s="298"/>
      <c r="DQ17" s="298"/>
      <c r="DR17" s="296"/>
      <c r="DS17" s="297"/>
      <c r="DT17" s="298"/>
      <c r="DU17" s="298"/>
      <c r="DV17" s="296"/>
      <c r="DW17" s="297"/>
      <c r="DX17" s="298"/>
      <c r="DY17" s="298"/>
      <c r="DZ17" s="296"/>
      <c r="EA17" s="297"/>
      <c r="EB17" s="298"/>
      <c r="EC17" s="298"/>
      <c r="ED17" s="296"/>
      <c r="EE17" s="297"/>
      <c r="EF17" s="298"/>
      <c r="EG17" s="298"/>
      <c r="EH17" s="296"/>
      <c r="EI17" s="297"/>
      <c r="EJ17" s="298"/>
      <c r="EK17" s="298"/>
      <c r="EL17" s="296"/>
      <c r="EM17" s="297"/>
      <c r="EN17" s="298"/>
      <c r="EO17" s="298"/>
      <c r="EP17" s="296"/>
      <c r="EQ17" s="297"/>
      <c r="ER17" s="298"/>
      <c r="ES17" s="298"/>
      <c r="ET17" s="296"/>
      <c r="EU17" s="297"/>
      <c r="EV17" s="298"/>
      <c r="EW17" s="298"/>
      <c r="EX17" s="296"/>
      <c r="EY17" s="297"/>
      <c r="EZ17" s="298"/>
      <c r="FA17" s="298"/>
      <c r="FB17" s="296"/>
      <c r="FC17" s="297"/>
      <c r="FD17" s="298"/>
      <c r="FE17" s="298"/>
      <c r="FF17" s="296"/>
      <c r="FG17" s="297"/>
      <c r="FH17" s="298"/>
      <c r="FI17" s="298"/>
      <c r="FJ17" s="296"/>
      <c r="FK17" s="297"/>
      <c r="FL17" s="298"/>
      <c r="FM17" s="298"/>
      <c r="FN17" s="296"/>
      <c r="FO17" s="297"/>
      <c r="FP17" s="298"/>
      <c r="FQ17" s="298"/>
      <c r="FR17" s="296"/>
      <c r="FS17" s="297"/>
      <c r="FT17" s="298"/>
      <c r="FU17" s="298"/>
      <c r="FV17" s="296"/>
      <c r="FW17" s="297"/>
      <c r="FX17" s="298"/>
      <c r="FY17" s="298"/>
      <c r="FZ17" s="296"/>
      <c r="GA17" s="297"/>
      <c r="GB17" s="298"/>
      <c r="GC17" s="298"/>
      <c r="GD17" s="296"/>
      <c r="GE17" s="297"/>
      <c r="GF17" s="298"/>
      <c r="GG17" s="298"/>
      <c r="GH17" s="296"/>
      <c r="GI17" s="297"/>
      <c r="GJ17" s="298"/>
      <c r="GK17" s="298"/>
      <c r="GL17" s="296"/>
      <c r="GM17" s="297"/>
      <c r="GN17" s="298"/>
      <c r="GO17" s="298"/>
      <c r="GP17" s="296"/>
      <c r="GQ17" s="297"/>
      <c r="GR17" s="298"/>
      <c r="GS17" s="298"/>
      <c r="GT17" s="296"/>
      <c r="GU17" s="297"/>
      <c r="GV17" s="298"/>
      <c r="GW17" s="298"/>
      <c r="GX17" s="296"/>
      <c r="GY17" s="297"/>
      <c r="GZ17" s="298"/>
      <c r="HA17" s="298"/>
      <c r="HB17" s="296"/>
      <c r="HC17" s="299">
        <f t="shared" ref="HC17:HE48" si="62">K17+O17+S17+W17+AA17+AE17+AI17+AM17+AQ17+AU17+AY17+BC17+BG17+BK17+BO17+BS17+BW17+CA17+CE17+CI17+CM17+CQ17+CU17+CY17+DC17+DG17+DK17+DO17+DS17+DW17+EA17+EE17+EI17+EM17+EQ17+EU17+EY17+FC17+FG17+FK17+FO17+FS17+FW17+GA17+GE17+GI17+GM17+GQ17+GU17+GY17</f>
        <v>0</v>
      </c>
      <c r="HD17" s="300">
        <f t="shared" si="62"/>
        <v>0</v>
      </c>
      <c r="HE17" s="300">
        <f t="shared" si="62"/>
        <v>0</v>
      </c>
      <c r="HF17" s="301"/>
      <c r="HG17" s="299">
        <f>SUM(SUMIFS(K17:HB17,$K$13:$HB$13,{"エネルギー管理指定工場等*","県域*"}))</f>
        <v>0</v>
      </c>
      <c r="HH17" s="300">
        <f>SUM(SUMIFS(L17:HC17,$K$13:$HB$13,{"エネルギー管理指定工場等*","県域*"}))</f>
        <v>0</v>
      </c>
      <c r="HI17" s="300">
        <f>SUM(SUMIFS(M17:HD17,$K$13:$HB$13,{"エネルギー管理指定工場等*","県域*"}))</f>
        <v>0</v>
      </c>
      <c r="HJ17" s="301"/>
      <c r="HL17" s="219">
        <v>8</v>
      </c>
      <c r="HM17" s="714"/>
      <c r="HN17" s="715" t="str">
        <f ca="1">IF(COUNTIF(HN$10:HN16,OFFSET(A1_原単位2024,5,HL17+2))&gt;=1,"",OFFSET(A1_原単位2024,5,HL17+2)&amp;"")</f>
        <v/>
      </c>
      <c r="HO17" s="716" t="str">
        <f t="shared" ca="1" si="49"/>
        <v/>
      </c>
      <c r="HP17" s="717" t="str">
        <f t="shared" ca="1" si="50"/>
        <v/>
      </c>
      <c r="HQ17" s="714"/>
      <c r="HR17" s="715" t="str">
        <f ca="1">IF(COUNTIF(HR$10:HR16,OFFSET(A1_原単位2024,17,HL17+2))&gt;=1,"",OFFSET(A1_原単位2024,17,HL17+2)&amp;"")</f>
        <v/>
      </c>
      <c r="HS17" s="718" t="str">
        <f t="shared" ca="1" si="51"/>
        <v/>
      </c>
      <c r="HT17" s="719" t="str">
        <f t="shared" ca="1" si="52"/>
        <v/>
      </c>
      <c r="HU17" s="714"/>
      <c r="HV17" s="715" t="str">
        <f ca="1">IF(COUNTIF(HV$10:HV16,OFFSET(A1_原単位2024,29,HL17+2))&gt;=1,"",OFFSET(A1_原単位2024,29,HL17+2)&amp;"")</f>
        <v/>
      </c>
      <c r="HW17" s="718" t="str">
        <f t="shared" ca="1" si="53"/>
        <v/>
      </c>
      <c r="HX17" s="719" t="str">
        <f t="shared" ca="1" si="54"/>
        <v/>
      </c>
      <c r="HY17" s="714"/>
      <c r="HZ17" s="715" t="str">
        <f ca="1">IF(COUNTIF(HZ$10:HZ16,OFFSET(A1_原単位2024,41,HL17+2))&gt;=1,"",OFFSET(A1_原単位2024,41,HL17+2)&amp;"")</f>
        <v/>
      </c>
      <c r="IA17" s="720" t="str">
        <f t="shared" ca="1" si="55"/>
        <v/>
      </c>
      <c r="IB17" s="721" t="str">
        <f t="shared" ca="1" si="56"/>
        <v/>
      </c>
      <c r="IE17" s="159" t="str">
        <f t="shared" ca="1" si="57"/>
        <v/>
      </c>
      <c r="IF17" s="159" t="str">
        <f t="shared" ca="1" si="58"/>
        <v/>
      </c>
      <c r="IG17" s="159" t="str">
        <f t="shared" ca="1" si="59"/>
        <v/>
      </c>
      <c r="IH17" s="159" t="str">
        <f t="shared" ca="1" si="60"/>
        <v/>
      </c>
    </row>
    <row r="18" spans="1:242" ht="19.8">
      <c r="A18" s="164"/>
      <c r="B18" s="302"/>
      <c r="C18" s="303" t="s">
        <v>574</v>
      </c>
      <c r="D18" s="304"/>
      <c r="E18" s="305"/>
      <c r="F18" s="303" t="s">
        <v>453</v>
      </c>
      <c r="G18" s="306">
        <v>34.799999999999997</v>
      </c>
      <c r="H18" s="307">
        <v>1.83E-2</v>
      </c>
      <c r="I18" s="308"/>
      <c r="J18" s="309"/>
      <c r="K18" s="310"/>
      <c r="L18" s="311"/>
      <c r="M18" s="311"/>
      <c r="N18" s="309"/>
      <c r="O18" s="310"/>
      <c r="P18" s="311"/>
      <c r="Q18" s="311"/>
      <c r="R18" s="309"/>
      <c r="S18" s="310"/>
      <c r="T18" s="311"/>
      <c r="U18" s="311"/>
      <c r="V18" s="309"/>
      <c r="W18" s="310"/>
      <c r="X18" s="311"/>
      <c r="Y18" s="311"/>
      <c r="Z18" s="309"/>
      <c r="AA18" s="310"/>
      <c r="AB18" s="311"/>
      <c r="AC18" s="311"/>
      <c r="AD18" s="309"/>
      <c r="AE18" s="310"/>
      <c r="AF18" s="311"/>
      <c r="AG18" s="311"/>
      <c r="AH18" s="309"/>
      <c r="AI18" s="310"/>
      <c r="AJ18" s="311"/>
      <c r="AK18" s="311"/>
      <c r="AL18" s="309"/>
      <c r="AM18" s="310"/>
      <c r="AN18" s="311"/>
      <c r="AO18" s="311"/>
      <c r="AP18" s="309"/>
      <c r="AQ18" s="310"/>
      <c r="AR18" s="311"/>
      <c r="AS18" s="311"/>
      <c r="AT18" s="309"/>
      <c r="AU18" s="310"/>
      <c r="AV18" s="311"/>
      <c r="AW18" s="311"/>
      <c r="AX18" s="309"/>
      <c r="AY18" s="310"/>
      <c r="AZ18" s="311"/>
      <c r="BA18" s="311"/>
      <c r="BB18" s="309"/>
      <c r="BC18" s="310"/>
      <c r="BD18" s="311"/>
      <c r="BE18" s="311"/>
      <c r="BF18" s="309"/>
      <c r="BG18" s="310"/>
      <c r="BH18" s="311"/>
      <c r="BI18" s="311"/>
      <c r="BJ18" s="309"/>
      <c r="BK18" s="310"/>
      <c r="BL18" s="311"/>
      <c r="BM18" s="311"/>
      <c r="BN18" s="309"/>
      <c r="BO18" s="310"/>
      <c r="BP18" s="311"/>
      <c r="BQ18" s="311"/>
      <c r="BR18" s="309"/>
      <c r="BS18" s="310"/>
      <c r="BT18" s="311"/>
      <c r="BU18" s="311"/>
      <c r="BV18" s="309"/>
      <c r="BW18" s="310"/>
      <c r="BX18" s="311"/>
      <c r="BY18" s="311"/>
      <c r="BZ18" s="309"/>
      <c r="CA18" s="310"/>
      <c r="CB18" s="311"/>
      <c r="CC18" s="311"/>
      <c r="CD18" s="309"/>
      <c r="CE18" s="310"/>
      <c r="CF18" s="311"/>
      <c r="CG18" s="311"/>
      <c r="CH18" s="309"/>
      <c r="CI18" s="310"/>
      <c r="CJ18" s="311"/>
      <c r="CK18" s="311"/>
      <c r="CL18" s="309"/>
      <c r="CM18" s="310"/>
      <c r="CN18" s="311"/>
      <c r="CO18" s="311"/>
      <c r="CP18" s="309"/>
      <c r="CQ18" s="310"/>
      <c r="CR18" s="311"/>
      <c r="CS18" s="311"/>
      <c r="CT18" s="309"/>
      <c r="CU18" s="310"/>
      <c r="CV18" s="311"/>
      <c r="CW18" s="311"/>
      <c r="CX18" s="309"/>
      <c r="CY18" s="310"/>
      <c r="CZ18" s="311"/>
      <c r="DA18" s="311"/>
      <c r="DB18" s="309"/>
      <c r="DC18" s="310"/>
      <c r="DD18" s="311"/>
      <c r="DE18" s="311"/>
      <c r="DF18" s="309"/>
      <c r="DG18" s="310"/>
      <c r="DH18" s="311"/>
      <c r="DI18" s="311"/>
      <c r="DJ18" s="309"/>
      <c r="DK18" s="310"/>
      <c r="DL18" s="311"/>
      <c r="DM18" s="311"/>
      <c r="DN18" s="309"/>
      <c r="DO18" s="310"/>
      <c r="DP18" s="311"/>
      <c r="DQ18" s="311"/>
      <c r="DR18" s="309"/>
      <c r="DS18" s="310"/>
      <c r="DT18" s="311"/>
      <c r="DU18" s="311"/>
      <c r="DV18" s="309"/>
      <c r="DW18" s="310"/>
      <c r="DX18" s="311"/>
      <c r="DY18" s="311"/>
      <c r="DZ18" s="309"/>
      <c r="EA18" s="310"/>
      <c r="EB18" s="311"/>
      <c r="EC18" s="311"/>
      <c r="ED18" s="309"/>
      <c r="EE18" s="310"/>
      <c r="EF18" s="311"/>
      <c r="EG18" s="311"/>
      <c r="EH18" s="309"/>
      <c r="EI18" s="310"/>
      <c r="EJ18" s="311"/>
      <c r="EK18" s="311"/>
      <c r="EL18" s="309"/>
      <c r="EM18" s="310"/>
      <c r="EN18" s="311"/>
      <c r="EO18" s="311"/>
      <c r="EP18" s="309"/>
      <c r="EQ18" s="310"/>
      <c r="ER18" s="311"/>
      <c r="ES18" s="311"/>
      <c r="ET18" s="309"/>
      <c r="EU18" s="310"/>
      <c r="EV18" s="311"/>
      <c r="EW18" s="311"/>
      <c r="EX18" s="309"/>
      <c r="EY18" s="310"/>
      <c r="EZ18" s="311"/>
      <c r="FA18" s="311"/>
      <c r="FB18" s="309"/>
      <c r="FC18" s="310"/>
      <c r="FD18" s="311"/>
      <c r="FE18" s="311"/>
      <c r="FF18" s="309"/>
      <c r="FG18" s="310"/>
      <c r="FH18" s="311"/>
      <c r="FI18" s="311"/>
      <c r="FJ18" s="309"/>
      <c r="FK18" s="310"/>
      <c r="FL18" s="311"/>
      <c r="FM18" s="311"/>
      <c r="FN18" s="309"/>
      <c r="FO18" s="310"/>
      <c r="FP18" s="311"/>
      <c r="FQ18" s="311"/>
      <c r="FR18" s="309"/>
      <c r="FS18" s="310"/>
      <c r="FT18" s="311"/>
      <c r="FU18" s="311"/>
      <c r="FV18" s="309"/>
      <c r="FW18" s="310"/>
      <c r="FX18" s="311"/>
      <c r="FY18" s="311"/>
      <c r="FZ18" s="309"/>
      <c r="GA18" s="310"/>
      <c r="GB18" s="311"/>
      <c r="GC18" s="311"/>
      <c r="GD18" s="309"/>
      <c r="GE18" s="310"/>
      <c r="GF18" s="311"/>
      <c r="GG18" s="311"/>
      <c r="GH18" s="309"/>
      <c r="GI18" s="310"/>
      <c r="GJ18" s="311"/>
      <c r="GK18" s="311"/>
      <c r="GL18" s="309"/>
      <c r="GM18" s="310"/>
      <c r="GN18" s="311"/>
      <c r="GO18" s="311"/>
      <c r="GP18" s="309"/>
      <c r="GQ18" s="310"/>
      <c r="GR18" s="311"/>
      <c r="GS18" s="311"/>
      <c r="GT18" s="309"/>
      <c r="GU18" s="310"/>
      <c r="GV18" s="311"/>
      <c r="GW18" s="311"/>
      <c r="GX18" s="309"/>
      <c r="GY18" s="310"/>
      <c r="GZ18" s="311"/>
      <c r="HA18" s="311"/>
      <c r="HB18" s="309"/>
      <c r="HC18" s="312">
        <f t="shared" si="62"/>
        <v>0</v>
      </c>
      <c r="HD18" s="313">
        <f t="shared" si="62"/>
        <v>0</v>
      </c>
      <c r="HE18" s="313">
        <f t="shared" si="62"/>
        <v>0</v>
      </c>
      <c r="HF18" s="314"/>
      <c r="HG18" s="312">
        <f>SUM(SUMIFS(K18:HB18,$K$13:$HB$13,{"エネルギー管理指定工場等*","県域*"}))</f>
        <v>0</v>
      </c>
      <c r="HH18" s="313">
        <f>SUM(SUMIFS(L18:HC18,$K$13:$HB$13,{"エネルギー管理指定工場等*","県域*"}))</f>
        <v>0</v>
      </c>
      <c r="HI18" s="313">
        <f>SUM(SUMIFS(M18:HD18,$K$13:$HB$13,{"エネルギー管理指定工場等*","県域*"}))</f>
        <v>0</v>
      </c>
      <c r="HJ18" s="314"/>
      <c r="HL18" s="230">
        <v>9</v>
      </c>
      <c r="HM18" s="714"/>
      <c r="HN18" s="715" t="str">
        <f ca="1">IF(COUNTIF(HN$10:HN17,OFFSET(A1_原単位2024,5,HL18+2))&gt;=1,"",OFFSET(A1_原単位2024,5,HL18+2)&amp;"")</f>
        <v/>
      </c>
      <c r="HO18" s="716" t="str">
        <f t="shared" ca="1" si="49"/>
        <v/>
      </c>
      <c r="HP18" s="717" t="str">
        <f t="shared" ca="1" si="50"/>
        <v/>
      </c>
      <c r="HQ18" s="714"/>
      <c r="HR18" s="715" t="str">
        <f ca="1">IF(COUNTIF(HR$10:HR17,OFFSET(A1_原単位2024,17,HL18+2))&gt;=1,"",OFFSET(A1_原単位2024,17,HL18+2)&amp;"")</f>
        <v/>
      </c>
      <c r="HS18" s="718" t="str">
        <f t="shared" ca="1" si="51"/>
        <v/>
      </c>
      <c r="HT18" s="719" t="str">
        <f t="shared" ca="1" si="52"/>
        <v/>
      </c>
      <c r="HU18" s="714"/>
      <c r="HV18" s="715" t="str">
        <f ca="1">IF(COUNTIF(HV$10:HV17,OFFSET(A1_原単位2024,29,HL18+2))&gt;=1,"",OFFSET(A1_原単位2024,29,HL18+2)&amp;"")</f>
        <v/>
      </c>
      <c r="HW18" s="718" t="str">
        <f t="shared" ca="1" si="53"/>
        <v/>
      </c>
      <c r="HX18" s="719" t="str">
        <f t="shared" ca="1" si="54"/>
        <v/>
      </c>
      <c r="HY18" s="714"/>
      <c r="HZ18" s="715" t="str">
        <f ca="1">IF(COUNTIF(HZ$10:HZ17,OFFSET(A1_原単位2024,41,HL18+2))&gt;=1,"",OFFSET(A1_原単位2024,41,HL18+2)&amp;"")</f>
        <v/>
      </c>
      <c r="IA18" s="720" t="str">
        <f t="shared" ca="1" si="55"/>
        <v/>
      </c>
      <c r="IB18" s="721" t="str">
        <f t="shared" ca="1" si="56"/>
        <v/>
      </c>
      <c r="IE18" s="159" t="str">
        <f t="shared" ca="1" si="57"/>
        <v/>
      </c>
      <c r="IF18" s="159" t="str">
        <f t="shared" ca="1" si="58"/>
        <v/>
      </c>
      <c r="IG18" s="159" t="str">
        <f t="shared" ca="1" si="59"/>
        <v/>
      </c>
      <c r="IH18" s="159" t="str">
        <f t="shared" ca="1" si="60"/>
        <v/>
      </c>
    </row>
    <row r="19" spans="1:242" ht="19.8">
      <c r="A19" s="164"/>
      <c r="B19" s="302"/>
      <c r="C19" s="303" t="s">
        <v>454</v>
      </c>
      <c r="D19" s="304"/>
      <c r="E19" s="305"/>
      <c r="F19" s="303" t="s">
        <v>453</v>
      </c>
      <c r="G19" s="306">
        <v>33.4</v>
      </c>
      <c r="H19" s="307">
        <v>1.8700000000000001E-2</v>
      </c>
      <c r="I19" s="310"/>
      <c r="J19" s="315"/>
      <c r="K19" s="310"/>
      <c r="L19" s="311"/>
      <c r="M19" s="311"/>
      <c r="N19" s="309"/>
      <c r="O19" s="310"/>
      <c r="P19" s="311"/>
      <c r="Q19" s="311"/>
      <c r="R19" s="309"/>
      <c r="S19" s="310"/>
      <c r="T19" s="311"/>
      <c r="U19" s="311"/>
      <c r="V19" s="309"/>
      <c r="W19" s="310"/>
      <c r="X19" s="311"/>
      <c r="Y19" s="311"/>
      <c r="Z19" s="309"/>
      <c r="AA19" s="310"/>
      <c r="AB19" s="311"/>
      <c r="AC19" s="311"/>
      <c r="AD19" s="309"/>
      <c r="AE19" s="310"/>
      <c r="AF19" s="311"/>
      <c r="AG19" s="311"/>
      <c r="AH19" s="309"/>
      <c r="AI19" s="310"/>
      <c r="AJ19" s="311"/>
      <c r="AK19" s="311"/>
      <c r="AL19" s="309"/>
      <c r="AM19" s="310"/>
      <c r="AN19" s="311"/>
      <c r="AO19" s="311"/>
      <c r="AP19" s="309"/>
      <c r="AQ19" s="310"/>
      <c r="AR19" s="311"/>
      <c r="AS19" s="311"/>
      <c r="AT19" s="309"/>
      <c r="AU19" s="310"/>
      <c r="AV19" s="311"/>
      <c r="AW19" s="311"/>
      <c r="AX19" s="309"/>
      <c r="AY19" s="310"/>
      <c r="AZ19" s="311"/>
      <c r="BA19" s="311"/>
      <c r="BB19" s="309"/>
      <c r="BC19" s="310"/>
      <c r="BD19" s="311"/>
      <c r="BE19" s="311"/>
      <c r="BF19" s="309"/>
      <c r="BG19" s="310"/>
      <c r="BH19" s="311"/>
      <c r="BI19" s="311"/>
      <c r="BJ19" s="309"/>
      <c r="BK19" s="310"/>
      <c r="BL19" s="311"/>
      <c r="BM19" s="311"/>
      <c r="BN19" s="309"/>
      <c r="BO19" s="310"/>
      <c r="BP19" s="311"/>
      <c r="BQ19" s="311"/>
      <c r="BR19" s="309"/>
      <c r="BS19" s="310"/>
      <c r="BT19" s="311"/>
      <c r="BU19" s="311"/>
      <c r="BV19" s="309"/>
      <c r="BW19" s="310"/>
      <c r="BX19" s="311"/>
      <c r="BY19" s="311"/>
      <c r="BZ19" s="309"/>
      <c r="CA19" s="310"/>
      <c r="CB19" s="311"/>
      <c r="CC19" s="311"/>
      <c r="CD19" s="309"/>
      <c r="CE19" s="310"/>
      <c r="CF19" s="311"/>
      <c r="CG19" s="311"/>
      <c r="CH19" s="309"/>
      <c r="CI19" s="310"/>
      <c r="CJ19" s="311"/>
      <c r="CK19" s="311"/>
      <c r="CL19" s="309"/>
      <c r="CM19" s="310"/>
      <c r="CN19" s="311"/>
      <c r="CO19" s="311"/>
      <c r="CP19" s="309"/>
      <c r="CQ19" s="310"/>
      <c r="CR19" s="311"/>
      <c r="CS19" s="311"/>
      <c r="CT19" s="309"/>
      <c r="CU19" s="310"/>
      <c r="CV19" s="311"/>
      <c r="CW19" s="311"/>
      <c r="CX19" s="309"/>
      <c r="CY19" s="310"/>
      <c r="CZ19" s="311"/>
      <c r="DA19" s="311"/>
      <c r="DB19" s="309"/>
      <c r="DC19" s="310"/>
      <c r="DD19" s="311"/>
      <c r="DE19" s="311"/>
      <c r="DF19" s="309"/>
      <c r="DG19" s="310"/>
      <c r="DH19" s="311"/>
      <c r="DI19" s="311"/>
      <c r="DJ19" s="309"/>
      <c r="DK19" s="310"/>
      <c r="DL19" s="311"/>
      <c r="DM19" s="311"/>
      <c r="DN19" s="309"/>
      <c r="DO19" s="310"/>
      <c r="DP19" s="311"/>
      <c r="DQ19" s="311"/>
      <c r="DR19" s="309"/>
      <c r="DS19" s="310"/>
      <c r="DT19" s="311"/>
      <c r="DU19" s="311"/>
      <c r="DV19" s="309"/>
      <c r="DW19" s="310"/>
      <c r="DX19" s="311"/>
      <c r="DY19" s="311"/>
      <c r="DZ19" s="309"/>
      <c r="EA19" s="310"/>
      <c r="EB19" s="311"/>
      <c r="EC19" s="311"/>
      <c r="ED19" s="309"/>
      <c r="EE19" s="310"/>
      <c r="EF19" s="311"/>
      <c r="EG19" s="311"/>
      <c r="EH19" s="309"/>
      <c r="EI19" s="310"/>
      <c r="EJ19" s="311"/>
      <c r="EK19" s="311"/>
      <c r="EL19" s="309"/>
      <c r="EM19" s="310"/>
      <c r="EN19" s="311"/>
      <c r="EO19" s="311"/>
      <c r="EP19" s="309"/>
      <c r="EQ19" s="310"/>
      <c r="ER19" s="311"/>
      <c r="ES19" s="311"/>
      <c r="ET19" s="309"/>
      <c r="EU19" s="310"/>
      <c r="EV19" s="311"/>
      <c r="EW19" s="311"/>
      <c r="EX19" s="309"/>
      <c r="EY19" s="310"/>
      <c r="EZ19" s="311"/>
      <c r="FA19" s="311"/>
      <c r="FB19" s="309"/>
      <c r="FC19" s="310"/>
      <c r="FD19" s="311"/>
      <c r="FE19" s="311"/>
      <c r="FF19" s="309"/>
      <c r="FG19" s="310"/>
      <c r="FH19" s="311"/>
      <c r="FI19" s="311"/>
      <c r="FJ19" s="309"/>
      <c r="FK19" s="310"/>
      <c r="FL19" s="311"/>
      <c r="FM19" s="311"/>
      <c r="FN19" s="309"/>
      <c r="FO19" s="310"/>
      <c r="FP19" s="311"/>
      <c r="FQ19" s="311"/>
      <c r="FR19" s="309"/>
      <c r="FS19" s="310"/>
      <c r="FT19" s="311"/>
      <c r="FU19" s="311"/>
      <c r="FV19" s="309"/>
      <c r="FW19" s="310"/>
      <c r="FX19" s="311"/>
      <c r="FY19" s="311"/>
      <c r="FZ19" s="309"/>
      <c r="GA19" s="310"/>
      <c r="GB19" s="311"/>
      <c r="GC19" s="311"/>
      <c r="GD19" s="309"/>
      <c r="GE19" s="310"/>
      <c r="GF19" s="311"/>
      <c r="GG19" s="311"/>
      <c r="GH19" s="309"/>
      <c r="GI19" s="310"/>
      <c r="GJ19" s="311"/>
      <c r="GK19" s="311"/>
      <c r="GL19" s="309"/>
      <c r="GM19" s="310"/>
      <c r="GN19" s="311"/>
      <c r="GO19" s="311"/>
      <c r="GP19" s="309"/>
      <c r="GQ19" s="310"/>
      <c r="GR19" s="311"/>
      <c r="GS19" s="311"/>
      <c r="GT19" s="309"/>
      <c r="GU19" s="310"/>
      <c r="GV19" s="311"/>
      <c r="GW19" s="311"/>
      <c r="GX19" s="309"/>
      <c r="GY19" s="310"/>
      <c r="GZ19" s="311"/>
      <c r="HA19" s="311"/>
      <c r="HB19" s="309"/>
      <c r="HC19" s="312">
        <f t="shared" si="62"/>
        <v>0</v>
      </c>
      <c r="HD19" s="313">
        <f t="shared" si="62"/>
        <v>0</v>
      </c>
      <c r="HE19" s="313">
        <f t="shared" si="62"/>
        <v>0</v>
      </c>
      <c r="HF19" s="314"/>
      <c r="HG19" s="312">
        <f>SUM(SUMIFS(K19:HB19,$K$13:$HB$13,{"エネルギー管理指定工場等*","県域*"}))</f>
        <v>0</v>
      </c>
      <c r="HH19" s="313">
        <f>SUM(SUMIFS(L19:HC19,$K$13:$HB$13,{"エネルギー管理指定工場等*","県域*"}))</f>
        <v>0</v>
      </c>
      <c r="HI19" s="313">
        <f>SUM(SUMIFS(M19:HD19,$K$13:$HB$13,{"エネルギー管理指定工場等*","県域*"}))</f>
        <v>0</v>
      </c>
      <c r="HJ19" s="314"/>
      <c r="HL19" s="219">
        <v>10</v>
      </c>
      <c r="HM19" s="714"/>
      <c r="HN19" s="715" t="str">
        <f ca="1">IF(COUNTIF(HN$10:HN18,OFFSET(A1_原単位2024,5,HL19+2))&gt;=1,"",OFFSET(A1_原単位2024,5,HL19+2)&amp;"")</f>
        <v/>
      </c>
      <c r="HO19" s="716" t="str">
        <f t="shared" ca="1" si="49"/>
        <v/>
      </c>
      <c r="HP19" s="717" t="str">
        <f t="shared" ca="1" si="50"/>
        <v/>
      </c>
      <c r="HQ19" s="714"/>
      <c r="HR19" s="715" t="str">
        <f ca="1">IF(COUNTIF(HR$10:HR18,OFFSET(A1_原単位2024,17,HL19+2))&gt;=1,"",OFFSET(A1_原単位2024,17,HL19+2)&amp;"")</f>
        <v/>
      </c>
      <c r="HS19" s="718" t="str">
        <f t="shared" ca="1" si="51"/>
        <v/>
      </c>
      <c r="HT19" s="719" t="str">
        <f t="shared" ca="1" si="52"/>
        <v/>
      </c>
      <c r="HU19" s="714"/>
      <c r="HV19" s="715" t="str">
        <f ca="1">IF(COUNTIF(HV$10:HV18,OFFSET(A1_原単位2024,29,HL19+2))&gt;=1,"",OFFSET(A1_原単位2024,29,HL19+2)&amp;"")</f>
        <v/>
      </c>
      <c r="HW19" s="718" t="str">
        <f t="shared" ca="1" si="53"/>
        <v/>
      </c>
      <c r="HX19" s="719" t="str">
        <f t="shared" ca="1" si="54"/>
        <v/>
      </c>
      <c r="HY19" s="714"/>
      <c r="HZ19" s="715" t="str">
        <f ca="1">IF(COUNTIF(HZ$10:HZ18,OFFSET(A1_原単位2024,41,HL19+2))&gt;=1,"",OFFSET(A1_原単位2024,41,HL19+2)&amp;"")</f>
        <v/>
      </c>
      <c r="IA19" s="720" t="str">
        <f t="shared" ca="1" si="55"/>
        <v/>
      </c>
      <c r="IB19" s="721" t="str">
        <f t="shared" ca="1" si="56"/>
        <v/>
      </c>
      <c r="IE19" s="159" t="str">
        <f t="shared" ca="1" si="57"/>
        <v/>
      </c>
      <c r="IF19" s="159" t="str">
        <f t="shared" ca="1" si="58"/>
        <v/>
      </c>
      <c r="IG19" s="159" t="str">
        <f t="shared" ca="1" si="59"/>
        <v/>
      </c>
      <c r="IH19" s="159" t="str">
        <f t="shared" ca="1" si="60"/>
        <v/>
      </c>
    </row>
    <row r="20" spans="1:242" ht="19.8">
      <c r="A20" s="164"/>
      <c r="B20" s="302"/>
      <c r="C20" s="303" t="s">
        <v>351</v>
      </c>
      <c r="D20" s="304"/>
      <c r="E20" s="305"/>
      <c r="F20" s="303" t="s">
        <v>453</v>
      </c>
      <c r="G20" s="306">
        <v>33.299999999999997</v>
      </c>
      <c r="H20" s="307">
        <v>1.8599999999999998E-2</v>
      </c>
      <c r="I20" s="308"/>
      <c r="J20" s="309"/>
      <c r="K20" s="310"/>
      <c r="L20" s="311"/>
      <c r="M20" s="311"/>
      <c r="N20" s="309"/>
      <c r="O20" s="310"/>
      <c r="P20" s="311"/>
      <c r="Q20" s="311"/>
      <c r="R20" s="309"/>
      <c r="S20" s="310"/>
      <c r="T20" s="311"/>
      <c r="U20" s="311"/>
      <c r="V20" s="309"/>
      <c r="W20" s="310"/>
      <c r="X20" s="311"/>
      <c r="Y20" s="311"/>
      <c r="Z20" s="309"/>
      <c r="AA20" s="310"/>
      <c r="AB20" s="311"/>
      <c r="AC20" s="311"/>
      <c r="AD20" s="309"/>
      <c r="AE20" s="310"/>
      <c r="AF20" s="311"/>
      <c r="AG20" s="311"/>
      <c r="AH20" s="309"/>
      <c r="AI20" s="310"/>
      <c r="AJ20" s="311"/>
      <c r="AK20" s="311"/>
      <c r="AL20" s="309"/>
      <c r="AM20" s="310"/>
      <c r="AN20" s="311"/>
      <c r="AO20" s="311"/>
      <c r="AP20" s="309"/>
      <c r="AQ20" s="310"/>
      <c r="AR20" s="311"/>
      <c r="AS20" s="311"/>
      <c r="AT20" s="309"/>
      <c r="AU20" s="310"/>
      <c r="AV20" s="311"/>
      <c r="AW20" s="311"/>
      <c r="AX20" s="309"/>
      <c r="AY20" s="310"/>
      <c r="AZ20" s="311"/>
      <c r="BA20" s="311"/>
      <c r="BB20" s="309"/>
      <c r="BC20" s="310"/>
      <c r="BD20" s="311"/>
      <c r="BE20" s="311"/>
      <c r="BF20" s="309"/>
      <c r="BG20" s="310"/>
      <c r="BH20" s="311"/>
      <c r="BI20" s="311"/>
      <c r="BJ20" s="309"/>
      <c r="BK20" s="310"/>
      <c r="BL20" s="311"/>
      <c r="BM20" s="311"/>
      <c r="BN20" s="309"/>
      <c r="BO20" s="310"/>
      <c r="BP20" s="311"/>
      <c r="BQ20" s="311"/>
      <c r="BR20" s="309"/>
      <c r="BS20" s="310"/>
      <c r="BT20" s="311"/>
      <c r="BU20" s="311"/>
      <c r="BV20" s="309"/>
      <c r="BW20" s="310"/>
      <c r="BX20" s="311"/>
      <c r="BY20" s="311"/>
      <c r="BZ20" s="309"/>
      <c r="CA20" s="310"/>
      <c r="CB20" s="311"/>
      <c r="CC20" s="311"/>
      <c r="CD20" s="309"/>
      <c r="CE20" s="310"/>
      <c r="CF20" s="311"/>
      <c r="CG20" s="311"/>
      <c r="CH20" s="309"/>
      <c r="CI20" s="310"/>
      <c r="CJ20" s="311"/>
      <c r="CK20" s="311"/>
      <c r="CL20" s="309"/>
      <c r="CM20" s="310"/>
      <c r="CN20" s="311"/>
      <c r="CO20" s="311"/>
      <c r="CP20" s="309"/>
      <c r="CQ20" s="310"/>
      <c r="CR20" s="311"/>
      <c r="CS20" s="311"/>
      <c r="CT20" s="309"/>
      <c r="CU20" s="310"/>
      <c r="CV20" s="311"/>
      <c r="CW20" s="311"/>
      <c r="CX20" s="309"/>
      <c r="CY20" s="310"/>
      <c r="CZ20" s="311"/>
      <c r="DA20" s="311"/>
      <c r="DB20" s="309"/>
      <c r="DC20" s="310"/>
      <c r="DD20" s="311"/>
      <c r="DE20" s="311"/>
      <c r="DF20" s="309"/>
      <c r="DG20" s="310"/>
      <c r="DH20" s="311"/>
      <c r="DI20" s="311"/>
      <c r="DJ20" s="309"/>
      <c r="DK20" s="310"/>
      <c r="DL20" s="311"/>
      <c r="DM20" s="311"/>
      <c r="DN20" s="309"/>
      <c r="DO20" s="310"/>
      <c r="DP20" s="311"/>
      <c r="DQ20" s="311"/>
      <c r="DR20" s="309"/>
      <c r="DS20" s="310"/>
      <c r="DT20" s="311"/>
      <c r="DU20" s="311"/>
      <c r="DV20" s="309"/>
      <c r="DW20" s="310"/>
      <c r="DX20" s="311"/>
      <c r="DY20" s="311"/>
      <c r="DZ20" s="309"/>
      <c r="EA20" s="310"/>
      <c r="EB20" s="311"/>
      <c r="EC20" s="311"/>
      <c r="ED20" s="309"/>
      <c r="EE20" s="310"/>
      <c r="EF20" s="311"/>
      <c r="EG20" s="311"/>
      <c r="EH20" s="309"/>
      <c r="EI20" s="310"/>
      <c r="EJ20" s="311"/>
      <c r="EK20" s="311"/>
      <c r="EL20" s="309"/>
      <c r="EM20" s="310"/>
      <c r="EN20" s="311"/>
      <c r="EO20" s="311"/>
      <c r="EP20" s="309"/>
      <c r="EQ20" s="310"/>
      <c r="ER20" s="311"/>
      <c r="ES20" s="311"/>
      <c r="ET20" s="309"/>
      <c r="EU20" s="310"/>
      <c r="EV20" s="311"/>
      <c r="EW20" s="311"/>
      <c r="EX20" s="309"/>
      <c r="EY20" s="310"/>
      <c r="EZ20" s="311"/>
      <c r="FA20" s="311"/>
      <c r="FB20" s="309"/>
      <c r="FC20" s="310"/>
      <c r="FD20" s="311"/>
      <c r="FE20" s="311"/>
      <c r="FF20" s="309"/>
      <c r="FG20" s="310"/>
      <c r="FH20" s="311"/>
      <c r="FI20" s="311"/>
      <c r="FJ20" s="309"/>
      <c r="FK20" s="310"/>
      <c r="FL20" s="311"/>
      <c r="FM20" s="311"/>
      <c r="FN20" s="309"/>
      <c r="FO20" s="310"/>
      <c r="FP20" s="311"/>
      <c r="FQ20" s="311"/>
      <c r="FR20" s="309"/>
      <c r="FS20" s="310"/>
      <c r="FT20" s="311"/>
      <c r="FU20" s="311"/>
      <c r="FV20" s="309"/>
      <c r="FW20" s="310"/>
      <c r="FX20" s="311"/>
      <c r="FY20" s="311"/>
      <c r="FZ20" s="309"/>
      <c r="GA20" s="310"/>
      <c r="GB20" s="311"/>
      <c r="GC20" s="311"/>
      <c r="GD20" s="309"/>
      <c r="GE20" s="310"/>
      <c r="GF20" s="311"/>
      <c r="GG20" s="311"/>
      <c r="GH20" s="309"/>
      <c r="GI20" s="310"/>
      <c r="GJ20" s="311"/>
      <c r="GK20" s="311"/>
      <c r="GL20" s="309"/>
      <c r="GM20" s="310"/>
      <c r="GN20" s="311"/>
      <c r="GO20" s="311"/>
      <c r="GP20" s="309"/>
      <c r="GQ20" s="310"/>
      <c r="GR20" s="311"/>
      <c r="GS20" s="311"/>
      <c r="GT20" s="309"/>
      <c r="GU20" s="310"/>
      <c r="GV20" s="311"/>
      <c r="GW20" s="311"/>
      <c r="GX20" s="309"/>
      <c r="GY20" s="310"/>
      <c r="GZ20" s="311"/>
      <c r="HA20" s="311"/>
      <c r="HB20" s="309"/>
      <c r="HC20" s="312">
        <f t="shared" si="62"/>
        <v>0</v>
      </c>
      <c r="HD20" s="313">
        <f t="shared" si="62"/>
        <v>0</v>
      </c>
      <c r="HE20" s="313">
        <f t="shared" si="62"/>
        <v>0</v>
      </c>
      <c r="HF20" s="314"/>
      <c r="HG20" s="312">
        <f>SUM(SUMIFS(K20:HB20,$K$13:$HB$13,{"エネルギー管理指定工場等*","県域*"}))</f>
        <v>0</v>
      </c>
      <c r="HH20" s="313">
        <f>SUM(SUMIFS(L20:HC20,$K$13:$HB$13,{"エネルギー管理指定工場等*","県域*"}))</f>
        <v>0</v>
      </c>
      <c r="HI20" s="313">
        <f>SUM(SUMIFS(M20:HD20,$K$13:$HB$13,{"エネルギー管理指定工場等*","県域*"}))</f>
        <v>0</v>
      </c>
      <c r="HJ20" s="314"/>
      <c r="HL20" s="230">
        <v>11</v>
      </c>
      <c r="HM20" s="714"/>
      <c r="HN20" s="715" t="str">
        <f ca="1">IF(COUNTIF(HN$10:HN19,OFFSET(A1_原単位2024,5,HL20+2))&gt;=1,"",OFFSET(A1_原単位2024,5,HL20+2)&amp;"")</f>
        <v/>
      </c>
      <c r="HO20" s="716" t="str">
        <f t="shared" ca="1" si="49"/>
        <v/>
      </c>
      <c r="HP20" s="717" t="str">
        <f t="shared" ca="1" si="50"/>
        <v/>
      </c>
      <c r="HQ20" s="714"/>
      <c r="HR20" s="715" t="str">
        <f ca="1">IF(COUNTIF(HR$10:HR19,OFFSET(A1_原単位2024,17,HL20+2))&gt;=1,"",OFFSET(A1_原単位2024,17,HL20+2)&amp;"")</f>
        <v/>
      </c>
      <c r="HS20" s="718" t="str">
        <f t="shared" ca="1" si="51"/>
        <v/>
      </c>
      <c r="HT20" s="719" t="str">
        <f t="shared" ca="1" si="52"/>
        <v/>
      </c>
      <c r="HU20" s="714"/>
      <c r="HV20" s="715" t="str">
        <f ca="1">IF(COUNTIF(HV$10:HV19,OFFSET(A1_原単位2024,29,HL20+2))&gt;=1,"",OFFSET(A1_原単位2024,29,HL20+2)&amp;"")</f>
        <v/>
      </c>
      <c r="HW20" s="718" t="str">
        <f t="shared" ca="1" si="53"/>
        <v/>
      </c>
      <c r="HX20" s="719" t="str">
        <f t="shared" ca="1" si="54"/>
        <v/>
      </c>
      <c r="HY20" s="714"/>
      <c r="HZ20" s="715" t="str">
        <f ca="1">IF(COUNTIF(HZ$10:HZ19,OFFSET(A1_原単位2024,41,HL20+2))&gt;=1,"",OFFSET(A1_原単位2024,41,HL20+2)&amp;"")</f>
        <v/>
      </c>
      <c r="IA20" s="720" t="str">
        <f t="shared" ca="1" si="55"/>
        <v/>
      </c>
      <c r="IB20" s="721" t="str">
        <f t="shared" ca="1" si="56"/>
        <v/>
      </c>
      <c r="IE20" s="159" t="str">
        <f t="shared" ca="1" si="57"/>
        <v/>
      </c>
      <c r="IF20" s="159" t="str">
        <f t="shared" ca="1" si="58"/>
        <v/>
      </c>
      <c r="IG20" s="159" t="str">
        <f t="shared" ca="1" si="59"/>
        <v/>
      </c>
      <c r="IH20" s="159" t="str">
        <f t="shared" ca="1" si="60"/>
        <v/>
      </c>
    </row>
    <row r="21" spans="1:242" ht="19.8">
      <c r="A21" s="164"/>
      <c r="B21" s="302"/>
      <c r="C21" s="303" t="s">
        <v>575</v>
      </c>
      <c r="D21" s="304"/>
      <c r="E21" s="305"/>
      <c r="F21" s="303" t="s">
        <v>453</v>
      </c>
      <c r="G21" s="306">
        <v>36.299999999999997</v>
      </c>
      <c r="H21" s="307">
        <v>1.8599999999999998E-2</v>
      </c>
      <c r="I21" s="310"/>
      <c r="J21" s="315"/>
      <c r="K21" s="310"/>
      <c r="L21" s="311"/>
      <c r="M21" s="311"/>
      <c r="N21" s="309"/>
      <c r="O21" s="310"/>
      <c r="P21" s="311"/>
      <c r="Q21" s="311"/>
      <c r="R21" s="309"/>
      <c r="S21" s="310"/>
      <c r="T21" s="311"/>
      <c r="U21" s="311"/>
      <c r="V21" s="309"/>
      <c r="W21" s="310"/>
      <c r="X21" s="311"/>
      <c r="Y21" s="311"/>
      <c r="Z21" s="309"/>
      <c r="AA21" s="310"/>
      <c r="AB21" s="311"/>
      <c r="AC21" s="311"/>
      <c r="AD21" s="309"/>
      <c r="AE21" s="310"/>
      <c r="AF21" s="311"/>
      <c r="AG21" s="311"/>
      <c r="AH21" s="309"/>
      <c r="AI21" s="310"/>
      <c r="AJ21" s="311"/>
      <c r="AK21" s="311"/>
      <c r="AL21" s="309"/>
      <c r="AM21" s="310"/>
      <c r="AN21" s="311"/>
      <c r="AO21" s="311"/>
      <c r="AP21" s="309"/>
      <c r="AQ21" s="310"/>
      <c r="AR21" s="311"/>
      <c r="AS21" s="311"/>
      <c r="AT21" s="309"/>
      <c r="AU21" s="310"/>
      <c r="AV21" s="311"/>
      <c r="AW21" s="311"/>
      <c r="AX21" s="309"/>
      <c r="AY21" s="310"/>
      <c r="AZ21" s="311"/>
      <c r="BA21" s="311"/>
      <c r="BB21" s="309"/>
      <c r="BC21" s="310"/>
      <c r="BD21" s="311"/>
      <c r="BE21" s="311"/>
      <c r="BF21" s="309"/>
      <c r="BG21" s="310"/>
      <c r="BH21" s="311"/>
      <c r="BI21" s="311"/>
      <c r="BJ21" s="309"/>
      <c r="BK21" s="310"/>
      <c r="BL21" s="311"/>
      <c r="BM21" s="311"/>
      <c r="BN21" s="309"/>
      <c r="BO21" s="310"/>
      <c r="BP21" s="311"/>
      <c r="BQ21" s="311"/>
      <c r="BR21" s="309"/>
      <c r="BS21" s="310"/>
      <c r="BT21" s="311"/>
      <c r="BU21" s="311"/>
      <c r="BV21" s="309"/>
      <c r="BW21" s="310"/>
      <c r="BX21" s="311"/>
      <c r="BY21" s="311"/>
      <c r="BZ21" s="309"/>
      <c r="CA21" s="310"/>
      <c r="CB21" s="311"/>
      <c r="CC21" s="311"/>
      <c r="CD21" s="309"/>
      <c r="CE21" s="310"/>
      <c r="CF21" s="311"/>
      <c r="CG21" s="311"/>
      <c r="CH21" s="309"/>
      <c r="CI21" s="310"/>
      <c r="CJ21" s="311"/>
      <c r="CK21" s="311"/>
      <c r="CL21" s="309"/>
      <c r="CM21" s="310"/>
      <c r="CN21" s="311"/>
      <c r="CO21" s="311"/>
      <c r="CP21" s="309"/>
      <c r="CQ21" s="310"/>
      <c r="CR21" s="311"/>
      <c r="CS21" s="311"/>
      <c r="CT21" s="309"/>
      <c r="CU21" s="310"/>
      <c r="CV21" s="311"/>
      <c r="CW21" s="311"/>
      <c r="CX21" s="309"/>
      <c r="CY21" s="310"/>
      <c r="CZ21" s="311"/>
      <c r="DA21" s="311"/>
      <c r="DB21" s="309"/>
      <c r="DC21" s="310"/>
      <c r="DD21" s="311"/>
      <c r="DE21" s="311"/>
      <c r="DF21" s="309"/>
      <c r="DG21" s="310"/>
      <c r="DH21" s="311"/>
      <c r="DI21" s="311"/>
      <c r="DJ21" s="309"/>
      <c r="DK21" s="310"/>
      <c r="DL21" s="311"/>
      <c r="DM21" s="311"/>
      <c r="DN21" s="309"/>
      <c r="DO21" s="310"/>
      <c r="DP21" s="311"/>
      <c r="DQ21" s="311"/>
      <c r="DR21" s="309"/>
      <c r="DS21" s="310"/>
      <c r="DT21" s="311"/>
      <c r="DU21" s="311"/>
      <c r="DV21" s="309"/>
      <c r="DW21" s="310"/>
      <c r="DX21" s="311"/>
      <c r="DY21" s="311"/>
      <c r="DZ21" s="309"/>
      <c r="EA21" s="310"/>
      <c r="EB21" s="311"/>
      <c r="EC21" s="311"/>
      <c r="ED21" s="309"/>
      <c r="EE21" s="310"/>
      <c r="EF21" s="311"/>
      <c r="EG21" s="311"/>
      <c r="EH21" s="309"/>
      <c r="EI21" s="310"/>
      <c r="EJ21" s="311"/>
      <c r="EK21" s="311"/>
      <c r="EL21" s="309"/>
      <c r="EM21" s="310"/>
      <c r="EN21" s="311"/>
      <c r="EO21" s="311"/>
      <c r="EP21" s="309"/>
      <c r="EQ21" s="310"/>
      <c r="ER21" s="311"/>
      <c r="ES21" s="311"/>
      <c r="ET21" s="309"/>
      <c r="EU21" s="310"/>
      <c r="EV21" s="311"/>
      <c r="EW21" s="311"/>
      <c r="EX21" s="309"/>
      <c r="EY21" s="310"/>
      <c r="EZ21" s="311"/>
      <c r="FA21" s="311"/>
      <c r="FB21" s="309"/>
      <c r="FC21" s="310"/>
      <c r="FD21" s="311"/>
      <c r="FE21" s="311"/>
      <c r="FF21" s="309"/>
      <c r="FG21" s="310"/>
      <c r="FH21" s="311"/>
      <c r="FI21" s="311"/>
      <c r="FJ21" s="309"/>
      <c r="FK21" s="310"/>
      <c r="FL21" s="311"/>
      <c r="FM21" s="311"/>
      <c r="FN21" s="309"/>
      <c r="FO21" s="310"/>
      <c r="FP21" s="311"/>
      <c r="FQ21" s="311"/>
      <c r="FR21" s="309"/>
      <c r="FS21" s="310"/>
      <c r="FT21" s="311"/>
      <c r="FU21" s="311"/>
      <c r="FV21" s="309"/>
      <c r="FW21" s="310"/>
      <c r="FX21" s="311"/>
      <c r="FY21" s="311"/>
      <c r="FZ21" s="309"/>
      <c r="GA21" s="310"/>
      <c r="GB21" s="311"/>
      <c r="GC21" s="311"/>
      <c r="GD21" s="309"/>
      <c r="GE21" s="310"/>
      <c r="GF21" s="311"/>
      <c r="GG21" s="311"/>
      <c r="GH21" s="309"/>
      <c r="GI21" s="310"/>
      <c r="GJ21" s="311"/>
      <c r="GK21" s="311"/>
      <c r="GL21" s="309"/>
      <c r="GM21" s="310"/>
      <c r="GN21" s="311"/>
      <c r="GO21" s="311"/>
      <c r="GP21" s="309"/>
      <c r="GQ21" s="310"/>
      <c r="GR21" s="311"/>
      <c r="GS21" s="311"/>
      <c r="GT21" s="309"/>
      <c r="GU21" s="310"/>
      <c r="GV21" s="311"/>
      <c r="GW21" s="311"/>
      <c r="GX21" s="309"/>
      <c r="GY21" s="310"/>
      <c r="GZ21" s="311"/>
      <c r="HA21" s="311"/>
      <c r="HB21" s="309"/>
      <c r="HC21" s="312">
        <f t="shared" si="62"/>
        <v>0</v>
      </c>
      <c r="HD21" s="313">
        <f t="shared" si="62"/>
        <v>0</v>
      </c>
      <c r="HE21" s="313">
        <f t="shared" si="62"/>
        <v>0</v>
      </c>
      <c r="HF21" s="314"/>
      <c r="HG21" s="312">
        <f>SUM(SUMIFS(K21:HB21,$K$13:$HB$13,{"エネルギー管理指定工場等*","県域*"}))</f>
        <v>0</v>
      </c>
      <c r="HH21" s="313">
        <f>SUM(SUMIFS(L21:HC21,$K$13:$HB$13,{"エネルギー管理指定工場等*","県域*"}))</f>
        <v>0</v>
      </c>
      <c r="HI21" s="313">
        <f>SUM(SUMIFS(M21:HD21,$K$13:$HB$13,{"エネルギー管理指定工場等*","県域*"}))</f>
        <v>0</v>
      </c>
      <c r="HJ21" s="314"/>
      <c r="HL21" s="219">
        <v>12</v>
      </c>
      <c r="HM21" s="714"/>
      <c r="HN21" s="715" t="str">
        <f ca="1">IF(COUNTIF(HN$10:HN20,OFFSET(A1_原単位2024,5,HL21+2))&gt;=1,"",OFFSET(A1_原単位2024,5,HL21+2)&amp;"")</f>
        <v/>
      </c>
      <c r="HO21" s="716" t="str">
        <f t="shared" ca="1" si="49"/>
        <v/>
      </c>
      <c r="HP21" s="717" t="str">
        <f t="shared" ca="1" si="50"/>
        <v/>
      </c>
      <c r="HQ21" s="714"/>
      <c r="HR21" s="715" t="str">
        <f ca="1">IF(COUNTIF(HR$10:HR20,OFFSET(A1_原単位2024,17,HL21+2))&gt;=1,"",OFFSET(A1_原単位2024,17,HL21+2)&amp;"")</f>
        <v/>
      </c>
      <c r="HS21" s="718" t="str">
        <f t="shared" ca="1" si="51"/>
        <v/>
      </c>
      <c r="HT21" s="719" t="str">
        <f t="shared" ca="1" si="52"/>
        <v/>
      </c>
      <c r="HU21" s="714"/>
      <c r="HV21" s="715" t="str">
        <f ca="1">IF(COUNTIF(HV$10:HV20,OFFSET(A1_原単位2024,29,HL21+2))&gt;=1,"",OFFSET(A1_原単位2024,29,HL21+2)&amp;"")</f>
        <v/>
      </c>
      <c r="HW21" s="718" t="str">
        <f t="shared" ca="1" si="53"/>
        <v/>
      </c>
      <c r="HX21" s="719" t="str">
        <f t="shared" ca="1" si="54"/>
        <v/>
      </c>
      <c r="HY21" s="714"/>
      <c r="HZ21" s="715" t="str">
        <f ca="1">IF(COUNTIF(HZ$10:HZ20,OFFSET(A1_原単位2024,41,HL21+2))&gt;=1,"",OFFSET(A1_原単位2024,41,HL21+2)&amp;"")</f>
        <v/>
      </c>
      <c r="IA21" s="720" t="str">
        <f t="shared" ca="1" si="55"/>
        <v/>
      </c>
      <c r="IB21" s="721" t="str">
        <f t="shared" ca="1" si="56"/>
        <v/>
      </c>
      <c r="IE21" s="159" t="str">
        <f t="shared" ca="1" si="57"/>
        <v/>
      </c>
      <c r="IF21" s="159" t="str">
        <f t="shared" ca="1" si="58"/>
        <v/>
      </c>
      <c r="IG21" s="159" t="str">
        <f t="shared" ca="1" si="59"/>
        <v/>
      </c>
      <c r="IH21" s="159" t="str">
        <f t="shared" ca="1" si="60"/>
        <v/>
      </c>
    </row>
    <row r="22" spans="1:242" ht="19.8">
      <c r="A22" s="164"/>
      <c r="B22" s="302"/>
      <c r="C22" s="303" t="s">
        <v>353</v>
      </c>
      <c r="D22" s="304"/>
      <c r="E22" s="305"/>
      <c r="F22" s="303" t="s">
        <v>453</v>
      </c>
      <c r="G22" s="306">
        <v>36.5</v>
      </c>
      <c r="H22" s="307">
        <v>1.8700000000000001E-2</v>
      </c>
      <c r="I22" s="308"/>
      <c r="J22" s="309"/>
      <c r="K22" s="310"/>
      <c r="L22" s="311"/>
      <c r="M22" s="311"/>
      <c r="N22" s="309"/>
      <c r="O22" s="310"/>
      <c r="P22" s="311"/>
      <c r="Q22" s="311"/>
      <c r="R22" s="309"/>
      <c r="S22" s="310"/>
      <c r="T22" s="311"/>
      <c r="U22" s="311"/>
      <c r="V22" s="309"/>
      <c r="W22" s="310"/>
      <c r="X22" s="311"/>
      <c r="Y22" s="311"/>
      <c r="Z22" s="309"/>
      <c r="AA22" s="310"/>
      <c r="AB22" s="311"/>
      <c r="AC22" s="311"/>
      <c r="AD22" s="309"/>
      <c r="AE22" s="310"/>
      <c r="AF22" s="311"/>
      <c r="AG22" s="311"/>
      <c r="AH22" s="309"/>
      <c r="AI22" s="310"/>
      <c r="AJ22" s="311"/>
      <c r="AK22" s="311"/>
      <c r="AL22" s="309"/>
      <c r="AM22" s="310"/>
      <c r="AN22" s="311"/>
      <c r="AO22" s="311"/>
      <c r="AP22" s="309"/>
      <c r="AQ22" s="310"/>
      <c r="AR22" s="311"/>
      <c r="AS22" s="311"/>
      <c r="AT22" s="309"/>
      <c r="AU22" s="310"/>
      <c r="AV22" s="311"/>
      <c r="AW22" s="311"/>
      <c r="AX22" s="309"/>
      <c r="AY22" s="310"/>
      <c r="AZ22" s="311"/>
      <c r="BA22" s="311"/>
      <c r="BB22" s="309"/>
      <c r="BC22" s="310"/>
      <c r="BD22" s="311"/>
      <c r="BE22" s="311"/>
      <c r="BF22" s="309"/>
      <c r="BG22" s="310"/>
      <c r="BH22" s="311"/>
      <c r="BI22" s="311"/>
      <c r="BJ22" s="309"/>
      <c r="BK22" s="310"/>
      <c r="BL22" s="311"/>
      <c r="BM22" s="311"/>
      <c r="BN22" s="309"/>
      <c r="BO22" s="310"/>
      <c r="BP22" s="311"/>
      <c r="BQ22" s="311"/>
      <c r="BR22" s="309"/>
      <c r="BS22" s="310"/>
      <c r="BT22" s="311"/>
      <c r="BU22" s="311"/>
      <c r="BV22" s="309"/>
      <c r="BW22" s="310"/>
      <c r="BX22" s="311"/>
      <c r="BY22" s="311"/>
      <c r="BZ22" s="309"/>
      <c r="CA22" s="310"/>
      <c r="CB22" s="311"/>
      <c r="CC22" s="311"/>
      <c r="CD22" s="309"/>
      <c r="CE22" s="310"/>
      <c r="CF22" s="311"/>
      <c r="CG22" s="311"/>
      <c r="CH22" s="309"/>
      <c r="CI22" s="310"/>
      <c r="CJ22" s="311"/>
      <c r="CK22" s="311"/>
      <c r="CL22" s="309"/>
      <c r="CM22" s="310"/>
      <c r="CN22" s="311"/>
      <c r="CO22" s="311"/>
      <c r="CP22" s="309"/>
      <c r="CQ22" s="310"/>
      <c r="CR22" s="311"/>
      <c r="CS22" s="311"/>
      <c r="CT22" s="309"/>
      <c r="CU22" s="310"/>
      <c r="CV22" s="311"/>
      <c r="CW22" s="311"/>
      <c r="CX22" s="309"/>
      <c r="CY22" s="310"/>
      <c r="CZ22" s="311"/>
      <c r="DA22" s="311"/>
      <c r="DB22" s="309"/>
      <c r="DC22" s="310"/>
      <c r="DD22" s="311"/>
      <c r="DE22" s="311"/>
      <c r="DF22" s="309"/>
      <c r="DG22" s="310"/>
      <c r="DH22" s="311"/>
      <c r="DI22" s="311"/>
      <c r="DJ22" s="309"/>
      <c r="DK22" s="310"/>
      <c r="DL22" s="311"/>
      <c r="DM22" s="311"/>
      <c r="DN22" s="309"/>
      <c r="DO22" s="310"/>
      <c r="DP22" s="311"/>
      <c r="DQ22" s="311"/>
      <c r="DR22" s="309"/>
      <c r="DS22" s="310"/>
      <c r="DT22" s="311"/>
      <c r="DU22" s="311"/>
      <c r="DV22" s="309"/>
      <c r="DW22" s="310"/>
      <c r="DX22" s="311"/>
      <c r="DY22" s="311"/>
      <c r="DZ22" s="309"/>
      <c r="EA22" s="310"/>
      <c r="EB22" s="311"/>
      <c r="EC22" s="311"/>
      <c r="ED22" s="309"/>
      <c r="EE22" s="310"/>
      <c r="EF22" s="311"/>
      <c r="EG22" s="311"/>
      <c r="EH22" s="309"/>
      <c r="EI22" s="310"/>
      <c r="EJ22" s="311"/>
      <c r="EK22" s="311"/>
      <c r="EL22" s="309"/>
      <c r="EM22" s="310"/>
      <c r="EN22" s="311"/>
      <c r="EO22" s="311"/>
      <c r="EP22" s="309"/>
      <c r="EQ22" s="310"/>
      <c r="ER22" s="311"/>
      <c r="ES22" s="311"/>
      <c r="ET22" s="309"/>
      <c r="EU22" s="310"/>
      <c r="EV22" s="311"/>
      <c r="EW22" s="311"/>
      <c r="EX22" s="309"/>
      <c r="EY22" s="310"/>
      <c r="EZ22" s="311"/>
      <c r="FA22" s="311"/>
      <c r="FB22" s="309"/>
      <c r="FC22" s="310"/>
      <c r="FD22" s="311"/>
      <c r="FE22" s="311"/>
      <c r="FF22" s="309"/>
      <c r="FG22" s="310"/>
      <c r="FH22" s="311"/>
      <c r="FI22" s="311"/>
      <c r="FJ22" s="309"/>
      <c r="FK22" s="310"/>
      <c r="FL22" s="311"/>
      <c r="FM22" s="311"/>
      <c r="FN22" s="309"/>
      <c r="FO22" s="310"/>
      <c r="FP22" s="311"/>
      <c r="FQ22" s="311"/>
      <c r="FR22" s="309"/>
      <c r="FS22" s="310"/>
      <c r="FT22" s="311"/>
      <c r="FU22" s="311"/>
      <c r="FV22" s="309"/>
      <c r="FW22" s="310"/>
      <c r="FX22" s="311"/>
      <c r="FY22" s="311"/>
      <c r="FZ22" s="309"/>
      <c r="GA22" s="310"/>
      <c r="GB22" s="311"/>
      <c r="GC22" s="311"/>
      <c r="GD22" s="309"/>
      <c r="GE22" s="310"/>
      <c r="GF22" s="311"/>
      <c r="GG22" s="311"/>
      <c r="GH22" s="309"/>
      <c r="GI22" s="310"/>
      <c r="GJ22" s="311"/>
      <c r="GK22" s="311"/>
      <c r="GL22" s="309"/>
      <c r="GM22" s="310"/>
      <c r="GN22" s="311"/>
      <c r="GO22" s="311"/>
      <c r="GP22" s="309"/>
      <c r="GQ22" s="310"/>
      <c r="GR22" s="311"/>
      <c r="GS22" s="311"/>
      <c r="GT22" s="309"/>
      <c r="GU22" s="310"/>
      <c r="GV22" s="311"/>
      <c r="GW22" s="311"/>
      <c r="GX22" s="309"/>
      <c r="GY22" s="310"/>
      <c r="GZ22" s="311"/>
      <c r="HA22" s="311"/>
      <c r="HB22" s="309"/>
      <c r="HC22" s="312">
        <f t="shared" si="62"/>
        <v>0</v>
      </c>
      <c r="HD22" s="313">
        <f t="shared" si="62"/>
        <v>0</v>
      </c>
      <c r="HE22" s="313">
        <f t="shared" si="62"/>
        <v>0</v>
      </c>
      <c r="HF22" s="314"/>
      <c r="HG22" s="312">
        <f>SUM(SUMIFS(K22:HB22,$K$13:$HB$13,{"エネルギー管理指定工場等*","県域*"}))</f>
        <v>0</v>
      </c>
      <c r="HH22" s="313">
        <f>SUM(SUMIFS(L22:HC22,$K$13:$HB$13,{"エネルギー管理指定工場等*","県域*"}))</f>
        <v>0</v>
      </c>
      <c r="HI22" s="313">
        <f>SUM(SUMIFS(M22:HD22,$K$13:$HB$13,{"エネルギー管理指定工場等*","県域*"}))</f>
        <v>0</v>
      </c>
      <c r="HJ22" s="314"/>
      <c r="HL22" s="230">
        <v>13</v>
      </c>
      <c r="HM22" s="714"/>
      <c r="HN22" s="715" t="str">
        <f ca="1">IF(COUNTIF(HN$10:HN21,OFFSET(A1_原単位2024,5,HL22+2))&gt;=1,"",OFFSET(A1_原単位2024,5,HL22+2)&amp;"")</f>
        <v/>
      </c>
      <c r="HO22" s="716" t="str">
        <f t="shared" ca="1" si="49"/>
        <v/>
      </c>
      <c r="HP22" s="717" t="str">
        <f t="shared" ca="1" si="50"/>
        <v/>
      </c>
      <c r="HQ22" s="714"/>
      <c r="HR22" s="715" t="str">
        <f ca="1">IF(COUNTIF(HR$10:HR21,OFFSET(A1_原単位2024,17,HL22+2))&gt;=1,"",OFFSET(A1_原単位2024,17,HL22+2)&amp;"")</f>
        <v/>
      </c>
      <c r="HS22" s="718" t="str">
        <f t="shared" ca="1" si="51"/>
        <v/>
      </c>
      <c r="HT22" s="719" t="str">
        <f t="shared" ca="1" si="52"/>
        <v/>
      </c>
      <c r="HU22" s="714"/>
      <c r="HV22" s="715" t="str">
        <f ca="1">IF(COUNTIF(HV$10:HV21,OFFSET(A1_原単位2024,29,HL22+2))&gt;=1,"",OFFSET(A1_原単位2024,29,HL22+2)&amp;"")</f>
        <v/>
      </c>
      <c r="HW22" s="718" t="str">
        <f t="shared" ca="1" si="53"/>
        <v/>
      </c>
      <c r="HX22" s="719" t="str">
        <f t="shared" ca="1" si="54"/>
        <v/>
      </c>
      <c r="HY22" s="714"/>
      <c r="HZ22" s="715" t="str">
        <f ca="1">IF(COUNTIF(HZ$10:HZ21,OFFSET(A1_原単位2024,41,HL22+2))&gt;=1,"",OFFSET(A1_原単位2024,41,HL22+2)&amp;"")</f>
        <v/>
      </c>
      <c r="IA22" s="720" t="str">
        <f t="shared" ca="1" si="55"/>
        <v/>
      </c>
      <c r="IB22" s="721" t="str">
        <f t="shared" ca="1" si="56"/>
        <v/>
      </c>
      <c r="IE22" s="159" t="str">
        <f t="shared" ca="1" si="57"/>
        <v/>
      </c>
      <c r="IF22" s="159" t="str">
        <f t="shared" ca="1" si="58"/>
        <v/>
      </c>
      <c r="IG22" s="159" t="str">
        <f t="shared" ca="1" si="59"/>
        <v/>
      </c>
      <c r="IH22" s="159" t="str">
        <f t="shared" ca="1" si="60"/>
        <v/>
      </c>
    </row>
    <row r="23" spans="1:242" ht="19.8">
      <c r="A23" s="164"/>
      <c r="B23" s="302"/>
      <c r="C23" s="303" t="s">
        <v>354</v>
      </c>
      <c r="D23" s="304"/>
      <c r="E23" s="305"/>
      <c r="F23" s="303" t="s">
        <v>453</v>
      </c>
      <c r="G23" s="316">
        <v>38</v>
      </c>
      <c r="H23" s="307">
        <v>1.8800000000000001E-2</v>
      </c>
      <c r="I23" s="310"/>
      <c r="J23" s="315"/>
      <c r="K23" s="310"/>
      <c r="L23" s="311"/>
      <c r="M23" s="311"/>
      <c r="N23" s="309"/>
      <c r="O23" s="310"/>
      <c r="P23" s="311"/>
      <c r="Q23" s="311"/>
      <c r="R23" s="309"/>
      <c r="S23" s="310"/>
      <c r="T23" s="311"/>
      <c r="U23" s="311"/>
      <c r="V23" s="309"/>
      <c r="W23" s="310"/>
      <c r="X23" s="311"/>
      <c r="Y23" s="311"/>
      <c r="Z23" s="309"/>
      <c r="AA23" s="310"/>
      <c r="AB23" s="311"/>
      <c r="AC23" s="311"/>
      <c r="AD23" s="309"/>
      <c r="AE23" s="310"/>
      <c r="AF23" s="311"/>
      <c r="AG23" s="311"/>
      <c r="AH23" s="309"/>
      <c r="AI23" s="310"/>
      <c r="AJ23" s="311"/>
      <c r="AK23" s="311"/>
      <c r="AL23" s="309"/>
      <c r="AM23" s="310"/>
      <c r="AN23" s="311"/>
      <c r="AO23" s="311"/>
      <c r="AP23" s="309"/>
      <c r="AQ23" s="310"/>
      <c r="AR23" s="311"/>
      <c r="AS23" s="311"/>
      <c r="AT23" s="309"/>
      <c r="AU23" s="310"/>
      <c r="AV23" s="311"/>
      <c r="AW23" s="311"/>
      <c r="AX23" s="309"/>
      <c r="AY23" s="310"/>
      <c r="AZ23" s="311"/>
      <c r="BA23" s="311"/>
      <c r="BB23" s="309"/>
      <c r="BC23" s="310"/>
      <c r="BD23" s="311"/>
      <c r="BE23" s="311"/>
      <c r="BF23" s="309"/>
      <c r="BG23" s="310"/>
      <c r="BH23" s="311"/>
      <c r="BI23" s="311"/>
      <c r="BJ23" s="309"/>
      <c r="BK23" s="310"/>
      <c r="BL23" s="311"/>
      <c r="BM23" s="311"/>
      <c r="BN23" s="309"/>
      <c r="BO23" s="310"/>
      <c r="BP23" s="311"/>
      <c r="BQ23" s="311"/>
      <c r="BR23" s="309"/>
      <c r="BS23" s="310"/>
      <c r="BT23" s="311"/>
      <c r="BU23" s="311"/>
      <c r="BV23" s="309"/>
      <c r="BW23" s="310"/>
      <c r="BX23" s="311"/>
      <c r="BY23" s="311"/>
      <c r="BZ23" s="309"/>
      <c r="CA23" s="310"/>
      <c r="CB23" s="311"/>
      <c r="CC23" s="311"/>
      <c r="CD23" s="309"/>
      <c r="CE23" s="310"/>
      <c r="CF23" s="311"/>
      <c r="CG23" s="311"/>
      <c r="CH23" s="309"/>
      <c r="CI23" s="310"/>
      <c r="CJ23" s="311"/>
      <c r="CK23" s="311"/>
      <c r="CL23" s="309"/>
      <c r="CM23" s="310"/>
      <c r="CN23" s="311"/>
      <c r="CO23" s="311"/>
      <c r="CP23" s="309"/>
      <c r="CQ23" s="310"/>
      <c r="CR23" s="311"/>
      <c r="CS23" s="311"/>
      <c r="CT23" s="309"/>
      <c r="CU23" s="310"/>
      <c r="CV23" s="311"/>
      <c r="CW23" s="311"/>
      <c r="CX23" s="309"/>
      <c r="CY23" s="310"/>
      <c r="CZ23" s="311"/>
      <c r="DA23" s="311"/>
      <c r="DB23" s="309"/>
      <c r="DC23" s="310"/>
      <c r="DD23" s="311"/>
      <c r="DE23" s="311"/>
      <c r="DF23" s="309"/>
      <c r="DG23" s="310"/>
      <c r="DH23" s="311"/>
      <c r="DI23" s="311"/>
      <c r="DJ23" s="309"/>
      <c r="DK23" s="310"/>
      <c r="DL23" s="311"/>
      <c r="DM23" s="311"/>
      <c r="DN23" s="309"/>
      <c r="DO23" s="310"/>
      <c r="DP23" s="311"/>
      <c r="DQ23" s="311"/>
      <c r="DR23" s="309"/>
      <c r="DS23" s="310"/>
      <c r="DT23" s="311"/>
      <c r="DU23" s="311"/>
      <c r="DV23" s="309"/>
      <c r="DW23" s="310"/>
      <c r="DX23" s="311"/>
      <c r="DY23" s="311"/>
      <c r="DZ23" s="309"/>
      <c r="EA23" s="310"/>
      <c r="EB23" s="311"/>
      <c r="EC23" s="311"/>
      <c r="ED23" s="309"/>
      <c r="EE23" s="310"/>
      <c r="EF23" s="311"/>
      <c r="EG23" s="311"/>
      <c r="EH23" s="309"/>
      <c r="EI23" s="310"/>
      <c r="EJ23" s="311"/>
      <c r="EK23" s="311"/>
      <c r="EL23" s="309"/>
      <c r="EM23" s="310"/>
      <c r="EN23" s="311"/>
      <c r="EO23" s="311"/>
      <c r="EP23" s="309"/>
      <c r="EQ23" s="310"/>
      <c r="ER23" s="311"/>
      <c r="ES23" s="311"/>
      <c r="ET23" s="309"/>
      <c r="EU23" s="310"/>
      <c r="EV23" s="311"/>
      <c r="EW23" s="311"/>
      <c r="EX23" s="309"/>
      <c r="EY23" s="310"/>
      <c r="EZ23" s="311"/>
      <c r="FA23" s="311"/>
      <c r="FB23" s="309"/>
      <c r="FC23" s="310"/>
      <c r="FD23" s="311"/>
      <c r="FE23" s="311"/>
      <c r="FF23" s="309"/>
      <c r="FG23" s="310"/>
      <c r="FH23" s="311"/>
      <c r="FI23" s="311"/>
      <c r="FJ23" s="309"/>
      <c r="FK23" s="310"/>
      <c r="FL23" s="311"/>
      <c r="FM23" s="311"/>
      <c r="FN23" s="309"/>
      <c r="FO23" s="310"/>
      <c r="FP23" s="311"/>
      <c r="FQ23" s="311"/>
      <c r="FR23" s="309"/>
      <c r="FS23" s="310"/>
      <c r="FT23" s="311"/>
      <c r="FU23" s="311"/>
      <c r="FV23" s="309"/>
      <c r="FW23" s="310"/>
      <c r="FX23" s="311"/>
      <c r="FY23" s="311"/>
      <c r="FZ23" s="309"/>
      <c r="GA23" s="310"/>
      <c r="GB23" s="311"/>
      <c r="GC23" s="311"/>
      <c r="GD23" s="309"/>
      <c r="GE23" s="310"/>
      <c r="GF23" s="311"/>
      <c r="GG23" s="311"/>
      <c r="GH23" s="309"/>
      <c r="GI23" s="310"/>
      <c r="GJ23" s="311"/>
      <c r="GK23" s="311"/>
      <c r="GL23" s="309"/>
      <c r="GM23" s="310"/>
      <c r="GN23" s="311"/>
      <c r="GO23" s="311"/>
      <c r="GP23" s="309"/>
      <c r="GQ23" s="310"/>
      <c r="GR23" s="311"/>
      <c r="GS23" s="311"/>
      <c r="GT23" s="309"/>
      <c r="GU23" s="310"/>
      <c r="GV23" s="311"/>
      <c r="GW23" s="311"/>
      <c r="GX23" s="309"/>
      <c r="GY23" s="310"/>
      <c r="GZ23" s="311"/>
      <c r="HA23" s="311"/>
      <c r="HB23" s="309"/>
      <c r="HC23" s="312">
        <f t="shared" si="62"/>
        <v>0</v>
      </c>
      <c r="HD23" s="313">
        <f t="shared" si="62"/>
        <v>0</v>
      </c>
      <c r="HE23" s="313">
        <f t="shared" si="62"/>
        <v>0</v>
      </c>
      <c r="HF23" s="314"/>
      <c r="HG23" s="312">
        <f>SUM(SUMIFS(K23:HB23,$K$13:$HB$13,{"エネルギー管理指定工場等*","県域*"}))</f>
        <v>0</v>
      </c>
      <c r="HH23" s="313">
        <f>SUM(SUMIFS(L23:HC23,$K$13:$HB$13,{"エネルギー管理指定工場等*","県域*"}))</f>
        <v>0</v>
      </c>
      <c r="HI23" s="313">
        <f>SUM(SUMIFS(M23:HD23,$K$13:$HB$13,{"エネルギー管理指定工場等*","県域*"}))</f>
        <v>0</v>
      </c>
      <c r="HJ23" s="314"/>
      <c r="HL23" s="219">
        <v>14</v>
      </c>
      <c r="HM23" s="714"/>
      <c r="HN23" s="715" t="str">
        <f ca="1">IF(COUNTIF(HN$10:HN22,OFFSET(A1_原単位2024,5,HL23+2))&gt;=1,"",OFFSET(A1_原単位2024,5,HL23+2)&amp;"")</f>
        <v/>
      </c>
      <c r="HO23" s="716" t="str">
        <f t="shared" ca="1" si="49"/>
        <v/>
      </c>
      <c r="HP23" s="717" t="str">
        <f t="shared" ca="1" si="50"/>
        <v/>
      </c>
      <c r="HQ23" s="714"/>
      <c r="HR23" s="715" t="str">
        <f ca="1">IF(COUNTIF(HR$10:HR22,OFFSET(A1_原単位2024,17,HL23+2))&gt;=1,"",OFFSET(A1_原単位2024,17,HL23+2)&amp;"")</f>
        <v/>
      </c>
      <c r="HS23" s="718" t="str">
        <f t="shared" ca="1" si="51"/>
        <v/>
      </c>
      <c r="HT23" s="719" t="str">
        <f t="shared" ca="1" si="52"/>
        <v/>
      </c>
      <c r="HU23" s="714"/>
      <c r="HV23" s="715" t="str">
        <f ca="1">IF(COUNTIF(HV$10:HV22,OFFSET(A1_原単位2024,29,HL23+2))&gt;=1,"",OFFSET(A1_原単位2024,29,HL23+2)&amp;"")</f>
        <v/>
      </c>
      <c r="HW23" s="718" t="str">
        <f t="shared" ca="1" si="53"/>
        <v/>
      </c>
      <c r="HX23" s="719" t="str">
        <f t="shared" ca="1" si="54"/>
        <v/>
      </c>
      <c r="HY23" s="714"/>
      <c r="HZ23" s="715" t="str">
        <f ca="1">IF(COUNTIF(HZ$10:HZ22,OFFSET(A1_原単位2024,41,HL23+2))&gt;=1,"",OFFSET(A1_原単位2024,41,HL23+2)&amp;"")</f>
        <v/>
      </c>
      <c r="IA23" s="720" t="str">
        <f t="shared" ca="1" si="55"/>
        <v/>
      </c>
      <c r="IB23" s="721" t="str">
        <f t="shared" ca="1" si="56"/>
        <v/>
      </c>
      <c r="IE23" s="159" t="str">
        <f t="shared" ca="1" si="57"/>
        <v/>
      </c>
      <c r="IF23" s="159" t="str">
        <f t="shared" ca="1" si="58"/>
        <v/>
      </c>
      <c r="IG23" s="159" t="str">
        <f t="shared" ca="1" si="59"/>
        <v/>
      </c>
      <c r="IH23" s="159" t="str">
        <f t="shared" ca="1" si="60"/>
        <v/>
      </c>
    </row>
    <row r="24" spans="1:242" ht="19.8">
      <c r="A24" s="164"/>
      <c r="B24" s="302"/>
      <c r="C24" s="303" t="s">
        <v>355</v>
      </c>
      <c r="D24" s="304"/>
      <c r="E24" s="305"/>
      <c r="F24" s="303" t="s">
        <v>453</v>
      </c>
      <c r="G24" s="306">
        <v>38.9</v>
      </c>
      <c r="H24" s="307">
        <v>1.9300000000000001E-2</v>
      </c>
      <c r="I24" s="310"/>
      <c r="J24" s="315"/>
      <c r="K24" s="310"/>
      <c r="L24" s="311"/>
      <c r="M24" s="311"/>
      <c r="N24" s="309"/>
      <c r="O24" s="310"/>
      <c r="P24" s="311"/>
      <c r="Q24" s="311"/>
      <c r="R24" s="309"/>
      <c r="S24" s="310"/>
      <c r="T24" s="311"/>
      <c r="U24" s="311"/>
      <c r="V24" s="309"/>
      <c r="W24" s="310"/>
      <c r="X24" s="311"/>
      <c r="Y24" s="311"/>
      <c r="Z24" s="309"/>
      <c r="AA24" s="310"/>
      <c r="AB24" s="311"/>
      <c r="AC24" s="311"/>
      <c r="AD24" s="309"/>
      <c r="AE24" s="310"/>
      <c r="AF24" s="311"/>
      <c r="AG24" s="311"/>
      <c r="AH24" s="309"/>
      <c r="AI24" s="310"/>
      <c r="AJ24" s="311"/>
      <c r="AK24" s="311"/>
      <c r="AL24" s="309"/>
      <c r="AM24" s="310"/>
      <c r="AN24" s="311"/>
      <c r="AO24" s="311"/>
      <c r="AP24" s="309"/>
      <c r="AQ24" s="310"/>
      <c r="AR24" s="311"/>
      <c r="AS24" s="311"/>
      <c r="AT24" s="309"/>
      <c r="AU24" s="310"/>
      <c r="AV24" s="311"/>
      <c r="AW24" s="311"/>
      <c r="AX24" s="309"/>
      <c r="AY24" s="310"/>
      <c r="AZ24" s="311"/>
      <c r="BA24" s="311"/>
      <c r="BB24" s="309"/>
      <c r="BC24" s="310"/>
      <c r="BD24" s="311"/>
      <c r="BE24" s="311"/>
      <c r="BF24" s="309"/>
      <c r="BG24" s="310"/>
      <c r="BH24" s="311"/>
      <c r="BI24" s="311"/>
      <c r="BJ24" s="309"/>
      <c r="BK24" s="310"/>
      <c r="BL24" s="311"/>
      <c r="BM24" s="311"/>
      <c r="BN24" s="309"/>
      <c r="BO24" s="310"/>
      <c r="BP24" s="311"/>
      <c r="BQ24" s="311"/>
      <c r="BR24" s="309"/>
      <c r="BS24" s="310"/>
      <c r="BT24" s="311"/>
      <c r="BU24" s="311"/>
      <c r="BV24" s="309"/>
      <c r="BW24" s="310"/>
      <c r="BX24" s="311"/>
      <c r="BY24" s="311"/>
      <c r="BZ24" s="309"/>
      <c r="CA24" s="310"/>
      <c r="CB24" s="311"/>
      <c r="CC24" s="311"/>
      <c r="CD24" s="309"/>
      <c r="CE24" s="310"/>
      <c r="CF24" s="311"/>
      <c r="CG24" s="311"/>
      <c r="CH24" s="309"/>
      <c r="CI24" s="310"/>
      <c r="CJ24" s="311"/>
      <c r="CK24" s="311"/>
      <c r="CL24" s="309"/>
      <c r="CM24" s="310"/>
      <c r="CN24" s="311"/>
      <c r="CO24" s="311"/>
      <c r="CP24" s="309"/>
      <c r="CQ24" s="310"/>
      <c r="CR24" s="311"/>
      <c r="CS24" s="311"/>
      <c r="CT24" s="309"/>
      <c r="CU24" s="310"/>
      <c r="CV24" s="311"/>
      <c r="CW24" s="311"/>
      <c r="CX24" s="309"/>
      <c r="CY24" s="310"/>
      <c r="CZ24" s="311"/>
      <c r="DA24" s="311"/>
      <c r="DB24" s="309"/>
      <c r="DC24" s="310"/>
      <c r="DD24" s="311"/>
      <c r="DE24" s="311"/>
      <c r="DF24" s="309"/>
      <c r="DG24" s="310"/>
      <c r="DH24" s="311"/>
      <c r="DI24" s="311"/>
      <c r="DJ24" s="309"/>
      <c r="DK24" s="310"/>
      <c r="DL24" s="311"/>
      <c r="DM24" s="311"/>
      <c r="DN24" s="309"/>
      <c r="DO24" s="310"/>
      <c r="DP24" s="311"/>
      <c r="DQ24" s="311"/>
      <c r="DR24" s="309"/>
      <c r="DS24" s="310"/>
      <c r="DT24" s="311"/>
      <c r="DU24" s="311"/>
      <c r="DV24" s="309"/>
      <c r="DW24" s="310"/>
      <c r="DX24" s="311"/>
      <c r="DY24" s="311"/>
      <c r="DZ24" s="309"/>
      <c r="EA24" s="310"/>
      <c r="EB24" s="311"/>
      <c r="EC24" s="311"/>
      <c r="ED24" s="309"/>
      <c r="EE24" s="310"/>
      <c r="EF24" s="311"/>
      <c r="EG24" s="311"/>
      <c r="EH24" s="309"/>
      <c r="EI24" s="310"/>
      <c r="EJ24" s="311"/>
      <c r="EK24" s="311"/>
      <c r="EL24" s="309"/>
      <c r="EM24" s="310"/>
      <c r="EN24" s="311"/>
      <c r="EO24" s="311"/>
      <c r="EP24" s="309"/>
      <c r="EQ24" s="310"/>
      <c r="ER24" s="311"/>
      <c r="ES24" s="311"/>
      <c r="ET24" s="309"/>
      <c r="EU24" s="310"/>
      <c r="EV24" s="311"/>
      <c r="EW24" s="311"/>
      <c r="EX24" s="309"/>
      <c r="EY24" s="310"/>
      <c r="EZ24" s="311"/>
      <c r="FA24" s="311"/>
      <c r="FB24" s="309"/>
      <c r="FC24" s="310"/>
      <c r="FD24" s="311"/>
      <c r="FE24" s="311"/>
      <c r="FF24" s="309"/>
      <c r="FG24" s="310"/>
      <c r="FH24" s="311"/>
      <c r="FI24" s="311"/>
      <c r="FJ24" s="309"/>
      <c r="FK24" s="310"/>
      <c r="FL24" s="311"/>
      <c r="FM24" s="311"/>
      <c r="FN24" s="309"/>
      <c r="FO24" s="310"/>
      <c r="FP24" s="311"/>
      <c r="FQ24" s="311"/>
      <c r="FR24" s="309"/>
      <c r="FS24" s="310"/>
      <c r="FT24" s="311"/>
      <c r="FU24" s="311"/>
      <c r="FV24" s="309"/>
      <c r="FW24" s="310"/>
      <c r="FX24" s="311"/>
      <c r="FY24" s="311"/>
      <c r="FZ24" s="309"/>
      <c r="GA24" s="310"/>
      <c r="GB24" s="311"/>
      <c r="GC24" s="311"/>
      <c r="GD24" s="309"/>
      <c r="GE24" s="310"/>
      <c r="GF24" s="311"/>
      <c r="GG24" s="311"/>
      <c r="GH24" s="309"/>
      <c r="GI24" s="310"/>
      <c r="GJ24" s="311"/>
      <c r="GK24" s="311"/>
      <c r="GL24" s="309"/>
      <c r="GM24" s="310"/>
      <c r="GN24" s="311"/>
      <c r="GO24" s="311"/>
      <c r="GP24" s="309"/>
      <c r="GQ24" s="310"/>
      <c r="GR24" s="311"/>
      <c r="GS24" s="311"/>
      <c r="GT24" s="309"/>
      <c r="GU24" s="310"/>
      <c r="GV24" s="311"/>
      <c r="GW24" s="311"/>
      <c r="GX24" s="309"/>
      <c r="GY24" s="310"/>
      <c r="GZ24" s="311"/>
      <c r="HA24" s="311"/>
      <c r="HB24" s="309"/>
      <c r="HC24" s="312">
        <f t="shared" si="62"/>
        <v>0</v>
      </c>
      <c r="HD24" s="313">
        <f t="shared" si="62"/>
        <v>0</v>
      </c>
      <c r="HE24" s="313">
        <f t="shared" si="62"/>
        <v>0</v>
      </c>
      <c r="HF24" s="314"/>
      <c r="HG24" s="312">
        <f>SUM(SUMIFS(K24:HB24,$K$13:$HB$13,{"エネルギー管理指定工場等*","県域*"}))</f>
        <v>0</v>
      </c>
      <c r="HH24" s="313">
        <f>SUM(SUMIFS(L24:HC24,$K$13:$HB$13,{"エネルギー管理指定工場等*","県域*"}))</f>
        <v>0</v>
      </c>
      <c r="HI24" s="313">
        <f>SUM(SUMIFS(M24:HD24,$K$13:$HB$13,{"エネルギー管理指定工場等*","県域*"}))</f>
        <v>0</v>
      </c>
      <c r="HJ24" s="314"/>
      <c r="HL24" s="219">
        <v>15</v>
      </c>
      <c r="HM24" s="714"/>
      <c r="HN24" s="715" t="str">
        <f ca="1">IF(COUNTIF(HN$10:HN23,OFFSET(A1_原単位2024,5,HL24+2))&gt;=1,"",OFFSET(A1_原単位2024,5,HL24+2)&amp;"")</f>
        <v/>
      </c>
      <c r="HO24" s="716" t="str">
        <f t="shared" ca="1" si="49"/>
        <v/>
      </c>
      <c r="HP24" s="717" t="str">
        <f t="shared" ca="1" si="50"/>
        <v/>
      </c>
      <c r="HQ24" s="714"/>
      <c r="HR24" s="715" t="str">
        <f ca="1">IF(COUNTIF(HR$10:HR23,OFFSET(A1_原単位2024,17,HL24+2))&gt;=1,"",OFFSET(A1_原単位2024,17,HL24+2)&amp;"")</f>
        <v/>
      </c>
      <c r="HS24" s="718" t="str">
        <f t="shared" ca="1" si="51"/>
        <v/>
      </c>
      <c r="HT24" s="719" t="str">
        <f t="shared" ca="1" si="52"/>
        <v/>
      </c>
      <c r="HU24" s="714"/>
      <c r="HV24" s="715" t="str">
        <f ca="1">IF(COUNTIF(HV$10:HV23,OFFSET(A1_原単位2024,29,HL24+2))&gt;=1,"",OFFSET(A1_原単位2024,29,HL24+2)&amp;"")</f>
        <v/>
      </c>
      <c r="HW24" s="718" t="str">
        <f t="shared" ca="1" si="53"/>
        <v/>
      </c>
      <c r="HX24" s="719" t="str">
        <f t="shared" ca="1" si="54"/>
        <v/>
      </c>
      <c r="HY24" s="714"/>
      <c r="HZ24" s="715" t="str">
        <f ca="1">IF(COUNTIF(HZ$10:HZ23,OFFSET(A1_原単位2024,41,HL24+2))&gt;=1,"",OFFSET(A1_原単位2024,41,HL24+2)&amp;"")</f>
        <v/>
      </c>
      <c r="IA24" s="720" t="str">
        <f t="shared" ca="1" si="55"/>
        <v/>
      </c>
      <c r="IB24" s="721" t="str">
        <f t="shared" ca="1" si="56"/>
        <v/>
      </c>
      <c r="IE24" s="159" t="str">
        <f t="shared" ca="1" si="57"/>
        <v/>
      </c>
      <c r="IF24" s="159" t="str">
        <f t="shared" ca="1" si="58"/>
        <v/>
      </c>
      <c r="IG24" s="159" t="str">
        <f t="shared" ca="1" si="59"/>
        <v/>
      </c>
      <c r="IH24" s="159" t="str">
        <f t="shared" ca="1" si="60"/>
        <v/>
      </c>
    </row>
    <row r="25" spans="1:242" ht="19.8">
      <c r="A25" s="164"/>
      <c r="B25" s="302"/>
      <c r="C25" s="303" t="s">
        <v>356</v>
      </c>
      <c r="D25" s="304"/>
      <c r="E25" s="305"/>
      <c r="F25" s="303" t="s">
        <v>453</v>
      </c>
      <c r="G25" s="306">
        <v>41.8</v>
      </c>
      <c r="H25" s="307">
        <v>2.0199999999999999E-2</v>
      </c>
      <c r="I25" s="310"/>
      <c r="J25" s="315"/>
      <c r="K25" s="310"/>
      <c r="L25" s="311"/>
      <c r="M25" s="311"/>
      <c r="N25" s="309"/>
      <c r="O25" s="310"/>
      <c r="P25" s="311"/>
      <c r="Q25" s="311"/>
      <c r="R25" s="309"/>
      <c r="S25" s="310"/>
      <c r="T25" s="311"/>
      <c r="U25" s="311"/>
      <c r="V25" s="309"/>
      <c r="W25" s="310"/>
      <c r="X25" s="311"/>
      <c r="Y25" s="311"/>
      <c r="Z25" s="309"/>
      <c r="AA25" s="310"/>
      <c r="AB25" s="311"/>
      <c r="AC25" s="311"/>
      <c r="AD25" s="309"/>
      <c r="AE25" s="310"/>
      <c r="AF25" s="311"/>
      <c r="AG25" s="311"/>
      <c r="AH25" s="309"/>
      <c r="AI25" s="310"/>
      <c r="AJ25" s="311"/>
      <c r="AK25" s="311"/>
      <c r="AL25" s="309"/>
      <c r="AM25" s="310"/>
      <c r="AN25" s="311"/>
      <c r="AO25" s="311"/>
      <c r="AP25" s="309"/>
      <c r="AQ25" s="310"/>
      <c r="AR25" s="311"/>
      <c r="AS25" s="311"/>
      <c r="AT25" s="309"/>
      <c r="AU25" s="310"/>
      <c r="AV25" s="311"/>
      <c r="AW25" s="311"/>
      <c r="AX25" s="309"/>
      <c r="AY25" s="310"/>
      <c r="AZ25" s="311"/>
      <c r="BA25" s="311"/>
      <c r="BB25" s="309"/>
      <c r="BC25" s="310"/>
      <c r="BD25" s="311"/>
      <c r="BE25" s="311"/>
      <c r="BF25" s="309"/>
      <c r="BG25" s="310"/>
      <c r="BH25" s="311"/>
      <c r="BI25" s="311"/>
      <c r="BJ25" s="309"/>
      <c r="BK25" s="310"/>
      <c r="BL25" s="311"/>
      <c r="BM25" s="311"/>
      <c r="BN25" s="309"/>
      <c r="BO25" s="310"/>
      <c r="BP25" s="311"/>
      <c r="BQ25" s="311"/>
      <c r="BR25" s="309"/>
      <c r="BS25" s="310"/>
      <c r="BT25" s="311"/>
      <c r="BU25" s="311"/>
      <c r="BV25" s="309"/>
      <c r="BW25" s="310"/>
      <c r="BX25" s="311"/>
      <c r="BY25" s="311"/>
      <c r="BZ25" s="309"/>
      <c r="CA25" s="310"/>
      <c r="CB25" s="311"/>
      <c r="CC25" s="311"/>
      <c r="CD25" s="309"/>
      <c r="CE25" s="310"/>
      <c r="CF25" s="311"/>
      <c r="CG25" s="311"/>
      <c r="CH25" s="309"/>
      <c r="CI25" s="310"/>
      <c r="CJ25" s="311"/>
      <c r="CK25" s="311"/>
      <c r="CL25" s="309"/>
      <c r="CM25" s="310"/>
      <c r="CN25" s="311"/>
      <c r="CO25" s="311"/>
      <c r="CP25" s="309"/>
      <c r="CQ25" s="310"/>
      <c r="CR25" s="311"/>
      <c r="CS25" s="311"/>
      <c r="CT25" s="309"/>
      <c r="CU25" s="310"/>
      <c r="CV25" s="311"/>
      <c r="CW25" s="311"/>
      <c r="CX25" s="309"/>
      <c r="CY25" s="310"/>
      <c r="CZ25" s="311"/>
      <c r="DA25" s="311"/>
      <c r="DB25" s="309"/>
      <c r="DC25" s="310"/>
      <c r="DD25" s="311"/>
      <c r="DE25" s="311"/>
      <c r="DF25" s="309"/>
      <c r="DG25" s="310"/>
      <c r="DH25" s="311"/>
      <c r="DI25" s="311"/>
      <c r="DJ25" s="309"/>
      <c r="DK25" s="310"/>
      <c r="DL25" s="311"/>
      <c r="DM25" s="311"/>
      <c r="DN25" s="309"/>
      <c r="DO25" s="310"/>
      <c r="DP25" s="311"/>
      <c r="DQ25" s="311"/>
      <c r="DR25" s="309"/>
      <c r="DS25" s="310"/>
      <c r="DT25" s="311"/>
      <c r="DU25" s="311"/>
      <c r="DV25" s="309"/>
      <c r="DW25" s="310"/>
      <c r="DX25" s="311"/>
      <c r="DY25" s="311"/>
      <c r="DZ25" s="309"/>
      <c r="EA25" s="310"/>
      <c r="EB25" s="311"/>
      <c r="EC25" s="311"/>
      <c r="ED25" s="309"/>
      <c r="EE25" s="310"/>
      <c r="EF25" s="311"/>
      <c r="EG25" s="311"/>
      <c r="EH25" s="309"/>
      <c r="EI25" s="310"/>
      <c r="EJ25" s="311"/>
      <c r="EK25" s="311"/>
      <c r="EL25" s="309"/>
      <c r="EM25" s="310"/>
      <c r="EN25" s="311"/>
      <c r="EO25" s="311"/>
      <c r="EP25" s="309"/>
      <c r="EQ25" s="310"/>
      <c r="ER25" s="311"/>
      <c r="ES25" s="311"/>
      <c r="ET25" s="309"/>
      <c r="EU25" s="310"/>
      <c r="EV25" s="311"/>
      <c r="EW25" s="311"/>
      <c r="EX25" s="309"/>
      <c r="EY25" s="310"/>
      <c r="EZ25" s="311"/>
      <c r="FA25" s="311"/>
      <c r="FB25" s="309"/>
      <c r="FC25" s="310"/>
      <c r="FD25" s="311"/>
      <c r="FE25" s="311"/>
      <c r="FF25" s="309"/>
      <c r="FG25" s="310"/>
      <c r="FH25" s="311"/>
      <c r="FI25" s="311"/>
      <c r="FJ25" s="309"/>
      <c r="FK25" s="310"/>
      <c r="FL25" s="311"/>
      <c r="FM25" s="311"/>
      <c r="FN25" s="309"/>
      <c r="FO25" s="310"/>
      <c r="FP25" s="311"/>
      <c r="FQ25" s="311"/>
      <c r="FR25" s="309"/>
      <c r="FS25" s="310"/>
      <c r="FT25" s="311"/>
      <c r="FU25" s="311"/>
      <c r="FV25" s="309"/>
      <c r="FW25" s="310"/>
      <c r="FX25" s="311"/>
      <c r="FY25" s="311"/>
      <c r="FZ25" s="309"/>
      <c r="GA25" s="310"/>
      <c r="GB25" s="311"/>
      <c r="GC25" s="311"/>
      <c r="GD25" s="309"/>
      <c r="GE25" s="310"/>
      <c r="GF25" s="311"/>
      <c r="GG25" s="311"/>
      <c r="GH25" s="309"/>
      <c r="GI25" s="310"/>
      <c r="GJ25" s="311"/>
      <c r="GK25" s="311"/>
      <c r="GL25" s="309"/>
      <c r="GM25" s="310"/>
      <c r="GN25" s="311"/>
      <c r="GO25" s="311"/>
      <c r="GP25" s="309"/>
      <c r="GQ25" s="310"/>
      <c r="GR25" s="311"/>
      <c r="GS25" s="311"/>
      <c r="GT25" s="309"/>
      <c r="GU25" s="310"/>
      <c r="GV25" s="311"/>
      <c r="GW25" s="311"/>
      <c r="GX25" s="309"/>
      <c r="GY25" s="310"/>
      <c r="GZ25" s="311"/>
      <c r="HA25" s="311"/>
      <c r="HB25" s="309"/>
      <c r="HC25" s="312">
        <f t="shared" si="62"/>
        <v>0</v>
      </c>
      <c r="HD25" s="313">
        <f t="shared" si="62"/>
        <v>0</v>
      </c>
      <c r="HE25" s="313">
        <f t="shared" si="62"/>
        <v>0</v>
      </c>
      <c r="HF25" s="314"/>
      <c r="HG25" s="312">
        <f>SUM(SUMIFS(K25:HB25,$K$13:$HB$13,{"エネルギー管理指定工場等*","県域*"}))</f>
        <v>0</v>
      </c>
      <c r="HH25" s="313">
        <f>SUM(SUMIFS(L25:HC25,$K$13:$HB$13,{"エネルギー管理指定工場等*","県域*"}))</f>
        <v>0</v>
      </c>
      <c r="HI25" s="313">
        <f>SUM(SUMIFS(M25:HD25,$K$13:$HB$13,{"エネルギー管理指定工場等*","県域*"}))</f>
        <v>0</v>
      </c>
      <c r="HJ25" s="314"/>
      <c r="HL25" s="230">
        <v>16</v>
      </c>
      <c r="HM25" s="714"/>
      <c r="HN25" s="715" t="str">
        <f ca="1">IF(COUNTIF(HN$10:HN24,OFFSET(A1_原単位2024,5,HL25+2))&gt;=1,"",OFFSET(A1_原単位2024,5,HL25+2)&amp;"")</f>
        <v/>
      </c>
      <c r="HO25" s="716" t="str">
        <f t="shared" ca="1" si="49"/>
        <v/>
      </c>
      <c r="HP25" s="717" t="str">
        <f t="shared" ca="1" si="50"/>
        <v/>
      </c>
      <c r="HQ25" s="714"/>
      <c r="HR25" s="715" t="str">
        <f ca="1">IF(COUNTIF(HR$10:HR24,OFFSET(A1_原単位2024,17,HL25+2))&gt;=1,"",OFFSET(A1_原単位2024,17,HL25+2)&amp;"")</f>
        <v/>
      </c>
      <c r="HS25" s="718" t="str">
        <f t="shared" ca="1" si="51"/>
        <v/>
      </c>
      <c r="HT25" s="719" t="str">
        <f t="shared" ca="1" si="52"/>
        <v/>
      </c>
      <c r="HU25" s="714"/>
      <c r="HV25" s="715" t="str">
        <f ca="1">IF(COUNTIF(HV$10:HV24,OFFSET(A1_原単位2024,29,HL25+2))&gt;=1,"",OFFSET(A1_原単位2024,29,HL25+2)&amp;"")</f>
        <v/>
      </c>
      <c r="HW25" s="718" t="str">
        <f t="shared" ca="1" si="53"/>
        <v/>
      </c>
      <c r="HX25" s="719" t="str">
        <f t="shared" ca="1" si="54"/>
        <v/>
      </c>
      <c r="HY25" s="714"/>
      <c r="HZ25" s="715" t="str">
        <f ca="1">IF(COUNTIF(HZ$10:HZ24,OFFSET(A1_原単位2024,41,HL25+2))&gt;=1,"",OFFSET(A1_原単位2024,41,HL25+2)&amp;"")</f>
        <v/>
      </c>
      <c r="IA25" s="720" t="str">
        <f t="shared" ca="1" si="55"/>
        <v/>
      </c>
      <c r="IB25" s="721" t="str">
        <f t="shared" ca="1" si="56"/>
        <v/>
      </c>
      <c r="IE25" s="159" t="str">
        <f t="shared" ca="1" si="57"/>
        <v/>
      </c>
      <c r="IF25" s="159" t="str">
        <f t="shared" ca="1" si="58"/>
        <v/>
      </c>
      <c r="IG25" s="159" t="str">
        <f t="shared" ca="1" si="59"/>
        <v/>
      </c>
      <c r="IH25" s="159" t="str">
        <f t="shared" ca="1" si="60"/>
        <v/>
      </c>
    </row>
    <row r="26" spans="1:242" ht="19.8">
      <c r="A26" s="164"/>
      <c r="B26" s="302"/>
      <c r="C26" s="303" t="s">
        <v>358</v>
      </c>
      <c r="D26" s="304"/>
      <c r="E26" s="305"/>
      <c r="F26" s="303" t="s">
        <v>455</v>
      </c>
      <c r="G26" s="316">
        <v>40</v>
      </c>
      <c r="H26" s="307">
        <v>2.0400000000000001E-2</v>
      </c>
      <c r="I26" s="308"/>
      <c r="J26" s="309"/>
      <c r="K26" s="310"/>
      <c r="L26" s="311"/>
      <c r="M26" s="311"/>
      <c r="N26" s="309"/>
      <c r="O26" s="310"/>
      <c r="P26" s="311"/>
      <c r="Q26" s="311"/>
      <c r="R26" s="309"/>
      <c r="S26" s="310"/>
      <c r="T26" s="311"/>
      <c r="U26" s="311"/>
      <c r="V26" s="309"/>
      <c r="W26" s="310"/>
      <c r="X26" s="311"/>
      <c r="Y26" s="311"/>
      <c r="Z26" s="309"/>
      <c r="AA26" s="310"/>
      <c r="AB26" s="311"/>
      <c r="AC26" s="311"/>
      <c r="AD26" s="309"/>
      <c r="AE26" s="310"/>
      <c r="AF26" s="311"/>
      <c r="AG26" s="311"/>
      <c r="AH26" s="309"/>
      <c r="AI26" s="310"/>
      <c r="AJ26" s="311"/>
      <c r="AK26" s="311"/>
      <c r="AL26" s="309"/>
      <c r="AM26" s="310"/>
      <c r="AN26" s="311"/>
      <c r="AO26" s="311"/>
      <c r="AP26" s="309"/>
      <c r="AQ26" s="310"/>
      <c r="AR26" s="311"/>
      <c r="AS26" s="311"/>
      <c r="AT26" s="309"/>
      <c r="AU26" s="310"/>
      <c r="AV26" s="311"/>
      <c r="AW26" s="311"/>
      <c r="AX26" s="309"/>
      <c r="AY26" s="310"/>
      <c r="AZ26" s="311"/>
      <c r="BA26" s="311"/>
      <c r="BB26" s="309"/>
      <c r="BC26" s="310"/>
      <c r="BD26" s="311"/>
      <c r="BE26" s="311"/>
      <c r="BF26" s="309"/>
      <c r="BG26" s="310"/>
      <c r="BH26" s="311"/>
      <c r="BI26" s="311"/>
      <c r="BJ26" s="309"/>
      <c r="BK26" s="310"/>
      <c r="BL26" s="311"/>
      <c r="BM26" s="311"/>
      <c r="BN26" s="309"/>
      <c r="BO26" s="310"/>
      <c r="BP26" s="311"/>
      <c r="BQ26" s="311"/>
      <c r="BR26" s="309"/>
      <c r="BS26" s="310"/>
      <c r="BT26" s="311"/>
      <c r="BU26" s="311"/>
      <c r="BV26" s="309"/>
      <c r="BW26" s="310"/>
      <c r="BX26" s="311"/>
      <c r="BY26" s="311"/>
      <c r="BZ26" s="309"/>
      <c r="CA26" s="310"/>
      <c r="CB26" s="311"/>
      <c r="CC26" s="311"/>
      <c r="CD26" s="309"/>
      <c r="CE26" s="310"/>
      <c r="CF26" s="311"/>
      <c r="CG26" s="311"/>
      <c r="CH26" s="309"/>
      <c r="CI26" s="310"/>
      <c r="CJ26" s="311"/>
      <c r="CK26" s="311"/>
      <c r="CL26" s="309"/>
      <c r="CM26" s="310"/>
      <c r="CN26" s="311"/>
      <c r="CO26" s="311"/>
      <c r="CP26" s="309"/>
      <c r="CQ26" s="310"/>
      <c r="CR26" s="311"/>
      <c r="CS26" s="311"/>
      <c r="CT26" s="309"/>
      <c r="CU26" s="310"/>
      <c r="CV26" s="311"/>
      <c r="CW26" s="311"/>
      <c r="CX26" s="309"/>
      <c r="CY26" s="310"/>
      <c r="CZ26" s="311"/>
      <c r="DA26" s="311"/>
      <c r="DB26" s="309"/>
      <c r="DC26" s="310"/>
      <c r="DD26" s="311"/>
      <c r="DE26" s="311"/>
      <c r="DF26" s="309"/>
      <c r="DG26" s="310"/>
      <c r="DH26" s="311"/>
      <c r="DI26" s="311"/>
      <c r="DJ26" s="309"/>
      <c r="DK26" s="310"/>
      <c r="DL26" s="311"/>
      <c r="DM26" s="311"/>
      <c r="DN26" s="309"/>
      <c r="DO26" s="310"/>
      <c r="DP26" s="311"/>
      <c r="DQ26" s="311"/>
      <c r="DR26" s="309"/>
      <c r="DS26" s="310"/>
      <c r="DT26" s="311"/>
      <c r="DU26" s="311"/>
      <c r="DV26" s="309"/>
      <c r="DW26" s="310"/>
      <c r="DX26" s="311"/>
      <c r="DY26" s="311"/>
      <c r="DZ26" s="309"/>
      <c r="EA26" s="310"/>
      <c r="EB26" s="311"/>
      <c r="EC26" s="311"/>
      <c r="ED26" s="309"/>
      <c r="EE26" s="310"/>
      <c r="EF26" s="311"/>
      <c r="EG26" s="311"/>
      <c r="EH26" s="309"/>
      <c r="EI26" s="310"/>
      <c r="EJ26" s="311"/>
      <c r="EK26" s="311"/>
      <c r="EL26" s="309"/>
      <c r="EM26" s="310"/>
      <c r="EN26" s="311"/>
      <c r="EO26" s="311"/>
      <c r="EP26" s="309"/>
      <c r="EQ26" s="310"/>
      <c r="ER26" s="311"/>
      <c r="ES26" s="311"/>
      <c r="ET26" s="309"/>
      <c r="EU26" s="310"/>
      <c r="EV26" s="311"/>
      <c r="EW26" s="311"/>
      <c r="EX26" s="309"/>
      <c r="EY26" s="310"/>
      <c r="EZ26" s="311"/>
      <c r="FA26" s="311"/>
      <c r="FB26" s="309"/>
      <c r="FC26" s="310"/>
      <c r="FD26" s="311"/>
      <c r="FE26" s="311"/>
      <c r="FF26" s="309"/>
      <c r="FG26" s="310"/>
      <c r="FH26" s="311"/>
      <c r="FI26" s="311"/>
      <c r="FJ26" s="309"/>
      <c r="FK26" s="310"/>
      <c r="FL26" s="311"/>
      <c r="FM26" s="311"/>
      <c r="FN26" s="309"/>
      <c r="FO26" s="310"/>
      <c r="FP26" s="311"/>
      <c r="FQ26" s="311"/>
      <c r="FR26" s="309"/>
      <c r="FS26" s="310"/>
      <c r="FT26" s="311"/>
      <c r="FU26" s="311"/>
      <c r="FV26" s="309"/>
      <c r="FW26" s="310"/>
      <c r="FX26" s="311"/>
      <c r="FY26" s="311"/>
      <c r="FZ26" s="309"/>
      <c r="GA26" s="310"/>
      <c r="GB26" s="311"/>
      <c r="GC26" s="311"/>
      <c r="GD26" s="309"/>
      <c r="GE26" s="310"/>
      <c r="GF26" s="311"/>
      <c r="GG26" s="311"/>
      <c r="GH26" s="309"/>
      <c r="GI26" s="310"/>
      <c r="GJ26" s="311"/>
      <c r="GK26" s="311"/>
      <c r="GL26" s="309"/>
      <c r="GM26" s="310"/>
      <c r="GN26" s="311"/>
      <c r="GO26" s="311"/>
      <c r="GP26" s="309"/>
      <c r="GQ26" s="310"/>
      <c r="GR26" s="311"/>
      <c r="GS26" s="311"/>
      <c r="GT26" s="309"/>
      <c r="GU26" s="310"/>
      <c r="GV26" s="311"/>
      <c r="GW26" s="311"/>
      <c r="GX26" s="309"/>
      <c r="GY26" s="310"/>
      <c r="GZ26" s="311"/>
      <c r="HA26" s="311"/>
      <c r="HB26" s="309"/>
      <c r="HC26" s="312">
        <f t="shared" si="62"/>
        <v>0</v>
      </c>
      <c r="HD26" s="313">
        <f t="shared" si="62"/>
        <v>0</v>
      </c>
      <c r="HE26" s="313">
        <f t="shared" si="62"/>
        <v>0</v>
      </c>
      <c r="HF26" s="314"/>
      <c r="HG26" s="312">
        <f>SUM(SUMIFS(K26:HB26,$K$13:$HB$13,{"エネルギー管理指定工場等*","県域*"}))</f>
        <v>0</v>
      </c>
      <c r="HH26" s="313">
        <f>SUM(SUMIFS(L26:HC26,$K$13:$HB$13,{"エネルギー管理指定工場等*","県域*"}))</f>
        <v>0</v>
      </c>
      <c r="HI26" s="313">
        <f>SUM(SUMIFS(M26:HD26,$K$13:$HB$13,{"エネルギー管理指定工場等*","県域*"}))</f>
        <v>0</v>
      </c>
      <c r="HJ26" s="314"/>
      <c r="HL26" s="219">
        <v>17</v>
      </c>
      <c r="HM26" s="714"/>
      <c r="HN26" s="715" t="str">
        <f ca="1">IF(COUNTIF(HN$10:HN25,OFFSET(A1_原単位2024,5,HL26+2))&gt;=1,"",OFFSET(A1_原単位2024,5,HL26+2)&amp;"")</f>
        <v/>
      </c>
      <c r="HO26" s="716" t="str">
        <f t="shared" ca="1" si="49"/>
        <v/>
      </c>
      <c r="HP26" s="717" t="str">
        <f t="shared" ca="1" si="50"/>
        <v/>
      </c>
      <c r="HQ26" s="714"/>
      <c r="HR26" s="715" t="str">
        <f ca="1">IF(COUNTIF(HR$10:HR25,OFFSET(A1_原単位2024,17,HL26+2))&gt;=1,"",OFFSET(A1_原単位2024,17,HL26+2)&amp;"")</f>
        <v/>
      </c>
      <c r="HS26" s="718" t="str">
        <f t="shared" ca="1" si="51"/>
        <v/>
      </c>
      <c r="HT26" s="719" t="str">
        <f t="shared" ca="1" si="52"/>
        <v/>
      </c>
      <c r="HU26" s="714"/>
      <c r="HV26" s="715" t="str">
        <f ca="1">IF(COUNTIF(HV$10:HV25,OFFSET(A1_原単位2024,29,HL26+2))&gt;=1,"",OFFSET(A1_原単位2024,29,HL26+2)&amp;"")</f>
        <v/>
      </c>
      <c r="HW26" s="718" t="str">
        <f t="shared" ca="1" si="53"/>
        <v/>
      </c>
      <c r="HX26" s="719" t="str">
        <f t="shared" ca="1" si="54"/>
        <v/>
      </c>
      <c r="HY26" s="714"/>
      <c r="HZ26" s="715" t="str">
        <f ca="1">IF(COUNTIF(HZ$10:HZ25,OFFSET(A1_原単位2024,41,HL26+2))&gt;=1,"",OFFSET(A1_原単位2024,41,HL26+2)&amp;"")</f>
        <v/>
      </c>
      <c r="IA26" s="720" t="str">
        <f t="shared" ca="1" si="55"/>
        <v/>
      </c>
      <c r="IB26" s="721" t="str">
        <f t="shared" ca="1" si="56"/>
        <v/>
      </c>
      <c r="IE26" s="159" t="str">
        <f t="shared" ca="1" si="57"/>
        <v/>
      </c>
      <c r="IF26" s="159" t="str">
        <f t="shared" ca="1" si="58"/>
        <v/>
      </c>
      <c r="IG26" s="159" t="str">
        <f t="shared" ca="1" si="59"/>
        <v/>
      </c>
      <c r="IH26" s="159" t="str">
        <f t="shared" ca="1" si="60"/>
        <v/>
      </c>
    </row>
    <row r="27" spans="1:242" ht="19.8">
      <c r="A27" s="164"/>
      <c r="B27" s="302"/>
      <c r="C27" s="303" t="s">
        <v>359</v>
      </c>
      <c r="D27" s="304"/>
      <c r="E27" s="305"/>
      <c r="F27" s="303" t="s">
        <v>455</v>
      </c>
      <c r="G27" s="306">
        <v>34.1</v>
      </c>
      <c r="H27" s="307">
        <v>2.5399999999999999E-2</v>
      </c>
      <c r="I27" s="308"/>
      <c r="J27" s="309"/>
      <c r="K27" s="310"/>
      <c r="L27" s="311"/>
      <c r="M27" s="311"/>
      <c r="N27" s="309"/>
      <c r="O27" s="310"/>
      <c r="P27" s="311"/>
      <c r="Q27" s="311"/>
      <c r="R27" s="309"/>
      <c r="S27" s="310"/>
      <c r="T27" s="311"/>
      <c r="U27" s="311"/>
      <c r="V27" s="309"/>
      <c r="W27" s="310"/>
      <c r="X27" s="311"/>
      <c r="Y27" s="311"/>
      <c r="Z27" s="309"/>
      <c r="AA27" s="310"/>
      <c r="AB27" s="311"/>
      <c r="AC27" s="311"/>
      <c r="AD27" s="309"/>
      <c r="AE27" s="310"/>
      <c r="AF27" s="311"/>
      <c r="AG27" s="311"/>
      <c r="AH27" s="309"/>
      <c r="AI27" s="310"/>
      <c r="AJ27" s="311"/>
      <c r="AK27" s="311"/>
      <c r="AL27" s="309"/>
      <c r="AM27" s="310"/>
      <c r="AN27" s="311"/>
      <c r="AO27" s="311"/>
      <c r="AP27" s="309"/>
      <c r="AQ27" s="310"/>
      <c r="AR27" s="311"/>
      <c r="AS27" s="311"/>
      <c r="AT27" s="309"/>
      <c r="AU27" s="310"/>
      <c r="AV27" s="311"/>
      <c r="AW27" s="311"/>
      <c r="AX27" s="309"/>
      <c r="AY27" s="310"/>
      <c r="AZ27" s="311"/>
      <c r="BA27" s="311"/>
      <c r="BB27" s="309"/>
      <c r="BC27" s="310"/>
      <c r="BD27" s="311"/>
      <c r="BE27" s="311"/>
      <c r="BF27" s="309"/>
      <c r="BG27" s="310"/>
      <c r="BH27" s="311"/>
      <c r="BI27" s="311"/>
      <c r="BJ27" s="309"/>
      <c r="BK27" s="310"/>
      <c r="BL27" s="311"/>
      <c r="BM27" s="311"/>
      <c r="BN27" s="309"/>
      <c r="BO27" s="310"/>
      <c r="BP27" s="311"/>
      <c r="BQ27" s="311"/>
      <c r="BR27" s="309"/>
      <c r="BS27" s="310"/>
      <c r="BT27" s="311"/>
      <c r="BU27" s="311"/>
      <c r="BV27" s="309"/>
      <c r="BW27" s="310"/>
      <c r="BX27" s="311"/>
      <c r="BY27" s="311"/>
      <c r="BZ27" s="309"/>
      <c r="CA27" s="310"/>
      <c r="CB27" s="311"/>
      <c r="CC27" s="311"/>
      <c r="CD27" s="309"/>
      <c r="CE27" s="310"/>
      <c r="CF27" s="311"/>
      <c r="CG27" s="311"/>
      <c r="CH27" s="309"/>
      <c r="CI27" s="310"/>
      <c r="CJ27" s="311"/>
      <c r="CK27" s="311"/>
      <c r="CL27" s="309"/>
      <c r="CM27" s="310"/>
      <c r="CN27" s="311"/>
      <c r="CO27" s="311"/>
      <c r="CP27" s="309"/>
      <c r="CQ27" s="310"/>
      <c r="CR27" s="311"/>
      <c r="CS27" s="311"/>
      <c r="CT27" s="309"/>
      <c r="CU27" s="310"/>
      <c r="CV27" s="311"/>
      <c r="CW27" s="311"/>
      <c r="CX27" s="309"/>
      <c r="CY27" s="310"/>
      <c r="CZ27" s="311"/>
      <c r="DA27" s="311"/>
      <c r="DB27" s="309"/>
      <c r="DC27" s="310"/>
      <c r="DD27" s="311"/>
      <c r="DE27" s="311"/>
      <c r="DF27" s="309"/>
      <c r="DG27" s="310"/>
      <c r="DH27" s="311"/>
      <c r="DI27" s="311"/>
      <c r="DJ27" s="309"/>
      <c r="DK27" s="310"/>
      <c r="DL27" s="311"/>
      <c r="DM27" s="311"/>
      <c r="DN27" s="309"/>
      <c r="DO27" s="310"/>
      <c r="DP27" s="311"/>
      <c r="DQ27" s="311"/>
      <c r="DR27" s="309"/>
      <c r="DS27" s="310"/>
      <c r="DT27" s="311"/>
      <c r="DU27" s="311"/>
      <c r="DV27" s="309"/>
      <c r="DW27" s="310"/>
      <c r="DX27" s="311"/>
      <c r="DY27" s="311"/>
      <c r="DZ27" s="309"/>
      <c r="EA27" s="310"/>
      <c r="EB27" s="311"/>
      <c r="EC27" s="311"/>
      <c r="ED27" s="309"/>
      <c r="EE27" s="310"/>
      <c r="EF27" s="311"/>
      <c r="EG27" s="311"/>
      <c r="EH27" s="309"/>
      <c r="EI27" s="310"/>
      <c r="EJ27" s="311"/>
      <c r="EK27" s="311"/>
      <c r="EL27" s="309"/>
      <c r="EM27" s="310"/>
      <c r="EN27" s="311"/>
      <c r="EO27" s="311"/>
      <c r="EP27" s="309"/>
      <c r="EQ27" s="310"/>
      <c r="ER27" s="311"/>
      <c r="ES27" s="311"/>
      <c r="ET27" s="309"/>
      <c r="EU27" s="310"/>
      <c r="EV27" s="311"/>
      <c r="EW27" s="311"/>
      <c r="EX27" s="309"/>
      <c r="EY27" s="310"/>
      <c r="EZ27" s="311"/>
      <c r="FA27" s="311"/>
      <c r="FB27" s="309"/>
      <c r="FC27" s="310"/>
      <c r="FD27" s="311"/>
      <c r="FE27" s="311"/>
      <c r="FF27" s="309"/>
      <c r="FG27" s="310"/>
      <c r="FH27" s="311"/>
      <c r="FI27" s="311"/>
      <c r="FJ27" s="309"/>
      <c r="FK27" s="310"/>
      <c r="FL27" s="311"/>
      <c r="FM27" s="311"/>
      <c r="FN27" s="309"/>
      <c r="FO27" s="310"/>
      <c r="FP27" s="311"/>
      <c r="FQ27" s="311"/>
      <c r="FR27" s="309"/>
      <c r="FS27" s="310"/>
      <c r="FT27" s="311"/>
      <c r="FU27" s="311"/>
      <c r="FV27" s="309"/>
      <c r="FW27" s="310"/>
      <c r="FX27" s="311"/>
      <c r="FY27" s="311"/>
      <c r="FZ27" s="309"/>
      <c r="GA27" s="310"/>
      <c r="GB27" s="311"/>
      <c r="GC27" s="311"/>
      <c r="GD27" s="309"/>
      <c r="GE27" s="310"/>
      <c r="GF27" s="311"/>
      <c r="GG27" s="311"/>
      <c r="GH27" s="309"/>
      <c r="GI27" s="310"/>
      <c r="GJ27" s="311"/>
      <c r="GK27" s="311"/>
      <c r="GL27" s="309"/>
      <c r="GM27" s="310"/>
      <c r="GN27" s="311"/>
      <c r="GO27" s="311"/>
      <c r="GP27" s="309"/>
      <c r="GQ27" s="310"/>
      <c r="GR27" s="311"/>
      <c r="GS27" s="311"/>
      <c r="GT27" s="309"/>
      <c r="GU27" s="310"/>
      <c r="GV27" s="311"/>
      <c r="GW27" s="311"/>
      <c r="GX27" s="309"/>
      <c r="GY27" s="310"/>
      <c r="GZ27" s="311"/>
      <c r="HA27" s="311"/>
      <c r="HB27" s="309"/>
      <c r="HC27" s="312">
        <f t="shared" si="62"/>
        <v>0</v>
      </c>
      <c r="HD27" s="313">
        <f t="shared" si="62"/>
        <v>0</v>
      </c>
      <c r="HE27" s="313">
        <f t="shared" si="62"/>
        <v>0</v>
      </c>
      <c r="HF27" s="314"/>
      <c r="HG27" s="312">
        <f>SUM(SUMIFS(K27:HB27,$K$13:$HB$13,{"エネルギー管理指定工場等*","県域*"}))</f>
        <v>0</v>
      </c>
      <c r="HH27" s="313">
        <f>SUM(SUMIFS(L27:HC27,$K$13:$HB$13,{"エネルギー管理指定工場等*","県域*"}))</f>
        <v>0</v>
      </c>
      <c r="HI27" s="313">
        <f>SUM(SUMIFS(M27:HD27,$K$13:$HB$13,{"エネルギー管理指定工場等*","県域*"}))</f>
        <v>0</v>
      </c>
      <c r="HJ27" s="314"/>
      <c r="HL27" s="230">
        <v>18</v>
      </c>
      <c r="HM27" s="714"/>
      <c r="HN27" s="715" t="str">
        <f ca="1">IF(COUNTIF(HN$10:HN26,OFFSET(A1_原単位2024,5,HL27+2))&gt;=1,"",OFFSET(A1_原単位2024,5,HL27+2)&amp;"")</f>
        <v/>
      </c>
      <c r="HO27" s="716" t="str">
        <f t="shared" ca="1" si="49"/>
        <v/>
      </c>
      <c r="HP27" s="717" t="str">
        <f t="shared" ca="1" si="50"/>
        <v/>
      </c>
      <c r="HQ27" s="714"/>
      <c r="HR27" s="715" t="str">
        <f ca="1">IF(COUNTIF(HR$10:HR26,OFFSET(A1_原単位2024,17,HL27+2))&gt;=1,"",OFFSET(A1_原単位2024,17,HL27+2)&amp;"")</f>
        <v/>
      </c>
      <c r="HS27" s="718" t="str">
        <f t="shared" ca="1" si="51"/>
        <v/>
      </c>
      <c r="HT27" s="719" t="str">
        <f t="shared" ca="1" si="52"/>
        <v/>
      </c>
      <c r="HU27" s="714"/>
      <c r="HV27" s="715" t="str">
        <f ca="1">IF(COUNTIF(HV$10:HV26,OFFSET(A1_原単位2024,29,HL27+2))&gt;=1,"",OFFSET(A1_原単位2024,29,HL27+2)&amp;"")</f>
        <v/>
      </c>
      <c r="HW27" s="718" t="str">
        <f t="shared" ca="1" si="53"/>
        <v/>
      </c>
      <c r="HX27" s="719" t="str">
        <f t="shared" ca="1" si="54"/>
        <v/>
      </c>
      <c r="HY27" s="714"/>
      <c r="HZ27" s="715" t="str">
        <f ca="1">IF(COUNTIF(HZ$10:HZ26,OFFSET(A1_原単位2024,41,HL27+2))&gt;=1,"",OFFSET(A1_原単位2024,41,HL27+2)&amp;"")</f>
        <v/>
      </c>
      <c r="IA27" s="720" t="str">
        <f t="shared" ca="1" si="55"/>
        <v/>
      </c>
      <c r="IB27" s="721" t="str">
        <f t="shared" ca="1" si="56"/>
        <v/>
      </c>
      <c r="IE27" s="159" t="str">
        <f t="shared" ca="1" si="57"/>
        <v/>
      </c>
      <c r="IF27" s="159" t="str">
        <f t="shared" ca="1" si="58"/>
        <v/>
      </c>
      <c r="IG27" s="159" t="str">
        <f t="shared" ca="1" si="59"/>
        <v/>
      </c>
      <c r="IH27" s="159" t="str">
        <f t="shared" ca="1" si="60"/>
        <v/>
      </c>
    </row>
    <row r="28" spans="1:242" ht="19.8">
      <c r="A28" s="164"/>
      <c r="B28" s="302"/>
      <c r="C28" s="317" t="s">
        <v>456</v>
      </c>
      <c r="D28" s="303" t="s">
        <v>576</v>
      </c>
      <c r="E28" s="305"/>
      <c r="F28" s="303" t="s">
        <v>455</v>
      </c>
      <c r="G28" s="306">
        <v>50.1</v>
      </c>
      <c r="H28" s="307">
        <v>1.6299999999999999E-2</v>
      </c>
      <c r="I28" s="310"/>
      <c r="J28" s="315"/>
      <c r="K28" s="310"/>
      <c r="L28" s="311"/>
      <c r="M28" s="311"/>
      <c r="N28" s="309"/>
      <c r="O28" s="310"/>
      <c r="P28" s="311"/>
      <c r="Q28" s="311"/>
      <c r="R28" s="309"/>
      <c r="S28" s="310"/>
      <c r="T28" s="311"/>
      <c r="U28" s="311"/>
      <c r="V28" s="309"/>
      <c r="W28" s="310"/>
      <c r="X28" s="311"/>
      <c r="Y28" s="311"/>
      <c r="Z28" s="309"/>
      <c r="AA28" s="310"/>
      <c r="AB28" s="311"/>
      <c r="AC28" s="311"/>
      <c r="AD28" s="309"/>
      <c r="AE28" s="310"/>
      <c r="AF28" s="311"/>
      <c r="AG28" s="311"/>
      <c r="AH28" s="309"/>
      <c r="AI28" s="310"/>
      <c r="AJ28" s="311"/>
      <c r="AK28" s="311"/>
      <c r="AL28" s="309"/>
      <c r="AM28" s="310"/>
      <c r="AN28" s="311"/>
      <c r="AO28" s="311"/>
      <c r="AP28" s="309"/>
      <c r="AQ28" s="310"/>
      <c r="AR28" s="311"/>
      <c r="AS28" s="311"/>
      <c r="AT28" s="309"/>
      <c r="AU28" s="310"/>
      <c r="AV28" s="311"/>
      <c r="AW28" s="311"/>
      <c r="AX28" s="309"/>
      <c r="AY28" s="310"/>
      <c r="AZ28" s="311"/>
      <c r="BA28" s="311"/>
      <c r="BB28" s="309"/>
      <c r="BC28" s="310"/>
      <c r="BD28" s="311"/>
      <c r="BE28" s="311"/>
      <c r="BF28" s="309"/>
      <c r="BG28" s="310"/>
      <c r="BH28" s="311"/>
      <c r="BI28" s="311"/>
      <c r="BJ28" s="309"/>
      <c r="BK28" s="310"/>
      <c r="BL28" s="311"/>
      <c r="BM28" s="311"/>
      <c r="BN28" s="309"/>
      <c r="BO28" s="310"/>
      <c r="BP28" s="311"/>
      <c r="BQ28" s="311"/>
      <c r="BR28" s="309"/>
      <c r="BS28" s="310"/>
      <c r="BT28" s="311"/>
      <c r="BU28" s="311"/>
      <c r="BV28" s="309"/>
      <c r="BW28" s="310"/>
      <c r="BX28" s="311"/>
      <c r="BY28" s="311"/>
      <c r="BZ28" s="309"/>
      <c r="CA28" s="310"/>
      <c r="CB28" s="311"/>
      <c r="CC28" s="311"/>
      <c r="CD28" s="309"/>
      <c r="CE28" s="310"/>
      <c r="CF28" s="311"/>
      <c r="CG28" s="311"/>
      <c r="CH28" s="309"/>
      <c r="CI28" s="310"/>
      <c r="CJ28" s="311"/>
      <c r="CK28" s="311"/>
      <c r="CL28" s="309"/>
      <c r="CM28" s="310"/>
      <c r="CN28" s="311"/>
      <c r="CO28" s="311"/>
      <c r="CP28" s="309"/>
      <c r="CQ28" s="310"/>
      <c r="CR28" s="311"/>
      <c r="CS28" s="311"/>
      <c r="CT28" s="309"/>
      <c r="CU28" s="310"/>
      <c r="CV28" s="311"/>
      <c r="CW28" s="311"/>
      <c r="CX28" s="309"/>
      <c r="CY28" s="310"/>
      <c r="CZ28" s="311"/>
      <c r="DA28" s="311"/>
      <c r="DB28" s="309"/>
      <c r="DC28" s="310"/>
      <c r="DD28" s="311"/>
      <c r="DE28" s="311"/>
      <c r="DF28" s="309"/>
      <c r="DG28" s="310"/>
      <c r="DH28" s="311"/>
      <c r="DI28" s="311"/>
      <c r="DJ28" s="309"/>
      <c r="DK28" s="310"/>
      <c r="DL28" s="311"/>
      <c r="DM28" s="311"/>
      <c r="DN28" s="309"/>
      <c r="DO28" s="310"/>
      <c r="DP28" s="311"/>
      <c r="DQ28" s="311"/>
      <c r="DR28" s="309"/>
      <c r="DS28" s="310"/>
      <c r="DT28" s="311"/>
      <c r="DU28" s="311"/>
      <c r="DV28" s="309"/>
      <c r="DW28" s="310"/>
      <c r="DX28" s="311"/>
      <c r="DY28" s="311"/>
      <c r="DZ28" s="309"/>
      <c r="EA28" s="310"/>
      <c r="EB28" s="311"/>
      <c r="EC28" s="311"/>
      <c r="ED28" s="309"/>
      <c r="EE28" s="310"/>
      <c r="EF28" s="311"/>
      <c r="EG28" s="311"/>
      <c r="EH28" s="309"/>
      <c r="EI28" s="310"/>
      <c r="EJ28" s="311"/>
      <c r="EK28" s="311"/>
      <c r="EL28" s="309"/>
      <c r="EM28" s="310"/>
      <c r="EN28" s="311"/>
      <c r="EO28" s="311"/>
      <c r="EP28" s="309"/>
      <c r="EQ28" s="310"/>
      <c r="ER28" s="311"/>
      <c r="ES28" s="311"/>
      <c r="ET28" s="309"/>
      <c r="EU28" s="310"/>
      <c r="EV28" s="311"/>
      <c r="EW28" s="311"/>
      <c r="EX28" s="309"/>
      <c r="EY28" s="310"/>
      <c r="EZ28" s="311"/>
      <c r="FA28" s="311"/>
      <c r="FB28" s="309"/>
      <c r="FC28" s="310"/>
      <c r="FD28" s="311"/>
      <c r="FE28" s="311"/>
      <c r="FF28" s="309"/>
      <c r="FG28" s="310"/>
      <c r="FH28" s="311"/>
      <c r="FI28" s="311"/>
      <c r="FJ28" s="309"/>
      <c r="FK28" s="310"/>
      <c r="FL28" s="311"/>
      <c r="FM28" s="311"/>
      <c r="FN28" s="309"/>
      <c r="FO28" s="310"/>
      <c r="FP28" s="311"/>
      <c r="FQ28" s="311"/>
      <c r="FR28" s="309"/>
      <c r="FS28" s="310"/>
      <c r="FT28" s="311"/>
      <c r="FU28" s="311"/>
      <c r="FV28" s="309"/>
      <c r="FW28" s="310"/>
      <c r="FX28" s="311"/>
      <c r="FY28" s="311"/>
      <c r="FZ28" s="309"/>
      <c r="GA28" s="310"/>
      <c r="GB28" s="311"/>
      <c r="GC28" s="311"/>
      <c r="GD28" s="309"/>
      <c r="GE28" s="310"/>
      <c r="GF28" s="311"/>
      <c r="GG28" s="311"/>
      <c r="GH28" s="309"/>
      <c r="GI28" s="310"/>
      <c r="GJ28" s="311"/>
      <c r="GK28" s="311"/>
      <c r="GL28" s="309"/>
      <c r="GM28" s="310"/>
      <c r="GN28" s="311"/>
      <c r="GO28" s="311"/>
      <c r="GP28" s="309"/>
      <c r="GQ28" s="310"/>
      <c r="GR28" s="311"/>
      <c r="GS28" s="311"/>
      <c r="GT28" s="309"/>
      <c r="GU28" s="310"/>
      <c r="GV28" s="311"/>
      <c r="GW28" s="311"/>
      <c r="GX28" s="309"/>
      <c r="GY28" s="310"/>
      <c r="GZ28" s="311"/>
      <c r="HA28" s="311"/>
      <c r="HB28" s="309"/>
      <c r="HC28" s="312">
        <f t="shared" si="62"/>
        <v>0</v>
      </c>
      <c r="HD28" s="313">
        <f t="shared" si="62"/>
        <v>0</v>
      </c>
      <c r="HE28" s="313">
        <f t="shared" si="62"/>
        <v>0</v>
      </c>
      <c r="HF28" s="314"/>
      <c r="HG28" s="312">
        <f>SUM(SUMIFS(K28:HB28,$K$13:$HB$13,{"エネルギー管理指定工場等*","県域*"}))</f>
        <v>0</v>
      </c>
      <c r="HH28" s="313">
        <f>SUM(SUMIFS(L28:HC28,$K$13:$HB$13,{"エネルギー管理指定工場等*","県域*"}))</f>
        <v>0</v>
      </c>
      <c r="HI28" s="313">
        <f>SUM(SUMIFS(M28:HD28,$K$13:$HB$13,{"エネルギー管理指定工場等*","県域*"}))</f>
        <v>0</v>
      </c>
      <c r="HJ28" s="314"/>
      <c r="HL28" s="219">
        <v>19</v>
      </c>
      <c r="HM28" s="714"/>
      <c r="HN28" s="715" t="str">
        <f ca="1">IF(COUNTIF(HN$10:HN27,OFFSET(A1_原単位2024,5,HL28+2))&gt;=1,"",OFFSET(A1_原単位2024,5,HL28+2)&amp;"")</f>
        <v/>
      </c>
      <c r="HO28" s="716" t="str">
        <f t="shared" ca="1" si="49"/>
        <v/>
      </c>
      <c r="HP28" s="717" t="str">
        <f t="shared" ca="1" si="50"/>
        <v/>
      </c>
      <c r="HQ28" s="714"/>
      <c r="HR28" s="715" t="str">
        <f ca="1">IF(COUNTIF(HR$10:HR27,OFFSET(A1_原単位2024,17,HL28+2))&gt;=1,"",OFFSET(A1_原単位2024,17,HL28+2)&amp;"")</f>
        <v/>
      </c>
      <c r="HS28" s="718" t="str">
        <f t="shared" ca="1" si="51"/>
        <v/>
      </c>
      <c r="HT28" s="719" t="str">
        <f t="shared" ca="1" si="52"/>
        <v/>
      </c>
      <c r="HU28" s="714"/>
      <c r="HV28" s="715" t="str">
        <f ca="1">IF(COUNTIF(HV$10:HV27,OFFSET(A1_原単位2024,29,HL28+2))&gt;=1,"",OFFSET(A1_原単位2024,29,HL28+2)&amp;"")</f>
        <v/>
      </c>
      <c r="HW28" s="718" t="str">
        <f t="shared" ca="1" si="53"/>
        <v/>
      </c>
      <c r="HX28" s="719" t="str">
        <f t="shared" ca="1" si="54"/>
        <v/>
      </c>
      <c r="HY28" s="714"/>
      <c r="HZ28" s="715" t="str">
        <f ca="1">IF(COUNTIF(HZ$10:HZ27,OFFSET(A1_原単位2024,41,HL28+2))&gt;=1,"",OFFSET(A1_原単位2024,41,HL28+2)&amp;"")</f>
        <v/>
      </c>
      <c r="IA28" s="720" t="str">
        <f t="shared" ca="1" si="55"/>
        <v/>
      </c>
      <c r="IB28" s="721" t="str">
        <f t="shared" ca="1" si="56"/>
        <v/>
      </c>
      <c r="IE28" s="159" t="str">
        <f t="shared" ca="1" si="57"/>
        <v/>
      </c>
      <c r="IF28" s="159" t="str">
        <f t="shared" ca="1" si="58"/>
        <v/>
      </c>
      <c r="IG28" s="159" t="str">
        <f t="shared" ca="1" si="59"/>
        <v/>
      </c>
      <c r="IH28" s="159" t="str">
        <f t="shared" ca="1" si="60"/>
        <v/>
      </c>
    </row>
    <row r="29" spans="1:242" ht="19.8">
      <c r="A29" s="164"/>
      <c r="B29" s="302"/>
      <c r="C29" s="318"/>
      <c r="D29" s="303" t="s">
        <v>577</v>
      </c>
      <c r="E29" s="305"/>
      <c r="F29" s="303" t="s">
        <v>457</v>
      </c>
      <c r="G29" s="306">
        <v>46.1</v>
      </c>
      <c r="H29" s="307">
        <v>1.44E-2</v>
      </c>
      <c r="I29" s="308"/>
      <c r="J29" s="309"/>
      <c r="K29" s="310"/>
      <c r="L29" s="311"/>
      <c r="M29" s="311"/>
      <c r="N29" s="309"/>
      <c r="O29" s="310"/>
      <c r="P29" s="311"/>
      <c r="Q29" s="311"/>
      <c r="R29" s="309"/>
      <c r="S29" s="310"/>
      <c r="T29" s="311"/>
      <c r="U29" s="311"/>
      <c r="V29" s="309"/>
      <c r="W29" s="310"/>
      <c r="X29" s="311"/>
      <c r="Y29" s="311"/>
      <c r="Z29" s="309"/>
      <c r="AA29" s="310"/>
      <c r="AB29" s="311"/>
      <c r="AC29" s="311"/>
      <c r="AD29" s="309"/>
      <c r="AE29" s="310"/>
      <c r="AF29" s="311"/>
      <c r="AG29" s="311"/>
      <c r="AH29" s="309"/>
      <c r="AI29" s="310"/>
      <c r="AJ29" s="311"/>
      <c r="AK29" s="311"/>
      <c r="AL29" s="309"/>
      <c r="AM29" s="310"/>
      <c r="AN29" s="311"/>
      <c r="AO29" s="311"/>
      <c r="AP29" s="309"/>
      <c r="AQ29" s="310"/>
      <c r="AR29" s="311"/>
      <c r="AS29" s="311"/>
      <c r="AT29" s="309"/>
      <c r="AU29" s="310"/>
      <c r="AV29" s="311"/>
      <c r="AW29" s="311"/>
      <c r="AX29" s="309"/>
      <c r="AY29" s="310"/>
      <c r="AZ29" s="311"/>
      <c r="BA29" s="311"/>
      <c r="BB29" s="309"/>
      <c r="BC29" s="310"/>
      <c r="BD29" s="311"/>
      <c r="BE29" s="311"/>
      <c r="BF29" s="309"/>
      <c r="BG29" s="310"/>
      <c r="BH29" s="311"/>
      <c r="BI29" s="311"/>
      <c r="BJ29" s="309"/>
      <c r="BK29" s="310"/>
      <c r="BL29" s="311"/>
      <c r="BM29" s="311"/>
      <c r="BN29" s="309"/>
      <c r="BO29" s="310"/>
      <c r="BP29" s="311"/>
      <c r="BQ29" s="311"/>
      <c r="BR29" s="309"/>
      <c r="BS29" s="310"/>
      <c r="BT29" s="311"/>
      <c r="BU29" s="311"/>
      <c r="BV29" s="309"/>
      <c r="BW29" s="310"/>
      <c r="BX29" s="311"/>
      <c r="BY29" s="311"/>
      <c r="BZ29" s="309"/>
      <c r="CA29" s="310"/>
      <c r="CB29" s="311"/>
      <c r="CC29" s="311"/>
      <c r="CD29" s="309"/>
      <c r="CE29" s="310"/>
      <c r="CF29" s="311"/>
      <c r="CG29" s="311"/>
      <c r="CH29" s="309"/>
      <c r="CI29" s="310"/>
      <c r="CJ29" s="311"/>
      <c r="CK29" s="311"/>
      <c r="CL29" s="309"/>
      <c r="CM29" s="310"/>
      <c r="CN29" s="311"/>
      <c r="CO29" s="311"/>
      <c r="CP29" s="309"/>
      <c r="CQ29" s="310"/>
      <c r="CR29" s="311"/>
      <c r="CS29" s="311"/>
      <c r="CT29" s="309"/>
      <c r="CU29" s="310"/>
      <c r="CV29" s="311"/>
      <c r="CW29" s="311"/>
      <c r="CX29" s="309"/>
      <c r="CY29" s="310"/>
      <c r="CZ29" s="311"/>
      <c r="DA29" s="311"/>
      <c r="DB29" s="309"/>
      <c r="DC29" s="310"/>
      <c r="DD29" s="311"/>
      <c r="DE29" s="311"/>
      <c r="DF29" s="309"/>
      <c r="DG29" s="310"/>
      <c r="DH29" s="311"/>
      <c r="DI29" s="311"/>
      <c r="DJ29" s="309"/>
      <c r="DK29" s="310"/>
      <c r="DL29" s="311"/>
      <c r="DM29" s="311"/>
      <c r="DN29" s="309"/>
      <c r="DO29" s="310"/>
      <c r="DP29" s="311"/>
      <c r="DQ29" s="311"/>
      <c r="DR29" s="309"/>
      <c r="DS29" s="310"/>
      <c r="DT29" s="311"/>
      <c r="DU29" s="311"/>
      <c r="DV29" s="309"/>
      <c r="DW29" s="310"/>
      <c r="DX29" s="311"/>
      <c r="DY29" s="311"/>
      <c r="DZ29" s="309"/>
      <c r="EA29" s="310"/>
      <c r="EB29" s="311"/>
      <c r="EC29" s="311"/>
      <c r="ED29" s="309"/>
      <c r="EE29" s="310"/>
      <c r="EF29" s="311"/>
      <c r="EG29" s="311"/>
      <c r="EH29" s="309"/>
      <c r="EI29" s="310"/>
      <c r="EJ29" s="311"/>
      <c r="EK29" s="311"/>
      <c r="EL29" s="309"/>
      <c r="EM29" s="310"/>
      <c r="EN29" s="311"/>
      <c r="EO29" s="311"/>
      <c r="EP29" s="309"/>
      <c r="EQ29" s="310"/>
      <c r="ER29" s="311"/>
      <c r="ES29" s="311"/>
      <c r="ET29" s="309"/>
      <c r="EU29" s="310"/>
      <c r="EV29" s="311"/>
      <c r="EW29" s="311"/>
      <c r="EX29" s="309"/>
      <c r="EY29" s="310"/>
      <c r="EZ29" s="311"/>
      <c r="FA29" s="311"/>
      <c r="FB29" s="309"/>
      <c r="FC29" s="310"/>
      <c r="FD29" s="311"/>
      <c r="FE29" s="311"/>
      <c r="FF29" s="309"/>
      <c r="FG29" s="310"/>
      <c r="FH29" s="311"/>
      <c r="FI29" s="311"/>
      <c r="FJ29" s="309"/>
      <c r="FK29" s="310"/>
      <c r="FL29" s="311"/>
      <c r="FM29" s="311"/>
      <c r="FN29" s="309"/>
      <c r="FO29" s="310"/>
      <c r="FP29" s="311"/>
      <c r="FQ29" s="311"/>
      <c r="FR29" s="309"/>
      <c r="FS29" s="310"/>
      <c r="FT29" s="311"/>
      <c r="FU29" s="311"/>
      <c r="FV29" s="309"/>
      <c r="FW29" s="310"/>
      <c r="FX29" s="311"/>
      <c r="FY29" s="311"/>
      <c r="FZ29" s="309"/>
      <c r="GA29" s="310"/>
      <c r="GB29" s="311"/>
      <c r="GC29" s="311"/>
      <c r="GD29" s="309"/>
      <c r="GE29" s="310"/>
      <c r="GF29" s="311"/>
      <c r="GG29" s="311"/>
      <c r="GH29" s="309"/>
      <c r="GI29" s="310"/>
      <c r="GJ29" s="311"/>
      <c r="GK29" s="311"/>
      <c r="GL29" s="309"/>
      <c r="GM29" s="310"/>
      <c r="GN29" s="311"/>
      <c r="GO29" s="311"/>
      <c r="GP29" s="309"/>
      <c r="GQ29" s="310"/>
      <c r="GR29" s="311"/>
      <c r="GS29" s="311"/>
      <c r="GT29" s="309"/>
      <c r="GU29" s="310"/>
      <c r="GV29" s="311"/>
      <c r="GW29" s="311"/>
      <c r="GX29" s="309"/>
      <c r="GY29" s="310"/>
      <c r="GZ29" s="311"/>
      <c r="HA29" s="311"/>
      <c r="HB29" s="309"/>
      <c r="HC29" s="312">
        <f t="shared" si="62"/>
        <v>0</v>
      </c>
      <c r="HD29" s="313">
        <f t="shared" si="62"/>
        <v>0</v>
      </c>
      <c r="HE29" s="313">
        <f t="shared" si="62"/>
        <v>0</v>
      </c>
      <c r="HF29" s="314"/>
      <c r="HG29" s="312">
        <f>SUM(SUMIFS(K29:HB29,$K$13:$HB$13,{"エネルギー管理指定工場等*","県域*"}))</f>
        <v>0</v>
      </c>
      <c r="HH29" s="313">
        <f>SUM(SUMIFS(L29:HC29,$K$13:$HB$13,{"エネルギー管理指定工場等*","県域*"}))</f>
        <v>0</v>
      </c>
      <c r="HI29" s="313">
        <f>SUM(SUMIFS(M29:HD29,$K$13:$HB$13,{"エネルギー管理指定工場等*","県域*"}))</f>
        <v>0</v>
      </c>
      <c r="HJ29" s="314"/>
      <c r="HL29" s="230">
        <v>20</v>
      </c>
      <c r="HM29" s="714"/>
      <c r="HN29" s="715" t="str">
        <f ca="1">IF(COUNTIF(HN$10:HN28,OFFSET(A1_原単位2024,5,HL29+2))&gt;=1,"",OFFSET(A1_原単位2024,5,HL29+2)&amp;"")</f>
        <v/>
      </c>
      <c r="HO29" s="716" t="str">
        <f t="shared" ca="1" si="49"/>
        <v/>
      </c>
      <c r="HP29" s="717" t="str">
        <f t="shared" ca="1" si="50"/>
        <v/>
      </c>
      <c r="HQ29" s="714"/>
      <c r="HR29" s="715" t="str">
        <f ca="1">IF(COUNTIF(HR$10:HR28,OFFSET(A1_原単位2024,17,HL29+2))&gt;=1,"",OFFSET(A1_原単位2024,17,HL29+2)&amp;"")</f>
        <v/>
      </c>
      <c r="HS29" s="718" t="str">
        <f t="shared" ca="1" si="51"/>
        <v/>
      </c>
      <c r="HT29" s="719" t="str">
        <f t="shared" ca="1" si="52"/>
        <v/>
      </c>
      <c r="HU29" s="714"/>
      <c r="HV29" s="715" t="str">
        <f ca="1">IF(COUNTIF(HV$10:HV28,OFFSET(A1_原単位2024,29,HL29+2))&gt;=1,"",OFFSET(A1_原単位2024,29,HL29+2)&amp;"")</f>
        <v/>
      </c>
      <c r="HW29" s="718" t="str">
        <f t="shared" ca="1" si="53"/>
        <v/>
      </c>
      <c r="HX29" s="719" t="str">
        <f t="shared" ca="1" si="54"/>
        <v/>
      </c>
      <c r="HY29" s="714"/>
      <c r="HZ29" s="715" t="str">
        <f ca="1">IF(COUNTIF(HZ$10:HZ28,OFFSET(A1_原単位2024,41,HL29+2))&gt;=1,"",OFFSET(A1_原単位2024,41,HL29+2)&amp;"")</f>
        <v/>
      </c>
      <c r="IA29" s="720" t="str">
        <f t="shared" ca="1" si="55"/>
        <v/>
      </c>
      <c r="IB29" s="721" t="str">
        <f t="shared" ca="1" si="56"/>
        <v/>
      </c>
      <c r="IE29" s="159" t="str">
        <f t="shared" ca="1" si="57"/>
        <v/>
      </c>
      <c r="IF29" s="159" t="str">
        <f t="shared" ca="1" si="58"/>
        <v/>
      </c>
      <c r="IG29" s="159" t="str">
        <f t="shared" ca="1" si="59"/>
        <v/>
      </c>
      <c r="IH29" s="159" t="str">
        <f t="shared" ca="1" si="60"/>
        <v/>
      </c>
    </row>
    <row r="30" spans="1:242" ht="19.8">
      <c r="A30" s="164"/>
      <c r="B30" s="302"/>
      <c r="C30" s="317" t="s">
        <v>578</v>
      </c>
      <c r="D30" s="303" t="s">
        <v>579</v>
      </c>
      <c r="E30" s="305"/>
      <c r="F30" s="303" t="s">
        <v>455</v>
      </c>
      <c r="G30" s="306">
        <v>54.7</v>
      </c>
      <c r="H30" s="307">
        <v>1.3899999999999999E-2</v>
      </c>
      <c r="I30" s="310"/>
      <c r="J30" s="315"/>
      <c r="K30" s="310"/>
      <c r="L30" s="311"/>
      <c r="M30" s="311"/>
      <c r="N30" s="309"/>
      <c r="O30" s="310"/>
      <c r="P30" s="311"/>
      <c r="Q30" s="311"/>
      <c r="R30" s="309"/>
      <c r="S30" s="310"/>
      <c r="T30" s="311"/>
      <c r="U30" s="311"/>
      <c r="V30" s="309"/>
      <c r="W30" s="310"/>
      <c r="X30" s="311"/>
      <c r="Y30" s="311"/>
      <c r="Z30" s="309"/>
      <c r="AA30" s="310"/>
      <c r="AB30" s="311"/>
      <c r="AC30" s="311"/>
      <c r="AD30" s="309"/>
      <c r="AE30" s="310"/>
      <c r="AF30" s="311"/>
      <c r="AG30" s="311"/>
      <c r="AH30" s="309"/>
      <c r="AI30" s="310"/>
      <c r="AJ30" s="311"/>
      <c r="AK30" s="311"/>
      <c r="AL30" s="309"/>
      <c r="AM30" s="310"/>
      <c r="AN30" s="311"/>
      <c r="AO30" s="311"/>
      <c r="AP30" s="309"/>
      <c r="AQ30" s="310"/>
      <c r="AR30" s="311"/>
      <c r="AS30" s="311"/>
      <c r="AT30" s="309"/>
      <c r="AU30" s="310"/>
      <c r="AV30" s="311"/>
      <c r="AW30" s="311"/>
      <c r="AX30" s="309"/>
      <c r="AY30" s="310"/>
      <c r="AZ30" s="311"/>
      <c r="BA30" s="311"/>
      <c r="BB30" s="309"/>
      <c r="BC30" s="310"/>
      <c r="BD30" s="311"/>
      <c r="BE30" s="311"/>
      <c r="BF30" s="309"/>
      <c r="BG30" s="310"/>
      <c r="BH30" s="311"/>
      <c r="BI30" s="311"/>
      <c r="BJ30" s="309"/>
      <c r="BK30" s="310"/>
      <c r="BL30" s="311"/>
      <c r="BM30" s="311"/>
      <c r="BN30" s="309"/>
      <c r="BO30" s="310"/>
      <c r="BP30" s="311"/>
      <c r="BQ30" s="311"/>
      <c r="BR30" s="309"/>
      <c r="BS30" s="310"/>
      <c r="BT30" s="311"/>
      <c r="BU30" s="311"/>
      <c r="BV30" s="309"/>
      <c r="BW30" s="310"/>
      <c r="BX30" s="311"/>
      <c r="BY30" s="311"/>
      <c r="BZ30" s="309"/>
      <c r="CA30" s="310"/>
      <c r="CB30" s="311"/>
      <c r="CC30" s="311"/>
      <c r="CD30" s="309"/>
      <c r="CE30" s="310"/>
      <c r="CF30" s="311"/>
      <c r="CG30" s="311"/>
      <c r="CH30" s="309"/>
      <c r="CI30" s="310"/>
      <c r="CJ30" s="311"/>
      <c r="CK30" s="311"/>
      <c r="CL30" s="309"/>
      <c r="CM30" s="310"/>
      <c r="CN30" s="311"/>
      <c r="CO30" s="311"/>
      <c r="CP30" s="309"/>
      <c r="CQ30" s="310"/>
      <c r="CR30" s="311"/>
      <c r="CS30" s="311"/>
      <c r="CT30" s="309"/>
      <c r="CU30" s="310"/>
      <c r="CV30" s="311"/>
      <c r="CW30" s="311"/>
      <c r="CX30" s="309"/>
      <c r="CY30" s="310"/>
      <c r="CZ30" s="311"/>
      <c r="DA30" s="311"/>
      <c r="DB30" s="309"/>
      <c r="DC30" s="310"/>
      <c r="DD30" s="311"/>
      <c r="DE30" s="311"/>
      <c r="DF30" s="309"/>
      <c r="DG30" s="310"/>
      <c r="DH30" s="311"/>
      <c r="DI30" s="311"/>
      <c r="DJ30" s="309"/>
      <c r="DK30" s="310"/>
      <c r="DL30" s="311"/>
      <c r="DM30" s="311"/>
      <c r="DN30" s="309"/>
      <c r="DO30" s="310"/>
      <c r="DP30" s="311"/>
      <c r="DQ30" s="311"/>
      <c r="DR30" s="309"/>
      <c r="DS30" s="310"/>
      <c r="DT30" s="311"/>
      <c r="DU30" s="311"/>
      <c r="DV30" s="309"/>
      <c r="DW30" s="310"/>
      <c r="DX30" s="311"/>
      <c r="DY30" s="311"/>
      <c r="DZ30" s="309"/>
      <c r="EA30" s="310"/>
      <c r="EB30" s="311"/>
      <c r="EC30" s="311"/>
      <c r="ED30" s="309"/>
      <c r="EE30" s="310"/>
      <c r="EF30" s="311"/>
      <c r="EG30" s="311"/>
      <c r="EH30" s="309"/>
      <c r="EI30" s="310"/>
      <c r="EJ30" s="311"/>
      <c r="EK30" s="311"/>
      <c r="EL30" s="309"/>
      <c r="EM30" s="310"/>
      <c r="EN30" s="311"/>
      <c r="EO30" s="311"/>
      <c r="EP30" s="309"/>
      <c r="EQ30" s="310"/>
      <c r="ER30" s="311"/>
      <c r="ES30" s="311"/>
      <c r="ET30" s="309"/>
      <c r="EU30" s="310"/>
      <c r="EV30" s="311"/>
      <c r="EW30" s="311"/>
      <c r="EX30" s="309"/>
      <c r="EY30" s="310"/>
      <c r="EZ30" s="311"/>
      <c r="FA30" s="311"/>
      <c r="FB30" s="309"/>
      <c r="FC30" s="310"/>
      <c r="FD30" s="311"/>
      <c r="FE30" s="311"/>
      <c r="FF30" s="309"/>
      <c r="FG30" s="310"/>
      <c r="FH30" s="311"/>
      <c r="FI30" s="311"/>
      <c r="FJ30" s="309"/>
      <c r="FK30" s="310"/>
      <c r="FL30" s="311"/>
      <c r="FM30" s="311"/>
      <c r="FN30" s="309"/>
      <c r="FO30" s="310"/>
      <c r="FP30" s="311"/>
      <c r="FQ30" s="311"/>
      <c r="FR30" s="309"/>
      <c r="FS30" s="310"/>
      <c r="FT30" s="311"/>
      <c r="FU30" s="311"/>
      <c r="FV30" s="309"/>
      <c r="FW30" s="310"/>
      <c r="FX30" s="311"/>
      <c r="FY30" s="311"/>
      <c r="FZ30" s="309"/>
      <c r="GA30" s="310"/>
      <c r="GB30" s="311"/>
      <c r="GC30" s="311"/>
      <c r="GD30" s="309"/>
      <c r="GE30" s="310"/>
      <c r="GF30" s="311"/>
      <c r="GG30" s="311"/>
      <c r="GH30" s="309"/>
      <c r="GI30" s="310"/>
      <c r="GJ30" s="311"/>
      <c r="GK30" s="311"/>
      <c r="GL30" s="309"/>
      <c r="GM30" s="310"/>
      <c r="GN30" s="311"/>
      <c r="GO30" s="311"/>
      <c r="GP30" s="309"/>
      <c r="GQ30" s="310"/>
      <c r="GR30" s="311"/>
      <c r="GS30" s="311"/>
      <c r="GT30" s="309"/>
      <c r="GU30" s="310"/>
      <c r="GV30" s="311"/>
      <c r="GW30" s="311"/>
      <c r="GX30" s="309"/>
      <c r="GY30" s="310"/>
      <c r="GZ30" s="311"/>
      <c r="HA30" s="311"/>
      <c r="HB30" s="309"/>
      <c r="HC30" s="312">
        <f t="shared" si="62"/>
        <v>0</v>
      </c>
      <c r="HD30" s="313">
        <f t="shared" si="62"/>
        <v>0</v>
      </c>
      <c r="HE30" s="313">
        <f t="shared" si="62"/>
        <v>0</v>
      </c>
      <c r="HF30" s="314"/>
      <c r="HG30" s="312">
        <f>SUM(SUMIFS(K30:HB30,$K$13:$HB$13,{"エネルギー管理指定工場等*","県域*"}))</f>
        <v>0</v>
      </c>
      <c r="HH30" s="313">
        <f>SUM(SUMIFS(L30:HC30,$K$13:$HB$13,{"エネルギー管理指定工場等*","県域*"}))</f>
        <v>0</v>
      </c>
      <c r="HI30" s="313">
        <f>SUM(SUMIFS(M30:HD30,$K$13:$HB$13,{"エネルギー管理指定工場等*","県域*"}))</f>
        <v>0</v>
      </c>
      <c r="HJ30" s="314"/>
      <c r="HL30" s="219">
        <v>21</v>
      </c>
      <c r="HM30" s="714"/>
      <c r="HN30" s="715" t="str">
        <f ca="1">IF(COUNTIF(HN$10:HN29,OFFSET(A1_原単位2024,5,HL30+2))&gt;=1,"",OFFSET(A1_原単位2024,5,HL30+2)&amp;"")</f>
        <v/>
      </c>
      <c r="HO30" s="716" t="str">
        <f t="shared" ca="1" si="49"/>
        <v/>
      </c>
      <c r="HP30" s="717" t="str">
        <f t="shared" ca="1" si="50"/>
        <v/>
      </c>
      <c r="HQ30" s="714"/>
      <c r="HR30" s="715" t="str">
        <f ca="1">IF(COUNTIF(HR$10:HR29,OFFSET(A1_原単位2024,17,HL30+2))&gt;=1,"",OFFSET(A1_原単位2024,17,HL30+2)&amp;"")</f>
        <v/>
      </c>
      <c r="HS30" s="718" t="str">
        <f t="shared" ca="1" si="51"/>
        <v/>
      </c>
      <c r="HT30" s="719" t="str">
        <f t="shared" ca="1" si="52"/>
        <v/>
      </c>
      <c r="HU30" s="714"/>
      <c r="HV30" s="715" t="str">
        <f ca="1">IF(COUNTIF(HV$10:HV29,OFFSET(A1_原単位2024,29,HL30+2))&gt;=1,"",OFFSET(A1_原単位2024,29,HL30+2)&amp;"")</f>
        <v/>
      </c>
      <c r="HW30" s="718" t="str">
        <f t="shared" ca="1" si="53"/>
        <v/>
      </c>
      <c r="HX30" s="719" t="str">
        <f t="shared" ca="1" si="54"/>
        <v/>
      </c>
      <c r="HY30" s="714"/>
      <c r="HZ30" s="715" t="str">
        <f ca="1">IF(COUNTIF(HZ$10:HZ29,OFFSET(A1_原単位2024,41,HL30+2))&gt;=1,"",OFFSET(A1_原単位2024,41,HL30+2)&amp;"")</f>
        <v/>
      </c>
      <c r="IA30" s="720" t="str">
        <f t="shared" ca="1" si="55"/>
        <v/>
      </c>
      <c r="IB30" s="721" t="str">
        <f t="shared" ca="1" si="56"/>
        <v/>
      </c>
      <c r="IE30" s="159" t="str">
        <f t="shared" ca="1" si="57"/>
        <v/>
      </c>
      <c r="IF30" s="159" t="str">
        <f t="shared" ca="1" si="58"/>
        <v/>
      </c>
      <c r="IG30" s="159" t="str">
        <f t="shared" ca="1" si="59"/>
        <v/>
      </c>
      <c r="IH30" s="159" t="str">
        <f t="shared" ca="1" si="60"/>
        <v/>
      </c>
    </row>
    <row r="31" spans="1:242" ht="19.8">
      <c r="A31" s="164"/>
      <c r="B31" s="302"/>
      <c r="C31" s="318"/>
      <c r="D31" s="303" t="s">
        <v>458</v>
      </c>
      <c r="E31" s="305"/>
      <c r="F31" s="303" t="s">
        <v>457</v>
      </c>
      <c r="G31" s="306">
        <v>38.4</v>
      </c>
      <c r="H31" s="307">
        <v>1.3899999999999999E-2</v>
      </c>
      <c r="I31" s="308"/>
      <c r="J31" s="309"/>
      <c r="K31" s="310"/>
      <c r="L31" s="311"/>
      <c r="M31" s="311"/>
      <c r="N31" s="309"/>
      <c r="O31" s="310"/>
      <c r="P31" s="311"/>
      <c r="Q31" s="311"/>
      <c r="R31" s="309"/>
      <c r="S31" s="310"/>
      <c r="T31" s="311"/>
      <c r="U31" s="311"/>
      <c r="V31" s="309"/>
      <c r="W31" s="310"/>
      <c r="X31" s="311"/>
      <c r="Y31" s="311"/>
      <c r="Z31" s="309"/>
      <c r="AA31" s="310"/>
      <c r="AB31" s="311"/>
      <c r="AC31" s="311"/>
      <c r="AD31" s="309"/>
      <c r="AE31" s="310"/>
      <c r="AF31" s="311"/>
      <c r="AG31" s="311"/>
      <c r="AH31" s="309"/>
      <c r="AI31" s="310"/>
      <c r="AJ31" s="311"/>
      <c r="AK31" s="311"/>
      <c r="AL31" s="309"/>
      <c r="AM31" s="310"/>
      <c r="AN31" s="311"/>
      <c r="AO31" s="311"/>
      <c r="AP31" s="309"/>
      <c r="AQ31" s="310"/>
      <c r="AR31" s="311"/>
      <c r="AS31" s="311"/>
      <c r="AT31" s="309"/>
      <c r="AU31" s="310"/>
      <c r="AV31" s="311"/>
      <c r="AW31" s="311"/>
      <c r="AX31" s="309"/>
      <c r="AY31" s="310"/>
      <c r="AZ31" s="311"/>
      <c r="BA31" s="311"/>
      <c r="BB31" s="309"/>
      <c r="BC31" s="310"/>
      <c r="BD31" s="311"/>
      <c r="BE31" s="311"/>
      <c r="BF31" s="309"/>
      <c r="BG31" s="310"/>
      <c r="BH31" s="311"/>
      <c r="BI31" s="311"/>
      <c r="BJ31" s="309"/>
      <c r="BK31" s="310"/>
      <c r="BL31" s="311"/>
      <c r="BM31" s="311"/>
      <c r="BN31" s="309"/>
      <c r="BO31" s="310"/>
      <c r="BP31" s="311"/>
      <c r="BQ31" s="311"/>
      <c r="BR31" s="309"/>
      <c r="BS31" s="310"/>
      <c r="BT31" s="311"/>
      <c r="BU31" s="311"/>
      <c r="BV31" s="309"/>
      <c r="BW31" s="310"/>
      <c r="BX31" s="311"/>
      <c r="BY31" s="311"/>
      <c r="BZ31" s="309"/>
      <c r="CA31" s="310"/>
      <c r="CB31" s="311"/>
      <c r="CC31" s="311"/>
      <c r="CD31" s="309"/>
      <c r="CE31" s="310"/>
      <c r="CF31" s="311"/>
      <c r="CG31" s="311"/>
      <c r="CH31" s="309"/>
      <c r="CI31" s="310"/>
      <c r="CJ31" s="311"/>
      <c r="CK31" s="311"/>
      <c r="CL31" s="309"/>
      <c r="CM31" s="310"/>
      <c r="CN31" s="311"/>
      <c r="CO31" s="311"/>
      <c r="CP31" s="309"/>
      <c r="CQ31" s="310"/>
      <c r="CR31" s="311"/>
      <c r="CS31" s="311"/>
      <c r="CT31" s="309"/>
      <c r="CU31" s="310"/>
      <c r="CV31" s="311"/>
      <c r="CW31" s="311"/>
      <c r="CX31" s="309"/>
      <c r="CY31" s="310"/>
      <c r="CZ31" s="311"/>
      <c r="DA31" s="311"/>
      <c r="DB31" s="309"/>
      <c r="DC31" s="310"/>
      <c r="DD31" s="311"/>
      <c r="DE31" s="311"/>
      <c r="DF31" s="309"/>
      <c r="DG31" s="310"/>
      <c r="DH31" s="311"/>
      <c r="DI31" s="311"/>
      <c r="DJ31" s="309"/>
      <c r="DK31" s="310"/>
      <c r="DL31" s="311"/>
      <c r="DM31" s="311"/>
      <c r="DN31" s="309"/>
      <c r="DO31" s="310"/>
      <c r="DP31" s="311"/>
      <c r="DQ31" s="311"/>
      <c r="DR31" s="309"/>
      <c r="DS31" s="310"/>
      <c r="DT31" s="311"/>
      <c r="DU31" s="311"/>
      <c r="DV31" s="309"/>
      <c r="DW31" s="310"/>
      <c r="DX31" s="311"/>
      <c r="DY31" s="311"/>
      <c r="DZ31" s="309"/>
      <c r="EA31" s="310"/>
      <c r="EB31" s="311"/>
      <c r="EC31" s="311"/>
      <c r="ED31" s="309"/>
      <c r="EE31" s="310"/>
      <c r="EF31" s="311"/>
      <c r="EG31" s="311"/>
      <c r="EH31" s="309"/>
      <c r="EI31" s="310"/>
      <c r="EJ31" s="311"/>
      <c r="EK31" s="311"/>
      <c r="EL31" s="309"/>
      <c r="EM31" s="310"/>
      <c r="EN31" s="311"/>
      <c r="EO31" s="311"/>
      <c r="EP31" s="309"/>
      <c r="EQ31" s="310"/>
      <c r="ER31" s="311"/>
      <c r="ES31" s="311"/>
      <c r="ET31" s="309"/>
      <c r="EU31" s="310"/>
      <c r="EV31" s="311"/>
      <c r="EW31" s="311"/>
      <c r="EX31" s="309"/>
      <c r="EY31" s="310"/>
      <c r="EZ31" s="311"/>
      <c r="FA31" s="311"/>
      <c r="FB31" s="309"/>
      <c r="FC31" s="310"/>
      <c r="FD31" s="311"/>
      <c r="FE31" s="311"/>
      <c r="FF31" s="309"/>
      <c r="FG31" s="310"/>
      <c r="FH31" s="311"/>
      <c r="FI31" s="311"/>
      <c r="FJ31" s="309"/>
      <c r="FK31" s="310"/>
      <c r="FL31" s="311"/>
      <c r="FM31" s="311"/>
      <c r="FN31" s="309"/>
      <c r="FO31" s="310"/>
      <c r="FP31" s="311"/>
      <c r="FQ31" s="311"/>
      <c r="FR31" s="309"/>
      <c r="FS31" s="310"/>
      <c r="FT31" s="311"/>
      <c r="FU31" s="311"/>
      <c r="FV31" s="309"/>
      <c r="FW31" s="310"/>
      <c r="FX31" s="311"/>
      <c r="FY31" s="311"/>
      <c r="FZ31" s="309"/>
      <c r="GA31" s="310"/>
      <c r="GB31" s="311"/>
      <c r="GC31" s="311"/>
      <c r="GD31" s="309"/>
      <c r="GE31" s="310"/>
      <c r="GF31" s="311"/>
      <c r="GG31" s="311"/>
      <c r="GH31" s="309"/>
      <c r="GI31" s="310"/>
      <c r="GJ31" s="311"/>
      <c r="GK31" s="311"/>
      <c r="GL31" s="309"/>
      <c r="GM31" s="310"/>
      <c r="GN31" s="311"/>
      <c r="GO31" s="311"/>
      <c r="GP31" s="309"/>
      <c r="GQ31" s="310"/>
      <c r="GR31" s="311"/>
      <c r="GS31" s="311"/>
      <c r="GT31" s="309"/>
      <c r="GU31" s="310"/>
      <c r="GV31" s="311"/>
      <c r="GW31" s="311"/>
      <c r="GX31" s="309"/>
      <c r="GY31" s="310"/>
      <c r="GZ31" s="311"/>
      <c r="HA31" s="311"/>
      <c r="HB31" s="309"/>
      <c r="HC31" s="312">
        <f t="shared" si="62"/>
        <v>0</v>
      </c>
      <c r="HD31" s="313">
        <f t="shared" si="62"/>
        <v>0</v>
      </c>
      <c r="HE31" s="313">
        <f t="shared" si="62"/>
        <v>0</v>
      </c>
      <c r="HF31" s="314"/>
      <c r="HG31" s="312">
        <f>SUM(SUMIFS(K31:HB31,$K$13:$HB$13,{"エネルギー管理指定工場等*","県域*"}))</f>
        <v>0</v>
      </c>
      <c r="HH31" s="313">
        <f>SUM(SUMIFS(L31:HC31,$K$13:$HB$13,{"エネルギー管理指定工場等*","県域*"}))</f>
        <v>0</v>
      </c>
      <c r="HI31" s="313">
        <f>SUM(SUMIFS(M31:HD31,$K$13:$HB$13,{"エネルギー管理指定工場等*","県域*"}))</f>
        <v>0</v>
      </c>
      <c r="HJ31" s="314"/>
      <c r="HL31" s="219">
        <v>22</v>
      </c>
      <c r="HM31" s="714"/>
      <c r="HN31" s="715" t="str">
        <f ca="1">IF(COUNTIF(HN$10:HN30,OFFSET(A1_原単位2024,5,HL31+2))&gt;=1,"",OFFSET(A1_原単位2024,5,HL31+2)&amp;"")</f>
        <v/>
      </c>
      <c r="HO31" s="716" t="str">
        <f t="shared" ca="1" si="49"/>
        <v/>
      </c>
      <c r="HP31" s="717" t="str">
        <f t="shared" ca="1" si="50"/>
        <v/>
      </c>
      <c r="HQ31" s="714"/>
      <c r="HR31" s="715" t="str">
        <f ca="1">IF(COUNTIF(HR$10:HR30,OFFSET(A1_原単位2024,17,HL31+2))&gt;=1,"",OFFSET(A1_原単位2024,17,HL31+2)&amp;"")</f>
        <v/>
      </c>
      <c r="HS31" s="718" t="str">
        <f t="shared" ca="1" si="51"/>
        <v/>
      </c>
      <c r="HT31" s="719" t="str">
        <f t="shared" ca="1" si="52"/>
        <v/>
      </c>
      <c r="HU31" s="714"/>
      <c r="HV31" s="715" t="str">
        <f ca="1">IF(COUNTIF(HV$10:HV30,OFFSET(A1_原単位2024,29,HL31+2))&gt;=1,"",OFFSET(A1_原単位2024,29,HL31+2)&amp;"")</f>
        <v/>
      </c>
      <c r="HW31" s="718" t="str">
        <f t="shared" ca="1" si="53"/>
        <v/>
      </c>
      <c r="HX31" s="719" t="str">
        <f t="shared" ca="1" si="54"/>
        <v/>
      </c>
      <c r="HY31" s="714"/>
      <c r="HZ31" s="715" t="str">
        <f ca="1">IF(COUNTIF(HZ$10:HZ30,OFFSET(A1_原単位2024,41,HL31+2))&gt;=1,"",OFFSET(A1_原単位2024,41,HL31+2)&amp;"")</f>
        <v/>
      </c>
      <c r="IA31" s="720" t="str">
        <f t="shared" ca="1" si="55"/>
        <v/>
      </c>
      <c r="IB31" s="721" t="str">
        <f t="shared" ca="1" si="56"/>
        <v/>
      </c>
      <c r="IE31" s="159" t="str">
        <f t="shared" ca="1" si="57"/>
        <v/>
      </c>
      <c r="IF31" s="159" t="str">
        <f t="shared" ca="1" si="58"/>
        <v/>
      </c>
      <c r="IG31" s="159" t="str">
        <f t="shared" ca="1" si="59"/>
        <v/>
      </c>
      <c r="IH31" s="159" t="str">
        <f t="shared" ca="1" si="60"/>
        <v/>
      </c>
    </row>
    <row r="32" spans="1:242" ht="19.8">
      <c r="A32" s="164"/>
      <c r="B32" s="302"/>
      <c r="C32" s="317" t="s">
        <v>580</v>
      </c>
      <c r="D32" s="303" t="s">
        <v>581</v>
      </c>
      <c r="E32" s="305"/>
      <c r="F32" s="303" t="s">
        <v>455</v>
      </c>
      <c r="G32" s="306">
        <v>28.7</v>
      </c>
      <c r="H32" s="307">
        <v>2.46E-2</v>
      </c>
      <c r="I32" s="308"/>
      <c r="J32" s="309"/>
      <c r="K32" s="310"/>
      <c r="L32" s="311"/>
      <c r="M32" s="311"/>
      <c r="N32" s="309"/>
      <c r="O32" s="310"/>
      <c r="P32" s="311"/>
      <c r="Q32" s="311"/>
      <c r="R32" s="309"/>
      <c r="S32" s="310"/>
      <c r="T32" s="311"/>
      <c r="U32" s="311"/>
      <c r="V32" s="309"/>
      <c r="W32" s="310"/>
      <c r="X32" s="311"/>
      <c r="Y32" s="311"/>
      <c r="Z32" s="309"/>
      <c r="AA32" s="310"/>
      <c r="AB32" s="311"/>
      <c r="AC32" s="311"/>
      <c r="AD32" s="309"/>
      <c r="AE32" s="310"/>
      <c r="AF32" s="311"/>
      <c r="AG32" s="311"/>
      <c r="AH32" s="309"/>
      <c r="AI32" s="310"/>
      <c r="AJ32" s="311"/>
      <c r="AK32" s="311"/>
      <c r="AL32" s="309"/>
      <c r="AM32" s="310"/>
      <c r="AN32" s="311"/>
      <c r="AO32" s="311"/>
      <c r="AP32" s="309"/>
      <c r="AQ32" s="310"/>
      <c r="AR32" s="311"/>
      <c r="AS32" s="311"/>
      <c r="AT32" s="309"/>
      <c r="AU32" s="310"/>
      <c r="AV32" s="311"/>
      <c r="AW32" s="311"/>
      <c r="AX32" s="309"/>
      <c r="AY32" s="310"/>
      <c r="AZ32" s="311"/>
      <c r="BA32" s="311"/>
      <c r="BB32" s="309"/>
      <c r="BC32" s="310"/>
      <c r="BD32" s="311"/>
      <c r="BE32" s="311"/>
      <c r="BF32" s="309"/>
      <c r="BG32" s="310"/>
      <c r="BH32" s="311"/>
      <c r="BI32" s="311"/>
      <c r="BJ32" s="309"/>
      <c r="BK32" s="310"/>
      <c r="BL32" s="311"/>
      <c r="BM32" s="311"/>
      <c r="BN32" s="309"/>
      <c r="BO32" s="310"/>
      <c r="BP32" s="311"/>
      <c r="BQ32" s="311"/>
      <c r="BR32" s="309"/>
      <c r="BS32" s="310"/>
      <c r="BT32" s="311"/>
      <c r="BU32" s="311"/>
      <c r="BV32" s="309"/>
      <c r="BW32" s="310"/>
      <c r="BX32" s="311"/>
      <c r="BY32" s="311"/>
      <c r="BZ32" s="309"/>
      <c r="CA32" s="310"/>
      <c r="CB32" s="311"/>
      <c r="CC32" s="311"/>
      <c r="CD32" s="309"/>
      <c r="CE32" s="310"/>
      <c r="CF32" s="311"/>
      <c r="CG32" s="311"/>
      <c r="CH32" s="309"/>
      <c r="CI32" s="310"/>
      <c r="CJ32" s="311"/>
      <c r="CK32" s="311"/>
      <c r="CL32" s="309"/>
      <c r="CM32" s="310"/>
      <c r="CN32" s="311"/>
      <c r="CO32" s="311"/>
      <c r="CP32" s="309"/>
      <c r="CQ32" s="310"/>
      <c r="CR32" s="311"/>
      <c r="CS32" s="311"/>
      <c r="CT32" s="309"/>
      <c r="CU32" s="310"/>
      <c r="CV32" s="311"/>
      <c r="CW32" s="311"/>
      <c r="CX32" s="309"/>
      <c r="CY32" s="310"/>
      <c r="CZ32" s="311"/>
      <c r="DA32" s="311"/>
      <c r="DB32" s="309"/>
      <c r="DC32" s="310"/>
      <c r="DD32" s="311"/>
      <c r="DE32" s="311"/>
      <c r="DF32" s="309"/>
      <c r="DG32" s="310"/>
      <c r="DH32" s="311"/>
      <c r="DI32" s="311"/>
      <c r="DJ32" s="309"/>
      <c r="DK32" s="310"/>
      <c r="DL32" s="311"/>
      <c r="DM32" s="311"/>
      <c r="DN32" s="309"/>
      <c r="DO32" s="310"/>
      <c r="DP32" s="311"/>
      <c r="DQ32" s="311"/>
      <c r="DR32" s="309"/>
      <c r="DS32" s="310"/>
      <c r="DT32" s="311"/>
      <c r="DU32" s="311"/>
      <c r="DV32" s="309"/>
      <c r="DW32" s="310"/>
      <c r="DX32" s="311"/>
      <c r="DY32" s="311"/>
      <c r="DZ32" s="309"/>
      <c r="EA32" s="310"/>
      <c r="EB32" s="311"/>
      <c r="EC32" s="311"/>
      <c r="ED32" s="309"/>
      <c r="EE32" s="310"/>
      <c r="EF32" s="311"/>
      <c r="EG32" s="311"/>
      <c r="EH32" s="309"/>
      <c r="EI32" s="310"/>
      <c r="EJ32" s="311"/>
      <c r="EK32" s="311"/>
      <c r="EL32" s="309"/>
      <c r="EM32" s="310"/>
      <c r="EN32" s="311"/>
      <c r="EO32" s="311"/>
      <c r="EP32" s="309"/>
      <c r="EQ32" s="310"/>
      <c r="ER32" s="311"/>
      <c r="ES32" s="311"/>
      <c r="ET32" s="309"/>
      <c r="EU32" s="310"/>
      <c r="EV32" s="311"/>
      <c r="EW32" s="311"/>
      <c r="EX32" s="309"/>
      <c r="EY32" s="310"/>
      <c r="EZ32" s="311"/>
      <c r="FA32" s="311"/>
      <c r="FB32" s="309"/>
      <c r="FC32" s="310"/>
      <c r="FD32" s="311"/>
      <c r="FE32" s="311"/>
      <c r="FF32" s="309"/>
      <c r="FG32" s="310"/>
      <c r="FH32" s="311"/>
      <c r="FI32" s="311"/>
      <c r="FJ32" s="309"/>
      <c r="FK32" s="310"/>
      <c r="FL32" s="311"/>
      <c r="FM32" s="311"/>
      <c r="FN32" s="309"/>
      <c r="FO32" s="310"/>
      <c r="FP32" s="311"/>
      <c r="FQ32" s="311"/>
      <c r="FR32" s="309"/>
      <c r="FS32" s="310"/>
      <c r="FT32" s="311"/>
      <c r="FU32" s="311"/>
      <c r="FV32" s="309"/>
      <c r="FW32" s="310"/>
      <c r="FX32" s="311"/>
      <c r="FY32" s="311"/>
      <c r="FZ32" s="309"/>
      <c r="GA32" s="310"/>
      <c r="GB32" s="311"/>
      <c r="GC32" s="311"/>
      <c r="GD32" s="309"/>
      <c r="GE32" s="310"/>
      <c r="GF32" s="311"/>
      <c r="GG32" s="311"/>
      <c r="GH32" s="309"/>
      <c r="GI32" s="310"/>
      <c r="GJ32" s="311"/>
      <c r="GK32" s="311"/>
      <c r="GL32" s="309"/>
      <c r="GM32" s="310"/>
      <c r="GN32" s="311"/>
      <c r="GO32" s="311"/>
      <c r="GP32" s="309"/>
      <c r="GQ32" s="310"/>
      <c r="GR32" s="311"/>
      <c r="GS32" s="311"/>
      <c r="GT32" s="309"/>
      <c r="GU32" s="310"/>
      <c r="GV32" s="311"/>
      <c r="GW32" s="311"/>
      <c r="GX32" s="309"/>
      <c r="GY32" s="310"/>
      <c r="GZ32" s="311"/>
      <c r="HA32" s="311"/>
      <c r="HB32" s="309"/>
      <c r="HC32" s="312">
        <f t="shared" si="62"/>
        <v>0</v>
      </c>
      <c r="HD32" s="313">
        <f t="shared" si="62"/>
        <v>0</v>
      </c>
      <c r="HE32" s="313">
        <f t="shared" si="62"/>
        <v>0</v>
      </c>
      <c r="HF32" s="314"/>
      <c r="HG32" s="312">
        <f>SUM(SUMIFS(K32:HB32,$K$13:$HB$13,{"エネルギー管理指定工場等*","県域*"}))</f>
        <v>0</v>
      </c>
      <c r="HH32" s="313">
        <f>SUM(SUMIFS(L32:HC32,$K$13:$HB$13,{"エネルギー管理指定工場等*","県域*"}))</f>
        <v>0</v>
      </c>
      <c r="HI32" s="313">
        <f>SUM(SUMIFS(M32:HD32,$K$13:$HB$13,{"エネルギー管理指定工場等*","県域*"}))</f>
        <v>0</v>
      </c>
      <c r="HJ32" s="314"/>
      <c r="HL32" s="230">
        <v>23</v>
      </c>
      <c r="HM32" s="714"/>
      <c r="HN32" s="715" t="str">
        <f ca="1">IF(COUNTIF(HN$10:HN31,OFFSET(A1_原単位2024,5,HL32+2))&gt;=1,"",OFFSET(A1_原単位2024,5,HL32+2)&amp;"")</f>
        <v/>
      </c>
      <c r="HO32" s="716" t="str">
        <f t="shared" ca="1" si="49"/>
        <v/>
      </c>
      <c r="HP32" s="717" t="str">
        <f t="shared" ca="1" si="50"/>
        <v/>
      </c>
      <c r="HQ32" s="714"/>
      <c r="HR32" s="715" t="str">
        <f ca="1">IF(COUNTIF(HR$10:HR31,OFFSET(A1_原単位2024,17,HL32+2))&gt;=1,"",OFFSET(A1_原単位2024,17,HL32+2)&amp;"")</f>
        <v/>
      </c>
      <c r="HS32" s="718" t="str">
        <f t="shared" ca="1" si="51"/>
        <v/>
      </c>
      <c r="HT32" s="719" t="str">
        <f t="shared" ca="1" si="52"/>
        <v/>
      </c>
      <c r="HU32" s="714"/>
      <c r="HV32" s="715" t="str">
        <f ca="1">IF(COUNTIF(HV$10:HV31,OFFSET(A1_原単位2024,29,HL32+2))&gt;=1,"",OFFSET(A1_原単位2024,29,HL32+2)&amp;"")</f>
        <v/>
      </c>
      <c r="HW32" s="718" t="str">
        <f t="shared" ca="1" si="53"/>
        <v/>
      </c>
      <c r="HX32" s="719" t="str">
        <f t="shared" ca="1" si="54"/>
        <v/>
      </c>
      <c r="HY32" s="714"/>
      <c r="HZ32" s="715" t="str">
        <f ca="1">IF(COUNTIF(HZ$10:HZ31,OFFSET(A1_原単位2024,41,HL32+2))&gt;=1,"",OFFSET(A1_原単位2024,41,HL32+2)&amp;"")</f>
        <v/>
      </c>
      <c r="IA32" s="720" t="str">
        <f t="shared" ca="1" si="55"/>
        <v/>
      </c>
      <c r="IB32" s="721" t="str">
        <f t="shared" ca="1" si="56"/>
        <v/>
      </c>
      <c r="IE32" s="159" t="str">
        <f t="shared" ca="1" si="57"/>
        <v/>
      </c>
      <c r="IF32" s="159" t="str">
        <f t="shared" ca="1" si="58"/>
        <v/>
      </c>
      <c r="IG32" s="159" t="str">
        <f t="shared" ca="1" si="59"/>
        <v/>
      </c>
      <c r="IH32" s="159" t="str">
        <f t="shared" ca="1" si="60"/>
        <v/>
      </c>
    </row>
    <row r="33" spans="1:242" ht="19.8">
      <c r="A33" s="164"/>
      <c r="B33" s="302"/>
      <c r="C33" s="319"/>
      <c r="D33" s="303" t="s">
        <v>582</v>
      </c>
      <c r="E33" s="305"/>
      <c r="F33" s="303" t="s">
        <v>455</v>
      </c>
      <c r="G33" s="306">
        <v>28.9</v>
      </c>
      <c r="H33" s="307">
        <v>2.4500000000000001E-2</v>
      </c>
      <c r="I33" s="308"/>
      <c r="J33" s="309"/>
      <c r="K33" s="310"/>
      <c r="L33" s="311"/>
      <c r="M33" s="311"/>
      <c r="N33" s="309"/>
      <c r="O33" s="310"/>
      <c r="P33" s="311"/>
      <c r="Q33" s="311"/>
      <c r="R33" s="309"/>
      <c r="S33" s="310"/>
      <c r="T33" s="311"/>
      <c r="U33" s="311"/>
      <c r="V33" s="309"/>
      <c r="W33" s="310"/>
      <c r="X33" s="311"/>
      <c r="Y33" s="311"/>
      <c r="Z33" s="309"/>
      <c r="AA33" s="310"/>
      <c r="AB33" s="311"/>
      <c r="AC33" s="311"/>
      <c r="AD33" s="309"/>
      <c r="AE33" s="310"/>
      <c r="AF33" s="311"/>
      <c r="AG33" s="311"/>
      <c r="AH33" s="309"/>
      <c r="AI33" s="310"/>
      <c r="AJ33" s="311"/>
      <c r="AK33" s="311"/>
      <c r="AL33" s="309"/>
      <c r="AM33" s="310"/>
      <c r="AN33" s="311"/>
      <c r="AO33" s="311"/>
      <c r="AP33" s="309"/>
      <c r="AQ33" s="310"/>
      <c r="AR33" s="311"/>
      <c r="AS33" s="311"/>
      <c r="AT33" s="309"/>
      <c r="AU33" s="310"/>
      <c r="AV33" s="311"/>
      <c r="AW33" s="311"/>
      <c r="AX33" s="309"/>
      <c r="AY33" s="310"/>
      <c r="AZ33" s="311"/>
      <c r="BA33" s="311"/>
      <c r="BB33" s="309"/>
      <c r="BC33" s="310"/>
      <c r="BD33" s="311"/>
      <c r="BE33" s="311"/>
      <c r="BF33" s="309"/>
      <c r="BG33" s="310"/>
      <c r="BH33" s="311"/>
      <c r="BI33" s="311"/>
      <c r="BJ33" s="309"/>
      <c r="BK33" s="310"/>
      <c r="BL33" s="311"/>
      <c r="BM33" s="311"/>
      <c r="BN33" s="309"/>
      <c r="BO33" s="310"/>
      <c r="BP33" s="311"/>
      <c r="BQ33" s="311"/>
      <c r="BR33" s="309"/>
      <c r="BS33" s="310"/>
      <c r="BT33" s="311"/>
      <c r="BU33" s="311"/>
      <c r="BV33" s="309"/>
      <c r="BW33" s="310"/>
      <c r="BX33" s="311"/>
      <c r="BY33" s="311"/>
      <c r="BZ33" s="309"/>
      <c r="CA33" s="310"/>
      <c r="CB33" s="311"/>
      <c r="CC33" s="311"/>
      <c r="CD33" s="309"/>
      <c r="CE33" s="310"/>
      <c r="CF33" s="311"/>
      <c r="CG33" s="311"/>
      <c r="CH33" s="309"/>
      <c r="CI33" s="310"/>
      <c r="CJ33" s="311"/>
      <c r="CK33" s="311"/>
      <c r="CL33" s="309"/>
      <c r="CM33" s="310"/>
      <c r="CN33" s="311"/>
      <c r="CO33" s="311"/>
      <c r="CP33" s="309"/>
      <c r="CQ33" s="310"/>
      <c r="CR33" s="311"/>
      <c r="CS33" s="311"/>
      <c r="CT33" s="309"/>
      <c r="CU33" s="310"/>
      <c r="CV33" s="311"/>
      <c r="CW33" s="311"/>
      <c r="CX33" s="309"/>
      <c r="CY33" s="310"/>
      <c r="CZ33" s="311"/>
      <c r="DA33" s="311"/>
      <c r="DB33" s="309"/>
      <c r="DC33" s="310"/>
      <c r="DD33" s="311"/>
      <c r="DE33" s="311"/>
      <c r="DF33" s="309"/>
      <c r="DG33" s="310"/>
      <c r="DH33" s="311"/>
      <c r="DI33" s="311"/>
      <c r="DJ33" s="309"/>
      <c r="DK33" s="310"/>
      <c r="DL33" s="311"/>
      <c r="DM33" s="311"/>
      <c r="DN33" s="309"/>
      <c r="DO33" s="310"/>
      <c r="DP33" s="311"/>
      <c r="DQ33" s="311"/>
      <c r="DR33" s="309"/>
      <c r="DS33" s="310"/>
      <c r="DT33" s="311"/>
      <c r="DU33" s="311"/>
      <c r="DV33" s="309"/>
      <c r="DW33" s="310"/>
      <c r="DX33" s="311"/>
      <c r="DY33" s="311"/>
      <c r="DZ33" s="309"/>
      <c r="EA33" s="310"/>
      <c r="EB33" s="311"/>
      <c r="EC33" s="311"/>
      <c r="ED33" s="309"/>
      <c r="EE33" s="310"/>
      <c r="EF33" s="311"/>
      <c r="EG33" s="311"/>
      <c r="EH33" s="309"/>
      <c r="EI33" s="310"/>
      <c r="EJ33" s="311"/>
      <c r="EK33" s="311"/>
      <c r="EL33" s="309"/>
      <c r="EM33" s="310"/>
      <c r="EN33" s="311"/>
      <c r="EO33" s="311"/>
      <c r="EP33" s="309"/>
      <c r="EQ33" s="310"/>
      <c r="ER33" s="311"/>
      <c r="ES33" s="311"/>
      <c r="ET33" s="309"/>
      <c r="EU33" s="310"/>
      <c r="EV33" s="311"/>
      <c r="EW33" s="311"/>
      <c r="EX33" s="309"/>
      <c r="EY33" s="310"/>
      <c r="EZ33" s="311"/>
      <c r="FA33" s="311"/>
      <c r="FB33" s="309"/>
      <c r="FC33" s="310"/>
      <c r="FD33" s="311"/>
      <c r="FE33" s="311"/>
      <c r="FF33" s="309"/>
      <c r="FG33" s="310"/>
      <c r="FH33" s="311"/>
      <c r="FI33" s="311"/>
      <c r="FJ33" s="309"/>
      <c r="FK33" s="310"/>
      <c r="FL33" s="311"/>
      <c r="FM33" s="311"/>
      <c r="FN33" s="309"/>
      <c r="FO33" s="310"/>
      <c r="FP33" s="311"/>
      <c r="FQ33" s="311"/>
      <c r="FR33" s="309"/>
      <c r="FS33" s="310"/>
      <c r="FT33" s="311"/>
      <c r="FU33" s="311"/>
      <c r="FV33" s="309"/>
      <c r="FW33" s="310"/>
      <c r="FX33" s="311"/>
      <c r="FY33" s="311"/>
      <c r="FZ33" s="309"/>
      <c r="GA33" s="310"/>
      <c r="GB33" s="311"/>
      <c r="GC33" s="311"/>
      <c r="GD33" s="309"/>
      <c r="GE33" s="310"/>
      <c r="GF33" s="311"/>
      <c r="GG33" s="311"/>
      <c r="GH33" s="309"/>
      <c r="GI33" s="310"/>
      <c r="GJ33" s="311"/>
      <c r="GK33" s="311"/>
      <c r="GL33" s="309"/>
      <c r="GM33" s="310"/>
      <c r="GN33" s="311"/>
      <c r="GO33" s="311"/>
      <c r="GP33" s="309"/>
      <c r="GQ33" s="310"/>
      <c r="GR33" s="311"/>
      <c r="GS33" s="311"/>
      <c r="GT33" s="309"/>
      <c r="GU33" s="310"/>
      <c r="GV33" s="311"/>
      <c r="GW33" s="311"/>
      <c r="GX33" s="309"/>
      <c r="GY33" s="310"/>
      <c r="GZ33" s="311"/>
      <c r="HA33" s="311"/>
      <c r="HB33" s="309"/>
      <c r="HC33" s="312">
        <f t="shared" si="62"/>
        <v>0</v>
      </c>
      <c r="HD33" s="313">
        <f t="shared" si="62"/>
        <v>0</v>
      </c>
      <c r="HE33" s="313">
        <f t="shared" si="62"/>
        <v>0</v>
      </c>
      <c r="HF33" s="314"/>
      <c r="HG33" s="312">
        <f>SUM(SUMIFS(K33:HB33,$K$13:$HB$13,{"エネルギー管理指定工場等*","県域*"}))</f>
        <v>0</v>
      </c>
      <c r="HH33" s="313">
        <f>SUM(SUMIFS(L33:HC33,$K$13:$HB$13,{"エネルギー管理指定工場等*","県域*"}))</f>
        <v>0</v>
      </c>
      <c r="HI33" s="313">
        <f>SUM(SUMIFS(M33:HD33,$K$13:$HB$13,{"エネルギー管理指定工場等*","県域*"}))</f>
        <v>0</v>
      </c>
      <c r="HJ33" s="314"/>
      <c r="HL33" s="219">
        <v>24</v>
      </c>
      <c r="HM33" s="714"/>
      <c r="HN33" s="715" t="str">
        <f ca="1">IF(COUNTIF(HN$10:HN32,OFFSET(A1_原単位2024,5,HL33+2))&gt;=1,"",OFFSET(A1_原単位2024,5,HL33+2)&amp;"")</f>
        <v/>
      </c>
      <c r="HO33" s="716" t="str">
        <f t="shared" ca="1" si="49"/>
        <v/>
      </c>
      <c r="HP33" s="717" t="str">
        <f t="shared" ca="1" si="50"/>
        <v/>
      </c>
      <c r="HQ33" s="714"/>
      <c r="HR33" s="715" t="str">
        <f ca="1">IF(COUNTIF(HR$10:HR32,OFFSET(A1_原単位2024,17,HL33+2))&gt;=1,"",OFFSET(A1_原単位2024,17,HL33+2)&amp;"")</f>
        <v/>
      </c>
      <c r="HS33" s="718" t="str">
        <f t="shared" ca="1" si="51"/>
        <v/>
      </c>
      <c r="HT33" s="719" t="str">
        <f t="shared" ca="1" si="52"/>
        <v/>
      </c>
      <c r="HU33" s="714"/>
      <c r="HV33" s="715" t="str">
        <f ca="1">IF(COUNTIF(HV$10:HV32,OFFSET(A1_原単位2024,29,HL33+2))&gt;=1,"",OFFSET(A1_原単位2024,29,HL33+2)&amp;"")</f>
        <v/>
      </c>
      <c r="HW33" s="718" t="str">
        <f t="shared" ca="1" si="53"/>
        <v/>
      </c>
      <c r="HX33" s="719" t="str">
        <f t="shared" ca="1" si="54"/>
        <v/>
      </c>
      <c r="HY33" s="714"/>
      <c r="HZ33" s="715" t="str">
        <f ca="1">IF(COUNTIF(HZ$10:HZ32,OFFSET(A1_原単位2024,41,HL33+2))&gt;=1,"",OFFSET(A1_原単位2024,41,HL33+2)&amp;"")</f>
        <v/>
      </c>
      <c r="IA33" s="720" t="str">
        <f t="shared" ca="1" si="55"/>
        <v/>
      </c>
      <c r="IB33" s="721" t="str">
        <f t="shared" ca="1" si="56"/>
        <v/>
      </c>
      <c r="IE33" s="159" t="str">
        <f t="shared" ca="1" si="57"/>
        <v/>
      </c>
      <c r="IF33" s="159" t="str">
        <f t="shared" ca="1" si="58"/>
        <v/>
      </c>
      <c r="IG33" s="159" t="str">
        <f t="shared" ca="1" si="59"/>
        <v/>
      </c>
      <c r="IH33" s="159" t="str">
        <f t="shared" ca="1" si="60"/>
        <v/>
      </c>
    </row>
    <row r="34" spans="1:242" ht="19.8">
      <c r="A34" s="164"/>
      <c r="B34" s="302"/>
      <c r="C34" s="319"/>
      <c r="D34" s="303" t="s">
        <v>583</v>
      </c>
      <c r="E34" s="305"/>
      <c r="F34" s="303" t="s">
        <v>455</v>
      </c>
      <c r="G34" s="306">
        <v>28.3</v>
      </c>
      <c r="H34" s="307">
        <v>2.5100000000000001E-2</v>
      </c>
      <c r="I34" s="308"/>
      <c r="J34" s="309"/>
      <c r="K34" s="310"/>
      <c r="L34" s="311"/>
      <c r="M34" s="311"/>
      <c r="N34" s="309"/>
      <c r="O34" s="310"/>
      <c r="P34" s="311"/>
      <c r="Q34" s="311"/>
      <c r="R34" s="309"/>
      <c r="S34" s="310"/>
      <c r="T34" s="311"/>
      <c r="U34" s="311"/>
      <c r="V34" s="309"/>
      <c r="W34" s="310"/>
      <c r="X34" s="311"/>
      <c r="Y34" s="311"/>
      <c r="Z34" s="309"/>
      <c r="AA34" s="310"/>
      <c r="AB34" s="311"/>
      <c r="AC34" s="311"/>
      <c r="AD34" s="309"/>
      <c r="AE34" s="310"/>
      <c r="AF34" s="311"/>
      <c r="AG34" s="311"/>
      <c r="AH34" s="309"/>
      <c r="AI34" s="310"/>
      <c r="AJ34" s="311"/>
      <c r="AK34" s="311"/>
      <c r="AL34" s="309"/>
      <c r="AM34" s="310"/>
      <c r="AN34" s="311"/>
      <c r="AO34" s="311"/>
      <c r="AP34" s="309"/>
      <c r="AQ34" s="310"/>
      <c r="AR34" s="311"/>
      <c r="AS34" s="311"/>
      <c r="AT34" s="309"/>
      <c r="AU34" s="310"/>
      <c r="AV34" s="311"/>
      <c r="AW34" s="311"/>
      <c r="AX34" s="309"/>
      <c r="AY34" s="310"/>
      <c r="AZ34" s="311"/>
      <c r="BA34" s="311"/>
      <c r="BB34" s="309"/>
      <c r="BC34" s="310"/>
      <c r="BD34" s="311"/>
      <c r="BE34" s="311"/>
      <c r="BF34" s="309"/>
      <c r="BG34" s="310"/>
      <c r="BH34" s="311"/>
      <c r="BI34" s="311"/>
      <c r="BJ34" s="309"/>
      <c r="BK34" s="310"/>
      <c r="BL34" s="311"/>
      <c r="BM34" s="311"/>
      <c r="BN34" s="309"/>
      <c r="BO34" s="310"/>
      <c r="BP34" s="311"/>
      <c r="BQ34" s="311"/>
      <c r="BR34" s="309"/>
      <c r="BS34" s="310"/>
      <c r="BT34" s="311"/>
      <c r="BU34" s="311"/>
      <c r="BV34" s="309"/>
      <c r="BW34" s="310"/>
      <c r="BX34" s="311"/>
      <c r="BY34" s="311"/>
      <c r="BZ34" s="309"/>
      <c r="CA34" s="310"/>
      <c r="CB34" s="311"/>
      <c r="CC34" s="311"/>
      <c r="CD34" s="309"/>
      <c r="CE34" s="310"/>
      <c r="CF34" s="311"/>
      <c r="CG34" s="311"/>
      <c r="CH34" s="309"/>
      <c r="CI34" s="310"/>
      <c r="CJ34" s="311"/>
      <c r="CK34" s="311"/>
      <c r="CL34" s="309"/>
      <c r="CM34" s="310"/>
      <c r="CN34" s="311"/>
      <c r="CO34" s="311"/>
      <c r="CP34" s="309"/>
      <c r="CQ34" s="310"/>
      <c r="CR34" s="311"/>
      <c r="CS34" s="311"/>
      <c r="CT34" s="309"/>
      <c r="CU34" s="310"/>
      <c r="CV34" s="311"/>
      <c r="CW34" s="311"/>
      <c r="CX34" s="309"/>
      <c r="CY34" s="310"/>
      <c r="CZ34" s="311"/>
      <c r="DA34" s="311"/>
      <c r="DB34" s="309"/>
      <c r="DC34" s="310"/>
      <c r="DD34" s="311"/>
      <c r="DE34" s="311"/>
      <c r="DF34" s="309"/>
      <c r="DG34" s="310"/>
      <c r="DH34" s="311"/>
      <c r="DI34" s="311"/>
      <c r="DJ34" s="309"/>
      <c r="DK34" s="310"/>
      <c r="DL34" s="311"/>
      <c r="DM34" s="311"/>
      <c r="DN34" s="309"/>
      <c r="DO34" s="310"/>
      <c r="DP34" s="311"/>
      <c r="DQ34" s="311"/>
      <c r="DR34" s="309"/>
      <c r="DS34" s="310"/>
      <c r="DT34" s="311"/>
      <c r="DU34" s="311"/>
      <c r="DV34" s="309"/>
      <c r="DW34" s="310"/>
      <c r="DX34" s="311"/>
      <c r="DY34" s="311"/>
      <c r="DZ34" s="309"/>
      <c r="EA34" s="310"/>
      <c r="EB34" s="311"/>
      <c r="EC34" s="311"/>
      <c r="ED34" s="309"/>
      <c r="EE34" s="310"/>
      <c r="EF34" s="311"/>
      <c r="EG34" s="311"/>
      <c r="EH34" s="309"/>
      <c r="EI34" s="310"/>
      <c r="EJ34" s="311"/>
      <c r="EK34" s="311"/>
      <c r="EL34" s="309"/>
      <c r="EM34" s="310"/>
      <c r="EN34" s="311"/>
      <c r="EO34" s="311"/>
      <c r="EP34" s="309"/>
      <c r="EQ34" s="310"/>
      <c r="ER34" s="311"/>
      <c r="ES34" s="311"/>
      <c r="ET34" s="309"/>
      <c r="EU34" s="310"/>
      <c r="EV34" s="311"/>
      <c r="EW34" s="311"/>
      <c r="EX34" s="309"/>
      <c r="EY34" s="310"/>
      <c r="EZ34" s="311"/>
      <c r="FA34" s="311"/>
      <c r="FB34" s="309"/>
      <c r="FC34" s="310"/>
      <c r="FD34" s="311"/>
      <c r="FE34" s="311"/>
      <c r="FF34" s="309"/>
      <c r="FG34" s="310"/>
      <c r="FH34" s="311"/>
      <c r="FI34" s="311"/>
      <c r="FJ34" s="309"/>
      <c r="FK34" s="310"/>
      <c r="FL34" s="311"/>
      <c r="FM34" s="311"/>
      <c r="FN34" s="309"/>
      <c r="FO34" s="310"/>
      <c r="FP34" s="311"/>
      <c r="FQ34" s="311"/>
      <c r="FR34" s="309"/>
      <c r="FS34" s="310"/>
      <c r="FT34" s="311"/>
      <c r="FU34" s="311"/>
      <c r="FV34" s="309"/>
      <c r="FW34" s="310"/>
      <c r="FX34" s="311"/>
      <c r="FY34" s="311"/>
      <c r="FZ34" s="309"/>
      <c r="GA34" s="310"/>
      <c r="GB34" s="311"/>
      <c r="GC34" s="311"/>
      <c r="GD34" s="309"/>
      <c r="GE34" s="310"/>
      <c r="GF34" s="311"/>
      <c r="GG34" s="311"/>
      <c r="GH34" s="309"/>
      <c r="GI34" s="310"/>
      <c r="GJ34" s="311"/>
      <c r="GK34" s="311"/>
      <c r="GL34" s="309"/>
      <c r="GM34" s="310"/>
      <c r="GN34" s="311"/>
      <c r="GO34" s="311"/>
      <c r="GP34" s="309"/>
      <c r="GQ34" s="310"/>
      <c r="GR34" s="311"/>
      <c r="GS34" s="311"/>
      <c r="GT34" s="309"/>
      <c r="GU34" s="310"/>
      <c r="GV34" s="311"/>
      <c r="GW34" s="311"/>
      <c r="GX34" s="309"/>
      <c r="GY34" s="310"/>
      <c r="GZ34" s="311"/>
      <c r="HA34" s="311"/>
      <c r="HB34" s="309"/>
      <c r="HC34" s="312">
        <f t="shared" si="62"/>
        <v>0</v>
      </c>
      <c r="HD34" s="313">
        <f t="shared" si="62"/>
        <v>0</v>
      </c>
      <c r="HE34" s="313">
        <f t="shared" si="62"/>
        <v>0</v>
      </c>
      <c r="HF34" s="314"/>
      <c r="HG34" s="312">
        <f>SUM(SUMIFS(K34:HB34,$K$13:$HB$13,{"エネルギー管理指定工場等*","県域*"}))</f>
        <v>0</v>
      </c>
      <c r="HH34" s="313">
        <f>SUM(SUMIFS(L34:HC34,$K$13:$HB$13,{"エネルギー管理指定工場等*","県域*"}))</f>
        <v>0</v>
      </c>
      <c r="HI34" s="313">
        <f>SUM(SUMIFS(M34:HD34,$K$13:$HB$13,{"エネルギー管理指定工場等*","県域*"}))</f>
        <v>0</v>
      </c>
      <c r="HJ34" s="314"/>
      <c r="HL34" s="230">
        <v>25</v>
      </c>
      <c r="HM34" s="714"/>
      <c r="HN34" s="715" t="str">
        <f ca="1">IF(COUNTIF(HN$10:HN33,OFFSET(A1_原単位2024,5,HL34+2))&gt;=1,"",OFFSET(A1_原単位2024,5,HL34+2)&amp;"")</f>
        <v/>
      </c>
      <c r="HO34" s="716" t="str">
        <f t="shared" ca="1" si="49"/>
        <v/>
      </c>
      <c r="HP34" s="717" t="str">
        <f t="shared" ca="1" si="50"/>
        <v/>
      </c>
      <c r="HQ34" s="714"/>
      <c r="HR34" s="715" t="str">
        <f ca="1">IF(COUNTIF(HR$10:HR33,OFFSET(A1_原単位2024,17,HL34+2))&gt;=1,"",OFFSET(A1_原単位2024,17,HL34+2)&amp;"")</f>
        <v/>
      </c>
      <c r="HS34" s="718" t="str">
        <f t="shared" ca="1" si="51"/>
        <v/>
      </c>
      <c r="HT34" s="719" t="str">
        <f t="shared" ca="1" si="52"/>
        <v/>
      </c>
      <c r="HU34" s="714"/>
      <c r="HV34" s="715" t="str">
        <f ca="1">IF(COUNTIF(HV$10:HV33,OFFSET(A1_原単位2024,29,HL34+2))&gt;=1,"",OFFSET(A1_原単位2024,29,HL34+2)&amp;"")</f>
        <v/>
      </c>
      <c r="HW34" s="718" t="str">
        <f t="shared" ca="1" si="53"/>
        <v/>
      </c>
      <c r="HX34" s="719" t="str">
        <f t="shared" ca="1" si="54"/>
        <v/>
      </c>
      <c r="HY34" s="714"/>
      <c r="HZ34" s="715" t="str">
        <f ca="1">IF(COUNTIF(HZ$10:HZ33,OFFSET(A1_原単位2024,41,HL34+2))&gt;=1,"",OFFSET(A1_原単位2024,41,HL34+2)&amp;"")</f>
        <v/>
      </c>
      <c r="IA34" s="720" t="str">
        <f t="shared" ca="1" si="55"/>
        <v/>
      </c>
      <c r="IB34" s="721" t="str">
        <f t="shared" ca="1" si="56"/>
        <v/>
      </c>
      <c r="IE34" s="159" t="str">
        <f t="shared" ca="1" si="57"/>
        <v/>
      </c>
      <c r="IF34" s="159" t="str">
        <f t="shared" ca="1" si="58"/>
        <v/>
      </c>
      <c r="IG34" s="159" t="str">
        <f t="shared" ca="1" si="59"/>
        <v/>
      </c>
      <c r="IH34" s="159" t="str">
        <f t="shared" ca="1" si="60"/>
        <v/>
      </c>
    </row>
    <row r="35" spans="1:242" ht="19.8">
      <c r="A35" s="164"/>
      <c r="B35" s="302"/>
      <c r="C35" s="319"/>
      <c r="D35" s="303" t="s">
        <v>584</v>
      </c>
      <c r="E35" s="305"/>
      <c r="F35" s="303" t="s">
        <v>455</v>
      </c>
      <c r="G35" s="306">
        <v>26.1</v>
      </c>
      <c r="H35" s="307">
        <v>2.4299999999999999E-2</v>
      </c>
      <c r="I35" s="308"/>
      <c r="J35" s="309"/>
      <c r="K35" s="310"/>
      <c r="L35" s="311"/>
      <c r="M35" s="311"/>
      <c r="N35" s="309"/>
      <c r="O35" s="310"/>
      <c r="P35" s="311"/>
      <c r="Q35" s="311"/>
      <c r="R35" s="309"/>
      <c r="S35" s="310"/>
      <c r="T35" s="311"/>
      <c r="U35" s="311"/>
      <c r="V35" s="309"/>
      <c r="W35" s="310"/>
      <c r="X35" s="311"/>
      <c r="Y35" s="311"/>
      <c r="Z35" s="309"/>
      <c r="AA35" s="310"/>
      <c r="AB35" s="311"/>
      <c r="AC35" s="311"/>
      <c r="AD35" s="309"/>
      <c r="AE35" s="310"/>
      <c r="AF35" s="311"/>
      <c r="AG35" s="311"/>
      <c r="AH35" s="309"/>
      <c r="AI35" s="310"/>
      <c r="AJ35" s="311"/>
      <c r="AK35" s="311"/>
      <c r="AL35" s="309"/>
      <c r="AM35" s="310"/>
      <c r="AN35" s="311"/>
      <c r="AO35" s="311"/>
      <c r="AP35" s="309"/>
      <c r="AQ35" s="310"/>
      <c r="AR35" s="311"/>
      <c r="AS35" s="311"/>
      <c r="AT35" s="309"/>
      <c r="AU35" s="310"/>
      <c r="AV35" s="311"/>
      <c r="AW35" s="311"/>
      <c r="AX35" s="309"/>
      <c r="AY35" s="310"/>
      <c r="AZ35" s="311"/>
      <c r="BA35" s="311"/>
      <c r="BB35" s="309"/>
      <c r="BC35" s="310"/>
      <c r="BD35" s="311"/>
      <c r="BE35" s="311"/>
      <c r="BF35" s="309"/>
      <c r="BG35" s="310"/>
      <c r="BH35" s="311"/>
      <c r="BI35" s="311"/>
      <c r="BJ35" s="309"/>
      <c r="BK35" s="310"/>
      <c r="BL35" s="311"/>
      <c r="BM35" s="311"/>
      <c r="BN35" s="309"/>
      <c r="BO35" s="310"/>
      <c r="BP35" s="311"/>
      <c r="BQ35" s="311"/>
      <c r="BR35" s="309"/>
      <c r="BS35" s="310"/>
      <c r="BT35" s="311"/>
      <c r="BU35" s="311"/>
      <c r="BV35" s="309"/>
      <c r="BW35" s="310"/>
      <c r="BX35" s="311"/>
      <c r="BY35" s="311"/>
      <c r="BZ35" s="309"/>
      <c r="CA35" s="310"/>
      <c r="CB35" s="311"/>
      <c r="CC35" s="311"/>
      <c r="CD35" s="309"/>
      <c r="CE35" s="310"/>
      <c r="CF35" s="311"/>
      <c r="CG35" s="311"/>
      <c r="CH35" s="309"/>
      <c r="CI35" s="310"/>
      <c r="CJ35" s="311"/>
      <c r="CK35" s="311"/>
      <c r="CL35" s="309"/>
      <c r="CM35" s="310"/>
      <c r="CN35" s="311"/>
      <c r="CO35" s="311"/>
      <c r="CP35" s="309"/>
      <c r="CQ35" s="310"/>
      <c r="CR35" s="311"/>
      <c r="CS35" s="311"/>
      <c r="CT35" s="309"/>
      <c r="CU35" s="310"/>
      <c r="CV35" s="311"/>
      <c r="CW35" s="311"/>
      <c r="CX35" s="309"/>
      <c r="CY35" s="310"/>
      <c r="CZ35" s="311"/>
      <c r="DA35" s="311"/>
      <c r="DB35" s="309"/>
      <c r="DC35" s="310"/>
      <c r="DD35" s="311"/>
      <c r="DE35" s="311"/>
      <c r="DF35" s="309"/>
      <c r="DG35" s="310"/>
      <c r="DH35" s="311"/>
      <c r="DI35" s="311"/>
      <c r="DJ35" s="309"/>
      <c r="DK35" s="310"/>
      <c r="DL35" s="311"/>
      <c r="DM35" s="311"/>
      <c r="DN35" s="309"/>
      <c r="DO35" s="310"/>
      <c r="DP35" s="311"/>
      <c r="DQ35" s="311"/>
      <c r="DR35" s="309"/>
      <c r="DS35" s="310"/>
      <c r="DT35" s="311"/>
      <c r="DU35" s="311"/>
      <c r="DV35" s="309"/>
      <c r="DW35" s="310"/>
      <c r="DX35" s="311"/>
      <c r="DY35" s="311"/>
      <c r="DZ35" s="309"/>
      <c r="EA35" s="310"/>
      <c r="EB35" s="311"/>
      <c r="EC35" s="311"/>
      <c r="ED35" s="309"/>
      <c r="EE35" s="310"/>
      <c r="EF35" s="311"/>
      <c r="EG35" s="311"/>
      <c r="EH35" s="309"/>
      <c r="EI35" s="310"/>
      <c r="EJ35" s="311"/>
      <c r="EK35" s="311"/>
      <c r="EL35" s="309"/>
      <c r="EM35" s="310"/>
      <c r="EN35" s="311"/>
      <c r="EO35" s="311"/>
      <c r="EP35" s="309"/>
      <c r="EQ35" s="310"/>
      <c r="ER35" s="311"/>
      <c r="ES35" s="311"/>
      <c r="ET35" s="309"/>
      <c r="EU35" s="310"/>
      <c r="EV35" s="311"/>
      <c r="EW35" s="311"/>
      <c r="EX35" s="309"/>
      <c r="EY35" s="310"/>
      <c r="EZ35" s="311"/>
      <c r="FA35" s="311"/>
      <c r="FB35" s="309"/>
      <c r="FC35" s="310"/>
      <c r="FD35" s="311"/>
      <c r="FE35" s="311"/>
      <c r="FF35" s="309"/>
      <c r="FG35" s="310"/>
      <c r="FH35" s="311"/>
      <c r="FI35" s="311"/>
      <c r="FJ35" s="309"/>
      <c r="FK35" s="310"/>
      <c r="FL35" s="311"/>
      <c r="FM35" s="311"/>
      <c r="FN35" s="309"/>
      <c r="FO35" s="310"/>
      <c r="FP35" s="311"/>
      <c r="FQ35" s="311"/>
      <c r="FR35" s="309"/>
      <c r="FS35" s="310"/>
      <c r="FT35" s="311"/>
      <c r="FU35" s="311"/>
      <c r="FV35" s="309"/>
      <c r="FW35" s="310"/>
      <c r="FX35" s="311"/>
      <c r="FY35" s="311"/>
      <c r="FZ35" s="309"/>
      <c r="GA35" s="310"/>
      <c r="GB35" s="311"/>
      <c r="GC35" s="311"/>
      <c r="GD35" s="309"/>
      <c r="GE35" s="310"/>
      <c r="GF35" s="311"/>
      <c r="GG35" s="311"/>
      <c r="GH35" s="309"/>
      <c r="GI35" s="310"/>
      <c r="GJ35" s="311"/>
      <c r="GK35" s="311"/>
      <c r="GL35" s="309"/>
      <c r="GM35" s="310"/>
      <c r="GN35" s="311"/>
      <c r="GO35" s="311"/>
      <c r="GP35" s="309"/>
      <c r="GQ35" s="310"/>
      <c r="GR35" s="311"/>
      <c r="GS35" s="311"/>
      <c r="GT35" s="309"/>
      <c r="GU35" s="310"/>
      <c r="GV35" s="311"/>
      <c r="GW35" s="311"/>
      <c r="GX35" s="309"/>
      <c r="GY35" s="310"/>
      <c r="GZ35" s="311"/>
      <c r="HA35" s="311"/>
      <c r="HB35" s="309"/>
      <c r="HC35" s="312">
        <f t="shared" si="62"/>
        <v>0</v>
      </c>
      <c r="HD35" s="313">
        <f t="shared" si="62"/>
        <v>0</v>
      </c>
      <c r="HE35" s="313">
        <f t="shared" si="62"/>
        <v>0</v>
      </c>
      <c r="HF35" s="314"/>
      <c r="HG35" s="312">
        <f>SUM(SUMIFS(K35:HB35,$K$13:$HB$13,{"エネルギー管理指定工場等*","県域*"}))</f>
        <v>0</v>
      </c>
      <c r="HH35" s="313">
        <f>SUM(SUMIFS(L35:HC35,$K$13:$HB$13,{"エネルギー管理指定工場等*","県域*"}))</f>
        <v>0</v>
      </c>
      <c r="HI35" s="313">
        <f>SUM(SUMIFS(M35:HD35,$K$13:$HB$13,{"エネルギー管理指定工場等*","県域*"}))</f>
        <v>0</v>
      </c>
      <c r="HJ35" s="314"/>
      <c r="HL35" s="219">
        <v>26</v>
      </c>
      <c r="HM35" s="714"/>
      <c r="HN35" s="715" t="str">
        <f ca="1">IF(COUNTIF(HN$10:HN34,OFFSET(A1_原単位2024,5,HL35+2))&gt;=1,"",OFFSET(A1_原単位2024,5,HL35+2)&amp;"")</f>
        <v/>
      </c>
      <c r="HO35" s="716" t="str">
        <f t="shared" ca="1" si="49"/>
        <v/>
      </c>
      <c r="HP35" s="717" t="str">
        <f t="shared" ca="1" si="50"/>
        <v/>
      </c>
      <c r="HQ35" s="714"/>
      <c r="HR35" s="715" t="str">
        <f ca="1">IF(COUNTIF(HR$10:HR34,OFFSET(A1_原単位2024,17,HL35+2))&gt;=1,"",OFFSET(A1_原単位2024,17,HL35+2)&amp;"")</f>
        <v/>
      </c>
      <c r="HS35" s="718" t="str">
        <f t="shared" ca="1" si="51"/>
        <v/>
      </c>
      <c r="HT35" s="719" t="str">
        <f t="shared" ca="1" si="52"/>
        <v/>
      </c>
      <c r="HU35" s="714"/>
      <c r="HV35" s="715" t="str">
        <f ca="1">IF(COUNTIF(HV$10:HV34,OFFSET(A1_原単位2024,29,HL35+2))&gt;=1,"",OFFSET(A1_原単位2024,29,HL35+2)&amp;"")</f>
        <v/>
      </c>
      <c r="HW35" s="718" t="str">
        <f t="shared" ca="1" si="53"/>
        <v/>
      </c>
      <c r="HX35" s="719" t="str">
        <f t="shared" ca="1" si="54"/>
        <v/>
      </c>
      <c r="HY35" s="714"/>
      <c r="HZ35" s="715" t="str">
        <f ca="1">IF(COUNTIF(HZ$10:HZ34,OFFSET(A1_原単位2024,41,HL35+2))&gt;=1,"",OFFSET(A1_原単位2024,41,HL35+2)&amp;"")</f>
        <v/>
      </c>
      <c r="IA35" s="720" t="str">
        <f t="shared" ca="1" si="55"/>
        <v/>
      </c>
      <c r="IB35" s="721" t="str">
        <f t="shared" ca="1" si="56"/>
        <v/>
      </c>
      <c r="IE35" s="159" t="str">
        <f t="shared" ca="1" si="57"/>
        <v/>
      </c>
      <c r="IF35" s="159" t="str">
        <f t="shared" ca="1" si="58"/>
        <v/>
      </c>
      <c r="IG35" s="159" t="str">
        <f t="shared" ca="1" si="59"/>
        <v/>
      </c>
      <c r="IH35" s="159" t="str">
        <f t="shared" ca="1" si="60"/>
        <v/>
      </c>
    </row>
    <row r="36" spans="1:242" ht="19.8">
      <c r="A36" s="164"/>
      <c r="B36" s="302"/>
      <c r="C36" s="319"/>
      <c r="D36" s="303" t="s">
        <v>585</v>
      </c>
      <c r="E36" s="305"/>
      <c r="F36" s="303" t="s">
        <v>455</v>
      </c>
      <c r="G36" s="306">
        <v>24.2</v>
      </c>
      <c r="H36" s="307">
        <v>2.4199999999999999E-2</v>
      </c>
      <c r="I36" s="308"/>
      <c r="J36" s="309"/>
      <c r="K36" s="310"/>
      <c r="L36" s="311"/>
      <c r="M36" s="311"/>
      <c r="N36" s="309"/>
      <c r="O36" s="310"/>
      <c r="P36" s="311"/>
      <c r="Q36" s="311"/>
      <c r="R36" s="309"/>
      <c r="S36" s="310"/>
      <c r="T36" s="311"/>
      <c r="U36" s="311"/>
      <c r="V36" s="309"/>
      <c r="W36" s="310"/>
      <c r="X36" s="311"/>
      <c r="Y36" s="311"/>
      <c r="Z36" s="309"/>
      <c r="AA36" s="310"/>
      <c r="AB36" s="311"/>
      <c r="AC36" s="311"/>
      <c r="AD36" s="309"/>
      <c r="AE36" s="310"/>
      <c r="AF36" s="311"/>
      <c r="AG36" s="311"/>
      <c r="AH36" s="309"/>
      <c r="AI36" s="310"/>
      <c r="AJ36" s="311"/>
      <c r="AK36" s="311"/>
      <c r="AL36" s="309"/>
      <c r="AM36" s="310"/>
      <c r="AN36" s="311"/>
      <c r="AO36" s="311"/>
      <c r="AP36" s="309"/>
      <c r="AQ36" s="310"/>
      <c r="AR36" s="311"/>
      <c r="AS36" s="311"/>
      <c r="AT36" s="309"/>
      <c r="AU36" s="310"/>
      <c r="AV36" s="311"/>
      <c r="AW36" s="311"/>
      <c r="AX36" s="309"/>
      <c r="AY36" s="310"/>
      <c r="AZ36" s="311"/>
      <c r="BA36" s="311"/>
      <c r="BB36" s="309"/>
      <c r="BC36" s="310"/>
      <c r="BD36" s="311"/>
      <c r="BE36" s="311"/>
      <c r="BF36" s="309"/>
      <c r="BG36" s="310"/>
      <c r="BH36" s="311"/>
      <c r="BI36" s="311"/>
      <c r="BJ36" s="309"/>
      <c r="BK36" s="310"/>
      <c r="BL36" s="311"/>
      <c r="BM36" s="311"/>
      <c r="BN36" s="309"/>
      <c r="BO36" s="310"/>
      <c r="BP36" s="311"/>
      <c r="BQ36" s="311"/>
      <c r="BR36" s="309"/>
      <c r="BS36" s="310"/>
      <c r="BT36" s="311"/>
      <c r="BU36" s="311"/>
      <c r="BV36" s="309"/>
      <c r="BW36" s="310"/>
      <c r="BX36" s="311"/>
      <c r="BY36" s="311"/>
      <c r="BZ36" s="309"/>
      <c r="CA36" s="310"/>
      <c r="CB36" s="311"/>
      <c r="CC36" s="311"/>
      <c r="CD36" s="309"/>
      <c r="CE36" s="310"/>
      <c r="CF36" s="311"/>
      <c r="CG36" s="311"/>
      <c r="CH36" s="309"/>
      <c r="CI36" s="310"/>
      <c r="CJ36" s="311"/>
      <c r="CK36" s="311"/>
      <c r="CL36" s="309"/>
      <c r="CM36" s="310"/>
      <c r="CN36" s="311"/>
      <c r="CO36" s="311"/>
      <c r="CP36" s="309"/>
      <c r="CQ36" s="310"/>
      <c r="CR36" s="311"/>
      <c r="CS36" s="311"/>
      <c r="CT36" s="309"/>
      <c r="CU36" s="310"/>
      <c r="CV36" s="311"/>
      <c r="CW36" s="311"/>
      <c r="CX36" s="309"/>
      <c r="CY36" s="310"/>
      <c r="CZ36" s="311"/>
      <c r="DA36" s="311"/>
      <c r="DB36" s="309"/>
      <c r="DC36" s="310"/>
      <c r="DD36" s="311"/>
      <c r="DE36" s="311"/>
      <c r="DF36" s="309"/>
      <c r="DG36" s="310"/>
      <c r="DH36" s="311"/>
      <c r="DI36" s="311"/>
      <c r="DJ36" s="309"/>
      <c r="DK36" s="310"/>
      <c r="DL36" s="311"/>
      <c r="DM36" s="311"/>
      <c r="DN36" s="309"/>
      <c r="DO36" s="310"/>
      <c r="DP36" s="311"/>
      <c r="DQ36" s="311"/>
      <c r="DR36" s="309"/>
      <c r="DS36" s="310"/>
      <c r="DT36" s="311"/>
      <c r="DU36" s="311"/>
      <c r="DV36" s="309"/>
      <c r="DW36" s="310"/>
      <c r="DX36" s="311"/>
      <c r="DY36" s="311"/>
      <c r="DZ36" s="309"/>
      <c r="EA36" s="310"/>
      <c r="EB36" s="311"/>
      <c r="EC36" s="311"/>
      <c r="ED36" s="309"/>
      <c r="EE36" s="310"/>
      <c r="EF36" s="311"/>
      <c r="EG36" s="311"/>
      <c r="EH36" s="309"/>
      <c r="EI36" s="310"/>
      <c r="EJ36" s="311"/>
      <c r="EK36" s="311"/>
      <c r="EL36" s="309"/>
      <c r="EM36" s="310"/>
      <c r="EN36" s="311"/>
      <c r="EO36" s="311"/>
      <c r="EP36" s="309"/>
      <c r="EQ36" s="310"/>
      <c r="ER36" s="311"/>
      <c r="ES36" s="311"/>
      <c r="ET36" s="309"/>
      <c r="EU36" s="310"/>
      <c r="EV36" s="311"/>
      <c r="EW36" s="311"/>
      <c r="EX36" s="309"/>
      <c r="EY36" s="310"/>
      <c r="EZ36" s="311"/>
      <c r="FA36" s="311"/>
      <c r="FB36" s="309"/>
      <c r="FC36" s="310"/>
      <c r="FD36" s="311"/>
      <c r="FE36" s="311"/>
      <c r="FF36" s="309"/>
      <c r="FG36" s="310"/>
      <c r="FH36" s="311"/>
      <c r="FI36" s="311"/>
      <c r="FJ36" s="309"/>
      <c r="FK36" s="310"/>
      <c r="FL36" s="311"/>
      <c r="FM36" s="311"/>
      <c r="FN36" s="309"/>
      <c r="FO36" s="310"/>
      <c r="FP36" s="311"/>
      <c r="FQ36" s="311"/>
      <c r="FR36" s="309"/>
      <c r="FS36" s="310"/>
      <c r="FT36" s="311"/>
      <c r="FU36" s="311"/>
      <c r="FV36" s="309"/>
      <c r="FW36" s="310"/>
      <c r="FX36" s="311"/>
      <c r="FY36" s="311"/>
      <c r="FZ36" s="309"/>
      <c r="GA36" s="310"/>
      <c r="GB36" s="311"/>
      <c r="GC36" s="311"/>
      <c r="GD36" s="309"/>
      <c r="GE36" s="310"/>
      <c r="GF36" s="311"/>
      <c r="GG36" s="311"/>
      <c r="GH36" s="309"/>
      <c r="GI36" s="310"/>
      <c r="GJ36" s="311"/>
      <c r="GK36" s="311"/>
      <c r="GL36" s="309"/>
      <c r="GM36" s="310"/>
      <c r="GN36" s="311"/>
      <c r="GO36" s="311"/>
      <c r="GP36" s="309"/>
      <c r="GQ36" s="310"/>
      <c r="GR36" s="311"/>
      <c r="GS36" s="311"/>
      <c r="GT36" s="309"/>
      <c r="GU36" s="310"/>
      <c r="GV36" s="311"/>
      <c r="GW36" s="311"/>
      <c r="GX36" s="309"/>
      <c r="GY36" s="310"/>
      <c r="GZ36" s="311"/>
      <c r="HA36" s="311"/>
      <c r="HB36" s="309"/>
      <c r="HC36" s="312">
        <f t="shared" si="62"/>
        <v>0</v>
      </c>
      <c r="HD36" s="313">
        <f t="shared" si="62"/>
        <v>0</v>
      </c>
      <c r="HE36" s="313">
        <f t="shared" si="62"/>
        <v>0</v>
      </c>
      <c r="HF36" s="314"/>
      <c r="HG36" s="312">
        <f>SUM(SUMIFS(K36:HB36,$K$13:$HB$13,{"エネルギー管理指定工場等*","県域*"}))</f>
        <v>0</v>
      </c>
      <c r="HH36" s="313">
        <f>SUM(SUMIFS(L36:HC36,$K$13:$HB$13,{"エネルギー管理指定工場等*","県域*"}))</f>
        <v>0</v>
      </c>
      <c r="HI36" s="313">
        <f>SUM(SUMIFS(M36:HD36,$K$13:$HB$13,{"エネルギー管理指定工場等*","県域*"}))</f>
        <v>0</v>
      </c>
      <c r="HJ36" s="314"/>
      <c r="HL36" s="230">
        <v>27</v>
      </c>
      <c r="HM36" s="714"/>
      <c r="HN36" s="715" t="str">
        <f ca="1">IF(COUNTIF(HN$10:HN35,OFFSET(A1_原単位2024,5,HL36+2))&gt;=1,"",OFFSET(A1_原単位2024,5,HL36+2)&amp;"")</f>
        <v/>
      </c>
      <c r="HO36" s="716" t="str">
        <f t="shared" ca="1" si="49"/>
        <v/>
      </c>
      <c r="HP36" s="717" t="str">
        <f t="shared" ca="1" si="50"/>
        <v/>
      </c>
      <c r="HQ36" s="714"/>
      <c r="HR36" s="715" t="str">
        <f ca="1">IF(COUNTIF(HR$10:HR35,OFFSET(A1_原単位2024,17,HL36+2))&gt;=1,"",OFFSET(A1_原単位2024,17,HL36+2)&amp;"")</f>
        <v/>
      </c>
      <c r="HS36" s="718" t="str">
        <f t="shared" ca="1" si="51"/>
        <v/>
      </c>
      <c r="HT36" s="719" t="str">
        <f t="shared" ca="1" si="52"/>
        <v/>
      </c>
      <c r="HU36" s="714"/>
      <c r="HV36" s="715" t="str">
        <f ca="1">IF(COUNTIF(HV$10:HV35,OFFSET(A1_原単位2024,29,HL36+2))&gt;=1,"",OFFSET(A1_原単位2024,29,HL36+2)&amp;"")</f>
        <v/>
      </c>
      <c r="HW36" s="718" t="str">
        <f t="shared" ca="1" si="53"/>
        <v/>
      </c>
      <c r="HX36" s="719" t="str">
        <f t="shared" ca="1" si="54"/>
        <v/>
      </c>
      <c r="HY36" s="714"/>
      <c r="HZ36" s="715" t="str">
        <f ca="1">IF(COUNTIF(HZ$10:HZ35,OFFSET(A1_原単位2024,41,HL36+2))&gt;=1,"",OFFSET(A1_原単位2024,41,HL36+2)&amp;"")</f>
        <v/>
      </c>
      <c r="IA36" s="720" t="str">
        <f t="shared" ca="1" si="55"/>
        <v/>
      </c>
      <c r="IB36" s="721" t="str">
        <f t="shared" ca="1" si="56"/>
        <v/>
      </c>
      <c r="IE36" s="159" t="str">
        <f t="shared" ca="1" si="57"/>
        <v/>
      </c>
      <c r="IF36" s="159" t="str">
        <f t="shared" ca="1" si="58"/>
        <v/>
      </c>
      <c r="IG36" s="159" t="str">
        <f t="shared" ca="1" si="59"/>
        <v/>
      </c>
      <c r="IH36" s="159" t="str">
        <f t="shared" ca="1" si="60"/>
        <v/>
      </c>
    </row>
    <row r="37" spans="1:242" ht="19.8">
      <c r="A37" s="164"/>
      <c r="B37" s="302"/>
      <c r="C37" s="318"/>
      <c r="D37" s="303" t="s">
        <v>586</v>
      </c>
      <c r="E37" s="305"/>
      <c r="F37" s="303" t="s">
        <v>455</v>
      </c>
      <c r="G37" s="306">
        <v>27.8</v>
      </c>
      <c r="H37" s="307">
        <v>2.5899999999999999E-2</v>
      </c>
      <c r="I37" s="308"/>
      <c r="J37" s="309"/>
      <c r="K37" s="310"/>
      <c r="L37" s="311"/>
      <c r="M37" s="311"/>
      <c r="N37" s="309"/>
      <c r="O37" s="310"/>
      <c r="P37" s="311"/>
      <c r="Q37" s="311"/>
      <c r="R37" s="309"/>
      <c r="S37" s="310"/>
      <c r="T37" s="311"/>
      <c r="U37" s="311"/>
      <c r="V37" s="309"/>
      <c r="W37" s="310"/>
      <c r="X37" s="311"/>
      <c r="Y37" s="311"/>
      <c r="Z37" s="309"/>
      <c r="AA37" s="310"/>
      <c r="AB37" s="311"/>
      <c r="AC37" s="311"/>
      <c r="AD37" s="309"/>
      <c r="AE37" s="310"/>
      <c r="AF37" s="311"/>
      <c r="AG37" s="311"/>
      <c r="AH37" s="309"/>
      <c r="AI37" s="310"/>
      <c r="AJ37" s="311"/>
      <c r="AK37" s="311"/>
      <c r="AL37" s="309"/>
      <c r="AM37" s="310"/>
      <c r="AN37" s="311"/>
      <c r="AO37" s="311"/>
      <c r="AP37" s="309"/>
      <c r="AQ37" s="310"/>
      <c r="AR37" s="311"/>
      <c r="AS37" s="311"/>
      <c r="AT37" s="309"/>
      <c r="AU37" s="310"/>
      <c r="AV37" s="311"/>
      <c r="AW37" s="311"/>
      <c r="AX37" s="309"/>
      <c r="AY37" s="310"/>
      <c r="AZ37" s="311"/>
      <c r="BA37" s="311"/>
      <c r="BB37" s="309"/>
      <c r="BC37" s="310"/>
      <c r="BD37" s="311"/>
      <c r="BE37" s="311"/>
      <c r="BF37" s="309"/>
      <c r="BG37" s="310"/>
      <c r="BH37" s="311"/>
      <c r="BI37" s="311"/>
      <c r="BJ37" s="309"/>
      <c r="BK37" s="310"/>
      <c r="BL37" s="311"/>
      <c r="BM37" s="311"/>
      <c r="BN37" s="309"/>
      <c r="BO37" s="310"/>
      <c r="BP37" s="311"/>
      <c r="BQ37" s="311"/>
      <c r="BR37" s="309"/>
      <c r="BS37" s="310"/>
      <c r="BT37" s="311"/>
      <c r="BU37" s="311"/>
      <c r="BV37" s="309"/>
      <c r="BW37" s="310"/>
      <c r="BX37" s="311"/>
      <c r="BY37" s="311"/>
      <c r="BZ37" s="309"/>
      <c r="CA37" s="310"/>
      <c r="CB37" s="311"/>
      <c r="CC37" s="311"/>
      <c r="CD37" s="309"/>
      <c r="CE37" s="310"/>
      <c r="CF37" s="311"/>
      <c r="CG37" s="311"/>
      <c r="CH37" s="309"/>
      <c r="CI37" s="310"/>
      <c r="CJ37" s="311"/>
      <c r="CK37" s="311"/>
      <c r="CL37" s="309"/>
      <c r="CM37" s="310"/>
      <c r="CN37" s="311"/>
      <c r="CO37" s="311"/>
      <c r="CP37" s="309"/>
      <c r="CQ37" s="310"/>
      <c r="CR37" s="311"/>
      <c r="CS37" s="311"/>
      <c r="CT37" s="309"/>
      <c r="CU37" s="310"/>
      <c r="CV37" s="311"/>
      <c r="CW37" s="311"/>
      <c r="CX37" s="309"/>
      <c r="CY37" s="310"/>
      <c r="CZ37" s="311"/>
      <c r="DA37" s="311"/>
      <c r="DB37" s="309"/>
      <c r="DC37" s="310"/>
      <c r="DD37" s="311"/>
      <c r="DE37" s="311"/>
      <c r="DF37" s="309"/>
      <c r="DG37" s="310"/>
      <c r="DH37" s="311"/>
      <c r="DI37" s="311"/>
      <c r="DJ37" s="309"/>
      <c r="DK37" s="310"/>
      <c r="DL37" s="311"/>
      <c r="DM37" s="311"/>
      <c r="DN37" s="309"/>
      <c r="DO37" s="310"/>
      <c r="DP37" s="311"/>
      <c r="DQ37" s="311"/>
      <c r="DR37" s="309"/>
      <c r="DS37" s="310"/>
      <c r="DT37" s="311"/>
      <c r="DU37" s="311"/>
      <c r="DV37" s="309"/>
      <c r="DW37" s="310"/>
      <c r="DX37" s="311"/>
      <c r="DY37" s="311"/>
      <c r="DZ37" s="309"/>
      <c r="EA37" s="310"/>
      <c r="EB37" s="311"/>
      <c r="EC37" s="311"/>
      <c r="ED37" s="309"/>
      <c r="EE37" s="310"/>
      <c r="EF37" s="311"/>
      <c r="EG37" s="311"/>
      <c r="EH37" s="309"/>
      <c r="EI37" s="310"/>
      <c r="EJ37" s="311"/>
      <c r="EK37" s="311"/>
      <c r="EL37" s="309"/>
      <c r="EM37" s="310"/>
      <c r="EN37" s="311"/>
      <c r="EO37" s="311"/>
      <c r="EP37" s="309"/>
      <c r="EQ37" s="310"/>
      <c r="ER37" s="311"/>
      <c r="ES37" s="311"/>
      <c r="ET37" s="309"/>
      <c r="EU37" s="310"/>
      <c r="EV37" s="311"/>
      <c r="EW37" s="311"/>
      <c r="EX37" s="309"/>
      <c r="EY37" s="310"/>
      <c r="EZ37" s="311"/>
      <c r="FA37" s="311"/>
      <c r="FB37" s="309"/>
      <c r="FC37" s="310"/>
      <c r="FD37" s="311"/>
      <c r="FE37" s="311"/>
      <c r="FF37" s="309"/>
      <c r="FG37" s="310"/>
      <c r="FH37" s="311"/>
      <c r="FI37" s="311"/>
      <c r="FJ37" s="309"/>
      <c r="FK37" s="310"/>
      <c r="FL37" s="311"/>
      <c r="FM37" s="311"/>
      <c r="FN37" s="309"/>
      <c r="FO37" s="310"/>
      <c r="FP37" s="311"/>
      <c r="FQ37" s="311"/>
      <c r="FR37" s="309"/>
      <c r="FS37" s="310"/>
      <c r="FT37" s="311"/>
      <c r="FU37" s="311"/>
      <c r="FV37" s="309"/>
      <c r="FW37" s="310"/>
      <c r="FX37" s="311"/>
      <c r="FY37" s="311"/>
      <c r="FZ37" s="309"/>
      <c r="GA37" s="310"/>
      <c r="GB37" s="311"/>
      <c r="GC37" s="311"/>
      <c r="GD37" s="309"/>
      <c r="GE37" s="310"/>
      <c r="GF37" s="311"/>
      <c r="GG37" s="311"/>
      <c r="GH37" s="309"/>
      <c r="GI37" s="310"/>
      <c r="GJ37" s="311"/>
      <c r="GK37" s="311"/>
      <c r="GL37" s="309"/>
      <c r="GM37" s="310"/>
      <c r="GN37" s="311"/>
      <c r="GO37" s="311"/>
      <c r="GP37" s="309"/>
      <c r="GQ37" s="310"/>
      <c r="GR37" s="311"/>
      <c r="GS37" s="311"/>
      <c r="GT37" s="309"/>
      <c r="GU37" s="310"/>
      <c r="GV37" s="311"/>
      <c r="GW37" s="311"/>
      <c r="GX37" s="309"/>
      <c r="GY37" s="310"/>
      <c r="GZ37" s="311"/>
      <c r="HA37" s="311"/>
      <c r="HB37" s="309"/>
      <c r="HC37" s="312">
        <f t="shared" si="62"/>
        <v>0</v>
      </c>
      <c r="HD37" s="313">
        <f t="shared" si="62"/>
        <v>0</v>
      </c>
      <c r="HE37" s="313">
        <f t="shared" si="62"/>
        <v>0</v>
      </c>
      <c r="HF37" s="314"/>
      <c r="HG37" s="312">
        <f>SUM(SUMIFS(K37:HB37,$K$13:$HB$13,{"エネルギー管理指定工場等*","県域*"}))</f>
        <v>0</v>
      </c>
      <c r="HH37" s="313">
        <f>SUM(SUMIFS(L37:HC37,$K$13:$HB$13,{"エネルギー管理指定工場等*","県域*"}))</f>
        <v>0</v>
      </c>
      <c r="HI37" s="313">
        <f>SUM(SUMIFS(M37:HD37,$K$13:$HB$13,{"エネルギー管理指定工場等*","県域*"}))</f>
        <v>0</v>
      </c>
      <c r="HJ37" s="314"/>
      <c r="HL37" s="219">
        <v>28</v>
      </c>
      <c r="HM37" s="714"/>
      <c r="HN37" s="715" t="str">
        <f ca="1">IF(COUNTIF(HN$10:HN36,OFFSET(A1_原単位2024,5,HL37+2))&gt;=1,"",OFFSET(A1_原単位2024,5,HL37+2)&amp;"")</f>
        <v/>
      </c>
      <c r="HO37" s="716" t="str">
        <f t="shared" ca="1" si="49"/>
        <v/>
      </c>
      <c r="HP37" s="717" t="str">
        <f t="shared" ca="1" si="50"/>
        <v/>
      </c>
      <c r="HQ37" s="714"/>
      <c r="HR37" s="715" t="str">
        <f ca="1">IF(COUNTIF(HR$10:HR36,OFFSET(A1_原単位2024,17,HL37+2))&gt;=1,"",OFFSET(A1_原単位2024,17,HL37+2)&amp;"")</f>
        <v/>
      </c>
      <c r="HS37" s="718" t="str">
        <f t="shared" ca="1" si="51"/>
        <v/>
      </c>
      <c r="HT37" s="719" t="str">
        <f t="shared" ca="1" si="52"/>
        <v/>
      </c>
      <c r="HU37" s="714"/>
      <c r="HV37" s="715" t="str">
        <f ca="1">IF(COUNTIF(HV$10:HV36,OFFSET(A1_原単位2024,29,HL37+2))&gt;=1,"",OFFSET(A1_原単位2024,29,HL37+2)&amp;"")</f>
        <v/>
      </c>
      <c r="HW37" s="718" t="str">
        <f t="shared" ca="1" si="53"/>
        <v/>
      </c>
      <c r="HX37" s="719" t="str">
        <f t="shared" ca="1" si="54"/>
        <v/>
      </c>
      <c r="HY37" s="714"/>
      <c r="HZ37" s="715" t="str">
        <f ca="1">IF(COUNTIF(HZ$10:HZ36,OFFSET(A1_原単位2024,41,HL37+2))&gt;=1,"",OFFSET(A1_原単位2024,41,HL37+2)&amp;"")</f>
        <v/>
      </c>
      <c r="IA37" s="720" t="str">
        <f t="shared" ca="1" si="55"/>
        <v/>
      </c>
      <c r="IB37" s="721" t="str">
        <f t="shared" ca="1" si="56"/>
        <v/>
      </c>
      <c r="IE37" s="159" t="str">
        <f t="shared" ca="1" si="57"/>
        <v/>
      </c>
      <c r="IF37" s="159" t="str">
        <f t="shared" ca="1" si="58"/>
        <v/>
      </c>
      <c r="IG37" s="159" t="str">
        <f t="shared" ca="1" si="59"/>
        <v/>
      </c>
      <c r="IH37" s="159" t="str">
        <f t="shared" ca="1" si="60"/>
        <v/>
      </c>
    </row>
    <row r="38" spans="1:242" ht="19.8">
      <c r="A38" s="164"/>
      <c r="B38" s="302"/>
      <c r="C38" s="303" t="s">
        <v>370</v>
      </c>
      <c r="D38" s="304"/>
      <c r="E38" s="305"/>
      <c r="F38" s="303" t="s">
        <v>455</v>
      </c>
      <c r="G38" s="316">
        <v>29</v>
      </c>
      <c r="H38" s="307">
        <v>2.9899999999999999E-2</v>
      </c>
      <c r="I38" s="308"/>
      <c r="J38" s="309"/>
      <c r="K38" s="310"/>
      <c r="L38" s="311"/>
      <c r="M38" s="311"/>
      <c r="N38" s="309"/>
      <c r="O38" s="310"/>
      <c r="P38" s="311"/>
      <c r="Q38" s="311"/>
      <c r="R38" s="309"/>
      <c r="S38" s="310"/>
      <c r="T38" s="311"/>
      <c r="U38" s="311"/>
      <c r="V38" s="309"/>
      <c r="W38" s="310"/>
      <c r="X38" s="311"/>
      <c r="Y38" s="311"/>
      <c r="Z38" s="309"/>
      <c r="AA38" s="310"/>
      <c r="AB38" s="311"/>
      <c r="AC38" s="311"/>
      <c r="AD38" s="309"/>
      <c r="AE38" s="310"/>
      <c r="AF38" s="311"/>
      <c r="AG38" s="311"/>
      <c r="AH38" s="309"/>
      <c r="AI38" s="310"/>
      <c r="AJ38" s="311"/>
      <c r="AK38" s="311"/>
      <c r="AL38" s="309"/>
      <c r="AM38" s="310"/>
      <c r="AN38" s="311"/>
      <c r="AO38" s="311"/>
      <c r="AP38" s="309"/>
      <c r="AQ38" s="310"/>
      <c r="AR38" s="311"/>
      <c r="AS38" s="311"/>
      <c r="AT38" s="309"/>
      <c r="AU38" s="310"/>
      <c r="AV38" s="311"/>
      <c r="AW38" s="311"/>
      <c r="AX38" s="309"/>
      <c r="AY38" s="310"/>
      <c r="AZ38" s="311"/>
      <c r="BA38" s="311"/>
      <c r="BB38" s="309"/>
      <c r="BC38" s="310"/>
      <c r="BD38" s="311"/>
      <c r="BE38" s="311"/>
      <c r="BF38" s="309"/>
      <c r="BG38" s="310"/>
      <c r="BH38" s="311"/>
      <c r="BI38" s="311"/>
      <c r="BJ38" s="309"/>
      <c r="BK38" s="310"/>
      <c r="BL38" s="311"/>
      <c r="BM38" s="311"/>
      <c r="BN38" s="309"/>
      <c r="BO38" s="310"/>
      <c r="BP38" s="311"/>
      <c r="BQ38" s="311"/>
      <c r="BR38" s="309"/>
      <c r="BS38" s="310"/>
      <c r="BT38" s="311"/>
      <c r="BU38" s="311"/>
      <c r="BV38" s="309"/>
      <c r="BW38" s="310"/>
      <c r="BX38" s="311"/>
      <c r="BY38" s="311"/>
      <c r="BZ38" s="309"/>
      <c r="CA38" s="310"/>
      <c r="CB38" s="311"/>
      <c r="CC38" s="311"/>
      <c r="CD38" s="309"/>
      <c r="CE38" s="310"/>
      <c r="CF38" s="311"/>
      <c r="CG38" s="311"/>
      <c r="CH38" s="309"/>
      <c r="CI38" s="310"/>
      <c r="CJ38" s="311"/>
      <c r="CK38" s="311"/>
      <c r="CL38" s="309"/>
      <c r="CM38" s="310"/>
      <c r="CN38" s="311"/>
      <c r="CO38" s="311"/>
      <c r="CP38" s="309"/>
      <c r="CQ38" s="310"/>
      <c r="CR38" s="311"/>
      <c r="CS38" s="311"/>
      <c r="CT38" s="309"/>
      <c r="CU38" s="310"/>
      <c r="CV38" s="311"/>
      <c r="CW38" s="311"/>
      <c r="CX38" s="309"/>
      <c r="CY38" s="310"/>
      <c r="CZ38" s="311"/>
      <c r="DA38" s="311"/>
      <c r="DB38" s="309"/>
      <c r="DC38" s="310"/>
      <c r="DD38" s="311"/>
      <c r="DE38" s="311"/>
      <c r="DF38" s="309"/>
      <c r="DG38" s="310"/>
      <c r="DH38" s="311"/>
      <c r="DI38" s="311"/>
      <c r="DJ38" s="309"/>
      <c r="DK38" s="310"/>
      <c r="DL38" s="311"/>
      <c r="DM38" s="311"/>
      <c r="DN38" s="309"/>
      <c r="DO38" s="310"/>
      <c r="DP38" s="311"/>
      <c r="DQ38" s="311"/>
      <c r="DR38" s="309"/>
      <c r="DS38" s="310"/>
      <c r="DT38" s="311"/>
      <c r="DU38" s="311"/>
      <c r="DV38" s="309"/>
      <c r="DW38" s="310"/>
      <c r="DX38" s="311"/>
      <c r="DY38" s="311"/>
      <c r="DZ38" s="309"/>
      <c r="EA38" s="310"/>
      <c r="EB38" s="311"/>
      <c r="EC38" s="311"/>
      <c r="ED38" s="309"/>
      <c r="EE38" s="310"/>
      <c r="EF38" s="311"/>
      <c r="EG38" s="311"/>
      <c r="EH38" s="309"/>
      <c r="EI38" s="310"/>
      <c r="EJ38" s="311"/>
      <c r="EK38" s="311"/>
      <c r="EL38" s="309"/>
      <c r="EM38" s="310"/>
      <c r="EN38" s="311"/>
      <c r="EO38" s="311"/>
      <c r="EP38" s="309"/>
      <c r="EQ38" s="310"/>
      <c r="ER38" s="311"/>
      <c r="ES38" s="311"/>
      <c r="ET38" s="309"/>
      <c r="EU38" s="310"/>
      <c r="EV38" s="311"/>
      <c r="EW38" s="311"/>
      <c r="EX38" s="309"/>
      <c r="EY38" s="310"/>
      <c r="EZ38" s="311"/>
      <c r="FA38" s="311"/>
      <c r="FB38" s="309"/>
      <c r="FC38" s="310"/>
      <c r="FD38" s="311"/>
      <c r="FE38" s="311"/>
      <c r="FF38" s="309"/>
      <c r="FG38" s="310"/>
      <c r="FH38" s="311"/>
      <c r="FI38" s="311"/>
      <c r="FJ38" s="309"/>
      <c r="FK38" s="310"/>
      <c r="FL38" s="311"/>
      <c r="FM38" s="311"/>
      <c r="FN38" s="309"/>
      <c r="FO38" s="310"/>
      <c r="FP38" s="311"/>
      <c r="FQ38" s="311"/>
      <c r="FR38" s="309"/>
      <c r="FS38" s="310"/>
      <c r="FT38" s="311"/>
      <c r="FU38" s="311"/>
      <c r="FV38" s="309"/>
      <c r="FW38" s="310"/>
      <c r="FX38" s="311"/>
      <c r="FY38" s="311"/>
      <c r="FZ38" s="309"/>
      <c r="GA38" s="310"/>
      <c r="GB38" s="311"/>
      <c r="GC38" s="311"/>
      <c r="GD38" s="309"/>
      <c r="GE38" s="310"/>
      <c r="GF38" s="311"/>
      <c r="GG38" s="311"/>
      <c r="GH38" s="309"/>
      <c r="GI38" s="310"/>
      <c r="GJ38" s="311"/>
      <c r="GK38" s="311"/>
      <c r="GL38" s="309"/>
      <c r="GM38" s="310"/>
      <c r="GN38" s="311"/>
      <c r="GO38" s="311"/>
      <c r="GP38" s="309"/>
      <c r="GQ38" s="310"/>
      <c r="GR38" s="311"/>
      <c r="GS38" s="311"/>
      <c r="GT38" s="309"/>
      <c r="GU38" s="310"/>
      <c r="GV38" s="311"/>
      <c r="GW38" s="311"/>
      <c r="GX38" s="309"/>
      <c r="GY38" s="310"/>
      <c r="GZ38" s="311"/>
      <c r="HA38" s="311"/>
      <c r="HB38" s="309"/>
      <c r="HC38" s="312">
        <f t="shared" si="62"/>
        <v>0</v>
      </c>
      <c r="HD38" s="313">
        <f t="shared" si="62"/>
        <v>0</v>
      </c>
      <c r="HE38" s="313">
        <f t="shared" si="62"/>
        <v>0</v>
      </c>
      <c r="HF38" s="314"/>
      <c r="HG38" s="312">
        <f>SUM(SUMIFS(K38:HB38,$K$13:$HB$13,{"エネルギー管理指定工場等*","県域*"}))</f>
        <v>0</v>
      </c>
      <c r="HH38" s="313">
        <f>SUM(SUMIFS(L38:HC38,$K$13:$HB$13,{"エネルギー管理指定工場等*","県域*"}))</f>
        <v>0</v>
      </c>
      <c r="HI38" s="313">
        <f>SUM(SUMIFS(M38:HD38,$K$13:$HB$13,{"エネルギー管理指定工場等*","県域*"}))</f>
        <v>0</v>
      </c>
      <c r="HJ38" s="314"/>
      <c r="HL38" s="219">
        <v>29</v>
      </c>
      <c r="HM38" s="714"/>
      <c r="HN38" s="715" t="str">
        <f ca="1">IF(COUNTIF(HN$10:HN37,OFFSET(A1_原単位2024,5,HL38+2))&gt;=1,"",OFFSET(A1_原単位2024,5,HL38+2)&amp;"")</f>
        <v/>
      </c>
      <c r="HO38" s="716" t="str">
        <f t="shared" ca="1" si="49"/>
        <v/>
      </c>
      <c r="HP38" s="717" t="str">
        <f t="shared" ca="1" si="50"/>
        <v/>
      </c>
      <c r="HQ38" s="714"/>
      <c r="HR38" s="715" t="str">
        <f ca="1">IF(COUNTIF(HR$10:HR37,OFFSET(A1_原単位2024,17,HL38+2))&gt;=1,"",OFFSET(A1_原単位2024,17,HL38+2)&amp;"")</f>
        <v/>
      </c>
      <c r="HS38" s="718" t="str">
        <f t="shared" ca="1" si="51"/>
        <v/>
      </c>
      <c r="HT38" s="719" t="str">
        <f t="shared" ca="1" si="52"/>
        <v/>
      </c>
      <c r="HU38" s="714"/>
      <c r="HV38" s="715" t="str">
        <f ca="1">IF(COUNTIF(HV$10:HV37,OFFSET(A1_原単位2024,29,HL38+2))&gt;=1,"",OFFSET(A1_原単位2024,29,HL38+2)&amp;"")</f>
        <v/>
      </c>
      <c r="HW38" s="718" t="str">
        <f t="shared" ca="1" si="53"/>
        <v/>
      </c>
      <c r="HX38" s="719" t="str">
        <f t="shared" ca="1" si="54"/>
        <v/>
      </c>
      <c r="HY38" s="714"/>
      <c r="HZ38" s="715" t="str">
        <f ca="1">IF(COUNTIF(HZ$10:HZ37,OFFSET(A1_原単位2024,41,HL38+2))&gt;=1,"",OFFSET(A1_原単位2024,41,HL38+2)&amp;"")</f>
        <v/>
      </c>
      <c r="IA38" s="720" t="str">
        <f t="shared" ca="1" si="55"/>
        <v/>
      </c>
      <c r="IB38" s="721" t="str">
        <f t="shared" ca="1" si="56"/>
        <v/>
      </c>
      <c r="IE38" s="159" t="str">
        <f t="shared" ca="1" si="57"/>
        <v/>
      </c>
      <c r="IF38" s="159" t="str">
        <f t="shared" ca="1" si="58"/>
        <v/>
      </c>
      <c r="IG38" s="159" t="str">
        <f t="shared" ca="1" si="59"/>
        <v/>
      </c>
      <c r="IH38" s="159" t="str">
        <f t="shared" ca="1" si="60"/>
        <v/>
      </c>
    </row>
    <row r="39" spans="1:242" ht="19.8">
      <c r="A39" s="164"/>
      <c r="B39" s="302"/>
      <c r="C39" s="303" t="s">
        <v>371</v>
      </c>
      <c r="D39" s="304"/>
      <c r="E39" s="305"/>
      <c r="F39" s="303" t="s">
        <v>455</v>
      </c>
      <c r="G39" s="306">
        <v>37.299999999999997</v>
      </c>
      <c r="H39" s="307">
        <v>2.0899999999999998E-2</v>
      </c>
      <c r="I39" s="308"/>
      <c r="J39" s="309"/>
      <c r="K39" s="310"/>
      <c r="L39" s="311"/>
      <c r="M39" s="311"/>
      <c r="N39" s="309"/>
      <c r="O39" s="310"/>
      <c r="P39" s="311"/>
      <c r="Q39" s="311"/>
      <c r="R39" s="309"/>
      <c r="S39" s="310"/>
      <c r="T39" s="311"/>
      <c r="U39" s="311"/>
      <c r="V39" s="309"/>
      <c r="W39" s="310"/>
      <c r="X39" s="311"/>
      <c r="Y39" s="311"/>
      <c r="Z39" s="309"/>
      <c r="AA39" s="310"/>
      <c r="AB39" s="311"/>
      <c r="AC39" s="311"/>
      <c r="AD39" s="309"/>
      <c r="AE39" s="310"/>
      <c r="AF39" s="311"/>
      <c r="AG39" s="311"/>
      <c r="AH39" s="309"/>
      <c r="AI39" s="310"/>
      <c r="AJ39" s="311"/>
      <c r="AK39" s="311"/>
      <c r="AL39" s="309"/>
      <c r="AM39" s="310"/>
      <c r="AN39" s="311"/>
      <c r="AO39" s="311"/>
      <c r="AP39" s="309"/>
      <c r="AQ39" s="310"/>
      <c r="AR39" s="311"/>
      <c r="AS39" s="311"/>
      <c r="AT39" s="309"/>
      <c r="AU39" s="310"/>
      <c r="AV39" s="311"/>
      <c r="AW39" s="311"/>
      <c r="AX39" s="309"/>
      <c r="AY39" s="310"/>
      <c r="AZ39" s="311"/>
      <c r="BA39" s="311"/>
      <c r="BB39" s="309"/>
      <c r="BC39" s="310"/>
      <c r="BD39" s="311"/>
      <c r="BE39" s="311"/>
      <c r="BF39" s="309"/>
      <c r="BG39" s="310"/>
      <c r="BH39" s="311"/>
      <c r="BI39" s="311"/>
      <c r="BJ39" s="309"/>
      <c r="BK39" s="310"/>
      <c r="BL39" s="311"/>
      <c r="BM39" s="311"/>
      <c r="BN39" s="309"/>
      <c r="BO39" s="310"/>
      <c r="BP39" s="311"/>
      <c r="BQ39" s="311"/>
      <c r="BR39" s="309"/>
      <c r="BS39" s="310"/>
      <c r="BT39" s="311"/>
      <c r="BU39" s="311"/>
      <c r="BV39" s="309"/>
      <c r="BW39" s="310"/>
      <c r="BX39" s="311"/>
      <c r="BY39" s="311"/>
      <c r="BZ39" s="309"/>
      <c r="CA39" s="310"/>
      <c r="CB39" s="311"/>
      <c r="CC39" s="311"/>
      <c r="CD39" s="309"/>
      <c r="CE39" s="310"/>
      <c r="CF39" s="311"/>
      <c r="CG39" s="311"/>
      <c r="CH39" s="309"/>
      <c r="CI39" s="310"/>
      <c r="CJ39" s="311"/>
      <c r="CK39" s="311"/>
      <c r="CL39" s="309"/>
      <c r="CM39" s="310"/>
      <c r="CN39" s="311"/>
      <c r="CO39" s="311"/>
      <c r="CP39" s="309"/>
      <c r="CQ39" s="310"/>
      <c r="CR39" s="311"/>
      <c r="CS39" s="311"/>
      <c r="CT39" s="309"/>
      <c r="CU39" s="310"/>
      <c r="CV39" s="311"/>
      <c r="CW39" s="311"/>
      <c r="CX39" s="309"/>
      <c r="CY39" s="310"/>
      <c r="CZ39" s="311"/>
      <c r="DA39" s="311"/>
      <c r="DB39" s="309"/>
      <c r="DC39" s="310"/>
      <c r="DD39" s="311"/>
      <c r="DE39" s="311"/>
      <c r="DF39" s="309"/>
      <c r="DG39" s="310"/>
      <c r="DH39" s="311"/>
      <c r="DI39" s="311"/>
      <c r="DJ39" s="309"/>
      <c r="DK39" s="310"/>
      <c r="DL39" s="311"/>
      <c r="DM39" s="311"/>
      <c r="DN39" s="309"/>
      <c r="DO39" s="310"/>
      <c r="DP39" s="311"/>
      <c r="DQ39" s="311"/>
      <c r="DR39" s="309"/>
      <c r="DS39" s="310"/>
      <c r="DT39" s="311"/>
      <c r="DU39" s="311"/>
      <c r="DV39" s="309"/>
      <c r="DW39" s="310"/>
      <c r="DX39" s="311"/>
      <c r="DY39" s="311"/>
      <c r="DZ39" s="309"/>
      <c r="EA39" s="310"/>
      <c r="EB39" s="311"/>
      <c r="EC39" s="311"/>
      <c r="ED39" s="309"/>
      <c r="EE39" s="310"/>
      <c r="EF39" s="311"/>
      <c r="EG39" s="311"/>
      <c r="EH39" s="309"/>
      <c r="EI39" s="310"/>
      <c r="EJ39" s="311"/>
      <c r="EK39" s="311"/>
      <c r="EL39" s="309"/>
      <c r="EM39" s="310"/>
      <c r="EN39" s="311"/>
      <c r="EO39" s="311"/>
      <c r="EP39" s="309"/>
      <c r="EQ39" s="310"/>
      <c r="ER39" s="311"/>
      <c r="ES39" s="311"/>
      <c r="ET39" s="309"/>
      <c r="EU39" s="310"/>
      <c r="EV39" s="311"/>
      <c r="EW39" s="311"/>
      <c r="EX39" s="309"/>
      <c r="EY39" s="310"/>
      <c r="EZ39" s="311"/>
      <c r="FA39" s="311"/>
      <c r="FB39" s="309"/>
      <c r="FC39" s="310"/>
      <c r="FD39" s="311"/>
      <c r="FE39" s="311"/>
      <c r="FF39" s="309"/>
      <c r="FG39" s="310"/>
      <c r="FH39" s="311"/>
      <c r="FI39" s="311"/>
      <c r="FJ39" s="309"/>
      <c r="FK39" s="310"/>
      <c r="FL39" s="311"/>
      <c r="FM39" s="311"/>
      <c r="FN39" s="309"/>
      <c r="FO39" s="310"/>
      <c r="FP39" s="311"/>
      <c r="FQ39" s="311"/>
      <c r="FR39" s="309"/>
      <c r="FS39" s="310"/>
      <c r="FT39" s="311"/>
      <c r="FU39" s="311"/>
      <c r="FV39" s="309"/>
      <c r="FW39" s="310"/>
      <c r="FX39" s="311"/>
      <c r="FY39" s="311"/>
      <c r="FZ39" s="309"/>
      <c r="GA39" s="310"/>
      <c r="GB39" s="311"/>
      <c r="GC39" s="311"/>
      <c r="GD39" s="309"/>
      <c r="GE39" s="310"/>
      <c r="GF39" s="311"/>
      <c r="GG39" s="311"/>
      <c r="GH39" s="309"/>
      <c r="GI39" s="310"/>
      <c r="GJ39" s="311"/>
      <c r="GK39" s="311"/>
      <c r="GL39" s="309"/>
      <c r="GM39" s="310"/>
      <c r="GN39" s="311"/>
      <c r="GO39" s="311"/>
      <c r="GP39" s="309"/>
      <c r="GQ39" s="310"/>
      <c r="GR39" s="311"/>
      <c r="GS39" s="311"/>
      <c r="GT39" s="309"/>
      <c r="GU39" s="310"/>
      <c r="GV39" s="311"/>
      <c r="GW39" s="311"/>
      <c r="GX39" s="309"/>
      <c r="GY39" s="310"/>
      <c r="GZ39" s="311"/>
      <c r="HA39" s="311"/>
      <c r="HB39" s="309"/>
      <c r="HC39" s="312">
        <f t="shared" si="62"/>
        <v>0</v>
      </c>
      <c r="HD39" s="313">
        <f t="shared" si="62"/>
        <v>0</v>
      </c>
      <c r="HE39" s="313">
        <f t="shared" si="62"/>
        <v>0</v>
      </c>
      <c r="HF39" s="314"/>
      <c r="HG39" s="312">
        <f>SUM(SUMIFS(K39:HB39,$K$13:$HB$13,{"エネルギー管理指定工場等*","県域*"}))</f>
        <v>0</v>
      </c>
      <c r="HH39" s="313">
        <f>SUM(SUMIFS(L39:HC39,$K$13:$HB$13,{"エネルギー管理指定工場等*","県域*"}))</f>
        <v>0</v>
      </c>
      <c r="HI39" s="313">
        <f>SUM(SUMIFS(M39:HD39,$K$13:$HB$13,{"エネルギー管理指定工場等*","県域*"}))</f>
        <v>0</v>
      </c>
      <c r="HJ39" s="314"/>
      <c r="HL39" s="230">
        <v>30</v>
      </c>
      <c r="HM39" s="714"/>
      <c r="HN39" s="715" t="str">
        <f ca="1">IF(COUNTIF(HN$10:HN38,OFFSET(A1_原単位2024,5,HL39+2))&gt;=1,"",OFFSET(A1_原単位2024,5,HL39+2)&amp;"")</f>
        <v/>
      </c>
      <c r="HO39" s="716" t="str">
        <f t="shared" ca="1" si="49"/>
        <v/>
      </c>
      <c r="HP39" s="717" t="str">
        <f t="shared" ca="1" si="50"/>
        <v/>
      </c>
      <c r="HQ39" s="714"/>
      <c r="HR39" s="715" t="str">
        <f ca="1">IF(COUNTIF(HR$10:HR38,OFFSET(A1_原単位2024,17,HL39+2))&gt;=1,"",OFFSET(A1_原単位2024,17,HL39+2)&amp;"")</f>
        <v/>
      </c>
      <c r="HS39" s="718" t="str">
        <f t="shared" ca="1" si="51"/>
        <v/>
      </c>
      <c r="HT39" s="719" t="str">
        <f t="shared" ca="1" si="52"/>
        <v/>
      </c>
      <c r="HU39" s="714"/>
      <c r="HV39" s="715" t="str">
        <f ca="1">IF(COUNTIF(HV$10:HV38,OFFSET(A1_原単位2024,29,HL39+2))&gt;=1,"",OFFSET(A1_原単位2024,29,HL39+2)&amp;"")</f>
        <v/>
      </c>
      <c r="HW39" s="718" t="str">
        <f t="shared" ca="1" si="53"/>
        <v/>
      </c>
      <c r="HX39" s="719" t="str">
        <f t="shared" ca="1" si="54"/>
        <v/>
      </c>
      <c r="HY39" s="714"/>
      <c r="HZ39" s="715" t="str">
        <f ca="1">IF(COUNTIF(HZ$10:HZ38,OFFSET(A1_原単位2024,41,HL39+2))&gt;=1,"",OFFSET(A1_原単位2024,41,HL39+2)&amp;"")</f>
        <v/>
      </c>
      <c r="IA39" s="720" t="str">
        <f t="shared" ca="1" si="55"/>
        <v/>
      </c>
      <c r="IB39" s="721" t="str">
        <f t="shared" ca="1" si="56"/>
        <v/>
      </c>
      <c r="IE39" s="159" t="str">
        <f t="shared" ca="1" si="57"/>
        <v/>
      </c>
      <c r="IF39" s="159" t="str">
        <f t="shared" ca="1" si="58"/>
        <v/>
      </c>
      <c r="IG39" s="159" t="str">
        <f t="shared" ca="1" si="59"/>
        <v/>
      </c>
      <c r="IH39" s="159" t="str">
        <f t="shared" ca="1" si="60"/>
        <v/>
      </c>
    </row>
    <row r="40" spans="1:242" ht="19.8">
      <c r="A40" s="164"/>
      <c r="B40" s="302"/>
      <c r="C40" s="303" t="s">
        <v>372</v>
      </c>
      <c r="D40" s="304"/>
      <c r="E40" s="305"/>
      <c r="F40" s="303" t="s">
        <v>457</v>
      </c>
      <c r="G40" s="306">
        <v>18.399999999999999</v>
      </c>
      <c r="H40" s="307">
        <v>1.09E-2</v>
      </c>
      <c r="I40" s="308"/>
      <c r="J40" s="309"/>
      <c r="K40" s="310"/>
      <c r="L40" s="311"/>
      <c r="M40" s="311"/>
      <c r="N40" s="309"/>
      <c r="O40" s="310"/>
      <c r="P40" s="311"/>
      <c r="Q40" s="311"/>
      <c r="R40" s="309"/>
      <c r="S40" s="310"/>
      <c r="T40" s="311"/>
      <c r="U40" s="311"/>
      <c r="V40" s="309"/>
      <c r="W40" s="310"/>
      <c r="X40" s="311"/>
      <c r="Y40" s="311"/>
      <c r="Z40" s="309"/>
      <c r="AA40" s="310"/>
      <c r="AB40" s="311"/>
      <c r="AC40" s="311"/>
      <c r="AD40" s="309"/>
      <c r="AE40" s="310"/>
      <c r="AF40" s="311"/>
      <c r="AG40" s="311"/>
      <c r="AH40" s="309"/>
      <c r="AI40" s="310"/>
      <c r="AJ40" s="311"/>
      <c r="AK40" s="311"/>
      <c r="AL40" s="309"/>
      <c r="AM40" s="310"/>
      <c r="AN40" s="311"/>
      <c r="AO40" s="311"/>
      <c r="AP40" s="309"/>
      <c r="AQ40" s="310"/>
      <c r="AR40" s="311"/>
      <c r="AS40" s="311"/>
      <c r="AT40" s="309"/>
      <c r="AU40" s="310"/>
      <c r="AV40" s="311"/>
      <c r="AW40" s="311"/>
      <c r="AX40" s="309"/>
      <c r="AY40" s="310"/>
      <c r="AZ40" s="311"/>
      <c r="BA40" s="311"/>
      <c r="BB40" s="309"/>
      <c r="BC40" s="310"/>
      <c r="BD40" s="311"/>
      <c r="BE40" s="311"/>
      <c r="BF40" s="309"/>
      <c r="BG40" s="310"/>
      <c r="BH40" s="311"/>
      <c r="BI40" s="311"/>
      <c r="BJ40" s="309"/>
      <c r="BK40" s="310"/>
      <c r="BL40" s="311"/>
      <c r="BM40" s="311"/>
      <c r="BN40" s="309"/>
      <c r="BO40" s="310"/>
      <c r="BP40" s="311"/>
      <c r="BQ40" s="311"/>
      <c r="BR40" s="309"/>
      <c r="BS40" s="310"/>
      <c r="BT40" s="311"/>
      <c r="BU40" s="311"/>
      <c r="BV40" s="309"/>
      <c r="BW40" s="310"/>
      <c r="BX40" s="311"/>
      <c r="BY40" s="311"/>
      <c r="BZ40" s="309"/>
      <c r="CA40" s="310"/>
      <c r="CB40" s="311"/>
      <c r="CC40" s="311"/>
      <c r="CD40" s="309"/>
      <c r="CE40" s="310"/>
      <c r="CF40" s="311"/>
      <c r="CG40" s="311"/>
      <c r="CH40" s="309"/>
      <c r="CI40" s="310"/>
      <c r="CJ40" s="311"/>
      <c r="CK40" s="311"/>
      <c r="CL40" s="309"/>
      <c r="CM40" s="310"/>
      <c r="CN40" s="311"/>
      <c r="CO40" s="311"/>
      <c r="CP40" s="309"/>
      <c r="CQ40" s="310"/>
      <c r="CR40" s="311"/>
      <c r="CS40" s="311"/>
      <c r="CT40" s="309"/>
      <c r="CU40" s="310"/>
      <c r="CV40" s="311"/>
      <c r="CW40" s="311"/>
      <c r="CX40" s="309"/>
      <c r="CY40" s="310"/>
      <c r="CZ40" s="311"/>
      <c r="DA40" s="311"/>
      <c r="DB40" s="309"/>
      <c r="DC40" s="310"/>
      <c r="DD40" s="311"/>
      <c r="DE40" s="311"/>
      <c r="DF40" s="309"/>
      <c r="DG40" s="310"/>
      <c r="DH40" s="311"/>
      <c r="DI40" s="311"/>
      <c r="DJ40" s="309"/>
      <c r="DK40" s="310"/>
      <c r="DL40" s="311"/>
      <c r="DM40" s="311"/>
      <c r="DN40" s="309"/>
      <c r="DO40" s="310"/>
      <c r="DP40" s="311"/>
      <c r="DQ40" s="311"/>
      <c r="DR40" s="309"/>
      <c r="DS40" s="310"/>
      <c r="DT40" s="311"/>
      <c r="DU40" s="311"/>
      <c r="DV40" s="309"/>
      <c r="DW40" s="310"/>
      <c r="DX40" s="311"/>
      <c r="DY40" s="311"/>
      <c r="DZ40" s="309"/>
      <c r="EA40" s="310"/>
      <c r="EB40" s="311"/>
      <c r="EC40" s="311"/>
      <c r="ED40" s="309"/>
      <c r="EE40" s="310"/>
      <c r="EF40" s="311"/>
      <c r="EG40" s="311"/>
      <c r="EH40" s="309"/>
      <c r="EI40" s="310"/>
      <c r="EJ40" s="311"/>
      <c r="EK40" s="311"/>
      <c r="EL40" s="309"/>
      <c r="EM40" s="310"/>
      <c r="EN40" s="311"/>
      <c r="EO40" s="311"/>
      <c r="EP40" s="309"/>
      <c r="EQ40" s="310"/>
      <c r="ER40" s="311"/>
      <c r="ES40" s="311"/>
      <c r="ET40" s="309"/>
      <c r="EU40" s="310"/>
      <c r="EV40" s="311"/>
      <c r="EW40" s="311"/>
      <c r="EX40" s="309"/>
      <c r="EY40" s="310"/>
      <c r="EZ40" s="311"/>
      <c r="FA40" s="311"/>
      <c r="FB40" s="309"/>
      <c r="FC40" s="310"/>
      <c r="FD40" s="311"/>
      <c r="FE40" s="311"/>
      <c r="FF40" s="309"/>
      <c r="FG40" s="310"/>
      <c r="FH40" s="311"/>
      <c r="FI40" s="311"/>
      <c r="FJ40" s="309"/>
      <c r="FK40" s="310"/>
      <c r="FL40" s="311"/>
      <c r="FM40" s="311"/>
      <c r="FN40" s="309"/>
      <c r="FO40" s="310"/>
      <c r="FP40" s="311"/>
      <c r="FQ40" s="311"/>
      <c r="FR40" s="309"/>
      <c r="FS40" s="310"/>
      <c r="FT40" s="311"/>
      <c r="FU40" s="311"/>
      <c r="FV40" s="309"/>
      <c r="FW40" s="310"/>
      <c r="FX40" s="311"/>
      <c r="FY40" s="311"/>
      <c r="FZ40" s="309"/>
      <c r="GA40" s="310"/>
      <c r="GB40" s="311"/>
      <c r="GC40" s="311"/>
      <c r="GD40" s="309"/>
      <c r="GE40" s="310"/>
      <c r="GF40" s="311"/>
      <c r="GG40" s="311"/>
      <c r="GH40" s="309"/>
      <c r="GI40" s="310"/>
      <c r="GJ40" s="311"/>
      <c r="GK40" s="311"/>
      <c r="GL40" s="309"/>
      <c r="GM40" s="310"/>
      <c r="GN40" s="311"/>
      <c r="GO40" s="311"/>
      <c r="GP40" s="309"/>
      <c r="GQ40" s="310"/>
      <c r="GR40" s="311"/>
      <c r="GS40" s="311"/>
      <c r="GT40" s="309"/>
      <c r="GU40" s="310"/>
      <c r="GV40" s="311"/>
      <c r="GW40" s="311"/>
      <c r="GX40" s="309"/>
      <c r="GY40" s="310"/>
      <c r="GZ40" s="311"/>
      <c r="HA40" s="311"/>
      <c r="HB40" s="309"/>
      <c r="HC40" s="312">
        <f t="shared" si="62"/>
        <v>0</v>
      </c>
      <c r="HD40" s="313">
        <f t="shared" si="62"/>
        <v>0</v>
      </c>
      <c r="HE40" s="313">
        <f t="shared" si="62"/>
        <v>0</v>
      </c>
      <c r="HF40" s="314"/>
      <c r="HG40" s="312">
        <f>SUM(SUMIFS(K40:HB40,$K$13:$HB$13,{"エネルギー管理指定工場等*","県域*"}))</f>
        <v>0</v>
      </c>
      <c r="HH40" s="313">
        <f>SUM(SUMIFS(L40:HC40,$K$13:$HB$13,{"エネルギー管理指定工場等*","県域*"}))</f>
        <v>0</v>
      </c>
      <c r="HI40" s="313">
        <f>SUM(SUMIFS(M40:HD40,$K$13:$HB$13,{"エネルギー管理指定工場等*","県域*"}))</f>
        <v>0</v>
      </c>
      <c r="HJ40" s="314"/>
      <c r="HL40" s="219">
        <v>31</v>
      </c>
      <c r="HM40" s="714"/>
      <c r="HN40" s="715" t="str">
        <f ca="1">IF(COUNTIF(HN$10:HN39,OFFSET(A1_原単位2024,5,HL40+2))&gt;=1,"",OFFSET(A1_原単位2024,5,HL40+2)&amp;"")</f>
        <v/>
      </c>
      <c r="HO40" s="716" t="str">
        <f t="shared" ca="1" si="49"/>
        <v/>
      </c>
      <c r="HP40" s="717" t="str">
        <f t="shared" ca="1" si="50"/>
        <v/>
      </c>
      <c r="HQ40" s="714"/>
      <c r="HR40" s="715" t="str">
        <f ca="1">IF(COUNTIF(HR$10:HR39,OFFSET(A1_原単位2024,17,HL40+2))&gt;=1,"",OFFSET(A1_原単位2024,17,HL40+2)&amp;"")</f>
        <v/>
      </c>
      <c r="HS40" s="718" t="str">
        <f t="shared" ca="1" si="51"/>
        <v/>
      </c>
      <c r="HT40" s="719" t="str">
        <f t="shared" ca="1" si="52"/>
        <v/>
      </c>
      <c r="HU40" s="714"/>
      <c r="HV40" s="715" t="str">
        <f ca="1">IF(COUNTIF(HV$10:HV39,OFFSET(A1_原単位2024,29,HL40+2))&gt;=1,"",OFFSET(A1_原単位2024,29,HL40+2)&amp;"")</f>
        <v/>
      </c>
      <c r="HW40" s="718" t="str">
        <f t="shared" ca="1" si="53"/>
        <v/>
      </c>
      <c r="HX40" s="719" t="str">
        <f t="shared" ca="1" si="54"/>
        <v/>
      </c>
      <c r="HY40" s="714"/>
      <c r="HZ40" s="715" t="str">
        <f ca="1">IF(COUNTIF(HZ$10:HZ39,OFFSET(A1_原単位2024,41,HL40+2))&gt;=1,"",OFFSET(A1_原単位2024,41,HL40+2)&amp;"")</f>
        <v/>
      </c>
      <c r="IA40" s="720" t="str">
        <f t="shared" ca="1" si="55"/>
        <v/>
      </c>
      <c r="IB40" s="721" t="str">
        <f t="shared" ca="1" si="56"/>
        <v/>
      </c>
      <c r="IE40" s="159" t="str">
        <f t="shared" ca="1" si="57"/>
        <v/>
      </c>
      <c r="IF40" s="159" t="str">
        <f t="shared" ca="1" si="58"/>
        <v/>
      </c>
      <c r="IG40" s="159" t="str">
        <f t="shared" ca="1" si="59"/>
        <v/>
      </c>
      <c r="IH40" s="159" t="str">
        <f t="shared" ca="1" si="60"/>
        <v/>
      </c>
    </row>
    <row r="41" spans="1:242" ht="19.8">
      <c r="A41" s="164"/>
      <c r="B41" s="302"/>
      <c r="C41" s="303" t="s">
        <v>373</v>
      </c>
      <c r="D41" s="304"/>
      <c r="E41" s="305"/>
      <c r="F41" s="303" t="s">
        <v>457</v>
      </c>
      <c r="G41" s="306">
        <v>3.23</v>
      </c>
      <c r="H41" s="307">
        <v>2.64E-2</v>
      </c>
      <c r="I41" s="308"/>
      <c r="J41" s="309"/>
      <c r="K41" s="310"/>
      <c r="L41" s="311"/>
      <c r="M41" s="311"/>
      <c r="N41" s="309"/>
      <c r="O41" s="310"/>
      <c r="P41" s="311"/>
      <c r="Q41" s="311"/>
      <c r="R41" s="309"/>
      <c r="S41" s="310"/>
      <c r="T41" s="311"/>
      <c r="U41" s="311"/>
      <c r="V41" s="309"/>
      <c r="W41" s="310"/>
      <c r="X41" s="311"/>
      <c r="Y41" s="311"/>
      <c r="Z41" s="309"/>
      <c r="AA41" s="310"/>
      <c r="AB41" s="311"/>
      <c r="AC41" s="311"/>
      <c r="AD41" s="309"/>
      <c r="AE41" s="310"/>
      <c r="AF41" s="311"/>
      <c r="AG41" s="311"/>
      <c r="AH41" s="309"/>
      <c r="AI41" s="310"/>
      <c r="AJ41" s="311"/>
      <c r="AK41" s="311"/>
      <c r="AL41" s="309"/>
      <c r="AM41" s="310"/>
      <c r="AN41" s="311"/>
      <c r="AO41" s="311"/>
      <c r="AP41" s="309"/>
      <c r="AQ41" s="310"/>
      <c r="AR41" s="311"/>
      <c r="AS41" s="311"/>
      <c r="AT41" s="309"/>
      <c r="AU41" s="310"/>
      <c r="AV41" s="311"/>
      <c r="AW41" s="311"/>
      <c r="AX41" s="309"/>
      <c r="AY41" s="310"/>
      <c r="AZ41" s="311"/>
      <c r="BA41" s="311"/>
      <c r="BB41" s="309"/>
      <c r="BC41" s="310"/>
      <c r="BD41" s="311"/>
      <c r="BE41" s="311"/>
      <c r="BF41" s="309"/>
      <c r="BG41" s="310"/>
      <c r="BH41" s="311"/>
      <c r="BI41" s="311"/>
      <c r="BJ41" s="309"/>
      <c r="BK41" s="310"/>
      <c r="BL41" s="311"/>
      <c r="BM41" s="311"/>
      <c r="BN41" s="309"/>
      <c r="BO41" s="310"/>
      <c r="BP41" s="311"/>
      <c r="BQ41" s="311"/>
      <c r="BR41" s="309"/>
      <c r="BS41" s="310"/>
      <c r="BT41" s="311"/>
      <c r="BU41" s="311"/>
      <c r="BV41" s="309"/>
      <c r="BW41" s="310"/>
      <c r="BX41" s="311"/>
      <c r="BY41" s="311"/>
      <c r="BZ41" s="309"/>
      <c r="CA41" s="310"/>
      <c r="CB41" s="311"/>
      <c r="CC41" s="311"/>
      <c r="CD41" s="309"/>
      <c r="CE41" s="310"/>
      <c r="CF41" s="311"/>
      <c r="CG41" s="311"/>
      <c r="CH41" s="309"/>
      <c r="CI41" s="310"/>
      <c r="CJ41" s="311"/>
      <c r="CK41" s="311"/>
      <c r="CL41" s="309"/>
      <c r="CM41" s="310"/>
      <c r="CN41" s="311"/>
      <c r="CO41" s="311"/>
      <c r="CP41" s="309"/>
      <c r="CQ41" s="310"/>
      <c r="CR41" s="311"/>
      <c r="CS41" s="311"/>
      <c r="CT41" s="309"/>
      <c r="CU41" s="310"/>
      <c r="CV41" s="311"/>
      <c r="CW41" s="311"/>
      <c r="CX41" s="309"/>
      <c r="CY41" s="310"/>
      <c r="CZ41" s="311"/>
      <c r="DA41" s="311"/>
      <c r="DB41" s="309"/>
      <c r="DC41" s="310"/>
      <c r="DD41" s="311"/>
      <c r="DE41" s="311"/>
      <c r="DF41" s="309"/>
      <c r="DG41" s="310"/>
      <c r="DH41" s="311"/>
      <c r="DI41" s="311"/>
      <c r="DJ41" s="309"/>
      <c r="DK41" s="310"/>
      <c r="DL41" s="311"/>
      <c r="DM41" s="311"/>
      <c r="DN41" s="309"/>
      <c r="DO41" s="310"/>
      <c r="DP41" s="311"/>
      <c r="DQ41" s="311"/>
      <c r="DR41" s="309"/>
      <c r="DS41" s="310"/>
      <c r="DT41" s="311"/>
      <c r="DU41" s="311"/>
      <c r="DV41" s="309"/>
      <c r="DW41" s="310"/>
      <c r="DX41" s="311"/>
      <c r="DY41" s="311"/>
      <c r="DZ41" s="309"/>
      <c r="EA41" s="310"/>
      <c r="EB41" s="311"/>
      <c r="EC41" s="311"/>
      <c r="ED41" s="309"/>
      <c r="EE41" s="310"/>
      <c r="EF41" s="311"/>
      <c r="EG41" s="311"/>
      <c r="EH41" s="309"/>
      <c r="EI41" s="310"/>
      <c r="EJ41" s="311"/>
      <c r="EK41" s="311"/>
      <c r="EL41" s="309"/>
      <c r="EM41" s="310"/>
      <c r="EN41" s="311"/>
      <c r="EO41" s="311"/>
      <c r="EP41" s="309"/>
      <c r="EQ41" s="310"/>
      <c r="ER41" s="311"/>
      <c r="ES41" s="311"/>
      <c r="ET41" s="309"/>
      <c r="EU41" s="310"/>
      <c r="EV41" s="311"/>
      <c r="EW41" s="311"/>
      <c r="EX41" s="309"/>
      <c r="EY41" s="310"/>
      <c r="EZ41" s="311"/>
      <c r="FA41" s="311"/>
      <c r="FB41" s="309"/>
      <c r="FC41" s="310"/>
      <c r="FD41" s="311"/>
      <c r="FE41" s="311"/>
      <c r="FF41" s="309"/>
      <c r="FG41" s="310"/>
      <c r="FH41" s="311"/>
      <c r="FI41" s="311"/>
      <c r="FJ41" s="309"/>
      <c r="FK41" s="310"/>
      <c r="FL41" s="311"/>
      <c r="FM41" s="311"/>
      <c r="FN41" s="309"/>
      <c r="FO41" s="310"/>
      <c r="FP41" s="311"/>
      <c r="FQ41" s="311"/>
      <c r="FR41" s="309"/>
      <c r="FS41" s="310"/>
      <c r="FT41" s="311"/>
      <c r="FU41" s="311"/>
      <c r="FV41" s="309"/>
      <c r="FW41" s="310"/>
      <c r="FX41" s="311"/>
      <c r="FY41" s="311"/>
      <c r="FZ41" s="309"/>
      <c r="GA41" s="310"/>
      <c r="GB41" s="311"/>
      <c r="GC41" s="311"/>
      <c r="GD41" s="309"/>
      <c r="GE41" s="310"/>
      <c r="GF41" s="311"/>
      <c r="GG41" s="311"/>
      <c r="GH41" s="309"/>
      <c r="GI41" s="310"/>
      <c r="GJ41" s="311"/>
      <c r="GK41" s="311"/>
      <c r="GL41" s="309"/>
      <c r="GM41" s="310"/>
      <c r="GN41" s="311"/>
      <c r="GO41" s="311"/>
      <c r="GP41" s="309"/>
      <c r="GQ41" s="310"/>
      <c r="GR41" s="311"/>
      <c r="GS41" s="311"/>
      <c r="GT41" s="309"/>
      <c r="GU41" s="310"/>
      <c r="GV41" s="311"/>
      <c r="GW41" s="311"/>
      <c r="GX41" s="309"/>
      <c r="GY41" s="310"/>
      <c r="GZ41" s="311"/>
      <c r="HA41" s="311"/>
      <c r="HB41" s="309"/>
      <c r="HC41" s="312">
        <f t="shared" si="62"/>
        <v>0</v>
      </c>
      <c r="HD41" s="313">
        <f t="shared" si="62"/>
        <v>0</v>
      </c>
      <c r="HE41" s="313">
        <f t="shared" si="62"/>
        <v>0</v>
      </c>
      <c r="HF41" s="314"/>
      <c r="HG41" s="312">
        <f>SUM(SUMIFS(K41:HB41,$K$13:$HB$13,{"エネルギー管理指定工場等*","県域*"}))</f>
        <v>0</v>
      </c>
      <c r="HH41" s="313">
        <f>SUM(SUMIFS(L41:HC41,$K$13:$HB$13,{"エネルギー管理指定工場等*","県域*"}))</f>
        <v>0</v>
      </c>
      <c r="HI41" s="313">
        <f>SUM(SUMIFS(M41:HD41,$K$13:$HB$13,{"エネルギー管理指定工場等*","県域*"}))</f>
        <v>0</v>
      </c>
      <c r="HJ41" s="314"/>
      <c r="HL41" s="230">
        <v>32</v>
      </c>
      <c r="HM41" s="714"/>
      <c r="HN41" s="715" t="str">
        <f ca="1">IF(COUNTIF(HN$10:HN40,OFFSET(A1_原単位2024,5,HL41+2))&gt;=1,"",OFFSET(A1_原単位2024,5,HL41+2)&amp;"")</f>
        <v/>
      </c>
      <c r="HO41" s="716" t="str">
        <f t="shared" ca="1" si="49"/>
        <v/>
      </c>
      <c r="HP41" s="717" t="str">
        <f t="shared" ca="1" si="50"/>
        <v/>
      </c>
      <c r="HQ41" s="714"/>
      <c r="HR41" s="715" t="str">
        <f ca="1">IF(COUNTIF(HR$10:HR40,OFFSET(A1_原単位2024,17,HL41+2))&gt;=1,"",OFFSET(A1_原単位2024,17,HL41+2)&amp;"")</f>
        <v/>
      </c>
      <c r="HS41" s="718" t="str">
        <f t="shared" ca="1" si="51"/>
        <v/>
      </c>
      <c r="HT41" s="719" t="str">
        <f t="shared" ca="1" si="52"/>
        <v/>
      </c>
      <c r="HU41" s="714"/>
      <c r="HV41" s="715" t="str">
        <f ca="1">IF(COUNTIF(HV$10:HV40,OFFSET(A1_原単位2024,29,HL41+2))&gt;=1,"",OFFSET(A1_原単位2024,29,HL41+2)&amp;"")</f>
        <v/>
      </c>
      <c r="HW41" s="718" t="str">
        <f t="shared" ca="1" si="53"/>
        <v/>
      </c>
      <c r="HX41" s="719" t="str">
        <f t="shared" ca="1" si="54"/>
        <v/>
      </c>
      <c r="HY41" s="714"/>
      <c r="HZ41" s="715" t="str">
        <f ca="1">IF(COUNTIF(HZ$10:HZ40,OFFSET(A1_原単位2024,41,HL41+2))&gt;=1,"",OFFSET(A1_原単位2024,41,HL41+2)&amp;"")</f>
        <v/>
      </c>
      <c r="IA41" s="720" t="str">
        <f t="shared" ca="1" si="55"/>
        <v/>
      </c>
      <c r="IB41" s="721" t="str">
        <f t="shared" ca="1" si="56"/>
        <v/>
      </c>
      <c r="IE41" s="159" t="str">
        <f t="shared" ca="1" si="57"/>
        <v/>
      </c>
      <c r="IF41" s="159" t="str">
        <f t="shared" ca="1" si="58"/>
        <v/>
      </c>
      <c r="IG41" s="159" t="str">
        <f t="shared" ca="1" si="59"/>
        <v/>
      </c>
      <c r="IH41" s="159" t="str">
        <f t="shared" ca="1" si="60"/>
        <v/>
      </c>
    </row>
    <row r="42" spans="1:242" ht="19.8">
      <c r="A42" s="164"/>
      <c r="B42" s="302"/>
      <c r="C42" s="303" t="s">
        <v>587</v>
      </c>
      <c r="D42" s="304"/>
      <c r="E42" s="305"/>
      <c r="F42" s="303" t="s">
        <v>457</v>
      </c>
      <c r="G42" s="306">
        <v>3.45</v>
      </c>
      <c r="H42" s="307">
        <v>2.64E-2</v>
      </c>
      <c r="I42" s="308"/>
      <c r="J42" s="309"/>
      <c r="K42" s="310"/>
      <c r="L42" s="311"/>
      <c r="M42" s="311"/>
      <c r="N42" s="309"/>
      <c r="O42" s="310"/>
      <c r="P42" s="311"/>
      <c r="Q42" s="311"/>
      <c r="R42" s="309"/>
      <c r="S42" s="310"/>
      <c r="T42" s="311"/>
      <c r="U42" s="311"/>
      <c r="V42" s="309"/>
      <c r="W42" s="310"/>
      <c r="X42" s="311"/>
      <c r="Y42" s="311"/>
      <c r="Z42" s="309"/>
      <c r="AA42" s="310"/>
      <c r="AB42" s="311"/>
      <c r="AC42" s="311"/>
      <c r="AD42" s="309"/>
      <c r="AE42" s="310"/>
      <c r="AF42" s="311"/>
      <c r="AG42" s="311"/>
      <c r="AH42" s="309"/>
      <c r="AI42" s="310"/>
      <c r="AJ42" s="311"/>
      <c r="AK42" s="311"/>
      <c r="AL42" s="309"/>
      <c r="AM42" s="310"/>
      <c r="AN42" s="311"/>
      <c r="AO42" s="311"/>
      <c r="AP42" s="309"/>
      <c r="AQ42" s="310"/>
      <c r="AR42" s="311"/>
      <c r="AS42" s="311"/>
      <c r="AT42" s="309"/>
      <c r="AU42" s="310"/>
      <c r="AV42" s="311"/>
      <c r="AW42" s="311"/>
      <c r="AX42" s="309"/>
      <c r="AY42" s="310"/>
      <c r="AZ42" s="311"/>
      <c r="BA42" s="311"/>
      <c r="BB42" s="309"/>
      <c r="BC42" s="310"/>
      <c r="BD42" s="311"/>
      <c r="BE42" s="311"/>
      <c r="BF42" s="309"/>
      <c r="BG42" s="310"/>
      <c r="BH42" s="311"/>
      <c r="BI42" s="311"/>
      <c r="BJ42" s="309"/>
      <c r="BK42" s="310"/>
      <c r="BL42" s="311"/>
      <c r="BM42" s="311"/>
      <c r="BN42" s="309"/>
      <c r="BO42" s="310"/>
      <c r="BP42" s="311"/>
      <c r="BQ42" s="311"/>
      <c r="BR42" s="309"/>
      <c r="BS42" s="310"/>
      <c r="BT42" s="311"/>
      <c r="BU42" s="311"/>
      <c r="BV42" s="309"/>
      <c r="BW42" s="310"/>
      <c r="BX42" s="311"/>
      <c r="BY42" s="311"/>
      <c r="BZ42" s="309"/>
      <c r="CA42" s="310"/>
      <c r="CB42" s="311"/>
      <c r="CC42" s="311"/>
      <c r="CD42" s="309"/>
      <c r="CE42" s="310"/>
      <c r="CF42" s="311"/>
      <c r="CG42" s="311"/>
      <c r="CH42" s="309"/>
      <c r="CI42" s="310"/>
      <c r="CJ42" s="311"/>
      <c r="CK42" s="311"/>
      <c r="CL42" s="309"/>
      <c r="CM42" s="310"/>
      <c r="CN42" s="311"/>
      <c r="CO42" s="311"/>
      <c r="CP42" s="309"/>
      <c r="CQ42" s="310"/>
      <c r="CR42" s="311"/>
      <c r="CS42" s="311"/>
      <c r="CT42" s="309"/>
      <c r="CU42" s="310"/>
      <c r="CV42" s="311"/>
      <c r="CW42" s="311"/>
      <c r="CX42" s="309"/>
      <c r="CY42" s="310"/>
      <c r="CZ42" s="311"/>
      <c r="DA42" s="311"/>
      <c r="DB42" s="309"/>
      <c r="DC42" s="310"/>
      <c r="DD42" s="311"/>
      <c r="DE42" s="311"/>
      <c r="DF42" s="309"/>
      <c r="DG42" s="310"/>
      <c r="DH42" s="311"/>
      <c r="DI42" s="311"/>
      <c r="DJ42" s="309"/>
      <c r="DK42" s="310"/>
      <c r="DL42" s="311"/>
      <c r="DM42" s="311"/>
      <c r="DN42" s="309"/>
      <c r="DO42" s="310"/>
      <c r="DP42" s="311"/>
      <c r="DQ42" s="311"/>
      <c r="DR42" s="309"/>
      <c r="DS42" s="310"/>
      <c r="DT42" s="311"/>
      <c r="DU42" s="311"/>
      <c r="DV42" s="309"/>
      <c r="DW42" s="310"/>
      <c r="DX42" s="311"/>
      <c r="DY42" s="311"/>
      <c r="DZ42" s="309"/>
      <c r="EA42" s="310"/>
      <c r="EB42" s="311"/>
      <c r="EC42" s="311"/>
      <c r="ED42" s="309"/>
      <c r="EE42" s="310"/>
      <c r="EF42" s="311"/>
      <c r="EG42" s="311"/>
      <c r="EH42" s="309"/>
      <c r="EI42" s="310"/>
      <c r="EJ42" s="311"/>
      <c r="EK42" s="311"/>
      <c r="EL42" s="309"/>
      <c r="EM42" s="310"/>
      <c r="EN42" s="311"/>
      <c r="EO42" s="311"/>
      <c r="EP42" s="309"/>
      <c r="EQ42" s="310"/>
      <c r="ER42" s="311"/>
      <c r="ES42" s="311"/>
      <c r="ET42" s="309"/>
      <c r="EU42" s="310"/>
      <c r="EV42" s="311"/>
      <c r="EW42" s="311"/>
      <c r="EX42" s="309"/>
      <c r="EY42" s="310"/>
      <c r="EZ42" s="311"/>
      <c r="FA42" s="311"/>
      <c r="FB42" s="309"/>
      <c r="FC42" s="310"/>
      <c r="FD42" s="311"/>
      <c r="FE42" s="311"/>
      <c r="FF42" s="309"/>
      <c r="FG42" s="310"/>
      <c r="FH42" s="311"/>
      <c r="FI42" s="311"/>
      <c r="FJ42" s="309"/>
      <c r="FK42" s="310"/>
      <c r="FL42" s="311"/>
      <c r="FM42" s="311"/>
      <c r="FN42" s="309"/>
      <c r="FO42" s="310"/>
      <c r="FP42" s="311"/>
      <c r="FQ42" s="311"/>
      <c r="FR42" s="309"/>
      <c r="FS42" s="310"/>
      <c r="FT42" s="311"/>
      <c r="FU42" s="311"/>
      <c r="FV42" s="309"/>
      <c r="FW42" s="310"/>
      <c r="FX42" s="311"/>
      <c r="FY42" s="311"/>
      <c r="FZ42" s="309"/>
      <c r="GA42" s="310"/>
      <c r="GB42" s="311"/>
      <c r="GC42" s="311"/>
      <c r="GD42" s="309"/>
      <c r="GE42" s="310"/>
      <c r="GF42" s="311"/>
      <c r="GG42" s="311"/>
      <c r="GH42" s="309"/>
      <c r="GI42" s="310"/>
      <c r="GJ42" s="311"/>
      <c r="GK42" s="311"/>
      <c r="GL42" s="309"/>
      <c r="GM42" s="310"/>
      <c r="GN42" s="311"/>
      <c r="GO42" s="311"/>
      <c r="GP42" s="309"/>
      <c r="GQ42" s="310"/>
      <c r="GR42" s="311"/>
      <c r="GS42" s="311"/>
      <c r="GT42" s="309"/>
      <c r="GU42" s="310"/>
      <c r="GV42" s="311"/>
      <c r="GW42" s="311"/>
      <c r="GX42" s="309"/>
      <c r="GY42" s="310"/>
      <c r="GZ42" s="311"/>
      <c r="HA42" s="311"/>
      <c r="HB42" s="309"/>
      <c r="HC42" s="312">
        <f t="shared" si="62"/>
        <v>0</v>
      </c>
      <c r="HD42" s="313">
        <f t="shared" si="62"/>
        <v>0</v>
      </c>
      <c r="HE42" s="313">
        <f t="shared" si="62"/>
        <v>0</v>
      </c>
      <c r="HF42" s="314"/>
      <c r="HG42" s="312">
        <f>SUM(SUMIFS(K42:HB42,$K$13:$HB$13,{"エネルギー管理指定工場等*","県域*"}))</f>
        <v>0</v>
      </c>
      <c r="HH42" s="313">
        <f>SUM(SUMIFS(L42:HC42,$K$13:$HB$13,{"エネルギー管理指定工場等*","県域*"}))</f>
        <v>0</v>
      </c>
      <c r="HI42" s="313">
        <f>SUM(SUMIFS(M42:HD42,$K$13:$HB$13,{"エネルギー管理指定工場等*","県域*"}))</f>
        <v>0</v>
      </c>
      <c r="HJ42" s="314"/>
      <c r="HL42" s="219">
        <v>33</v>
      </c>
      <c r="HM42" s="714"/>
      <c r="HN42" s="715" t="str">
        <f ca="1">IF(COUNTIF(HN$10:HN41,OFFSET(A1_原単位2024,5,HL42+2))&gt;=1,"",OFFSET(A1_原単位2024,5,HL42+2)&amp;"")</f>
        <v/>
      </c>
      <c r="HO42" s="716" t="str">
        <f t="shared" ca="1" si="49"/>
        <v/>
      </c>
      <c r="HP42" s="717" t="str">
        <f t="shared" ref="HP42:HP59" ca="1" si="63">IF(HN42="","",HYPERLINK("#"&amp;OFFSET(A1_原単位2024,66,$HL42+2),OFFSET(A1_原単位2024,62,$HL42+2)))</f>
        <v/>
      </c>
      <c r="HQ42" s="714"/>
      <c r="HR42" s="715" t="str">
        <f ca="1">IF(COUNTIF(HR$10:HR41,OFFSET(A1_原単位2024,17,HL42+2))&gt;=1,"",OFFSET(A1_原単位2024,17,HL42+2)&amp;"")</f>
        <v/>
      </c>
      <c r="HS42" s="718" t="str">
        <f t="shared" ca="1" si="51"/>
        <v/>
      </c>
      <c r="HT42" s="719" t="str">
        <f t="shared" ref="HT42:HT59" ca="1" si="64">IF(HR42="","",HYPERLINK("#"&amp;OFFSET(A1_原単位2024,67,$HL42+2),OFFSET(A1_原単位2024,63,$HL42+2)))</f>
        <v/>
      </c>
      <c r="HU42" s="714"/>
      <c r="HV42" s="715" t="str">
        <f ca="1">IF(COUNTIF(HV$10:HV41,OFFSET(A1_原単位2024,29,HL42+2))&gt;=1,"",OFFSET(A1_原単位2024,29,HL42+2)&amp;"")</f>
        <v/>
      </c>
      <c r="HW42" s="718" t="str">
        <f t="shared" ca="1" si="53"/>
        <v/>
      </c>
      <c r="HX42" s="719" t="str">
        <f t="shared" ref="HX42:HX59" ca="1" si="65">IF(HV42="","",HYPERLINK("#"&amp;OFFSET(A1_原単位2024,68,$HL42+2),OFFSET(A1_原単位2024,64,$HL42+2)))</f>
        <v/>
      </c>
      <c r="HY42" s="714"/>
      <c r="HZ42" s="715" t="str">
        <f ca="1">IF(COUNTIF(HZ$10:HZ41,OFFSET(A1_原単位2024,41,HL42+2))&gt;=1,"",OFFSET(A1_原単位2024,41,HL42+2)&amp;"")</f>
        <v/>
      </c>
      <c r="IA42" s="720" t="str">
        <f t="shared" ca="1" si="55"/>
        <v/>
      </c>
      <c r="IB42" s="721" t="str">
        <f t="shared" ref="IB42:IB59" ca="1" si="66">IF(HZ42="","",HYPERLINK("#"&amp;OFFSET(A1_原単位2024,69,$HL42+2),OFFSET(A1_原単位2024,65,$HL42+2)))</f>
        <v/>
      </c>
      <c r="IE42" s="159" t="str">
        <f t="shared" ref="IE42:IE59" ca="1" si="67">IF($HN42="","",ADDRESS(ROW(貼付け_2024実績)+5,OFFSET(A1_原単位2024,7,$HL42+2)+COLUMN(貼付け_2024実績)+1,4))</f>
        <v/>
      </c>
      <c r="IF42" s="159" t="str">
        <f t="shared" ref="IF42:IF59" ca="1" si="68">IF($HR42="","",ADDRESS(ROW(貼付け_2024実績)+5,OFFSET(A1_原単位2024,19,$HL42+2)+COLUMN(貼付け_2024実績)+1,4))</f>
        <v/>
      </c>
      <c r="IG42" s="159" t="str">
        <f t="shared" ref="IG42:IG59" ca="1" si="69">IF($HV42="","",ADDRESS(ROW(貼付け_2024実績)+5,OFFSET(A1_原単位2024,31,$HL42+2)+COLUMN(貼付け_2024実績)+1,4))</f>
        <v/>
      </c>
      <c r="IH42" s="159" t="str">
        <f t="shared" ref="IH42:IH59" ca="1" si="70">IF($HZ42="","",ADDRESS(ROW(貼付け_2024実績)+5,OFFSET(A1_原単位2024,43,$HL42+2)+COLUMN(貼付け_2024実績)+1,4))</f>
        <v/>
      </c>
    </row>
    <row r="43" spans="1:242" ht="19.8">
      <c r="A43" s="164"/>
      <c r="B43" s="302"/>
      <c r="C43" s="303" t="s">
        <v>375</v>
      </c>
      <c r="D43" s="304"/>
      <c r="E43" s="305"/>
      <c r="F43" s="303" t="s">
        <v>457</v>
      </c>
      <c r="G43" s="306">
        <v>7.53</v>
      </c>
      <c r="H43" s="307">
        <v>4.2000000000000003E-2</v>
      </c>
      <c r="I43" s="308"/>
      <c r="J43" s="309"/>
      <c r="K43" s="310"/>
      <c r="L43" s="311"/>
      <c r="M43" s="311"/>
      <c r="N43" s="309"/>
      <c r="O43" s="310"/>
      <c r="P43" s="311"/>
      <c r="Q43" s="311"/>
      <c r="R43" s="309"/>
      <c r="S43" s="310"/>
      <c r="T43" s="311"/>
      <c r="U43" s="311"/>
      <c r="V43" s="309"/>
      <c r="W43" s="310"/>
      <c r="X43" s="311"/>
      <c r="Y43" s="311"/>
      <c r="Z43" s="309"/>
      <c r="AA43" s="310"/>
      <c r="AB43" s="311"/>
      <c r="AC43" s="311"/>
      <c r="AD43" s="309"/>
      <c r="AE43" s="310"/>
      <c r="AF43" s="311"/>
      <c r="AG43" s="311"/>
      <c r="AH43" s="309"/>
      <c r="AI43" s="310"/>
      <c r="AJ43" s="311"/>
      <c r="AK43" s="311"/>
      <c r="AL43" s="309"/>
      <c r="AM43" s="310"/>
      <c r="AN43" s="311"/>
      <c r="AO43" s="311"/>
      <c r="AP43" s="309"/>
      <c r="AQ43" s="310"/>
      <c r="AR43" s="311"/>
      <c r="AS43" s="311"/>
      <c r="AT43" s="309"/>
      <c r="AU43" s="310"/>
      <c r="AV43" s="311"/>
      <c r="AW43" s="311"/>
      <c r="AX43" s="309"/>
      <c r="AY43" s="310"/>
      <c r="AZ43" s="311"/>
      <c r="BA43" s="311"/>
      <c r="BB43" s="309"/>
      <c r="BC43" s="310"/>
      <c r="BD43" s="311"/>
      <c r="BE43" s="311"/>
      <c r="BF43" s="309"/>
      <c r="BG43" s="310"/>
      <c r="BH43" s="311"/>
      <c r="BI43" s="311"/>
      <c r="BJ43" s="309"/>
      <c r="BK43" s="310"/>
      <c r="BL43" s="311"/>
      <c r="BM43" s="311"/>
      <c r="BN43" s="309"/>
      <c r="BO43" s="310"/>
      <c r="BP43" s="311"/>
      <c r="BQ43" s="311"/>
      <c r="BR43" s="309"/>
      <c r="BS43" s="310"/>
      <c r="BT43" s="311"/>
      <c r="BU43" s="311"/>
      <c r="BV43" s="309"/>
      <c r="BW43" s="310"/>
      <c r="BX43" s="311"/>
      <c r="BY43" s="311"/>
      <c r="BZ43" s="309"/>
      <c r="CA43" s="310"/>
      <c r="CB43" s="311"/>
      <c r="CC43" s="311"/>
      <c r="CD43" s="309"/>
      <c r="CE43" s="310"/>
      <c r="CF43" s="311"/>
      <c r="CG43" s="311"/>
      <c r="CH43" s="309"/>
      <c r="CI43" s="310"/>
      <c r="CJ43" s="311"/>
      <c r="CK43" s="311"/>
      <c r="CL43" s="309"/>
      <c r="CM43" s="310"/>
      <c r="CN43" s="311"/>
      <c r="CO43" s="311"/>
      <c r="CP43" s="309"/>
      <c r="CQ43" s="310"/>
      <c r="CR43" s="311"/>
      <c r="CS43" s="311"/>
      <c r="CT43" s="309"/>
      <c r="CU43" s="310"/>
      <c r="CV43" s="311"/>
      <c r="CW43" s="311"/>
      <c r="CX43" s="309"/>
      <c r="CY43" s="310"/>
      <c r="CZ43" s="311"/>
      <c r="DA43" s="311"/>
      <c r="DB43" s="309"/>
      <c r="DC43" s="310"/>
      <c r="DD43" s="311"/>
      <c r="DE43" s="311"/>
      <c r="DF43" s="309"/>
      <c r="DG43" s="310"/>
      <c r="DH43" s="311"/>
      <c r="DI43" s="311"/>
      <c r="DJ43" s="309"/>
      <c r="DK43" s="310"/>
      <c r="DL43" s="311"/>
      <c r="DM43" s="311"/>
      <c r="DN43" s="309"/>
      <c r="DO43" s="310"/>
      <c r="DP43" s="311"/>
      <c r="DQ43" s="311"/>
      <c r="DR43" s="309"/>
      <c r="DS43" s="310"/>
      <c r="DT43" s="311"/>
      <c r="DU43" s="311"/>
      <c r="DV43" s="309"/>
      <c r="DW43" s="310"/>
      <c r="DX43" s="311"/>
      <c r="DY43" s="311"/>
      <c r="DZ43" s="309"/>
      <c r="EA43" s="310"/>
      <c r="EB43" s="311"/>
      <c r="EC43" s="311"/>
      <c r="ED43" s="309"/>
      <c r="EE43" s="310"/>
      <c r="EF43" s="311"/>
      <c r="EG43" s="311"/>
      <c r="EH43" s="309"/>
      <c r="EI43" s="310"/>
      <c r="EJ43" s="311"/>
      <c r="EK43" s="311"/>
      <c r="EL43" s="309"/>
      <c r="EM43" s="310"/>
      <c r="EN43" s="311"/>
      <c r="EO43" s="311"/>
      <c r="EP43" s="309"/>
      <c r="EQ43" s="310"/>
      <c r="ER43" s="311"/>
      <c r="ES43" s="311"/>
      <c r="ET43" s="309"/>
      <c r="EU43" s="310"/>
      <c r="EV43" s="311"/>
      <c r="EW43" s="311"/>
      <c r="EX43" s="309"/>
      <c r="EY43" s="310"/>
      <c r="EZ43" s="311"/>
      <c r="FA43" s="311"/>
      <c r="FB43" s="309"/>
      <c r="FC43" s="310"/>
      <c r="FD43" s="311"/>
      <c r="FE43" s="311"/>
      <c r="FF43" s="309"/>
      <c r="FG43" s="310"/>
      <c r="FH43" s="311"/>
      <c r="FI43" s="311"/>
      <c r="FJ43" s="309"/>
      <c r="FK43" s="310"/>
      <c r="FL43" s="311"/>
      <c r="FM43" s="311"/>
      <c r="FN43" s="309"/>
      <c r="FO43" s="310"/>
      <c r="FP43" s="311"/>
      <c r="FQ43" s="311"/>
      <c r="FR43" s="309"/>
      <c r="FS43" s="310"/>
      <c r="FT43" s="311"/>
      <c r="FU43" s="311"/>
      <c r="FV43" s="309"/>
      <c r="FW43" s="310"/>
      <c r="FX43" s="311"/>
      <c r="FY43" s="311"/>
      <c r="FZ43" s="309"/>
      <c r="GA43" s="310"/>
      <c r="GB43" s="311"/>
      <c r="GC43" s="311"/>
      <c r="GD43" s="309"/>
      <c r="GE43" s="310"/>
      <c r="GF43" s="311"/>
      <c r="GG43" s="311"/>
      <c r="GH43" s="309"/>
      <c r="GI43" s="310"/>
      <c r="GJ43" s="311"/>
      <c r="GK43" s="311"/>
      <c r="GL43" s="309"/>
      <c r="GM43" s="310"/>
      <c r="GN43" s="311"/>
      <c r="GO43" s="311"/>
      <c r="GP43" s="309"/>
      <c r="GQ43" s="310"/>
      <c r="GR43" s="311"/>
      <c r="GS43" s="311"/>
      <c r="GT43" s="309"/>
      <c r="GU43" s="310"/>
      <c r="GV43" s="311"/>
      <c r="GW43" s="311"/>
      <c r="GX43" s="309"/>
      <c r="GY43" s="310"/>
      <c r="GZ43" s="311"/>
      <c r="HA43" s="311"/>
      <c r="HB43" s="309"/>
      <c r="HC43" s="312">
        <f t="shared" si="62"/>
        <v>0</v>
      </c>
      <c r="HD43" s="313">
        <f t="shared" si="62"/>
        <v>0</v>
      </c>
      <c r="HE43" s="313">
        <f t="shared" si="62"/>
        <v>0</v>
      </c>
      <c r="HF43" s="314"/>
      <c r="HG43" s="312">
        <f>SUM(SUMIFS(K43:HB43,$K$13:$HB$13,{"エネルギー管理指定工場等*","県域*"}))</f>
        <v>0</v>
      </c>
      <c r="HH43" s="313">
        <f>SUM(SUMIFS(L43:HC43,$K$13:$HB$13,{"エネルギー管理指定工場等*","県域*"}))</f>
        <v>0</v>
      </c>
      <c r="HI43" s="313">
        <f>SUM(SUMIFS(M43:HD43,$K$13:$HB$13,{"エネルギー管理指定工場等*","県域*"}))</f>
        <v>0</v>
      </c>
      <c r="HJ43" s="314"/>
      <c r="HL43" s="230">
        <v>34</v>
      </c>
      <c r="HM43" s="714"/>
      <c r="HN43" s="715" t="str">
        <f ca="1">IF(COUNTIF(HN$10:HN42,OFFSET(A1_原単位2024,5,HL43+2))&gt;=1,"",OFFSET(A1_原単位2024,5,HL43+2)&amp;"")</f>
        <v/>
      </c>
      <c r="HO43" s="716" t="str">
        <f t="shared" ca="1" si="49"/>
        <v/>
      </c>
      <c r="HP43" s="717" t="str">
        <f t="shared" ca="1" si="63"/>
        <v/>
      </c>
      <c r="HQ43" s="714"/>
      <c r="HR43" s="715" t="str">
        <f ca="1">IF(COUNTIF(HR$10:HR42,OFFSET(A1_原単位2024,17,HL43+2))&gt;=1,"",OFFSET(A1_原単位2024,17,HL43+2)&amp;"")</f>
        <v/>
      </c>
      <c r="HS43" s="718" t="str">
        <f t="shared" ca="1" si="51"/>
        <v/>
      </c>
      <c r="HT43" s="719" t="str">
        <f t="shared" ca="1" si="64"/>
        <v/>
      </c>
      <c r="HU43" s="714"/>
      <c r="HV43" s="715" t="str">
        <f ca="1">IF(COUNTIF(HV$10:HV42,OFFSET(A1_原単位2024,29,HL43+2))&gt;=1,"",OFFSET(A1_原単位2024,29,HL43+2)&amp;"")</f>
        <v/>
      </c>
      <c r="HW43" s="718" t="str">
        <f t="shared" ca="1" si="53"/>
        <v/>
      </c>
      <c r="HX43" s="719" t="str">
        <f t="shared" ca="1" si="65"/>
        <v/>
      </c>
      <c r="HY43" s="714"/>
      <c r="HZ43" s="715" t="str">
        <f ca="1">IF(COUNTIF(HZ$10:HZ42,OFFSET(A1_原単位2024,41,HL43+2))&gt;=1,"",OFFSET(A1_原単位2024,41,HL43+2)&amp;"")</f>
        <v/>
      </c>
      <c r="IA43" s="720" t="str">
        <f t="shared" ca="1" si="55"/>
        <v/>
      </c>
      <c r="IB43" s="721" t="str">
        <f t="shared" ca="1" si="66"/>
        <v/>
      </c>
      <c r="IE43" s="159" t="str">
        <f t="shared" ca="1" si="67"/>
        <v/>
      </c>
      <c r="IF43" s="159" t="str">
        <f t="shared" ca="1" si="68"/>
        <v/>
      </c>
      <c r="IG43" s="159" t="str">
        <f t="shared" ca="1" si="69"/>
        <v/>
      </c>
      <c r="IH43" s="159" t="str">
        <f t="shared" ca="1" si="70"/>
        <v/>
      </c>
    </row>
    <row r="44" spans="1:242" ht="19.8">
      <c r="A44" s="164"/>
      <c r="B44" s="302"/>
      <c r="C44" s="303" t="s">
        <v>459</v>
      </c>
      <c r="D44" s="304"/>
      <c r="E44" s="305"/>
      <c r="F44" s="303" t="s">
        <v>457</v>
      </c>
      <c r="G44" s="308"/>
      <c r="H44" s="309"/>
      <c r="I44" s="310"/>
      <c r="J44" s="315"/>
      <c r="K44" s="310"/>
      <c r="L44" s="311"/>
      <c r="M44" s="311"/>
      <c r="N44" s="309"/>
      <c r="O44" s="310"/>
      <c r="P44" s="311"/>
      <c r="Q44" s="311"/>
      <c r="R44" s="309"/>
      <c r="S44" s="310"/>
      <c r="T44" s="311"/>
      <c r="U44" s="311"/>
      <c r="V44" s="309"/>
      <c r="W44" s="310"/>
      <c r="X44" s="311"/>
      <c r="Y44" s="311"/>
      <c r="Z44" s="309"/>
      <c r="AA44" s="310"/>
      <c r="AB44" s="311"/>
      <c r="AC44" s="311"/>
      <c r="AD44" s="309"/>
      <c r="AE44" s="310"/>
      <c r="AF44" s="311"/>
      <c r="AG44" s="311"/>
      <c r="AH44" s="309"/>
      <c r="AI44" s="310"/>
      <c r="AJ44" s="311"/>
      <c r="AK44" s="311"/>
      <c r="AL44" s="309"/>
      <c r="AM44" s="310"/>
      <c r="AN44" s="311"/>
      <c r="AO44" s="311"/>
      <c r="AP44" s="309"/>
      <c r="AQ44" s="310"/>
      <c r="AR44" s="311"/>
      <c r="AS44" s="311"/>
      <c r="AT44" s="309"/>
      <c r="AU44" s="310"/>
      <c r="AV44" s="311"/>
      <c r="AW44" s="311"/>
      <c r="AX44" s="309"/>
      <c r="AY44" s="310"/>
      <c r="AZ44" s="311"/>
      <c r="BA44" s="311"/>
      <c r="BB44" s="309"/>
      <c r="BC44" s="310"/>
      <c r="BD44" s="311"/>
      <c r="BE44" s="311"/>
      <c r="BF44" s="309"/>
      <c r="BG44" s="310"/>
      <c r="BH44" s="311"/>
      <c r="BI44" s="311"/>
      <c r="BJ44" s="309"/>
      <c r="BK44" s="310"/>
      <c r="BL44" s="311"/>
      <c r="BM44" s="311"/>
      <c r="BN44" s="309"/>
      <c r="BO44" s="310"/>
      <c r="BP44" s="311"/>
      <c r="BQ44" s="311"/>
      <c r="BR44" s="309"/>
      <c r="BS44" s="310"/>
      <c r="BT44" s="311"/>
      <c r="BU44" s="311"/>
      <c r="BV44" s="309"/>
      <c r="BW44" s="310"/>
      <c r="BX44" s="311"/>
      <c r="BY44" s="311"/>
      <c r="BZ44" s="309"/>
      <c r="CA44" s="310"/>
      <c r="CB44" s="311"/>
      <c r="CC44" s="311"/>
      <c r="CD44" s="309"/>
      <c r="CE44" s="310"/>
      <c r="CF44" s="311"/>
      <c r="CG44" s="311"/>
      <c r="CH44" s="309"/>
      <c r="CI44" s="310"/>
      <c r="CJ44" s="311"/>
      <c r="CK44" s="311"/>
      <c r="CL44" s="309"/>
      <c r="CM44" s="310"/>
      <c r="CN44" s="311"/>
      <c r="CO44" s="311"/>
      <c r="CP44" s="309"/>
      <c r="CQ44" s="310"/>
      <c r="CR44" s="311"/>
      <c r="CS44" s="311"/>
      <c r="CT44" s="309"/>
      <c r="CU44" s="310"/>
      <c r="CV44" s="311"/>
      <c r="CW44" s="311"/>
      <c r="CX44" s="309"/>
      <c r="CY44" s="310"/>
      <c r="CZ44" s="311"/>
      <c r="DA44" s="311"/>
      <c r="DB44" s="309"/>
      <c r="DC44" s="310"/>
      <c r="DD44" s="311"/>
      <c r="DE44" s="311"/>
      <c r="DF44" s="309"/>
      <c r="DG44" s="310"/>
      <c r="DH44" s="311"/>
      <c r="DI44" s="311"/>
      <c r="DJ44" s="309"/>
      <c r="DK44" s="310"/>
      <c r="DL44" s="311"/>
      <c r="DM44" s="311"/>
      <c r="DN44" s="309"/>
      <c r="DO44" s="310"/>
      <c r="DP44" s="311"/>
      <c r="DQ44" s="311"/>
      <c r="DR44" s="309"/>
      <c r="DS44" s="310"/>
      <c r="DT44" s="311"/>
      <c r="DU44" s="311"/>
      <c r="DV44" s="309"/>
      <c r="DW44" s="310"/>
      <c r="DX44" s="311"/>
      <c r="DY44" s="311"/>
      <c r="DZ44" s="309"/>
      <c r="EA44" s="310"/>
      <c r="EB44" s="311"/>
      <c r="EC44" s="311"/>
      <c r="ED44" s="309"/>
      <c r="EE44" s="310"/>
      <c r="EF44" s="311"/>
      <c r="EG44" s="311"/>
      <c r="EH44" s="309"/>
      <c r="EI44" s="310"/>
      <c r="EJ44" s="311"/>
      <c r="EK44" s="311"/>
      <c r="EL44" s="309"/>
      <c r="EM44" s="310"/>
      <c r="EN44" s="311"/>
      <c r="EO44" s="311"/>
      <c r="EP44" s="309"/>
      <c r="EQ44" s="310"/>
      <c r="ER44" s="311"/>
      <c r="ES44" s="311"/>
      <c r="ET44" s="309"/>
      <c r="EU44" s="310"/>
      <c r="EV44" s="311"/>
      <c r="EW44" s="311"/>
      <c r="EX44" s="309"/>
      <c r="EY44" s="310"/>
      <c r="EZ44" s="311"/>
      <c r="FA44" s="311"/>
      <c r="FB44" s="309"/>
      <c r="FC44" s="310"/>
      <c r="FD44" s="311"/>
      <c r="FE44" s="311"/>
      <c r="FF44" s="309"/>
      <c r="FG44" s="310"/>
      <c r="FH44" s="311"/>
      <c r="FI44" s="311"/>
      <c r="FJ44" s="309"/>
      <c r="FK44" s="310"/>
      <c r="FL44" s="311"/>
      <c r="FM44" s="311"/>
      <c r="FN44" s="309"/>
      <c r="FO44" s="310"/>
      <c r="FP44" s="311"/>
      <c r="FQ44" s="311"/>
      <c r="FR44" s="309"/>
      <c r="FS44" s="310"/>
      <c r="FT44" s="311"/>
      <c r="FU44" s="311"/>
      <c r="FV44" s="309"/>
      <c r="FW44" s="310"/>
      <c r="FX44" s="311"/>
      <c r="FY44" s="311"/>
      <c r="FZ44" s="309"/>
      <c r="GA44" s="310"/>
      <c r="GB44" s="311"/>
      <c r="GC44" s="311"/>
      <c r="GD44" s="309"/>
      <c r="GE44" s="310"/>
      <c r="GF44" s="311"/>
      <c r="GG44" s="311"/>
      <c r="GH44" s="309"/>
      <c r="GI44" s="310"/>
      <c r="GJ44" s="311"/>
      <c r="GK44" s="311"/>
      <c r="GL44" s="309"/>
      <c r="GM44" s="310"/>
      <c r="GN44" s="311"/>
      <c r="GO44" s="311"/>
      <c r="GP44" s="309"/>
      <c r="GQ44" s="310"/>
      <c r="GR44" s="311"/>
      <c r="GS44" s="311"/>
      <c r="GT44" s="309"/>
      <c r="GU44" s="310"/>
      <c r="GV44" s="311"/>
      <c r="GW44" s="311"/>
      <c r="GX44" s="309"/>
      <c r="GY44" s="310"/>
      <c r="GZ44" s="311"/>
      <c r="HA44" s="311"/>
      <c r="HB44" s="309"/>
      <c r="HC44" s="312">
        <f t="shared" si="62"/>
        <v>0</v>
      </c>
      <c r="HD44" s="313">
        <f t="shared" si="62"/>
        <v>0</v>
      </c>
      <c r="HE44" s="313">
        <f t="shared" si="62"/>
        <v>0</v>
      </c>
      <c r="HF44" s="314"/>
      <c r="HG44" s="312">
        <f>SUM(SUMIFS(K44:HB44,$K$13:$HB$13,{"エネルギー管理指定工場等*","県域*"}))</f>
        <v>0</v>
      </c>
      <c r="HH44" s="313">
        <f>SUM(SUMIFS(L44:HC44,$K$13:$HB$13,{"エネルギー管理指定工場等*","県域*"}))</f>
        <v>0</v>
      </c>
      <c r="HI44" s="313">
        <f>SUM(SUMIFS(M44:HD44,$K$13:$HB$13,{"エネルギー管理指定工場等*","県域*"}))</f>
        <v>0</v>
      </c>
      <c r="HJ44" s="314"/>
      <c r="HL44" s="219">
        <v>35</v>
      </c>
      <c r="HM44" s="714"/>
      <c r="HN44" s="715" t="str">
        <f ca="1">IF(COUNTIF(HN$10:HN43,OFFSET(A1_原単位2024,5,HL44+2))&gt;=1,"",OFFSET(A1_原単位2024,5,HL44+2)&amp;"")</f>
        <v/>
      </c>
      <c r="HO44" s="716" t="str">
        <f t="shared" ca="1" si="49"/>
        <v/>
      </c>
      <c r="HP44" s="717" t="str">
        <f t="shared" ca="1" si="63"/>
        <v/>
      </c>
      <c r="HQ44" s="714"/>
      <c r="HR44" s="715" t="str">
        <f ca="1">IF(COUNTIF(HR$10:HR43,OFFSET(A1_原単位2024,17,HL44+2))&gt;=1,"",OFFSET(A1_原単位2024,17,HL44+2)&amp;"")</f>
        <v/>
      </c>
      <c r="HS44" s="718" t="str">
        <f t="shared" ca="1" si="51"/>
        <v/>
      </c>
      <c r="HT44" s="719" t="str">
        <f t="shared" ca="1" si="64"/>
        <v/>
      </c>
      <c r="HU44" s="714"/>
      <c r="HV44" s="715" t="str">
        <f ca="1">IF(COUNTIF(HV$10:HV43,OFFSET(A1_原単位2024,29,HL44+2))&gt;=1,"",OFFSET(A1_原単位2024,29,HL44+2)&amp;"")</f>
        <v/>
      </c>
      <c r="HW44" s="718" t="str">
        <f t="shared" ca="1" si="53"/>
        <v/>
      </c>
      <c r="HX44" s="719" t="str">
        <f t="shared" ca="1" si="65"/>
        <v/>
      </c>
      <c r="HY44" s="714"/>
      <c r="HZ44" s="715" t="str">
        <f ca="1">IF(COUNTIF(HZ$10:HZ43,OFFSET(A1_原単位2024,41,HL44+2))&gt;=1,"",OFFSET(A1_原単位2024,41,HL44+2)&amp;"")</f>
        <v/>
      </c>
      <c r="IA44" s="720" t="str">
        <f t="shared" ca="1" si="55"/>
        <v/>
      </c>
      <c r="IB44" s="721" t="str">
        <f t="shared" ca="1" si="66"/>
        <v/>
      </c>
      <c r="IE44" s="159" t="str">
        <f t="shared" ca="1" si="67"/>
        <v/>
      </c>
      <c r="IF44" s="159" t="str">
        <f t="shared" ca="1" si="68"/>
        <v/>
      </c>
      <c r="IG44" s="159" t="str">
        <f t="shared" ca="1" si="69"/>
        <v/>
      </c>
      <c r="IH44" s="159" t="str">
        <f t="shared" ca="1" si="70"/>
        <v/>
      </c>
    </row>
    <row r="45" spans="1:242" ht="19.8">
      <c r="A45" s="164"/>
      <c r="B45" s="320"/>
      <c r="C45" s="303" t="s">
        <v>1372</v>
      </c>
      <c r="D45" s="321"/>
      <c r="E45" s="322"/>
      <c r="F45" s="323"/>
      <c r="G45" s="310"/>
      <c r="H45" s="315"/>
      <c r="I45" s="310"/>
      <c r="J45" s="315"/>
      <c r="K45" s="310"/>
      <c r="L45" s="311"/>
      <c r="M45" s="311"/>
      <c r="N45" s="309"/>
      <c r="O45" s="310"/>
      <c r="P45" s="311"/>
      <c r="Q45" s="311"/>
      <c r="R45" s="309"/>
      <c r="S45" s="310"/>
      <c r="T45" s="311"/>
      <c r="U45" s="311"/>
      <c r="V45" s="309"/>
      <c r="W45" s="310"/>
      <c r="X45" s="311"/>
      <c r="Y45" s="311"/>
      <c r="Z45" s="309"/>
      <c r="AA45" s="310"/>
      <c r="AB45" s="311"/>
      <c r="AC45" s="311"/>
      <c r="AD45" s="309"/>
      <c r="AE45" s="310"/>
      <c r="AF45" s="311"/>
      <c r="AG45" s="311"/>
      <c r="AH45" s="309"/>
      <c r="AI45" s="310"/>
      <c r="AJ45" s="311"/>
      <c r="AK45" s="311"/>
      <c r="AL45" s="309"/>
      <c r="AM45" s="310"/>
      <c r="AN45" s="311"/>
      <c r="AO45" s="311"/>
      <c r="AP45" s="309"/>
      <c r="AQ45" s="310"/>
      <c r="AR45" s="311"/>
      <c r="AS45" s="311"/>
      <c r="AT45" s="309"/>
      <c r="AU45" s="310"/>
      <c r="AV45" s="311"/>
      <c r="AW45" s="311"/>
      <c r="AX45" s="309"/>
      <c r="AY45" s="310"/>
      <c r="AZ45" s="311"/>
      <c r="BA45" s="311"/>
      <c r="BB45" s="309"/>
      <c r="BC45" s="310"/>
      <c r="BD45" s="311"/>
      <c r="BE45" s="311"/>
      <c r="BF45" s="309"/>
      <c r="BG45" s="310"/>
      <c r="BH45" s="311"/>
      <c r="BI45" s="311"/>
      <c r="BJ45" s="309"/>
      <c r="BK45" s="310"/>
      <c r="BL45" s="311"/>
      <c r="BM45" s="311"/>
      <c r="BN45" s="309"/>
      <c r="BO45" s="310"/>
      <c r="BP45" s="311"/>
      <c r="BQ45" s="311"/>
      <c r="BR45" s="309"/>
      <c r="BS45" s="310"/>
      <c r="BT45" s="311"/>
      <c r="BU45" s="311"/>
      <c r="BV45" s="309"/>
      <c r="BW45" s="310"/>
      <c r="BX45" s="311"/>
      <c r="BY45" s="311"/>
      <c r="BZ45" s="309"/>
      <c r="CA45" s="310"/>
      <c r="CB45" s="311"/>
      <c r="CC45" s="311"/>
      <c r="CD45" s="309"/>
      <c r="CE45" s="310"/>
      <c r="CF45" s="311"/>
      <c r="CG45" s="311"/>
      <c r="CH45" s="309"/>
      <c r="CI45" s="310"/>
      <c r="CJ45" s="311"/>
      <c r="CK45" s="311"/>
      <c r="CL45" s="309"/>
      <c r="CM45" s="310"/>
      <c r="CN45" s="311"/>
      <c r="CO45" s="311"/>
      <c r="CP45" s="309"/>
      <c r="CQ45" s="310"/>
      <c r="CR45" s="311"/>
      <c r="CS45" s="311"/>
      <c r="CT45" s="309"/>
      <c r="CU45" s="310"/>
      <c r="CV45" s="311"/>
      <c r="CW45" s="311"/>
      <c r="CX45" s="309"/>
      <c r="CY45" s="310"/>
      <c r="CZ45" s="311"/>
      <c r="DA45" s="311"/>
      <c r="DB45" s="309"/>
      <c r="DC45" s="310"/>
      <c r="DD45" s="311"/>
      <c r="DE45" s="311"/>
      <c r="DF45" s="309"/>
      <c r="DG45" s="310"/>
      <c r="DH45" s="311"/>
      <c r="DI45" s="311"/>
      <c r="DJ45" s="309"/>
      <c r="DK45" s="310"/>
      <c r="DL45" s="311"/>
      <c r="DM45" s="311"/>
      <c r="DN45" s="309"/>
      <c r="DO45" s="310"/>
      <c r="DP45" s="311"/>
      <c r="DQ45" s="311"/>
      <c r="DR45" s="309"/>
      <c r="DS45" s="310"/>
      <c r="DT45" s="311"/>
      <c r="DU45" s="311"/>
      <c r="DV45" s="309"/>
      <c r="DW45" s="310"/>
      <c r="DX45" s="311"/>
      <c r="DY45" s="311"/>
      <c r="DZ45" s="309"/>
      <c r="EA45" s="310"/>
      <c r="EB45" s="311"/>
      <c r="EC45" s="311"/>
      <c r="ED45" s="309"/>
      <c r="EE45" s="310"/>
      <c r="EF45" s="311"/>
      <c r="EG45" s="311"/>
      <c r="EH45" s="309"/>
      <c r="EI45" s="310"/>
      <c r="EJ45" s="311"/>
      <c r="EK45" s="311"/>
      <c r="EL45" s="309"/>
      <c r="EM45" s="310"/>
      <c r="EN45" s="311"/>
      <c r="EO45" s="311"/>
      <c r="EP45" s="309"/>
      <c r="EQ45" s="310"/>
      <c r="ER45" s="311"/>
      <c r="ES45" s="311"/>
      <c r="ET45" s="309"/>
      <c r="EU45" s="310"/>
      <c r="EV45" s="311"/>
      <c r="EW45" s="311"/>
      <c r="EX45" s="309"/>
      <c r="EY45" s="310"/>
      <c r="EZ45" s="311"/>
      <c r="FA45" s="311"/>
      <c r="FB45" s="309"/>
      <c r="FC45" s="310"/>
      <c r="FD45" s="311"/>
      <c r="FE45" s="311"/>
      <c r="FF45" s="309"/>
      <c r="FG45" s="310"/>
      <c r="FH45" s="311"/>
      <c r="FI45" s="311"/>
      <c r="FJ45" s="309"/>
      <c r="FK45" s="310"/>
      <c r="FL45" s="311"/>
      <c r="FM45" s="311"/>
      <c r="FN45" s="309"/>
      <c r="FO45" s="310"/>
      <c r="FP45" s="311"/>
      <c r="FQ45" s="311"/>
      <c r="FR45" s="309"/>
      <c r="FS45" s="310"/>
      <c r="FT45" s="311"/>
      <c r="FU45" s="311"/>
      <c r="FV45" s="309"/>
      <c r="FW45" s="310"/>
      <c r="FX45" s="311"/>
      <c r="FY45" s="311"/>
      <c r="FZ45" s="309"/>
      <c r="GA45" s="310"/>
      <c r="GB45" s="311"/>
      <c r="GC45" s="311"/>
      <c r="GD45" s="309"/>
      <c r="GE45" s="310"/>
      <c r="GF45" s="311"/>
      <c r="GG45" s="311"/>
      <c r="GH45" s="309"/>
      <c r="GI45" s="310"/>
      <c r="GJ45" s="311"/>
      <c r="GK45" s="311"/>
      <c r="GL45" s="309"/>
      <c r="GM45" s="310"/>
      <c r="GN45" s="311"/>
      <c r="GO45" s="311"/>
      <c r="GP45" s="309"/>
      <c r="GQ45" s="310"/>
      <c r="GR45" s="311"/>
      <c r="GS45" s="311"/>
      <c r="GT45" s="309"/>
      <c r="GU45" s="310"/>
      <c r="GV45" s="311"/>
      <c r="GW45" s="311"/>
      <c r="GX45" s="309"/>
      <c r="GY45" s="310"/>
      <c r="GZ45" s="311"/>
      <c r="HA45" s="311"/>
      <c r="HB45" s="309"/>
      <c r="HC45" s="312">
        <f t="shared" si="62"/>
        <v>0</v>
      </c>
      <c r="HD45" s="313">
        <f t="shared" si="62"/>
        <v>0</v>
      </c>
      <c r="HE45" s="313">
        <f t="shared" si="62"/>
        <v>0</v>
      </c>
      <c r="HF45" s="314"/>
      <c r="HG45" s="312">
        <f>SUM(SUMIFS(K45:HB45,$K$13:$HB$13,{"エネルギー管理指定工場等*","県域*"}))</f>
        <v>0</v>
      </c>
      <c r="HH45" s="313">
        <f>SUM(SUMIFS(L45:HC45,$K$13:$HB$13,{"エネルギー管理指定工場等*","県域*"}))</f>
        <v>0</v>
      </c>
      <c r="HI45" s="313">
        <f>SUM(SUMIFS(M45:HD45,$K$13:$HB$13,{"エネルギー管理指定工場等*","県域*"}))</f>
        <v>0</v>
      </c>
      <c r="HJ45" s="314"/>
      <c r="HL45" s="219">
        <v>36</v>
      </c>
      <c r="HM45" s="714"/>
      <c r="HN45" s="715" t="str">
        <f ca="1">IF(COUNTIF(HN$10:HN44,OFFSET(A1_原単位2024,5,HL45+2))&gt;=1,"",OFFSET(A1_原単位2024,5,HL45+2)&amp;"")</f>
        <v/>
      </c>
      <c r="HO45" s="716" t="str">
        <f t="shared" ca="1" si="49"/>
        <v/>
      </c>
      <c r="HP45" s="717" t="str">
        <f t="shared" ca="1" si="63"/>
        <v/>
      </c>
      <c r="HQ45" s="714"/>
      <c r="HR45" s="715" t="str">
        <f ca="1">IF(COUNTIF(HR$10:HR44,OFFSET(A1_原単位2024,17,HL45+2))&gt;=1,"",OFFSET(A1_原単位2024,17,HL45+2)&amp;"")</f>
        <v/>
      </c>
      <c r="HS45" s="718" t="str">
        <f t="shared" ca="1" si="51"/>
        <v/>
      </c>
      <c r="HT45" s="719" t="str">
        <f t="shared" ca="1" si="64"/>
        <v/>
      </c>
      <c r="HU45" s="714"/>
      <c r="HV45" s="715" t="str">
        <f ca="1">IF(COUNTIF(HV$10:HV44,OFFSET(A1_原単位2024,29,HL45+2))&gt;=1,"",OFFSET(A1_原単位2024,29,HL45+2)&amp;"")</f>
        <v/>
      </c>
      <c r="HW45" s="718" t="str">
        <f t="shared" ca="1" si="53"/>
        <v/>
      </c>
      <c r="HX45" s="719" t="str">
        <f t="shared" ca="1" si="65"/>
        <v/>
      </c>
      <c r="HY45" s="714"/>
      <c r="HZ45" s="715" t="str">
        <f ca="1">IF(COUNTIF(HZ$10:HZ44,OFFSET(A1_原単位2024,41,HL45+2))&gt;=1,"",OFFSET(A1_原単位2024,41,HL45+2)&amp;"")</f>
        <v/>
      </c>
      <c r="IA45" s="720" t="str">
        <f t="shared" ca="1" si="55"/>
        <v/>
      </c>
      <c r="IB45" s="721" t="str">
        <f t="shared" ca="1" si="66"/>
        <v/>
      </c>
      <c r="IE45" s="159" t="str">
        <f t="shared" ca="1" si="67"/>
        <v/>
      </c>
      <c r="IF45" s="159" t="str">
        <f t="shared" ca="1" si="68"/>
        <v/>
      </c>
      <c r="IG45" s="159" t="str">
        <f t="shared" ca="1" si="69"/>
        <v/>
      </c>
      <c r="IH45" s="159" t="str">
        <f t="shared" ca="1" si="70"/>
        <v/>
      </c>
    </row>
    <row r="46" spans="1:242" ht="19.8">
      <c r="A46" s="164"/>
      <c r="B46" s="324" t="s">
        <v>1373</v>
      </c>
      <c r="C46" s="303" t="s">
        <v>588</v>
      </c>
      <c r="D46" s="304"/>
      <c r="E46" s="305"/>
      <c r="F46" s="303" t="s">
        <v>455</v>
      </c>
      <c r="G46" s="306">
        <v>13.6</v>
      </c>
      <c r="H46" s="309"/>
      <c r="I46" s="308"/>
      <c r="J46" s="309"/>
      <c r="K46" s="310"/>
      <c r="L46" s="311"/>
      <c r="M46" s="311"/>
      <c r="N46" s="309"/>
      <c r="O46" s="310"/>
      <c r="P46" s="311"/>
      <c r="Q46" s="311"/>
      <c r="R46" s="309"/>
      <c r="S46" s="310"/>
      <c r="T46" s="311"/>
      <c r="U46" s="311"/>
      <c r="V46" s="309"/>
      <c r="W46" s="310"/>
      <c r="X46" s="311"/>
      <c r="Y46" s="311"/>
      <c r="Z46" s="309"/>
      <c r="AA46" s="310"/>
      <c r="AB46" s="311"/>
      <c r="AC46" s="311"/>
      <c r="AD46" s="309"/>
      <c r="AE46" s="310"/>
      <c r="AF46" s="311"/>
      <c r="AG46" s="311"/>
      <c r="AH46" s="309"/>
      <c r="AI46" s="310"/>
      <c r="AJ46" s="311"/>
      <c r="AK46" s="311"/>
      <c r="AL46" s="309"/>
      <c r="AM46" s="310"/>
      <c r="AN46" s="311"/>
      <c r="AO46" s="311"/>
      <c r="AP46" s="309"/>
      <c r="AQ46" s="310"/>
      <c r="AR46" s="311"/>
      <c r="AS46" s="311"/>
      <c r="AT46" s="309"/>
      <c r="AU46" s="310"/>
      <c r="AV46" s="311"/>
      <c r="AW46" s="311"/>
      <c r="AX46" s="309"/>
      <c r="AY46" s="310"/>
      <c r="AZ46" s="311"/>
      <c r="BA46" s="311"/>
      <c r="BB46" s="309"/>
      <c r="BC46" s="310"/>
      <c r="BD46" s="311"/>
      <c r="BE46" s="311"/>
      <c r="BF46" s="309"/>
      <c r="BG46" s="310"/>
      <c r="BH46" s="311"/>
      <c r="BI46" s="311"/>
      <c r="BJ46" s="309"/>
      <c r="BK46" s="310"/>
      <c r="BL46" s="311"/>
      <c r="BM46" s="311"/>
      <c r="BN46" s="309"/>
      <c r="BO46" s="310"/>
      <c r="BP46" s="311"/>
      <c r="BQ46" s="311"/>
      <c r="BR46" s="309"/>
      <c r="BS46" s="310"/>
      <c r="BT46" s="311"/>
      <c r="BU46" s="311"/>
      <c r="BV46" s="309"/>
      <c r="BW46" s="310"/>
      <c r="BX46" s="311"/>
      <c r="BY46" s="311"/>
      <c r="BZ46" s="309"/>
      <c r="CA46" s="310"/>
      <c r="CB46" s="311"/>
      <c r="CC46" s="311"/>
      <c r="CD46" s="309"/>
      <c r="CE46" s="310"/>
      <c r="CF46" s="311"/>
      <c r="CG46" s="311"/>
      <c r="CH46" s="309"/>
      <c r="CI46" s="310"/>
      <c r="CJ46" s="311"/>
      <c r="CK46" s="311"/>
      <c r="CL46" s="309"/>
      <c r="CM46" s="310"/>
      <c r="CN46" s="311"/>
      <c r="CO46" s="311"/>
      <c r="CP46" s="309"/>
      <c r="CQ46" s="310"/>
      <c r="CR46" s="311"/>
      <c r="CS46" s="311"/>
      <c r="CT46" s="309"/>
      <c r="CU46" s="310"/>
      <c r="CV46" s="311"/>
      <c r="CW46" s="311"/>
      <c r="CX46" s="309"/>
      <c r="CY46" s="310"/>
      <c r="CZ46" s="311"/>
      <c r="DA46" s="311"/>
      <c r="DB46" s="309"/>
      <c r="DC46" s="310"/>
      <c r="DD46" s="311"/>
      <c r="DE46" s="311"/>
      <c r="DF46" s="309"/>
      <c r="DG46" s="310"/>
      <c r="DH46" s="311"/>
      <c r="DI46" s="311"/>
      <c r="DJ46" s="309"/>
      <c r="DK46" s="310"/>
      <c r="DL46" s="311"/>
      <c r="DM46" s="311"/>
      <c r="DN46" s="309"/>
      <c r="DO46" s="310"/>
      <c r="DP46" s="311"/>
      <c r="DQ46" s="311"/>
      <c r="DR46" s="309"/>
      <c r="DS46" s="310"/>
      <c r="DT46" s="311"/>
      <c r="DU46" s="311"/>
      <c r="DV46" s="309"/>
      <c r="DW46" s="310"/>
      <c r="DX46" s="311"/>
      <c r="DY46" s="311"/>
      <c r="DZ46" s="309"/>
      <c r="EA46" s="310"/>
      <c r="EB46" s="311"/>
      <c r="EC46" s="311"/>
      <c r="ED46" s="309"/>
      <c r="EE46" s="310"/>
      <c r="EF46" s="311"/>
      <c r="EG46" s="311"/>
      <c r="EH46" s="309"/>
      <c r="EI46" s="310"/>
      <c r="EJ46" s="311"/>
      <c r="EK46" s="311"/>
      <c r="EL46" s="309"/>
      <c r="EM46" s="310"/>
      <c r="EN46" s="311"/>
      <c r="EO46" s="311"/>
      <c r="EP46" s="309"/>
      <c r="EQ46" s="310"/>
      <c r="ER46" s="311"/>
      <c r="ES46" s="311"/>
      <c r="ET46" s="309"/>
      <c r="EU46" s="310"/>
      <c r="EV46" s="311"/>
      <c r="EW46" s="311"/>
      <c r="EX46" s="309"/>
      <c r="EY46" s="310"/>
      <c r="EZ46" s="311"/>
      <c r="FA46" s="311"/>
      <c r="FB46" s="309"/>
      <c r="FC46" s="310"/>
      <c r="FD46" s="311"/>
      <c r="FE46" s="311"/>
      <c r="FF46" s="309"/>
      <c r="FG46" s="310"/>
      <c r="FH46" s="311"/>
      <c r="FI46" s="311"/>
      <c r="FJ46" s="309"/>
      <c r="FK46" s="310"/>
      <c r="FL46" s="311"/>
      <c r="FM46" s="311"/>
      <c r="FN46" s="309"/>
      <c r="FO46" s="310"/>
      <c r="FP46" s="311"/>
      <c r="FQ46" s="311"/>
      <c r="FR46" s="309"/>
      <c r="FS46" s="310"/>
      <c r="FT46" s="311"/>
      <c r="FU46" s="311"/>
      <c r="FV46" s="309"/>
      <c r="FW46" s="310"/>
      <c r="FX46" s="311"/>
      <c r="FY46" s="311"/>
      <c r="FZ46" s="309"/>
      <c r="GA46" s="310"/>
      <c r="GB46" s="311"/>
      <c r="GC46" s="311"/>
      <c r="GD46" s="309"/>
      <c r="GE46" s="310"/>
      <c r="GF46" s="311"/>
      <c r="GG46" s="311"/>
      <c r="GH46" s="309"/>
      <c r="GI46" s="310"/>
      <c r="GJ46" s="311"/>
      <c r="GK46" s="311"/>
      <c r="GL46" s="309"/>
      <c r="GM46" s="310"/>
      <c r="GN46" s="311"/>
      <c r="GO46" s="311"/>
      <c r="GP46" s="309"/>
      <c r="GQ46" s="310"/>
      <c r="GR46" s="311"/>
      <c r="GS46" s="311"/>
      <c r="GT46" s="309"/>
      <c r="GU46" s="310"/>
      <c r="GV46" s="311"/>
      <c r="GW46" s="311"/>
      <c r="GX46" s="309"/>
      <c r="GY46" s="310"/>
      <c r="GZ46" s="311"/>
      <c r="HA46" s="311"/>
      <c r="HB46" s="309"/>
      <c r="HC46" s="312">
        <f t="shared" si="62"/>
        <v>0</v>
      </c>
      <c r="HD46" s="313">
        <f t="shared" si="62"/>
        <v>0</v>
      </c>
      <c r="HE46" s="313">
        <f t="shared" si="62"/>
        <v>0</v>
      </c>
      <c r="HF46" s="314"/>
      <c r="HG46" s="312">
        <f>SUM(SUMIFS(K46:HB46,$K$13:$HB$13,{"エネルギー管理指定工場等*","県域*"}))</f>
        <v>0</v>
      </c>
      <c r="HH46" s="313">
        <f>SUM(SUMIFS(L46:HC46,$K$13:$HB$13,{"エネルギー管理指定工場等*","県域*"}))</f>
        <v>0</v>
      </c>
      <c r="HI46" s="313">
        <f>SUM(SUMIFS(M46:HD46,$K$13:$HB$13,{"エネルギー管理指定工場等*","県域*"}))</f>
        <v>0</v>
      </c>
      <c r="HJ46" s="314"/>
      <c r="HL46" s="230">
        <v>37</v>
      </c>
      <c r="HM46" s="714"/>
      <c r="HN46" s="715" t="str">
        <f ca="1">IF(COUNTIF(HN$10:HN45,OFFSET(A1_原単位2024,5,HL46+2))&gt;=1,"",OFFSET(A1_原単位2024,5,HL46+2)&amp;"")</f>
        <v/>
      </c>
      <c r="HO46" s="716" t="str">
        <f t="shared" ca="1" si="49"/>
        <v/>
      </c>
      <c r="HP46" s="717" t="str">
        <f t="shared" ca="1" si="63"/>
        <v/>
      </c>
      <c r="HQ46" s="714"/>
      <c r="HR46" s="715" t="str">
        <f ca="1">IF(COUNTIF(HR$10:HR45,OFFSET(A1_原単位2024,17,HL46+2))&gt;=1,"",OFFSET(A1_原単位2024,17,HL46+2)&amp;"")</f>
        <v/>
      </c>
      <c r="HS46" s="718" t="str">
        <f t="shared" ca="1" si="51"/>
        <v/>
      </c>
      <c r="HT46" s="719" t="str">
        <f t="shared" ca="1" si="64"/>
        <v/>
      </c>
      <c r="HU46" s="714"/>
      <c r="HV46" s="715" t="str">
        <f ca="1">IF(COUNTIF(HV$10:HV45,OFFSET(A1_原単位2024,29,HL46+2))&gt;=1,"",OFFSET(A1_原単位2024,29,HL46+2)&amp;"")</f>
        <v/>
      </c>
      <c r="HW46" s="718" t="str">
        <f t="shared" ca="1" si="53"/>
        <v/>
      </c>
      <c r="HX46" s="719" t="str">
        <f t="shared" ca="1" si="65"/>
        <v/>
      </c>
      <c r="HY46" s="714"/>
      <c r="HZ46" s="715" t="str">
        <f ca="1">IF(COUNTIF(HZ$10:HZ45,OFFSET(A1_原単位2024,41,HL46+2))&gt;=1,"",OFFSET(A1_原単位2024,41,HL46+2)&amp;"")</f>
        <v/>
      </c>
      <c r="IA46" s="720" t="str">
        <f t="shared" ca="1" si="55"/>
        <v/>
      </c>
      <c r="IB46" s="721" t="str">
        <f t="shared" ca="1" si="66"/>
        <v/>
      </c>
      <c r="IE46" s="159" t="str">
        <f t="shared" ca="1" si="67"/>
        <v/>
      </c>
      <c r="IF46" s="159" t="str">
        <f t="shared" ca="1" si="68"/>
        <v/>
      </c>
      <c r="IG46" s="159" t="str">
        <f t="shared" ca="1" si="69"/>
        <v/>
      </c>
      <c r="IH46" s="159" t="str">
        <f t="shared" ca="1" si="70"/>
        <v/>
      </c>
    </row>
    <row r="47" spans="1:242" ht="19.8">
      <c r="A47" s="164"/>
      <c r="B47" s="302"/>
      <c r="C47" s="303" t="s">
        <v>589</v>
      </c>
      <c r="D47" s="304"/>
      <c r="E47" s="305"/>
      <c r="F47" s="303" t="s">
        <v>455</v>
      </c>
      <c r="G47" s="306">
        <v>13.2</v>
      </c>
      <c r="H47" s="309"/>
      <c r="I47" s="308"/>
      <c r="J47" s="309"/>
      <c r="K47" s="310"/>
      <c r="L47" s="311"/>
      <c r="M47" s="311"/>
      <c r="N47" s="309"/>
      <c r="O47" s="310"/>
      <c r="P47" s="311"/>
      <c r="Q47" s="311"/>
      <c r="R47" s="309"/>
      <c r="S47" s="310"/>
      <c r="T47" s="311"/>
      <c r="U47" s="311"/>
      <c r="V47" s="309"/>
      <c r="W47" s="310"/>
      <c r="X47" s="311"/>
      <c r="Y47" s="311"/>
      <c r="Z47" s="309"/>
      <c r="AA47" s="310"/>
      <c r="AB47" s="311"/>
      <c r="AC47" s="311"/>
      <c r="AD47" s="309"/>
      <c r="AE47" s="310"/>
      <c r="AF47" s="311"/>
      <c r="AG47" s="311"/>
      <c r="AH47" s="309"/>
      <c r="AI47" s="310"/>
      <c r="AJ47" s="311"/>
      <c r="AK47" s="311"/>
      <c r="AL47" s="309"/>
      <c r="AM47" s="310"/>
      <c r="AN47" s="311"/>
      <c r="AO47" s="311"/>
      <c r="AP47" s="309"/>
      <c r="AQ47" s="310"/>
      <c r="AR47" s="311"/>
      <c r="AS47" s="311"/>
      <c r="AT47" s="309"/>
      <c r="AU47" s="310"/>
      <c r="AV47" s="311"/>
      <c r="AW47" s="311"/>
      <c r="AX47" s="309"/>
      <c r="AY47" s="310"/>
      <c r="AZ47" s="311"/>
      <c r="BA47" s="311"/>
      <c r="BB47" s="309"/>
      <c r="BC47" s="310"/>
      <c r="BD47" s="311"/>
      <c r="BE47" s="311"/>
      <c r="BF47" s="309"/>
      <c r="BG47" s="310"/>
      <c r="BH47" s="311"/>
      <c r="BI47" s="311"/>
      <c r="BJ47" s="309"/>
      <c r="BK47" s="310"/>
      <c r="BL47" s="311"/>
      <c r="BM47" s="311"/>
      <c r="BN47" s="309"/>
      <c r="BO47" s="310"/>
      <c r="BP47" s="311"/>
      <c r="BQ47" s="311"/>
      <c r="BR47" s="309"/>
      <c r="BS47" s="310"/>
      <c r="BT47" s="311"/>
      <c r="BU47" s="311"/>
      <c r="BV47" s="309"/>
      <c r="BW47" s="310"/>
      <c r="BX47" s="311"/>
      <c r="BY47" s="311"/>
      <c r="BZ47" s="309"/>
      <c r="CA47" s="310"/>
      <c r="CB47" s="311"/>
      <c r="CC47" s="311"/>
      <c r="CD47" s="309"/>
      <c r="CE47" s="310"/>
      <c r="CF47" s="311"/>
      <c r="CG47" s="311"/>
      <c r="CH47" s="309"/>
      <c r="CI47" s="310"/>
      <c r="CJ47" s="311"/>
      <c r="CK47" s="311"/>
      <c r="CL47" s="309"/>
      <c r="CM47" s="310"/>
      <c r="CN47" s="311"/>
      <c r="CO47" s="311"/>
      <c r="CP47" s="309"/>
      <c r="CQ47" s="310"/>
      <c r="CR47" s="311"/>
      <c r="CS47" s="311"/>
      <c r="CT47" s="309"/>
      <c r="CU47" s="310"/>
      <c r="CV47" s="311"/>
      <c r="CW47" s="311"/>
      <c r="CX47" s="309"/>
      <c r="CY47" s="310"/>
      <c r="CZ47" s="311"/>
      <c r="DA47" s="311"/>
      <c r="DB47" s="309"/>
      <c r="DC47" s="310"/>
      <c r="DD47" s="311"/>
      <c r="DE47" s="311"/>
      <c r="DF47" s="309"/>
      <c r="DG47" s="310"/>
      <c r="DH47" s="311"/>
      <c r="DI47" s="311"/>
      <c r="DJ47" s="309"/>
      <c r="DK47" s="310"/>
      <c r="DL47" s="311"/>
      <c r="DM47" s="311"/>
      <c r="DN47" s="309"/>
      <c r="DO47" s="310"/>
      <c r="DP47" s="311"/>
      <c r="DQ47" s="311"/>
      <c r="DR47" s="309"/>
      <c r="DS47" s="310"/>
      <c r="DT47" s="311"/>
      <c r="DU47" s="311"/>
      <c r="DV47" s="309"/>
      <c r="DW47" s="310"/>
      <c r="DX47" s="311"/>
      <c r="DY47" s="311"/>
      <c r="DZ47" s="309"/>
      <c r="EA47" s="310"/>
      <c r="EB47" s="311"/>
      <c r="EC47" s="311"/>
      <c r="ED47" s="309"/>
      <c r="EE47" s="310"/>
      <c r="EF47" s="311"/>
      <c r="EG47" s="311"/>
      <c r="EH47" s="309"/>
      <c r="EI47" s="310"/>
      <c r="EJ47" s="311"/>
      <c r="EK47" s="311"/>
      <c r="EL47" s="309"/>
      <c r="EM47" s="310"/>
      <c r="EN47" s="311"/>
      <c r="EO47" s="311"/>
      <c r="EP47" s="309"/>
      <c r="EQ47" s="310"/>
      <c r="ER47" s="311"/>
      <c r="ES47" s="311"/>
      <c r="ET47" s="309"/>
      <c r="EU47" s="310"/>
      <c r="EV47" s="311"/>
      <c r="EW47" s="311"/>
      <c r="EX47" s="309"/>
      <c r="EY47" s="310"/>
      <c r="EZ47" s="311"/>
      <c r="FA47" s="311"/>
      <c r="FB47" s="309"/>
      <c r="FC47" s="310"/>
      <c r="FD47" s="311"/>
      <c r="FE47" s="311"/>
      <c r="FF47" s="309"/>
      <c r="FG47" s="310"/>
      <c r="FH47" s="311"/>
      <c r="FI47" s="311"/>
      <c r="FJ47" s="309"/>
      <c r="FK47" s="310"/>
      <c r="FL47" s="311"/>
      <c r="FM47" s="311"/>
      <c r="FN47" s="309"/>
      <c r="FO47" s="310"/>
      <c r="FP47" s="311"/>
      <c r="FQ47" s="311"/>
      <c r="FR47" s="309"/>
      <c r="FS47" s="310"/>
      <c r="FT47" s="311"/>
      <c r="FU47" s="311"/>
      <c r="FV47" s="309"/>
      <c r="FW47" s="310"/>
      <c r="FX47" s="311"/>
      <c r="FY47" s="311"/>
      <c r="FZ47" s="309"/>
      <c r="GA47" s="310"/>
      <c r="GB47" s="311"/>
      <c r="GC47" s="311"/>
      <c r="GD47" s="309"/>
      <c r="GE47" s="310"/>
      <c r="GF47" s="311"/>
      <c r="GG47" s="311"/>
      <c r="GH47" s="309"/>
      <c r="GI47" s="310"/>
      <c r="GJ47" s="311"/>
      <c r="GK47" s="311"/>
      <c r="GL47" s="309"/>
      <c r="GM47" s="310"/>
      <c r="GN47" s="311"/>
      <c r="GO47" s="311"/>
      <c r="GP47" s="309"/>
      <c r="GQ47" s="310"/>
      <c r="GR47" s="311"/>
      <c r="GS47" s="311"/>
      <c r="GT47" s="309"/>
      <c r="GU47" s="310"/>
      <c r="GV47" s="311"/>
      <c r="GW47" s="311"/>
      <c r="GX47" s="309"/>
      <c r="GY47" s="310"/>
      <c r="GZ47" s="311"/>
      <c r="HA47" s="311"/>
      <c r="HB47" s="309"/>
      <c r="HC47" s="312">
        <f t="shared" si="62"/>
        <v>0</v>
      </c>
      <c r="HD47" s="313">
        <f t="shared" si="62"/>
        <v>0</v>
      </c>
      <c r="HE47" s="313">
        <f t="shared" si="62"/>
        <v>0</v>
      </c>
      <c r="HF47" s="314"/>
      <c r="HG47" s="312">
        <f>SUM(SUMIFS(K47:HB47,$K$13:$HB$13,{"エネルギー管理指定工場等*","県域*"}))</f>
        <v>0</v>
      </c>
      <c r="HH47" s="313">
        <f>SUM(SUMIFS(L47:HC47,$K$13:$HB$13,{"エネルギー管理指定工場等*","県域*"}))</f>
        <v>0</v>
      </c>
      <c r="HI47" s="313">
        <f>SUM(SUMIFS(M47:HD47,$K$13:$HB$13,{"エネルギー管理指定工場等*","県域*"}))</f>
        <v>0</v>
      </c>
      <c r="HJ47" s="314"/>
      <c r="HL47" s="219">
        <v>38</v>
      </c>
      <c r="HM47" s="714"/>
      <c r="HN47" s="715" t="str">
        <f ca="1">IF(COUNTIF(HN$10:HN46,OFFSET(A1_原単位2024,5,HL47+2))&gt;=1,"",OFFSET(A1_原単位2024,5,HL47+2)&amp;"")</f>
        <v/>
      </c>
      <c r="HO47" s="716" t="str">
        <f t="shared" ca="1" si="49"/>
        <v/>
      </c>
      <c r="HP47" s="717" t="str">
        <f t="shared" ca="1" si="63"/>
        <v/>
      </c>
      <c r="HQ47" s="714"/>
      <c r="HR47" s="715" t="str">
        <f ca="1">IF(COUNTIF(HR$10:HR46,OFFSET(A1_原単位2024,17,HL47+2))&gt;=1,"",OFFSET(A1_原単位2024,17,HL47+2)&amp;"")</f>
        <v/>
      </c>
      <c r="HS47" s="718" t="str">
        <f t="shared" ca="1" si="51"/>
        <v/>
      </c>
      <c r="HT47" s="719" t="str">
        <f t="shared" ca="1" si="64"/>
        <v/>
      </c>
      <c r="HU47" s="714"/>
      <c r="HV47" s="715" t="str">
        <f ca="1">IF(COUNTIF(HV$10:HV46,OFFSET(A1_原単位2024,29,HL47+2))&gt;=1,"",OFFSET(A1_原単位2024,29,HL47+2)&amp;"")</f>
        <v/>
      </c>
      <c r="HW47" s="718" t="str">
        <f t="shared" ca="1" si="53"/>
        <v/>
      </c>
      <c r="HX47" s="719" t="str">
        <f t="shared" ca="1" si="65"/>
        <v/>
      </c>
      <c r="HY47" s="714"/>
      <c r="HZ47" s="715" t="str">
        <f ca="1">IF(COUNTIF(HZ$10:HZ46,OFFSET(A1_原単位2024,41,HL47+2))&gt;=1,"",OFFSET(A1_原単位2024,41,HL47+2)&amp;"")</f>
        <v/>
      </c>
      <c r="IA47" s="720" t="str">
        <f t="shared" ca="1" si="55"/>
        <v/>
      </c>
      <c r="IB47" s="721" t="str">
        <f t="shared" ca="1" si="66"/>
        <v/>
      </c>
      <c r="IE47" s="159" t="str">
        <f t="shared" ca="1" si="67"/>
        <v/>
      </c>
      <c r="IF47" s="159" t="str">
        <f t="shared" ca="1" si="68"/>
        <v/>
      </c>
      <c r="IG47" s="159" t="str">
        <f t="shared" ca="1" si="69"/>
        <v/>
      </c>
      <c r="IH47" s="159" t="str">
        <f t="shared" ca="1" si="70"/>
        <v/>
      </c>
    </row>
    <row r="48" spans="1:242" ht="19.8">
      <c r="A48" s="164"/>
      <c r="B48" s="302"/>
      <c r="C48" s="303" t="s">
        <v>590</v>
      </c>
      <c r="D48" s="304"/>
      <c r="E48" s="305"/>
      <c r="F48" s="303" t="s">
        <v>455</v>
      </c>
      <c r="G48" s="306">
        <v>17.100000000000001</v>
      </c>
      <c r="H48" s="309"/>
      <c r="I48" s="308"/>
      <c r="J48" s="309"/>
      <c r="K48" s="310"/>
      <c r="L48" s="311"/>
      <c r="M48" s="311"/>
      <c r="N48" s="309"/>
      <c r="O48" s="310"/>
      <c r="P48" s="311"/>
      <c r="Q48" s="311"/>
      <c r="R48" s="309"/>
      <c r="S48" s="310"/>
      <c r="T48" s="311"/>
      <c r="U48" s="311"/>
      <c r="V48" s="309"/>
      <c r="W48" s="310"/>
      <c r="X48" s="311"/>
      <c r="Y48" s="311"/>
      <c r="Z48" s="309"/>
      <c r="AA48" s="310"/>
      <c r="AB48" s="311"/>
      <c r="AC48" s="311"/>
      <c r="AD48" s="309"/>
      <c r="AE48" s="310"/>
      <c r="AF48" s="311"/>
      <c r="AG48" s="311"/>
      <c r="AH48" s="309"/>
      <c r="AI48" s="310"/>
      <c r="AJ48" s="311"/>
      <c r="AK48" s="311"/>
      <c r="AL48" s="309"/>
      <c r="AM48" s="310"/>
      <c r="AN48" s="311"/>
      <c r="AO48" s="311"/>
      <c r="AP48" s="309"/>
      <c r="AQ48" s="310"/>
      <c r="AR48" s="311"/>
      <c r="AS48" s="311"/>
      <c r="AT48" s="309"/>
      <c r="AU48" s="310"/>
      <c r="AV48" s="311"/>
      <c r="AW48" s="311"/>
      <c r="AX48" s="309"/>
      <c r="AY48" s="310"/>
      <c r="AZ48" s="311"/>
      <c r="BA48" s="311"/>
      <c r="BB48" s="309"/>
      <c r="BC48" s="310"/>
      <c r="BD48" s="311"/>
      <c r="BE48" s="311"/>
      <c r="BF48" s="309"/>
      <c r="BG48" s="310"/>
      <c r="BH48" s="311"/>
      <c r="BI48" s="311"/>
      <c r="BJ48" s="309"/>
      <c r="BK48" s="310"/>
      <c r="BL48" s="311"/>
      <c r="BM48" s="311"/>
      <c r="BN48" s="309"/>
      <c r="BO48" s="310"/>
      <c r="BP48" s="311"/>
      <c r="BQ48" s="311"/>
      <c r="BR48" s="309"/>
      <c r="BS48" s="310"/>
      <c r="BT48" s="311"/>
      <c r="BU48" s="311"/>
      <c r="BV48" s="309"/>
      <c r="BW48" s="310"/>
      <c r="BX48" s="311"/>
      <c r="BY48" s="311"/>
      <c r="BZ48" s="309"/>
      <c r="CA48" s="310"/>
      <c r="CB48" s="311"/>
      <c r="CC48" s="311"/>
      <c r="CD48" s="309"/>
      <c r="CE48" s="310"/>
      <c r="CF48" s="311"/>
      <c r="CG48" s="311"/>
      <c r="CH48" s="309"/>
      <c r="CI48" s="310"/>
      <c r="CJ48" s="311"/>
      <c r="CK48" s="311"/>
      <c r="CL48" s="309"/>
      <c r="CM48" s="310"/>
      <c r="CN48" s="311"/>
      <c r="CO48" s="311"/>
      <c r="CP48" s="309"/>
      <c r="CQ48" s="310"/>
      <c r="CR48" s="311"/>
      <c r="CS48" s="311"/>
      <c r="CT48" s="309"/>
      <c r="CU48" s="310"/>
      <c r="CV48" s="311"/>
      <c r="CW48" s="311"/>
      <c r="CX48" s="309"/>
      <c r="CY48" s="310"/>
      <c r="CZ48" s="311"/>
      <c r="DA48" s="311"/>
      <c r="DB48" s="309"/>
      <c r="DC48" s="310"/>
      <c r="DD48" s="311"/>
      <c r="DE48" s="311"/>
      <c r="DF48" s="309"/>
      <c r="DG48" s="310"/>
      <c r="DH48" s="311"/>
      <c r="DI48" s="311"/>
      <c r="DJ48" s="309"/>
      <c r="DK48" s="310"/>
      <c r="DL48" s="311"/>
      <c r="DM48" s="311"/>
      <c r="DN48" s="309"/>
      <c r="DO48" s="310"/>
      <c r="DP48" s="311"/>
      <c r="DQ48" s="311"/>
      <c r="DR48" s="309"/>
      <c r="DS48" s="310"/>
      <c r="DT48" s="311"/>
      <c r="DU48" s="311"/>
      <c r="DV48" s="309"/>
      <c r="DW48" s="310"/>
      <c r="DX48" s="311"/>
      <c r="DY48" s="311"/>
      <c r="DZ48" s="309"/>
      <c r="EA48" s="310"/>
      <c r="EB48" s="311"/>
      <c r="EC48" s="311"/>
      <c r="ED48" s="309"/>
      <c r="EE48" s="310"/>
      <c r="EF48" s="311"/>
      <c r="EG48" s="311"/>
      <c r="EH48" s="309"/>
      <c r="EI48" s="310"/>
      <c r="EJ48" s="311"/>
      <c r="EK48" s="311"/>
      <c r="EL48" s="309"/>
      <c r="EM48" s="310"/>
      <c r="EN48" s="311"/>
      <c r="EO48" s="311"/>
      <c r="EP48" s="309"/>
      <c r="EQ48" s="310"/>
      <c r="ER48" s="311"/>
      <c r="ES48" s="311"/>
      <c r="ET48" s="309"/>
      <c r="EU48" s="310"/>
      <c r="EV48" s="311"/>
      <c r="EW48" s="311"/>
      <c r="EX48" s="309"/>
      <c r="EY48" s="310"/>
      <c r="EZ48" s="311"/>
      <c r="FA48" s="311"/>
      <c r="FB48" s="309"/>
      <c r="FC48" s="310"/>
      <c r="FD48" s="311"/>
      <c r="FE48" s="311"/>
      <c r="FF48" s="309"/>
      <c r="FG48" s="310"/>
      <c r="FH48" s="311"/>
      <c r="FI48" s="311"/>
      <c r="FJ48" s="309"/>
      <c r="FK48" s="310"/>
      <c r="FL48" s="311"/>
      <c r="FM48" s="311"/>
      <c r="FN48" s="309"/>
      <c r="FO48" s="310"/>
      <c r="FP48" s="311"/>
      <c r="FQ48" s="311"/>
      <c r="FR48" s="309"/>
      <c r="FS48" s="310"/>
      <c r="FT48" s="311"/>
      <c r="FU48" s="311"/>
      <c r="FV48" s="309"/>
      <c r="FW48" s="310"/>
      <c r="FX48" s="311"/>
      <c r="FY48" s="311"/>
      <c r="FZ48" s="309"/>
      <c r="GA48" s="310"/>
      <c r="GB48" s="311"/>
      <c r="GC48" s="311"/>
      <c r="GD48" s="309"/>
      <c r="GE48" s="310"/>
      <c r="GF48" s="311"/>
      <c r="GG48" s="311"/>
      <c r="GH48" s="309"/>
      <c r="GI48" s="310"/>
      <c r="GJ48" s="311"/>
      <c r="GK48" s="311"/>
      <c r="GL48" s="309"/>
      <c r="GM48" s="310"/>
      <c r="GN48" s="311"/>
      <c r="GO48" s="311"/>
      <c r="GP48" s="309"/>
      <c r="GQ48" s="310"/>
      <c r="GR48" s="311"/>
      <c r="GS48" s="311"/>
      <c r="GT48" s="309"/>
      <c r="GU48" s="310"/>
      <c r="GV48" s="311"/>
      <c r="GW48" s="311"/>
      <c r="GX48" s="309"/>
      <c r="GY48" s="310"/>
      <c r="GZ48" s="311"/>
      <c r="HA48" s="311"/>
      <c r="HB48" s="309"/>
      <c r="HC48" s="312">
        <f t="shared" si="62"/>
        <v>0</v>
      </c>
      <c r="HD48" s="313">
        <f t="shared" si="62"/>
        <v>0</v>
      </c>
      <c r="HE48" s="313">
        <f t="shared" si="62"/>
        <v>0</v>
      </c>
      <c r="HF48" s="314"/>
      <c r="HG48" s="312">
        <f>SUM(SUMIFS(K48:HB48,$K$13:$HB$13,{"エネルギー管理指定工場等*","県域*"}))</f>
        <v>0</v>
      </c>
      <c r="HH48" s="313">
        <f>SUM(SUMIFS(L48:HC48,$K$13:$HB$13,{"エネルギー管理指定工場等*","県域*"}))</f>
        <v>0</v>
      </c>
      <c r="HI48" s="313">
        <f>SUM(SUMIFS(M48:HD48,$K$13:$HB$13,{"エネルギー管理指定工場等*","県域*"}))</f>
        <v>0</v>
      </c>
      <c r="HJ48" s="314"/>
      <c r="HL48" s="219">
        <v>39</v>
      </c>
      <c r="HM48" s="714"/>
      <c r="HN48" s="715" t="str">
        <f ca="1">IF(COUNTIF(HN$10:HN47,OFFSET(A1_原単位2024,5,HL48+2))&gt;=1,"",OFFSET(A1_原単位2024,5,HL48+2)&amp;"")</f>
        <v/>
      </c>
      <c r="HO48" s="716" t="str">
        <f t="shared" ca="1" si="49"/>
        <v/>
      </c>
      <c r="HP48" s="717" t="str">
        <f t="shared" ca="1" si="63"/>
        <v/>
      </c>
      <c r="HQ48" s="714"/>
      <c r="HR48" s="715" t="str">
        <f ca="1">IF(COUNTIF(HR$10:HR47,OFFSET(A1_原単位2024,17,HL48+2))&gt;=1,"",OFFSET(A1_原単位2024,17,HL48+2)&amp;"")</f>
        <v/>
      </c>
      <c r="HS48" s="718" t="str">
        <f t="shared" ca="1" si="51"/>
        <v/>
      </c>
      <c r="HT48" s="719" t="str">
        <f t="shared" ca="1" si="64"/>
        <v/>
      </c>
      <c r="HU48" s="714"/>
      <c r="HV48" s="715" t="str">
        <f ca="1">IF(COUNTIF(HV$10:HV47,OFFSET(A1_原単位2024,29,HL48+2))&gt;=1,"",OFFSET(A1_原単位2024,29,HL48+2)&amp;"")</f>
        <v/>
      </c>
      <c r="HW48" s="718" t="str">
        <f t="shared" ca="1" si="53"/>
        <v/>
      </c>
      <c r="HX48" s="719" t="str">
        <f t="shared" ca="1" si="65"/>
        <v/>
      </c>
      <c r="HY48" s="714"/>
      <c r="HZ48" s="715" t="str">
        <f ca="1">IF(COUNTIF(HZ$10:HZ47,OFFSET(A1_原単位2024,41,HL48+2))&gt;=1,"",OFFSET(A1_原単位2024,41,HL48+2)&amp;"")</f>
        <v/>
      </c>
      <c r="IA48" s="720" t="str">
        <f t="shared" ca="1" si="55"/>
        <v/>
      </c>
      <c r="IB48" s="721" t="str">
        <f t="shared" ca="1" si="66"/>
        <v/>
      </c>
      <c r="IE48" s="159" t="str">
        <f t="shared" ca="1" si="67"/>
        <v/>
      </c>
      <c r="IF48" s="159" t="str">
        <f t="shared" ca="1" si="68"/>
        <v/>
      </c>
      <c r="IG48" s="159" t="str">
        <f t="shared" ca="1" si="69"/>
        <v/>
      </c>
      <c r="IH48" s="159" t="str">
        <f t="shared" ca="1" si="70"/>
        <v/>
      </c>
    </row>
    <row r="49" spans="1:242" ht="19.8">
      <c r="A49" s="164"/>
      <c r="B49" s="302"/>
      <c r="C49" s="303" t="s">
        <v>381</v>
      </c>
      <c r="D49" s="304"/>
      <c r="E49" s="305"/>
      <c r="F49" s="303" t="s">
        <v>453</v>
      </c>
      <c r="G49" s="306">
        <v>23.4</v>
      </c>
      <c r="H49" s="309"/>
      <c r="I49" s="310"/>
      <c r="J49" s="315"/>
      <c r="K49" s="310"/>
      <c r="L49" s="311"/>
      <c r="M49" s="311"/>
      <c r="N49" s="309"/>
      <c r="O49" s="310"/>
      <c r="P49" s="311"/>
      <c r="Q49" s="311"/>
      <c r="R49" s="309"/>
      <c r="S49" s="310"/>
      <c r="T49" s="311"/>
      <c r="U49" s="311"/>
      <c r="V49" s="309"/>
      <c r="W49" s="310"/>
      <c r="X49" s="311"/>
      <c r="Y49" s="311"/>
      <c r="Z49" s="309"/>
      <c r="AA49" s="310"/>
      <c r="AB49" s="311"/>
      <c r="AC49" s="311"/>
      <c r="AD49" s="309"/>
      <c r="AE49" s="310"/>
      <c r="AF49" s="311"/>
      <c r="AG49" s="311"/>
      <c r="AH49" s="309"/>
      <c r="AI49" s="310"/>
      <c r="AJ49" s="311"/>
      <c r="AK49" s="311"/>
      <c r="AL49" s="309"/>
      <c r="AM49" s="310"/>
      <c r="AN49" s="311"/>
      <c r="AO49" s="311"/>
      <c r="AP49" s="309"/>
      <c r="AQ49" s="310"/>
      <c r="AR49" s="311"/>
      <c r="AS49" s="311"/>
      <c r="AT49" s="309"/>
      <c r="AU49" s="310"/>
      <c r="AV49" s="311"/>
      <c r="AW49" s="311"/>
      <c r="AX49" s="309"/>
      <c r="AY49" s="310"/>
      <c r="AZ49" s="311"/>
      <c r="BA49" s="311"/>
      <c r="BB49" s="309"/>
      <c r="BC49" s="310"/>
      <c r="BD49" s="311"/>
      <c r="BE49" s="311"/>
      <c r="BF49" s="309"/>
      <c r="BG49" s="310"/>
      <c r="BH49" s="311"/>
      <c r="BI49" s="311"/>
      <c r="BJ49" s="309"/>
      <c r="BK49" s="310"/>
      <c r="BL49" s="311"/>
      <c r="BM49" s="311"/>
      <c r="BN49" s="309"/>
      <c r="BO49" s="310"/>
      <c r="BP49" s="311"/>
      <c r="BQ49" s="311"/>
      <c r="BR49" s="309"/>
      <c r="BS49" s="310"/>
      <c r="BT49" s="311"/>
      <c r="BU49" s="311"/>
      <c r="BV49" s="309"/>
      <c r="BW49" s="310"/>
      <c r="BX49" s="311"/>
      <c r="BY49" s="311"/>
      <c r="BZ49" s="309"/>
      <c r="CA49" s="310"/>
      <c r="CB49" s="311"/>
      <c r="CC49" s="311"/>
      <c r="CD49" s="309"/>
      <c r="CE49" s="310"/>
      <c r="CF49" s="311"/>
      <c r="CG49" s="311"/>
      <c r="CH49" s="309"/>
      <c r="CI49" s="310"/>
      <c r="CJ49" s="311"/>
      <c r="CK49" s="311"/>
      <c r="CL49" s="309"/>
      <c r="CM49" s="310"/>
      <c r="CN49" s="311"/>
      <c r="CO49" s="311"/>
      <c r="CP49" s="309"/>
      <c r="CQ49" s="310"/>
      <c r="CR49" s="311"/>
      <c r="CS49" s="311"/>
      <c r="CT49" s="309"/>
      <c r="CU49" s="310"/>
      <c r="CV49" s="311"/>
      <c r="CW49" s="311"/>
      <c r="CX49" s="309"/>
      <c r="CY49" s="310"/>
      <c r="CZ49" s="311"/>
      <c r="DA49" s="311"/>
      <c r="DB49" s="309"/>
      <c r="DC49" s="310"/>
      <c r="DD49" s="311"/>
      <c r="DE49" s="311"/>
      <c r="DF49" s="309"/>
      <c r="DG49" s="310"/>
      <c r="DH49" s="311"/>
      <c r="DI49" s="311"/>
      <c r="DJ49" s="309"/>
      <c r="DK49" s="310"/>
      <c r="DL49" s="311"/>
      <c r="DM49" s="311"/>
      <c r="DN49" s="309"/>
      <c r="DO49" s="310"/>
      <c r="DP49" s="311"/>
      <c r="DQ49" s="311"/>
      <c r="DR49" s="309"/>
      <c r="DS49" s="310"/>
      <c r="DT49" s="311"/>
      <c r="DU49" s="311"/>
      <c r="DV49" s="309"/>
      <c r="DW49" s="310"/>
      <c r="DX49" s="311"/>
      <c r="DY49" s="311"/>
      <c r="DZ49" s="309"/>
      <c r="EA49" s="310"/>
      <c r="EB49" s="311"/>
      <c r="EC49" s="311"/>
      <c r="ED49" s="309"/>
      <c r="EE49" s="310"/>
      <c r="EF49" s="311"/>
      <c r="EG49" s="311"/>
      <c r="EH49" s="309"/>
      <c r="EI49" s="310"/>
      <c r="EJ49" s="311"/>
      <c r="EK49" s="311"/>
      <c r="EL49" s="309"/>
      <c r="EM49" s="310"/>
      <c r="EN49" s="311"/>
      <c r="EO49" s="311"/>
      <c r="EP49" s="309"/>
      <c r="EQ49" s="310"/>
      <c r="ER49" s="311"/>
      <c r="ES49" s="311"/>
      <c r="ET49" s="309"/>
      <c r="EU49" s="310"/>
      <c r="EV49" s="311"/>
      <c r="EW49" s="311"/>
      <c r="EX49" s="309"/>
      <c r="EY49" s="310"/>
      <c r="EZ49" s="311"/>
      <c r="FA49" s="311"/>
      <c r="FB49" s="309"/>
      <c r="FC49" s="310"/>
      <c r="FD49" s="311"/>
      <c r="FE49" s="311"/>
      <c r="FF49" s="309"/>
      <c r="FG49" s="310"/>
      <c r="FH49" s="311"/>
      <c r="FI49" s="311"/>
      <c r="FJ49" s="309"/>
      <c r="FK49" s="310"/>
      <c r="FL49" s="311"/>
      <c r="FM49" s="311"/>
      <c r="FN49" s="309"/>
      <c r="FO49" s="310"/>
      <c r="FP49" s="311"/>
      <c r="FQ49" s="311"/>
      <c r="FR49" s="309"/>
      <c r="FS49" s="310"/>
      <c r="FT49" s="311"/>
      <c r="FU49" s="311"/>
      <c r="FV49" s="309"/>
      <c r="FW49" s="310"/>
      <c r="FX49" s="311"/>
      <c r="FY49" s="311"/>
      <c r="FZ49" s="309"/>
      <c r="GA49" s="310"/>
      <c r="GB49" s="311"/>
      <c r="GC49" s="311"/>
      <c r="GD49" s="309"/>
      <c r="GE49" s="310"/>
      <c r="GF49" s="311"/>
      <c r="GG49" s="311"/>
      <c r="GH49" s="309"/>
      <c r="GI49" s="310"/>
      <c r="GJ49" s="311"/>
      <c r="GK49" s="311"/>
      <c r="GL49" s="309"/>
      <c r="GM49" s="310"/>
      <c r="GN49" s="311"/>
      <c r="GO49" s="311"/>
      <c r="GP49" s="309"/>
      <c r="GQ49" s="310"/>
      <c r="GR49" s="311"/>
      <c r="GS49" s="311"/>
      <c r="GT49" s="309"/>
      <c r="GU49" s="310"/>
      <c r="GV49" s="311"/>
      <c r="GW49" s="311"/>
      <c r="GX49" s="309"/>
      <c r="GY49" s="310"/>
      <c r="GZ49" s="311"/>
      <c r="HA49" s="311"/>
      <c r="HB49" s="309"/>
      <c r="HC49" s="312">
        <f t="shared" ref="HC49:HF80" si="71">K49+O49+S49+W49+AA49+AE49+AI49+AM49+AQ49+AU49+AY49+BC49+BG49+BK49+BO49+BS49+BW49+CA49+CE49+CI49+CM49+CQ49+CU49+CY49+DC49+DG49+DK49+DO49+DS49+DW49+EA49+EE49+EI49+EM49+EQ49+EU49+EY49+FC49+FG49+FK49+FO49+FS49+FW49+GA49+GE49+GI49+GM49+GQ49+GU49+GY49</f>
        <v>0</v>
      </c>
      <c r="HD49" s="313">
        <f t="shared" si="71"/>
        <v>0</v>
      </c>
      <c r="HE49" s="313">
        <f t="shared" si="71"/>
        <v>0</v>
      </c>
      <c r="HF49" s="314"/>
      <c r="HG49" s="312">
        <f>SUM(SUMIFS(K49:HB49,$K$13:$HB$13,{"エネルギー管理指定工場等*","県域*"}))</f>
        <v>0</v>
      </c>
      <c r="HH49" s="313">
        <f>SUM(SUMIFS(L49:HC49,$K$13:$HB$13,{"エネルギー管理指定工場等*","県域*"}))</f>
        <v>0</v>
      </c>
      <c r="HI49" s="313">
        <f>SUM(SUMIFS(M49:HD49,$K$13:$HB$13,{"エネルギー管理指定工場等*","県域*"}))</f>
        <v>0</v>
      </c>
      <c r="HJ49" s="314"/>
      <c r="HL49" s="230">
        <v>40</v>
      </c>
      <c r="HM49" s="714"/>
      <c r="HN49" s="715" t="str">
        <f ca="1">IF(COUNTIF(HN$10:HN48,OFFSET(A1_原単位2024,5,HL49+2))&gt;=1,"",OFFSET(A1_原単位2024,5,HL49+2)&amp;"")</f>
        <v/>
      </c>
      <c r="HO49" s="716" t="str">
        <f t="shared" ca="1" si="49"/>
        <v/>
      </c>
      <c r="HP49" s="717" t="str">
        <f t="shared" ca="1" si="63"/>
        <v/>
      </c>
      <c r="HQ49" s="714"/>
      <c r="HR49" s="715" t="str">
        <f ca="1">IF(COUNTIF(HR$10:HR48,OFFSET(A1_原単位2024,17,HL49+2))&gt;=1,"",OFFSET(A1_原単位2024,17,HL49+2)&amp;"")</f>
        <v/>
      </c>
      <c r="HS49" s="718" t="str">
        <f t="shared" ca="1" si="51"/>
        <v/>
      </c>
      <c r="HT49" s="719" t="str">
        <f t="shared" ca="1" si="64"/>
        <v/>
      </c>
      <c r="HU49" s="714"/>
      <c r="HV49" s="715" t="str">
        <f ca="1">IF(COUNTIF(HV$10:HV48,OFFSET(A1_原単位2024,29,HL49+2))&gt;=1,"",OFFSET(A1_原単位2024,29,HL49+2)&amp;"")</f>
        <v/>
      </c>
      <c r="HW49" s="718" t="str">
        <f t="shared" ca="1" si="53"/>
        <v/>
      </c>
      <c r="HX49" s="719" t="str">
        <f t="shared" ca="1" si="65"/>
        <v/>
      </c>
      <c r="HY49" s="714"/>
      <c r="HZ49" s="715" t="str">
        <f ca="1">IF(COUNTIF(HZ$10:HZ48,OFFSET(A1_原単位2024,41,HL49+2))&gt;=1,"",OFFSET(A1_原単位2024,41,HL49+2)&amp;"")</f>
        <v/>
      </c>
      <c r="IA49" s="720" t="str">
        <f t="shared" ca="1" si="55"/>
        <v/>
      </c>
      <c r="IB49" s="721" t="str">
        <f t="shared" ca="1" si="66"/>
        <v/>
      </c>
      <c r="IE49" s="159" t="str">
        <f t="shared" ca="1" si="67"/>
        <v/>
      </c>
      <c r="IF49" s="159" t="str">
        <f t="shared" ca="1" si="68"/>
        <v/>
      </c>
      <c r="IG49" s="159" t="str">
        <f t="shared" ca="1" si="69"/>
        <v/>
      </c>
      <c r="IH49" s="159" t="str">
        <f t="shared" ca="1" si="70"/>
        <v/>
      </c>
    </row>
    <row r="50" spans="1:242" ht="19.8">
      <c r="A50" s="164"/>
      <c r="B50" s="302"/>
      <c r="C50" s="303" t="s">
        <v>382</v>
      </c>
      <c r="D50" s="304"/>
      <c r="E50" s="305"/>
      <c r="F50" s="303" t="s">
        <v>453</v>
      </c>
      <c r="G50" s="306">
        <v>35.6</v>
      </c>
      <c r="H50" s="309"/>
      <c r="I50" s="310"/>
      <c r="J50" s="315"/>
      <c r="K50" s="310"/>
      <c r="L50" s="311"/>
      <c r="M50" s="311"/>
      <c r="N50" s="309"/>
      <c r="O50" s="310"/>
      <c r="P50" s="311"/>
      <c r="Q50" s="311"/>
      <c r="R50" s="309"/>
      <c r="S50" s="310"/>
      <c r="T50" s="311"/>
      <c r="U50" s="311"/>
      <c r="V50" s="309"/>
      <c r="W50" s="310"/>
      <c r="X50" s="311"/>
      <c r="Y50" s="311"/>
      <c r="Z50" s="309"/>
      <c r="AA50" s="310"/>
      <c r="AB50" s="311"/>
      <c r="AC50" s="311"/>
      <c r="AD50" s="309"/>
      <c r="AE50" s="310"/>
      <c r="AF50" s="311"/>
      <c r="AG50" s="311"/>
      <c r="AH50" s="309"/>
      <c r="AI50" s="310"/>
      <c r="AJ50" s="311"/>
      <c r="AK50" s="311"/>
      <c r="AL50" s="309"/>
      <c r="AM50" s="310"/>
      <c r="AN50" s="311"/>
      <c r="AO50" s="311"/>
      <c r="AP50" s="309"/>
      <c r="AQ50" s="310"/>
      <c r="AR50" s="311"/>
      <c r="AS50" s="311"/>
      <c r="AT50" s="309"/>
      <c r="AU50" s="310"/>
      <c r="AV50" s="311"/>
      <c r="AW50" s="311"/>
      <c r="AX50" s="309"/>
      <c r="AY50" s="310"/>
      <c r="AZ50" s="311"/>
      <c r="BA50" s="311"/>
      <c r="BB50" s="309"/>
      <c r="BC50" s="310"/>
      <c r="BD50" s="311"/>
      <c r="BE50" s="311"/>
      <c r="BF50" s="309"/>
      <c r="BG50" s="310"/>
      <c r="BH50" s="311"/>
      <c r="BI50" s="311"/>
      <c r="BJ50" s="309"/>
      <c r="BK50" s="310"/>
      <c r="BL50" s="311"/>
      <c r="BM50" s="311"/>
      <c r="BN50" s="309"/>
      <c r="BO50" s="310"/>
      <c r="BP50" s="311"/>
      <c r="BQ50" s="311"/>
      <c r="BR50" s="309"/>
      <c r="BS50" s="310"/>
      <c r="BT50" s="311"/>
      <c r="BU50" s="311"/>
      <c r="BV50" s="309"/>
      <c r="BW50" s="310"/>
      <c r="BX50" s="311"/>
      <c r="BY50" s="311"/>
      <c r="BZ50" s="309"/>
      <c r="CA50" s="310"/>
      <c r="CB50" s="311"/>
      <c r="CC50" s="311"/>
      <c r="CD50" s="309"/>
      <c r="CE50" s="310"/>
      <c r="CF50" s="311"/>
      <c r="CG50" s="311"/>
      <c r="CH50" s="309"/>
      <c r="CI50" s="310"/>
      <c r="CJ50" s="311"/>
      <c r="CK50" s="311"/>
      <c r="CL50" s="309"/>
      <c r="CM50" s="310"/>
      <c r="CN50" s="311"/>
      <c r="CO50" s="311"/>
      <c r="CP50" s="309"/>
      <c r="CQ50" s="310"/>
      <c r="CR50" s="311"/>
      <c r="CS50" s="311"/>
      <c r="CT50" s="309"/>
      <c r="CU50" s="310"/>
      <c r="CV50" s="311"/>
      <c r="CW50" s="311"/>
      <c r="CX50" s="309"/>
      <c r="CY50" s="310"/>
      <c r="CZ50" s="311"/>
      <c r="DA50" s="311"/>
      <c r="DB50" s="309"/>
      <c r="DC50" s="310"/>
      <c r="DD50" s="311"/>
      <c r="DE50" s="311"/>
      <c r="DF50" s="309"/>
      <c r="DG50" s="310"/>
      <c r="DH50" s="311"/>
      <c r="DI50" s="311"/>
      <c r="DJ50" s="309"/>
      <c r="DK50" s="310"/>
      <c r="DL50" s="311"/>
      <c r="DM50" s="311"/>
      <c r="DN50" s="309"/>
      <c r="DO50" s="310"/>
      <c r="DP50" s="311"/>
      <c r="DQ50" s="311"/>
      <c r="DR50" s="309"/>
      <c r="DS50" s="310"/>
      <c r="DT50" s="311"/>
      <c r="DU50" s="311"/>
      <c r="DV50" s="309"/>
      <c r="DW50" s="310"/>
      <c r="DX50" s="311"/>
      <c r="DY50" s="311"/>
      <c r="DZ50" s="309"/>
      <c r="EA50" s="310"/>
      <c r="EB50" s="311"/>
      <c r="EC50" s="311"/>
      <c r="ED50" s="309"/>
      <c r="EE50" s="310"/>
      <c r="EF50" s="311"/>
      <c r="EG50" s="311"/>
      <c r="EH50" s="309"/>
      <c r="EI50" s="310"/>
      <c r="EJ50" s="311"/>
      <c r="EK50" s="311"/>
      <c r="EL50" s="309"/>
      <c r="EM50" s="310"/>
      <c r="EN50" s="311"/>
      <c r="EO50" s="311"/>
      <c r="EP50" s="309"/>
      <c r="EQ50" s="310"/>
      <c r="ER50" s="311"/>
      <c r="ES50" s="311"/>
      <c r="ET50" s="309"/>
      <c r="EU50" s="310"/>
      <c r="EV50" s="311"/>
      <c r="EW50" s="311"/>
      <c r="EX50" s="309"/>
      <c r="EY50" s="310"/>
      <c r="EZ50" s="311"/>
      <c r="FA50" s="311"/>
      <c r="FB50" s="309"/>
      <c r="FC50" s="310"/>
      <c r="FD50" s="311"/>
      <c r="FE50" s="311"/>
      <c r="FF50" s="309"/>
      <c r="FG50" s="310"/>
      <c r="FH50" s="311"/>
      <c r="FI50" s="311"/>
      <c r="FJ50" s="309"/>
      <c r="FK50" s="310"/>
      <c r="FL50" s="311"/>
      <c r="FM50" s="311"/>
      <c r="FN50" s="309"/>
      <c r="FO50" s="310"/>
      <c r="FP50" s="311"/>
      <c r="FQ50" s="311"/>
      <c r="FR50" s="309"/>
      <c r="FS50" s="310"/>
      <c r="FT50" s="311"/>
      <c r="FU50" s="311"/>
      <c r="FV50" s="309"/>
      <c r="FW50" s="310"/>
      <c r="FX50" s="311"/>
      <c r="FY50" s="311"/>
      <c r="FZ50" s="309"/>
      <c r="GA50" s="310"/>
      <c r="GB50" s="311"/>
      <c r="GC50" s="311"/>
      <c r="GD50" s="309"/>
      <c r="GE50" s="310"/>
      <c r="GF50" s="311"/>
      <c r="GG50" s="311"/>
      <c r="GH50" s="309"/>
      <c r="GI50" s="310"/>
      <c r="GJ50" s="311"/>
      <c r="GK50" s="311"/>
      <c r="GL50" s="309"/>
      <c r="GM50" s="310"/>
      <c r="GN50" s="311"/>
      <c r="GO50" s="311"/>
      <c r="GP50" s="309"/>
      <c r="GQ50" s="310"/>
      <c r="GR50" s="311"/>
      <c r="GS50" s="311"/>
      <c r="GT50" s="309"/>
      <c r="GU50" s="310"/>
      <c r="GV50" s="311"/>
      <c r="GW50" s="311"/>
      <c r="GX50" s="309"/>
      <c r="GY50" s="310"/>
      <c r="GZ50" s="311"/>
      <c r="HA50" s="311"/>
      <c r="HB50" s="309"/>
      <c r="HC50" s="312">
        <f t="shared" si="71"/>
        <v>0</v>
      </c>
      <c r="HD50" s="313">
        <f t="shared" si="71"/>
        <v>0</v>
      </c>
      <c r="HE50" s="313">
        <f t="shared" si="71"/>
        <v>0</v>
      </c>
      <c r="HF50" s="314"/>
      <c r="HG50" s="312">
        <f>SUM(SUMIFS(K50:HB50,$K$13:$HB$13,{"エネルギー管理指定工場等*","県域*"}))</f>
        <v>0</v>
      </c>
      <c r="HH50" s="313">
        <f>SUM(SUMIFS(L50:HC50,$K$13:$HB$13,{"エネルギー管理指定工場等*","県域*"}))</f>
        <v>0</v>
      </c>
      <c r="HI50" s="313">
        <f>SUM(SUMIFS(M50:HD50,$K$13:$HB$13,{"エネルギー管理指定工場等*","県域*"}))</f>
        <v>0</v>
      </c>
      <c r="HJ50" s="314"/>
      <c r="HL50" s="219">
        <v>41</v>
      </c>
      <c r="HM50" s="714"/>
      <c r="HN50" s="715" t="str">
        <f ca="1">IF(COUNTIF(HN$10:HN49,OFFSET(A1_原単位2024,5,HL50+2))&gt;=1,"",OFFSET(A1_原単位2024,5,HL50+2)&amp;"")</f>
        <v/>
      </c>
      <c r="HO50" s="716" t="str">
        <f t="shared" ca="1" si="49"/>
        <v/>
      </c>
      <c r="HP50" s="717" t="str">
        <f t="shared" ca="1" si="63"/>
        <v/>
      </c>
      <c r="HQ50" s="714"/>
      <c r="HR50" s="715" t="str">
        <f ca="1">IF(COUNTIF(HR$10:HR49,OFFSET(A1_原単位2024,17,HL50+2))&gt;=1,"",OFFSET(A1_原単位2024,17,HL50+2)&amp;"")</f>
        <v/>
      </c>
      <c r="HS50" s="718" t="str">
        <f t="shared" ca="1" si="51"/>
        <v/>
      </c>
      <c r="HT50" s="719" t="str">
        <f t="shared" ca="1" si="64"/>
        <v/>
      </c>
      <c r="HU50" s="714"/>
      <c r="HV50" s="715" t="str">
        <f ca="1">IF(COUNTIF(HV$10:HV49,OFFSET(A1_原単位2024,29,HL50+2))&gt;=1,"",OFFSET(A1_原単位2024,29,HL50+2)&amp;"")</f>
        <v/>
      </c>
      <c r="HW50" s="718" t="str">
        <f t="shared" ca="1" si="53"/>
        <v/>
      </c>
      <c r="HX50" s="719" t="str">
        <f t="shared" ca="1" si="65"/>
        <v/>
      </c>
      <c r="HY50" s="714"/>
      <c r="HZ50" s="715" t="str">
        <f ca="1">IF(COUNTIF(HZ$10:HZ49,OFFSET(A1_原単位2024,41,HL50+2))&gt;=1,"",OFFSET(A1_原単位2024,41,HL50+2)&amp;"")</f>
        <v/>
      </c>
      <c r="IA50" s="720" t="str">
        <f t="shared" ca="1" si="55"/>
        <v/>
      </c>
      <c r="IB50" s="721" t="str">
        <f t="shared" ca="1" si="66"/>
        <v/>
      </c>
      <c r="IE50" s="159" t="str">
        <f t="shared" ca="1" si="67"/>
        <v/>
      </c>
      <c r="IF50" s="159" t="str">
        <f t="shared" ca="1" si="68"/>
        <v/>
      </c>
      <c r="IG50" s="159" t="str">
        <f t="shared" ca="1" si="69"/>
        <v/>
      </c>
      <c r="IH50" s="159" t="str">
        <f t="shared" ca="1" si="70"/>
        <v/>
      </c>
    </row>
    <row r="51" spans="1:242" ht="19.8">
      <c r="A51" s="164"/>
      <c r="B51" s="302"/>
      <c r="C51" s="303" t="s">
        <v>383</v>
      </c>
      <c r="D51" s="304"/>
      <c r="E51" s="305"/>
      <c r="F51" s="303" t="s">
        <v>457</v>
      </c>
      <c r="G51" s="306">
        <v>21.2</v>
      </c>
      <c r="H51" s="309"/>
      <c r="I51" s="308"/>
      <c r="J51" s="309"/>
      <c r="K51" s="310"/>
      <c r="L51" s="311"/>
      <c r="M51" s="311"/>
      <c r="N51" s="309"/>
      <c r="O51" s="310"/>
      <c r="P51" s="311"/>
      <c r="Q51" s="311"/>
      <c r="R51" s="309"/>
      <c r="S51" s="310"/>
      <c r="T51" s="311"/>
      <c r="U51" s="311"/>
      <c r="V51" s="309"/>
      <c r="W51" s="310"/>
      <c r="X51" s="311"/>
      <c r="Y51" s="311"/>
      <c r="Z51" s="309"/>
      <c r="AA51" s="310"/>
      <c r="AB51" s="311"/>
      <c r="AC51" s="311"/>
      <c r="AD51" s="309"/>
      <c r="AE51" s="310"/>
      <c r="AF51" s="311"/>
      <c r="AG51" s="311"/>
      <c r="AH51" s="309"/>
      <c r="AI51" s="310"/>
      <c r="AJ51" s="311"/>
      <c r="AK51" s="311"/>
      <c r="AL51" s="309"/>
      <c r="AM51" s="310"/>
      <c r="AN51" s="311"/>
      <c r="AO51" s="311"/>
      <c r="AP51" s="309"/>
      <c r="AQ51" s="310"/>
      <c r="AR51" s="311"/>
      <c r="AS51" s="311"/>
      <c r="AT51" s="309"/>
      <c r="AU51" s="310"/>
      <c r="AV51" s="311"/>
      <c r="AW51" s="311"/>
      <c r="AX51" s="309"/>
      <c r="AY51" s="310"/>
      <c r="AZ51" s="311"/>
      <c r="BA51" s="311"/>
      <c r="BB51" s="309"/>
      <c r="BC51" s="310"/>
      <c r="BD51" s="311"/>
      <c r="BE51" s="311"/>
      <c r="BF51" s="309"/>
      <c r="BG51" s="310"/>
      <c r="BH51" s="311"/>
      <c r="BI51" s="311"/>
      <c r="BJ51" s="309"/>
      <c r="BK51" s="310"/>
      <c r="BL51" s="311"/>
      <c r="BM51" s="311"/>
      <c r="BN51" s="309"/>
      <c r="BO51" s="310"/>
      <c r="BP51" s="311"/>
      <c r="BQ51" s="311"/>
      <c r="BR51" s="309"/>
      <c r="BS51" s="310"/>
      <c r="BT51" s="311"/>
      <c r="BU51" s="311"/>
      <c r="BV51" s="309"/>
      <c r="BW51" s="310"/>
      <c r="BX51" s="311"/>
      <c r="BY51" s="311"/>
      <c r="BZ51" s="309"/>
      <c r="CA51" s="310"/>
      <c r="CB51" s="311"/>
      <c r="CC51" s="311"/>
      <c r="CD51" s="309"/>
      <c r="CE51" s="310"/>
      <c r="CF51" s="311"/>
      <c r="CG51" s="311"/>
      <c r="CH51" s="309"/>
      <c r="CI51" s="310"/>
      <c r="CJ51" s="311"/>
      <c r="CK51" s="311"/>
      <c r="CL51" s="309"/>
      <c r="CM51" s="310"/>
      <c r="CN51" s="311"/>
      <c r="CO51" s="311"/>
      <c r="CP51" s="309"/>
      <c r="CQ51" s="310"/>
      <c r="CR51" s="311"/>
      <c r="CS51" s="311"/>
      <c r="CT51" s="309"/>
      <c r="CU51" s="310"/>
      <c r="CV51" s="311"/>
      <c r="CW51" s="311"/>
      <c r="CX51" s="309"/>
      <c r="CY51" s="310"/>
      <c r="CZ51" s="311"/>
      <c r="DA51" s="311"/>
      <c r="DB51" s="309"/>
      <c r="DC51" s="310"/>
      <c r="DD51" s="311"/>
      <c r="DE51" s="311"/>
      <c r="DF51" s="309"/>
      <c r="DG51" s="310"/>
      <c r="DH51" s="311"/>
      <c r="DI51" s="311"/>
      <c r="DJ51" s="309"/>
      <c r="DK51" s="310"/>
      <c r="DL51" s="311"/>
      <c r="DM51" s="311"/>
      <c r="DN51" s="309"/>
      <c r="DO51" s="310"/>
      <c r="DP51" s="311"/>
      <c r="DQ51" s="311"/>
      <c r="DR51" s="309"/>
      <c r="DS51" s="310"/>
      <c r="DT51" s="311"/>
      <c r="DU51" s="311"/>
      <c r="DV51" s="309"/>
      <c r="DW51" s="310"/>
      <c r="DX51" s="311"/>
      <c r="DY51" s="311"/>
      <c r="DZ51" s="309"/>
      <c r="EA51" s="310"/>
      <c r="EB51" s="311"/>
      <c r="EC51" s="311"/>
      <c r="ED51" s="309"/>
      <c r="EE51" s="310"/>
      <c r="EF51" s="311"/>
      <c r="EG51" s="311"/>
      <c r="EH51" s="309"/>
      <c r="EI51" s="310"/>
      <c r="EJ51" s="311"/>
      <c r="EK51" s="311"/>
      <c r="EL51" s="309"/>
      <c r="EM51" s="310"/>
      <c r="EN51" s="311"/>
      <c r="EO51" s="311"/>
      <c r="EP51" s="309"/>
      <c r="EQ51" s="310"/>
      <c r="ER51" s="311"/>
      <c r="ES51" s="311"/>
      <c r="ET51" s="309"/>
      <c r="EU51" s="310"/>
      <c r="EV51" s="311"/>
      <c r="EW51" s="311"/>
      <c r="EX51" s="309"/>
      <c r="EY51" s="310"/>
      <c r="EZ51" s="311"/>
      <c r="FA51" s="311"/>
      <c r="FB51" s="309"/>
      <c r="FC51" s="310"/>
      <c r="FD51" s="311"/>
      <c r="FE51" s="311"/>
      <c r="FF51" s="309"/>
      <c r="FG51" s="310"/>
      <c r="FH51" s="311"/>
      <c r="FI51" s="311"/>
      <c r="FJ51" s="309"/>
      <c r="FK51" s="310"/>
      <c r="FL51" s="311"/>
      <c r="FM51" s="311"/>
      <c r="FN51" s="309"/>
      <c r="FO51" s="310"/>
      <c r="FP51" s="311"/>
      <c r="FQ51" s="311"/>
      <c r="FR51" s="309"/>
      <c r="FS51" s="310"/>
      <c r="FT51" s="311"/>
      <c r="FU51" s="311"/>
      <c r="FV51" s="309"/>
      <c r="FW51" s="310"/>
      <c r="FX51" s="311"/>
      <c r="FY51" s="311"/>
      <c r="FZ51" s="309"/>
      <c r="GA51" s="310"/>
      <c r="GB51" s="311"/>
      <c r="GC51" s="311"/>
      <c r="GD51" s="309"/>
      <c r="GE51" s="310"/>
      <c r="GF51" s="311"/>
      <c r="GG51" s="311"/>
      <c r="GH51" s="309"/>
      <c r="GI51" s="310"/>
      <c r="GJ51" s="311"/>
      <c r="GK51" s="311"/>
      <c r="GL51" s="309"/>
      <c r="GM51" s="310"/>
      <c r="GN51" s="311"/>
      <c r="GO51" s="311"/>
      <c r="GP51" s="309"/>
      <c r="GQ51" s="310"/>
      <c r="GR51" s="311"/>
      <c r="GS51" s="311"/>
      <c r="GT51" s="309"/>
      <c r="GU51" s="310"/>
      <c r="GV51" s="311"/>
      <c r="GW51" s="311"/>
      <c r="GX51" s="309"/>
      <c r="GY51" s="310"/>
      <c r="GZ51" s="311"/>
      <c r="HA51" s="311"/>
      <c r="HB51" s="309"/>
      <c r="HC51" s="312">
        <f t="shared" si="71"/>
        <v>0</v>
      </c>
      <c r="HD51" s="313">
        <f t="shared" si="71"/>
        <v>0</v>
      </c>
      <c r="HE51" s="313">
        <f t="shared" si="71"/>
        <v>0</v>
      </c>
      <c r="HF51" s="314"/>
      <c r="HG51" s="312">
        <f>SUM(SUMIFS(K51:HB51,$K$13:$HB$13,{"エネルギー管理指定工場等*","県域*"}))</f>
        <v>0</v>
      </c>
      <c r="HH51" s="313">
        <f>SUM(SUMIFS(L51:HC51,$K$13:$HB$13,{"エネルギー管理指定工場等*","県域*"}))</f>
        <v>0</v>
      </c>
      <c r="HI51" s="313">
        <f>SUM(SUMIFS(M51:HD51,$K$13:$HB$13,{"エネルギー管理指定工場等*","県域*"}))</f>
        <v>0</v>
      </c>
      <c r="HJ51" s="314"/>
      <c r="HL51" s="219">
        <v>42</v>
      </c>
      <c r="HM51" s="714"/>
      <c r="HN51" s="715" t="str">
        <f ca="1">IF(COUNTIF(HN$10:HN50,OFFSET(A1_原単位2024,5,HL51+2))&gt;=1,"",OFFSET(A1_原単位2024,5,HL51+2)&amp;"")</f>
        <v/>
      </c>
      <c r="HO51" s="716" t="str">
        <f t="shared" ca="1" si="49"/>
        <v/>
      </c>
      <c r="HP51" s="717" t="str">
        <f t="shared" ca="1" si="63"/>
        <v/>
      </c>
      <c r="HQ51" s="714"/>
      <c r="HR51" s="715" t="str">
        <f ca="1">IF(COUNTIF(HR$10:HR50,OFFSET(A1_原単位2024,17,HL51+2))&gt;=1,"",OFFSET(A1_原単位2024,17,HL51+2)&amp;"")</f>
        <v/>
      </c>
      <c r="HS51" s="718" t="str">
        <f t="shared" ca="1" si="51"/>
        <v/>
      </c>
      <c r="HT51" s="719" t="str">
        <f t="shared" ca="1" si="64"/>
        <v/>
      </c>
      <c r="HU51" s="714"/>
      <c r="HV51" s="715" t="str">
        <f ca="1">IF(COUNTIF(HV$10:HV50,OFFSET(A1_原単位2024,29,HL51+2))&gt;=1,"",OFFSET(A1_原単位2024,29,HL51+2)&amp;"")</f>
        <v/>
      </c>
      <c r="HW51" s="718" t="str">
        <f t="shared" ca="1" si="53"/>
        <v/>
      </c>
      <c r="HX51" s="719" t="str">
        <f t="shared" ca="1" si="65"/>
        <v/>
      </c>
      <c r="HY51" s="714"/>
      <c r="HZ51" s="715" t="str">
        <f ca="1">IF(COUNTIF(HZ$10:HZ50,OFFSET(A1_原単位2024,41,HL51+2))&gt;=1,"",OFFSET(A1_原単位2024,41,HL51+2)&amp;"")</f>
        <v/>
      </c>
      <c r="IA51" s="720" t="str">
        <f t="shared" ca="1" si="55"/>
        <v/>
      </c>
      <c r="IB51" s="721" t="str">
        <f t="shared" ca="1" si="66"/>
        <v/>
      </c>
      <c r="IE51" s="159" t="str">
        <f t="shared" ca="1" si="67"/>
        <v/>
      </c>
      <c r="IF51" s="159" t="str">
        <f t="shared" ca="1" si="68"/>
        <v/>
      </c>
      <c r="IG51" s="159" t="str">
        <f t="shared" ca="1" si="69"/>
        <v/>
      </c>
      <c r="IH51" s="159" t="str">
        <f t="shared" ca="1" si="70"/>
        <v/>
      </c>
    </row>
    <row r="52" spans="1:242" ht="19.8">
      <c r="A52" s="164"/>
      <c r="B52" s="302"/>
      <c r="C52" s="303" t="s">
        <v>591</v>
      </c>
      <c r="D52" s="304"/>
      <c r="E52" s="311"/>
      <c r="F52" s="303" t="s">
        <v>455</v>
      </c>
      <c r="G52" s="306">
        <v>13.2</v>
      </c>
      <c r="H52" s="309"/>
      <c r="I52" s="308"/>
      <c r="J52" s="309"/>
      <c r="K52" s="310"/>
      <c r="L52" s="311"/>
      <c r="M52" s="311"/>
      <c r="N52" s="309"/>
      <c r="O52" s="310"/>
      <c r="P52" s="311"/>
      <c r="Q52" s="311"/>
      <c r="R52" s="309"/>
      <c r="S52" s="310"/>
      <c r="T52" s="311"/>
      <c r="U52" s="311"/>
      <c r="V52" s="309"/>
      <c r="W52" s="310"/>
      <c r="X52" s="311"/>
      <c r="Y52" s="311"/>
      <c r="Z52" s="309"/>
      <c r="AA52" s="310"/>
      <c r="AB52" s="311"/>
      <c r="AC52" s="311"/>
      <c r="AD52" s="309"/>
      <c r="AE52" s="310"/>
      <c r="AF52" s="311"/>
      <c r="AG52" s="311"/>
      <c r="AH52" s="309"/>
      <c r="AI52" s="310"/>
      <c r="AJ52" s="311"/>
      <c r="AK52" s="311"/>
      <c r="AL52" s="309"/>
      <c r="AM52" s="310"/>
      <c r="AN52" s="311"/>
      <c r="AO52" s="311"/>
      <c r="AP52" s="309"/>
      <c r="AQ52" s="310"/>
      <c r="AR52" s="311"/>
      <c r="AS52" s="311"/>
      <c r="AT52" s="309"/>
      <c r="AU52" s="310"/>
      <c r="AV52" s="311"/>
      <c r="AW52" s="311"/>
      <c r="AX52" s="309"/>
      <c r="AY52" s="310"/>
      <c r="AZ52" s="311"/>
      <c r="BA52" s="311"/>
      <c r="BB52" s="309"/>
      <c r="BC52" s="310"/>
      <c r="BD52" s="311"/>
      <c r="BE52" s="311"/>
      <c r="BF52" s="309"/>
      <c r="BG52" s="310"/>
      <c r="BH52" s="311"/>
      <c r="BI52" s="311"/>
      <c r="BJ52" s="309"/>
      <c r="BK52" s="310"/>
      <c r="BL52" s="311"/>
      <c r="BM52" s="311"/>
      <c r="BN52" s="309"/>
      <c r="BO52" s="310"/>
      <c r="BP52" s="311"/>
      <c r="BQ52" s="311"/>
      <c r="BR52" s="309"/>
      <c r="BS52" s="310"/>
      <c r="BT52" s="311"/>
      <c r="BU52" s="311"/>
      <c r="BV52" s="309"/>
      <c r="BW52" s="310"/>
      <c r="BX52" s="311"/>
      <c r="BY52" s="311"/>
      <c r="BZ52" s="309"/>
      <c r="CA52" s="310"/>
      <c r="CB52" s="311"/>
      <c r="CC52" s="311"/>
      <c r="CD52" s="309"/>
      <c r="CE52" s="310"/>
      <c r="CF52" s="311"/>
      <c r="CG52" s="311"/>
      <c r="CH52" s="309"/>
      <c r="CI52" s="310"/>
      <c r="CJ52" s="311"/>
      <c r="CK52" s="311"/>
      <c r="CL52" s="309"/>
      <c r="CM52" s="310"/>
      <c r="CN52" s="311"/>
      <c r="CO52" s="311"/>
      <c r="CP52" s="309"/>
      <c r="CQ52" s="310"/>
      <c r="CR52" s="311"/>
      <c r="CS52" s="311"/>
      <c r="CT52" s="309"/>
      <c r="CU52" s="310"/>
      <c r="CV52" s="311"/>
      <c r="CW52" s="311"/>
      <c r="CX52" s="309"/>
      <c r="CY52" s="310"/>
      <c r="CZ52" s="311"/>
      <c r="DA52" s="311"/>
      <c r="DB52" s="309"/>
      <c r="DC52" s="310"/>
      <c r="DD52" s="311"/>
      <c r="DE52" s="311"/>
      <c r="DF52" s="309"/>
      <c r="DG52" s="310"/>
      <c r="DH52" s="311"/>
      <c r="DI52" s="311"/>
      <c r="DJ52" s="309"/>
      <c r="DK52" s="310"/>
      <c r="DL52" s="311"/>
      <c r="DM52" s="311"/>
      <c r="DN52" s="309"/>
      <c r="DO52" s="310"/>
      <c r="DP52" s="311"/>
      <c r="DQ52" s="311"/>
      <c r="DR52" s="309"/>
      <c r="DS52" s="310"/>
      <c r="DT52" s="311"/>
      <c r="DU52" s="311"/>
      <c r="DV52" s="309"/>
      <c r="DW52" s="310"/>
      <c r="DX52" s="311"/>
      <c r="DY52" s="311"/>
      <c r="DZ52" s="309"/>
      <c r="EA52" s="310"/>
      <c r="EB52" s="311"/>
      <c r="EC52" s="311"/>
      <c r="ED52" s="309"/>
      <c r="EE52" s="310"/>
      <c r="EF52" s="311"/>
      <c r="EG52" s="311"/>
      <c r="EH52" s="309"/>
      <c r="EI52" s="310"/>
      <c r="EJ52" s="311"/>
      <c r="EK52" s="311"/>
      <c r="EL52" s="309"/>
      <c r="EM52" s="310"/>
      <c r="EN52" s="311"/>
      <c r="EO52" s="311"/>
      <c r="EP52" s="309"/>
      <c r="EQ52" s="310"/>
      <c r="ER52" s="311"/>
      <c r="ES52" s="311"/>
      <c r="ET52" s="309"/>
      <c r="EU52" s="310"/>
      <c r="EV52" s="311"/>
      <c r="EW52" s="311"/>
      <c r="EX52" s="309"/>
      <c r="EY52" s="310"/>
      <c r="EZ52" s="311"/>
      <c r="FA52" s="311"/>
      <c r="FB52" s="309"/>
      <c r="FC52" s="310"/>
      <c r="FD52" s="311"/>
      <c r="FE52" s="311"/>
      <c r="FF52" s="309"/>
      <c r="FG52" s="310"/>
      <c r="FH52" s="311"/>
      <c r="FI52" s="311"/>
      <c r="FJ52" s="309"/>
      <c r="FK52" s="310"/>
      <c r="FL52" s="311"/>
      <c r="FM52" s="311"/>
      <c r="FN52" s="309"/>
      <c r="FO52" s="310"/>
      <c r="FP52" s="311"/>
      <c r="FQ52" s="311"/>
      <c r="FR52" s="309"/>
      <c r="FS52" s="310"/>
      <c r="FT52" s="311"/>
      <c r="FU52" s="311"/>
      <c r="FV52" s="309"/>
      <c r="FW52" s="310"/>
      <c r="FX52" s="311"/>
      <c r="FY52" s="311"/>
      <c r="FZ52" s="309"/>
      <c r="GA52" s="310"/>
      <c r="GB52" s="311"/>
      <c r="GC52" s="311"/>
      <c r="GD52" s="309"/>
      <c r="GE52" s="310"/>
      <c r="GF52" s="311"/>
      <c r="GG52" s="311"/>
      <c r="GH52" s="309"/>
      <c r="GI52" s="310"/>
      <c r="GJ52" s="311"/>
      <c r="GK52" s="311"/>
      <c r="GL52" s="309"/>
      <c r="GM52" s="310"/>
      <c r="GN52" s="311"/>
      <c r="GO52" s="311"/>
      <c r="GP52" s="309"/>
      <c r="GQ52" s="310"/>
      <c r="GR52" s="311"/>
      <c r="GS52" s="311"/>
      <c r="GT52" s="309"/>
      <c r="GU52" s="310"/>
      <c r="GV52" s="311"/>
      <c r="GW52" s="311"/>
      <c r="GX52" s="309"/>
      <c r="GY52" s="310"/>
      <c r="GZ52" s="311"/>
      <c r="HA52" s="311"/>
      <c r="HB52" s="309"/>
      <c r="HC52" s="312">
        <f t="shared" si="71"/>
        <v>0</v>
      </c>
      <c r="HD52" s="313">
        <f t="shared" si="71"/>
        <v>0</v>
      </c>
      <c r="HE52" s="313">
        <f t="shared" si="71"/>
        <v>0</v>
      </c>
      <c r="HF52" s="314"/>
      <c r="HG52" s="312">
        <f>SUM(SUMIFS(K52:HB52,$K$13:$HB$13,{"エネルギー管理指定工場等*","県域*"}))</f>
        <v>0</v>
      </c>
      <c r="HH52" s="313">
        <f>SUM(SUMIFS(L52:HC52,$K$13:$HB$13,{"エネルギー管理指定工場等*","県域*"}))</f>
        <v>0</v>
      </c>
      <c r="HI52" s="313">
        <f>SUM(SUMIFS(M52:HD52,$K$13:$HB$13,{"エネルギー管理指定工場等*","県域*"}))</f>
        <v>0</v>
      </c>
      <c r="HJ52" s="314"/>
      <c r="HL52" s="230">
        <v>43</v>
      </c>
      <c r="HM52" s="714"/>
      <c r="HN52" s="715" t="str">
        <f ca="1">IF(COUNTIF(HN$10:HN51,OFFSET(A1_原単位2024,5,HL52+2))&gt;=1,"",OFFSET(A1_原単位2024,5,HL52+2)&amp;"")</f>
        <v/>
      </c>
      <c r="HO52" s="716" t="str">
        <f t="shared" ca="1" si="49"/>
        <v/>
      </c>
      <c r="HP52" s="717" t="str">
        <f t="shared" ca="1" si="63"/>
        <v/>
      </c>
      <c r="HQ52" s="714"/>
      <c r="HR52" s="715" t="str">
        <f ca="1">IF(COUNTIF(HR$10:HR51,OFFSET(A1_原単位2024,17,HL52+2))&gt;=1,"",OFFSET(A1_原単位2024,17,HL52+2)&amp;"")</f>
        <v/>
      </c>
      <c r="HS52" s="718" t="str">
        <f t="shared" ca="1" si="51"/>
        <v/>
      </c>
      <c r="HT52" s="719" t="str">
        <f t="shared" ca="1" si="64"/>
        <v/>
      </c>
      <c r="HU52" s="714"/>
      <c r="HV52" s="715" t="str">
        <f ca="1">IF(COUNTIF(HV$10:HV51,OFFSET(A1_原単位2024,29,HL52+2))&gt;=1,"",OFFSET(A1_原単位2024,29,HL52+2)&amp;"")</f>
        <v/>
      </c>
      <c r="HW52" s="718" t="str">
        <f t="shared" ca="1" si="53"/>
        <v/>
      </c>
      <c r="HX52" s="719" t="str">
        <f t="shared" ca="1" si="65"/>
        <v/>
      </c>
      <c r="HY52" s="714"/>
      <c r="HZ52" s="715" t="str">
        <f ca="1">IF(COUNTIF(HZ$10:HZ51,OFFSET(A1_原単位2024,41,HL52+2))&gt;=1,"",OFFSET(A1_原単位2024,41,HL52+2)&amp;"")</f>
        <v/>
      </c>
      <c r="IA52" s="720" t="str">
        <f t="shared" ca="1" si="55"/>
        <v/>
      </c>
      <c r="IB52" s="721" t="str">
        <f t="shared" ca="1" si="66"/>
        <v/>
      </c>
      <c r="IE52" s="159" t="str">
        <f t="shared" ca="1" si="67"/>
        <v/>
      </c>
      <c r="IF52" s="159" t="str">
        <f t="shared" ca="1" si="68"/>
        <v/>
      </c>
      <c r="IG52" s="159" t="str">
        <f t="shared" ca="1" si="69"/>
        <v/>
      </c>
      <c r="IH52" s="159" t="str">
        <f t="shared" ca="1" si="70"/>
        <v/>
      </c>
    </row>
    <row r="53" spans="1:242" ht="19.8">
      <c r="A53" s="164"/>
      <c r="B53" s="302"/>
      <c r="C53" s="303" t="s">
        <v>385</v>
      </c>
      <c r="D53" s="304"/>
      <c r="E53" s="305"/>
      <c r="F53" s="303" t="s">
        <v>455</v>
      </c>
      <c r="G53" s="316">
        <v>18</v>
      </c>
      <c r="H53" s="307">
        <v>1.6199999999999999E-2</v>
      </c>
      <c r="I53" s="308"/>
      <c r="J53" s="309"/>
      <c r="K53" s="310"/>
      <c r="L53" s="311"/>
      <c r="M53" s="311"/>
      <c r="N53" s="309"/>
      <c r="O53" s="310"/>
      <c r="P53" s="311"/>
      <c r="Q53" s="311"/>
      <c r="R53" s="309"/>
      <c r="S53" s="310"/>
      <c r="T53" s="311"/>
      <c r="U53" s="311"/>
      <c r="V53" s="309"/>
      <c r="W53" s="310"/>
      <c r="X53" s="311"/>
      <c r="Y53" s="311"/>
      <c r="Z53" s="309"/>
      <c r="AA53" s="310"/>
      <c r="AB53" s="311"/>
      <c r="AC53" s="311"/>
      <c r="AD53" s="309"/>
      <c r="AE53" s="310"/>
      <c r="AF53" s="311"/>
      <c r="AG53" s="311"/>
      <c r="AH53" s="309"/>
      <c r="AI53" s="310"/>
      <c r="AJ53" s="311"/>
      <c r="AK53" s="311"/>
      <c r="AL53" s="309"/>
      <c r="AM53" s="310"/>
      <c r="AN53" s="311"/>
      <c r="AO53" s="311"/>
      <c r="AP53" s="309"/>
      <c r="AQ53" s="310"/>
      <c r="AR53" s="311"/>
      <c r="AS53" s="311"/>
      <c r="AT53" s="309"/>
      <c r="AU53" s="310"/>
      <c r="AV53" s="311"/>
      <c r="AW53" s="311"/>
      <c r="AX53" s="309"/>
      <c r="AY53" s="310"/>
      <c r="AZ53" s="311"/>
      <c r="BA53" s="311"/>
      <c r="BB53" s="309"/>
      <c r="BC53" s="310"/>
      <c r="BD53" s="311"/>
      <c r="BE53" s="311"/>
      <c r="BF53" s="309"/>
      <c r="BG53" s="310"/>
      <c r="BH53" s="311"/>
      <c r="BI53" s="311"/>
      <c r="BJ53" s="309"/>
      <c r="BK53" s="310"/>
      <c r="BL53" s="311"/>
      <c r="BM53" s="311"/>
      <c r="BN53" s="309"/>
      <c r="BO53" s="310"/>
      <c r="BP53" s="311"/>
      <c r="BQ53" s="311"/>
      <c r="BR53" s="309"/>
      <c r="BS53" s="310"/>
      <c r="BT53" s="311"/>
      <c r="BU53" s="311"/>
      <c r="BV53" s="309"/>
      <c r="BW53" s="310"/>
      <c r="BX53" s="311"/>
      <c r="BY53" s="311"/>
      <c r="BZ53" s="309"/>
      <c r="CA53" s="310"/>
      <c r="CB53" s="311"/>
      <c r="CC53" s="311"/>
      <c r="CD53" s="309"/>
      <c r="CE53" s="310"/>
      <c r="CF53" s="311"/>
      <c r="CG53" s="311"/>
      <c r="CH53" s="309"/>
      <c r="CI53" s="310"/>
      <c r="CJ53" s="311"/>
      <c r="CK53" s="311"/>
      <c r="CL53" s="309"/>
      <c r="CM53" s="310"/>
      <c r="CN53" s="311"/>
      <c r="CO53" s="311"/>
      <c r="CP53" s="309"/>
      <c r="CQ53" s="310"/>
      <c r="CR53" s="311"/>
      <c r="CS53" s="311"/>
      <c r="CT53" s="309"/>
      <c r="CU53" s="310"/>
      <c r="CV53" s="311"/>
      <c r="CW53" s="311"/>
      <c r="CX53" s="309"/>
      <c r="CY53" s="310"/>
      <c r="CZ53" s="311"/>
      <c r="DA53" s="311"/>
      <c r="DB53" s="309"/>
      <c r="DC53" s="310"/>
      <c r="DD53" s="311"/>
      <c r="DE53" s="311"/>
      <c r="DF53" s="309"/>
      <c r="DG53" s="310"/>
      <c r="DH53" s="311"/>
      <c r="DI53" s="311"/>
      <c r="DJ53" s="309"/>
      <c r="DK53" s="310"/>
      <c r="DL53" s="311"/>
      <c r="DM53" s="311"/>
      <c r="DN53" s="309"/>
      <c r="DO53" s="310"/>
      <c r="DP53" s="311"/>
      <c r="DQ53" s="311"/>
      <c r="DR53" s="309"/>
      <c r="DS53" s="310"/>
      <c r="DT53" s="311"/>
      <c r="DU53" s="311"/>
      <c r="DV53" s="309"/>
      <c r="DW53" s="310"/>
      <c r="DX53" s="311"/>
      <c r="DY53" s="311"/>
      <c r="DZ53" s="309"/>
      <c r="EA53" s="310"/>
      <c r="EB53" s="311"/>
      <c r="EC53" s="311"/>
      <c r="ED53" s="309"/>
      <c r="EE53" s="310"/>
      <c r="EF53" s="311"/>
      <c r="EG53" s="311"/>
      <c r="EH53" s="309"/>
      <c r="EI53" s="310"/>
      <c r="EJ53" s="311"/>
      <c r="EK53" s="311"/>
      <c r="EL53" s="309"/>
      <c r="EM53" s="310"/>
      <c r="EN53" s="311"/>
      <c r="EO53" s="311"/>
      <c r="EP53" s="309"/>
      <c r="EQ53" s="310"/>
      <c r="ER53" s="311"/>
      <c r="ES53" s="311"/>
      <c r="ET53" s="309"/>
      <c r="EU53" s="310"/>
      <c r="EV53" s="311"/>
      <c r="EW53" s="311"/>
      <c r="EX53" s="309"/>
      <c r="EY53" s="310"/>
      <c r="EZ53" s="311"/>
      <c r="FA53" s="311"/>
      <c r="FB53" s="309"/>
      <c r="FC53" s="310"/>
      <c r="FD53" s="311"/>
      <c r="FE53" s="311"/>
      <c r="FF53" s="309"/>
      <c r="FG53" s="310"/>
      <c r="FH53" s="311"/>
      <c r="FI53" s="311"/>
      <c r="FJ53" s="309"/>
      <c r="FK53" s="310"/>
      <c r="FL53" s="311"/>
      <c r="FM53" s="311"/>
      <c r="FN53" s="309"/>
      <c r="FO53" s="310"/>
      <c r="FP53" s="311"/>
      <c r="FQ53" s="311"/>
      <c r="FR53" s="309"/>
      <c r="FS53" s="310"/>
      <c r="FT53" s="311"/>
      <c r="FU53" s="311"/>
      <c r="FV53" s="309"/>
      <c r="FW53" s="310"/>
      <c r="FX53" s="311"/>
      <c r="FY53" s="311"/>
      <c r="FZ53" s="309"/>
      <c r="GA53" s="310"/>
      <c r="GB53" s="311"/>
      <c r="GC53" s="311"/>
      <c r="GD53" s="309"/>
      <c r="GE53" s="310"/>
      <c r="GF53" s="311"/>
      <c r="GG53" s="311"/>
      <c r="GH53" s="309"/>
      <c r="GI53" s="310"/>
      <c r="GJ53" s="311"/>
      <c r="GK53" s="311"/>
      <c r="GL53" s="309"/>
      <c r="GM53" s="310"/>
      <c r="GN53" s="311"/>
      <c r="GO53" s="311"/>
      <c r="GP53" s="309"/>
      <c r="GQ53" s="310"/>
      <c r="GR53" s="311"/>
      <c r="GS53" s="311"/>
      <c r="GT53" s="309"/>
      <c r="GU53" s="310"/>
      <c r="GV53" s="311"/>
      <c r="GW53" s="311"/>
      <c r="GX53" s="309"/>
      <c r="GY53" s="310"/>
      <c r="GZ53" s="311"/>
      <c r="HA53" s="311"/>
      <c r="HB53" s="309"/>
      <c r="HC53" s="312">
        <f t="shared" si="71"/>
        <v>0</v>
      </c>
      <c r="HD53" s="313">
        <f t="shared" si="71"/>
        <v>0</v>
      </c>
      <c r="HE53" s="313">
        <f t="shared" si="71"/>
        <v>0</v>
      </c>
      <c r="HF53" s="314"/>
      <c r="HG53" s="312">
        <f>SUM(SUMIFS(K53:HB53,$K$13:$HB$13,{"エネルギー管理指定工場等*","県域*"}))</f>
        <v>0</v>
      </c>
      <c r="HH53" s="313">
        <f>SUM(SUMIFS(L53:HC53,$K$13:$HB$13,{"エネルギー管理指定工場等*","県域*"}))</f>
        <v>0</v>
      </c>
      <c r="HI53" s="313">
        <f>SUM(SUMIFS(M53:HD53,$K$13:$HB$13,{"エネルギー管理指定工場等*","県域*"}))</f>
        <v>0</v>
      </c>
      <c r="HJ53" s="314"/>
      <c r="HL53" s="219">
        <v>44</v>
      </c>
      <c r="HM53" s="714"/>
      <c r="HN53" s="715" t="str">
        <f ca="1">IF(COUNTIF(HN$10:HN52,OFFSET(A1_原単位2024,5,HL53+2))&gt;=1,"",OFFSET(A1_原単位2024,5,HL53+2)&amp;"")</f>
        <v/>
      </c>
      <c r="HO53" s="716" t="str">
        <f t="shared" ca="1" si="49"/>
        <v/>
      </c>
      <c r="HP53" s="717" t="str">
        <f t="shared" ca="1" si="63"/>
        <v/>
      </c>
      <c r="HQ53" s="714"/>
      <c r="HR53" s="715" t="str">
        <f ca="1">IF(COUNTIF(HR$10:HR52,OFFSET(A1_原単位2024,17,HL53+2))&gt;=1,"",OFFSET(A1_原単位2024,17,HL53+2)&amp;"")</f>
        <v/>
      </c>
      <c r="HS53" s="718" t="str">
        <f t="shared" ca="1" si="51"/>
        <v/>
      </c>
      <c r="HT53" s="719" t="str">
        <f t="shared" ca="1" si="64"/>
        <v/>
      </c>
      <c r="HU53" s="714"/>
      <c r="HV53" s="715" t="str">
        <f ca="1">IF(COUNTIF(HV$10:HV52,OFFSET(A1_原単位2024,29,HL53+2))&gt;=1,"",OFFSET(A1_原単位2024,29,HL53+2)&amp;"")</f>
        <v/>
      </c>
      <c r="HW53" s="718" t="str">
        <f t="shared" ca="1" si="53"/>
        <v/>
      </c>
      <c r="HX53" s="719" t="str">
        <f t="shared" ca="1" si="65"/>
        <v/>
      </c>
      <c r="HY53" s="714"/>
      <c r="HZ53" s="715" t="str">
        <f ca="1">IF(COUNTIF(HZ$10:HZ52,OFFSET(A1_原単位2024,41,HL53+2))&gt;=1,"",OFFSET(A1_原単位2024,41,HL53+2)&amp;"")</f>
        <v/>
      </c>
      <c r="IA53" s="720" t="str">
        <f t="shared" ca="1" si="55"/>
        <v/>
      </c>
      <c r="IB53" s="721" t="str">
        <f t="shared" ca="1" si="66"/>
        <v/>
      </c>
      <c r="IE53" s="159" t="str">
        <f t="shared" ca="1" si="67"/>
        <v/>
      </c>
      <c r="IF53" s="159" t="str">
        <f t="shared" ca="1" si="68"/>
        <v/>
      </c>
      <c r="IG53" s="159" t="str">
        <f t="shared" ca="1" si="69"/>
        <v/>
      </c>
      <c r="IH53" s="159" t="str">
        <f t="shared" ca="1" si="70"/>
        <v/>
      </c>
    </row>
    <row r="54" spans="1:242" ht="19.8">
      <c r="A54" s="164"/>
      <c r="B54" s="302"/>
      <c r="C54" s="303" t="s">
        <v>386</v>
      </c>
      <c r="D54" s="304"/>
      <c r="E54" s="305"/>
      <c r="F54" s="303" t="s">
        <v>455</v>
      </c>
      <c r="G54" s="306">
        <v>26.9</v>
      </c>
      <c r="H54" s="307">
        <v>1.66E-2</v>
      </c>
      <c r="I54" s="308"/>
      <c r="J54" s="309"/>
      <c r="K54" s="310"/>
      <c r="L54" s="311"/>
      <c r="M54" s="311"/>
      <c r="N54" s="309"/>
      <c r="O54" s="310"/>
      <c r="P54" s="311"/>
      <c r="Q54" s="311"/>
      <c r="R54" s="309"/>
      <c r="S54" s="310"/>
      <c r="T54" s="311"/>
      <c r="U54" s="311"/>
      <c r="V54" s="309"/>
      <c r="W54" s="310"/>
      <c r="X54" s="311"/>
      <c r="Y54" s="311"/>
      <c r="Z54" s="309"/>
      <c r="AA54" s="310"/>
      <c r="AB54" s="311"/>
      <c r="AC54" s="311"/>
      <c r="AD54" s="309"/>
      <c r="AE54" s="310"/>
      <c r="AF54" s="311"/>
      <c r="AG54" s="311"/>
      <c r="AH54" s="309"/>
      <c r="AI54" s="310"/>
      <c r="AJ54" s="311"/>
      <c r="AK54" s="311"/>
      <c r="AL54" s="309"/>
      <c r="AM54" s="310"/>
      <c r="AN54" s="311"/>
      <c r="AO54" s="311"/>
      <c r="AP54" s="309"/>
      <c r="AQ54" s="310"/>
      <c r="AR54" s="311"/>
      <c r="AS54" s="311"/>
      <c r="AT54" s="309"/>
      <c r="AU54" s="310"/>
      <c r="AV54" s="311"/>
      <c r="AW54" s="311"/>
      <c r="AX54" s="309"/>
      <c r="AY54" s="310"/>
      <c r="AZ54" s="311"/>
      <c r="BA54" s="311"/>
      <c r="BB54" s="309"/>
      <c r="BC54" s="310"/>
      <c r="BD54" s="311"/>
      <c r="BE54" s="311"/>
      <c r="BF54" s="309"/>
      <c r="BG54" s="310"/>
      <c r="BH54" s="311"/>
      <c r="BI54" s="311"/>
      <c r="BJ54" s="309"/>
      <c r="BK54" s="310"/>
      <c r="BL54" s="311"/>
      <c r="BM54" s="311"/>
      <c r="BN54" s="309"/>
      <c r="BO54" s="310"/>
      <c r="BP54" s="311"/>
      <c r="BQ54" s="311"/>
      <c r="BR54" s="309"/>
      <c r="BS54" s="310"/>
      <c r="BT54" s="311"/>
      <c r="BU54" s="311"/>
      <c r="BV54" s="309"/>
      <c r="BW54" s="310"/>
      <c r="BX54" s="311"/>
      <c r="BY54" s="311"/>
      <c r="BZ54" s="309"/>
      <c r="CA54" s="310"/>
      <c r="CB54" s="311"/>
      <c r="CC54" s="311"/>
      <c r="CD54" s="309"/>
      <c r="CE54" s="310"/>
      <c r="CF54" s="311"/>
      <c r="CG54" s="311"/>
      <c r="CH54" s="309"/>
      <c r="CI54" s="310"/>
      <c r="CJ54" s="311"/>
      <c r="CK54" s="311"/>
      <c r="CL54" s="309"/>
      <c r="CM54" s="310"/>
      <c r="CN54" s="311"/>
      <c r="CO54" s="311"/>
      <c r="CP54" s="309"/>
      <c r="CQ54" s="310"/>
      <c r="CR54" s="311"/>
      <c r="CS54" s="311"/>
      <c r="CT54" s="309"/>
      <c r="CU54" s="310"/>
      <c r="CV54" s="311"/>
      <c r="CW54" s="311"/>
      <c r="CX54" s="309"/>
      <c r="CY54" s="310"/>
      <c r="CZ54" s="311"/>
      <c r="DA54" s="311"/>
      <c r="DB54" s="309"/>
      <c r="DC54" s="310"/>
      <c r="DD54" s="311"/>
      <c r="DE54" s="311"/>
      <c r="DF54" s="309"/>
      <c r="DG54" s="310"/>
      <c r="DH54" s="311"/>
      <c r="DI54" s="311"/>
      <c r="DJ54" s="309"/>
      <c r="DK54" s="310"/>
      <c r="DL54" s="311"/>
      <c r="DM54" s="311"/>
      <c r="DN54" s="309"/>
      <c r="DO54" s="310"/>
      <c r="DP54" s="311"/>
      <c r="DQ54" s="311"/>
      <c r="DR54" s="309"/>
      <c r="DS54" s="310"/>
      <c r="DT54" s="311"/>
      <c r="DU54" s="311"/>
      <c r="DV54" s="309"/>
      <c r="DW54" s="310"/>
      <c r="DX54" s="311"/>
      <c r="DY54" s="311"/>
      <c r="DZ54" s="309"/>
      <c r="EA54" s="310"/>
      <c r="EB54" s="311"/>
      <c r="EC54" s="311"/>
      <c r="ED54" s="309"/>
      <c r="EE54" s="310"/>
      <c r="EF54" s="311"/>
      <c r="EG54" s="311"/>
      <c r="EH54" s="309"/>
      <c r="EI54" s="310"/>
      <c r="EJ54" s="311"/>
      <c r="EK54" s="311"/>
      <c r="EL54" s="309"/>
      <c r="EM54" s="310"/>
      <c r="EN54" s="311"/>
      <c r="EO54" s="311"/>
      <c r="EP54" s="309"/>
      <c r="EQ54" s="310"/>
      <c r="ER54" s="311"/>
      <c r="ES54" s="311"/>
      <c r="ET54" s="309"/>
      <c r="EU54" s="310"/>
      <c r="EV54" s="311"/>
      <c r="EW54" s="311"/>
      <c r="EX54" s="309"/>
      <c r="EY54" s="310"/>
      <c r="EZ54" s="311"/>
      <c r="FA54" s="311"/>
      <c r="FB54" s="309"/>
      <c r="FC54" s="310"/>
      <c r="FD54" s="311"/>
      <c r="FE54" s="311"/>
      <c r="FF54" s="309"/>
      <c r="FG54" s="310"/>
      <c r="FH54" s="311"/>
      <c r="FI54" s="311"/>
      <c r="FJ54" s="309"/>
      <c r="FK54" s="310"/>
      <c r="FL54" s="311"/>
      <c r="FM54" s="311"/>
      <c r="FN54" s="309"/>
      <c r="FO54" s="310"/>
      <c r="FP54" s="311"/>
      <c r="FQ54" s="311"/>
      <c r="FR54" s="309"/>
      <c r="FS54" s="310"/>
      <c r="FT54" s="311"/>
      <c r="FU54" s="311"/>
      <c r="FV54" s="309"/>
      <c r="FW54" s="310"/>
      <c r="FX54" s="311"/>
      <c r="FY54" s="311"/>
      <c r="FZ54" s="309"/>
      <c r="GA54" s="310"/>
      <c r="GB54" s="311"/>
      <c r="GC54" s="311"/>
      <c r="GD54" s="309"/>
      <c r="GE54" s="310"/>
      <c r="GF54" s="311"/>
      <c r="GG54" s="311"/>
      <c r="GH54" s="309"/>
      <c r="GI54" s="310"/>
      <c r="GJ54" s="311"/>
      <c r="GK54" s="311"/>
      <c r="GL54" s="309"/>
      <c r="GM54" s="310"/>
      <c r="GN54" s="311"/>
      <c r="GO54" s="311"/>
      <c r="GP54" s="309"/>
      <c r="GQ54" s="310"/>
      <c r="GR54" s="311"/>
      <c r="GS54" s="311"/>
      <c r="GT54" s="309"/>
      <c r="GU54" s="310"/>
      <c r="GV54" s="311"/>
      <c r="GW54" s="311"/>
      <c r="GX54" s="309"/>
      <c r="GY54" s="310"/>
      <c r="GZ54" s="311"/>
      <c r="HA54" s="311"/>
      <c r="HB54" s="309"/>
      <c r="HC54" s="312">
        <f t="shared" si="71"/>
        <v>0</v>
      </c>
      <c r="HD54" s="313">
        <f t="shared" si="71"/>
        <v>0</v>
      </c>
      <c r="HE54" s="313">
        <f t="shared" si="71"/>
        <v>0</v>
      </c>
      <c r="HF54" s="314"/>
      <c r="HG54" s="312">
        <f>SUM(SUMIFS(K54:HB54,$K$13:$HB$13,{"エネルギー管理指定工場等*","県域*"}))</f>
        <v>0</v>
      </c>
      <c r="HH54" s="313">
        <f>SUM(SUMIFS(L54:HC54,$K$13:$HB$13,{"エネルギー管理指定工場等*","県域*"}))</f>
        <v>0</v>
      </c>
      <c r="HI54" s="313">
        <f>SUM(SUMIFS(M54:HD54,$K$13:$HB$13,{"エネルギー管理指定工場等*","県域*"}))</f>
        <v>0</v>
      </c>
      <c r="HJ54" s="314"/>
      <c r="HL54" s="219">
        <v>45</v>
      </c>
      <c r="HM54" s="714"/>
      <c r="HN54" s="715" t="str">
        <f ca="1">IF(COUNTIF(HN$10:HN53,OFFSET(A1_原単位2024,5,HL54+2))&gt;=1,"",OFFSET(A1_原単位2024,5,HL54+2)&amp;"")</f>
        <v/>
      </c>
      <c r="HO54" s="716" t="str">
        <f t="shared" ca="1" si="49"/>
        <v/>
      </c>
      <c r="HP54" s="717" t="str">
        <f t="shared" ca="1" si="63"/>
        <v/>
      </c>
      <c r="HQ54" s="714"/>
      <c r="HR54" s="715" t="str">
        <f ca="1">IF(COUNTIF(HR$10:HR53,OFFSET(A1_原単位2024,17,HL54+2))&gt;=1,"",OFFSET(A1_原単位2024,17,HL54+2)&amp;"")</f>
        <v/>
      </c>
      <c r="HS54" s="718" t="str">
        <f t="shared" ca="1" si="51"/>
        <v/>
      </c>
      <c r="HT54" s="719" t="str">
        <f t="shared" ca="1" si="64"/>
        <v/>
      </c>
      <c r="HU54" s="714"/>
      <c r="HV54" s="715" t="str">
        <f ca="1">IF(COUNTIF(HV$10:HV53,OFFSET(A1_原単位2024,29,HL54+2))&gt;=1,"",OFFSET(A1_原単位2024,29,HL54+2)&amp;"")</f>
        <v/>
      </c>
      <c r="HW54" s="718" t="str">
        <f t="shared" ca="1" si="53"/>
        <v/>
      </c>
      <c r="HX54" s="719" t="str">
        <f t="shared" ca="1" si="65"/>
        <v/>
      </c>
      <c r="HY54" s="714"/>
      <c r="HZ54" s="715" t="str">
        <f ca="1">IF(COUNTIF(HZ$10:HZ53,OFFSET(A1_原単位2024,41,HL54+2))&gt;=1,"",OFFSET(A1_原単位2024,41,HL54+2)&amp;"")</f>
        <v/>
      </c>
      <c r="IA54" s="720" t="str">
        <f t="shared" ca="1" si="55"/>
        <v/>
      </c>
      <c r="IB54" s="721" t="str">
        <f t="shared" ca="1" si="66"/>
        <v/>
      </c>
      <c r="IE54" s="159" t="str">
        <f t="shared" ca="1" si="67"/>
        <v/>
      </c>
      <c r="IF54" s="159" t="str">
        <f t="shared" ca="1" si="68"/>
        <v/>
      </c>
      <c r="IG54" s="159" t="str">
        <f t="shared" ca="1" si="69"/>
        <v/>
      </c>
      <c r="IH54" s="159" t="str">
        <f t="shared" ca="1" si="70"/>
        <v/>
      </c>
    </row>
    <row r="55" spans="1:242" ht="19.8">
      <c r="A55" s="164"/>
      <c r="B55" s="302"/>
      <c r="C55" s="303" t="s">
        <v>592</v>
      </c>
      <c r="D55" s="304"/>
      <c r="E55" s="305"/>
      <c r="F55" s="303" t="s">
        <v>455</v>
      </c>
      <c r="G55" s="306">
        <v>33.200000000000003</v>
      </c>
      <c r="H55" s="307">
        <v>1.35E-2</v>
      </c>
      <c r="I55" s="308"/>
      <c r="J55" s="309"/>
      <c r="K55" s="310"/>
      <c r="L55" s="311"/>
      <c r="M55" s="311"/>
      <c r="N55" s="309"/>
      <c r="O55" s="310"/>
      <c r="P55" s="311"/>
      <c r="Q55" s="311"/>
      <c r="R55" s="309"/>
      <c r="S55" s="310"/>
      <c r="T55" s="311"/>
      <c r="U55" s="311"/>
      <c r="V55" s="309"/>
      <c r="W55" s="310"/>
      <c r="X55" s="311"/>
      <c r="Y55" s="311"/>
      <c r="Z55" s="309"/>
      <c r="AA55" s="310"/>
      <c r="AB55" s="311"/>
      <c r="AC55" s="311"/>
      <c r="AD55" s="309"/>
      <c r="AE55" s="310"/>
      <c r="AF55" s="311"/>
      <c r="AG55" s="311"/>
      <c r="AH55" s="309"/>
      <c r="AI55" s="310"/>
      <c r="AJ55" s="311"/>
      <c r="AK55" s="311"/>
      <c r="AL55" s="309"/>
      <c r="AM55" s="310"/>
      <c r="AN55" s="311"/>
      <c r="AO55" s="311"/>
      <c r="AP55" s="309"/>
      <c r="AQ55" s="310"/>
      <c r="AR55" s="311"/>
      <c r="AS55" s="311"/>
      <c r="AT55" s="309"/>
      <c r="AU55" s="310"/>
      <c r="AV55" s="311"/>
      <c r="AW55" s="311"/>
      <c r="AX55" s="309"/>
      <c r="AY55" s="310"/>
      <c r="AZ55" s="311"/>
      <c r="BA55" s="311"/>
      <c r="BB55" s="309"/>
      <c r="BC55" s="310"/>
      <c r="BD55" s="311"/>
      <c r="BE55" s="311"/>
      <c r="BF55" s="309"/>
      <c r="BG55" s="310"/>
      <c r="BH55" s="311"/>
      <c r="BI55" s="311"/>
      <c r="BJ55" s="309"/>
      <c r="BK55" s="310"/>
      <c r="BL55" s="311"/>
      <c r="BM55" s="311"/>
      <c r="BN55" s="309"/>
      <c r="BO55" s="310"/>
      <c r="BP55" s="311"/>
      <c r="BQ55" s="311"/>
      <c r="BR55" s="309"/>
      <c r="BS55" s="310"/>
      <c r="BT55" s="311"/>
      <c r="BU55" s="311"/>
      <c r="BV55" s="309"/>
      <c r="BW55" s="310"/>
      <c r="BX55" s="311"/>
      <c r="BY55" s="311"/>
      <c r="BZ55" s="309"/>
      <c r="CA55" s="310"/>
      <c r="CB55" s="311"/>
      <c r="CC55" s="311"/>
      <c r="CD55" s="309"/>
      <c r="CE55" s="310"/>
      <c r="CF55" s="311"/>
      <c r="CG55" s="311"/>
      <c r="CH55" s="309"/>
      <c r="CI55" s="310"/>
      <c r="CJ55" s="311"/>
      <c r="CK55" s="311"/>
      <c r="CL55" s="309"/>
      <c r="CM55" s="310"/>
      <c r="CN55" s="311"/>
      <c r="CO55" s="311"/>
      <c r="CP55" s="309"/>
      <c r="CQ55" s="310"/>
      <c r="CR55" s="311"/>
      <c r="CS55" s="311"/>
      <c r="CT55" s="309"/>
      <c r="CU55" s="310"/>
      <c r="CV55" s="311"/>
      <c r="CW55" s="311"/>
      <c r="CX55" s="309"/>
      <c r="CY55" s="310"/>
      <c r="CZ55" s="311"/>
      <c r="DA55" s="311"/>
      <c r="DB55" s="309"/>
      <c r="DC55" s="310"/>
      <c r="DD55" s="311"/>
      <c r="DE55" s="311"/>
      <c r="DF55" s="309"/>
      <c r="DG55" s="310"/>
      <c r="DH55" s="311"/>
      <c r="DI55" s="311"/>
      <c r="DJ55" s="309"/>
      <c r="DK55" s="310"/>
      <c r="DL55" s="311"/>
      <c r="DM55" s="311"/>
      <c r="DN55" s="309"/>
      <c r="DO55" s="310"/>
      <c r="DP55" s="311"/>
      <c r="DQ55" s="311"/>
      <c r="DR55" s="309"/>
      <c r="DS55" s="310"/>
      <c r="DT55" s="311"/>
      <c r="DU55" s="311"/>
      <c r="DV55" s="309"/>
      <c r="DW55" s="310"/>
      <c r="DX55" s="311"/>
      <c r="DY55" s="311"/>
      <c r="DZ55" s="309"/>
      <c r="EA55" s="310"/>
      <c r="EB55" s="311"/>
      <c r="EC55" s="311"/>
      <c r="ED55" s="309"/>
      <c r="EE55" s="310"/>
      <c r="EF55" s="311"/>
      <c r="EG55" s="311"/>
      <c r="EH55" s="309"/>
      <c r="EI55" s="310"/>
      <c r="EJ55" s="311"/>
      <c r="EK55" s="311"/>
      <c r="EL55" s="309"/>
      <c r="EM55" s="310"/>
      <c r="EN55" s="311"/>
      <c r="EO55" s="311"/>
      <c r="EP55" s="309"/>
      <c r="EQ55" s="310"/>
      <c r="ER55" s="311"/>
      <c r="ES55" s="311"/>
      <c r="ET55" s="309"/>
      <c r="EU55" s="310"/>
      <c r="EV55" s="311"/>
      <c r="EW55" s="311"/>
      <c r="EX55" s="309"/>
      <c r="EY55" s="310"/>
      <c r="EZ55" s="311"/>
      <c r="FA55" s="311"/>
      <c r="FB55" s="309"/>
      <c r="FC55" s="310"/>
      <c r="FD55" s="311"/>
      <c r="FE55" s="311"/>
      <c r="FF55" s="309"/>
      <c r="FG55" s="310"/>
      <c r="FH55" s="311"/>
      <c r="FI55" s="311"/>
      <c r="FJ55" s="309"/>
      <c r="FK55" s="310"/>
      <c r="FL55" s="311"/>
      <c r="FM55" s="311"/>
      <c r="FN55" s="309"/>
      <c r="FO55" s="310"/>
      <c r="FP55" s="311"/>
      <c r="FQ55" s="311"/>
      <c r="FR55" s="309"/>
      <c r="FS55" s="310"/>
      <c r="FT55" s="311"/>
      <c r="FU55" s="311"/>
      <c r="FV55" s="309"/>
      <c r="FW55" s="310"/>
      <c r="FX55" s="311"/>
      <c r="FY55" s="311"/>
      <c r="FZ55" s="309"/>
      <c r="GA55" s="310"/>
      <c r="GB55" s="311"/>
      <c r="GC55" s="311"/>
      <c r="GD55" s="309"/>
      <c r="GE55" s="310"/>
      <c r="GF55" s="311"/>
      <c r="GG55" s="311"/>
      <c r="GH55" s="309"/>
      <c r="GI55" s="310"/>
      <c r="GJ55" s="311"/>
      <c r="GK55" s="311"/>
      <c r="GL55" s="309"/>
      <c r="GM55" s="310"/>
      <c r="GN55" s="311"/>
      <c r="GO55" s="311"/>
      <c r="GP55" s="309"/>
      <c r="GQ55" s="310"/>
      <c r="GR55" s="311"/>
      <c r="GS55" s="311"/>
      <c r="GT55" s="309"/>
      <c r="GU55" s="310"/>
      <c r="GV55" s="311"/>
      <c r="GW55" s="311"/>
      <c r="GX55" s="309"/>
      <c r="GY55" s="310"/>
      <c r="GZ55" s="311"/>
      <c r="HA55" s="311"/>
      <c r="HB55" s="309"/>
      <c r="HC55" s="312">
        <f t="shared" si="71"/>
        <v>0</v>
      </c>
      <c r="HD55" s="313">
        <f t="shared" si="71"/>
        <v>0</v>
      </c>
      <c r="HE55" s="313">
        <f t="shared" si="71"/>
        <v>0</v>
      </c>
      <c r="HF55" s="314"/>
      <c r="HG55" s="312">
        <f>SUM(SUMIFS(K55:HB55,$K$13:$HB$13,{"エネルギー管理指定工場等*","県域*"}))</f>
        <v>0</v>
      </c>
      <c r="HH55" s="313">
        <f>SUM(SUMIFS(L55:HC55,$K$13:$HB$13,{"エネルギー管理指定工場等*","県域*"}))</f>
        <v>0</v>
      </c>
      <c r="HI55" s="313">
        <f>SUM(SUMIFS(M55:HD55,$K$13:$HB$13,{"エネルギー管理指定工場等*","県域*"}))</f>
        <v>0</v>
      </c>
      <c r="HJ55" s="314"/>
      <c r="HL55" s="230">
        <v>46</v>
      </c>
      <c r="HM55" s="714"/>
      <c r="HN55" s="715" t="str">
        <f ca="1">IF(COUNTIF(HN$10:HN54,OFFSET(A1_原単位2024,5,HL55+2))&gt;=1,"",OFFSET(A1_原単位2024,5,HL55+2)&amp;"")</f>
        <v/>
      </c>
      <c r="HO55" s="716" t="str">
        <f t="shared" ca="1" si="49"/>
        <v/>
      </c>
      <c r="HP55" s="717" t="str">
        <f t="shared" ca="1" si="63"/>
        <v/>
      </c>
      <c r="HQ55" s="714"/>
      <c r="HR55" s="715" t="str">
        <f ca="1">IF(COUNTIF(HR$10:HR54,OFFSET(A1_原単位2024,17,HL55+2))&gt;=1,"",OFFSET(A1_原単位2024,17,HL55+2)&amp;"")</f>
        <v/>
      </c>
      <c r="HS55" s="718" t="str">
        <f t="shared" ca="1" si="51"/>
        <v/>
      </c>
      <c r="HT55" s="719" t="str">
        <f t="shared" ca="1" si="64"/>
        <v/>
      </c>
      <c r="HU55" s="714"/>
      <c r="HV55" s="715" t="str">
        <f ca="1">IF(COUNTIF(HV$10:HV54,OFFSET(A1_原単位2024,29,HL55+2))&gt;=1,"",OFFSET(A1_原単位2024,29,HL55+2)&amp;"")</f>
        <v/>
      </c>
      <c r="HW55" s="718" t="str">
        <f t="shared" ca="1" si="53"/>
        <v/>
      </c>
      <c r="HX55" s="719" t="str">
        <f t="shared" ca="1" si="65"/>
        <v/>
      </c>
      <c r="HY55" s="714"/>
      <c r="HZ55" s="715" t="str">
        <f ca="1">IF(COUNTIF(HZ$10:HZ54,OFFSET(A1_原単位2024,41,HL55+2))&gt;=1,"",OFFSET(A1_原単位2024,41,HL55+2)&amp;"")</f>
        <v/>
      </c>
      <c r="IA55" s="720" t="str">
        <f t="shared" ca="1" si="55"/>
        <v/>
      </c>
      <c r="IB55" s="721" t="str">
        <f t="shared" ca="1" si="66"/>
        <v/>
      </c>
      <c r="IE55" s="159" t="str">
        <f t="shared" ca="1" si="67"/>
        <v/>
      </c>
      <c r="IF55" s="159" t="str">
        <f t="shared" ca="1" si="68"/>
        <v/>
      </c>
      <c r="IG55" s="159" t="str">
        <f t="shared" ca="1" si="69"/>
        <v/>
      </c>
      <c r="IH55" s="159" t="str">
        <f t="shared" ca="1" si="70"/>
        <v/>
      </c>
    </row>
    <row r="56" spans="1:242" ht="19.8">
      <c r="A56" s="164"/>
      <c r="B56" s="302"/>
      <c r="C56" s="303" t="s">
        <v>593</v>
      </c>
      <c r="D56" s="304"/>
      <c r="E56" s="305"/>
      <c r="F56" s="303" t="s">
        <v>455</v>
      </c>
      <c r="G56" s="306">
        <v>29.3</v>
      </c>
      <c r="H56" s="307">
        <v>2.5700000000000001E-2</v>
      </c>
      <c r="I56" s="308"/>
      <c r="J56" s="309"/>
      <c r="K56" s="310"/>
      <c r="L56" s="311"/>
      <c r="M56" s="311"/>
      <c r="N56" s="309"/>
      <c r="O56" s="310"/>
      <c r="P56" s="311"/>
      <c r="Q56" s="311"/>
      <c r="R56" s="309"/>
      <c r="S56" s="310"/>
      <c r="T56" s="311"/>
      <c r="U56" s="311"/>
      <c r="V56" s="309"/>
      <c r="W56" s="310"/>
      <c r="X56" s="311"/>
      <c r="Y56" s="311"/>
      <c r="Z56" s="309"/>
      <c r="AA56" s="310"/>
      <c r="AB56" s="311"/>
      <c r="AC56" s="311"/>
      <c r="AD56" s="309"/>
      <c r="AE56" s="310"/>
      <c r="AF56" s="311"/>
      <c r="AG56" s="311"/>
      <c r="AH56" s="309"/>
      <c r="AI56" s="310"/>
      <c r="AJ56" s="311"/>
      <c r="AK56" s="311"/>
      <c r="AL56" s="309"/>
      <c r="AM56" s="310"/>
      <c r="AN56" s="311"/>
      <c r="AO56" s="311"/>
      <c r="AP56" s="309"/>
      <c r="AQ56" s="310"/>
      <c r="AR56" s="311"/>
      <c r="AS56" s="311"/>
      <c r="AT56" s="309"/>
      <c r="AU56" s="310"/>
      <c r="AV56" s="311"/>
      <c r="AW56" s="311"/>
      <c r="AX56" s="309"/>
      <c r="AY56" s="310"/>
      <c r="AZ56" s="311"/>
      <c r="BA56" s="311"/>
      <c r="BB56" s="309"/>
      <c r="BC56" s="310"/>
      <c r="BD56" s="311"/>
      <c r="BE56" s="311"/>
      <c r="BF56" s="309"/>
      <c r="BG56" s="310"/>
      <c r="BH56" s="311"/>
      <c r="BI56" s="311"/>
      <c r="BJ56" s="309"/>
      <c r="BK56" s="310"/>
      <c r="BL56" s="311"/>
      <c r="BM56" s="311"/>
      <c r="BN56" s="309"/>
      <c r="BO56" s="310"/>
      <c r="BP56" s="311"/>
      <c r="BQ56" s="311"/>
      <c r="BR56" s="309"/>
      <c r="BS56" s="310"/>
      <c r="BT56" s="311"/>
      <c r="BU56" s="311"/>
      <c r="BV56" s="309"/>
      <c r="BW56" s="310"/>
      <c r="BX56" s="311"/>
      <c r="BY56" s="311"/>
      <c r="BZ56" s="309"/>
      <c r="CA56" s="310"/>
      <c r="CB56" s="311"/>
      <c r="CC56" s="311"/>
      <c r="CD56" s="309"/>
      <c r="CE56" s="310"/>
      <c r="CF56" s="311"/>
      <c r="CG56" s="311"/>
      <c r="CH56" s="309"/>
      <c r="CI56" s="310"/>
      <c r="CJ56" s="311"/>
      <c r="CK56" s="311"/>
      <c r="CL56" s="309"/>
      <c r="CM56" s="310"/>
      <c r="CN56" s="311"/>
      <c r="CO56" s="311"/>
      <c r="CP56" s="309"/>
      <c r="CQ56" s="310"/>
      <c r="CR56" s="311"/>
      <c r="CS56" s="311"/>
      <c r="CT56" s="309"/>
      <c r="CU56" s="310"/>
      <c r="CV56" s="311"/>
      <c r="CW56" s="311"/>
      <c r="CX56" s="309"/>
      <c r="CY56" s="310"/>
      <c r="CZ56" s="311"/>
      <c r="DA56" s="311"/>
      <c r="DB56" s="309"/>
      <c r="DC56" s="310"/>
      <c r="DD56" s="311"/>
      <c r="DE56" s="311"/>
      <c r="DF56" s="309"/>
      <c r="DG56" s="310"/>
      <c r="DH56" s="311"/>
      <c r="DI56" s="311"/>
      <c r="DJ56" s="309"/>
      <c r="DK56" s="310"/>
      <c r="DL56" s="311"/>
      <c r="DM56" s="311"/>
      <c r="DN56" s="309"/>
      <c r="DO56" s="310"/>
      <c r="DP56" s="311"/>
      <c r="DQ56" s="311"/>
      <c r="DR56" s="309"/>
      <c r="DS56" s="310"/>
      <c r="DT56" s="311"/>
      <c r="DU56" s="311"/>
      <c r="DV56" s="309"/>
      <c r="DW56" s="310"/>
      <c r="DX56" s="311"/>
      <c r="DY56" s="311"/>
      <c r="DZ56" s="309"/>
      <c r="EA56" s="310"/>
      <c r="EB56" s="311"/>
      <c r="EC56" s="311"/>
      <c r="ED56" s="309"/>
      <c r="EE56" s="310"/>
      <c r="EF56" s="311"/>
      <c r="EG56" s="311"/>
      <c r="EH56" s="309"/>
      <c r="EI56" s="310"/>
      <c r="EJ56" s="311"/>
      <c r="EK56" s="311"/>
      <c r="EL56" s="309"/>
      <c r="EM56" s="310"/>
      <c r="EN56" s="311"/>
      <c r="EO56" s="311"/>
      <c r="EP56" s="309"/>
      <c r="EQ56" s="310"/>
      <c r="ER56" s="311"/>
      <c r="ES56" s="311"/>
      <c r="ET56" s="309"/>
      <c r="EU56" s="310"/>
      <c r="EV56" s="311"/>
      <c r="EW56" s="311"/>
      <c r="EX56" s="309"/>
      <c r="EY56" s="310"/>
      <c r="EZ56" s="311"/>
      <c r="FA56" s="311"/>
      <c r="FB56" s="309"/>
      <c r="FC56" s="310"/>
      <c r="FD56" s="311"/>
      <c r="FE56" s="311"/>
      <c r="FF56" s="309"/>
      <c r="FG56" s="310"/>
      <c r="FH56" s="311"/>
      <c r="FI56" s="311"/>
      <c r="FJ56" s="309"/>
      <c r="FK56" s="310"/>
      <c r="FL56" s="311"/>
      <c r="FM56" s="311"/>
      <c r="FN56" s="309"/>
      <c r="FO56" s="310"/>
      <c r="FP56" s="311"/>
      <c r="FQ56" s="311"/>
      <c r="FR56" s="309"/>
      <c r="FS56" s="310"/>
      <c r="FT56" s="311"/>
      <c r="FU56" s="311"/>
      <c r="FV56" s="309"/>
      <c r="FW56" s="310"/>
      <c r="FX56" s="311"/>
      <c r="FY56" s="311"/>
      <c r="FZ56" s="309"/>
      <c r="GA56" s="310"/>
      <c r="GB56" s="311"/>
      <c r="GC56" s="311"/>
      <c r="GD56" s="309"/>
      <c r="GE56" s="310"/>
      <c r="GF56" s="311"/>
      <c r="GG56" s="311"/>
      <c r="GH56" s="309"/>
      <c r="GI56" s="310"/>
      <c r="GJ56" s="311"/>
      <c r="GK56" s="311"/>
      <c r="GL56" s="309"/>
      <c r="GM56" s="310"/>
      <c r="GN56" s="311"/>
      <c r="GO56" s="311"/>
      <c r="GP56" s="309"/>
      <c r="GQ56" s="310"/>
      <c r="GR56" s="311"/>
      <c r="GS56" s="311"/>
      <c r="GT56" s="309"/>
      <c r="GU56" s="310"/>
      <c r="GV56" s="311"/>
      <c r="GW56" s="311"/>
      <c r="GX56" s="309"/>
      <c r="GY56" s="310"/>
      <c r="GZ56" s="311"/>
      <c r="HA56" s="311"/>
      <c r="HB56" s="309"/>
      <c r="HC56" s="312">
        <f t="shared" si="71"/>
        <v>0</v>
      </c>
      <c r="HD56" s="313">
        <f t="shared" si="71"/>
        <v>0</v>
      </c>
      <c r="HE56" s="313">
        <f t="shared" si="71"/>
        <v>0</v>
      </c>
      <c r="HF56" s="314"/>
      <c r="HG56" s="312">
        <f>SUM(SUMIFS(K56:HB56,$K$13:$HB$13,{"エネルギー管理指定工場等*","県域*"}))</f>
        <v>0</v>
      </c>
      <c r="HH56" s="313">
        <f>SUM(SUMIFS(L56:HC56,$K$13:$HB$13,{"エネルギー管理指定工場等*","県域*"}))</f>
        <v>0</v>
      </c>
      <c r="HI56" s="313">
        <f>SUM(SUMIFS(M56:HD56,$K$13:$HB$13,{"エネルギー管理指定工場等*","県域*"}))</f>
        <v>0</v>
      </c>
      <c r="HJ56" s="314"/>
      <c r="HL56" s="219">
        <v>47</v>
      </c>
      <c r="HM56" s="714"/>
      <c r="HN56" s="715" t="str">
        <f ca="1">IF(COUNTIF(HN$10:HN55,OFFSET(A1_原単位2024,5,HL56+2))&gt;=1,"",OFFSET(A1_原単位2024,5,HL56+2)&amp;"")</f>
        <v/>
      </c>
      <c r="HO56" s="716" t="str">
        <f t="shared" ca="1" si="49"/>
        <v/>
      </c>
      <c r="HP56" s="717" t="str">
        <f t="shared" ca="1" si="63"/>
        <v/>
      </c>
      <c r="HQ56" s="714"/>
      <c r="HR56" s="715" t="str">
        <f ca="1">IF(COUNTIF(HR$10:HR55,OFFSET(A1_原単位2024,17,HL56+2))&gt;=1,"",OFFSET(A1_原単位2024,17,HL56+2)&amp;"")</f>
        <v/>
      </c>
      <c r="HS56" s="718" t="str">
        <f t="shared" ca="1" si="51"/>
        <v/>
      </c>
      <c r="HT56" s="719" t="str">
        <f t="shared" ca="1" si="64"/>
        <v/>
      </c>
      <c r="HU56" s="714"/>
      <c r="HV56" s="715" t="str">
        <f ca="1">IF(COUNTIF(HV$10:HV55,OFFSET(A1_原単位2024,29,HL56+2))&gt;=1,"",OFFSET(A1_原単位2024,29,HL56+2)&amp;"")</f>
        <v/>
      </c>
      <c r="HW56" s="718" t="str">
        <f t="shared" ca="1" si="53"/>
        <v/>
      </c>
      <c r="HX56" s="719" t="str">
        <f t="shared" ca="1" si="65"/>
        <v/>
      </c>
      <c r="HY56" s="714"/>
      <c r="HZ56" s="715" t="str">
        <f ca="1">IF(COUNTIF(HZ$10:HZ55,OFFSET(A1_原単位2024,41,HL56+2))&gt;=1,"",OFFSET(A1_原単位2024,41,HL56+2)&amp;"")</f>
        <v/>
      </c>
      <c r="IA56" s="720" t="str">
        <f t="shared" ca="1" si="55"/>
        <v/>
      </c>
      <c r="IB56" s="721" t="str">
        <f t="shared" ca="1" si="66"/>
        <v/>
      </c>
      <c r="IE56" s="159" t="str">
        <f t="shared" ca="1" si="67"/>
        <v/>
      </c>
      <c r="IF56" s="159" t="str">
        <f t="shared" ca="1" si="68"/>
        <v/>
      </c>
      <c r="IG56" s="159" t="str">
        <f t="shared" ca="1" si="69"/>
        <v/>
      </c>
      <c r="IH56" s="159" t="str">
        <f t="shared" ca="1" si="70"/>
        <v/>
      </c>
    </row>
    <row r="57" spans="1:242" ht="19.8">
      <c r="A57" s="164"/>
      <c r="B57" s="302"/>
      <c r="C57" s="303" t="s">
        <v>594</v>
      </c>
      <c r="D57" s="304"/>
      <c r="E57" s="305"/>
      <c r="F57" s="303" t="s">
        <v>455</v>
      </c>
      <c r="G57" s="306">
        <v>29.3</v>
      </c>
      <c r="H57" s="307">
        <v>2.3900000000000001E-2</v>
      </c>
      <c r="I57" s="308"/>
      <c r="J57" s="309"/>
      <c r="K57" s="310"/>
      <c r="L57" s="311"/>
      <c r="M57" s="311"/>
      <c r="N57" s="309"/>
      <c r="O57" s="310"/>
      <c r="P57" s="311"/>
      <c r="Q57" s="311"/>
      <c r="R57" s="309"/>
      <c r="S57" s="310"/>
      <c r="T57" s="311"/>
      <c r="U57" s="311"/>
      <c r="V57" s="309"/>
      <c r="W57" s="310"/>
      <c r="X57" s="311"/>
      <c r="Y57" s="311"/>
      <c r="Z57" s="309"/>
      <c r="AA57" s="310"/>
      <c r="AB57" s="311"/>
      <c r="AC57" s="311"/>
      <c r="AD57" s="309"/>
      <c r="AE57" s="310"/>
      <c r="AF57" s="311"/>
      <c r="AG57" s="311"/>
      <c r="AH57" s="309"/>
      <c r="AI57" s="310"/>
      <c r="AJ57" s="311"/>
      <c r="AK57" s="311"/>
      <c r="AL57" s="309"/>
      <c r="AM57" s="310"/>
      <c r="AN57" s="311"/>
      <c r="AO57" s="311"/>
      <c r="AP57" s="309"/>
      <c r="AQ57" s="310"/>
      <c r="AR57" s="311"/>
      <c r="AS57" s="311"/>
      <c r="AT57" s="309"/>
      <c r="AU57" s="310"/>
      <c r="AV57" s="311"/>
      <c r="AW57" s="311"/>
      <c r="AX57" s="309"/>
      <c r="AY57" s="310"/>
      <c r="AZ57" s="311"/>
      <c r="BA57" s="311"/>
      <c r="BB57" s="309"/>
      <c r="BC57" s="310"/>
      <c r="BD57" s="311"/>
      <c r="BE57" s="311"/>
      <c r="BF57" s="309"/>
      <c r="BG57" s="310"/>
      <c r="BH57" s="311"/>
      <c r="BI57" s="311"/>
      <c r="BJ57" s="309"/>
      <c r="BK57" s="310"/>
      <c r="BL57" s="311"/>
      <c r="BM57" s="311"/>
      <c r="BN57" s="309"/>
      <c r="BO57" s="310"/>
      <c r="BP57" s="311"/>
      <c r="BQ57" s="311"/>
      <c r="BR57" s="309"/>
      <c r="BS57" s="310"/>
      <c r="BT57" s="311"/>
      <c r="BU57" s="311"/>
      <c r="BV57" s="309"/>
      <c r="BW57" s="310"/>
      <c r="BX57" s="311"/>
      <c r="BY57" s="311"/>
      <c r="BZ57" s="309"/>
      <c r="CA57" s="310"/>
      <c r="CB57" s="311"/>
      <c r="CC57" s="311"/>
      <c r="CD57" s="309"/>
      <c r="CE57" s="310"/>
      <c r="CF57" s="311"/>
      <c r="CG57" s="311"/>
      <c r="CH57" s="309"/>
      <c r="CI57" s="310"/>
      <c r="CJ57" s="311"/>
      <c r="CK57" s="311"/>
      <c r="CL57" s="309"/>
      <c r="CM57" s="310"/>
      <c r="CN57" s="311"/>
      <c r="CO57" s="311"/>
      <c r="CP57" s="309"/>
      <c r="CQ57" s="310"/>
      <c r="CR57" s="311"/>
      <c r="CS57" s="311"/>
      <c r="CT57" s="309"/>
      <c r="CU57" s="310"/>
      <c r="CV57" s="311"/>
      <c r="CW57" s="311"/>
      <c r="CX57" s="309"/>
      <c r="CY57" s="310"/>
      <c r="CZ57" s="311"/>
      <c r="DA57" s="311"/>
      <c r="DB57" s="309"/>
      <c r="DC57" s="310"/>
      <c r="DD57" s="311"/>
      <c r="DE57" s="311"/>
      <c r="DF57" s="309"/>
      <c r="DG57" s="310"/>
      <c r="DH57" s="311"/>
      <c r="DI57" s="311"/>
      <c r="DJ57" s="309"/>
      <c r="DK57" s="310"/>
      <c r="DL57" s="311"/>
      <c r="DM57" s="311"/>
      <c r="DN57" s="309"/>
      <c r="DO57" s="310"/>
      <c r="DP57" s="311"/>
      <c r="DQ57" s="311"/>
      <c r="DR57" s="309"/>
      <c r="DS57" s="310"/>
      <c r="DT57" s="311"/>
      <c r="DU57" s="311"/>
      <c r="DV57" s="309"/>
      <c r="DW57" s="310"/>
      <c r="DX57" s="311"/>
      <c r="DY57" s="311"/>
      <c r="DZ57" s="309"/>
      <c r="EA57" s="310"/>
      <c r="EB57" s="311"/>
      <c r="EC57" s="311"/>
      <c r="ED57" s="309"/>
      <c r="EE57" s="310"/>
      <c r="EF57" s="311"/>
      <c r="EG57" s="311"/>
      <c r="EH57" s="309"/>
      <c r="EI57" s="310"/>
      <c r="EJ57" s="311"/>
      <c r="EK57" s="311"/>
      <c r="EL57" s="309"/>
      <c r="EM57" s="310"/>
      <c r="EN57" s="311"/>
      <c r="EO57" s="311"/>
      <c r="EP57" s="309"/>
      <c r="EQ57" s="310"/>
      <c r="ER57" s="311"/>
      <c r="ES57" s="311"/>
      <c r="ET57" s="309"/>
      <c r="EU57" s="310"/>
      <c r="EV57" s="311"/>
      <c r="EW57" s="311"/>
      <c r="EX57" s="309"/>
      <c r="EY57" s="310"/>
      <c r="EZ57" s="311"/>
      <c r="FA57" s="311"/>
      <c r="FB57" s="309"/>
      <c r="FC57" s="310"/>
      <c r="FD57" s="311"/>
      <c r="FE57" s="311"/>
      <c r="FF57" s="309"/>
      <c r="FG57" s="310"/>
      <c r="FH57" s="311"/>
      <c r="FI57" s="311"/>
      <c r="FJ57" s="309"/>
      <c r="FK57" s="310"/>
      <c r="FL57" s="311"/>
      <c r="FM57" s="311"/>
      <c r="FN57" s="309"/>
      <c r="FO57" s="310"/>
      <c r="FP57" s="311"/>
      <c r="FQ57" s="311"/>
      <c r="FR57" s="309"/>
      <c r="FS57" s="310"/>
      <c r="FT57" s="311"/>
      <c r="FU57" s="311"/>
      <c r="FV57" s="309"/>
      <c r="FW57" s="310"/>
      <c r="FX57" s="311"/>
      <c r="FY57" s="311"/>
      <c r="FZ57" s="309"/>
      <c r="GA57" s="310"/>
      <c r="GB57" s="311"/>
      <c r="GC57" s="311"/>
      <c r="GD57" s="309"/>
      <c r="GE57" s="310"/>
      <c r="GF57" s="311"/>
      <c r="GG57" s="311"/>
      <c r="GH57" s="309"/>
      <c r="GI57" s="310"/>
      <c r="GJ57" s="311"/>
      <c r="GK57" s="311"/>
      <c r="GL57" s="309"/>
      <c r="GM57" s="310"/>
      <c r="GN57" s="311"/>
      <c r="GO57" s="311"/>
      <c r="GP57" s="309"/>
      <c r="GQ57" s="310"/>
      <c r="GR57" s="311"/>
      <c r="GS57" s="311"/>
      <c r="GT57" s="309"/>
      <c r="GU57" s="310"/>
      <c r="GV57" s="311"/>
      <c r="GW57" s="311"/>
      <c r="GX57" s="309"/>
      <c r="GY57" s="310"/>
      <c r="GZ57" s="311"/>
      <c r="HA57" s="311"/>
      <c r="HB57" s="309"/>
      <c r="HC57" s="312">
        <f t="shared" si="71"/>
        <v>0</v>
      </c>
      <c r="HD57" s="313">
        <f t="shared" si="71"/>
        <v>0</v>
      </c>
      <c r="HE57" s="313">
        <f t="shared" si="71"/>
        <v>0</v>
      </c>
      <c r="HF57" s="314"/>
      <c r="HG57" s="312">
        <f>SUM(SUMIFS(K57:HB57,$K$13:$HB$13,{"エネルギー管理指定工場等*","県域*"}))</f>
        <v>0</v>
      </c>
      <c r="HH57" s="313">
        <f>SUM(SUMIFS(L57:HC57,$K$13:$HB$13,{"エネルギー管理指定工場等*","県域*"}))</f>
        <v>0</v>
      </c>
      <c r="HI57" s="313">
        <f>SUM(SUMIFS(M57:HD57,$K$13:$HB$13,{"エネルギー管理指定工場等*","県域*"}))</f>
        <v>0</v>
      </c>
      <c r="HJ57" s="314"/>
      <c r="HL57" s="230">
        <v>48</v>
      </c>
      <c r="HM57" s="714"/>
      <c r="HN57" s="715" t="str">
        <f ca="1">IF(COUNTIF(HN$10:HN56,OFFSET(A1_原単位2024,5,HL57+2))&gt;=1,"",OFFSET(A1_原単位2024,5,HL57+2)&amp;"")</f>
        <v/>
      </c>
      <c r="HO57" s="716" t="str">
        <f t="shared" ca="1" si="49"/>
        <v/>
      </c>
      <c r="HP57" s="717" t="str">
        <f t="shared" ca="1" si="63"/>
        <v/>
      </c>
      <c r="HQ57" s="714"/>
      <c r="HR57" s="715" t="str">
        <f ca="1">IF(COUNTIF(HR$10:HR56,OFFSET(A1_原単位2024,17,HL57+2))&gt;=1,"",OFFSET(A1_原単位2024,17,HL57+2)&amp;"")</f>
        <v/>
      </c>
      <c r="HS57" s="718" t="str">
        <f t="shared" ca="1" si="51"/>
        <v/>
      </c>
      <c r="HT57" s="719" t="str">
        <f t="shared" ca="1" si="64"/>
        <v/>
      </c>
      <c r="HU57" s="714"/>
      <c r="HV57" s="715" t="str">
        <f ca="1">IF(COUNTIF(HV$10:HV56,OFFSET(A1_原単位2024,29,HL57+2))&gt;=1,"",OFFSET(A1_原単位2024,29,HL57+2)&amp;"")</f>
        <v/>
      </c>
      <c r="HW57" s="718" t="str">
        <f t="shared" ca="1" si="53"/>
        <v/>
      </c>
      <c r="HX57" s="719" t="str">
        <f t="shared" ca="1" si="65"/>
        <v/>
      </c>
      <c r="HY57" s="714"/>
      <c r="HZ57" s="715" t="str">
        <f ca="1">IF(COUNTIF(HZ$10:HZ56,OFFSET(A1_原単位2024,41,HL57+2))&gt;=1,"",OFFSET(A1_原単位2024,41,HL57+2)&amp;"")</f>
        <v/>
      </c>
      <c r="IA57" s="720" t="str">
        <f t="shared" ca="1" si="55"/>
        <v/>
      </c>
      <c r="IB57" s="721" t="str">
        <f t="shared" ca="1" si="66"/>
        <v/>
      </c>
      <c r="IE57" s="159" t="str">
        <f t="shared" ca="1" si="67"/>
        <v/>
      </c>
      <c r="IF57" s="159" t="str">
        <f t="shared" ca="1" si="68"/>
        <v/>
      </c>
      <c r="IG57" s="159" t="str">
        <f t="shared" ca="1" si="69"/>
        <v/>
      </c>
      <c r="IH57" s="159" t="str">
        <f t="shared" ca="1" si="70"/>
        <v/>
      </c>
    </row>
    <row r="58" spans="1:242" ht="19.8">
      <c r="A58" s="164"/>
      <c r="B58" s="302"/>
      <c r="C58" s="303" t="s">
        <v>595</v>
      </c>
      <c r="D58" s="304"/>
      <c r="E58" s="305"/>
      <c r="F58" s="303" t="s">
        <v>453</v>
      </c>
      <c r="G58" s="306">
        <v>40.200000000000003</v>
      </c>
      <c r="H58" s="307">
        <v>1.7899999999999999E-2</v>
      </c>
      <c r="I58" s="308"/>
      <c r="J58" s="309"/>
      <c r="K58" s="310"/>
      <c r="L58" s="311"/>
      <c r="M58" s="311"/>
      <c r="N58" s="309"/>
      <c r="O58" s="310"/>
      <c r="P58" s="311"/>
      <c r="Q58" s="311"/>
      <c r="R58" s="309"/>
      <c r="S58" s="310"/>
      <c r="T58" s="311"/>
      <c r="U58" s="311"/>
      <c r="V58" s="309"/>
      <c r="W58" s="310"/>
      <c r="X58" s="311"/>
      <c r="Y58" s="311"/>
      <c r="Z58" s="309"/>
      <c r="AA58" s="310"/>
      <c r="AB58" s="311"/>
      <c r="AC58" s="311"/>
      <c r="AD58" s="309"/>
      <c r="AE58" s="310"/>
      <c r="AF58" s="311"/>
      <c r="AG58" s="311"/>
      <c r="AH58" s="309"/>
      <c r="AI58" s="310"/>
      <c r="AJ58" s="311"/>
      <c r="AK58" s="311"/>
      <c r="AL58" s="309"/>
      <c r="AM58" s="310"/>
      <c r="AN58" s="311"/>
      <c r="AO58" s="311"/>
      <c r="AP58" s="309"/>
      <c r="AQ58" s="310"/>
      <c r="AR58" s="311"/>
      <c r="AS58" s="311"/>
      <c r="AT58" s="309"/>
      <c r="AU58" s="310"/>
      <c r="AV58" s="311"/>
      <c r="AW58" s="311"/>
      <c r="AX58" s="309"/>
      <c r="AY58" s="310"/>
      <c r="AZ58" s="311"/>
      <c r="BA58" s="311"/>
      <c r="BB58" s="309"/>
      <c r="BC58" s="310"/>
      <c r="BD58" s="311"/>
      <c r="BE58" s="311"/>
      <c r="BF58" s="309"/>
      <c r="BG58" s="310"/>
      <c r="BH58" s="311"/>
      <c r="BI58" s="311"/>
      <c r="BJ58" s="309"/>
      <c r="BK58" s="310"/>
      <c r="BL58" s="311"/>
      <c r="BM58" s="311"/>
      <c r="BN58" s="309"/>
      <c r="BO58" s="310"/>
      <c r="BP58" s="311"/>
      <c r="BQ58" s="311"/>
      <c r="BR58" s="309"/>
      <c r="BS58" s="310"/>
      <c r="BT58" s="311"/>
      <c r="BU58" s="311"/>
      <c r="BV58" s="309"/>
      <c r="BW58" s="310"/>
      <c r="BX58" s="311"/>
      <c r="BY58" s="311"/>
      <c r="BZ58" s="309"/>
      <c r="CA58" s="310"/>
      <c r="CB58" s="311"/>
      <c r="CC58" s="311"/>
      <c r="CD58" s="309"/>
      <c r="CE58" s="310"/>
      <c r="CF58" s="311"/>
      <c r="CG58" s="311"/>
      <c r="CH58" s="309"/>
      <c r="CI58" s="310"/>
      <c r="CJ58" s="311"/>
      <c r="CK58" s="311"/>
      <c r="CL58" s="309"/>
      <c r="CM58" s="310"/>
      <c r="CN58" s="311"/>
      <c r="CO58" s="311"/>
      <c r="CP58" s="309"/>
      <c r="CQ58" s="310"/>
      <c r="CR58" s="311"/>
      <c r="CS58" s="311"/>
      <c r="CT58" s="309"/>
      <c r="CU58" s="310"/>
      <c r="CV58" s="311"/>
      <c r="CW58" s="311"/>
      <c r="CX58" s="309"/>
      <c r="CY58" s="310"/>
      <c r="CZ58" s="311"/>
      <c r="DA58" s="311"/>
      <c r="DB58" s="309"/>
      <c r="DC58" s="310"/>
      <c r="DD58" s="311"/>
      <c r="DE58" s="311"/>
      <c r="DF58" s="309"/>
      <c r="DG58" s="310"/>
      <c r="DH58" s="311"/>
      <c r="DI58" s="311"/>
      <c r="DJ58" s="309"/>
      <c r="DK58" s="310"/>
      <c r="DL58" s="311"/>
      <c r="DM58" s="311"/>
      <c r="DN58" s="309"/>
      <c r="DO58" s="310"/>
      <c r="DP58" s="311"/>
      <c r="DQ58" s="311"/>
      <c r="DR58" s="309"/>
      <c r="DS58" s="310"/>
      <c r="DT58" s="311"/>
      <c r="DU58" s="311"/>
      <c r="DV58" s="309"/>
      <c r="DW58" s="310"/>
      <c r="DX58" s="311"/>
      <c r="DY58" s="311"/>
      <c r="DZ58" s="309"/>
      <c r="EA58" s="310"/>
      <c r="EB58" s="311"/>
      <c r="EC58" s="311"/>
      <c r="ED58" s="309"/>
      <c r="EE58" s="310"/>
      <c r="EF58" s="311"/>
      <c r="EG58" s="311"/>
      <c r="EH58" s="309"/>
      <c r="EI58" s="310"/>
      <c r="EJ58" s="311"/>
      <c r="EK58" s="311"/>
      <c r="EL58" s="309"/>
      <c r="EM58" s="310"/>
      <c r="EN58" s="311"/>
      <c r="EO58" s="311"/>
      <c r="EP58" s="309"/>
      <c r="EQ58" s="310"/>
      <c r="ER58" s="311"/>
      <c r="ES58" s="311"/>
      <c r="ET58" s="309"/>
      <c r="EU58" s="310"/>
      <c r="EV58" s="311"/>
      <c r="EW58" s="311"/>
      <c r="EX58" s="309"/>
      <c r="EY58" s="310"/>
      <c r="EZ58" s="311"/>
      <c r="FA58" s="311"/>
      <c r="FB58" s="309"/>
      <c r="FC58" s="310"/>
      <c r="FD58" s="311"/>
      <c r="FE58" s="311"/>
      <c r="FF58" s="309"/>
      <c r="FG58" s="310"/>
      <c r="FH58" s="311"/>
      <c r="FI58" s="311"/>
      <c r="FJ58" s="309"/>
      <c r="FK58" s="310"/>
      <c r="FL58" s="311"/>
      <c r="FM58" s="311"/>
      <c r="FN58" s="309"/>
      <c r="FO58" s="310"/>
      <c r="FP58" s="311"/>
      <c r="FQ58" s="311"/>
      <c r="FR58" s="309"/>
      <c r="FS58" s="310"/>
      <c r="FT58" s="311"/>
      <c r="FU58" s="311"/>
      <c r="FV58" s="309"/>
      <c r="FW58" s="310"/>
      <c r="FX58" s="311"/>
      <c r="FY58" s="311"/>
      <c r="FZ58" s="309"/>
      <c r="GA58" s="310"/>
      <c r="GB58" s="311"/>
      <c r="GC58" s="311"/>
      <c r="GD58" s="309"/>
      <c r="GE58" s="310"/>
      <c r="GF58" s="311"/>
      <c r="GG58" s="311"/>
      <c r="GH58" s="309"/>
      <c r="GI58" s="310"/>
      <c r="GJ58" s="311"/>
      <c r="GK58" s="311"/>
      <c r="GL58" s="309"/>
      <c r="GM58" s="310"/>
      <c r="GN58" s="311"/>
      <c r="GO58" s="311"/>
      <c r="GP58" s="309"/>
      <c r="GQ58" s="310"/>
      <c r="GR58" s="311"/>
      <c r="GS58" s="311"/>
      <c r="GT58" s="309"/>
      <c r="GU58" s="310"/>
      <c r="GV58" s="311"/>
      <c r="GW58" s="311"/>
      <c r="GX58" s="309"/>
      <c r="GY58" s="310"/>
      <c r="GZ58" s="311"/>
      <c r="HA58" s="311"/>
      <c r="HB58" s="309"/>
      <c r="HC58" s="312">
        <f t="shared" si="71"/>
        <v>0</v>
      </c>
      <c r="HD58" s="313">
        <f t="shared" si="71"/>
        <v>0</v>
      </c>
      <c r="HE58" s="313">
        <f t="shared" si="71"/>
        <v>0</v>
      </c>
      <c r="HF58" s="314"/>
      <c r="HG58" s="312">
        <f>SUM(SUMIFS(K58:HB58,$K$13:$HB$13,{"エネルギー管理指定工場等*","県域*"}))</f>
        <v>0</v>
      </c>
      <c r="HH58" s="313">
        <f>SUM(SUMIFS(L58:HC58,$K$13:$HB$13,{"エネルギー管理指定工場等*","県域*"}))</f>
        <v>0</v>
      </c>
      <c r="HI58" s="313">
        <f>SUM(SUMIFS(M58:HD58,$K$13:$HB$13,{"エネルギー管理指定工場等*","県域*"}))</f>
        <v>0</v>
      </c>
      <c r="HJ58" s="314"/>
      <c r="HL58" s="219">
        <v>49</v>
      </c>
      <c r="HM58" s="714"/>
      <c r="HN58" s="715" t="str">
        <f ca="1">IF(COUNTIF(HN$10:HN57,OFFSET(A1_原単位2024,5,HL58+2))&gt;=1,"",OFFSET(A1_原単位2024,5,HL58+2)&amp;"")</f>
        <v/>
      </c>
      <c r="HO58" s="716" t="str">
        <f t="shared" ca="1" si="49"/>
        <v/>
      </c>
      <c r="HP58" s="717" t="str">
        <f t="shared" ca="1" si="63"/>
        <v/>
      </c>
      <c r="HQ58" s="714"/>
      <c r="HR58" s="715" t="str">
        <f ca="1">IF(COUNTIF(HR$10:HR57,OFFSET(A1_原単位2024,17,HL58+2))&gt;=1,"",OFFSET(A1_原単位2024,17,HL58+2)&amp;"")</f>
        <v/>
      </c>
      <c r="HS58" s="718" t="str">
        <f t="shared" ca="1" si="51"/>
        <v/>
      </c>
      <c r="HT58" s="719" t="str">
        <f t="shared" ca="1" si="64"/>
        <v/>
      </c>
      <c r="HU58" s="714"/>
      <c r="HV58" s="715" t="str">
        <f ca="1">IF(COUNTIF(HV$10:HV57,OFFSET(A1_原単位2024,29,HL58+2))&gt;=1,"",OFFSET(A1_原単位2024,29,HL58+2)&amp;"")</f>
        <v/>
      </c>
      <c r="HW58" s="718" t="str">
        <f t="shared" ca="1" si="53"/>
        <v/>
      </c>
      <c r="HX58" s="719" t="str">
        <f t="shared" ca="1" si="65"/>
        <v/>
      </c>
      <c r="HY58" s="714"/>
      <c r="HZ58" s="715" t="str">
        <f ca="1">IF(COUNTIF(HZ$10:HZ57,OFFSET(A1_原単位2024,41,HL58+2))&gt;=1,"",OFFSET(A1_原単位2024,41,HL58+2)&amp;"")</f>
        <v/>
      </c>
      <c r="IA58" s="720" t="str">
        <f t="shared" ca="1" si="55"/>
        <v/>
      </c>
      <c r="IB58" s="721" t="str">
        <f t="shared" ca="1" si="66"/>
        <v/>
      </c>
      <c r="IE58" s="159" t="str">
        <f t="shared" ca="1" si="67"/>
        <v/>
      </c>
      <c r="IF58" s="159" t="str">
        <f t="shared" ca="1" si="68"/>
        <v/>
      </c>
      <c r="IG58" s="159" t="str">
        <f t="shared" ca="1" si="69"/>
        <v/>
      </c>
      <c r="IH58" s="159" t="str">
        <f t="shared" ca="1" si="70"/>
        <v/>
      </c>
    </row>
    <row r="59" spans="1:242" ht="20.399999999999999" thickBot="1">
      <c r="A59" s="164"/>
      <c r="B59" s="302"/>
      <c r="C59" s="303" t="s">
        <v>596</v>
      </c>
      <c r="D59" s="304"/>
      <c r="E59" s="305"/>
      <c r="F59" s="303" t="s">
        <v>457</v>
      </c>
      <c r="G59" s="306">
        <v>21.2</v>
      </c>
      <c r="H59" s="309"/>
      <c r="I59" s="308"/>
      <c r="J59" s="309"/>
      <c r="K59" s="310"/>
      <c r="L59" s="311"/>
      <c r="M59" s="311"/>
      <c r="N59" s="309"/>
      <c r="O59" s="310"/>
      <c r="P59" s="311"/>
      <c r="Q59" s="311"/>
      <c r="R59" s="309"/>
      <c r="S59" s="310"/>
      <c r="T59" s="311"/>
      <c r="U59" s="311"/>
      <c r="V59" s="309"/>
      <c r="W59" s="310"/>
      <c r="X59" s="311"/>
      <c r="Y59" s="311"/>
      <c r="Z59" s="309"/>
      <c r="AA59" s="310"/>
      <c r="AB59" s="311"/>
      <c r="AC59" s="311"/>
      <c r="AD59" s="309"/>
      <c r="AE59" s="310"/>
      <c r="AF59" s="311"/>
      <c r="AG59" s="311"/>
      <c r="AH59" s="309"/>
      <c r="AI59" s="310"/>
      <c r="AJ59" s="311"/>
      <c r="AK59" s="311"/>
      <c r="AL59" s="309"/>
      <c r="AM59" s="310"/>
      <c r="AN59" s="311"/>
      <c r="AO59" s="311"/>
      <c r="AP59" s="309"/>
      <c r="AQ59" s="310"/>
      <c r="AR59" s="311"/>
      <c r="AS59" s="311"/>
      <c r="AT59" s="309"/>
      <c r="AU59" s="310"/>
      <c r="AV59" s="311"/>
      <c r="AW59" s="311"/>
      <c r="AX59" s="309"/>
      <c r="AY59" s="310"/>
      <c r="AZ59" s="311"/>
      <c r="BA59" s="311"/>
      <c r="BB59" s="309"/>
      <c r="BC59" s="310"/>
      <c r="BD59" s="311"/>
      <c r="BE59" s="311"/>
      <c r="BF59" s="309"/>
      <c r="BG59" s="310"/>
      <c r="BH59" s="311"/>
      <c r="BI59" s="311"/>
      <c r="BJ59" s="309"/>
      <c r="BK59" s="310"/>
      <c r="BL59" s="311"/>
      <c r="BM59" s="311"/>
      <c r="BN59" s="309"/>
      <c r="BO59" s="310"/>
      <c r="BP59" s="311"/>
      <c r="BQ59" s="311"/>
      <c r="BR59" s="309"/>
      <c r="BS59" s="310"/>
      <c r="BT59" s="311"/>
      <c r="BU59" s="311"/>
      <c r="BV59" s="309"/>
      <c r="BW59" s="310"/>
      <c r="BX59" s="311"/>
      <c r="BY59" s="311"/>
      <c r="BZ59" s="309"/>
      <c r="CA59" s="310"/>
      <c r="CB59" s="311"/>
      <c r="CC59" s="311"/>
      <c r="CD59" s="309"/>
      <c r="CE59" s="310"/>
      <c r="CF59" s="311"/>
      <c r="CG59" s="311"/>
      <c r="CH59" s="309"/>
      <c r="CI59" s="310"/>
      <c r="CJ59" s="311"/>
      <c r="CK59" s="311"/>
      <c r="CL59" s="309"/>
      <c r="CM59" s="310"/>
      <c r="CN59" s="311"/>
      <c r="CO59" s="311"/>
      <c r="CP59" s="309"/>
      <c r="CQ59" s="310"/>
      <c r="CR59" s="311"/>
      <c r="CS59" s="311"/>
      <c r="CT59" s="309"/>
      <c r="CU59" s="310"/>
      <c r="CV59" s="311"/>
      <c r="CW59" s="311"/>
      <c r="CX59" s="309"/>
      <c r="CY59" s="310"/>
      <c r="CZ59" s="311"/>
      <c r="DA59" s="311"/>
      <c r="DB59" s="309"/>
      <c r="DC59" s="310"/>
      <c r="DD59" s="311"/>
      <c r="DE59" s="311"/>
      <c r="DF59" s="309"/>
      <c r="DG59" s="310"/>
      <c r="DH59" s="311"/>
      <c r="DI59" s="311"/>
      <c r="DJ59" s="309"/>
      <c r="DK59" s="310"/>
      <c r="DL59" s="311"/>
      <c r="DM59" s="311"/>
      <c r="DN59" s="309"/>
      <c r="DO59" s="310"/>
      <c r="DP59" s="311"/>
      <c r="DQ59" s="311"/>
      <c r="DR59" s="309"/>
      <c r="DS59" s="310"/>
      <c r="DT59" s="311"/>
      <c r="DU59" s="311"/>
      <c r="DV59" s="309"/>
      <c r="DW59" s="310"/>
      <c r="DX59" s="311"/>
      <c r="DY59" s="311"/>
      <c r="DZ59" s="309"/>
      <c r="EA59" s="310"/>
      <c r="EB59" s="311"/>
      <c r="EC59" s="311"/>
      <c r="ED59" s="309"/>
      <c r="EE59" s="310"/>
      <c r="EF59" s="311"/>
      <c r="EG59" s="311"/>
      <c r="EH59" s="309"/>
      <c r="EI59" s="310"/>
      <c r="EJ59" s="311"/>
      <c r="EK59" s="311"/>
      <c r="EL59" s="309"/>
      <c r="EM59" s="310"/>
      <c r="EN59" s="311"/>
      <c r="EO59" s="311"/>
      <c r="EP59" s="309"/>
      <c r="EQ59" s="310"/>
      <c r="ER59" s="311"/>
      <c r="ES59" s="311"/>
      <c r="ET59" s="309"/>
      <c r="EU59" s="310"/>
      <c r="EV59" s="311"/>
      <c r="EW59" s="311"/>
      <c r="EX59" s="309"/>
      <c r="EY59" s="310"/>
      <c r="EZ59" s="311"/>
      <c r="FA59" s="311"/>
      <c r="FB59" s="309"/>
      <c r="FC59" s="310"/>
      <c r="FD59" s="311"/>
      <c r="FE59" s="311"/>
      <c r="FF59" s="309"/>
      <c r="FG59" s="310"/>
      <c r="FH59" s="311"/>
      <c r="FI59" s="311"/>
      <c r="FJ59" s="309"/>
      <c r="FK59" s="310"/>
      <c r="FL59" s="311"/>
      <c r="FM59" s="311"/>
      <c r="FN59" s="309"/>
      <c r="FO59" s="310"/>
      <c r="FP59" s="311"/>
      <c r="FQ59" s="311"/>
      <c r="FR59" s="309"/>
      <c r="FS59" s="310"/>
      <c r="FT59" s="311"/>
      <c r="FU59" s="311"/>
      <c r="FV59" s="309"/>
      <c r="FW59" s="310"/>
      <c r="FX59" s="311"/>
      <c r="FY59" s="311"/>
      <c r="FZ59" s="309"/>
      <c r="GA59" s="310"/>
      <c r="GB59" s="311"/>
      <c r="GC59" s="311"/>
      <c r="GD59" s="309"/>
      <c r="GE59" s="310"/>
      <c r="GF59" s="311"/>
      <c r="GG59" s="311"/>
      <c r="GH59" s="309"/>
      <c r="GI59" s="310"/>
      <c r="GJ59" s="311"/>
      <c r="GK59" s="311"/>
      <c r="GL59" s="309"/>
      <c r="GM59" s="310"/>
      <c r="GN59" s="311"/>
      <c r="GO59" s="311"/>
      <c r="GP59" s="309"/>
      <c r="GQ59" s="310"/>
      <c r="GR59" s="311"/>
      <c r="GS59" s="311"/>
      <c r="GT59" s="309"/>
      <c r="GU59" s="310"/>
      <c r="GV59" s="311"/>
      <c r="GW59" s="311"/>
      <c r="GX59" s="309"/>
      <c r="GY59" s="310"/>
      <c r="GZ59" s="311"/>
      <c r="HA59" s="311"/>
      <c r="HB59" s="309"/>
      <c r="HC59" s="312">
        <f t="shared" si="71"/>
        <v>0</v>
      </c>
      <c r="HD59" s="313">
        <f t="shared" si="71"/>
        <v>0</v>
      </c>
      <c r="HE59" s="313">
        <f t="shared" si="71"/>
        <v>0</v>
      </c>
      <c r="HF59" s="314"/>
      <c r="HG59" s="312">
        <f>SUM(SUMIFS(K59:HB59,$K$13:$HB$13,{"エネルギー管理指定工場等*","県域*"}))</f>
        <v>0</v>
      </c>
      <c r="HH59" s="313">
        <f>SUM(SUMIFS(L59:HC59,$K$13:$HB$13,{"エネルギー管理指定工場等*","県域*"}))</f>
        <v>0</v>
      </c>
      <c r="HI59" s="313">
        <f>SUM(SUMIFS(M59:HD59,$K$13:$HB$13,{"エネルギー管理指定工場等*","県域*"}))</f>
        <v>0</v>
      </c>
      <c r="HJ59" s="314"/>
      <c r="HL59" s="325">
        <v>50</v>
      </c>
      <c r="HM59" s="724"/>
      <c r="HN59" s="725" t="str">
        <f ca="1">IF(COUNTIF(HN$10:HN58,OFFSET(A1_原単位2024,5,HL59+2))&gt;=1,"",OFFSET(A1_原単位2024,5,HL59+2)&amp;"")</f>
        <v/>
      </c>
      <c r="HO59" s="726" t="str">
        <f t="shared" ca="1" si="49"/>
        <v/>
      </c>
      <c r="HP59" s="727" t="str">
        <f t="shared" ca="1" si="63"/>
        <v/>
      </c>
      <c r="HQ59" s="724"/>
      <c r="HR59" s="725" t="str">
        <f ca="1">IF(COUNTIF(HR$10:HR58,OFFSET(A1_原単位2024,17,HL59+2))&gt;=1,"",OFFSET(A1_原単位2024,17,HL59+2)&amp;"")</f>
        <v/>
      </c>
      <c r="HS59" s="728" t="str">
        <f t="shared" ca="1" si="51"/>
        <v/>
      </c>
      <c r="HT59" s="729" t="str">
        <f t="shared" ca="1" si="64"/>
        <v/>
      </c>
      <c r="HU59" s="724"/>
      <c r="HV59" s="725" t="str">
        <f ca="1">IF(COUNTIF(HV$10:HV58,OFFSET(A1_原単位2024,29,HL59+2))&gt;=1,"",OFFSET(A1_原単位2024,29,HL59+2)&amp;"")</f>
        <v/>
      </c>
      <c r="HW59" s="728" t="str">
        <f t="shared" ca="1" si="53"/>
        <v/>
      </c>
      <c r="HX59" s="729" t="str">
        <f t="shared" ca="1" si="65"/>
        <v/>
      </c>
      <c r="HY59" s="724"/>
      <c r="HZ59" s="725" t="str">
        <f ca="1">IF(COUNTIF(HZ$10:HZ58,OFFSET(A1_原単位2024,41,HL59+2))&gt;=1,"",OFFSET(A1_原単位2024,41,HL59+2)&amp;"")</f>
        <v/>
      </c>
      <c r="IA59" s="730" t="str">
        <f t="shared" ca="1" si="55"/>
        <v/>
      </c>
      <c r="IB59" s="731" t="str">
        <f t="shared" ca="1" si="66"/>
        <v/>
      </c>
      <c r="IE59" s="159" t="str">
        <f t="shared" ca="1" si="67"/>
        <v/>
      </c>
      <c r="IF59" s="159" t="str">
        <f t="shared" ca="1" si="68"/>
        <v/>
      </c>
      <c r="IG59" s="159" t="str">
        <f t="shared" ca="1" si="69"/>
        <v/>
      </c>
      <c r="IH59" s="159" t="str">
        <f t="shared" ca="1" si="70"/>
        <v/>
      </c>
    </row>
    <row r="60" spans="1:242" ht="19.8">
      <c r="A60" s="164"/>
      <c r="B60" s="302"/>
      <c r="C60" s="303" t="s">
        <v>597</v>
      </c>
      <c r="D60" s="304"/>
      <c r="E60" s="305"/>
      <c r="F60" s="303" t="s">
        <v>455</v>
      </c>
      <c r="G60" s="306">
        <v>17.100000000000001</v>
      </c>
      <c r="H60" s="309"/>
      <c r="I60" s="308"/>
      <c r="J60" s="309"/>
      <c r="K60" s="310"/>
      <c r="L60" s="311"/>
      <c r="M60" s="311"/>
      <c r="N60" s="309"/>
      <c r="O60" s="310"/>
      <c r="P60" s="311"/>
      <c r="Q60" s="311"/>
      <c r="R60" s="309"/>
      <c r="S60" s="310"/>
      <c r="T60" s="311"/>
      <c r="U60" s="311"/>
      <c r="V60" s="309"/>
      <c r="W60" s="310"/>
      <c r="X60" s="311"/>
      <c r="Y60" s="311"/>
      <c r="Z60" s="309"/>
      <c r="AA60" s="310"/>
      <c r="AB60" s="311"/>
      <c r="AC60" s="311"/>
      <c r="AD60" s="309"/>
      <c r="AE60" s="310"/>
      <c r="AF60" s="311"/>
      <c r="AG60" s="311"/>
      <c r="AH60" s="309"/>
      <c r="AI60" s="310"/>
      <c r="AJ60" s="311"/>
      <c r="AK60" s="311"/>
      <c r="AL60" s="309"/>
      <c r="AM60" s="310"/>
      <c r="AN60" s="311"/>
      <c r="AO60" s="311"/>
      <c r="AP60" s="309"/>
      <c r="AQ60" s="310"/>
      <c r="AR60" s="311"/>
      <c r="AS60" s="311"/>
      <c r="AT60" s="309"/>
      <c r="AU60" s="310"/>
      <c r="AV60" s="311"/>
      <c r="AW60" s="311"/>
      <c r="AX60" s="309"/>
      <c r="AY60" s="310"/>
      <c r="AZ60" s="311"/>
      <c r="BA60" s="311"/>
      <c r="BB60" s="309"/>
      <c r="BC60" s="310"/>
      <c r="BD60" s="311"/>
      <c r="BE60" s="311"/>
      <c r="BF60" s="309"/>
      <c r="BG60" s="310"/>
      <c r="BH60" s="311"/>
      <c r="BI60" s="311"/>
      <c r="BJ60" s="309"/>
      <c r="BK60" s="310"/>
      <c r="BL60" s="311"/>
      <c r="BM60" s="311"/>
      <c r="BN60" s="309"/>
      <c r="BO60" s="310"/>
      <c r="BP60" s="311"/>
      <c r="BQ60" s="311"/>
      <c r="BR60" s="309"/>
      <c r="BS60" s="310"/>
      <c r="BT60" s="311"/>
      <c r="BU60" s="311"/>
      <c r="BV60" s="309"/>
      <c r="BW60" s="310"/>
      <c r="BX60" s="311"/>
      <c r="BY60" s="311"/>
      <c r="BZ60" s="309"/>
      <c r="CA60" s="310"/>
      <c r="CB60" s="311"/>
      <c r="CC60" s="311"/>
      <c r="CD60" s="309"/>
      <c r="CE60" s="310"/>
      <c r="CF60" s="311"/>
      <c r="CG60" s="311"/>
      <c r="CH60" s="309"/>
      <c r="CI60" s="310"/>
      <c r="CJ60" s="311"/>
      <c r="CK60" s="311"/>
      <c r="CL60" s="309"/>
      <c r="CM60" s="310"/>
      <c r="CN60" s="311"/>
      <c r="CO60" s="311"/>
      <c r="CP60" s="309"/>
      <c r="CQ60" s="310"/>
      <c r="CR60" s="311"/>
      <c r="CS60" s="311"/>
      <c r="CT60" s="309"/>
      <c r="CU60" s="310"/>
      <c r="CV60" s="311"/>
      <c r="CW60" s="311"/>
      <c r="CX60" s="309"/>
      <c r="CY60" s="310"/>
      <c r="CZ60" s="311"/>
      <c r="DA60" s="311"/>
      <c r="DB60" s="309"/>
      <c r="DC60" s="310"/>
      <c r="DD60" s="311"/>
      <c r="DE60" s="311"/>
      <c r="DF60" s="309"/>
      <c r="DG60" s="310"/>
      <c r="DH60" s="311"/>
      <c r="DI60" s="311"/>
      <c r="DJ60" s="309"/>
      <c r="DK60" s="310"/>
      <c r="DL60" s="311"/>
      <c r="DM60" s="311"/>
      <c r="DN60" s="309"/>
      <c r="DO60" s="310"/>
      <c r="DP60" s="311"/>
      <c r="DQ60" s="311"/>
      <c r="DR60" s="309"/>
      <c r="DS60" s="310"/>
      <c r="DT60" s="311"/>
      <c r="DU60" s="311"/>
      <c r="DV60" s="309"/>
      <c r="DW60" s="310"/>
      <c r="DX60" s="311"/>
      <c r="DY60" s="311"/>
      <c r="DZ60" s="309"/>
      <c r="EA60" s="310"/>
      <c r="EB60" s="311"/>
      <c r="EC60" s="311"/>
      <c r="ED60" s="309"/>
      <c r="EE60" s="310"/>
      <c r="EF60" s="311"/>
      <c r="EG60" s="311"/>
      <c r="EH60" s="309"/>
      <c r="EI60" s="310"/>
      <c r="EJ60" s="311"/>
      <c r="EK60" s="311"/>
      <c r="EL60" s="309"/>
      <c r="EM60" s="310"/>
      <c r="EN60" s="311"/>
      <c r="EO60" s="311"/>
      <c r="EP60" s="309"/>
      <c r="EQ60" s="310"/>
      <c r="ER60" s="311"/>
      <c r="ES60" s="311"/>
      <c r="ET60" s="309"/>
      <c r="EU60" s="310"/>
      <c r="EV60" s="311"/>
      <c r="EW60" s="311"/>
      <c r="EX60" s="309"/>
      <c r="EY60" s="310"/>
      <c r="EZ60" s="311"/>
      <c r="FA60" s="311"/>
      <c r="FB60" s="309"/>
      <c r="FC60" s="310"/>
      <c r="FD60" s="311"/>
      <c r="FE60" s="311"/>
      <c r="FF60" s="309"/>
      <c r="FG60" s="310"/>
      <c r="FH60" s="311"/>
      <c r="FI60" s="311"/>
      <c r="FJ60" s="309"/>
      <c r="FK60" s="310"/>
      <c r="FL60" s="311"/>
      <c r="FM60" s="311"/>
      <c r="FN60" s="309"/>
      <c r="FO60" s="310"/>
      <c r="FP60" s="311"/>
      <c r="FQ60" s="311"/>
      <c r="FR60" s="309"/>
      <c r="FS60" s="310"/>
      <c r="FT60" s="311"/>
      <c r="FU60" s="311"/>
      <c r="FV60" s="309"/>
      <c r="FW60" s="310"/>
      <c r="FX60" s="311"/>
      <c r="FY60" s="311"/>
      <c r="FZ60" s="309"/>
      <c r="GA60" s="310"/>
      <c r="GB60" s="311"/>
      <c r="GC60" s="311"/>
      <c r="GD60" s="309"/>
      <c r="GE60" s="310"/>
      <c r="GF60" s="311"/>
      <c r="GG60" s="311"/>
      <c r="GH60" s="309"/>
      <c r="GI60" s="310"/>
      <c r="GJ60" s="311"/>
      <c r="GK60" s="311"/>
      <c r="GL60" s="309"/>
      <c r="GM60" s="310"/>
      <c r="GN60" s="311"/>
      <c r="GO60" s="311"/>
      <c r="GP60" s="309"/>
      <c r="GQ60" s="310"/>
      <c r="GR60" s="311"/>
      <c r="GS60" s="311"/>
      <c r="GT60" s="309"/>
      <c r="GU60" s="310"/>
      <c r="GV60" s="311"/>
      <c r="GW60" s="311"/>
      <c r="GX60" s="309"/>
      <c r="GY60" s="310"/>
      <c r="GZ60" s="311"/>
      <c r="HA60" s="311"/>
      <c r="HB60" s="309"/>
      <c r="HC60" s="312">
        <f t="shared" si="71"/>
        <v>0</v>
      </c>
      <c r="HD60" s="313">
        <f t="shared" si="71"/>
        <v>0</v>
      </c>
      <c r="HE60" s="313">
        <f t="shared" si="71"/>
        <v>0</v>
      </c>
      <c r="HF60" s="314"/>
      <c r="HG60" s="312">
        <f>SUM(SUMIFS(K60:HB60,$K$13:$HB$13,{"エネルギー管理指定工場等*","県域*"}))</f>
        <v>0</v>
      </c>
      <c r="HH60" s="313">
        <f>SUM(SUMIFS(L60:HC60,$K$13:$HB$13,{"エネルギー管理指定工場等*","県域*"}))</f>
        <v>0</v>
      </c>
      <c r="HI60" s="313">
        <f>SUM(SUMIFS(M60:HD60,$K$13:$HB$13,{"エネルギー管理指定工場等*","県域*"}))</f>
        <v>0</v>
      </c>
      <c r="HJ60" s="314"/>
    </row>
    <row r="61" spans="1:242" ht="19.8">
      <c r="A61" s="164"/>
      <c r="B61" s="302"/>
      <c r="C61" s="303" t="s">
        <v>598</v>
      </c>
      <c r="D61" s="304"/>
      <c r="E61" s="305"/>
      <c r="F61" s="303" t="s">
        <v>455</v>
      </c>
      <c r="G61" s="306">
        <v>142</v>
      </c>
      <c r="H61" s="309"/>
      <c r="I61" s="310"/>
      <c r="J61" s="315"/>
      <c r="K61" s="310"/>
      <c r="L61" s="311"/>
      <c r="M61" s="311"/>
      <c r="N61" s="309"/>
      <c r="O61" s="310"/>
      <c r="P61" s="311"/>
      <c r="Q61" s="311"/>
      <c r="R61" s="309"/>
      <c r="S61" s="310"/>
      <c r="T61" s="311"/>
      <c r="U61" s="311"/>
      <c r="V61" s="309"/>
      <c r="W61" s="310"/>
      <c r="X61" s="311"/>
      <c r="Y61" s="311"/>
      <c r="Z61" s="309"/>
      <c r="AA61" s="310"/>
      <c r="AB61" s="311"/>
      <c r="AC61" s="311"/>
      <c r="AD61" s="309"/>
      <c r="AE61" s="310"/>
      <c r="AF61" s="311"/>
      <c r="AG61" s="311"/>
      <c r="AH61" s="309"/>
      <c r="AI61" s="310"/>
      <c r="AJ61" s="311"/>
      <c r="AK61" s="311"/>
      <c r="AL61" s="309"/>
      <c r="AM61" s="310"/>
      <c r="AN61" s="311"/>
      <c r="AO61" s="311"/>
      <c r="AP61" s="309"/>
      <c r="AQ61" s="310"/>
      <c r="AR61" s="311"/>
      <c r="AS61" s="311"/>
      <c r="AT61" s="309"/>
      <c r="AU61" s="310"/>
      <c r="AV61" s="311"/>
      <c r="AW61" s="311"/>
      <c r="AX61" s="309"/>
      <c r="AY61" s="310"/>
      <c r="AZ61" s="311"/>
      <c r="BA61" s="311"/>
      <c r="BB61" s="309"/>
      <c r="BC61" s="310"/>
      <c r="BD61" s="311"/>
      <c r="BE61" s="311"/>
      <c r="BF61" s="309"/>
      <c r="BG61" s="310"/>
      <c r="BH61" s="311"/>
      <c r="BI61" s="311"/>
      <c r="BJ61" s="309"/>
      <c r="BK61" s="310"/>
      <c r="BL61" s="311"/>
      <c r="BM61" s="311"/>
      <c r="BN61" s="309"/>
      <c r="BO61" s="310"/>
      <c r="BP61" s="311"/>
      <c r="BQ61" s="311"/>
      <c r="BR61" s="309"/>
      <c r="BS61" s="310"/>
      <c r="BT61" s="311"/>
      <c r="BU61" s="311"/>
      <c r="BV61" s="309"/>
      <c r="BW61" s="310"/>
      <c r="BX61" s="311"/>
      <c r="BY61" s="311"/>
      <c r="BZ61" s="309"/>
      <c r="CA61" s="310"/>
      <c r="CB61" s="311"/>
      <c r="CC61" s="311"/>
      <c r="CD61" s="309"/>
      <c r="CE61" s="310"/>
      <c r="CF61" s="311"/>
      <c r="CG61" s="311"/>
      <c r="CH61" s="309"/>
      <c r="CI61" s="310"/>
      <c r="CJ61" s="311"/>
      <c r="CK61" s="311"/>
      <c r="CL61" s="309"/>
      <c r="CM61" s="310"/>
      <c r="CN61" s="311"/>
      <c r="CO61" s="311"/>
      <c r="CP61" s="309"/>
      <c r="CQ61" s="310"/>
      <c r="CR61" s="311"/>
      <c r="CS61" s="311"/>
      <c r="CT61" s="309"/>
      <c r="CU61" s="310"/>
      <c r="CV61" s="311"/>
      <c r="CW61" s="311"/>
      <c r="CX61" s="309"/>
      <c r="CY61" s="310"/>
      <c r="CZ61" s="311"/>
      <c r="DA61" s="311"/>
      <c r="DB61" s="309"/>
      <c r="DC61" s="310"/>
      <c r="DD61" s="311"/>
      <c r="DE61" s="311"/>
      <c r="DF61" s="309"/>
      <c r="DG61" s="310"/>
      <c r="DH61" s="311"/>
      <c r="DI61" s="311"/>
      <c r="DJ61" s="309"/>
      <c r="DK61" s="310"/>
      <c r="DL61" s="311"/>
      <c r="DM61" s="311"/>
      <c r="DN61" s="309"/>
      <c r="DO61" s="310"/>
      <c r="DP61" s="311"/>
      <c r="DQ61" s="311"/>
      <c r="DR61" s="309"/>
      <c r="DS61" s="310"/>
      <c r="DT61" s="311"/>
      <c r="DU61" s="311"/>
      <c r="DV61" s="309"/>
      <c r="DW61" s="310"/>
      <c r="DX61" s="311"/>
      <c r="DY61" s="311"/>
      <c r="DZ61" s="309"/>
      <c r="EA61" s="310"/>
      <c r="EB61" s="311"/>
      <c r="EC61" s="311"/>
      <c r="ED61" s="309"/>
      <c r="EE61" s="310"/>
      <c r="EF61" s="311"/>
      <c r="EG61" s="311"/>
      <c r="EH61" s="309"/>
      <c r="EI61" s="310"/>
      <c r="EJ61" s="311"/>
      <c r="EK61" s="311"/>
      <c r="EL61" s="309"/>
      <c r="EM61" s="310"/>
      <c r="EN61" s="311"/>
      <c r="EO61" s="311"/>
      <c r="EP61" s="309"/>
      <c r="EQ61" s="310"/>
      <c r="ER61" s="311"/>
      <c r="ES61" s="311"/>
      <c r="ET61" s="309"/>
      <c r="EU61" s="310"/>
      <c r="EV61" s="311"/>
      <c r="EW61" s="311"/>
      <c r="EX61" s="309"/>
      <c r="EY61" s="310"/>
      <c r="EZ61" s="311"/>
      <c r="FA61" s="311"/>
      <c r="FB61" s="309"/>
      <c r="FC61" s="310"/>
      <c r="FD61" s="311"/>
      <c r="FE61" s="311"/>
      <c r="FF61" s="309"/>
      <c r="FG61" s="310"/>
      <c r="FH61" s="311"/>
      <c r="FI61" s="311"/>
      <c r="FJ61" s="309"/>
      <c r="FK61" s="310"/>
      <c r="FL61" s="311"/>
      <c r="FM61" s="311"/>
      <c r="FN61" s="309"/>
      <c r="FO61" s="310"/>
      <c r="FP61" s="311"/>
      <c r="FQ61" s="311"/>
      <c r="FR61" s="309"/>
      <c r="FS61" s="310"/>
      <c r="FT61" s="311"/>
      <c r="FU61" s="311"/>
      <c r="FV61" s="309"/>
      <c r="FW61" s="310"/>
      <c r="FX61" s="311"/>
      <c r="FY61" s="311"/>
      <c r="FZ61" s="309"/>
      <c r="GA61" s="310"/>
      <c r="GB61" s="311"/>
      <c r="GC61" s="311"/>
      <c r="GD61" s="309"/>
      <c r="GE61" s="310"/>
      <c r="GF61" s="311"/>
      <c r="GG61" s="311"/>
      <c r="GH61" s="309"/>
      <c r="GI61" s="310"/>
      <c r="GJ61" s="311"/>
      <c r="GK61" s="311"/>
      <c r="GL61" s="309"/>
      <c r="GM61" s="310"/>
      <c r="GN61" s="311"/>
      <c r="GO61" s="311"/>
      <c r="GP61" s="309"/>
      <c r="GQ61" s="310"/>
      <c r="GR61" s="311"/>
      <c r="GS61" s="311"/>
      <c r="GT61" s="309"/>
      <c r="GU61" s="310"/>
      <c r="GV61" s="311"/>
      <c r="GW61" s="311"/>
      <c r="GX61" s="309"/>
      <c r="GY61" s="310"/>
      <c r="GZ61" s="311"/>
      <c r="HA61" s="311"/>
      <c r="HB61" s="309"/>
      <c r="HC61" s="312">
        <f t="shared" si="71"/>
        <v>0</v>
      </c>
      <c r="HD61" s="313">
        <f t="shared" si="71"/>
        <v>0</v>
      </c>
      <c r="HE61" s="313">
        <f t="shared" si="71"/>
        <v>0</v>
      </c>
      <c r="HF61" s="314"/>
      <c r="HG61" s="312">
        <f>SUM(SUMIFS(K61:HB61,$K$13:$HB$13,{"エネルギー管理指定工場等*","県域*"}))</f>
        <v>0</v>
      </c>
      <c r="HH61" s="313">
        <f>SUM(SUMIFS(L61:HC61,$K$13:$HB$13,{"エネルギー管理指定工場等*","県域*"}))</f>
        <v>0</v>
      </c>
      <c r="HI61" s="313">
        <f>SUM(SUMIFS(M61:HD61,$K$13:$HB$13,{"エネルギー管理指定工場等*","県域*"}))</f>
        <v>0</v>
      </c>
      <c r="HJ61" s="314"/>
    </row>
    <row r="62" spans="1:242" ht="19.8">
      <c r="A62" s="164"/>
      <c r="B62" s="302"/>
      <c r="C62" s="303" t="s">
        <v>394</v>
      </c>
      <c r="D62" s="304"/>
      <c r="E62" s="305"/>
      <c r="F62" s="303" t="s">
        <v>455</v>
      </c>
      <c r="G62" s="306">
        <v>22.5</v>
      </c>
      <c r="H62" s="309"/>
      <c r="I62" s="310"/>
      <c r="J62" s="315"/>
      <c r="K62" s="310"/>
      <c r="L62" s="311"/>
      <c r="M62" s="311"/>
      <c r="N62" s="309"/>
      <c r="O62" s="310"/>
      <c r="P62" s="311"/>
      <c r="Q62" s="311"/>
      <c r="R62" s="309"/>
      <c r="S62" s="310"/>
      <c r="T62" s="311"/>
      <c r="U62" s="311"/>
      <c r="V62" s="309"/>
      <c r="W62" s="310"/>
      <c r="X62" s="311"/>
      <c r="Y62" s="311"/>
      <c r="Z62" s="309"/>
      <c r="AA62" s="310"/>
      <c r="AB62" s="311"/>
      <c r="AC62" s="311"/>
      <c r="AD62" s="309"/>
      <c r="AE62" s="310"/>
      <c r="AF62" s="311"/>
      <c r="AG62" s="311"/>
      <c r="AH62" s="309"/>
      <c r="AI62" s="310"/>
      <c r="AJ62" s="311"/>
      <c r="AK62" s="311"/>
      <c r="AL62" s="309"/>
      <c r="AM62" s="310"/>
      <c r="AN62" s="311"/>
      <c r="AO62" s="311"/>
      <c r="AP62" s="309"/>
      <c r="AQ62" s="310"/>
      <c r="AR62" s="311"/>
      <c r="AS62" s="311"/>
      <c r="AT62" s="309"/>
      <c r="AU62" s="310"/>
      <c r="AV62" s="311"/>
      <c r="AW62" s="311"/>
      <c r="AX62" s="309"/>
      <c r="AY62" s="310"/>
      <c r="AZ62" s="311"/>
      <c r="BA62" s="311"/>
      <c r="BB62" s="309"/>
      <c r="BC62" s="310"/>
      <c r="BD62" s="311"/>
      <c r="BE62" s="311"/>
      <c r="BF62" s="309"/>
      <c r="BG62" s="310"/>
      <c r="BH62" s="311"/>
      <c r="BI62" s="311"/>
      <c r="BJ62" s="309"/>
      <c r="BK62" s="310"/>
      <c r="BL62" s="311"/>
      <c r="BM62" s="311"/>
      <c r="BN62" s="309"/>
      <c r="BO62" s="310"/>
      <c r="BP62" s="311"/>
      <c r="BQ62" s="311"/>
      <c r="BR62" s="309"/>
      <c r="BS62" s="310"/>
      <c r="BT62" s="311"/>
      <c r="BU62" s="311"/>
      <c r="BV62" s="309"/>
      <c r="BW62" s="310"/>
      <c r="BX62" s="311"/>
      <c r="BY62" s="311"/>
      <c r="BZ62" s="309"/>
      <c r="CA62" s="310"/>
      <c r="CB62" s="311"/>
      <c r="CC62" s="311"/>
      <c r="CD62" s="309"/>
      <c r="CE62" s="310"/>
      <c r="CF62" s="311"/>
      <c r="CG62" s="311"/>
      <c r="CH62" s="309"/>
      <c r="CI62" s="310"/>
      <c r="CJ62" s="311"/>
      <c r="CK62" s="311"/>
      <c r="CL62" s="309"/>
      <c r="CM62" s="310"/>
      <c r="CN62" s="311"/>
      <c r="CO62" s="311"/>
      <c r="CP62" s="309"/>
      <c r="CQ62" s="310"/>
      <c r="CR62" s="311"/>
      <c r="CS62" s="311"/>
      <c r="CT62" s="309"/>
      <c r="CU62" s="310"/>
      <c r="CV62" s="311"/>
      <c r="CW62" s="311"/>
      <c r="CX62" s="309"/>
      <c r="CY62" s="310"/>
      <c r="CZ62" s="311"/>
      <c r="DA62" s="311"/>
      <c r="DB62" s="309"/>
      <c r="DC62" s="310"/>
      <c r="DD62" s="311"/>
      <c r="DE62" s="311"/>
      <c r="DF62" s="309"/>
      <c r="DG62" s="310"/>
      <c r="DH62" s="311"/>
      <c r="DI62" s="311"/>
      <c r="DJ62" s="309"/>
      <c r="DK62" s="310"/>
      <c r="DL62" s="311"/>
      <c r="DM62" s="311"/>
      <c r="DN62" s="309"/>
      <c r="DO62" s="310"/>
      <c r="DP62" s="311"/>
      <c r="DQ62" s="311"/>
      <c r="DR62" s="309"/>
      <c r="DS62" s="310"/>
      <c r="DT62" s="311"/>
      <c r="DU62" s="311"/>
      <c r="DV62" s="309"/>
      <c r="DW62" s="310"/>
      <c r="DX62" s="311"/>
      <c r="DY62" s="311"/>
      <c r="DZ62" s="309"/>
      <c r="EA62" s="310"/>
      <c r="EB62" s="311"/>
      <c r="EC62" s="311"/>
      <c r="ED62" s="309"/>
      <c r="EE62" s="310"/>
      <c r="EF62" s="311"/>
      <c r="EG62" s="311"/>
      <c r="EH62" s="309"/>
      <c r="EI62" s="310"/>
      <c r="EJ62" s="311"/>
      <c r="EK62" s="311"/>
      <c r="EL62" s="309"/>
      <c r="EM62" s="310"/>
      <c r="EN62" s="311"/>
      <c r="EO62" s="311"/>
      <c r="EP62" s="309"/>
      <c r="EQ62" s="310"/>
      <c r="ER62" s="311"/>
      <c r="ES62" s="311"/>
      <c r="ET62" s="309"/>
      <c r="EU62" s="310"/>
      <c r="EV62" s="311"/>
      <c r="EW62" s="311"/>
      <c r="EX62" s="309"/>
      <c r="EY62" s="310"/>
      <c r="EZ62" s="311"/>
      <c r="FA62" s="311"/>
      <c r="FB62" s="309"/>
      <c r="FC62" s="310"/>
      <c r="FD62" s="311"/>
      <c r="FE62" s="311"/>
      <c r="FF62" s="309"/>
      <c r="FG62" s="310"/>
      <c r="FH62" s="311"/>
      <c r="FI62" s="311"/>
      <c r="FJ62" s="309"/>
      <c r="FK62" s="310"/>
      <c r="FL62" s="311"/>
      <c r="FM62" s="311"/>
      <c r="FN62" s="309"/>
      <c r="FO62" s="310"/>
      <c r="FP62" s="311"/>
      <c r="FQ62" s="311"/>
      <c r="FR62" s="309"/>
      <c r="FS62" s="310"/>
      <c r="FT62" s="311"/>
      <c r="FU62" s="311"/>
      <c r="FV62" s="309"/>
      <c r="FW62" s="310"/>
      <c r="FX62" s="311"/>
      <c r="FY62" s="311"/>
      <c r="FZ62" s="309"/>
      <c r="GA62" s="310"/>
      <c r="GB62" s="311"/>
      <c r="GC62" s="311"/>
      <c r="GD62" s="309"/>
      <c r="GE62" s="310"/>
      <c r="GF62" s="311"/>
      <c r="GG62" s="311"/>
      <c r="GH62" s="309"/>
      <c r="GI62" s="310"/>
      <c r="GJ62" s="311"/>
      <c r="GK62" s="311"/>
      <c r="GL62" s="309"/>
      <c r="GM62" s="310"/>
      <c r="GN62" s="311"/>
      <c r="GO62" s="311"/>
      <c r="GP62" s="309"/>
      <c r="GQ62" s="310"/>
      <c r="GR62" s="311"/>
      <c r="GS62" s="311"/>
      <c r="GT62" s="309"/>
      <c r="GU62" s="310"/>
      <c r="GV62" s="311"/>
      <c r="GW62" s="311"/>
      <c r="GX62" s="309"/>
      <c r="GY62" s="310"/>
      <c r="GZ62" s="311"/>
      <c r="HA62" s="311"/>
      <c r="HB62" s="309"/>
      <c r="HC62" s="312">
        <f t="shared" si="71"/>
        <v>0</v>
      </c>
      <c r="HD62" s="313">
        <f t="shared" si="71"/>
        <v>0</v>
      </c>
      <c r="HE62" s="313">
        <f t="shared" si="71"/>
        <v>0</v>
      </c>
      <c r="HF62" s="314"/>
      <c r="HG62" s="312">
        <f>SUM(SUMIFS(K62:HB62,$K$13:$HB$13,{"エネルギー管理指定工場等*","県域*"}))</f>
        <v>0</v>
      </c>
      <c r="HH62" s="313">
        <f>SUM(SUMIFS(L62:HC62,$K$13:$HB$13,{"エネルギー管理指定工場等*","県域*"}))</f>
        <v>0</v>
      </c>
      <c r="HI62" s="313">
        <f>SUM(SUMIFS(M62:HD62,$K$13:$HB$13,{"エネルギー管理指定工場等*","県域*"}))</f>
        <v>0</v>
      </c>
      <c r="HJ62" s="314"/>
    </row>
    <row r="63" spans="1:242" ht="19.8">
      <c r="A63" s="164"/>
      <c r="B63" s="302"/>
      <c r="C63" s="326" t="s">
        <v>599</v>
      </c>
      <c r="D63" s="303"/>
      <c r="E63" s="311"/>
      <c r="F63" s="323"/>
      <c r="G63" s="310"/>
      <c r="H63" s="315"/>
      <c r="I63" s="310"/>
      <c r="J63" s="315"/>
      <c r="K63" s="310"/>
      <c r="L63" s="311"/>
      <c r="M63" s="311"/>
      <c r="N63" s="309"/>
      <c r="O63" s="310"/>
      <c r="P63" s="311"/>
      <c r="Q63" s="311"/>
      <c r="R63" s="309"/>
      <c r="S63" s="310"/>
      <c r="T63" s="311"/>
      <c r="U63" s="311"/>
      <c r="V63" s="309"/>
      <c r="W63" s="310"/>
      <c r="X63" s="311"/>
      <c r="Y63" s="311"/>
      <c r="Z63" s="309"/>
      <c r="AA63" s="310"/>
      <c r="AB63" s="311"/>
      <c r="AC63" s="311"/>
      <c r="AD63" s="309"/>
      <c r="AE63" s="310"/>
      <c r="AF63" s="311"/>
      <c r="AG63" s="311"/>
      <c r="AH63" s="309"/>
      <c r="AI63" s="310"/>
      <c r="AJ63" s="311"/>
      <c r="AK63" s="311"/>
      <c r="AL63" s="309"/>
      <c r="AM63" s="310"/>
      <c r="AN63" s="311"/>
      <c r="AO63" s="311"/>
      <c r="AP63" s="309"/>
      <c r="AQ63" s="310"/>
      <c r="AR63" s="311"/>
      <c r="AS63" s="311"/>
      <c r="AT63" s="309"/>
      <c r="AU63" s="310"/>
      <c r="AV63" s="311"/>
      <c r="AW63" s="311"/>
      <c r="AX63" s="309"/>
      <c r="AY63" s="310"/>
      <c r="AZ63" s="311"/>
      <c r="BA63" s="311"/>
      <c r="BB63" s="309"/>
      <c r="BC63" s="310"/>
      <c r="BD63" s="311"/>
      <c r="BE63" s="311"/>
      <c r="BF63" s="309"/>
      <c r="BG63" s="310"/>
      <c r="BH63" s="311"/>
      <c r="BI63" s="311"/>
      <c r="BJ63" s="309"/>
      <c r="BK63" s="310"/>
      <c r="BL63" s="311"/>
      <c r="BM63" s="311"/>
      <c r="BN63" s="309"/>
      <c r="BO63" s="310"/>
      <c r="BP63" s="311"/>
      <c r="BQ63" s="311"/>
      <c r="BR63" s="309"/>
      <c r="BS63" s="310"/>
      <c r="BT63" s="311"/>
      <c r="BU63" s="311"/>
      <c r="BV63" s="309"/>
      <c r="BW63" s="310"/>
      <c r="BX63" s="311"/>
      <c r="BY63" s="311"/>
      <c r="BZ63" s="309"/>
      <c r="CA63" s="310"/>
      <c r="CB63" s="311"/>
      <c r="CC63" s="311"/>
      <c r="CD63" s="309"/>
      <c r="CE63" s="310"/>
      <c r="CF63" s="311"/>
      <c r="CG63" s="311"/>
      <c r="CH63" s="309"/>
      <c r="CI63" s="310"/>
      <c r="CJ63" s="311"/>
      <c r="CK63" s="311"/>
      <c r="CL63" s="309"/>
      <c r="CM63" s="310"/>
      <c r="CN63" s="311"/>
      <c r="CO63" s="311"/>
      <c r="CP63" s="309"/>
      <c r="CQ63" s="310"/>
      <c r="CR63" s="311"/>
      <c r="CS63" s="311"/>
      <c r="CT63" s="309"/>
      <c r="CU63" s="310"/>
      <c r="CV63" s="311"/>
      <c r="CW63" s="311"/>
      <c r="CX63" s="309"/>
      <c r="CY63" s="310"/>
      <c r="CZ63" s="311"/>
      <c r="DA63" s="311"/>
      <c r="DB63" s="309"/>
      <c r="DC63" s="310"/>
      <c r="DD63" s="311"/>
      <c r="DE63" s="311"/>
      <c r="DF63" s="309"/>
      <c r="DG63" s="310"/>
      <c r="DH63" s="311"/>
      <c r="DI63" s="311"/>
      <c r="DJ63" s="309"/>
      <c r="DK63" s="310"/>
      <c r="DL63" s="311"/>
      <c r="DM63" s="311"/>
      <c r="DN63" s="309"/>
      <c r="DO63" s="310"/>
      <c r="DP63" s="311"/>
      <c r="DQ63" s="311"/>
      <c r="DR63" s="309"/>
      <c r="DS63" s="310"/>
      <c r="DT63" s="311"/>
      <c r="DU63" s="311"/>
      <c r="DV63" s="309"/>
      <c r="DW63" s="310"/>
      <c r="DX63" s="311"/>
      <c r="DY63" s="311"/>
      <c r="DZ63" s="309"/>
      <c r="EA63" s="310"/>
      <c r="EB63" s="311"/>
      <c r="EC63" s="311"/>
      <c r="ED63" s="309"/>
      <c r="EE63" s="310"/>
      <c r="EF63" s="311"/>
      <c r="EG63" s="311"/>
      <c r="EH63" s="309"/>
      <c r="EI63" s="310"/>
      <c r="EJ63" s="311"/>
      <c r="EK63" s="311"/>
      <c r="EL63" s="309"/>
      <c r="EM63" s="310"/>
      <c r="EN63" s="311"/>
      <c r="EO63" s="311"/>
      <c r="EP63" s="309"/>
      <c r="EQ63" s="310"/>
      <c r="ER63" s="311"/>
      <c r="ES63" s="311"/>
      <c r="ET63" s="309"/>
      <c r="EU63" s="310"/>
      <c r="EV63" s="311"/>
      <c r="EW63" s="311"/>
      <c r="EX63" s="309"/>
      <c r="EY63" s="310"/>
      <c r="EZ63" s="311"/>
      <c r="FA63" s="311"/>
      <c r="FB63" s="309"/>
      <c r="FC63" s="310"/>
      <c r="FD63" s="311"/>
      <c r="FE63" s="311"/>
      <c r="FF63" s="309"/>
      <c r="FG63" s="310"/>
      <c r="FH63" s="311"/>
      <c r="FI63" s="311"/>
      <c r="FJ63" s="309"/>
      <c r="FK63" s="310"/>
      <c r="FL63" s="311"/>
      <c r="FM63" s="311"/>
      <c r="FN63" s="309"/>
      <c r="FO63" s="310"/>
      <c r="FP63" s="311"/>
      <c r="FQ63" s="311"/>
      <c r="FR63" s="309"/>
      <c r="FS63" s="310"/>
      <c r="FT63" s="311"/>
      <c r="FU63" s="311"/>
      <c r="FV63" s="309"/>
      <c r="FW63" s="310"/>
      <c r="FX63" s="311"/>
      <c r="FY63" s="311"/>
      <c r="FZ63" s="309"/>
      <c r="GA63" s="310"/>
      <c r="GB63" s="311"/>
      <c r="GC63" s="311"/>
      <c r="GD63" s="309"/>
      <c r="GE63" s="310"/>
      <c r="GF63" s="311"/>
      <c r="GG63" s="311"/>
      <c r="GH63" s="309"/>
      <c r="GI63" s="310"/>
      <c r="GJ63" s="311"/>
      <c r="GK63" s="311"/>
      <c r="GL63" s="309"/>
      <c r="GM63" s="310"/>
      <c r="GN63" s="311"/>
      <c r="GO63" s="311"/>
      <c r="GP63" s="309"/>
      <c r="GQ63" s="310"/>
      <c r="GR63" s="311"/>
      <c r="GS63" s="311"/>
      <c r="GT63" s="309"/>
      <c r="GU63" s="310"/>
      <c r="GV63" s="311"/>
      <c r="GW63" s="311"/>
      <c r="GX63" s="309"/>
      <c r="GY63" s="310"/>
      <c r="GZ63" s="311"/>
      <c r="HA63" s="311"/>
      <c r="HB63" s="309"/>
      <c r="HC63" s="312">
        <f t="shared" si="71"/>
        <v>0</v>
      </c>
      <c r="HD63" s="313">
        <f t="shared" si="71"/>
        <v>0</v>
      </c>
      <c r="HE63" s="313">
        <f t="shared" si="71"/>
        <v>0</v>
      </c>
      <c r="HF63" s="314"/>
      <c r="HG63" s="312">
        <f>SUM(SUMIFS(K63:HB63,$K$13:$HB$13,{"エネルギー管理指定工場等*","県域*"}))</f>
        <v>0</v>
      </c>
      <c r="HH63" s="313">
        <f>SUM(SUMIFS(L63:HC63,$K$13:$HB$13,{"エネルギー管理指定工場等*","県域*"}))</f>
        <v>0</v>
      </c>
      <c r="HI63" s="313">
        <f>SUM(SUMIFS(M63:HD63,$K$13:$HB$13,{"エネルギー管理指定工場等*","県域*"}))</f>
        <v>0</v>
      </c>
      <c r="HJ63" s="314"/>
    </row>
    <row r="64" spans="1:242" ht="19.8">
      <c r="A64" s="164"/>
      <c r="B64" s="320"/>
      <c r="C64" s="326" t="s">
        <v>600</v>
      </c>
      <c r="D64" s="303"/>
      <c r="E64" s="311"/>
      <c r="F64" s="323"/>
      <c r="G64" s="310"/>
      <c r="H64" s="315"/>
      <c r="I64" s="308"/>
      <c r="J64" s="309"/>
      <c r="K64" s="310"/>
      <c r="L64" s="311"/>
      <c r="M64" s="311"/>
      <c r="N64" s="309"/>
      <c r="O64" s="310"/>
      <c r="P64" s="311"/>
      <c r="Q64" s="311"/>
      <c r="R64" s="309"/>
      <c r="S64" s="310"/>
      <c r="T64" s="311"/>
      <c r="U64" s="311"/>
      <c r="V64" s="309"/>
      <c r="W64" s="310"/>
      <c r="X64" s="311"/>
      <c r="Y64" s="311"/>
      <c r="Z64" s="309"/>
      <c r="AA64" s="310"/>
      <c r="AB64" s="311"/>
      <c r="AC64" s="311"/>
      <c r="AD64" s="309"/>
      <c r="AE64" s="310"/>
      <c r="AF64" s="311"/>
      <c r="AG64" s="311"/>
      <c r="AH64" s="309"/>
      <c r="AI64" s="310"/>
      <c r="AJ64" s="311"/>
      <c r="AK64" s="311"/>
      <c r="AL64" s="309"/>
      <c r="AM64" s="310"/>
      <c r="AN64" s="311"/>
      <c r="AO64" s="311"/>
      <c r="AP64" s="309"/>
      <c r="AQ64" s="310"/>
      <c r="AR64" s="311"/>
      <c r="AS64" s="311"/>
      <c r="AT64" s="309"/>
      <c r="AU64" s="310"/>
      <c r="AV64" s="311"/>
      <c r="AW64" s="311"/>
      <c r="AX64" s="309"/>
      <c r="AY64" s="310"/>
      <c r="AZ64" s="311"/>
      <c r="BA64" s="311"/>
      <c r="BB64" s="309"/>
      <c r="BC64" s="310"/>
      <c r="BD64" s="311"/>
      <c r="BE64" s="311"/>
      <c r="BF64" s="309"/>
      <c r="BG64" s="310"/>
      <c r="BH64" s="311"/>
      <c r="BI64" s="311"/>
      <c r="BJ64" s="309"/>
      <c r="BK64" s="310"/>
      <c r="BL64" s="311"/>
      <c r="BM64" s="311"/>
      <c r="BN64" s="309"/>
      <c r="BO64" s="310"/>
      <c r="BP64" s="311"/>
      <c r="BQ64" s="311"/>
      <c r="BR64" s="309"/>
      <c r="BS64" s="310"/>
      <c r="BT64" s="311"/>
      <c r="BU64" s="311"/>
      <c r="BV64" s="309"/>
      <c r="BW64" s="310"/>
      <c r="BX64" s="311"/>
      <c r="BY64" s="311"/>
      <c r="BZ64" s="309"/>
      <c r="CA64" s="310"/>
      <c r="CB64" s="311"/>
      <c r="CC64" s="311"/>
      <c r="CD64" s="309"/>
      <c r="CE64" s="310"/>
      <c r="CF64" s="311"/>
      <c r="CG64" s="311"/>
      <c r="CH64" s="309"/>
      <c r="CI64" s="310"/>
      <c r="CJ64" s="311"/>
      <c r="CK64" s="311"/>
      <c r="CL64" s="309"/>
      <c r="CM64" s="310"/>
      <c r="CN64" s="311"/>
      <c r="CO64" s="311"/>
      <c r="CP64" s="309"/>
      <c r="CQ64" s="310"/>
      <c r="CR64" s="311"/>
      <c r="CS64" s="311"/>
      <c r="CT64" s="309"/>
      <c r="CU64" s="310"/>
      <c r="CV64" s="311"/>
      <c r="CW64" s="311"/>
      <c r="CX64" s="309"/>
      <c r="CY64" s="310"/>
      <c r="CZ64" s="311"/>
      <c r="DA64" s="311"/>
      <c r="DB64" s="309"/>
      <c r="DC64" s="310"/>
      <c r="DD64" s="311"/>
      <c r="DE64" s="311"/>
      <c r="DF64" s="309"/>
      <c r="DG64" s="310"/>
      <c r="DH64" s="311"/>
      <c r="DI64" s="311"/>
      <c r="DJ64" s="309"/>
      <c r="DK64" s="310"/>
      <c r="DL64" s="311"/>
      <c r="DM64" s="311"/>
      <c r="DN64" s="309"/>
      <c r="DO64" s="310"/>
      <c r="DP64" s="311"/>
      <c r="DQ64" s="311"/>
      <c r="DR64" s="309"/>
      <c r="DS64" s="310"/>
      <c r="DT64" s="311"/>
      <c r="DU64" s="311"/>
      <c r="DV64" s="309"/>
      <c r="DW64" s="310"/>
      <c r="DX64" s="311"/>
      <c r="DY64" s="311"/>
      <c r="DZ64" s="309"/>
      <c r="EA64" s="310"/>
      <c r="EB64" s="311"/>
      <c r="EC64" s="311"/>
      <c r="ED64" s="309"/>
      <c r="EE64" s="310"/>
      <c r="EF64" s="311"/>
      <c r="EG64" s="311"/>
      <c r="EH64" s="309"/>
      <c r="EI64" s="310"/>
      <c r="EJ64" s="311"/>
      <c r="EK64" s="311"/>
      <c r="EL64" s="309"/>
      <c r="EM64" s="310"/>
      <c r="EN64" s="311"/>
      <c r="EO64" s="311"/>
      <c r="EP64" s="309"/>
      <c r="EQ64" s="310"/>
      <c r="ER64" s="311"/>
      <c r="ES64" s="311"/>
      <c r="ET64" s="309"/>
      <c r="EU64" s="310"/>
      <c r="EV64" s="311"/>
      <c r="EW64" s="311"/>
      <c r="EX64" s="309"/>
      <c r="EY64" s="310"/>
      <c r="EZ64" s="311"/>
      <c r="FA64" s="311"/>
      <c r="FB64" s="309"/>
      <c r="FC64" s="310"/>
      <c r="FD64" s="311"/>
      <c r="FE64" s="311"/>
      <c r="FF64" s="309"/>
      <c r="FG64" s="310"/>
      <c r="FH64" s="311"/>
      <c r="FI64" s="311"/>
      <c r="FJ64" s="309"/>
      <c r="FK64" s="310"/>
      <c r="FL64" s="311"/>
      <c r="FM64" s="311"/>
      <c r="FN64" s="309"/>
      <c r="FO64" s="310"/>
      <c r="FP64" s="311"/>
      <c r="FQ64" s="311"/>
      <c r="FR64" s="309"/>
      <c r="FS64" s="310"/>
      <c r="FT64" s="311"/>
      <c r="FU64" s="311"/>
      <c r="FV64" s="309"/>
      <c r="FW64" s="310"/>
      <c r="FX64" s="311"/>
      <c r="FY64" s="311"/>
      <c r="FZ64" s="309"/>
      <c r="GA64" s="310"/>
      <c r="GB64" s="311"/>
      <c r="GC64" s="311"/>
      <c r="GD64" s="309"/>
      <c r="GE64" s="310"/>
      <c r="GF64" s="311"/>
      <c r="GG64" s="311"/>
      <c r="GH64" s="309"/>
      <c r="GI64" s="310"/>
      <c r="GJ64" s="311"/>
      <c r="GK64" s="311"/>
      <c r="GL64" s="309"/>
      <c r="GM64" s="310"/>
      <c r="GN64" s="311"/>
      <c r="GO64" s="311"/>
      <c r="GP64" s="309"/>
      <c r="GQ64" s="310"/>
      <c r="GR64" s="311"/>
      <c r="GS64" s="311"/>
      <c r="GT64" s="309"/>
      <c r="GU64" s="310"/>
      <c r="GV64" s="311"/>
      <c r="GW64" s="311"/>
      <c r="GX64" s="309"/>
      <c r="GY64" s="310"/>
      <c r="GZ64" s="311"/>
      <c r="HA64" s="311"/>
      <c r="HB64" s="309"/>
      <c r="HC64" s="312">
        <f t="shared" si="71"/>
        <v>0</v>
      </c>
      <c r="HD64" s="313">
        <f t="shared" si="71"/>
        <v>0</v>
      </c>
      <c r="HE64" s="313">
        <f t="shared" si="71"/>
        <v>0</v>
      </c>
      <c r="HF64" s="314"/>
      <c r="HG64" s="312">
        <f>SUM(SUMIFS(K64:HB64,$K$13:$HB$13,{"エネルギー管理指定工場等*","県域*"}))</f>
        <v>0</v>
      </c>
      <c r="HH64" s="313">
        <f>SUM(SUMIFS(L64:HC64,$K$13:$HB$13,{"エネルギー管理指定工場等*","県域*"}))</f>
        <v>0</v>
      </c>
      <c r="HI64" s="313">
        <f>SUM(SUMIFS(M64:HD64,$K$13:$HB$13,{"エネルギー管理指定工場等*","県域*"}))</f>
        <v>0</v>
      </c>
      <c r="HJ64" s="314"/>
    </row>
    <row r="65" spans="1:218" ht="59.4">
      <c r="A65" s="164"/>
      <c r="B65" s="324" t="s">
        <v>1374</v>
      </c>
      <c r="C65" s="327" t="s">
        <v>1375</v>
      </c>
      <c r="D65" s="328" t="s">
        <v>601</v>
      </c>
      <c r="E65" s="305"/>
      <c r="F65" s="303" t="s">
        <v>461</v>
      </c>
      <c r="G65" s="306">
        <v>1.17</v>
      </c>
      <c r="H65" s="307">
        <v>6.54E-2</v>
      </c>
      <c r="I65" s="308"/>
      <c r="J65" s="309"/>
      <c r="K65" s="310"/>
      <c r="L65" s="329"/>
      <c r="M65" s="311"/>
      <c r="N65" s="315"/>
      <c r="O65" s="310"/>
      <c r="P65" s="329"/>
      <c r="Q65" s="311"/>
      <c r="R65" s="315"/>
      <c r="S65" s="310"/>
      <c r="T65" s="329"/>
      <c r="U65" s="311"/>
      <c r="V65" s="315"/>
      <c r="W65" s="310"/>
      <c r="X65" s="329"/>
      <c r="Y65" s="311"/>
      <c r="Z65" s="315"/>
      <c r="AA65" s="310"/>
      <c r="AB65" s="329"/>
      <c r="AC65" s="311"/>
      <c r="AD65" s="315"/>
      <c r="AE65" s="310"/>
      <c r="AF65" s="329"/>
      <c r="AG65" s="311"/>
      <c r="AH65" s="315"/>
      <c r="AI65" s="310"/>
      <c r="AJ65" s="329"/>
      <c r="AK65" s="311"/>
      <c r="AL65" s="315"/>
      <c r="AM65" s="310"/>
      <c r="AN65" s="329"/>
      <c r="AO65" s="311"/>
      <c r="AP65" s="315"/>
      <c r="AQ65" s="310"/>
      <c r="AR65" s="329"/>
      <c r="AS65" s="311"/>
      <c r="AT65" s="315"/>
      <c r="AU65" s="310"/>
      <c r="AV65" s="329"/>
      <c r="AW65" s="311"/>
      <c r="AX65" s="315"/>
      <c r="AY65" s="310"/>
      <c r="AZ65" s="329"/>
      <c r="BA65" s="311"/>
      <c r="BB65" s="315"/>
      <c r="BC65" s="310"/>
      <c r="BD65" s="329"/>
      <c r="BE65" s="311"/>
      <c r="BF65" s="315"/>
      <c r="BG65" s="310"/>
      <c r="BH65" s="329"/>
      <c r="BI65" s="311"/>
      <c r="BJ65" s="315"/>
      <c r="BK65" s="310"/>
      <c r="BL65" s="329"/>
      <c r="BM65" s="311"/>
      <c r="BN65" s="315"/>
      <c r="BO65" s="310"/>
      <c r="BP65" s="329"/>
      <c r="BQ65" s="311"/>
      <c r="BR65" s="315"/>
      <c r="BS65" s="310"/>
      <c r="BT65" s="329"/>
      <c r="BU65" s="311"/>
      <c r="BV65" s="315"/>
      <c r="BW65" s="310"/>
      <c r="BX65" s="329"/>
      <c r="BY65" s="311"/>
      <c r="BZ65" s="315"/>
      <c r="CA65" s="310"/>
      <c r="CB65" s="329"/>
      <c r="CC65" s="311"/>
      <c r="CD65" s="315"/>
      <c r="CE65" s="310"/>
      <c r="CF65" s="329"/>
      <c r="CG65" s="311"/>
      <c r="CH65" s="315"/>
      <c r="CI65" s="310"/>
      <c r="CJ65" s="329"/>
      <c r="CK65" s="311"/>
      <c r="CL65" s="315"/>
      <c r="CM65" s="310"/>
      <c r="CN65" s="329"/>
      <c r="CO65" s="311"/>
      <c r="CP65" s="315"/>
      <c r="CQ65" s="310"/>
      <c r="CR65" s="329"/>
      <c r="CS65" s="311"/>
      <c r="CT65" s="315"/>
      <c r="CU65" s="310"/>
      <c r="CV65" s="329"/>
      <c r="CW65" s="311"/>
      <c r="CX65" s="315"/>
      <c r="CY65" s="310"/>
      <c r="CZ65" s="329"/>
      <c r="DA65" s="311"/>
      <c r="DB65" s="315"/>
      <c r="DC65" s="310"/>
      <c r="DD65" s="329"/>
      <c r="DE65" s="311"/>
      <c r="DF65" s="315"/>
      <c r="DG65" s="310"/>
      <c r="DH65" s="329"/>
      <c r="DI65" s="311"/>
      <c r="DJ65" s="315"/>
      <c r="DK65" s="310"/>
      <c r="DL65" s="329"/>
      <c r="DM65" s="311"/>
      <c r="DN65" s="315"/>
      <c r="DO65" s="310"/>
      <c r="DP65" s="329"/>
      <c r="DQ65" s="311"/>
      <c r="DR65" s="315"/>
      <c r="DS65" s="310"/>
      <c r="DT65" s="329"/>
      <c r="DU65" s="311"/>
      <c r="DV65" s="315"/>
      <c r="DW65" s="310"/>
      <c r="DX65" s="329"/>
      <c r="DY65" s="311"/>
      <c r="DZ65" s="315"/>
      <c r="EA65" s="310"/>
      <c r="EB65" s="329"/>
      <c r="EC65" s="311"/>
      <c r="ED65" s="315"/>
      <c r="EE65" s="310"/>
      <c r="EF65" s="329"/>
      <c r="EG65" s="311"/>
      <c r="EH65" s="315"/>
      <c r="EI65" s="310"/>
      <c r="EJ65" s="329"/>
      <c r="EK65" s="311"/>
      <c r="EL65" s="315"/>
      <c r="EM65" s="310"/>
      <c r="EN65" s="329"/>
      <c r="EO65" s="311"/>
      <c r="EP65" s="315"/>
      <c r="EQ65" s="310"/>
      <c r="ER65" s="329"/>
      <c r="ES65" s="311"/>
      <c r="ET65" s="315"/>
      <c r="EU65" s="310"/>
      <c r="EV65" s="329"/>
      <c r="EW65" s="311"/>
      <c r="EX65" s="315"/>
      <c r="EY65" s="310"/>
      <c r="EZ65" s="329"/>
      <c r="FA65" s="311"/>
      <c r="FB65" s="315"/>
      <c r="FC65" s="310"/>
      <c r="FD65" s="329"/>
      <c r="FE65" s="311"/>
      <c r="FF65" s="315"/>
      <c r="FG65" s="310"/>
      <c r="FH65" s="329"/>
      <c r="FI65" s="311"/>
      <c r="FJ65" s="315"/>
      <c r="FK65" s="310"/>
      <c r="FL65" s="329"/>
      <c r="FM65" s="311"/>
      <c r="FN65" s="315"/>
      <c r="FO65" s="310"/>
      <c r="FP65" s="329"/>
      <c r="FQ65" s="311"/>
      <c r="FR65" s="315"/>
      <c r="FS65" s="310"/>
      <c r="FT65" s="329"/>
      <c r="FU65" s="311"/>
      <c r="FV65" s="315"/>
      <c r="FW65" s="310"/>
      <c r="FX65" s="329"/>
      <c r="FY65" s="311"/>
      <c r="FZ65" s="315"/>
      <c r="GA65" s="310"/>
      <c r="GB65" s="329"/>
      <c r="GC65" s="311"/>
      <c r="GD65" s="315"/>
      <c r="GE65" s="310"/>
      <c r="GF65" s="329"/>
      <c r="GG65" s="311"/>
      <c r="GH65" s="315"/>
      <c r="GI65" s="310"/>
      <c r="GJ65" s="329"/>
      <c r="GK65" s="311"/>
      <c r="GL65" s="315"/>
      <c r="GM65" s="310"/>
      <c r="GN65" s="329"/>
      <c r="GO65" s="311"/>
      <c r="GP65" s="315"/>
      <c r="GQ65" s="310"/>
      <c r="GR65" s="329"/>
      <c r="GS65" s="311"/>
      <c r="GT65" s="315"/>
      <c r="GU65" s="310"/>
      <c r="GV65" s="329"/>
      <c r="GW65" s="311"/>
      <c r="GX65" s="315"/>
      <c r="GY65" s="310"/>
      <c r="GZ65" s="329"/>
      <c r="HA65" s="311"/>
      <c r="HB65" s="315"/>
      <c r="HC65" s="312">
        <f t="shared" si="71"/>
        <v>0</v>
      </c>
      <c r="HD65" s="330"/>
      <c r="HE65" s="313">
        <f t="shared" si="71"/>
        <v>0</v>
      </c>
      <c r="HF65" s="331">
        <f t="shared" si="71"/>
        <v>0</v>
      </c>
      <c r="HG65" s="312">
        <f>SUM(SUMIFS(K65:HB65,$K$13:$HB$13,{"エネルギー管理指定工場等*","県域*"}))</f>
        <v>0</v>
      </c>
      <c r="HH65" s="330"/>
      <c r="HI65" s="313">
        <f>SUM(SUMIFS(M65:HD65,$K$13:$HB$13,{"エネルギー管理指定工場等*","県域*"}))</f>
        <v>0</v>
      </c>
      <c r="HJ65" s="331">
        <f>SUM(SUMIFS(N65:HE65,$K$13:$HB$13,{"エネルギー管理指定工場等*","県域*"}))</f>
        <v>0</v>
      </c>
    </row>
    <row r="66" spans="1:218" ht="19.8">
      <c r="A66" s="164"/>
      <c r="B66" s="302"/>
      <c r="C66" s="319"/>
      <c r="D66" s="332"/>
      <c r="E66" s="333" t="s">
        <v>1376</v>
      </c>
      <c r="F66" s="303" t="s">
        <v>461</v>
      </c>
      <c r="G66" s="306">
        <v>1.17</v>
      </c>
      <c r="H66" s="315"/>
      <c r="I66" s="308"/>
      <c r="J66" s="309"/>
      <c r="K66" s="310"/>
      <c r="L66" s="329"/>
      <c r="M66" s="311"/>
      <c r="N66" s="315"/>
      <c r="O66" s="310"/>
      <c r="P66" s="329"/>
      <c r="Q66" s="311"/>
      <c r="R66" s="315"/>
      <c r="S66" s="310"/>
      <c r="T66" s="329"/>
      <c r="U66" s="311"/>
      <c r="V66" s="315"/>
      <c r="W66" s="310"/>
      <c r="X66" s="329"/>
      <c r="Y66" s="311"/>
      <c r="Z66" s="315"/>
      <c r="AA66" s="310"/>
      <c r="AB66" s="329"/>
      <c r="AC66" s="311"/>
      <c r="AD66" s="315"/>
      <c r="AE66" s="310"/>
      <c r="AF66" s="329"/>
      <c r="AG66" s="311"/>
      <c r="AH66" s="315"/>
      <c r="AI66" s="310"/>
      <c r="AJ66" s="329"/>
      <c r="AK66" s="311"/>
      <c r="AL66" s="315"/>
      <c r="AM66" s="310"/>
      <c r="AN66" s="329"/>
      <c r="AO66" s="311"/>
      <c r="AP66" s="315"/>
      <c r="AQ66" s="310"/>
      <c r="AR66" s="329"/>
      <c r="AS66" s="311"/>
      <c r="AT66" s="315"/>
      <c r="AU66" s="310"/>
      <c r="AV66" s="329"/>
      <c r="AW66" s="311"/>
      <c r="AX66" s="315"/>
      <c r="AY66" s="310"/>
      <c r="AZ66" s="329"/>
      <c r="BA66" s="311"/>
      <c r="BB66" s="315"/>
      <c r="BC66" s="310"/>
      <c r="BD66" s="329"/>
      <c r="BE66" s="311"/>
      <c r="BF66" s="315"/>
      <c r="BG66" s="310"/>
      <c r="BH66" s="329"/>
      <c r="BI66" s="311"/>
      <c r="BJ66" s="315"/>
      <c r="BK66" s="310"/>
      <c r="BL66" s="329"/>
      <c r="BM66" s="311"/>
      <c r="BN66" s="315"/>
      <c r="BO66" s="310"/>
      <c r="BP66" s="329"/>
      <c r="BQ66" s="311"/>
      <c r="BR66" s="315"/>
      <c r="BS66" s="310"/>
      <c r="BT66" s="329"/>
      <c r="BU66" s="311"/>
      <c r="BV66" s="315"/>
      <c r="BW66" s="310"/>
      <c r="BX66" s="329"/>
      <c r="BY66" s="311"/>
      <c r="BZ66" s="315"/>
      <c r="CA66" s="310"/>
      <c r="CB66" s="329"/>
      <c r="CC66" s="311"/>
      <c r="CD66" s="315"/>
      <c r="CE66" s="310"/>
      <c r="CF66" s="329"/>
      <c r="CG66" s="311"/>
      <c r="CH66" s="315"/>
      <c r="CI66" s="310"/>
      <c r="CJ66" s="329"/>
      <c r="CK66" s="311"/>
      <c r="CL66" s="315"/>
      <c r="CM66" s="310"/>
      <c r="CN66" s="329"/>
      <c r="CO66" s="311"/>
      <c r="CP66" s="315"/>
      <c r="CQ66" s="310"/>
      <c r="CR66" s="329"/>
      <c r="CS66" s="311"/>
      <c r="CT66" s="315"/>
      <c r="CU66" s="310"/>
      <c r="CV66" s="329"/>
      <c r="CW66" s="311"/>
      <c r="CX66" s="315"/>
      <c r="CY66" s="310"/>
      <c r="CZ66" s="329"/>
      <c r="DA66" s="311"/>
      <c r="DB66" s="315"/>
      <c r="DC66" s="310"/>
      <c r="DD66" s="329"/>
      <c r="DE66" s="311"/>
      <c r="DF66" s="315"/>
      <c r="DG66" s="310"/>
      <c r="DH66" s="329"/>
      <c r="DI66" s="311"/>
      <c r="DJ66" s="315"/>
      <c r="DK66" s="310"/>
      <c r="DL66" s="329"/>
      <c r="DM66" s="311"/>
      <c r="DN66" s="315"/>
      <c r="DO66" s="310"/>
      <c r="DP66" s="329"/>
      <c r="DQ66" s="311"/>
      <c r="DR66" s="315"/>
      <c r="DS66" s="310"/>
      <c r="DT66" s="329"/>
      <c r="DU66" s="311"/>
      <c r="DV66" s="315"/>
      <c r="DW66" s="310"/>
      <c r="DX66" s="329"/>
      <c r="DY66" s="311"/>
      <c r="DZ66" s="315"/>
      <c r="EA66" s="310"/>
      <c r="EB66" s="329"/>
      <c r="EC66" s="311"/>
      <c r="ED66" s="315"/>
      <c r="EE66" s="310"/>
      <c r="EF66" s="329"/>
      <c r="EG66" s="311"/>
      <c r="EH66" s="315"/>
      <c r="EI66" s="310"/>
      <c r="EJ66" s="329"/>
      <c r="EK66" s="311"/>
      <c r="EL66" s="315"/>
      <c r="EM66" s="310"/>
      <c r="EN66" s="329"/>
      <c r="EO66" s="311"/>
      <c r="EP66" s="315"/>
      <c r="EQ66" s="310"/>
      <c r="ER66" s="329"/>
      <c r="ES66" s="311"/>
      <c r="ET66" s="315"/>
      <c r="EU66" s="310"/>
      <c r="EV66" s="329"/>
      <c r="EW66" s="311"/>
      <c r="EX66" s="315"/>
      <c r="EY66" s="310"/>
      <c r="EZ66" s="329"/>
      <c r="FA66" s="311"/>
      <c r="FB66" s="315"/>
      <c r="FC66" s="310"/>
      <c r="FD66" s="329"/>
      <c r="FE66" s="311"/>
      <c r="FF66" s="315"/>
      <c r="FG66" s="310"/>
      <c r="FH66" s="329"/>
      <c r="FI66" s="311"/>
      <c r="FJ66" s="315"/>
      <c r="FK66" s="310"/>
      <c r="FL66" s="329"/>
      <c r="FM66" s="311"/>
      <c r="FN66" s="315"/>
      <c r="FO66" s="310"/>
      <c r="FP66" s="329"/>
      <c r="FQ66" s="311"/>
      <c r="FR66" s="315"/>
      <c r="FS66" s="310"/>
      <c r="FT66" s="329"/>
      <c r="FU66" s="311"/>
      <c r="FV66" s="315"/>
      <c r="FW66" s="310"/>
      <c r="FX66" s="329"/>
      <c r="FY66" s="311"/>
      <c r="FZ66" s="315"/>
      <c r="GA66" s="310"/>
      <c r="GB66" s="329"/>
      <c r="GC66" s="311"/>
      <c r="GD66" s="315"/>
      <c r="GE66" s="310"/>
      <c r="GF66" s="329"/>
      <c r="GG66" s="311"/>
      <c r="GH66" s="315"/>
      <c r="GI66" s="310"/>
      <c r="GJ66" s="329"/>
      <c r="GK66" s="311"/>
      <c r="GL66" s="315"/>
      <c r="GM66" s="310"/>
      <c r="GN66" s="329"/>
      <c r="GO66" s="311"/>
      <c r="GP66" s="315"/>
      <c r="GQ66" s="310"/>
      <c r="GR66" s="329"/>
      <c r="GS66" s="311"/>
      <c r="GT66" s="315"/>
      <c r="GU66" s="310"/>
      <c r="GV66" s="329"/>
      <c r="GW66" s="311"/>
      <c r="GX66" s="315"/>
      <c r="GY66" s="310"/>
      <c r="GZ66" s="329"/>
      <c r="HA66" s="311"/>
      <c r="HB66" s="315"/>
      <c r="HC66" s="312">
        <f t="shared" si="71"/>
        <v>0</v>
      </c>
      <c r="HD66" s="330"/>
      <c r="HE66" s="313">
        <f t="shared" si="71"/>
        <v>0</v>
      </c>
      <c r="HF66" s="331">
        <f t="shared" si="71"/>
        <v>0</v>
      </c>
      <c r="HG66" s="312">
        <f>SUM(SUMIFS(K66:HB66,$K$13:$HB$13,{"エネルギー管理指定工場等*","県域*"}))</f>
        <v>0</v>
      </c>
      <c r="HH66" s="330"/>
      <c r="HI66" s="313">
        <f>SUM(SUMIFS(M66:HD66,$K$13:$HB$13,{"エネルギー管理指定工場等*","県域*"}))</f>
        <v>0</v>
      </c>
      <c r="HJ66" s="331">
        <f>SUM(SUMIFS(N66:HE66,$K$13:$HB$13,{"エネルギー管理指定工場等*","県域*"}))</f>
        <v>0</v>
      </c>
    </row>
    <row r="67" spans="1:218" ht="19.8">
      <c r="A67" s="164"/>
      <c r="B67" s="302"/>
      <c r="C67" s="319"/>
      <c r="D67" s="328" t="s">
        <v>602</v>
      </c>
      <c r="E67" s="305"/>
      <c r="F67" s="303" t="s">
        <v>461</v>
      </c>
      <c r="G67" s="306">
        <v>1.19</v>
      </c>
      <c r="H67" s="334"/>
      <c r="I67" s="308"/>
      <c r="J67" s="309"/>
      <c r="K67" s="310"/>
      <c r="L67" s="329"/>
      <c r="M67" s="311"/>
      <c r="N67" s="315"/>
      <c r="O67" s="310"/>
      <c r="P67" s="329"/>
      <c r="Q67" s="311"/>
      <c r="R67" s="315"/>
      <c r="S67" s="310"/>
      <c r="T67" s="329"/>
      <c r="U67" s="311"/>
      <c r="V67" s="315"/>
      <c r="W67" s="310"/>
      <c r="X67" s="329"/>
      <c r="Y67" s="311"/>
      <c r="Z67" s="315"/>
      <c r="AA67" s="310"/>
      <c r="AB67" s="329"/>
      <c r="AC67" s="311"/>
      <c r="AD67" s="315"/>
      <c r="AE67" s="310"/>
      <c r="AF67" s="329"/>
      <c r="AG67" s="311"/>
      <c r="AH67" s="315"/>
      <c r="AI67" s="310"/>
      <c r="AJ67" s="329"/>
      <c r="AK67" s="311"/>
      <c r="AL67" s="315"/>
      <c r="AM67" s="310"/>
      <c r="AN67" s="329"/>
      <c r="AO67" s="311"/>
      <c r="AP67" s="315"/>
      <c r="AQ67" s="310"/>
      <c r="AR67" s="329"/>
      <c r="AS67" s="311"/>
      <c r="AT67" s="315"/>
      <c r="AU67" s="310"/>
      <c r="AV67" s="329"/>
      <c r="AW67" s="311"/>
      <c r="AX67" s="315"/>
      <c r="AY67" s="310"/>
      <c r="AZ67" s="329"/>
      <c r="BA67" s="311"/>
      <c r="BB67" s="315"/>
      <c r="BC67" s="310"/>
      <c r="BD67" s="329"/>
      <c r="BE67" s="311"/>
      <c r="BF67" s="315"/>
      <c r="BG67" s="310"/>
      <c r="BH67" s="329"/>
      <c r="BI67" s="311"/>
      <c r="BJ67" s="315"/>
      <c r="BK67" s="310"/>
      <c r="BL67" s="329"/>
      <c r="BM67" s="311"/>
      <c r="BN67" s="315"/>
      <c r="BO67" s="310"/>
      <c r="BP67" s="329"/>
      <c r="BQ67" s="311"/>
      <c r="BR67" s="315"/>
      <c r="BS67" s="310"/>
      <c r="BT67" s="329"/>
      <c r="BU67" s="311"/>
      <c r="BV67" s="315"/>
      <c r="BW67" s="310"/>
      <c r="BX67" s="329"/>
      <c r="BY67" s="311"/>
      <c r="BZ67" s="315"/>
      <c r="CA67" s="310"/>
      <c r="CB67" s="329"/>
      <c r="CC67" s="311"/>
      <c r="CD67" s="315"/>
      <c r="CE67" s="310"/>
      <c r="CF67" s="329"/>
      <c r="CG67" s="311"/>
      <c r="CH67" s="315"/>
      <c r="CI67" s="310"/>
      <c r="CJ67" s="329"/>
      <c r="CK67" s="311"/>
      <c r="CL67" s="315"/>
      <c r="CM67" s="310"/>
      <c r="CN67" s="329"/>
      <c r="CO67" s="311"/>
      <c r="CP67" s="315"/>
      <c r="CQ67" s="310"/>
      <c r="CR67" s="329"/>
      <c r="CS67" s="311"/>
      <c r="CT67" s="315"/>
      <c r="CU67" s="310"/>
      <c r="CV67" s="329"/>
      <c r="CW67" s="311"/>
      <c r="CX67" s="315"/>
      <c r="CY67" s="310"/>
      <c r="CZ67" s="329"/>
      <c r="DA67" s="311"/>
      <c r="DB67" s="315"/>
      <c r="DC67" s="310"/>
      <c r="DD67" s="329"/>
      <c r="DE67" s="311"/>
      <c r="DF67" s="315"/>
      <c r="DG67" s="310"/>
      <c r="DH67" s="329"/>
      <c r="DI67" s="311"/>
      <c r="DJ67" s="315"/>
      <c r="DK67" s="310"/>
      <c r="DL67" s="329"/>
      <c r="DM67" s="311"/>
      <c r="DN67" s="315"/>
      <c r="DO67" s="310"/>
      <c r="DP67" s="329"/>
      <c r="DQ67" s="311"/>
      <c r="DR67" s="315"/>
      <c r="DS67" s="310"/>
      <c r="DT67" s="329"/>
      <c r="DU67" s="311"/>
      <c r="DV67" s="315"/>
      <c r="DW67" s="310"/>
      <c r="DX67" s="329"/>
      <c r="DY67" s="311"/>
      <c r="DZ67" s="315"/>
      <c r="EA67" s="310"/>
      <c r="EB67" s="329"/>
      <c r="EC67" s="311"/>
      <c r="ED67" s="315"/>
      <c r="EE67" s="310"/>
      <c r="EF67" s="329"/>
      <c r="EG67" s="311"/>
      <c r="EH67" s="315"/>
      <c r="EI67" s="310"/>
      <c r="EJ67" s="329"/>
      <c r="EK67" s="311"/>
      <c r="EL67" s="315"/>
      <c r="EM67" s="310"/>
      <c r="EN67" s="329"/>
      <c r="EO67" s="311"/>
      <c r="EP67" s="315"/>
      <c r="EQ67" s="310"/>
      <c r="ER67" s="329"/>
      <c r="ES67" s="311"/>
      <c r="ET67" s="315"/>
      <c r="EU67" s="310"/>
      <c r="EV67" s="329"/>
      <c r="EW67" s="311"/>
      <c r="EX67" s="315"/>
      <c r="EY67" s="310"/>
      <c r="EZ67" s="329"/>
      <c r="FA67" s="311"/>
      <c r="FB67" s="315"/>
      <c r="FC67" s="310"/>
      <c r="FD67" s="329"/>
      <c r="FE67" s="311"/>
      <c r="FF67" s="315"/>
      <c r="FG67" s="310"/>
      <c r="FH67" s="329"/>
      <c r="FI67" s="311"/>
      <c r="FJ67" s="315"/>
      <c r="FK67" s="310"/>
      <c r="FL67" s="329"/>
      <c r="FM67" s="311"/>
      <c r="FN67" s="315"/>
      <c r="FO67" s="310"/>
      <c r="FP67" s="329"/>
      <c r="FQ67" s="311"/>
      <c r="FR67" s="315"/>
      <c r="FS67" s="310"/>
      <c r="FT67" s="329"/>
      <c r="FU67" s="311"/>
      <c r="FV67" s="315"/>
      <c r="FW67" s="310"/>
      <c r="FX67" s="329"/>
      <c r="FY67" s="311"/>
      <c r="FZ67" s="315"/>
      <c r="GA67" s="310"/>
      <c r="GB67" s="329"/>
      <c r="GC67" s="311"/>
      <c r="GD67" s="315"/>
      <c r="GE67" s="310"/>
      <c r="GF67" s="329"/>
      <c r="GG67" s="311"/>
      <c r="GH67" s="315"/>
      <c r="GI67" s="310"/>
      <c r="GJ67" s="329"/>
      <c r="GK67" s="311"/>
      <c r="GL67" s="315"/>
      <c r="GM67" s="310"/>
      <c r="GN67" s="329"/>
      <c r="GO67" s="311"/>
      <c r="GP67" s="315"/>
      <c r="GQ67" s="310"/>
      <c r="GR67" s="329"/>
      <c r="GS67" s="311"/>
      <c r="GT67" s="315"/>
      <c r="GU67" s="310"/>
      <c r="GV67" s="329"/>
      <c r="GW67" s="311"/>
      <c r="GX67" s="315"/>
      <c r="GY67" s="310"/>
      <c r="GZ67" s="329"/>
      <c r="HA67" s="311"/>
      <c r="HB67" s="315"/>
      <c r="HC67" s="312">
        <f t="shared" si="71"/>
        <v>0</v>
      </c>
      <c r="HD67" s="330"/>
      <c r="HE67" s="313">
        <f t="shared" si="71"/>
        <v>0</v>
      </c>
      <c r="HF67" s="331">
        <f t="shared" si="71"/>
        <v>0</v>
      </c>
      <c r="HG67" s="312">
        <f>SUM(SUMIFS(K67:HB67,$K$13:$HB$13,{"エネルギー管理指定工場等*","県域*"}))</f>
        <v>0</v>
      </c>
      <c r="HH67" s="330"/>
      <c r="HI67" s="313">
        <f>SUM(SUMIFS(M67:HD67,$K$13:$HB$13,{"エネルギー管理指定工場等*","県域*"}))</f>
        <v>0</v>
      </c>
      <c r="HJ67" s="331">
        <f>SUM(SUMIFS(N67:HE67,$K$13:$HB$13,{"エネルギー管理指定工場等*","県域*"}))</f>
        <v>0</v>
      </c>
    </row>
    <row r="68" spans="1:218" ht="19.8">
      <c r="A68" s="164"/>
      <c r="B68" s="302"/>
      <c r="C68" s="319"/>
      <c r="D68" s="332"/>
      <c r="E68" s="333" t="s">
        <v>603</v>
      </c>
      <c r="F68" s="303" t="s">
        <v>461</v>
      </c>
      <c r="G68" s="306">
        <v>1.19</v>
      </c>
      <c r="H68" s="334"/>
      <c r="I68" s="308"/>
      <c r="J68" s="309"/>
      <c r="K68" s="310"/>
      <c r="L68" s="329"/>
      <c r="M68" s="311"/>
      <c r="N68" s="315"/>
      <c r="O68" s="310"/>
      <c r="P68" s="329"/>
      <c r="Q68" s="311"/>
      <c r="R68" s="315"/>
      <c r="S68" s="310"/>
      <c r="T68" s="329"/>
      <c r="U68" s="311"/>
      <c r="V68" s="315"/>
      <c r="W68" s="310"/>
      <c r="X68" s="329"/>
      <c r="Y68" s="311"/>
      <c r="Z68" s="315"/>
      <c r="AA68" s="310"/>
      <c r="AB68" s="329"/>
      <c r="AC68" s="311"/>
      <c r="AD68" s="315"/>
      <c r="AE68" s="310"/>
      <c r="AF68" s="329"/>
      <c r="AG68" s="311"/>
      <c r="AH68" s="315"/>
      <c r="AI68" s="310"/>
      <c r="AJ68" s="329"/>
      <c r="AK68" s="311"/>
      <c r="AL68" s="315"/>
      <c r="AM68" s="310"/>
      <c r="AN68" s="329"/>
      <c r="AO68" s="311"/>
      <c r="AP68" s="315"/>
      <c r="AQ68" s="310"/>
      <c r="AR68" s="329"/>
      <c r="AS68" s="311"/>
      <c r="AT68" s="315"/>
      <c r="AU68" s="310"/>
      <c r="AV68" s="329"/>
      <c r="AW68" s="311"/>
      <c r="AX68" s="315"/>
      <c r="AY68" s="310"/>
      <c r="AZ68" s="329"/>
      <c r="BA68" s="311"/>
      <c r="BB68" s="315"/>
      <c r="BC68" s="310"/>
      <c r="BD68" s="329"/>
      <c r="BE68" s="311"/>
      <c r="BF68" s="315"/>
      <c r="BG68" s="310"/>
      <c r="BH68" s="329"/>
      <c r="BI68" s="311"/>
      <c r="BJ68" s="315"/>
      <c r="BK68" s="310"/>
      <c r="BL68" s="329"/>
      <c r="BM68" s="311"/>
      <c r="BN68" s="315"/>
      <c r="BO68" s="310"/>
      <c r="BP68" s="329"/>
      <c r="BQ68" s="311"/>
      <c r="BR68" s="315"/>
      <c r="BS68" s="310"/>
      <c r="BT68" s="329"/>
      <c r="BU68" s="311"/>
      <c r="BV68" s="315"/>
      <c r="BW68" s="310"/>
      <c r="BX68" s="329"/>
      <c r="BY68" s="311"/>
      <c r="BZ68" s="315"/>
      <c r="CA68" s="310"/>
      <c r="CB68" s="329"/>
      <c r="CC68" s="311"/>
      <c r="CD68" s="315"/>
      <c r="CE68" s="310"/>
      <c r="CF68" s="329"/>
      <c r="CG68" s="311"/>
      <c r="CH68" s="315"/>
      <c r="CI68" s="310"/>
      <c r="CJ68" s="329"/>
      <c r="CK68" s="311"/>
      <c r="CL68" s="315"/>
      <c r="CM68" s="310"/>
      <c r="CN68" s="329"/>
      <c r="CO68" s="311"/>
      <c r="CP68" s="315"/>
      <c r="CQ68" s="310"/>
      <c r="CR68" s="329"/>
      <c r="CS68" s="311"/>
      <c r="CT68" s="315"/>
      <c r="CU68" s="310"/>
      <c r="CV68" s="329"/>
      <c r="CW68" s="311"/>
      <c r="CX68" s="315"/>
      <c r="CY68" s="310"/>
      <c r="CZ68" s="329"/>
      <c r="DA68" s="311"/>
      <c r="DB68" s="315"/>
      <c r="DC68" s="310"/>
      <c r="DD68" s="329"/>
      <c r="DE68" s="311"/>
      <c r="DF68" s="315"/>
      <c r="DG68" s="310"/>
      <c r="DH68" s="329"/>
      <c r="DI68" s="311"/>
      <c r="DJ68" s="315"/>
      <c r="DK68" s="310"/>
      <c r="DL68" s="329"/>
      <c r="DM68" s="311"/>
      <c r="DN68" s="315"/>
      <c r="DO68" s="310"/>
      <c r="DP68" s="329"/>
      <c r="DQ68" s="311"/>
      <c r="DR68" s="315"/>
      <c r="DS68" s="310"/>
      <c r="DT68" s="329"/>
      <c r="DU68" s="311"/>
      <c r="DV68" s="315"/>
      <c r="DW68" s="310"/>
      <c r="DX68" s="329"/>
      <c r="DY68" s="311"/>
      <c r="DZ68" s="315"/>
      <c r="EA68" s="310"/>
      <c r="EB68" s="329"/>
      <c r="EC68" s="311"/>
      <c r="ED68" s="315"/>
      <c r="EE68" s="310"/>
      <c r="EF68" s="329"/>
      <c r="EG68" s="311"/>
      <c r="EH68" s="315"/>
      <c r="EI68" s="310"/>
      <c r="EJ68" s="329"/>
      <c r="EK68" s="311"/>
      <c r="EL68" s="315"/>
      <c r="EM68" s="310"/>
      <c r="EN68" s="329"/>
      <c r="EO68" s="311"/>
      <c r="EP68" s="315"/>
      <c r="EQ68" s="310"/>
      <c r="ER68" s="329"/>
      <c r="ES68" s="311"/>
      <c r="ET68" s="315"/>
      <c r="EU68" s="310"/>
      <c r="EV68" s="329"/>
      <c r="EW68" s="311"/>
      <c r="EX68" s="315"/>
      <c r="EY68" s="310"/>
      <c r="EZ68" s="329"/>
      <c r="FA68" s="311"/>
      <c r="FB68" s="315"/>
      <c r="FC68" s="310"/>
      <c r="FD68" s="329"/>
      <c r="FE68" s="311"/>
      <c r="FF68" s="315"/>
      <c r="FG68" s="310"/>
      <c r="FH68" s="329"/>
      <c r="FI68" s="311"/>
      <c r="FJ68" s="315"/>
      <c r="FK68" s="310"/>
      <c r="FL68" s="329"/>
      <c r="FM68" s="311"/>
      <c r="FN68" s="315"/>
      <c r="FO68" s="310"/>
      <c r="FP68" s="329"/>
      <c r="FQ68" s="311"/>
      <c r="FR68" s="315"/>
      <c r="FS68" s="310"/>
      <c r="FT68" s="329"/>
      <c r="FU68" s="311"/>
      <c r="FV68" s="315"/>
      <c r="FW68" s="310"/>
      <c r="FX68" s="329"/>
      <c r="FY68" s="311"/>
      <c r="FZ68" s="315"/>
      <c r="GA68" s="310"/>
      <c r="GB68" s="329"/>
      <c r="GC68" s="311"/>
      <c r="GD68" s="315"/>
      <c r="GE68" s="310"/>
      <c r="GF68" s="329"/>
      <c r="GG68" s="311"/>
      <c r="GH68" s="315"/>
      <c r="GI68" s="310"/>
      <c r="GJ68" s="329"/>
      <c r="GK68" s="311"/>
      <c r="GL68" s="315"/>
      <c r="GM68" s="310"/>
      <c r="GN68" s="329"/>
      <c r="GO68" s="311"/>
      <c r="GP68" s="315"/>
      <c r="GQ68" s="310"/>
      <c r="GR68" s="329"/>
      <c r="GS68" s="311"/>
      <c r="GT68" s="315"/>
      <c r="GU68" s="310"/>
      <c r="GV68" s="329"/>
      <c r="GW68" s="311"/>
      <c r="GX68" s="315"/>
      <c r="GY68" s="310"/>
      <c r="GZ68" s="329"/>
      <c r="HA68" s="311"/>
      <c r="HB68" s="315"/>
      <c r="HC68" s="312">
        <f t="shared" si="71"/>
        <v>0</v>
      </c>
      <c r="HD68" s="330"/>
      <c r="HE68" s="313">
        <f t="shared" si="71"/>
        <v>0</v>
      </c>
      <c r="HF68" s="331">
        <f t="shared" si="71"/>
        <v>0</v>
      </c>
      <c r="HG68" s="312">
        <f>SUM(SUMIFS(K68:HB68,$K$13:$HB$13,{"エネルギー管理指定工場等*","県域*"}))</f>
        <v>0</v>
      </c>
      <c r="HH68" s="330"/>
      <c r="HI68" s="313">
        <f>SUM(SUMIFS(M68:HD68,$K$13:$HB$13,{"エネルギー管理指定工場等*","県域*"}))</f>
        <v>0</v>
      </c>
      <c r="HJ68" s="331">
        <f>SUM(SUMIFS(N68:HE68,$K$13:$HB$13,{"エネルギー管理指定工場等*","県域*"}))</f>
        <v>0</v>
      </c>
    </row>
    <row r="69" spans="1:218" ht="19.8">
      <c r="A69" s="164"/>
      <c r="B69" s="302"/>
      <c r="C69" s="319"/>
      <c r="D69" s="328" t="s">
        <v>604</v>
      </c>
      <c r="E69" s="305"/>
      <c r="F69" s="303" t="s">
        <v>461</v>
      </c>
      <c r="G69" s="306">
        <v>1.19</v>
      </c>
      <c r="H69" s="334"/>
      <c r="I69" s="308"/>
      <c r="J69" s="309"/>
      <c r="K69" s="310"/>
      <c r="L69" s="329"/>
      <c r="M69" s="311"/>
      <c r="N69" s="315"/>
      <c r="O69" s="310"/>
      <c r="P69" s="329"/>
      <c r="Q69" s="311"/>
      <c r="R69" s="315"/>
      <c r="S69" s="310"/>
      <c r="T69" s="329"/>
      <c r="U69" s="311"/>
      <c r="V69" s="315"/>
      <c r="W69" s="310"/>
      <c r="X69" s="329"/>
      <c r="Y69" s="311"/>
      <c r="Z69" s="315"/>
      <c r="AA69" s="310"/>
      <c r="AB69" s="329"/>
      <c r="AC69" s="311"/>
      <c r="AD69" s="315"/>
      <c r="AE69" s="310"/>
      <c r="AF69" s="329"/>
      <c r="AG69" s="311"/>
      <c r="AH69" s="315"/>
      <c r="AI69" s="310"/>
      <c r="AJ69" s="329"/>
      <c r="AK69" s="311"/>
      <c r="AL69" s="315"/>
      <c r="AM69" s="310"/>
      <c r="AN69" s="329"/>
      <c r="AO69" s="311"/>
      <c r="AP69" s="315"/>
      <c r="AQ69" s="310"/>
      <c r="AR69" s="329"/>
      <c r="AS69" s="311"/>
      <c r="AT69" s="315"/>
      <c r="AU69" s="310"/>
      <c r="AV69" s="329"/>
      <c r="AW69" s="311"/>
      <c r="AX69" s="315"/>
      <c r="AY69" s="310"/>
      <c r="AZ69" s="329"/>
      <c r="BA69" s="311"/>
      <c r="BB69" s="315"/>
      <c r="BC69" s="310"/>
      <c r="BD69" s="329"/>
      <c r="BE69" s="311"/>
      <c r="BF69" s="315"/>
      <c r="BG69" s="310"/>
      <c r="BH69" s="329"/>
      <c r="BI69" s="311"/>
      <c r="BJ69" s="315"/>
      <c r="BK69" s="310"/>
      <c r="BL69" s="329"/>
      <c r="BM69" s="311"/>
      <c r="BN69" s="315"/>
      <c r="BO69" s="310"/>
      <c r="BP69" s="329"/>
      <c r="BQ69" s="311"/>
      <c r="BR69" s="315"/>
      <c r="BS69" s="310"/>
      <c r="BT69" s="329"/>
      <c r="BU69" s="311"/>
      <c r="BV69" s="315"/>
      <c r="BW69" s="310"/>
      <c r="BX69" s="329"/>
      <c r="BY69" s="311"/>
      <c r="BZ69" s="315"/>
      <c r="CA69" s="310"/>
      <c r="CB69" s="329"/>
      <c r="CC69" s="311"/>
      <c r="CD69" s="315"/>
      <c r="CE69" s="310"/>
      <c r="CF69" s="329"/>
      <c r="CG69" s="311"/>
      <c r="CH69" s="315"/>
      <c r="CI69" s="310"/>
      <c r="CJ69" s="329"/>
      <c r="CK69" s="311"/>
      <c r="CL69" s="315"/>
      <c r="CM69" s="310"/>
      <c r="CN69" s="329"/>
      <c r="CO69" s="311"/>
      <c r="CP69" s="315"/>
      <c r="CQ69" s="310"/>
      <c r="CR69" s="329"/>
      <c r="CS69" s="311"/>
      <c r="CT69" s="315"/>
      <c r="CU69" s="310"/>
      <c r="CV69" s="329"/>
      <c r="CW69" s="311"/>
      <c r="CX69" s="315"/>
      <c r="CY69" s="310"/>
      <c r="CZ69" s="329"/>
      <c r="DA69" s="311"/>
      <c r="DB69" s="315"/>
      <c r="DC69" s="310"/>
      <c r="DD69" s="329"/>
      <c r="DE69" s="311"/>
      <c r="DF69" s="315"/>
      <c r="DG69" s="310"/>
      <c r="DH69" s="329"/>
      <c r="DI69" s="311"/>
      <c r="DJ69" s="315"/>
      <c r="DK69" s="310"/>
      <c r="DL69" s="329"/>
      <c r="DM69" s="311"/>
      <c r="DN69" s="315"/>
      <c r="DO69" s="310"/>
      <c r="DP69" s="329"/>
      <c r="DQ69" s="311"/>
      <c r="DR69" s="315"/>
      <c r="DS69" s="310"/>
      <c r="DT69" s="329"/>
      <c r="DU69" s="311"/>
      <c r="DV69" s="315"/>
      <c r="DW69" s="310"/>
      <c r="DX69" s="329"/>
      <c r="DY69" s="311"/>
      <c r="DZ69" s="315"/>
      <c r="EA69" s="310"/>
      <c r="EB69" s="329"/>
      <c r="EC69" s="311"/>
      <c r="ED69" s="315"/>
      <c r="EE69" s="310"/>
      <c r="EF69" s="329"/>
      <c r="EG69" s="311"/>
      <c r="EH69" s="315"/>
      <c r="EI69" s="310"/>
      <c r="EJ69" s="329"/>
      <c r="EK69" s="311"/>
      <c r="EL69" s="315"/>
      <c r="EM69" s="310"/>
      <c r="EN69" s="329"/>
      <c r="EO69" s="311"/>
      <c r="EP69" s="315"/>
      <c r="EQ69" s="310"/>
      <c r="ER69" s="329"/>
      <c r="ES69" s="311"/>
      <c r="ET69" s="315"/>
      <c r="EU69" s="310"/>
      <c r="EV69" s="329"/>
      <c r="EW69" s="311"/>
      <c r="EX69" s="315"/>
      <c r="EY69" s="310"/>
      <c r="EZ69" s="329"/>
      <c r="FA69" s="311"/>
      <c r="FB69" s="315"/>
      <c r="FC69" s="310"/>
      <c r="FD69" s="329"/>
      <c r="FE69" s="311"/>
      <c r="FF69" s="315"/>
      <c r="FG69" s="310"/>
      <c r="FH69" s="329"/>
      <c r="FI69" s="311"/>
      <c r="FJ69" s="315"/>
      <c r="FK69" s="310"/>
      <c r="FL69" s="329"/>
      <c r="FM69" s="311"/>
      <c r="FN69" s="315"/>
      <c r="FO69" s="310"/>
      <c r="FP69" s="329"/>
      <c r="FQ69" s="311"/>
      <c r="FR69" s="315"/>
      <c r="FS69" s="310"/>
      <c r="FT69" s="329"/>
      <c r="FU69" s="311"/>
      <c r="FV69" s="315"/>
      <c r="FW69" s="310"/>
      <c r="FX69" s="329"/>
      <c r="FY69" s="311"/>
      <c r="FZ69" s="315"/>
      <c r="GA69" s="310"/>
      <c r="GB69" s="329"/>
      <c r="GC69" s="311"/>
      <c r="GD69" s="315"/>
      <c r="GE69" s="310"/>
      <c r="GF69" s="329"/>
      <c r="GG69" s="311"/>
      <c r="GH69" s="315"/>
      <c r="GI69" s="310"/>
      <c r="GJ69" s="329"/>
      <c r="GK69" s="311"/>
      <c r="GL69" s="315"/>
      <c r="GM69" s="310"/>
      <c r="GN69" s="329"/>
      <c r="GO69" s="311"/>
      <c r="GP69" s="315"/>
      <c r="GQ69" s="310"/>
      <c r="GR69" s="329"/>
      <c r="GS69" s="311"/>
      <c r="GT69" s="315"/>
      <c r="GU69" s="310"/>
      <c r="GV69" s="329"/>
      <c r="GW69" s="311"/>
      <c r="GX69" s="315"/>
      <c r="GY69" s="310"/>
      <c r="GZ69" s="329"/>
      <c r="HA69" s="311"/>
      <c r="HB69" s="315"/>
      <c r="HC69" s="312">
        <f t="shared" si="71"/>
        <v>0</v>
      </c>
      <c r="HD69" s="330"/>
      <c r="HE69" s="313">
        <f t="shared" si="71"/>
        <v>0</v>
      </c>
      <c r="HF69" s="331">
        <f t="shared" si="71"/>
        <v>0</v>
      </c>
      <c r="HG69" s="312">
        <f>SUM(SUMIFS(K69:HB69,$K$13:$HB$13,{"エネルギー管理指定工場等*","県域*"}))</f>
        <v>0</v>
      </c>
      <c r="HH69" s="330"/>
      <c r="HI69" s="313">
        <f>SUM(SUMIFS(M69:HD69,$K$13:$HB$13,{"エネルギー管理指定工場等*","県域*"}))</f>
        <v>0</v>
      </c>
      <c r="HJ69" s="331">
        <f>SUM(SUMIFS(N69:HE69,$K$13:$HB$13,{"エネルギー管理指定工場等*","県域*"}))</f>
        <v>0</v>
      </c>
    </row>
    <row r="70" spans="1:218" ht="19.8">
      <c r="A70" s="164"/>
      <c r="B70" s="302"/>
      <c r="C70" s="319"/>
      <c r="D70" s="332"/>
      <c r="E70" s="333" t="s">
        <v>1377</v>
      </c>
      <c r="F70" s="303" t="s">
        <v>461</v>
      </c>
      <c r="G70" s="306">
        <v>1.19</v>
      </c>
      <c r="H70" s="334"/>
      <c r="I70" s="308"/>
      <c r="J70" s="309"/>
      <c r="K70" s="310"/>
      <c r="L70" s="329"/>
      <c r="M70" s="311"/>
      <c r="N70" s="315"/>
      <c r="O70" s="310"/>
      <c r="P70" s="329"/>
      <c r="Q70" s="311"/>
      <c r="R70" s="315"/>
      <c r="S70" s="310"/>
      <c r="T70" s="329"/>
      <c r="U70" s="311"/>
      <c r="V70" s="315"/>
      <c r="W70" s="310"/>
      <c r="X70" s="329"/>
      <c r="Y70" s="311"/>
      <c r="Z70" s="315"/>
      <c r="AA70" s="310"/>
      <c r="AB70" s="329"/>
      <c r="AC70" s="311"/>
      <c r="AD70" s="315"/>
      <c r="AE70" s="310"/>
      <c r="AF70" s="329"/>
      <c r="AG70" s="311"/>
      <c r="AH70" s="315"/>
      <c r="AI70" s="310"/>
      <c r="AJ70" s="329"/>
      <c r="AK70" s="311"/>
      <c r="AL70" s="315"/>
      <c r="AM70" s="310"/>
      <c r="AN70" s="329"/>
      <c r="AO70" s="311"/>
      <c r="AP70" s="315"/>
      <c r="AQ70" s="310"/>
      <c r="AR70" s="329"/>
      <c r="AS70" s="311"/>
      <c r="AT70" s="315"/>
      <c r="AU70" s="310"/>
      <c r="AV70" s="329"/>
      <c r="AW70" s="311"/>
      <c r="AX70" s="315"/>
      <c r="AY70" s="310"/>
      <c r="AZ70" s="329"/>
      <c r="BA70" s="311"/>
      <c r="BB70" s="315"/>
      <c r="BC70" s="310"/>
      <c r="BD70" s="329"/>
      <c r="BE70" s="311"/>
      <c r="BF70" s="315"/>
      <c r="BG70" s="310"/>
      <c r="BH70" s="329"/>
      <c r="BI70" s="311"/>
      <c r="BJ70" s="315"/>
      <c r="BK70" s="310"/>
      <c r="BL70" s="329"/>
      <c r="BM70" s="311"/>
      <c r="BN70" s="315"/>
      <c r="BO70" s="310"/>
      <c r="BP70" s="329"/>
      <c r="BQ70" s="311"/>
      <c r="BR70" s="315"/>
      <c r="BS70" s="310"/>
      <c r="BT70" s="329"/>
      <c r="BU70" s="311"/>
      <c r="BV70" s="315"/>
      <c r="BW70" s="310"/>
      <c r="BX70" s="329"/>
      <c r="BY70" s="311"/>
      <c r="BZ70" s="315"/>
      <c r="CA70" s="310"/>
      <c r="CB70" s="329"/>
      <c r="CC70" s="311"/>
      <c r="CD70" s="315"/>
      <c r="CE70" s="310"/>
      <c r="CF70" s="329"/>
      <c r="CG70" s="311"/>
      <c r="CH70" s="315"/>
      <c r="CI70" s="310"/>
      <c r="CJ70" s="329"/>
      <c r="CK70" s="311"/>
      <c r="CL70" s="315"/>
      <c r="CM70" s="310"/>
      <c r="CN70" s="329"/>
      <c r="CO70" s="311"/>
      <c r="CP70" s="315"/>
      <c r="CQ70" s="310"/>
      <c r="CR70" s="329"/>
      <c r="CS70" s="311"/>
      <c r="CT70" s="315"/>
      <c r="CU70" s="310"/>
      <c r="CV70" s="329"/>
      <c r="CW70" s="311"/>
      <c r="CX70" s="315"/>
      <c r="CY70" s="310"/>
      <c r="CZ70" s="329"/>
      <c r="DA70" s="311"/>
      <c r="DB70" s="315"/>
      <c r="DC70" s="310"/>
      <c r="DD70" s="329"/>
      <c r="DE70" s="311"/>
      <c r="DF70" s="315"/>
      <c r="DG70" s="310"/>
      <c r="DH70" s="329"/>
      <c r="DI70" s="311"/>
      <c r="DJ70" s="315"/>
      <c r="DK70" s="310"/>
      <c r="DL70" s="329"/>
      <c r="DM70" s="311"/>
      <c r="DN70" s="315"/>
      <c r="DO70" s="310"/>
      <c r="DP70" s="329"/>
      <c r="DQ70" s="311"/>
      <c r="DR70" s="315"/>
      <c r="DS70" s="310"/>
      <c r="DT70" s="329"/>
      <c r="DU70" s="311"/>
      <c r="DV70" s="315"/>
      <c r="DW70" s="310"/>
      <c r="DX70" s="329"/>
      <c r="DY70" s="311"/>
      <c r="DZ70" s="315"/>
      <c r="EA70" s="310"/>
      <c r="EB70" s="329"/>
      <c r="EC70" s="311"/>
      <c r="ED70" s="315"/>
      <c r="EE70" s="310"/>
      <c r="EF70" s="329"/>
      <c r="EG70" s="311"/>
      <c r="EH70" s="315"/>
      <c r="EI70" s="310"/>
      <c r="EJ70" s="329"/>
      <c r="EK70" s="311"/>
      <c r="EL70" s="315"/>
      <c r="EM70" s="310"/>
      <c r="EN70" s="329"/>
      <c r="EO70" s="311"/>
      <c r="EP70" s="315"/>
      <c r="EQ70" s="310"/>
      <c r="ER70" s="329"/>
      <c r="ES70" s="311"/>
      <c r="ET70" s="315"/>
      <c r="EU70" s="310"/>
      <c r="EV70" s="329"/>
      <c r="EW70" s="311"/>
      <c r="EX70" s="315"/>
      <c r="EY70" s="310"/>
      <c r="EZ70" s="329"/>
      <c r="FA70" s="311"/>
      <c r="FB70" s="315"/>
      <c r="FC70" s="310"/>
      <c r="FD70" s="329"/>
      <c r="FE70" s="311"/>
      <c r="FF70" s="315"/>
      <c r="FG70" s="310"/>
      <c r="FH70" s="329"/>
      <c r="FI70" s="311"/>
      <c r="FJ70" s="315"/>
      <c r="FK70" s="310"/>
      <c r="FL70" s="329"/>
      <c r="FM70" s="311"/>
      <c r="FN70" s="315"/>
      <c r="FO70" s="310"/>
      <c r="FP70" s="329"/>
      <c r="FQ70" s="311"/>
      <c r="FR70" s="315"/>
      <c r="FS70" s="310"/>
      <c r="FT70" s="329"/>
      <c r="FU70" s="311"/>
      <c r="FV70" s="315"/>
      <c r="FW70" s="310"/>
      <c r="FX70" s="329"/>
      <c r="FY70" s="311"/>
      <c r="FZ70" s="315"/>
      <c r="GA70" s="310"/>
      <c r="GB70" s="329"/>
      <c r="GC70" s="311"/>
      <c r="GD70" s="315"/>
      <c r="GE70" s="310"/>
      <c r="GF70" s="329"/>
      <c r="GG70" s="311"/>
      <c r="GH70" s="315"/>
      <c r="GI70" s="310"/>
      <c r="GJ70" s="329"/>
      <c r="GK70" s="311"/>
      <c r="GL70" s="315"/>
      <c r="GM70" s="310"/>
      <c r="GN70" s="329"/>
      <c r="GO70" s="311"/>
      <c r="GP70" s="315"/>
      <c r="GQ70" s="310"/>
      <c r="GR70" s="329"/>
      <c r="GS70" s="311"/>
      <c r="GT70" s="315"/>
      <c r="GU70" s="310"/>
      <c r="GV70" s="329"/>
      <c r="GW70" s="311"/>
      <c r="GX70" s="315"/>
      <c r="GY70" s="310"/>
      <c r="GZ70" s="329"/>
      <c r="HA70" s="311"/>
      <c r="HB70" s="315"/>
      <c r="HC70" s="312">
        <f t="shared" si="71"/>
        <v>0</v>
      </c>
      <c r="HD70" s="330"/>
      <c r="HE70" s="313">
        <f t="shared" si="71"/>
        <v>0</v>
      </c>
      <c r="HF70" s="331">
        <f t="shared" si="71"/>
        <v>0</v>
      </c>
      <c r="HG70" s="312">
        <f>SUM(SUMIFS(K70:HB70,$K$13:$HB$13,{"エネルギー管理指定工場等*","県域*"}))</f>
        <v>0</v>
      </c>
      <c r="HH70" s="330"/>
      <c r="HI70" s="313">
        <f>SUM(SUMIFS(M70:HD70,$K$13:$HB$13,{"エネルギー管理指定工場等*","県域*"}))</f>
        <v>0</v>
      </c>
      <c r="HJ70" s="331">
        <f>SUM(SUMIFS(N70:HE70,$K$13:$HB$13,{"エネルギー管理指定工場等*","県域*"}))</f>
        <v>0</v>
      </c>
    </row>
    <row r="71" spans="1:218" ht="19.8">
      <c r="A71" s="164"/>
      <c r="B71" s="302"/>
      <c r="C71" s="319"/>
      <c r="D71" s="328" t="s">
        <v>605</v>
      </c>
      <c r="E71" s="305"/>
      <c r="F71" s="303" t="s">
        <v>461</v>
      </c>
      <c r="G71" s="306">
        <v>1.19</v>
      </c>
      <c r="H71" s="334"/>
      <c r="I71" s="308"/>
      <c r="J71" s="309"/>
      <c r="K71" s="310"/>
      <c r="L71" s="329"/>
      <c r="M71" s="311"/>
      <c r="N71" s="315"/>
      <c r="O71" s="310"/>
      <c r="P71" s="329"/>
      <c r="Q71" s="311"/>
      <c r="R71" s="315"/>
      <c r="S71" s="310"/>
      <c r="T71" s="329"/>
      <c r="U71" s="311"/>
      <c r="V71" s="315"/>
      <c r="W71" s="310"/>
      <c r="X71" s="329"/>
      <c r="Y71" s="311"/>
      <c r="Z71" s="315"/>
      <c r="AA71" s="310"/>
      <c r="AB71" s="329"/>
      <c r="AC71" s="311"/>
      <c r="AD71" s="315"/>
      <c r="AE71" s="310"/>
      <c r="AF71" s="329"/>
      <c r="AG71" s="311"/>
      <c r="AH71" s="315"/>
      <c r="AI71" s="310"/>
      <c r="AJ71" s="329"/>
      <c r="AK71" s="311"/>
      <c r="AL71" s="315"/>
      <c r="AM71" s="310"/>
      <c r="AN71" s="329"/>
      <c r="AO71" s="311"/>
      <c r="AP71" s="315"/>
      <c r="AQ71" s="310"/>
      <c r="AR71" s="329"/>
      <c r="AS71" s="311"/>
      <c r="AT71" s="315"/>
      <c r="AU71" s="310"/>
      <c r="AV71" s="329"/>
      <c r="AW71" s="311"/>
      <c r="AX71" s="315"/>
      <c r="AY71" s="310"/>
      <c r="AZ71" s="329"/>
      <c r="BA71" s="311"/>
      <c r="BB71" s="315"/>
      <c r="BC71" s="310"/>
      <c r="BD71" s="329"/>
      <c r="BE71" s="311"/>
      <c r="BF71" s="315"/>
      <c r="BG71" s="310"/>
      <c r="BH71" s="329"/>
      <c r="BI71" s="311"/>
      <c r="BJ71" s="315"/>
      <c r="BK71" s="310"/>
      <c r="BL71" s="329"/>
      <c r="BM71" s="311"/>
      <c r="BN71" s="315"/>
      <c r="BO71" s="310"/>
      <c r="BP71" s="329"/>
      <c r="BQ71" s="311"/>
      <c r="BR71" s="315"/>
      <c r="BS71" s="310"/>
      <c r="BT71" s="329"/>
      <c r="BU71" s="311"/>
      <c r="BV71" s="315"/>
      <c r="BW71" s="310"/>
      <c r="BX71" s="329"/>
      <c r="BY71" s="311"/>
      <c r="BZ71" s="315"/>
      <c r="CA71" s="310"/>
      <c r="CB71" s="329"/>
      <c r="CC71" s="311"/>
      <c r="CD71" s="315"/>
      <c r="CE71" s="310"/>
      <c r="CF71" s="329"/>
      <c r="CG71" s="311"/>
      <c r="CH71" s="315"/>
      <c r="CI71" s="310"/>
      <c r="CJ71" s="329"/>
      <c r="CK71" s="311"/>
      <c r="CL71" s="315"/>
      <c r="CM71" s="310"/>
      <c r="CN71" s="329"/>
      <c r="CO71" s="311"/>
      <c r="CP71" s="315"/>
      <c r="CQ71" s="310"/>
      <c r="CR71" s="329"/>
      <c r="CS71" s="311"/>
      <c r="CT71" s="315"/>
      <c r="CU71" s="310"/>
      <c r="CV71" s="329"/>
      <c r="CW71" s="311"/>
      <c r="CX71" s="315"/>
      <c r="CY71" s="310"/>
      <c r="CZ71" s="329"/>
      <c r="DA71" s="311"/>
      <c r="DB71" s="315"/>
      <c r="DC71" s="310"/>
      <c r="DD71" s="329"/>
      <c r="DE71" s="311"/>
      <c r="DF71" s="315"/>
      <c r="DG71" s="310"/>
      <c r="DH71" s="329"/>
      <c r="DI71" s="311"/>
      <c r="DJ71" s="315"/>
      <c r="DK71" s="310"/>
      <c r="DL71" s="329"/>
      <c r="DM71" s="311"/>
      <c r="DN71" s="315"/>
      <c r="DO71" s="310"/>
      <c r="DP71" s="329"/>
      <c r="DQ71" s="311"/>
      <c r="DR71" s="315"/>
      <c r="DS71" s="310"/>
      <c r="DT71" s="329"/>
      <c r="DU71" s="311"/>
      <c r="DV71" s="315"/>
      <c r="DW71" s="310"/>
      <c r="DX71" s="329"/>
      <c r="DY71" s="311"/>
      <c r="DZ71" s="315"/>
      <c r="EA71" s="310"/>
      <c r="EB71" s="329"/>
      <c r="EC71" s="311"/>
      <c r="ED71" s="315"/>
      <c r="EE71" s="310"/>
      <c r="EF71" s="329"/>
      <c r="EG71" s="311"/>
      <c r="EH71" s="315"/>
      <c r="EI71" s="310"/>
      <c r="EJ71" s="329"/>
      <c r="EK71" s="311"/>
      <c r="EL71" s="315"/>
      <c r="EM71" s="310"/>
      <c r="EN71" s="329"/>
      <c r="EO71" s="311"/>
      <c r="EP71" s="315"/>
      <c r="EQ71" s="310"/>
      <c r="ER71" s="329"/>
      <c r="ES71" s="311"/>
      <c r="ET71" s="315"/>
      <c r="EU71" s="310"/>
      <c r="EV71" s="329"/>
      <c r="EW71" s="311"/>
      <c r="EX71" s="315"/>
      <c r="EY71" s="310"/>
      <c r="EZ71" s="329"/>
      <c r="FA71" s="311"/>
      <c r="FB71" s="315"/>
      <c r="FC71" s="310"/>
      <c r="FD71" s="329"/>
      <c r="FE71" s="311"/>
      <c r="FF71" s="315"/>
      <c r="FG71" s="310"/>
      <c r="FH71" s="329"/>
      <c r="FI71" s="311"/>
      <c r="FJ71" s="315"/>
      <c r="FK71" s="310"/>
      <c r="FL71" s="329"/>
      <c r="FM71" s="311"/>
      <c r="FN71" s="315"/>
      <c r="FO71" s="310"/>
      <c r="FP71" s="329"/>
      <c r="FQ71" s="311"/>
      <c r="FR71" s="315"/>
      <c r="FS71" s="310"/>
      <c r="FT71" s="329"/>
      <c r="FU71" s="311"/>
      <c r="FV71" s="315"/>
      <c r="FW71" s="310"/>
      <c r="FX71" s="329"/>
      <c r="FY71" s="311"/>
      <c r="FZ71" s="315"/>
      <c r="GA71" s="310"/>
      <c r="GB71" s="329"/>
      <c r="GC71" s="311"/>
      <c r="GD71" s="315"/>
      <c r="GE71" s="310"/>
      <c r="GF71" s="329"/>
      <c r="GG71" s="311"/>
      <c r="GH71" s="315"/>
      <c r="GI71" s="310"/>
      <c r="GJ71" s="329"/>
      <c r="GK71" s="311"/>
      <c r="GL71" s="315"/>
      <c r="GM71" s="310"/>
      <c r="GN71" s="329"/>
      <c r="GO71" s="311"/>
      <c r="GP71" s="315"/>
      <c r="GQ71" s="310"/>
      <c r="GR71" s="329"/>
      <c r="GS71" s="311"/>
      <c r="GT71" s="315"/>
      <c r="GU71" s="310"/>
      <c r="GV71" s="329"/>
      <c r="GW71" s="311"/>
      <c r="GX71" s="315"/>
      <c r="GY71" s="310"/>
      <c r="GZ71" s="329"/>
      <c r="HA71" s="311"/>
      <c r="HB71" s="315"/>
      <c r="HC71" s="312">
        <f t="shared" si="71"/>
        <v>0</v>
      </c>
      <c r="HD71" s="330"/>
      <c r="HE71" s="313">
        <f t="shared" si="71"/>
        <v>0</v>
      </c>
      <c r="HF71" s="331">
        <f t="shared" si="71"/>
        <v>0</v>
      </c>
      <c r="HG71" s="312">
        <f>SUM(SUMIFS(K71:HB71,$K$13:$HB$13,{"エネルギー管理指定工場等*","県域*"}))</f>
        <v>0</v>
      </c>
      <c r="HH71" s="330"/>
      <c r="HI71" s="313">
        <f>SUM(SUMIFS(M71:HD71,$K$13:$HB$13,{"エネルギー管理指定工場等*","県域*"}))</f>
        <v>0</v>
      </c>
      <c r="HJ71" s="331">
        <f>SUM(SUMIFS(N71:HE71,$K$13:$HB$13,{"エネルギー管理指定工場等*","県域*"}))</f>
        <v>0</v>
      </c>
    </row>
    <row r="72" spans="1:218" ht="19.8">
      <c r="A72" s="164"/>
      <c r="B72" s="302"/>
      <c r="C72" s="319"/>
      <c r="D72" s="332"/>
      <c r="E72" s="333" t="s">
        <v>1377</v>
      </c>
      <c r="F72" s="303" t="s">
        <v>461</v>
      </c>
      <c r="G72" s="306">
        <v>1.19</v>
      </c>
      <c r="H72" s="334"/>
      <c r="I72" s="308"/>
      <c r="J72" s="309"/>
      <c r="K72" s="310"/>
      <c r="L72" s="329"/>
      <c r="M72" s="311"/>
      <c r="N72" s="315"/>
      <c r="O72" s="310"/>
      <c r="P72" s="329"/>
      <c r="Q72" s="311"/>
      <c r="R72" s="315"/>
      <c r="S72" s="310"/>
      <c r="T72" s="329"/>
      <c r="U72" s="311"/>
      <c r="V72" s="315"/>
      <c r="W72" s="310"/>
      <c r="X72" s="329"/>
      <c r="Y72" s="311"/>
      <c r="Z72" s="315"/>
      <c r="AA72" s="310"/>
      <c r="AB72" s="329"/>
      <c r="AC72" s="311"/>
      <c r="AD72" s="315"/>
      <c r="AE72" s="310"/>
      <c r="AF72" s="329"/>
      <c r="AG72" s="311"/>
      <c r="AH72" s="315"/>
      <c r="AI72" s="310"/>
      <c r="AJ72" s="329"/>
      <c r="AK72" s="311"/>
      <c r="AL72" s="315"/>
      <c r="AM72" s="310"/>
      <c r="AN72" s="329"/>
      <c r="AO72" s="311"/>
      <c r="AP72" s="315"/>
      <c r="AQ72" s="310"/>
      <c r="AR72" s="329"/>
      <c r="AS72" s="311"/>
      <c r="AT72" s="315"/>
      <c r="AU72" s="310"/>
      <c r="AV72" s="329"/>
      <c r="AW72" s="311"/>
      <c r="AX72" s="315"/>
      <c r="AY72" s="310"/>
      <c r="AZ72" s="329"/>
      <c r="BA72" s="311"/>
      <c r="BB72" s="315"/>
      <c r="BC72" s="310"/>
      <c r="BD72" s="329"/>
      <c r="BE72" s="311"/>
      <c r="BF72" s="315"/>
      <c r="BG72" s="310"/>
      <c r="BH72" s="329"/>
      <c r="BI72" s="311"/>
      <c r="BJ72" s="315"/>
      <c r="BK72" s="310"/>
      <c r="BL72" s="329"/>
      <c r="BM72" s="311"/>
      <c r="BN72" s="315"/>
      <c r="BO72" s="310"/>
      <c r="BP72" s="329"/>
      <c r="BQ72" s="311"/>
      <c r="BR72" s="315"/>
      <c r="BS72" s="310"/>
      <c r="BT72" s="329"/>
      <c r="BU72" s="311"/>
      <c r="BV72" s="315"/>
      <c r="BW72" s="310"/>
      <c r="BX72" s="329"/>
      <c r="BY72" s="311"/>
      <c r="BZ72" s="315"/>
      <c r="CA72" s="310"/>
      <c r="CB72" s="329"/>
      <c r="CC72" s="311"/>
      <c r="CD72" s="315"/>
      <c r="CE72" s="310"/>
      <c r="CF72" s="329"/>
      <c r="CG72" s="311"/>
      <c r="CH72" s="315"/>
      <c r="CI72" s="310"/>
      <c r="CJ72" s="329"/>
      <c r="CK72" s="311"/>
      <c r="CL72" s="315"/>
      <c r="CM72" s="310"/>
      <c r="CN72" s="329"/>
      <c r="CO72" s="311"/>
      <c r="CP72" s="315"/>
      <c r="CQ72" s="310"/>
      <c r="CR72" s="329"/>
      <c r="CS72" s="311"/>
      <c r="CT72" s="315"/>
      <c r="CU72" s="310"/>
      <c r="CV72" s="329"/>
      <c r="CW72" s="311"/>
      <c r="CX72" s="315"/>
      <c r="CY72" s="310"/>
      <c r="CZ72" s="329"/>
      <c r="DA72" s="311"/>
      <c r="DB72" s="315"/>
      <c r="DC72" s="310"/>
      <c r="DD72" s="329"/>
      <c r="DE72" s="311"/>
      <c r="DF72" s="315"/>
      <c r="DG72" s="310"/>
      <c r="DH72" s="329"/>
      <c r="DI72" s="311"/>
      <c r="DJ72" s="315"/>
      <c r="DK72" s="310"/>
      <c r="DL72" s="329"/>
      <c r="DM72" s="311"/>
      <c r="DN72" s="315"/>
      <c r="DO72" s="310"/>
      <c r="DP72" s="329"/>
      <c r="DQ72" s="311"/>
      <c r="DR72" s="315"/>
      <c r="DS72" s="310"/>
      <c r="DT72" s="329"/>
      <c r="DU72" s="311"/>
      <c r="DV72" s="315"/>
      <c r="DW72" s="310"/>
      <c r="DX72" s="329"/>
      <c r="DY72" s="311"/>
      <c r="DZ72" s="315"/>
      <c r="EA72" s="310"/>
      <c r="EB72" s="329"/>
      <c r="EC72" s="311"/>
      <c r="ED72" s="315"/>
      <c r="EE72" s="310"/>
      <c r="EF72" s="329"/>
      <c r="EG72" s="311"/>
      <c r="EH72" s="315"/>
      <c r="EI72" s="310"/>
      <c r="EJ72" s="329"/>
      <c r="EK72" s="311"/>
      <c r="EL72" s="315"/>
      <c r="EM72" s="310"/>
      <c r="EN72" s="329"/>
      <c r="EO72" s="311"/>
      <c r="EP72" s="315"/>
      <c r="EQ72" s="310"/>
      <c r="ER72" s="329"/>
      <c r="ES72" s="311"/>
      <c r="ET72" s="315"/>
      <c r="EU72" s="310"/>
      <c r="EV72" s="329"/>
      <c r="EW72" s="311"/>
      <c r="EX72" s="315"/>
      <c r="EY72" s="310"/>
      <c r="EZ72" s="329"/>
      <c r="FA72" s="311"/>
      <c r="FB72" s="315"/>
      <c r="FC72" s="310"/>
      <c r="FD72" s="329"/>
      <c r="FE72" s="311"/>
      <c r="FF72" s="315"/>
      <c r="FG72" s="310"/>
      <c r="FH72" s="329"/>
      <c r="FI72" s="311"/>
      <c r="FJ72" s="315"/>
      <c r="FK72" s="310"/>
      <c r="FL72" s="329"/>
      <c r="FM72" s="311"/>
      <c r="FN72" s="315"/>
      <c r="FO72" s="310"/>
      <c r="FP72" s="329"/>
      <c r="FQ72" s="311"/>
      <c r="FR72" s="315"/>
      <c r="FS72" s="310"/>
      <c r="FT72" s="329"/>
      <c r="FU72" s="311"/>
      <c r="FV72" s="315"/>
      <c r="FW72" s="310"/>
      <c r="FX72" s="329"/>
      <c r="FY72" s="311"/>
      <c r="FZ72" s="315"/>
      <c r="GA72" s="310"/>
      <c r="GB72" s="329"/>
      <c r="GC72" s="311"/>
      <c r="GD72" s="315"/>
      <c r="GE72" s="310"/>
      <c r="GF72" s="329"/>
      <c r="GG72" s="311"/>
      <c r="GH72" s="315"/>
      <c r="GI72" s="310"/>
      <c r="GJ72" s="329"/>
      <c r="GK72" s="311"/>
      <c r="GL72" s="315"/>
      <c r="GM72" s="310"/>
      <c r="GN72" s="329"/>
      <c r="GO72" s="311"/>
      <c r="GP72" s="315"/>
      <c r="GQ72" s="310"/>
      <c r="GR72" s="329"/>
      <c r="GS72" s="311"/>
      <c r="GT72" s="315"/>
      <c r="GU72" s="310"/>
      <c r="GV72" s="329"/>
      <c r="GW72" s="311"/>
      <c r="GX72" s="315"/>
      <c r="GY72" s="310"/>
      <c r="GZ72" s="329"/>
      <c r="HA72" s="311"/>
      <c r="HB72" s="315"/>
      <c r="HC72" s="312">
        <f t="shared" si="71"/>
        <v>0</v>
      </c>
      <c r="HD72" s="330"/>
      <c r="HE72" s="313">
        <f t="shared" si="71"/>
        <v>0</v>
      </c>
      <c r="HF72" s="331">
        <f t="shared" si="71"/>
        <v>0</v>
      </c>
      <c r="HG72" s="312">
        <f>SUM(SUMIFS(K72:HB72,$K$13:$HB$13,{"エネルギー管理指定工場等*","県域*"}))</f>
        <v>0</v>
      </c>
      <c r="HH72" s="330"/>
      <c r="HI72" s="313">
        <f>SUM(SUMIFS(M72:HD72,$K$13:$HB$13,{"エネルギー管理指定工場等*","県域*"}))</f>
        <v>0</v>
      </c>
      <c r="HJ72" s="331">
        <f>SUM(SUMIFS(N72:HE72,$K$13:$HB$13,{"エネルギー管理指定工場等*","県域*"}))</f>
        <v>0</v>
      </c>
    </row>
    <row r="73" spans="1:218" ht="19.8">
      <c r="A73" s="164"/>
      <c r="B73" s="302"/>
      <c r="C73" s="319"/>
      <c r="D73" s="328" t="s">
        <v>606</v>
      </c>
      <c r="E73" s="335"/>
      <c r="F73" s="303" t="s">
        <v>461</v>
      </c>
      <c r="G73" s="336"/>
      <c r="H73" s="315"/>
      <c r="I73" s="308"/>
      <c r="J73" s="309"/>
      <c r="K73" s="310"/>
      <c r="L73" s="329"/>
      <c r="M73" s="311"/>
      <c r="N73" s="315"/>
      <c r="O73" s="310"/>
      <c r="P73" s="329"/>
      <c r="Q73" s="311"/>
      <c r="R73" s="315"/>
      <c r="S73" s="310"/>
      <c r="T73" s="329"/>
      <c r="U73" s="311"/>
      <c r="V73" s="315"/>
      <c r="W73" s="310"/>
      <c r="X73" s="329"/>
      <c r="Y73" s="311"/>
      <c r="Z73" s="315"/>
      <c r="AA73" s="310"/>
      <c r="AB73" s="329"/>
      <c r="AC73" s="311"/>
      <c r="AD73" s="315"/>
      <c r="AE73" s="310"/>
      <c r="AF73" s="329"/>
      <c r="AG73" s="311"/>
      <c r="AH73" s="315"/>
      <c r="AI73" s="310"/>
      <c r="AJ73" s="329"/>
      <c r="AK73" s="311"/>
      <c r="AL73" s="315"/>
      <c r="AM73" s="310"/>
      <c r="AN73" s="329"/>
      <c r="AO73" s="311"/>
      <c r="AP73" s="315"/>
      <c r="AQ73" s="310"/>
      <c r="AR73" s="329"/>
      <c r="AS73" s="311"/>
      <c r="AT73" s="315"/>
      <c r="AU73" s="310"/>
      <c r="AV73" s="329"/>
      <c r="AW73" s="311"/>
      <c r="AX73" s="315"/>
      <c r="AY73" s="310"/>
      <c r="AZ73" s="329"/>
      <c r="BA73" s="311"/>
      <c r="BB73" s="315"/>
      <c r="BC73" s="310"/>
      <c r="BD73" s="329"/>
      <c r="BE73" s="311"/>
      <c r="BF73" s="315"/>
      <c r="BG73" s="310"/>
      <c r="BH73" s="329"/>
      <c r="BI73" s="311"/>
      <c r="BJ73" s="315"/>
      <c r="BK73" s="310"/>
      <c r="BL73" s="329"/>
      <c r="BM73" s="311"/>
      <c r="BN73" s="315"/>
      <c r="BO73" s="310"/>
      <c r="BP73" s="329"/>
      <c r="BQ73" s="311"/>
      <c r="BR73" s="315"/>
      <c r="BS73" s="310"/>
      <c r="BT73" s="329"/>
      <c r="BU73" s="311"/>
      <c r="BV73" s="315"/>
      <c r="BW73" s="310"/>
      <c r="BX73" s="329"/>
      <c r="BY73" s="311"/>
      <c r="BZ73" s="315"/>
      <c r="CA73" s="310"/>
      <c r="CB73" s="329"/>
      <c r="CC73" s="311"/>
      <c r="CD73" s="315"/>
      <c r="CE73" s="310"/>
      <c r="CF73" s="329"/>
      <c r="CG73" s="311"/>
      <c r="CH73" s="315"/>
      <c r="CI73" s="310"/>
      <c r="CJ73" s="329"/>
      <c r="CK73" s="311"/>
      <c r="CL73" s="315"/>
      <c r="CM73" s="310"/>
      <c r="CN73" s="329"/>
      <c r="CO73" s="311"/>
      <c r="CP73" s="315"/>
      <c r="CQ73" s="310"/>
      <c r="CR73" s="329"/>
      <c r="CS73" s="311"/>
      <c r="CT73" s="315"/>
      <c r="CU73" s="310"/>
      <c r="CV73" s="329"/>
      <c r="CW73" s="311"/>
      <c r="CX73" s="315"/>
      <c r="CY73" s="310"/>
      <c r="CZ73" s="329"/>
      <c r="DA73" s="311"/>
      <c r="DB73" s="315"/>
      <c r="DC73" s="310"/>
      <c r="DD73" s="329"/>
      <c r="DE73" s="311"/>
      <c r="DF73" s="315"/>
      <c r="DG73" s="310"/>
      <c r="DH73" s="329"/>
      <c r="DI73" s="311"/>
      <c r="DJ73" s="315"/>
      <c r="DK73" s="310"/>
      <c r="DL73" s="329"/>
      <c r="DM73" s="311"/>
      <c r="DN73" s="315"/>
      <c r="DO73" s="310"/>
      <c r="DP73" s="329"/>
      <c r="DQ73" s="311"/>
      <c r="DR73" s="315"/>
      <c r="DS73" s="310"/>
      <c r="DT73" s="329"/>
      <c r="DU73" s="311"/>
      <c r="DV73" s="315"/>
      <c r="DW73" s="310"/>
      <c r="DX73" s="329"/>
      <c r="DY73" s="311"/>
      <c r="DZ73" s="315"/>
      <c r="EA73" s="310"/>
      <c r="EB73" s="329"/>
      <c r="EC73" s="311"/>
      <c r="ED73" s="315"/>
      <c r="EE73" s="310"/>
      <c r="EF73" s="329"/>
      <c r="EG73" s="311"/>
      <c r="EH73" s="315"/>
      <c r="EI73" s="310"/>
      <c r="EJ73" s="329"/>
      <c r="EK73" s="311"/>
      <c r="EL73" s="315"/>
      <c r="EM73" s="310"/>
      <c r="EN73" s="329"/>
      <c r="EO73" s="311"/>
      <c r="EP73" s="315"/>
      <c r="EQ73" s="310"/>
      <c r="ER73" s="329"/>
      <c r="ES73" s="311"/>
      <c r="ET73" s="315"/>
      <c r="EU73" s="310"/>
      <c r="EV73" s="329"/>
      <c r="EW73" s="311"/>
      <c r="EX73" s="315"/>
      <c r="EY73" s="310"/>
      <c r="EZ73" s="329"/>
      <c r="FA73" s="311"/>
      <c r="FB73" s="315"/>
      <c r="FC73" s="310"/>
      <c r="FD73" s="329"/>
      <c r="FE73" s="311"/>
      <c r="FF73" s="315"/>
      <c r="FG73" s="310"/>
      <c r="FH73" s="329"/>
      <c r="FI73" s="311"/>
      <c r="FJ73" s="315"/>
      <c r="FK73" s="310"/>
      <c r="FL73" s="329"/>
      <c r="FM73" s="311"/>
      <c r="FN73" s="315"/>
      <c r="FO73" s="310"/>
      <c r="FP73" s="329"/>
      <c r="FQ73" s="311"/>
      <c r="FR73" s="315"/>
      <c r="FS73" s="310"/>
      <c r="FT73" s="329"/>
      <c r="FU73" s="311"/>
      <c r="FV73" s="315"/>
      <c r="FW73" s="310"/>
      <c r="FX73" s="329"/>
      <c r="FY73" s="311"/>
      <c r="FZ73" s="315"/>
      <c r="GA73" s="310"/>
      <c r="GB73" s="329"/>
      <c r="GC73" s="311"/>
      <c r="GD73" s="315"/>
      <c r="GE73" s="310"/>
      <c r="GF73" s="329"/>
      <c r="GG73" s="311"/>
      <c r="GH73" s="315"/>
      <c r="GI73" s="310"/>
      <c r="GJ73" s="329"/>
      <c r="GK73" s="311"/>
      <c r="GL73" s="315"/>
      <c r="GM73" s="310"/>
      <c r="GN73" s="329"/>
      <c r="GO73" s="311"/>
      <c r="GP73" s="315"/>
      <c r="GQ73" s="310"/>
      <c r="GR73" s="329"/>
      <c r="GS73" s="311"/>
      <c r="GT73" s="315"/>
      <c r="GU73" s="310"/>
      <c r="GV73" s="329"/>
      <c r="GW73" s="311"/>
      <c r="GX73" s="315"/>
      <c r="GY73" s="310"/>
      <c r="GZ73" s="329"/>
      <c r="HA73" s="311"/>
      <c r="HB73" s="315"/>
      <c r="HC73" s="312">
        <f t="shared" si="71"/>
        <v>0</v>
      </c>
      <c r="HD73" s="330"/>
      <c r="HE73" s="313">
        <f t="shared" si="71"/>
        <v>0</v>
      </c>
      <c r="HF73" s="331">
        <f t="shared" si="71"/>
        <v>0</v>
      </c>
      <c r="HG73" s="312">
        <f>SUM(SUMIFS(K73:HB73,$K$13:$HB$13,{"エネルギー管理指定工場等*","県域*"}))</f>
        <v>0</v>
      </c>
      <c r="HH73" s="330"/>
      <c r="HI73" s="313">
        <f>SUM(SUMIFS(M73:HD73,$K$13:$HB$13,{"エネルギー管理指定工場等*","県域*"}))</f>
        <v>0</v>
      </c>
      <c r="HJ73" s="331">
        <f>SUM(SUMIFS(N73:HE73,$K$13:$HB$13,{"エネルギー管理指定工場等*","県域*"}))</f>
        <v>0</v>
      </c>
    </row>
    <row r="74" spans="1:218" ht="19.8">
      <c r="A74" s="164"/>
      <c r="B74" s="302"/>
      <c r="C74" s="318"/>
      <c r="D74" s="332"/>
      <c r="E74" s="333" t="s">
        <v>1377</v>
      </c>
      <c r="F74" s="303" t="s">
        <v>461</v>
      </c>
      <c r="G74" s="336"/>
      <c r="H74" s="337"/>
      <c r="I74" s="308"/>
      <c r="J74" s="309"/>
      <c r="K74" s="336"/>
      <c r="L74" s="338"/>
      <c r="M74" s="339"/>
      <c r="N74" s="337"/>
      <c r="O74" s="336"/>
      <c r="P74" s="338"/>
      <c r="Q74" s="339"/>
      <c r="R74" s="337"/>
      <c r="S74" s="336"/>
      <c r="T74" s="338"/>
      <c r="U74" s="339"/>
      <c r="V74" s="337"/>
      <c r="W74" s="336"/>
      <c r="X74" s="338"/>
      <c r="Y74" s="339"/>
      <c r="Z74" s="337"/>
      <c r="AA74" s="336"/>
      <c r="AB74" s="338"/>
      <c r="AC74" s="339"/>
      <c r="AD74" s="337"/>
      <c r="AE74" s="336"/>
      <c r="AF74" s="338"/>
      <c r="AG74" s="339"/>
      <c r="AH74" s="337"/>
      <c r="AI74" s="336"/>
      <c r="AJ74" s="338"/>
      <c r="AK74" s="339"/>
      <c r="AL74" s="337"/>
      <c r="AM74" s="336"/>
      <c r="AN74" s="338"/>
      <c r="AO74" s="339"/>
      <c r="AP74" s="337"/>
      <c r="AQ74" s="336"/>
      <c r="AR74" s="338"/>
      <c r="AS74" s="339"/>
      <c r="AT74" s="337"/>
      <c r="AU74" s="336"/>
      <c r="AV74" s="338"/>
      <c r="AW74" s="339"/>
      <c r="AX74" s="337"/>
      <c r="AY74" s="336"/>
      <c r="AZ74" s="338"/>
      <c r="BA74" s="339"/>
      <c r="BB74" s="337"/>
      <c r="BC74" s="336"/>
      <c r="BD74" s="338"/>
      <c r="BE74" s="339"/>
      <c r="BF74" s="337"/>
      <c r="BG74" s="336"/>
      <c r="BH74" s="338"/>
      <c r="BI74" s="339"/>
      <c r="BJ74" s="337"/>
      <c r="BK74" s="336"/>
      <c r="BL74" s="338"/>
      <c r="BM74" s="339"/>
      <c r="BN74" s="337"/>
      <c r="BO74" s="336"/>
      <c r="BP74" s="338"/>
      <c r="BQ74" s="339"/>
      <c r="BR74" s="337"/>
      <c r="BS74" s="336"/>
      <c r="BT74" s="338"/>
      <c r="BU74" s="339"/>
      <c r="BV74" s="337"/>
      <c r="BW74" s="336"/>
      <c r="BX74" s="338"/>
      <c r="BY74" s="339"/>
      <c r="BZ74" s="337"/>
      <c r="CA74" s="336"/>
      <c r="CB74" s="338"/>
      <c r="CC74" s="339"/>
      <c r="CD74" s="337"/>
      <c r="CE74" s="336"/>
      <c r="CF74" s="338"/>
      <c r="CG74" s="339"/>
      <c r="CH74" s="337"/>
      <c r="CI74" s="336"/>
      <c r="CJ74" s="338"/>
      <c r="CK74" s="339"/>
      <c r="CL74" s="337"/>
      <c r="CM74" s="336"/>
      <c r="CN74" s="338"/>
      <c r="CO74" s="339"/>
      <c r="CP74" s="337"/>
      <c r="CQ74" s="336"/>
      <c r="CR74" s="338"/>
      <c r="CS74" s="339"/>
      <c r="CT74" s="337"/>
      <c r="CU74" s="336"/>
      <c r="CV74" s="338"/>
      <c r="CW74" s="339"/>
      <c r="CX74" s="337"/>
      <c r="CY74" s="336"/>
      <c r="CZ74" s="338"/>
      <c r="DA74" s="339"/>
      <c r="DB74" s="337"/>
      <c r="DC74" s="336"/>
      <c r="DD74" s="338"/>
      <c r="DE74" s="339"/>
      <c r="DF74" s="337"/>
      <c r="DG74" s="336"/>
      <c r="DH74" s="338"/>
      <c r="DI74" s="339"/>
      <c r="DJ74" s="337"/>
      <c r="DK74" s="336"/>
      <c r="DL74" s="338"/>
      <c r="DM74" s="339"/>
      <c r="DN74" s="337"/>
      <c r="DO74" s="336"/>
      <c r="DP74" s="338"/>
      <c r="DQ74" s="339"/>
      <c r="DR74" s="337"/>
      <c r="DS74" s="336"/>
      <c r="DT74" s="338"/>
      <c r="DU74" s="339"/>
      <c r="DV74" s="337"/>
      <c r="DW74" s="336"/>
      <c r="DX74" s="338"/>
      <c r="DY74" s="339"/>
      <c r="DZ74" s="337"/>
      <c r="EA74" s="336"/>
      <c r="EB74" s="338"/>
      <c r="EC74" s="339"/>
      <c r="ED74" s="337"/>
      <c r="EE74" s="336"/>
      <c r="EF74" s="338"/>
      <c r="EG74" s="339"/>
      <c r="EH74" s="337"/>
      <c r="EI74" s="336"/>
      <c r="EJ74" s="338"/>
      <c r="EK74" s="339"/>
      <c r="EL74" s="337"/>
      <c r="EM74" s="336"/>
      <c r="EN74" s="338"/>
      <c r="EO74" s="339"/>
      <c r="EP74" s="337"/>
      <c r="EQ74" s="336"/>
      <c r="ER74" s="338"/>
      <c r="ES74" s="339"/>
      <c r="ET74" s="337"/>
      <c r="EU74" s="336"/>
      <c r="EV74" s="338"/>
      <c r="EW74" s="339"/>
      <c r="EX74" s="337"/>
      <c r="EY74" s="336"/>
      <c r="EZ74" s="338"/>
      <c r="FA74" s="339"/>
      <c r="FB74" s="337"/>
      <c r="FC74" s="336"/>
      <c r="FD74" s="338"/>
      <c r="FE74" s="339"/>
      <c r="FF74" s="337"/>
      <c r="FG74" s="336"/>
      <c r="FH74" s="338"/>
      <c r="FI74" s="339"/>
      <c r="FJ74" s="337"/>
      <c r="FK74" s="336"/>
      <c r="FL74" s="338"/>
      <c r="FM74" s="339"/>
      <c r="FN74" s="337"/>
      <c r="FO74" s="336"/>
      <c r="FP74" s="338"/>
      <c r="FQ74" s="339"/>
      <c r="FR74" s="337"/>
      <c r="FS74" s="336"/>
      <c r="FT74" s="338"/>
      <c r="FU74" s="339"/>
      <c r="FV74" s="337"/>
      <c r="FW74" s="336"/>
      <c r="FX74" s="338"/>
      <c r="FY74" s="339"/>
      <c r="FZ74" s="337"/>
      <c r="GA74" s="336"/>
      <c r="GB74" s="338"/>
      <c r="GC74" s="339"/>
      <c r="GD74" s="337"/>
      <c r="GE74" s="336"/>
      <c r="GF74" s="338"/>
      <c r="GG74" s="339"/>
      <c r="GH74" s="337"/>
      <c r="GI74" s="336"/>
      <c r="GJ74" s="338"/>
      <c r="GK74" s="339"/>
      <c r="GL74" s="337"/>
      <c r="GM74" s="336"/>
      <c r="GN74" s="338"/>
      <c r="GO74" s="339"/>
      <c r="GP74" s="337"/>
      <c r="GQ74" s="336"/>
      <c r="GR74" s="338"/>
      <c r="GS74" s="339"/>
      <c r="GT74" s="337"/>
      <c r="GU74" s="336"/>
      <c r="GV74" s="338"/>
      <c r="GW74" s="339"/>
      <c r="GX74" s="337"/>
      <c r="GY74" s="336"/>
      <c r="GZ74" s="338"/>
      <c r="HA74" s="339"/>
      <c r="HB74" s="337"/>
      <c r="HC74" s="340">
        <f t="shared" si="71"/>
        <v>0</v>
      </c>
      <c r="HD74" s="341"/>
      <c r="HE74" s="342">
        <f t="shared" si="71"/>
        <v>0</v>
      </c>
      <c r="HF74" s="343">
        <f t="shared" si="71"/>
        <v>0</v>
      </c>
      <c r="HG74" s="340">
        <f>SUM(SUMIFS(K74:HB74,$K$13:$HB$13,{"エネルギー管理指定工場等*","県域*"}))</f>
        <v>0</v>
      </c>
      <c r="HH74" s="341"/>
      <c r="HI74" s="342">
        <f>SUM(SUMIFS(M74:HD74,$K$13:$HB$13,{"エネルギー管理指定工場等*","県域*"}))</f>
        <v>0</v>
      </c>
      <c r="HJ74" s="343">
        <f>SUM(SUMIFS(N74:HE74,$K$13:$HB$13,{"エネルギー管理指定工場等*","県域*"}))</f>
        <v>0</v>
      </c>
    </row>
    <row r="75" spans="1:218" ht="39.6">
      <c r="A75" s="164"/>
      <c r="B75" s="302"/>
      <c r="C75" s="327" t="s">
        <v>1378</v>
      </c>
      <c r="D75" s="303" t="s">
        <v>1379</v>
      </c>
      <c r="E75" s="305"/>
      <c r="F75" s="303" t="s">
        <v>461</v>
      </c>
      <c r="G75" s="336"/>
      <c r="H75" s="334"/>
      <c r="I75" s="308"/>
      <c r="J75" s="309"/>
      <c r="K75" s="336"/>
      <c r="L75" s="338"/>
      <c r="M75" s="339"/>
      <c r="N75" s="337"/>
      <c r="O75" s="336"/>
      <c r="P75" s="338"/>
      <c r="Q75" s="339"/>
      <c r="R75" s="337"/>
      <c r="S75" s="336"/>
      <c r="T75" s="338"/>
      <c r="U75" s="339"/>
      <c r="V75" s="337"/>
      <c r="W75" s="336"/>
      <c r="X75" s="338"/>
      <c r="Y75" s="339"/>
      <c r="Z75" s="337"/>
      <c r="AA75" s="336"/>
      <c r="AB75" s="338"/>
      <c r="AC75" s="339"/>
      <c r="AD75" s="337"/>
      <c r="AE75" s="336"/>
      <c r="AF75" s="338"/>
      <c r="AG75" s="339"/>
      <c r="AH75" s="337"/>
      <c r="AI75" s="336"/>
      <c r="AJ75" s="338"/>
      <c r="AK75" s="339"/>
      <c r="AL75" s="337"/>
      <c r="AM75" s="336"/>
      <c r="AN75" s="338"/>
      <c r="AO75" s="339"/>
      <c r="AP75" s="337"/>
      <c r="AQ75" s="336"/>
      <c r="AR75" s="338"/>
      <c r="AS75" s="339"/>
      <c r="AT75" s="337"/>
      <c r="AU75" s="336"/>
      <c r="AV75" s="338"/>
      <c r="AW75" s="339"/>
      <c r="AX75" s="337"/>
      <c r="AY75" s="336"/>
      <c r="AZ75" s="338"/>
      <c r="BA75" s="339"/>
      <c r="BB75" s="337"/>
      <c r="BC75" s="336"/>
      <c r="BD75" s="338"/>
      <c r="BE75" s="339"/>
      <c r="BF75" s="337"/>
      <c r="BG75" s="336"/>
      <c r="BH75" s="338"/>
      <c r="BI75" s="339"/>
      <c r="BJ75" s="337"/>
      <c r="BK75" s="336"/>
      <c r="BL75" s="338"/>
      <c r="BM75" s="339"/>
      <c r="BN75" s="337"/>
      <c r="BO75" s="336"/>
      <c r="BP75" s="338"/>
      <c r="BQ75" s="339"/>
      <c r="BR75" s="337"/>
      <c r="BS75" s="336"/>
      <c r="BT75" s="338"/>
      <c r="BU75" s="339"/>
      <c r="BV75" s="337"/>
      <c r="BW75" s="336"/>
      <c r="BX75" s="338"/>
      <c r="BY75" s="339"/>
      <c r="BZ75" s="337"/>
      <c r="CA75" s="336"/>
      <c r="CB75" s="338"/>
      <c r="CC75" s="339"/>
      <c r="CD75" s="337"/>
      <c r="CE75" s="336"/>
      <c r="CF75" s="338"/>
      <c r="CG75" s="339"/>
      <c r="CH75" s="337"/>
      <c r="CI75" s="336"/>
      <c r="CJ75" s="338"/>
      <c r="CK75" s="339"/>
      <c r="CL75" s="337"/>
      <c r="CM75" s="336"/>
      <c r="CN75" s="338"/>
      <c r="CO75" s="339"/>
      <c r="CP75" s="337"/>
      <c r="CQ75" s="336"/>
      <c r="CR75" s="338"/>
      <c r="CS75" s="339"/>
      <c r="CT75" s="337"/>
      <c r="CU75" s="336"/>
      <c r="CV75" s="338"/>
      <c r="CW75" s="339"/>
      <c r="CX75" s="337"/>
      <c r="CY75" s="336"/>
      <c r="CZ75" s="338"/>
      <c r="DA75" s="339"/>
      <c r="DB75" s="337"/>
      <c r="DC75" s="336"/>
      <c r="DD75" s="338"/>
      <c r="DE75" s="339"/>
      <c r="DF75" s="337"/>
      <c r="DG75" s="336"/>
      <c r="DH75" s="338"/>
      <c r="DI75" s="339"/>
      <c r="DJ75" s="337"/>
      <c r="DK75" s="336"/>
      <c r="DL75" s="338"/>
      <c r="DM75" s="339"/>
      <c r="DN75" s="337"/>
      <c r="DO75" s="336"/>
      <c r="DP75" s="338"/>
      <c r="DQ75" s="339"/>
      <c r="DR75" s="337"/>
      <c r="DS75" s="336"/>
      <c r="DT75" s="338"/>
      <c r="DU75" s="339"/>
      <c r="DV75" s="337"/>
      <c r="DW75" s="336"/>
      <c r="DX75" s="338"/>
      <c r="DY75" s="339"/>
      <c r="DZ75" s="337"/>
      <c r="EA75" s="336"/>
      <c r="EB75" s="338"/>
      <c r="EC75" s="339"/>
      <c r="ED75" s="337"/>
      <c r="EE75" s="336"/>
      <c r="EF75" s="338"/>
      <c r="EG75" s="339"/>
      <c r="EH75" s="337"/>
      <c r="EI75" s="336"/>
      <c r="EJ75" s="338"/>
      <c r="EK75" s="339"/>
      <c r="EL75" s="337"/>
      <c r="EM75" s="336"/>
      <c r="EN75" s="338"/>
      <c r="EO75" s="339"/>
      <c r="EP75" s="337"/>
      <c r="EQ75" s="336"/>
      <c r="ER75" s="338"/>
      <c r="ES75" s="339"/>
      <c r="ET75" s="337"/>
      <c r="EU75" s="336"/>
      <c r="EV75" s="338"/>
      <c r="EW75" s="339"/>
      <c r="EX75" s="337"/>
      <c r="EY75" s="336"/>
      <c r="EZ75" s="338"/>
      <c r="FA75" s="339"/>
      <c r="FB75" s="337"/>
      <c r="FC75" s="336"/>
      <c r="FD75" s="338"/>
      <c r="FE75" s="339"/>
      <c r="FF75" s="337"/>
      <c r="FG75" s="336"/>
      <c r="FH75" s="338"/>
      <c r="FI75" s="339"/>
      <c r="FJ75" s="337"/>
      <c r="FK75" s="336"/>
      <c r="FL75" s="338"/>
      <c r="FM75" s="339"/>
      <c r="FN75" s="337"/>
      <c r="FO75" s="336"/>
      <c r="FP75" s="338"/>
      <c r="FQ75" s="339"/>
      <c r="FR75" s="337"/>
      <c r="FS75" s="336"/>
      <c r="FT75" s="338"/>
      <c r="FU75" s="339"/>
      <c r="FV75" s="337"/>
      <c r="FW75" s="336"/>
      <c r="FX75" s="338"/>
      <c r="FY75" s="339"/>
      <c r="FZ75" s="337"/>
      <c r="GA75" s="336"/>
      <c r="GB75" s="338"/>
      <c r="GC75" s="339"/>
      <c r="GD75" s="337"/>
      <c r="GE75" s="336"/>
      <c r="GF75" s="338"/>
      <c r="GG75" s="339"/>
      <c r="GH75" s="337"/>
      <c r="GI75" s="336"/>
      <c r="GJ75" s="338"/>
      <c r="GK75" s="339"/>
      <c r="GL75" s="337"/>
      <c r="GM75" s="336"/>
      <c r="GN75" s="338"/>
      <c r="GO75" s="339"/>
      <c r="GP75" s="337"/>
      <c r="GQ75" s="336"/>
      <c r="GR75" s="338"/>
      <c r="GS75" s="339"/>
      <c r="GT75" s="337"/>
      <c r="GU75" s="336"/>
      <c r="GV75" s="338"/>
      <c r="GW75" s="339"/>
      <c r="GX75" s="337"/>
      <c r="GY75" s="336"/>
      <c r="GZ75" s="338"/>
      <c r="HA75" s="339"/>
      <c r="HB75" s="337"/>
      <c r="HC75" s="340">
        <f t="shared" si="71"/>
        <v>0</v>
      </c>
      <c r="HD75" s="341"/>
      <c r="HE75" s="342">
        <f t="shared" si="71"/>
        <v>0</v>
      </c>
      <c r="HF75" s="343">
        <f t="shared" si="71"/>
        <v>0</v>
      </c>
      <c r="HG75" s="340">
        <f>SUM(SUMIFS(K75:HB75,$K$13:$HB$13,{"エネルギー管理指定工場等*","県域*"}))</f>
        <v>0</v>
      </c>
      <c r="HH75" s="341"/>
      <c r="HI75" s="342">
        <f>SUM(SUMIFS(M75:HD75,$K$13:$HB$13,{"エネルギー管理指定工場等*","県域*"}))</f>
        <v>0</v>
      </c>
      <c r="HJ75" s="343">
        <f>SUM(SUMIFS(N75:HE75,$K$13:$HB$13,{"エネルギー管理指定工場等*","県域*"}))</f>
        <v>0</v>
      </c>
    </row>
    <row r="76" spans="1:218" ht="19.8">
      <c r="A76" s="164"/>
      <c r="B76" s="302"/>
      <c r="C76" s="319"/>
      <c r="D76" s="303" t="s">
        <v>1380</v>
      </c>
      <c r="E76" s="305"/>
      <c r="F76" s="303" t="s">
        <v>461</v>
      </c>
      <c r="G76" s="336"/>
      <c r="H76" s="334"/>
      <c r="I76" s="308"/>
      <c r="J76" s="309"/>
      <c r="K76" s="336"/>
      <c r="L76" s="338"/>
      <c r="M76" s="339"/>
      <c r="N76" s="337"/>
      <c r="O76" s="336"/>
      <c r="P76" s="338"/>
      <c r="Q76" s="339"/>
      <c r="R76" s="337"/>
      <c r="S76" s="336"/>
      <c r="T76" s="338"/>
      <c r="U76" s="339"/>
      <c r="V76" s="337"/>
      <c r="W76" s="336"/>
      <c r="X76" s="338"/>
      <c r="Y76" s="339"/>
      <c r="Z76" s="337"/>
      <c r="AA76" s="336"/>
      <c r="AB76" s="338"/>
      <c r="AC76" s="339"/>
      <c r="AD76" s="337"/>
      <c r="AE76" s="336"/>
      <c r="AF76" s="338"/>
      <c r="AG76" s="339"/>
      <c r="AH76" s="337"/>
      <c r="AI76" s="336"/>
      <c r="AJ76" s="338"/>
      <c r="AK76" s="339"/>
      <c r="AL76" s="337"/>
      <c r="AM76" s="336"/>
      <c r="AN76" s="338"/>
      <c r="AO76" s="339"/>
      <c r="AP76" s="337"/>
      <c r="AQ76" s="336"/>
      <c r="AR76" s="338"/>
      <c r="AS76" s="339"/>
      <c r="AT76" s="337"/>
      <c r="AU76" s="336"/>
      <c r="AV76" s="338"/>
      <c r="AW76" s="339"/>
      <c r="AX76" s="337"/>
      <c r="AY76" s="336"/>
      <c r="AZ76" s="338"/>
      <c r="BA76" s="339"/>
      <c r="BB76" s="337"/>
      <c r="BC76" s="336"/>
      <c r="BD76" s="338"/>
      <c r="BE76" s="339"/>
      <c r="BF76" s="337"/>
      <c r="BG76" s="336"/>
      <c r="BH76" s="338"/>
      <c r="BI76" s="339"/>
      <c r="BJ76" s="337"/>
      <c r="BK76" s="336"/>
      <c r="BL76" s="338"/>
      <c r="BM76" s="339"/>
      <c r="BN76" s="337"/>
      <c r="BO76" s="336"/>
      <c r="BP76" s="338"/>
      <c r="BQ76" s="339"/>
      <c r="BR76" s="337"/>
      <c r="BS76" s="336"/>
      <c r="BT76" s="338"/>
      <c r="BU76" s="339"/>
      <c r="BV76" s="337"/>
      <c r="BW76" s="336"/>
      <c r="BX76" s="338"/>
      <c r="BY76" s="339"/>
      <c r="BZ76" s="337"/>
      <c r="CA76" s="336"/>
      <c r="CB76" s="338"/>
      <c r="CC76" s="339"/>
      <c r="CD76" s="337"/>
      <c r="CE76" s="336"/>
      <c r="CF76" s="338"/>
      <c r="CG76" s="339"/>
      <c r="CH76" s="337"/>
      <c r="CI76" s="336"/>
      <c r="CJ76" s="338"/>
      <c r="CK76" s="339"/>
      <c r="CL76" s="337"/>
      <c r="CM76" s="336"/>
      <c r="CN76" s="338"/>
      <c r="CO76" s="339"/>
      <c r="CP76" s="337"/>
      <c r="CQ76" s="336"/>
      <c r="CR76" s="338"/>
      <c r="CS76" s="339"/>
      <c r="CT76" s="337"/>
      <c r="CU76" s="336"/>
      <c r="CV76" s="338"/>
      <c r="CW76" s="339"/>
      <c r="CX76" s="337"/>
      <c r="CY76" s="336"/>
      <c r="CZ76" s="338"/>
      <c r="DA76" s="339"/>
      <c r="DB76" s="337"/>
      <c r="DC76" s="336"/>
      <c r="DD76" s="338"/>
      <c r="DE76" s="339"/>
      <c r="DF76" s="337"/>
      <c r="DG76" s="336"/>
      <c r="DH76" s="338"/>
      <c r="DI76" s="339"/>
      <c r="DJ76" s="337"/>
      <c r="DK76" s="336"/>
      <c r="DL76" s="338"/>
      <c r="DM76" s="339"/>
      <c r="DN76" s="337"/>
      <c r="DO76" s="336"/>
      <c r="DP76" s="338"/>
      <c r="DQ76" s="339"/>
      <c r="DR76" s="337"/>
      <c r="DS76" s="336"/>
      <c r="DT76" s="338"/>
      <c r="DU76" s="339"/>
      <c r="DV76" s="337"/>
      <c r="DW76" s="336"/>
      <c r="DX76" s="338"/>
      <c r="DY76" s="339"/>
      <c r="DZ76" s="337"/>
      <c r="EA76" s="336"/>
      <c r="EB76" s="338"/>
      <c r="EC76" s="339"/>
      <c r="ED76" s="337"/>
      <c r="EE76" s="336"/>
      <c r="EF76" s="338"/>
      <c r="EG76" s="339"/>
      <c r="EH76" s="337"/>
      <c r="EI76" s="336"/>
      <c r="EJ76" s="338"/>
      <c r="EK76" s="339"/>
      <c r="EL76" s="337"/>
      <c r="EM76" s="336"/>
      <c r="EN76" s="338"/>
      <c r="EO76" s="339"/>
      <c r="EP76" s="337"/>
      <c r="EQ76" s="336"/>
      <c r="ER76" s="338"/>
      <c r="ES76" s="339"/>
      <c r="ET76" s="337"/>
      <c r="EU76" s="336"/>
      <c r="EV76" s="338"/>
      <c r="EW76" s="339"/>
      <c r="EX76" s="337"/>
      <c r="EY76" s="336"/>
      <c r="EZ76" s="338"/>
      <c r="FA76" s="339"/>
      <c r="FB76" s="337"/>
      <c r="FC76" s="336"/>
      <c r="FD76" s="338"/>
      <c r="FE76" s="339"/>
      <c r="FF76" s="337"/>
      <c r="FG76" s="336"/>
      <c r="FH76" s="338"/>
      <c r="FI76" s="339"/>
      <c r="FJ76" s="337"/>
      <c r="FK76" s="336"/>
      <c r="FL76" s="338"/>
      <c r="FM76" s="339"/>
      <c r="FN76" s="337"/>
      <c r="FO76" s="336"/>
      <c r="FP76" s="338"/>
      <c r="FQ76" s="339"/>
      <c r="FR76" s="337"/>
      <c r="FS76" s="336"/>
      <c r="FT76" s="338"/>
      <c r="FU76" s="339"/>
      <c r="FV76" s="337"/>
      <c r="FW76" s="336"/>
      <c r="FX76" s="338"/>
      <c r="FY76" s="339"/>
      <c r="FZ76" s="337"/>
      <c r="GA76" s="336"/>
      <c r="GB76" s="338"/>
      <c r="GC76" s="339"/>
      <c r="GD76" s="337"/>
      <c r="GE76" s="336"/>
      <c r="GF76" s="338"/>
      <c r="GG76" s="339"/>
      <c r="GH76" s="337"/>
      <c r="GI76" s="336"/>
      <c r="GJ76" s="338"/>
      <c r="GK76" s="339"/>
      <c r="GL76" s="337"/>
      <c r="GM76" s="336"/>
      <c r="GN76" s="338"/>
      <c r="GO76" s="339"/>
      <c r="GP76" s="337"/>
      <c r="GQ76" s="336"/>
      <c r="GR76" s="338"/>
      <c r="GS76" s="339"/>
      <c r="GT76" s="337"/>
      <c r="GU76" s="336"/>
      <c r="GV76" s="338"/>
      <c r="GW76" s="339"/>
      <c r="GX76" s="337"/>
      <c r="GY76" s="336"/>
      <c r="GZ76" s="338"/>
      <c r="HA76" s="339"/>
      <c r="HB76" s="337"/>
      <c r="HC76" s="340">
        <f t="shared" si="71"/>
        <v>0</v>
      </c>
      <c r="HD76" s="341"/>
      <c r="HE76" s="342">
        <f t="shared" si="71"/>
        <v>0</v>
      </c>
      <c r="HF76" s="343">
        <f t="shared" si="71"/>
        <v>0</v>
      </c>
      <c r="HG76" s="340">
        <f>SUM(SUMIFS(K76:HB76,$K$13:$HB$13,{"エネルギー管理指定工場等*","県域*"}))</f>
        <v>0</v>
      </c>
      <c r="HH76" s="341"/>
      <c r="HI76" s="342">
        <f>SUM(SUMIFS(M76:HD76,$K$13:$HB$13,{"エネルギー管理指定工場等*","県域*"}))</f>
        <v>0</v>
      </c>
      <c r="HJ76" s="343">
        <f>SUM(SUMIFS(N76:HE76,$K$13:$HB$13,{"エネルギー管理指定工場等*","県域*"}))</f>
        <v>0</v>
      </c>
    </row>
    <row r="77" spans="1:218" ht="19.8">
      <c r="A77" s="164"/>
      <c r="B77" s="302"/>
      <c r="C77" s="319"/>
      <c r="D77" s="303" t="s">
        <v>1381</v>
      </c>
      <c r="E77" s="305"/>
      <c r="F77" s="303" t="s">
        <v>461</v>
      </c>
      <c r="G77" s="336"/>
      <c r="H77" s="334"/>
      <c r="I77" s="308"/>
      <c r="J77" s="309"/>
      <c r="K77" s="336"/>
      <c r="L77" s="338"/>
      <c r="M77" s="339"/>
      <c r="N77" s="337"/>
      <c r="O77" s="336"/>
      <c r="P77" s="338"/>
      <c r="Q77" s="339"/>
      <c r="R77" s="337"/>
      <c r="S77" s="336"/>
      <c r="T77" s="338"/>
      <c r="U77" s="339"/>
      <c r="V77" s="337"/>
      <c r="W77" s="336"/>
      <c r="X77" s="338"/>
      <c r="Y77" s="339"/>
      <c r="Z77" s="337"/>
      <c r="AA77" s="336"/>
      <c r="AB77" s="338"/>
      <c r="AC77" s="339"/>
      <c r="AD77" s="337"/>
      <c r="AE77" s="336"/>
      <c r="AF77" s="338"/>
      <c r="AG77" s="339"/>
      <c r="AH77" s="337"/>
      <c r="AI77" s="336"/>
      <c r="AJ77" s="338"/>
      <c r="AK77" s="339"/>
      <c r="AL77" s="337"/>
      <c r="AM77" s="336"/>
      <c r="AN77" s="338"/>
      <c r="AO77" s="339"/>
      <c r="AP77" s="337"/>
      <c r="AQ77" s="336"/>
      <c r="AR77" s="338"/>
      <c r="AS77" s="339"/>
      <c r="AT77" s="337"/>
      <c r="AU77" s="336"/>
      <c r="AV77" s="338"/>
      <c r="AW77" s="339"/>
      <c r="AX77" s="337"/>
      <c r="AY77" s="336"/>
      <c r="AZ77" s="338"/>
      <c r="BA77" s="339"/>
      <c r="BB77" s="337"/>
      <c r="BC77" s="336"/>
      <c r="BD77" s="338"/>
      <c r="BE77" s="339"/>
      <c r="BF77" s="337"/>
      <c r="BG77" s="336"/>
      <c r="BH77" s="338"/>
      <c r="BI77" s="339"/>
      <c r="BJ77" s="337"/>
      <c r="BK77" s="336"/>
      <c r="BL77" s="338"/>
      <c r="BM77" s="339"/>
      <c r="BN77" s="337"/>
      <c r="BO77" s="336"/>
      <c r="BP77" s="338"/>
      <c r="BQ77" s="339"/>
      <c r="BR77" s="337"/>
      <c r="BS77" s="336"/>
      <c r="BT77" s="338"/>
      <c r="BU77" s="339"/>
      <c r="BV77" s="337"/>
      <c r="BW77" s="336"/>
      <c r="BX77" s="338"/>
      <c r="BY77" s="339"/>
      <c r="BZ77" s="337"/>
      <c r="CA77" s="336"/>
      <c r="CB77" s="338"/>
      <c r="CC77" s="339"/>
      <c r="CD77" s="337"/>
      <c r="CE77" s="336"/>
      <c r="CF77" s="338"/>
      <c r="CG77" s="339"/>
      <c r="CH77" s="337"/>
      <c r="CI77" s="336"/>
      <c r="CJ77" s="338"/>
      <c r="CK77" s="339"/>
      <c r="CL77" s="337"/>
      <c r="CM77" s="336"/>
      <c r="CN77" s="338"/>
      <c r="CO77" s="339"/>
      <c r="CP77" s="337"/>
      <c r="CQ77" s="336"/>
      <c r="CR77" s="338"/>
      <c r="CS77" s="339"/>
      <c r="CT77" s="337"/>
      <c r="CU77" s="336"/>
      <c r="CV77" s="338"/>
      <c r="CW77" s="339"/>
      <c r="CX77" s="337"/>
      <c r="CY77" s="336"/>
      <c r="CZ77" s="338"/>
      <c r="DA77" s="339"/>
      <c r="DB77" s="337"/>
      <c r="DC77" s="336"/>
      <c r="DD77" s="338"/>
      <c r="DE77" s="339"/>
      <c r="DF77" s="337"/>
      <c r="DG77" s="336"/>
      <c r="DH77" s="338"/>
      <c r="DI77" s="339"/>
      <c r="DJ77" s="337"/>
      <c r="DK77" s="336"/>
      <c r="DL77" s="338"/>
      <c r="DM77" s="339"/>
      <c r="DN77" s="337"/>
      <c r="DO77" s="336"/>
      <c r="DP77" s="338"/>
      <c r="DQ77" s="339"/>
      <c r="DR77" s="337"/>
      <c r="DS77" s="336"/>
      <c r="DT77" s="338"/>
      <c r="DU77" s="339"/>
      <c r="DV77" s="337"/>
      <c r="DW77" s="336"/>
      <c r="DX77" s="338"/>
      <c r="DY77" s="339"/>
      <c r="DZ77" s="337"/>
      <c r="EA77" s="336"/>
      <c r="EB77" s="338"/>
      <c r="EC77" s="339"/>
      <c r="ED77" s="337"/>
      <c r="EE77" s="336"/>
      <c r="EF77" s="338"/>
      <c r="EG77" s="339"/>
      <c r="EH77" s="337"/>
      <c r="EI77" s="336"/>
      <c r="EJ77" s="338"/>
      <c r="EK77" s="339"/>
      <c r="EL77" s="337"/>
      <c r="EM77" s="336"/>
      <c r="EN77" s="338"/>
      <c r="EO77" s="339"/>
      <c r="EP77" s="337"/>
      <c r="EQ77" s="336"/>
      <c r="ER77" s="338"/>
      <c r="ES77" s="339"/>
      <c r="ET77" s="337"/>
      <c r="EU77" s="336"/>
      <c r="EV77" s="338"/>
      <c r="EW77" s="339"/>
      <c r="EX77" s="337"/>
      <c r="EY77" s="336"/>
      <c r="EZ77" s="338"/>
      <c r="FA77" s="339"/>
      <c r="FB77" s="337"/>
      <c r="FC77" s="336"/>
      <c r="FD77" s="338"/>
      <c r="FE77" s="339"/>
      <c r="FF77" s="337"/>
      <c r="FG77" s="336"/>
      <c r="FH77" s="338"/>
      <c r="FI77" s="339"/>
      <c r="FJ77" s="337"/>
      <c r="FK77" s="336"/>
      <c r="FL77" s="338"/>
      <c r="FM77" s="339"/>
      <c r="FN77" s="337"/>
      <c r="FO77" s="336"/>
      <c r="FP77" s="338"/>
      <c r="FQ77" s="339"/>
      <c r="FR77" s="337"/>
      <c r="FS77" s="336"/>
      <c r="FT77" s="338"/>
      <c r="FU77" s="339"/>
      <c r="FV77" s="337"/>
      <c r="FW77" s="336"/>
      <c r="FX77" s="338"/>
      <c r="FY77" s="339"/>
      <c r="FZ77" s="337"/>
      <c r="GA77" s="336"/>
      <c r="GB77" s="338"/>
      <c r="GC77" s="339"/>
      <c r="GD77" s="337"/>
      <c r="GE77" s="336"/>
      <c r="GF77" s="338"/>
      <c r="GG77" s="339"/>
      <c r="GH77" s="337"/>
      <c r="GI77" s="336"/>
      <c r="GJ77" s="338"/>
      <c r="GK77" s="339"/>
      <c r="GL77" s="337"/>
      <c r="GM77" s="336"/>
      <c r="GN77" s="338"/>
      <c r="GO77" s="339"/>
      <c r="GP77" s="337"/>
      <c r="GQ77" s="336"/>
      <c r="GR77" s="338"/>
      <c r="GS77" s="339"/>
      <c r="GT77" s="337"/>
      <c r="GU77" s="336"/>
      <c r="GV77" s="338"/>
      <c r="GW77" s="339"/>
      <c r="GX77" s="337"/>
      <c r="GY77" s="336"/>
      <c r="GZ77" s="338"/>
      <c r="HA77" s="339"/>
      <c r="HB77" s="337"/>
      <c r="HC77" s="340">
        <f t="shared" si="71"/>
        <v>0</v>
      </c>
      <c r="HD77" s="341"/>
      <c r="HE77" s="342">
        <f t="shared" si="71"/>
        <v>0</v>
      </c>
      <c r="HF77" s="343">
        <f t="shared" si="71"/>
        <v>0</v>
      </c>
      <c r="HG77" s="340">
        <f>SUM(SUMIFS(K77:HB77,$K$13:$HB$13,{"エネルギー管理指定工場等*","県域*"}))</f>
        <v>0</v>
      </c>
      <c r="HH77" s="341"/>
      <c r="HI77" s="342">
        <f>SUM(SUMIFS(M77:HD77,$K$13:$HB$13,{"エネルギー管理指定工場等*","県域*"}))</f>
        <v>0</v>
      </c>
      <c r="HJ77" s="343">
        <f>SUM(SUMIFS(N77:HE77,$K$13:$HB$13,{"エネルギー管理指定工場等*","県域*"}))</f>
        <v>0</v>
      </c>
    </row>
    <row r="78" spans="1:218" ht="19.8">
      <c r="A78" s="164"/>
      <c r="B78" s="302"/>
      <c r="C78" s="319"/>
      <c r="D78" s="303" t="s">
        <v>1382</v>
      </c>
      <c r="E78" s="305"/>
      <c r="F78" s="303" t="s">
        <v>461</v>
      </c>
      <c r="G78" s="336"/>
      <c r="H78" s="309"/>
      <c r="I78" s="308"/>
      <c r="J78" s="309"/>
      <c r="K78" s="336"/>
      <c r="L78" s="338"/>
      <c r="M78" s="339"/>
      <c r="N78" s="337"/>
      <c r="O78" s="336"/>
      <c r="P78" s="338"/>
      <c r="Q78" s="339"/>
      <c r="R78" s="337"/>
      <c r="S78" s="336"/>
      <c r="T78" s="338"/>
      <c r="U78" s="339"/>
      <c r="V78" s="337"/>
      <c r="W78" s="336"/>
      <c r="X78" s="338"/>
      <c r="Y78" s="339"/>
      <c r="Z78" s="337"/>
      <c r="AA78" s="336"/>
      <c r="AB78" s="338"/>
      <c r="AC78" s="339"/>
      <c r="AD78" s="337"/>
      <c r="AE78" s="336"/>
      <c r="AF78" s="338"/>
      <c r="AG78" s="339"/>
      <c r="AH78" s="337"/>
      <c r="AI78" s="336"/>
      <c r="AJ78" s="338"/>
      <c r="AK78" s="339"/>
      <c r="AL78" s="337"/>
      <c r="AM78" s="336"/>
      <c r="AN78" s="338"/>
      <c r="AO78" s="339"/>
      <c r="AP78" s="337"/>
      <c r="AQ78" s="336"/>
      <c r="AR78" s="338"/>
      <c r="AS78" s="339"/>
      <c r="AT78" s="337"/>
      <c r="AU78" s="336"/>
      <c r="AV78" s="338"/>
      <c r="AW78" s="339"/>
      <c r="AX78" s="337"/>
      <c r="AY78" s="336"/>
      <c r="AZ78" s="338"/>
      <c r="BA78" s="339"/>
      <c r="BB78" s="337"/>
      <c r="BC78" s="336"/>
      <c r="BD78" s="338"/>
      <c r="BE78" s="339"/>
      <c r="BF78" s="337"/>
      <c r="BG78" s="336"/>
      <c r="BH78" s="338"/>
      <c r="BI78" s="339"/>
      <c r="BJ78" s="337"/>
      <c r="BK78" s="336"/>
      <c r="BL78" s="338"/>
      <c r="BM78" s="339"/>
      <c r="BN78" s="337"/>
      <c r="BO78" s="336"/>
      <c r="BP78" s="338"/>
      <c r="BQ78" s="339"/>
      <c r="BR78" s="337"/>
      <c r="BS78" s="336"/>
      <c r="BT78" s="338"/>
      <c r="BU78" s="339"/>
      <c r="BV78" s="337"/>
      <c r="BW78" s="336"/>
      <c r="BX78" s="338"/>
      <c r="BY78" s="339"/>
      <c r="BZ78" s="337"/>
      <c r="CA78" s="336"/>
      <c r="CB78" s="338"/>
      <c r="CC78" s="339"/>
      <c r="CD78" s="337"/>
      <c r="CE78" s="336"/>
      <c r="CF78" s="338"/>
      <c r="CG78" s="339"/>
      <c r="CH78" s="337"/>
      <c r="CI78" s="336"/>
      <c r="CJ78" s="338"/>
      <c r="CK78" s="339"/>
      <c r="CL78" s="337"/>
      <c r="CM78" s="336"/>
      <c r="CN78" s="338"/>
      <c r="CO78" s="339"/>
      <c r="CP78" s="337"/>
      <c r="CQ78" s="336"/>
      <c r="CR78" s="338"/>
      <c r="CS78" s="339"/>
      <c r="CT78" s="337"/>
      <c r="CU78" s="336"/>
      <c r="CV78" s="338"/>
      <c r="CW78" s="339"/>
      <c r="CX78" s="337"/>
      <c r="CY78" s="336"/>
      <c r="CZ78" s="338"/>
      <c r="DA78" s="339"/>
      <c r="DB78" s="337"/>
      <c r="DC78" s="336"/>
      <c r="DD78" s="338"/>
      <c r="DE78" s="339"/>
      <c r="DF78" s="337"/>
      <c r="DG78" s="336"/>
      <c r="DH78" s="338"/>
      <c r="DI78" s="339"/>
      <c r="DJ78" s="337"/>
      <c r="DK78" s="336"/>
      <c r="DL78" s="338"/>
      <c r="DM78" s="339"/>
      <c r="DN78" s="337"/>
      <c r="DO78" s="336"/>
      <c r="DP78" s="338"/>
      <c r="DQ78" s="339"/>
      <c r="DR78" s="337"/>
      <c r="DS78" s="336"/>
      <c r="DT78" s="338"/>
      <c r="DU78" s="339"/>
      <c r="DV78" s="337"/>
      <c r="DW78" s="336"/>
      <c r="DX78" s="338"/>
      <c r="DY78" s="339"/>
      <c r="DZ78" s="337"/>
      <c r="EA78" s="336"/>
      <c r="EB78" s="338"/>
      <c r="EC78" s="339"/>
      <c r="ED78" s="337"/>
      <c r="EE78" s="336"/>
      <c r="EF78" s="338"/>
      <c r="EG78" s="339"/>
      <c r="EH78" s="337"/>
      <c r="EI78" s="336"/>
      <c r="EJ78" s="338"/>
      <c r="EK78" s="339"/>
      <c r="EL78" s="337"/>
      <c r="EM78" s="336"/>
      <c r="EN78" s="338"/>
      <c r="EO78" s="339"/>
      <c r="EP78" s="337"/>
      <c r="EQ78" s="336"/>
      <c r="ER78" s="338"/>
      <c r="ES78" s="339"/>
      <c r="ET78" s="337"/>
      <c r="EU78" s="336"/>
      <c r="EV78" s="338"/>
      <c r="EW78" s="339"/>
      <c r="EX78" s="337"/>
      <c r="EY78" s="336"/>
      <c r="EZ78" s="338"/>
      <c r="FA78" s="339"/>
      <c r="FB78" s="337"/>
      <c r="FC78" s="336"/>
      <c r="FD78" s="338"/>
      <c r="FE78" s="339"/>
      <c r="FF78" s="337"/>
      <c r="FG78" s="336"/>
      <c r="FH78" s="338"/>
      <c r="FI78" s="339"/>
      <c r="FJ78" s="337"/>
      <c r="FK78" s="336"/>
      <c r="FL78" s="338"/>
      <c r="FM78" s="339"/>
      <c r="FN78" s="337"/>
      <c r="FO78" s="336"/>
      <c r="FP78" s="338"/>
      <c r="FQ78" s="339"/>
      <c r="FR78" s="337"/>
      <c r="FS78" s="336"/>
      <c r="FT78" s="338"/>
      <c r="FU78" s="339"/>
      <c r="FV78" s="337"/>
      <c r="FW78" s="336"/>
      <c r="FX78" s="338"/>
      <c r="FY78" s="339"/>
      <c r="FZ78" s="337"/>
      <c r="GA78" s="336"/>
      <c r="GB78" s="338"/>
      <c r="GC78" s="339"/>
      <c r="GD78" s="337"/>
      <c r="GE78" s="336"/>
      <c r="GF78" s="338"/>
      <c r="GG78" s="339"/>
      <c r="GH78" s="337"/>
      <c r="GI78" s="336"/>
      <c r="GJ78" s="338"/>
      <c r="GK78" s="339"/>
      <c r="GL78" s="337"/>
      <c r="GM78" s="336"/>
      <c r="GN78" s="338"/>
      <c r="GO78" s="339"/>
      <c r="GP78" s="337"/>
      <c r="GQ78" s="336"/>
      <c r="GR78" s="338"/>
      <c r="GS78" s="339"/>
      <c r="GT78" s="337"/>
      <c r="GU78" s="336"/>
      <c r="GV78" s="338"/>
      <c r="GW78" s="339"/>
      <c r="GX78" s="337"/>
      <c r="GY78" s="336"/>
      <c r="GZ78" s="338"/>
      <c r="HA78" s="339"/>
      <c r="HB78" s="337"/>
      <c r="HC78" s="340">
        <f t="shared" si="71"/>
        <v>0</v>
      </c>
      <c r="HD78" s="341"/>
      <c r="HE78" s="342">
        <f t="shared" si="71"/>
        <v>0</v>
      </c>
      <c r="HF78" s="343">
        <f t="shared" si="71"/>
        <v>0</v>
      </c>
      <c r="HG78" s="340">
        <f>SUM(SUMIFS(K78:HB78,$K$13:$HB$13,{"エネルギー管理指定工場等*","県域*"}))</f>
        <v>0</v>
      </c>
      <c r="HH78" s="341"/>
      <c r="HI78" s="342">
        <f>SUM(SUMIFS(M78:HD78,$K$13:$HB$13,{"エネルギー管理指定工場等*","県域*"}))</f>
        <v>0</v>
      </c>
      <c r="HJ78" s="343">
        <f>SUM(SUMIFS(N78:HE78,$K$13:$HB$13,{"エネルギー管理指定工場等*","県域*"}))</f>
        <v>0</v>
      </c>
    </row>
    <row r="79" spans="1:218" ht="19.8">
      <c r="A79" s="164"/>
      <c r="B79" s="302"/>
      <c r="C79" s="319"/>
      <c r="D79" s="303" t="s">
        <v>1383</v>
      </c>
      <c r="E79" s="311"/>
      <c r="F79" s="303" t="s">
        <v>461</v>
      </c>
      <c r="G79" s="336"/>
      <c r="H79" s="337"/>
      <c r="I79" s="308"/>
      <c r="J79" s="309"/>
      <c r="K79" s="336"/>
      <c r="L79" s="338"/>
      <c r="M79" s="339"/>
      <c r="N79" s="337"/>
      <c r="O79" s="336"/>
      <c r="P79" s="338"/>
      <c r="Q79" s="339"/>
      <c r="R79" s="337"/>
      <c r="S79" s="336"/>
      <c r="T79" s="338"/>
      <c r="U79" s="339"/>
      <c r="V79" s="337"/>
      <c r="W79" s="336"/>
      <c r="X79" s="338"/>
      <c r="Y79" s="339"/>
      <c r="Z79" s="337"/>
      <c r="AA79" s="336"/>
      <c r="AB79" s="338"/>
      <c r="AC79" s="339"/>
      <c r="AD79" s="337"/>
      <c r="AE79" s="336"/>
      <c r="AF79" s="338"/>
      <c r="AG79" s="339"/>
      <c r="AH79" s="337"/>
      <c r="AI79" s="336"/>
      <c r="AJ79" s="338"/>
      <c r="AK79" s="339"/>
      <c r="AL79" s="337"/>
      <c r="AM79" s="336"/>
      <c r="AN79" s="338"/>
      <c r="AO79" s="339"/>
      <c r="AP79" s="337"/>
      <c r="AQ79" s="336"/>
      <c r="AR79" s="338"/>
      <c r="AS79" s="339"/>
      <c r="AT79" s="337"/>
      <c r="AU79" s="336"/>
      <c r="AV79" s="338"/>
      <c r="AW79" s="339"/>
      <c r="AX79" s="337"/>
      <c r="AY79" s="336"/>
      <c r="AZ79" s="338"/>
      <c r="BA79" s="339"/>
      <c r="BB79" s="337"/>
      <c r="BC79" s="336"/>
      <c r="BD79" s="338"/>
      <c r="BE79" s="339"/>
      <c r="BF79" s="337"/>
      <c r="BG79" s="336"/>
      <c r="BH79" s="338"/>
      <c r="BI79" s="339"/>
      <c r="BJ79" s="337"/>
      <c r="BK79" s="336"/>
      <c r="BL79" s="338"/>
      <c r="BM79" s="339"/>
      <c r="BN79" s="337"/>
      <c r="BO79" s="336"/>
      <c r="BP79" s="338"/>
      <c r="BQ79" s="339"/>
      <c r="BR79" s="337"/>
      <c r="BS79" s="336"/>
      <c r="BT79" s="338"/>
      <c r="BU79" s="339"/>
      <c r="BV79" s="337"/>
      <c r="BW79" s="336"/>
      <c r="BX79" s="338"/>
      <c r="BY79" s="339"/>
      <c r="BZ79" s="337"/>
      <c r="CA79" s="336"/>
      <c r="CB79" s="338"/>
      <c r="CC79" s="339"/>
      <c r="CD79" s="337"/>
      <c r="CE79" s="336"/>
      <c r="CF79" s="338"/>
      <c r="CG79" s="339"/>
      <c r="CH79" s="337"/>
      <c r="CI79" s="336"/>
      <c r="CJ79" s="338"/>
      <c r="CK79" s="339"/>
      <c r="CL79" s="337"/>
      <c r="CM79" s="336"/>
      <c r="CN79" s="338"/>
      <c r="CO79" s="339"/>
      <c r="CP79" s="337"/>
      <c r="CQ79" s="336"/>
      <c r="CR79" s="338"/>
      <c r="CS79" s="339"/>
      <c r="CT79" s="337"/>
      <c r="CU79" s="336"/>
      <c r="CV79" s="338"/>
      <c r="CW79" s="339"/>
      <c r="CX79" s="337"/>
      <c r="CY79" s="336"/>
      <c r="CZ79" s="338"/>
      <c r="DA79" s="339"/>
      <c r="DB79" s="337"/>
      <c r="DC79" s="336"/>
      <c r="DD79" s="338"/>
      <c r="DE79" s="339"/>
      <c r="DF79" s="337"/>
      <c r="DG79" s="336"/>
      <c r="DH79" s="338"/>
      <c r="DI79" s="339"/>
      <c r="DJ79" s="337"/>
      <c r="DK79" s="336"/>
      <c r="DL79" s="338"/>
      <c r="DM79" s="339"/>
      <c r="DN79" s="337"/>
      <c r="DO79" s="336"/>
      <c r="DP79" s="338"/>
      <c r="DQ79" s="339"/>
      <c r="DR79" s="337"/>
      <c r="DS79" s="336"/>
      <c r="DT79" s="338"/>
      <c r="DU79" s="339"/>
      <c r="DV79" s="337"/>
      <c r="DW79" s="336"/>
      <c r="DX79" s="338"/>
      <c r="DY79" s="339"/>
      <c r="DZ79" s="337"/>
      <c r="EA79" s="336"/>
      <c r="EB79" s="338"/>
      <c r="EC79" s="339"/>
      <c r="ED79" s="337"/>
      <c r="EE79" s="336"/>
      <c r="EF79" s="338"/>
      <c r="EG79" s="339"/>
      <c r="EH79" s="337"/>
      <c r="EI79" s="336"/>
      <c r="EJ79" s="338"/>
      <c r="EK79" s="339"/>
      <c r="EL79" s="337"/>
      <c r="EM79" s="336"/>
      <c r="EN79" s="338"/>
      <c r="EO79" s="339"/>
      <c r="EP79" s="337"/>
      <c r="EQ79" s="336"/>
      <c r="ER79" s="338"/>
      <c r="ES79" s="339"/>
      <c r="ET79" s="337"/>
      <c r="EU79" s="336"/>
      <c r="EV79" s="338"/>
      <c r="EW79" s="339"/>
      <c r="EX79" s="337"/>
      <c r="EY79" s="336"/>
      <c r="EZ79" s="338"/>
      <c r="FA79" s="339"/>
      <c r="FB79" s="337"/>
      <c r="FC79" s="336"/>
      <c r="FD79" s="338"/>
      <c r="FE79" s="339"/>
      <c r="FF79" s="337"/>
      <c r="FG79" s="336"/>
      <c r="FH79" s="338"/>
      <c r="FI79" s="339"/>
      <c r="FJ79" s="337"/>
      <c r="FK79" s="336"/>
      <c r="FL79" s="338"/>
      <c r="FM79" s="339"/>
      <c r="FN79" s="337"/>
      <c r="FO79" s="336"/>
      <c r="FP79" s="338"/>
      <c r="FQ79" s="339"/>
      <c r="FR79" s="337"/>
      <c r="FS79" s="336"/>
      <c r="FT79" s="338"/>
      <c r="FU79" s="339"/>
      <c r="FV79" s="337"/>
      <c r="FW79" s="336"/>
      <c r="FX79" s="338"/>
      <c r="FY79" s="339"/>
      <c r="FZ79" s="337"/>
      <c r="GA79" s="336"/>
      <c r="GB79" s="338"/>
      <c r="GC79" s="339"/>
      <c r="GD79" s="337"/>
      <c r="GE79" s="336"/>
      <c r="GF79" s="338"/>
      <c r="GG79" s="339"/>
      <c r="GH79" s="337"/>
      <c r="GI79" s="336"/>
      <c r="GJ79" s="338"/>
      <c r="GK79" s="339"/>
      <c r="GL79" s="337"/>
      <c r="GM79" s="336"/>
      <c r="GN79" s="338"/>
      <c r="GO79" s="339"/>
      <c r="GP79" s="337"/>
      <c r="GQ79" s="336"/>
      <c r="GR79" s="338"/>
      <c r="GS79" s="339"/>
      <c r="GT79" s="337"/>
      <c r="GU79" s="336"/>
      <c r="GV79" s="338"/>
      <c r="GW79" s="339"/>
      <c r="GX79" s="337"/>
      <c r="GY79" s="336"/>
      <c r="GZ79" s="338"/>
      <c r="HA79" s="339"/>
      <c r="HB79" s="337"/>
      <c r="HC79" s="340">
        <f t="shared" si="71"/>
        <v>0</v>
      </c>
      <c r="HD79" s="341"/>
      <c r="HE79" s="342">
        <f t="shared" si="71"/>
        <v>0</v>
      </c>
      <c r="HF79" s="343">
        <f t="shared" si="71"/>
        <v>0</v>
      </c>
      <c r="HG79" s="340">
        <f>SUM(SUMIFS(K79:HB79,$K$13:$HB$13,{"エネルギー管理指定工場等*","県域*"}))</f>
        <v>0</v>
      </c>
      <c r="HH79" s="341"/>
      <c r="HI79" s="342">
        <f>SUM(SUMIFS(M79:HD79,$K$13:$HB$13,{"エネルギー管理指定工場等*","県域*"}))</f>
        <v>0</v>
      </c>
      <c r="HJ79" s="343">
        <f>SUM(SUMIFS(N79:HE79,$K$13:$HB$13,{"エネルギー管理指定工場等*","県域*"}))</f>
        <v>0</v>
      </c>
    </row>
    <row r="80" spans="1:218" ht="19.8">
      <c r="A80" s="164"/>
      <c r="B80" s="320"/>
      <c r="C80" s="318"/>
      <c r="D80" s="303" t="s">
        <v>1384</v>
      </c>
      <c r="E80" s="311"/>
      <c r="F80" s="303" t="s">
        <v>461</v>
      </c>
      <c r="G80" s="310"/>
      <c r="H80" s="315"/>
      <c r="I80" s="308"/>
      <c r="J80" s="309"/>
      <c r="K80" s="310"/>
      <c r="L80" s="329"/>
      <c r="M80" s="311"/>
      <c r="N80" s="315"/>
      <c r="O80" s="310"/>
      <c r="P80" s="329"/>
      <c r="Q80" s="311"/>
      <c r="R80" s="315"/>
      <c r="S80" s="310"/>
      <c r="T80" s="329"/>
      <c r="U80" s="311"/>
      <c r="V80" s="315"/>
      <c r="W80" s="310"/>
      <c r="X80" s="329"/>
      <c r="Y80" s="311"/>
      <c r="Z80" s="315"/>
      <c r="AA80" s="310"/>
      <c r="AB80" s="329"/>
      <c r="AC80" s="311"/>
      <c r="AD80" s="315"/>
      <c r="AE80" s="310"/>
      <c r="AF80" s="329"/>
      <c r="AG80" s="311"/>
      <c r="AH80" s="315"/>
      <c r="AI80" s="310"/>
      <c r="AJ80" s="329"/>
      <c r="AK80" s="311"/>
      <c r="AL80" s="315"/>
      <c r="AM80" s="310"/>
      <c r="AN80" s="329"/>
      <c r="AO80" s="311"/>
      <c r="AP80" s="315"/>
      <c r="AQ80" s="310"/>
      <c r="AR80" s="329"/>
      <c r="AS80" s="311"/>
      <c r="AT80" s="315"/>
      <c r="AU80" s="310"/>
      <c r="AV80" s="329"/>
      <c r="AW80" s="311"/>
      <c r="AX80" s="315"/>
      <c r="AY80" s="310"/>
      <c r="AZ80" s="329"/>
      <c r="BA80" s="311"/>
      <c r="BB80" s="315"/>
      <c r="BC80" s="310"/>
      <c r="BD80" s="329"/>
      <c r="BE80" s="311"/>
      <c r="BF80" s="315"/>
      <c r="BG80" s="310"/>
      <c r="BH80" s="329"/>
      <c r="BI80" s="311"/>
      <c r="BJ80" s="315"/>
      <c r="BK80" s="310"/>
      <c r="BL80" s="329"/>
      <c r="BM80" s="311"/>
      <c r="BN80" s="315"/>
      <c r="BO80" s="310"/>
      <c r="BP80" s="329"/>
      <c r="BQ80" s="311"/>
      <c r="BR80" s="315"/>
      <c r="BS80" s="310"/>
      <c r="BT80" s="329"/>
      <c r="BU80" s="311"/>
      <c r="BV80" s="315"/>
      <c r="BW80" s="310"/>
      <c r="BX80" s="329"/>
      <c r="BY80" s="311"/>
      <c r="BZ80" s="315"/>
      <c r="CA80" s="310"/>
      <c r="CB80" s="329"/>
      <c r="CC80" s="311"/>
      <c r="CD80" s="315"/>
      <c r="CE80" s="310"/>
      <c r="CF80" s="329"/>
      <c r="CG80" s="311"/>
      <c r="CH80" s="315"/>
      <c r="CI80" s="310"/>
      <c r="CJ80" s="329"/>
      <c r="CK80" s="311"/>
      <c r="CL80" s="315"/>
      <c r="CM80" s="310"/>
      <c r="CN80" s="329"/>
      <c r="CO80" s="311"/>
      <c r="CP80" s="315"/>
      <c r="CQ80" s="310"/>
      <c r="CR80" s="329"/>
      <c r="CS80" s="311"/>
      <c r="CT80" s="315"/>
      <c r="CU80" s="310"/>
      <c r="CV80" s="329"/>
      <c r="CW80" s="311"/>
      <c r="CX80" s="315"/>
      <c r="CY80" s="310"/>
      <c r="CZ80" s="329"/>
      <c r="DA80" s="311"/>
      <c r="DB80" s="315"/>
      <c r="DC80" s="310"/>
      <c r="DD80" s="329"/>
      <c r="DE80" s="311"/>
      <c r="DF80" s="315"/>
      <c r="DG80" s="310"/>
      <c r="DH80" s="329"/>
      <c r="DI80" s="311"/>
      <c r="DJ80" s="315"/>
      <c r="DK80" s="310"/>
      <c r="DL80" s="329"/>
      <c r="DM80" s="311"/>
      <c r="DN80" s="315"/>
      <c r="DO80" s="310"/>
      <c r="DP80" s="329"/>
      <c r="DQ80" s="311"/>
      <c r="DR80" s="315"/>
      <c r="DS80" s="310"/>
      <c r="DT80" s="329"/>
      <c r="DU80" s="311"/>
      <c r="DV80" s="315"/>
      <c r="DW80" s="310"/>
      <c r="DX80" s="329"/>
      <c r="DY80" s="311"/>
      <c r="DZ80" s="315"/>
      <c r="EA80" s="310"/>
      <c r="EB80" s="329"/>
      <c r="EC80" s="311"/>
      <c r="ED80" s="315"/>
      <c r="EE80" s="310"/>
      <c r="EF80" s="329"/>
      <c r="EG80" s="311"/>
      <c r="EH80" s="315"/>
      <c r="EI80" s="310"/>
      <c r="EJ80" s="329"/>
      <c r="EK80" s="311"/>
      <c r="EL80" s="315"/>
      <c r="EM80" s="310"/>
      <c r="EN80" s="329"/>
      <c r="EO80" s="311"/>
      <c r="EP80" s="315"/>
      <c r="EQ80" s="310"/>
      <c r="ER80" s="329"/>
      <c r="ES80" s="311"/>
      <c r="ET80" s="315"/>
      <c r="EU80" s="310"/>
      <c r="EV80" s="329"/>
      <c r="EW80" s="311"/>
      <c r="EX80" s="315"/>
      <c r="EY80" s="310"/>
      <c r="EZ80" s="329"/>
      <c r="FA80" s="311"/>
      <c r="FB80" s="315"/>
      <c r="FC80" s="310"/>
      <c r="FD80" s="329"/>
      <c r="FE80" s="311"/>
      <c r="FF80" s="315"/>
      <c r="FG80" s="310"/>
      <c r="FH80" s="329"/>
      <c r="FI80" s="311"/>
      <c r="FJ80" s="315"/>
      <c r="FK80" s="310"/>
      <c r="FL80" s="329"/>
      <c r="FM80" s="311"/>
      <c r="FN80" s="315"/>
      <c r="FO80" s="310"/>
      <c r="FP80" s="329"/>
      <c r="FQ80" s="311"/>
      <c r="FR80" s="315"/>
      <c r="FS80" s="310"/>
      <c r="FT80" s="329"/>
      <c r="FU80" s="311"/>
      <c r="FV80" s="315"/>
      <c r="FW80" s="310"/>
      <c r="FX80" s="329"/>
      <c r="FY80" s="311"/>
      <c r="FZ80" s="315"/>
      <c r="GA80" s="310"/>
      <c r="GB80" s="329"/>
      <c r="GC80" s="311"/>
      <c r="GD80" s="315"/>
      <c r="GE80" s="310"/>
      <c r="GF80" s="329"/>
      <c r="GG80" s="311"/>
      <c r="GH80" s="315"/>
      <c r="GI80" s="310"/>
      <c r="GJ80" s="329"/>
      <c r="GK80" s="311"/>
      <c r="GL80" s="315"/>
      <c r="GM80" s="310"/>
      <c r="GN80" s="329"/>
      <c r="GO80" s="311"/>
      <c r="GP80" s="315"/>
      <c r="GQ80" s="310"/>
      <c r="GR80" s="329"/>
      <c r="GS80" s="311"/>
      <c r="GT80" s="315"/>
      <c r="GU80" s="310"/>
      <c r="GV80" s="329"/>
      <c r="GW80" s="311"/>
      <c r="GX80" s="315"/>
      <c r="GY80" s="310"/>
      <c r="GZ80" s="329"/>
      <c r="HA80" s="311"/>
      <c r="HB80" s="315"/>
      <c r="HC80" s="312">
        <f t="shared" si="71"/>
        <v>0</v>
      </c>
      <c r="HD80" s="330"/>
      <c r="HE80" s="313">
        <f t="shared" si="71"/>
        <v>0</v>
      </c>
      <c r="HF80" s="331">
        <f t="shared" si="71"/>
        <v>0</v>
      </c>
      <c r="HG80" s="312">
        <f>SUM(SUMIFS(K80:HB80,$K$13:$HB$13,{"エネルギー管理指定工場等*","県域*"}))</f>
        <v>0</v>
      </c>
      <c r="HH80" s="330"/>
      <c r="HI80" s="313">
        <f>SUM(SUMIFS(M80:HD80,$K$13:$HB$13,{"エネルギー管理指定工場等*","県域*"}))</f>
        <v>0</v>
      </c>
      <c r="HJ80" s="331">
        <f>SUM(SUMIFS(N80:HE80,$K$13:$HB$13,{"エネルギー管理指定工場等*","県域*"}))</f>
        <v>0</v>
      </c>
    </row>
    <row r="81" spans="1:218" ht="59.4">
      <c r="A81" s="164"/>
      <c r="B81" s="302" t="s">
        <v>607</v>
      </c>
      <c r="C81" s="344" t="s">
        <v>608</v>
      </c>
      <c r="D81" s="345" t="s">
        <v>609</v>
      </c>
      <c r="E81" s="270"/>
      <c r="F81" s="346" t="s">
        <v>610</v>
      </c>
      <c r="G81" s="320">
        <v>8.64</v>
      </c>
      <c r="H81" s="347"/>
      <c r="I81" s="348"/>
      <c r="J81" s="349"/>
      <c r="K81" s="348"/>
      <c r="L81" s="350"/>
      <c r="M81" s="350"/>
      <c r="N81" s="347"/>
      <c r="O81" s="348"/>
      <c r="P81" s="350"/>
      <c r="Q81" s="350"/>
      <c r="R81" s="347"/>
      <c r="S81" s="348"/>
      <c r="T81" s="350"/>
      <c r="U81" s="350"/>
      <c r="V81" s="347"/>
      <c r="W81" s="348"/>
      <c r="X81" s="350"/>
      <c r="Y81" s="350"/>
      <c r="Z81" s="347"/>
      <c r="AA81" s="348"/>
      <c r="AB81" s="350"/>
      <c r="AC81" s="350"/>
      <c r="AD81" s="347"/>
      <c r="AE81" s="348"/>
      <c r="AF81" s="350"/>
      <c r="AG81" s="350"/>
      <c r="AH81" s="347"/>
      <c r="AI81" s="348"/>
      <c r="AJ81" s="350"/>
      <c r="AK81" s="350"/>
      <c r="AL81" s="347"/>
      <c r="AM81" s="348"/>
      <c r="AN81" s="350"/>
      <c r="AO81" s="350"/>
      <c r="AP81" s="347"/>
      <c r="AQ81" s="348"/>
      <c r="AR81" s="350"/>
      <c r="AS81" s="350"/>
      <c r="AT81" s="347"/>
      <c r="AU81" s="348"/>
      <c r="AV81" s="350"/>
      <c r="AW81" s="350"/>
      <c r="AX81" s="347"/>
      <c r="AY81" s="348"/>
      <c r="AZ81" s="350"/>
      <c r="BA81" s="350"/>
      <c r="BB81" s="347"/>
      <c r="BC81" s="348"/>
      <c r="BD81" s="350"/>
      <c r="BE81" s="350"/>
      <c r="BF81" s="347"/>
      <c r="BG81" s="348"/>
      <c r="BH81" s="350"/>
      <c r="BI81" s="350"/>
      <c r="BJ81" s="347"/>
      <c r="BK81" s="348"/>
      <c r="BL81" s="350"/>
      <c r="BM81" s="350"/>
      <c r="BN81" s="347"/>
      <c r="BO81" s="348"/>
      <c r="BP81" s="350"/>
      <c r="BQ81" s="350"/>
      <c r="BR81" s="347"/>
      <c r="BS81" s="348"/>
      <c r="BT81" s="350"/>
      <c r="BU81" s="350"/>
      <c r="BV81" s="347"/>
      <c r="BW81" s="348"/>
      <c r="BX81" s="350"/>
      <c r="BY81" s="350"/>
      <c r="BZ81" s="347"/>
      <c r="CA81" s="348"/>
      <c r="CB81" s="350"/>
      <c r="CC81" s="350"/>
      <c r="CD81" s="347"/>
      <c r="CE81" s="348"/>
      <c r="CF81" s="350"/>
      <c r="CG81" s="350"/>
      <c r="CH81" s="347"/>
      <c r="CI81" s="348"/>
      <c r="CJ81" s="350"/>
      <c r="CK81" s="350"/>
      <c r="CL81" s="347"/>
      <c r="CM81" s="348"/>
      <c r="CN81" s="350"/>
      <c r="CO81" s="350"/>
      <c r="CP81" s="347"/>
      <c r="CQ81" s="348"/>
      <c r="CR81" s="350"/>
      <c r="CS81" s="350"/>
      <c r="CT81" s="347"/>
      <c r="CU81" s="348"/>
      <c r="CV81" s="350"/>
      <c r="CW81" s="350"/>
      <c r="CX81" s="347"/>
      <c r="CY81" s="348"/>
      <c r="CZ81" s="350"/>
      <c r="DA81" s="350"/>
      <c r="DB81" s="347"/>
      <c r="DC81" s="348"/>
      <c r="DD81" s="350"/>
      <c r="DE81" s="350"/>
      <c r="DF81" s="347"/>
      <c r="DG81" s="348"/>
      <c r="DH81" s="350"/>
      <c r="DI81" s="350"/>
      <c r="DJ81" s="347"/>
      <c r="DK81" s="348"/>
      <c r="DL81" s="350"/>
      <c r="DM81" s="350"/>
      <c r="DN81" s="347"/>
      <c r="DO81" s="348"/>
      <c r="DP81" s="350"/>
      <c r="DQ81" s="350"/>
      <c r="DR81" s="347"/>
      <c r="DS81" s="348"/>
      <c r="DT81" s="350"/>
      <c r="DU81" s="350"/>
      <c r="DV81" s="347"/>
      <c r="DW81" s="348"/>
      <c r="DX81" s="350"/>
      <c r="DY81" s="350"/>
      <c r="DZ81" s="347"/>
      <c r="EA81" s="348"/>
      <c r="EB81" s="350"/>
      <c r="EC81" s="350"/>
      <c r="ED81" s="347"/>
      <c r="EE81" s="348"/>
      <c r="EF81" s="350"/>
      <c r="EG81" s="350"/>
      <c r="EH81" s="347"/>
      <c r="EI81" s="348"/>
      <c r="EJ81" s="350"/>
      <c r="EK81" s="350"/>
      <c r="EL81" s="347"/>
      <c r="EM81" s="348"/>
      <c r="EN81" s="350"/>
      <c r="EO81" s="350"/>
      <c r="EP81" s="347"/>
      <c r="EQ81" s="348"/>
      <c r="ER81" s="350"/>
      <c r="ES81" s="350"/>
      <c r="ET81" s="347"/>
      <c r="EU81" s="348"/>
      <c r="EV81" s="350"/>
      <c r="EW81" s="350"/>
      <c r="EX81" s="347"/>
      <c r="EY81" s="348"/>
      <c r="EZ81" s="350"/>
      <c r="FA81" s="350"/>
      <c r="FB81" s="347"/>
      <c r="FC81" s="348"/>
      <c r="FD81" s="350"/>
      <c r="FE81" s="350"/>
      <c r="FF81" s="347"/>
      <c r="FG81" s="348"/>
      <c r="FH81" s="350"/>
      <c r="FI81" s="350"/>
      <c r="FJ81" s="347"/>
      <c r="FK81" s="348"/>
      <c r="FL81" s="350"/>
      <c r="FM81" s="350"/>
      <c r="FN81" s="347"/>
      <c r="FO81" s="348"/>
      <c r="FP81" s="350"/>
      <c r="FQ81" s="350"/>
      <c r="FR81" s="347"/>
      <c r="FS81" s="348"/>
      <c r="FT81" s="350"/>
      <c r="FU81" s="350"/>
      <c r="FV81" s="347"/>
      <c r="FW81" s="348"/>
      <c r="FX81" s="350"/>
      <c r="FY81" s="350"/>
      <c r="FZ81" s="347"/>
      <c r="GA81" s="348"/>
      <c r="GB81" s="350"/>
      <c r="GC81" s="350"/>
      <c r="GD81" s="347"/>
      <c r="GE81" s="348"/>
      <c r="GF81" s="350"/>
      <c r="GG81" s="350"/>
      <c r="GH81" s="347"/>
      <c r="GI81" s="348"/>
      <c r="GJ81" s="350"/>
      <c r="GK81" s="350"/>
      <c r="GL81" s="347"/>
      <c r="GM81" s="348"/>
      <c r="GN81" s="350"/>
      <c r="GO81" s="350"/>
      <c r="GP81" s="347"/>
      <c r="GQ81" s="348"/>
      <c r="GR81" s="350"/>
      <c r="GS81" s="350"/>
      <c r="GT81" s="347"/>
      <c r="GU81" s="348"/>
      <c r="GV81" s="350"/>
      <c r="GW81" s="350"/>
      <c r="GX81" s="347"/>
      <c r="GY81" s="348"/>
      <c r="GZ81" s="350"/>
      <c r="HA81" s="350"/>
      <c r="HB81" s="347"/>
      <c r="HC81" s="351">
        <f t="shared" ref="HC81:HC107" si="72">K81+O81+S81+W81+AA81+AE81+AI81+AM81+AQ81+AU81+AY81+BC81+BG81+BK81+BO81+BS81+BW81+CA81+CE81+CI81+CM81+CQ81+CU81+CY81+DC81+DG81+DK81+DO81+DS81+DW81+EA81+EE81+EI81+EM81+EQ81+EU81+EY81+FC81+FG81+FK81+FO81+FS81+FW81+GA81+GE81+GI81+GM81+GQ81+GU81+GY81</f>
        <v>0</v>
      </c>
      <c r="HD81" s="352"/>
      <c r="HE81" s="352"/>
      <c r="HF81" s="353"/>
      <c r="HG81" s="351">
        <f>SUM(SUMIFS(K81:HB81,$K$13:$HB$13,{"エネルギー管理指定工場等*","県域*"}))</f>
        <v>0</v>
      </c>
      <c r="HH81" s="352"/>
      <c r="HI81" s="352"/>
      <c r="HJ81" s="353"/>
    </row>
    <row r="82" spans="1:218" ht="19.8">
      <c r="A82" s="164"/>
      <c r="B82" s="302"/>
      <c r="C82" s="318"/>
      <c r="D82" s="354"/>
      <c r="E82" s="326" t="s">
        <v>611</v>
      </c>
      <c r="F82" s="303" t="s">
        <v>610</v>
      </c>
      <c r="G82" s="306">
        <v>8.64</v>
      </c>
      <c r="H82" s="309"/>
      <c r="I82" s="308"/>
      <c r="J82" s="309"/>
      <c r="K82" s="310"/>
      <c r="L82" s="329"/>
      <c r="M82" s="329"/>
      <c r="N82" s="309"/>
      <c r="O82" s="310"/>
      <c r="P82" s="329"/>
      <c r="Q82" s="329"/>
      <c r="R82" s="309"/>
      <c r="S82" s="310"/>
      <c r="T82" s="329"/>
      <c r="U82" s="329"/>
      <c r="V82" s="309"/>
      <c r="W82" s="310"/>
      <c r="X82" s="329"/>
      <c r="Y82" s="329"/>
      <c r="Z82" s="309"/>
      <c r="AA82" s="310"/>
      <c r="AB82" s="329"/>
      <c r="AC82" s="329"/>
      <c r="AD82" s="309"/>
      <c r="AE82" s="310"/>
      <c r="AF82" s="329"/>
      <c r="AG82" s="329"/>
      <c r="AH82" s="309"/>
      <c r="AI82" s="310"/>
      <c r="AJ82" s="329"/>
      <c r="AK82" s="329"/>
      <c r="AL82" s="309"/>
      <c r="AM82" s="310"/>
      <c r="AN82" s="329"/>
      <c r="AO82" s="329"/>
      <c r="AP82" s="309"/>
      <c r="AQ82" s="310"/>
      <c r="AR82" s="329"/>
      <c r="AS82" s="329"/>
      <c r="AT82" s="309"/>
      <c r="AU82" s="310"/>
      <c r="AV82" s="329"/>
      <c r="AW82" s="329"/>
      <c r="AX82" s="309"/>
      <c r="AY82" s="310"/>
      <c r="AZ82" s="329"/>
      <c r="BA82" s="329"/>
      <c r="BB82" s="309"/>
      <c r="BC82" s="310"/>
      <c r="BD82" s="329"/>
      <c r="BE82" s="329"/>
      <c r="BF82" s="309"/>
      <c r="BG82" s="310"/>
      <c r="BH82" s="329"/>
      <c r="BI82" s="329"/>
      <c r="BJ82" s="309"/>
      <c r="BK82" s="310"/>
      <c r="BL82" s="329"/>
      <c r="BM82" s="329"/>
      <c r="BN82" s="309"/>
      <c r="BO82" s="310"/>
      <c r="BP82" s="329"/>
      <c r="BQ82" s="329"/>
      <c r="BR82" s="309"/>
      <c r="BS82" s="310"/>
      <c r="BT82" s="329"/>
      <c r="BU82" s="329"/>
      <c r="BV82" s="309"/>
      <c r="BW82" s="310"/>
      <c r="BX82" s="329"/>
      <c r="BY82" s="329"/>
      <c r="BZ82" s="309"/>
      <c r="CA82" s="310"/>
      <c r="CB82" s="329"/>
      <c r="CC82" s="329"/>
      <c r="CD82" s="309"/>
      <c r="CE82" s="310"/>
      <c r="CF82" s="329"/>
      <c r="CG82" s="329"/>
      <c r="CH82" s="309"/>
      <c r="CI82" s="310"/>
      <c r="CJ82" s="329"/>
      <c r="CK82" s="329"/>
      <c r="CL82" s="309"/>
      <c r="CM82" s="310"/>
      <c r="CN82" s="329"/>
      <c r="CO82" s="329"/>
      <c r="CP82" s="309"/>
      <c r="CQ82" s="310"/>
      <c r="CR82" s="329"/>
      <c r="CS82" s="329"/>
      <c r="CT82" s="309"/>
      <c r="CU82" s="310"/>
      <c r="CV82" s="329"/>
      <c r="CW82" s="329"/>
      <c r="CX82" s="309"/>
      <c r="CY82" s="310"/>
      <c r="CZ82" s="329"/>
      <c r="DA82" s="329"/>
      <c r="DB82" s="309"/>
      <c r="DC82" s="310"/>
      <c r="DD82" s="329"/>
      <c r="DE82" s="329"/>
      <c r="DF82" s="309"/>
      <c r="DG82" s="310"/>
      <c r="DH82" s="329"/>
      <c r="DI82" s="329"/>
      <c r="DJ82" s="309"/>
      <c r="DK82" s="310"/>
      <c r="DL82" s="329"/>
      <c r="DM82" s="329"/>
      <c r="DN82" s="309"/>
      <c r="DO82" s="310"/>
      <c r="DP82" s="329"/>
      <c r="DQ82" s="329"/>
      <c r="DR82" s="309"/>
      <c r="DS82" s="310"/>
      <c r="DT82" s="329"/>
      <c r="DU82" s="329"/>
      <c r="DV82" s="309"/>
      <c r="DW82" s="310"/>
      <c r="DX82" s="329"/>
      <c r="DY82" s="329"/>
      <c r="DZ82" s="309"/>
      <c r="EA82" s="310"/>
      <c r="EB82" s="329"/>
      <c r="EC82" s="329"/>
      <c r="ED82" s="309"/>
      <c r="EE82" s="310"/>
      <c r="EF82" s="329"/>
      <c r="EG82" s="329"/>
      <c r="EH82" s="309"/>
      <c r="EI82" s="310"/>
      <c r="EJ82" s="329"/>
      <c r="EK82" s="329"/>
      <c r="EL82" s="309"/>
      <c r="EM82" s="310"/>
      <c r="EN82" s="329"/>
      <c r="EO82" s="329"/>
      <c r="EP82" s="309"/>
      <c r="EQ82" s="310"/>
      <c r="ER82" s="329"/>
      <c r="ES82" s="329"/>
      <c r="ET82" s="309"/>
      <c r="EU82" s="310"/>
      <c r="EV82" s="329"/>
      <c r="EW82" s="329"/>
      <c r="EX82" s="309"/>
      <c r="EY82" s="310"/>
      <c r="EZ82" s="329"/>
      <c r="FA82" s="329"/>
      <c r="FB82" s="309"/>
      <c r="FC82" s="310"/>
      <c r="FD82" s="329"/>
      <c r="FE82" s="329"/>
      <c r="FF82" s="309"/>
      <c r="FG82" s="310"/>
      <c r="FH82" s="329"/>
      <c r="FI82" s="329"/>
      <c r="FJ82" s="309"/>
      <c r="FK82" s="310"/>
      <c r="FL82" s="329"/>
      <c r="FM82" s="329"/>
      <c r="FN82" s="309"/>
      <c r="FO82" s="310"/>
      <c r="FP82" s="329"/>
      <c r="FQ82" s="329"/>
      <c r="FR82" s="309"/>
      <c r="FS82" s="310"/>
      <c r="FT82" s="329"/>
      <c r="FU82" s="329"/>
      <c r="FV82" s="309"/>
      <c r="FW82" s="310"/>
      <c r="FX82" s="329"/>
      <c r="FY82" s="329"/>
      <c r="FZ82" s="309"/>
      <c r="GA82" s="310"/>
      <c r="GB82" s="329"/>
      <c r="GC82" s="329"/>
      <c r="GD82" s="309"/>
      <c r="GE82" s="310"/>
      <c r="GF82" s="329"/>
      <c r="GG82" s="329"/>
      <c r="GH82" s="309"/>
      <c r="GI82" s="310"/>
      <c r="GJ82" s="329"/>
      <c r="GK82" s="329"/>
      <c r="GL82" s="309"/>
      <c r="GM82" s="310"/>
      <c r="GN82" s="329"/>
      <c r="GO82" s="329"/>
      <c r="GP82" s="309"/>
      <c r="GQ82" s="310"/>
      <c r="GR82" s="329"/>
      <c r="GS82" s="329"/>
      <c r="GT82" s="309"/>
      <c r="GU82" s="310"/>
      <c r="GV82" s="329"/>
      <c r="GW82" s="329"/>
      <c r="GX82" s="309"/>
      <c r="GY82" s="310"/>
      <c r="GZ82" s="329"/>
      <c r="HA82" s="329"/>
      <c r="HB82" s="309"/>
      <c r="HC82" s="312">
        <f t="shared" si="72"/>
        <v>0</v>
      </c>
      <c r="HD82" s="330"/>
      <c r="HE82" s="330"/>
      <c r="HF82" s="314"/>
      <c r="HG82" s="312">
        <f>SUM(SUMIFS(K82:HB82,$K$13:$HB$13,{"エネルギー管理指定工場等*","県域*"}))</f>
        <v>0</v>
      </c>
      <c r="HH82" s="330"/>
      <c r="HI82" s="330"/>
      <c r="HJ82" s="314"/>
    </row>
    <row r="83" spans="1:218" ht="39.6">
      <c r="A83" s="164"/>
      <c r="B83" s="302"/>
      <c r="C83" s="327" t="s">
        <v>1385</v>
      </c>
      <c r="D83" s="303" t="s">
        <v>612</v>
      </c>
      <c r="E83" s="305"/>
      <c r="F83" s="303" t="s">
        <v>610</v>
      </c>
      <c r="G83" s="306">
        <v>3.6</v>
      </c>
      <c r="H83" s="309"/>
      <c r="I83" s="310"/>
      <c r="J83" s="315"/>
      <c r="K83" s="310"/>
      <c r="L83" s="329"/>
      <c r="M83" s="329"/>
      <c r="N83" s="309"/>
      <c r="O83" s="310"/>
      <c r="P83" s="329"/>
      <c r="Q83" s="329"/>
      <c r="R83" s="309"/>
      <c r="S83" s="310"/>
      <c r="T83" s="329"/>
      <c r="U83" s="329"/>
      <c r="V83" s="309"/>
      <c r="W83" s="310"/>
      <c r="X83" s="329"/>
      <c r="Y83" s="329"/>
      <c r="Z83" s="309"/>
      <c r="AA83" s="310"/>
      <c r="AB83" s="329"/>
      <c r="AC83" s="329"/>
      <c r="AD83" s="309"/>
      <c r="AE83" s="310"/>
      <c r="AF83" s="329"/>
      <c r="AG83" s="329"/>
      <c r="AH83" s="309"/>
      <c r="AI83" s="310"/>
      <c r="AJ83" s="329"/>
      <c r="AK83" s="329"/>
      <c r="AL83" s="309"/>
      <c r="AM83" s="310"/>
      <c r="AN83" s="329"/>
      <c r="AO83" s="329"/>
      <c r="AP83" s="309"/>
      <c r="AQ83" s="310"/>
      <c r="AR83" s="329"/>
      <c r="AS83" s="329"/>
      <c r="AT83" s="309"/>
      <c r="AU83" s="310"/>
      <c r="AV83" s="329"/>
      <c r="AW83" s="329"/>
      <c r="AX83" s="309"/>
      <c r="AY83" s="310"/>
      <c r="AZ83" s="329"/>
      <c r="BA83" s="329"/>
      <c r="BB83" s="309"/>
      <c r="BC83" s="310"/>
      <c r="BD83" s="329"/>
      <c r="BE83" s="329"/>
      <c r="BF83" s="309"/>
      <c r="BG83" s="310"/>
      <c r="BH83" s="329"/>
      <c r="BI83" s="329"/>
      <c r="BJ83" s="309"/>
      <c r="BK83" s="310"/>
      <c r="BL83" s="329"/>
      <c r="BM83" s="329"/>
      <c r="BN83" s="309"/>
      <c r="BO83" s="310"/>
      <c r="BP83" s="329"/>
      <c r="BQ83" s="329"/>
      <c r="BR83" s="309"/>
      <c r="BS83" s="310"/>
      <c r="BT83" s="329"/>
      <c r="BU83" s="329"/>
      <c r="BV83" s="309"/>
      <c r="BW83" s="310"/>
      <c r="BX83" s="329"/>
      <c r="BY83" s="329"/>
      <c r="BZ83" s="309"/>
      <c r="CA83" s="310"/>
      <c r="CB83" s="329"/>
      <c r="CC83" s="329"/>
      <c r="CD83" s="309"/>
      <c r="CE83" s="310"/>
      <c r="CF83" s="329"/>
      <c r="CG83" s="329"/>
      <c r="CH83" s="309"/>
      <c r="CI83" s="310"/>
      <c r="CJ83" s="329"/>
      <c r="CK83" s="329"/>
      <c r="CL83" s="309"/>
      <c r="CM83" s="310"/>
      <c r="CN83" s="329"/>
      <c r="CO83" s="329"/>
      <c r="CP83" s="309"/>
      <c r="CQ83" s="310"/>
      <c r="CR83" s="329"/>
      <c r="CS83" s="329"/>
      <c r="CT83" s="309"/>
      <c r="CU83" s="310"/>
      <c r="CV83" s="329"/>
      <c r="CW83" s="329"/>
      <c r="CX83" s="309"/>
      <c r="CY83" s="310"/>
      <c r="CZ83" s="329"/>
      <c r="DA83" s="329"/>
      <c r="DB83" s="309"/>
      <c r="DC83" s="310"/>
      <c r="DD83" s="329"/>
      <c r="DE83" s="329"/>
      <c r="DF83" s="309"/>
      <c r="DG83" s="310"/>
      <c r="DH83" s="329"/>
      <c r="DI83" s="329"/>
      <c r="DJ83" s="309"/>
      <c r="DK83" s="310"/>
      <c r="DL83" s="329"/>
      <c r="DM83" s="329"/>
      <c r="DN83" s="309"/>
      <c r="DO83" s="310"/>
      <c r="DP83" s="329"/>
      <c r="DQ83" s="329"/>
      <c r="DR83" s="309"/>
      <c r="DS83" s="310"/>
      <c r="DT83" s="329"/>
      <c r="DU83" s="329"/>
      <c r="DV83" s="309"/>
      <c r="DW83" s="310"/>
      <c r="DX83" s="329"/>
      <c r="DY83" s="329"/>
      <c r="DZ83" s="309"/>
      <c r="EA83" s="310"/>
      <c r="EB83" s="329"/>
      <c r="EC83" s="329"/>
      <c r="ED83" s="309"/>
      <c r="EE83" s="310"/>
      <c r="EF83" s="329"/>
      <c r="EG83" s="329"/>
      <c r="EH83" s="309"/>
      <c r="EI83" s="310"/>
      <c r="EJ83" s="329"/>
      <c r="EK83" s="329"/>
      <c r="EL83" s="309"/>
      <c r="EM83" s="310"/>
      <c r="EN83" s="329"/>
      <c r="EO83" s="329"/>
      <c r="EP83" s="309"/>
      <c r="EQ83" s="310"/>
      <c r="ER83" s="329"/>
      <c r="ES83" s="329"/>
      <c r="ET83" s="309"/>
      <c r="EU83" s="310"/>
      <c r="EV83" s="329"/>
      <c r="EW83" s="329"/>
      <c r="EX83" s="309"/>
      <c r="EY83" s="310"/>
      <c r="EZ83" s="329"/>
      <c r="FA83" s="329"/>
      <c r="FB83" s="309"/>
      <c r="FC83" s="310"/>
      <c r="FD83" s="329"/>
      <c r="FE83" s="329"/>
      <c r="FF83" s="309"/>
      <c r="FG83" s="310"/>
      <c r="FH83" s="329"/>
      <c r="FI83" s="329"/>
      <c r="FJ83" s="309"/>
      <c r="FK83" s="310"/>
      <c r="FL83" s="329"/>
      <c r="FM83" s="329"/>
      <c r="FN83" s="309"/>
      <c r="FO83" s="310"/>
      <c r="FP83" s="329"/>
      <c r="FQ83" s="329"/>
      <c r="FR83" s="309"/>
      <c r="FS83" s="310"/>
      <c r="FT83" s="329"/>
      <c r="FU83" s="329"/>
      <c r="FV83" s="309"/>
      <c r="FW83" s="310"/>
      <c r="FX83" s="329"/>
      <c r="FY83" s="329"/>
      <c r="FZ83" s="309"/>
      <c r="GA83" s="310"/>
      <c r="GB83" s="329"/>
      <c r="GC83" s="329"/>
      <c r="GD83" s="309"/>
      <c r="GE83" s="310"/>
      <c r="GF83" s="329"/>
      <c r="GG83" s="329"/>
      <c r="GH83" s="309"/>
      <c r="GI83" s="310"/>
      <c r="GJ83" s="329"/>
      <c r="GK83" s="329"/>
      <c r="GL83" s="309"/>
      <c r="GM83" s="310"/>
      <c r="GN83" s="329"/>
      <c r="GO83" s="329"/>
      <c r="GP83" s="309"/>
      <c r="GQ83" s="310"/>
      <c r="GR83" s="329"/>
      <c r="GS83" s="329"/>
      <c r="GT83" s="309"/>
      <c r="GU83" s="310"/>
      <c r="GV83" s="329"/>
      <c r="GW83" s="329"/>
      <c r="GX83" s="309"/>
      <c r="GY83" s="310"/>
      <c r="GZ83" s="329"/>
      <c r="HA83" s="329"/>
      <c r="HB83" s="309"/>
      <c r="HC83" s="312">
        <f t="shared" si="72"/>
        <v>0</v>
      </c>
      <c r="HD83" s="330"/>
      <c r="HE83" s="330"/>
      <c r="HF83" s="314"/>
      <c r="HG83" s="312">
        <f>SUM(SUMIFS(K83:HB83,$K$13:$HB$13,{"エネルギー管理指定工場等*","県域*"}))</f>
        <v>0</v>
      </c>
      <c r="HH83" s="330"/>
      <c r="HI83" s="330"/>
      <c r="HJ83" s="314"/>
    </row>
    <row r="84" spans="1:218" ht="19.8">
      <c r="A84" s="164"/>
      <c r="B84" s="302"/>
      <c r="C84" s="319"/>
      <c r="D84" s="303" t="s">
        <v>613</v>
      </c>
      <c r="E84" s="305"/>
      <c r="F84" s="303" t="s">
        <v>610</v>
      </c>
      <c r="G84" s="306">
        <v>3.6</v>
      </c>
      <c r="H84" s="309"/>
      <c r="I84" s="308"/>
      <c r="J84" s="309"/>
      <c r="K84" s="310"/>
      <c r="L84" s="329"/>
      <c r="M84" s="329"/>
      <c r="N84" s="309"/>
      <c r="O84" s="310"/>
      <c r="P84" s="329"/>
      <c r="Q84" s="329"/>
      <c r="R84" s="309"/>
      <c r="S84" s="310"/>
      <c r="T84" s="329"/>
      <c r="U84" s="329"/>
      <c r="V84" s="309"/>
      <c r="W84" s="310"/>
      <c r="X84" s="329"/>
      <c r="Y84" s="329"/>
      <c r="Z84" s="309"/>
      <c r="AA84" s="310"/>
      <c r="AB84" s="329"/>
      <c r="AC84" s="329"/>
      <c r="AD84" s="309"/>
      <c r="AE84" s="310"/>
      <c r="AF84" s="329"/>
      <c r="AG84" s="329"/>
      <c r="AH84" s="309"/>
      <c r="AI84" s="310"/>
      <c r="AJ84" s="329"/>
      <c r="AK84" s="329"/>
      <c r="AL84" s="309"/>
      <c r="AM84" s="310"/>
      <c r="AN84" s="329"/>
      <c r="AO84" s="329"/>
      <c r="AP84" s="309"/>
      <c r="AQ84" s="310"/>
      <c r="AR84" s="329"/>
      <c r="AS84" s="329"/>
      <c r="AT84" s="309"/>
      <c r="AU84" s="310"/>
      <c r="AV84" s="329"/>
      <c r="AW84" s="329"/>
      <c r="AX84" s="309"/>
      <c r="AY84" s="310"/>
      <c r="AZ84" s="329"/>
      <c r="BA84" s="329"/>
      <c r="BB84" s="309"/>
      <c r="BC84" s="310"/>
      <c r="BD84" s="329"/>
      <c r="BE84" s="329"/>
      <c r="BF84" s="309"/>
      <c r="BG84" s="310"/>
      <c r="BH84" s="329"/>
      <c r="BI84" s="329"/>
      <c r="BJ84" s="309"/>
      <c r="BK84" s="310"/>
      <c r="BL84" s="329"/>
      <c r="BM84" s="329"/>
      <c r="BN84" s="309"/>
      <c r="BO84" s="310"/>
      <c r="BP84" s="329"/>
      <c r="BQ84" s="329"/>
      <c r="BR84" s="309"/>
      <c r="BS84" s="310"/>
      <c r="BT84" s="329"/>
      <c r="BU84" s="329"/>
      <c r="BV84" s="309"/>
      <c r="BW84" s="310"/>
      <c r="BX84" s="329"/>
      <c r="BY84" s="329"/>
      <c r="BZ84" s="309"/>
      <c r="CA84" s="310"/>
      <c r="CB84" s="329"/>
      <c r="CC84" s="329"/>
      <c r="CD84" s="309"/>
      <c r="CE84" s="310"/>
      <c r="CF84" s="329"/>
      <c r="CG84" s="329"/>
      <c r="CH84" s="309"/>
      <c r="CI84" s="310"/>
      <c r="CJ84" s="329"/>
      <c r="CK84" s="329"/>
      <c r="CL84" s="309"/>
      <c r="CM84" s="310"/>
      <c r="CN84" s="329"/>
      <c r="CO84" s="329"/>
      <c r="CP84" s="309"/>
      <c r="CQ84" s="310"/>
      <c r="CR84" s="329"/>
      <c r="CS84" s="329"/>
      <c r="CT84" s="309"/>
      <c r="CU84" s="310"/>
      <c r="CV84" s="329"/>
      <c r="CW84" s="329"/>
      <c r="CX84" s="309"/>
      <c r="CY84" s="310"/>
      <c r="CZ84" s="329"/>
      <c r="DA84" s="329"/>
      <c r="DB84" s="309"/>
      <c r="DC84" s="310"/>
      <c r="DD84" s="329"/>
      <c r="DE84" s="329"/>
      <c r="DF84" s="309"/>
      <c r="DG84" s="310"/>
      <c r="DH84" s="329"/>
      <c r="DI84" s="329"/>
      <c r="DJ84" s="309"/>
      <c r="DK84" s="310"/>
      <c r="DL84" s="329"/>
      <c r="DM84" s="329"/>
      <c r="DN84" s="309"/>
      <c r="DO84" s="310"/>
      <c r="DP84" s="329"/>
      <c r="DQ84" s="329"/>
      <c r="DR84" s="309"/>
      <c r="DS84" s="310"/>
      <c r="DT84" s="329"/>
      <c r="DU84" s="329"/>
      <c r="DV84" s="309"/>
      <c r="DW84" s="310"/>
      <c r="DX84" s="329"/>
      <c r="DY84" s="329"/>
      <c r="DZ84" s="309"/>
      <c r="EA84" s="310"/>
      <c r="EB84" s="329"/>
      <c r="EC84" s="329"/>
      <c r="ED84" s="309"/>
      <c r="EE84" s="310"/>
      <c r="EF84" s="329"/>
      <c r="EG84" s="329"/>
      <c r="EH84" s="309"/>
      <c r="EI84" s="310"/>
      <c r="EJ84" s="329"/>
      <c r="EK84" s="329"/>
      <c r="EL84" s="309"/>
      <c r="EM84" s="310"/>
      <c r="EN84" s="329"/>
      <c r="EO84" s="329"/>
      <c r="EP84" s="309"/>
      <c r="EQ84" s="310"/>
      <c r="ER84" s="329"/>
      <c r="ES84" s="329"/>
      <c r="ET84" s="309"/>
      <c r="EU84" s="310"/>
      <c r="EV84" s="329"/>
      <c r="EW84" s="329"/>
      <c r="EX84" s="309"/>
      <c r="EY84" s="310"/>
      <c r="EZ84" s="329"/>
      <c r="FA84" s="329"/>
      <c r="FB84" s="309"/>
      <c r="FC84" s="310"/>
      <c r="FD84" s="329"/>
      <c r="FE84" s="329"/>
      <c r="FF84" s="309"/>
      <c r="FG84" s="310"/>
      <c r="FH84" s="329"/>
      <c r="FI84" s="329"/>
      <c r="FJ84" s="309"/>
      <c r="FK84" s="310"/>
      <c r="FL84" s="329"/>
      <c r="FM84" s="329"/>
      <c r="FN84" s="309"/>
      <c r="FO84" s="310"/>
      <c r="FP84" s="329"/>
      <c r="FQ84" s="329"/>
      <c r="FR84" s="309"/>
      <c r="FS84" s="310"/>
      <c r="FT84" s="329"/>
      <c r="FU84" s="329"/>
      <c r="FV84" s="309"/>
      <c r="FW84" s="310"/>
      <c r="FX84" s="329"/>
      <c r="FY84" s="329"/>
      <c r="FZ84" s="309"/>
      <c r="GA84" s="310"/>
      <c r="GB84" s="329"/>
      <c r="GC84" s="329"/>
      <c r="GD84" s="309"/>
      <c r="GE84" s="310"/>
      <c r="GF84" s="329"/>
      <c r="GG84" s="329"/>
      <c r="GH84" s="309"/>
      <c r="GI84" s="310"/>
      <c r="GJ84" s="329"/>
      <c r="GK84" s="329"/>
      <c r="GL84" s="309"/>
      <c r="GM84" s="310"/>
      <c r="GN84" s="329"/>
      <c r="GO84" s="329"/>
      <c r="GP84" s="309"/>
      <c r="GQ84" s="310"/>
      <c r="GR84" s="329"/>
      <c r="GS84" s="329"/>
      <c r="GT84" s="309"/>
      <c r="GU84" s="310"/>
      <c r="GV84" s="329"/>
      <c r="GW84" s="329"/>
      <c r="GX84" s="309"/>
      <c r="GY84" s="310"/>
      <c r="GZ84" s="329"/>
      <c r="HA84" s="329"/>
      <c r="HB84" s="309"/>
      <c r="HC84" s="312">
        <f t="shared" si="72"/>
        <v>0</v>
      </c>
      <c r="HD84" s="330"/>
      <c r="HE84" s="330"/>
      <c r="HF84" s="314"/>
      <c r="HG84" s="312">
        <f>SUM(SUMIFS(K84:HB84,$K$13:$HB$13,{"エネルギー管理指定工場等*","県域*"}))</f>
        <v>0</v>
      </c>
      <c r="HH84" s="330"/>
      <c r="HI84" s="330"/>
      <c r="HJ84" s="314"/>
    </row>
    <row r="85" spans="1:218" ht="19.8">
      <c r="A85" s="164"/>
      <c r="B85" s="302"/>
      <c r="C85" s="319"/>
      <c r="D85" s="303" t="s">
        <v>614</v>
      </c>
      <c r="E85" s="305"/>
      <c r="F85" s="303" t="s">
        <v>610</v>
      </c>
      <c r="G85" s="306">
        <v>3.6</v>
      </c>
      <c r="H85" s="309"/>
      <c r="I85" s="310"/>
      <c r="J85" s="315"/>
      <c r="K85" s="310"/>
      <c r="L85" s="329"/>
      <c r="M85" s="329"/>
      <c r="N85" s="309"/>
      <c r="O85" s="310"/>
      <c r="P85" s="329"/>
      <c r="Q85" s="329"/>
      <c r="R85" s="309"/>
      <c r="S85" s="310"/>
      <c r="T85" s="329"/>
      <c r="U85" s="329"/>
      <c r="V85" s="309"/>
      <c r="W85" s="310"/>
      <c r="X85" s="329"/>
      <c r="Y85" s="329"/>
      <c r="Z85" s="309"/>
      <c r="AA85" s="310"/>
      <c r="AB85" s="329"/>
      <c r="AC85" s="329"/>
      <c r="AD85" s="309"/>
      <c r="AE85" s="310"/>
      <c r="AF85" s="329"/>
      <c r="AG85" s="329"/>
      <c r="AH85" s="309"/>
      <c r="AI85" s="310"/>
      <c r="AJ85" s="329"/>
      <c r="AK85" s="329"/>
      <c r="AL85" s="309"/>
      <c r="AM85" s="310"/>
      <c r="AN85" s="329"/>
      <c r="AO85" s="329"/>
      <c r="AP85" s="309"/>
      <c r="AQ85" s="310"/>
      <c r="AR85" s="329"/>
      <c r="AS85" s="329"/>
      <c r="AT85" s="309"/>
      <c r="AU85" s="310"/>
      <c r="AV85" s="329"/>
      <c r="AW85" s="329"/>
      <c r="AX85" s="309"/>
      <c r="AY85" s="310"/>
      <c r="AZ85" s="329"/>
      <c r="BA85" s="329"/>
      <c r="BB85" s="309"/>
      <c r="BC85" s="310"/>
      <c r="BD85" s="329"/>
      <c r="BE85" s="329"/>
      <c r="BF85" s="309"/>
      <c r="BG85" s="310"/>
      <c r="BH85" s="329"/>
      <c r="BI85" s="329"/>
      <c r="BJ85" s="309"/>
      <c r="BK85" s="310"/>
      <c r="BL85" s="329"/>
      <c r="BM85" s="329"/>
      <c r="BN85" s="309"/>
      <c r="BO85" s="310"/>
      <c r="BP85" s="329"/>
      <c r="BQ85" s="329"/>
      <c r="BR85" s="309"/>
      <c r="BS85" s="310"/>
      <c r="BT85" s="329"/>
      <c r="BU85" s="329"/>
      <c r="BV85" s="309"/>
      <c r="BW85" s="310"/>
      <c r="BX85" s="329"/>
      <c r="BY85" s="329"/>
      <c r="BZ85" s="309"/>
      <c r="CA85" s="310"/>
      <c r="CB85" s="329"/>
      <c r="CC85" s="329"/>
      <c r="CD85" s="309"/>
      <c r="CE85" s="310"/>
      <c r="CF85" s="329"/>
      <c r="CG85" s="329"/>
      <c r="CH85" s="309"/>
      <c r="CI85" s="310"/>
      <c r="CJ85" s="329"/>
      <c r="CK85" s="329"/>
      <c r="CL85" s="309"/>
      <c r="CM85" s="310"/>
      <c r="CN85" s="329"/>
      <c r="CO85" s="329"/>
      <c r="CP85" s="309"/>
      <c r="CQ85" s="310"/>
      <c r="CR85" s="329"/>
      <c r="CS85" s="329"/>
      <c r="CT85" s="309"/>
      <c r="CU85" s="310"/>
      <c r="CV85" s="329"/>
      <c r="CW85" s="329"/>
      <c r="CX85" s="309"/>
      <c r="CY85" s="310"/>
      <c r="CZ85" s="329"/>
      <c r="DA85" s="329"/>
      <c r="DB85" s="309"/>
      <c r="DC85" s="310"/>
      <c r="DD85" s="329"/>
      <c r="DE85" s="329"/>
      <c r="DF85" s="309"/>
      <c r="DG85" s="310"/>
      <c r="DH85" s="329"/>
      <c r="DI85" s="329"/>
      <c r="DJ85" s="309"/>
      <c r="DK85" s="310"/>
      <c r="DL85" s="329"/>
      <c r="DM85" s="329"/>
      <c r="DN85" s="309"/>
      <c r="DO85" s="310"/>
      <c r="DP85" s="329"/>
      <c r="DQ85" s="329"/>
      <c r="DR85" s="309"/>
      <c r="DS85" s="310"/>
      <c r="DT85" s="329"/>
      <c r="DU85" s="329"/>
      <c r="DV85" s="309"/>
      <c r="DW85" s="310"/>
      <c r="DX85" s="329"/>
      <c r="DY85" s="329"/>
      <c r="DZ85" s="309"/>
      <c r="EA85" s="310"/>
      <c r="EB85" s="329"/>
      <c r="EC85" s="329"/>
      <c r="ED85" s="309"/>
      <c r="EE85" s="310"/>
      <c r="EF85" s="329"/>
      <c r="EG85" s="329"/>
      <c r="EH85" s="309"/>
      <c r="EI85" s="310"/>
      <c r="EJ85" s="329"/>
      <c r="EK85" s="329"/>
      <c r="EL85" s="309"/>
      <c r="EM85" s="310"/>
      <c r="EN85" s="329"/>
      <c r="EO85" s="329"/>
      <c r="EP85" s="309"/>
      <c r="EQ85" s="310"/>
      <c r="ER85" s="329"/>
      <c r="ES85" s="329"/>
      <c r="ET85" s="309"/>
      <c r="EU85" s="310"/>
      <c r="EV85" s="329"/>
      <c r="EW85" s="329"/>
      <c r="EX85" s="309"/>
      <c r="EY85" s="310"/>
      <c r="EZ85" s="329"/>
      <c r="FA85" s="329"/>
      <c r="FB85" s="309"/>
      <c r="FC85" s="310"/>
      <c r="FD85" s="329"/>
      <c r="FE85" s="329"/>
      <c r="FF85" s="309"/>
      <c r="FG85" s="310"/>
      <c r="FH85" s="329"/>
      <c r="FI85" s="329"/>
      <c r="FJ85" s="309"/>
      <c r="FK85" s="310"/>
      <c r="FL85" s="329"/>
      <c r="FM85" s="329"/>
      <c r="FN85" s="309"/>
      <c r="FO85" s="310"/>
      <c r="FP85" s="329"/>
      <c r="FQ85" s="329"/>
      <c r="FR85" s="309"/>
      <c r="FS85" s="310"/>
      <c r="FT85" s="329"/>
      <c r="FU85" s="329"/>
      <c r="FV85" s="309"/>
      <c r="FW85" s="310"/>
      <c r="FX85" s="329"/>
      <c r="FY85" s="329"/>
      <c r="FZ85" s="309"/>
      <c r="GA85" s="310"/>
      <c r="GB85" s="329"/>
      <c r="GC85" s="329"/>
      <c r="GD85" s="309"/>
      <c r="GE85" s="310"/>
      <c r="GF85" s="329"/>
      <c r="GG85" s="329"/>
      <c r="GH85" s="309"/>
      <c r="GI85" s="310"/>
      <c r="GJ85" s="329"/>
      <c r="GK85" s="329"/>
      <c r="GL85" s="309"/>
      <c r="GM85" s="310"/>
      <c r="GN85" s="329"/>
      <c r="GO85" s="329"/>
      <c r="GP85" s="309"/>
      <c r="GQ85" s="310"/>
      <c r="GR85" s="329"/>
      <c r="GS85" s="329"/>
      <c r="GT85" s="309"/>
      <c r="GU85" s="310"/>
      <c r="GV85" s="329"/>
      <c r="GW85" s="329"/>
      <c r="GX85" s="309"/>
      <c r="GY85" s="310"/>
      <c r="GZ85" s="329"/>
      <c r="HA85" s="329"/>
      <c r="HB85" s="309"/>
      <c r="HC85" s="312">
        <f t="shared" si="72"/>
        <v>0</v>
      </c>
      <c r="HD85" s="330"/>
      <c r="HE85" s="330"/>
      <c r="HF85" s="314"/>
      <c r="HG85" s="312">
        <f>SUM(SUMIFS(K85:HB85,$K$13:$HB$13,{"エネルギー管理指定工場等*","県域*"}))</f>
        <v>0</v>
      </c>
      <c r="HH85" s="330"/>
      <c r="HI85" s="330"/>
      <c r="HJ85" s="314"/>
    </row>
    <row r="86" spans="1:218" ht="19.8">
      <c r="A86" s="164"/>
      <c r="B86" s="302"/>
      <c r="C86" s="319"/>
      <c r="D86" s="328" t="s">
        <v>615</v>
      </c>
      <c r="E86" s="335"/>
      <c r="F86" s="303" t="s">
        <v>610</v>
      </c>
      <c r="G86" s="306">
        <v>8.64</v>
      </c>
      <c r="H86" s="315"/>
      <c r="I86" s="310"/>
      <c r="J86" s="315"/>
      <c r="K86" s="310"/>
      <c r="L86" s="329"/>
      <c r="M86" s="329"/>
      <c r="N86" s="309"/>
      <c r="O86" s="310"/>
      <c r="P86" s="329"/>
      <c r="Q86" s="329"/>
      <c r="R86" s="309"/>
      <c r="S86" s="310"/>
      <c r="T86" s="329"/>
      <c r="U86" s="329"/>
      <c r="V86" s="309"/>
      <c r="W86" s="310"/>
      <c r="X86" s="329"/>
      <c r="Y86" s="329"/>
      <c r="Z86" s="309"/>
      <c r="AA86" s="310"/>
      <c r="AB86" s="329"/>
      <c r="AC86" s="329"/>
      <c r="AD86" s="309"/>
      <c r="AE86" s="310"/>
      <c r="AF86" s="329"/>
      <c r="AG86" s="329"/>
      <c r="AH86" s="309"/>
      <c r="AI86" s="310"/>
      <c r="AJ86" s="329"/>
      <c r="AK86" s="329"/>
      <c r="AL86" s="309"/>
      <c r="AM86" s="310"/>
      <c r="AN86" s="329"/>
      <c r="AO86" s="329"/>
      <c r="AP86" s="309"/>
      <c r="AQ86" s="310"/>
      <c r="AR86" s="329"/>
      <c r="AS86" s="329"/>
      <c r="AT86" s="309"/>
      <c r="AU86" s="310"/>
      <c r="AV86" s="329"/>
      <c r="AW86" s="329"/>
      <c r="AX86" s="309"/>
      <c r="AY86" s="310"/>
      <c r="AZ86" s="329"/>
      <c r="BA86" s="329"/>
      <c r="BB86" s="309"/>
      <c r="BC86" s="310"/>
      <c r="BD86" s="329"/>
      <c r="BE86" s="329"/>
      <c r="BF86" s="309"/>
      <c r="BG86" s="310"/>
      <c r="BH86" s="329"/>
      <c r="BI86" s="329"/>
      <c r="BJ86" s="309"/>
      <c r="BK86" s="310"/>
      <c r="BL86" s="329"/>
      <c r="BM86" s="329"/>
      <c r="BN86" s="309"/>
      <c r="BO86" s="310"/>
      <c r="BP86" s="329"/>
      <c r="BQ86" s="329"/>
      <c r="BR86" s="309"/>
      <c r="BS86" s="310"/>
      <c r="BT86" s="329"/>
      <c r="BU86" s="329"/>
      <c r="BV86" s="309"/>
      <c r="BW86" s="310"/>
      <c r="BX86" s="329"/>
      <c r="BY86" s="329"/>
      <c r="BZ86" s="309"/>
      <c r="CA86" s="310"/>
      <c r="CB86" s="329"/>
      <c r="CC86" s="329"/>
      <c r="CD86" s="309"/>
      <c r="CE86" s="310"/>
      <c r="CF86" s="329"/>
      <c r="CG86" s="329"/>
      <c r="CH86" s="309"/>
      <c r="CI86" s="310"/>
      <c r="CJ86" s="329"/>
      <c r="CK86" s="329"/>
      <c r="CL86" s="309"/>
      <c r="CM86" s="310"/>
      <c r="CN86" s="329"/>
      <c r="CO86" s="329"/>
      <c r="CP86" s="309"/>
      <c r="CQ86" s="310"/>
      <c r="CR86" s="329"/>
      <c r="CS86" s="329"/>
      <c r="CT86" s="309"/>
      <c r="CU86" s="310"/>
      <c r="CV86" s="329"/>
      <c r="CW86" s="329"/>
      <c r="CX86" s="309"/>
      <c r="CY86" s="310"/>
      <c r="CZ86" s="329"/>
      <c r="DA86" s="329"/>
      <c r="DB86" s="309"/>
      <c r="DC86" s="310"/>
      <c r="DD86" s="329"/>
      <c r="DE86" s="329"/>
      <c r="DF86" s="309"/>
      <c r="DG86" s="310"/>
      <c r="DH86" s="329"/>
      <c r="DI86" s="329"/>
      <c r="DJ86" s="309"/>
      <c r="DK86" s="310"/>
      <c r="DL86" s="329"/>
      <c r="DM86" s="329"/>
      <c r="DN86" s="309"/>
      <c r="DO86" s="310"/>
      <c r="DP86" s="329"/>
      <c r="DQ86" s="329"/>
      <c r="DR86" s="309"/>
      <c r="DS86" s="310"/>
      <c r="DT86" s="329"/>
      <c r="DU86" s="329"/>
      <c r="DV86" s="309"/>
      <c r="DW86" s="310"/>
      <c r="DX86" s="329"/>
      <c r="DY86" s="329"/>
      <c r="DZ86" s="309"/>
      <c r="EA86" s="310"/>
      <c r="EB86" s="329"/>
      <c r="EC86" s="329"/>
      <c r="ED86" s="309"/>
      <c r="EE86" s="310"/>
      <c r="EF86" s="329"/>
      <c r="EG86" s="329"/>
      <c r="EH86" s="309"/>
      <c r="EI86" s="310"/>
      <c r="EJ86" s="329"/>
      <c r="EK86" s="329"/>
      <c r="EL86" s="309"/>
      <c r="EM86" s="310"/>
      <c r="EN86" s="329"/>
      <c r="EO86" s="329"/>
      <c r="EP86" s="309"/>
      <c r="EQ86" s="310"/>
      <c r="ER86" s="329"/>
      <c r="ES86" s="329"/>
      <c r="ET86" s="309"/>
      <c r="EU86" s="310"/>
      <c r="EV86" s="329"/>
      <c r="EW86" s="329"/>
      <c r="EX86" s="309"/>
      <c r="EY86" s="310"/>
      <c r="EZ86" s="329"/>
      <c r="FA86" s="329"/>
      <c r="FB86" s="309"/>
      <c r="FC86" s="310"/>
      <c r="FD86" s="329"/>
      <c r="FE86" s="329"/>
      <c r="FF86" s="309"/>
      <c r="FG86" s="310"/>
      <c r="FH86" s="329"/>
      <c r="FI86" s="329"/>
      <c r="FJ86" s="309"/>
      <c r="FK86" s="310"/>
      <c r="FL86" s="329"/>
      <c r="FM86" s="329"/>
      <c r="FN86" s="309"/>
      <c r="FO86" s="310"/>
      <c r="FP86" s="329"/>
      <c r="FQ86" s="329"/>
      <c r="FR86" s="309"/>
      <c r="FS86" s="310"/>
      <c r="FT86" s="329"/>
      <c r="FU86" s="329"/>
      <c r="FV86" s="309"/>
      <c r="FW86" s="310"/>
      <c r="FX86" s="329"/>
      <c r="FY86" s="329"/>
      <c r="FZ86" s="309"/>
      <c r="GA86" s="310"/>
      <c r="GB86" s="329"/>
      <c r="GC86" s="329"/>
      <c r="GD86" s="309"/>
      <c r="GE86" s="310"/>
      <c r="GF86" s="329"/>
      <c r="GG86" s="329"/>
      <c r="GH86" s="309"/>
      <c r="GI86" s="310"/>
      <c r="GJ86" s="329"/>
      <c r="GK86" s="329"/>
      <c r="GL86" s="309"/>
      <c r="GM86" s="310"/>
      <c r="GN86" s="329"/>
      <c r="GO86" s="329"/>
      <c r="GP86" s="309"/>
      <c r="GQ86" s="310"/>
      <c r="GR86" s="329"/>
      <c r="GS86" s="329"/>
      <c r="GT86" s="309"/>
      <c r="GU86" s="310"/>
      <c r="GV86" s="329"/>
      <c r="GW86" s="329"/>
      <c r="GX86" s="309"/>
      <c r="GY86" s="310"/>
      <c r="GZ86" s="329"/>
      <c r="HA86" s="329"/>
      <c r="HB86" s="309"/>
      <c r="HC86" s="312">
        <f t="shared" si="72"/>
        <v>0</v>
      </c>
      <c r="HD86" s="330"/>
      <c r="HE86" s="330"/>
      <c r="HF86" s="314"/>
      <c r="HG86" s="312">
        <f>SUM(SUMIFS(K86:HB86,$K$13:$HB$13,{"エネルギー管理指定工場等*","県域*"}))</f>
        <v>0</v>
      </c>
      <c r="HH86" s="330"/>
      <c r="HI86" s="330"/>
      <c r="HJ86" s="314"/>
    </row>
    <row r="87" spans="1:218" ht="19.8">
      <c r="A87" s="164"/>
      <c r="B87" s="302"/>
      <c r="C87" s="319"/>
      <c r="D87" s="355"/>
      <c r="E87" s="333" t="s">
        <v>616</v>
      </c>
      <c r="F87" s="303" t="s">
        <v>610</v>
      </c>
      <c r="G87" s="306">
        <v>8.64</v>
      </c>
      <c r="H87" s="315"/>
      <c r="I87" s="308"/>
      <c r="J87" s="309"/>
      <c r="K87" s="310"/>
      <c r="L87" s="329"/>
      <c r="M87" s="329"/>
      <c r="N87" s="309"/>
      <c r="O87" s="310"/>
      <c r="P87" s="329"/>
      <c r="Q87" s="329"/>
      <c r="R87" s="309"/>
      <c r="S87" s="310"/>
      <c r="T87" s="329"/>
      <c r="U87" s="329"/>
      <c r="V87" s="309"/>
      <c r="W87" s="310"/>
      <c r="X87" s="329"/>
      <c r="Y87" s="329"/>
      <c r="Z87" s="309"/>
      <c r="AA87" s="310"/>
      <c r="AB87" s="329"/>
      <c r="AC87" s="329"/>
      <c r="AD87" s="309"/>
      <c r="AE87" s="310"/>
      <c r="AF87" s="329"/>
      <c r="AG87" s="329"/>
      <c r="AH87" s="309"/>
      <c r="AI87" s="310"/>
      <c r="AJ87" s="329"/>
      <c r="AK87" s="329"/>
      <c r="AL87" s="309"/>
      <c r="AM87" s="310"/>
      <c r="AN87" s="329"/>
      <c r="AO87" s="329"/>
      <c r="AP87" s="309"/>
      <c r="AQ87" s="310"/>
      <c r="AR87" s="329"/>
      <c r="AS87" s="329"/>
      <c r="AT87" s="309"/>
      <c r="AU87" s="310"/>
      <c r="AV87" s="329"/>
      <c r="AW87" s="329"/>
      <c r="AX87" s="309"/>
      <c r="AY87" s="310"/>
      <c r="AZ87" s="329"/>
      <c r="BA87" s="329"/>
      <c r="BB87" s="309"/>
      <c r="BC87" s="310"/>
      <c r="BD87" s="329"/>
      <c r="BE87" s="329"/>
      <c r="BF87" s="309"/>
      <c r="BG87" s="310"/>
      <c r="BH87" s="329"/>
      <c r="BI87" s="329"/>
      <c r="BJ87" s="309"/>
      <c r="BK87" s="310"/>
      <c r="BL87" s="329"/>
      <c r="BM87" s="329"/>
      <c r="BN87" s="309"/>
      <c r="BO87" s="310"/>
      <c r="BP87" s="329"/>
      <c r="BQ87" s="329"/>
      <c r="BR87" s="309"/>
      <c r="BS87" s="310"/>
      <c r="BT87" s="329"/>
      <c r="BU87" s="329"/>
      <c r="BV87" s="309"/>
      <c r="BW87" s="310"/>
      <c r="BX87" s="329"/>
      <c r="BY87" s="329"/>
      <c r="BZ87" s="309"/>
      <c r="CA87" s="310"/>
      <c r="CB87" s="329"/>
      <c r="CC87" s="329"/>
      <c r="CD87" s="309"/>
      <c r="CE87" s="310"/>
      <c r="CF87" s="329"/>
      <c r="CG87" s="329"/>
      <c r="CH87" s="309"/>
      <c r="CI87" s="310"/>
      <c r="CJ87" s="329"/>
      <c r="CK87" s="329"/>
      <c r="CL87" s="309"/>
      <c r="CM87" s="310"/>
      <c r="CN87" s="329"/>
      <c r="CO87" s="329"/>
      <c r="CP87" s="309"/>
      <c r="CQ87" s="310"/>
      <c r="CR87" s="329"/>
      <c r="CS87" s="329"/>
      <c r="CT87" s="309"/>
      <c r="CU87" s="310"/>
      <c r="CV87" s="329"/>
      <c r="CW87" s="329"/>
      <c r="CX87" s="309"/>
      <c r="CY87" s="310"/>
      <c r="CZ87" s="329"/>
      <c r="DA87" s="329"/>
      <c r="DB87" s="309"/>
      <c r="DC87" s="310"/>
      <c r="DD87" s="329"/>
      <c r="DE87" s="329"/>
      <c r="DF87" s="309"/>
      <c r="DG87" s="310"/>
      <c r="DH87" s="329"/>
      <c r="DI87" s="329"/>
      <c r="DJ87" s="309"/>
      <c r="DK87" s="310"/>
      <c r="DL87" s="329"/>
      <c r="DM87" s="329"/>
      <c r="DN87" s="309"/>
      <c r="DO87" s="310"/>
      <c r="DP87" s="329"/>
      <c r="DQ87" s="329"/>
      <c r="DR87" s="309"/>
      <c r="DS87" s="310"/>
      <c r="DT87" s="329"/>
      <c r="DU87" s="329"/>
      <c r="DV87" s="309"/>
      <c r="DW87" s="310"/>
      <c r="DX87" s="329"/>
      <c r="DY87" s="329"/>
      <c r="DZ87" s="309"/>
      <c r="EA87" s="310"/>
      <c r="EB87" s="329"/>
      <c r="EC87" s="329"/>
      <c r="ED87" s="309"/>
      <c r="EE87" s="310"/>
      <c r="EF87" s="329"/>
      <c r="EG87" s="329"/>
      <c r="EH87" s="309"/>
      <c r="EI87" s="310"/>
      <c r="EJ87" s="329"/>
      <c r="EK87" s="329"/>
      <c r="EL87" s="309"/>
      <c r="EM87" s="310"/>
      <c r="EN87" s="329"/>
      <c r="EO87" s="329"/>
      <c r="EP87" s="309"/>
      <c r="EQ87" s="310"/>
      <c r="ER87" s="329"/>
      <c r="ES87" s="329"/>
      <c r="ET87" s="309"/>
      <c r="EU87" s="310"/>
      <c r="EV87" s="329"/>
      <c r="EW87" s="329"/>
      <c r="EX87" s="309"/>
      <c r="EY87" s="310"/>
      <c r="EZ87" s="329"/>
      <c r="FA87" s="329"/>
      <c r="FB87" s="309"/>
      <c r="FC87" s="310"/>
      <c r="FD87" s="329"/>
      <c r="FE87" s="329"/>
      <c r="FF87" s="309"/>
      <c r="FG87" s="310"/>
      <c r="FH87" s="329"/>
      <c r="FI87" s="329"/>
      <c r="FJ87" s="309"/>
      <c r="FK87" s="310"/>
      <c r="FL87" s="329"/>
      <c r="FM87" s="329"/>
      <c r="FN87" s="309"/>
      <c r="FO87" s="310"/>
      <c r="FP87" s="329"/>
      <c r="FQ87" s="329"/>
      <c r="FR87" s="309"/>
      <c r="FS87" s="310"/>
      <c r="FT87" s="329"/>
      <c r="FU87" s="329"/>
      <c r="FV87" s="309"/>
      <c r="FW87" s="310"/>
      <c r="FX87" s="329"/>
      <c r="FY87" s="329"/>
      <c r="FZ87" s="309"/>
      <c r="GA87" s="310"/>
      <c r="GB87" s="329"/>
      <c r="GC87" s="329"/>
      <c r="GD87" s="309"/>
      <c r="GE87" s="310"/>
      <c r="GF87" s="329"/>
      <c r="GG87" s="329"/>
      <c r="GH87" s="309"/>
      <c r="GI87" s="310"/>
      <c r="GJ87" s="329"/>
      <c r="GK87" s="329"/>
      <c r="GL87" s="309"/>
      <c r="GM87" s="310"/>
      <c r="GN87" s="329"/>
      <c r="GO87" s="329"/>
      <c r="GP87" s="309"/>
      <c r="GQ87" s="310"/>
      <c r="GR87" s="329"/>
      <c r="GS87" s="329"/>
      <c r="GT87" s="309"/>
      <c r="GU87" s="310"/>
      <c r="GV87" s="329"/>
      <c r="GW87" s="329"/>
      <c r="GX87" s="309"/>
      <c r="GY87" s="310"/>
      <c r="GZ87" s="329"/>
      <c r="HA87" s="329"/>
      <c r="HB87" s="309"/>
      <c r="HC87" s="312">
        <f t="shared" si="72"/>
        <v>0</v>
      </c>
      <c r="HD87" s="330"/>
      <c r="HE87" s="330"/>
      <c r="HF87" s="314"/>
      <c r="HG87" s="312">
        <f>SUM(SUMIFS(K87:HB87,$K$13:$HB$13,{"エネルギー管理指定工場等*","県域*"}))</f>
        <v>0</v>
      </c>
      <c r="HH87" s="330"/>
      <c r="HI87" s="330"/>
      <c r="HJ87" s="314"/>
    </row>
    <row r="88" spans="1:218" ht="19.8">
      <c r="A88" s="164"/>
      <c r="B88" s="302"/>
      <c r="C88" s="319"/>
      <c r="D88" s="355"/>
      <c r="E88" s="356" t="s">
        <v>617</v>
      </c>
      <c r="F88" s="303" t="s">
        <v>610</v>
      </c>
      <c r="G88" s="306">
        <v>8.64</v>
      </c>
      <c r="H88" s="315"/>
      <c r="I88" s="308"/>
      <c r="J88" s="309"/>
      <c r="K88" s="310"/>
      <c r="L88" s="329"/>
      <c r="M88" s="329"/>
      <c r="N88" s="309"/>
      <c r="O88" s="310"/>
      <c r="P88" s="329"/>
      <c r="Q88" s="329"/>
      <c r="R88" s="309"/>
      <c r="S88" s="310"/>
      <c r="T88" s="329"/>
      <c r="U88" s="329"/>
      <c r="V88" s="309"/>
      <c r="W88" s="310"/>
      <c r="X88" s="329"/>
      <c r="Y88" s="329"/>
      <c r="Z88" s="309"/>
      <c r="AA88" s="310"/>
      <c r="AB88" s="329"/>
      <c r="AC88" s="329"/>
      <c r="AD88" s="309"/>
      <c r="AE88" s="310"/>
      <c r="AF88" s="329"/>
      <c r="AG88" s="329"/>
      <c r="AH88" s="309"/>
      <c r="AI88" s="310"/>
      <c r="AJ88" s="329"/>
      <c r="AK88" s="329"/>
      <c r="AL88" s="309"/>
      <c r="AM88" s="310"/>
      <c r="AN88" s="329"/>
      <c r="AO88" s="329"/>
      <c r="AP88" s="309"/>
      <c r="AQ88" s="310"/>
      <c r="AR88" s="329"/>
      <c r="AS88" s="329"/>
      <c r="AT88" s="309"/>
      <c r="AU88" s="310"/>
      <c r="AV88" s="329"/>
      <c r="AW88" s="329"/>
      <c r="AX88" s="309"/>
      <c r="AY88" s="310"/>
      <c r="AZ88" s="329"/>
      <c r="BA88" s="329"/>
      <c r="BB88" s="309"/>
      <c r="BC88" s="310"/>
      <c r="BD88" s="329"/>
      <c r="BE88" s="329"/>
      <c r="BF88" s="309"/>
      <c r="BG88" s="310"/>
      <c r="BH88" s="329"/>
      <c r="BI88" s="329"/>
      <c r="BJ88" s="309"/>
      <c r="BK88" s="310"/>
      <c r="BL88" s="329"/>
      <c r="BM88" s="329"/>
      <c r="BN88" s="309"/>
      <c r="BO88" s="310"/>
      <c r="BP88" s="329"/>
      <c r="BQ88" s="329"/>
      <c r="BR88" s="309"/>
      <c r="BS88" s="310"/>
      <c r="BT88" s="329"/>
      <c r="BU88" s="329"/>
      <c r="BV88" s="309"/>
      <c r="BW88" s="310"/>
      <c r="BX88" s="329"/>
      <c r="BY88" s="329"/>
      <c r="BZ88" s="309"/>
      <c r="CA88" s="310"/>
      <c r="CB88" s="329"/>
      <c r="CC88" s="329"/>
      <c r="CD88" s="309"/>
      <c r="CE88" s="310"/>
      <c r="CF88" s="329"/>
      <c r="CG88" s="329"/>
      <c r="CH88" s="309"/>
      <c r="CI88" s="310"/>
      <c r="CJ88" s="329"/>
      <c r="CK88" s="329"/>
      <c r="CL88" s="309"/>
      <c r="CM88" s="310"/>
      <c r="CN88" s="329"/>
      <c r="CO88" s="329"/>
      <c r="CP88" s="309"/>
      <c r="CQ88" s="310"/>
      <c r="CR88" s="329"/>
      <c r="CS88" s="329"/>
      <c r="CT88" s="309"/>
      <c r="CU88" s="310"/>
      <c r="CV88" s="329"/>
      <c r="CW88" s="329"/>
      <c r="CX88" s="309"/>
      <c r="CY88" s="310"/>
      <c r="CZ88" s="329"/>
      <c r="DA88" s="329"/>
      <c r="DB88" s="309"/>
      <c r="DC88" s="310"/>
      <c r="DD88" s="329"/>
      <c r="DE88" s="329"/>
      <c r="DF88" s="309"/>
      <c r="DG88" s="310"/>
      <c r="DH88" s="329"/>
      <c r="DI88" s="329"/>
      <c r="DJ88" s="309"/>
      <c r="DK88" s="310"/>
      <c r="DL88" s="329"/>
      <c r="DM88" s="329"/>
      <c r="DN88" s="309"/>
      <c r="DO88" s="310"/>
      <c r="DP88" s="329"/>
      <c r="DQ88" s="329"/>
      <c r="DR88" s="309"/>
      <c r="DS88" s="310"/>
      <c r="DT88" s="329"/>
      <c r="DU88" s="329"/>
      <c r="DV88" s="309"/>
      <c r="DW88" s="310"/>
      <c r="DX88" s="329"/>
      <c r="DY88" s="329"/>
      <c r="DZ88" s="309"/>
      <c r="EA88" s="310"/>
      <c r="EB88" s="329"/>
      <c r="EC88" s="329"/>
      <c r="ED88" s="309"/>
      <c r="EE88" s="310"/>
      <c r="EF88" s="329"/>
      <c r="EG88" s="329"/>
      <c r="EH88" s="309"/>
      <c r="EI88" s="310"/>
      <c r="EJ88" s="329"/>
      <c r="EK88" s="329"/>
      <c r="EL88" s="309"/>
      <c r="EM88" s="310"/>
      <c r="EN88" s="329"/>
      <c r="EO88" s="329"/>
      <c r="EP88" s="309"/>
      <c r="EQ88" s="310"/>
      <c r="ER88" s="329"/>
      <c r="ES88" s="329"/>
      <c r="ET88" s="309"/>
      <c r="EU88" s="310"/>
      <c r="EV88" s="329"/>
      <c r="EW88" s="329"/>
      <c r="EX88" s="309"/>
      <c r="EY88" s="310"/>
      <c r="EZ88" s="329"/>
      <c r="FA88" s="329"/>
      <c r="FB88" s="309"/>
      <c r="FC88" s="310"/>
      <c r="FD88" s="329"/>
      <c r="FE88" s="329"/>
      <c r="FF88" s="309"/>
      <c r="FG88" s="310"/>
      <c r="FH88" s="329"/>
      <c r="FI88" s="329"/>
      <c r="FJ88" s="309"/>
      <c r="FK88" s="310"/>
      <c r="FL88" s="329"/>
      <c r="FM88" s="329"/>
      <c r="FN88" s="309"/>
      <c r="FO88" s="310"/>
      <c r="FP88" s="329"/>
      <c r="FQ88" s="329"/>
      <c r="FR88" s="309"/>
      <c r="FS88" s="310"/>
      <c r="FT88" s="329"/>
      <c r="FU88" s="329"/>
      <c r="FV88" s="309"/>
      <c r="FW88" s="310"/>
      <c r="FX88" s="329"/>
      <c r="FY88" s="329"/>
      <c r="FZ88" s="309"/>
      <c r="GA88" s="310"/>
      <c r="GB88" s="329"/>
      <c r="GC88" s="329"/>
      <c r="GD88" s="309"/>
      <c r="GE88" s="310"/>
      <c r="GF88" s="329"/>
      <c r="GG88" s="329"/>
      <c r="GH88" s="309"/>
      <c r="GI88" s="310"/>
      <c r="GJ88" s="329"/>
      <c r="GK88" s="329"/>
      <c r="GL88" s="309"/>
      <c r="GM88" s="310"/>
      <c r="GN88" s="329"/>
      <c r="GO88" s="329"/>
      <c r="GP88" s="309"/>
      <c r="GQ88" s="310"/>
      <c r="GR88" s="329"/>
      <c r="GS88" s="329"/>
      <c r="GT88" s="309"/>
      <c r="GU88" s="310"/>
      <c r="GV88" s="329"/>
      <c r="GW88" s="329"/>
      <c r="GX88" s="309"/>
      <c r="GY88" s="310"/>
      <c r="GZ88" s="329"/>
      <c r="HA88" s="329"/>
      <c r="HB88" s="309"/>
      <c r="HC88" s="312">
        <f t="shared" si="72"/>
        <v>0</v>
      </c>
      <c r="HD88" s="330"/>
      <c r="HE88" s="330"/>
      <c r="HF88" s="314"/>
      <c r="HG88" s="312">
        <f>SUM(SUMIFS(K88:HB88,$K$13:$HB$13,{"エネルギー管理指定工場等*","県域*"}))</f>
        <v>0</v>
      </c>
      <c r="HH88" s="330"/>
      <c r="HI88" s="330"/>
      <c r="HJ88" s="314"/>
    </row>
    <row r="89" spans="1:218" ht="19.8">
      <c r="A89" s="164"/>
      <c r="B89" s="302"/>
      <c r="C89" s="319"/>
      <c r="D89" s="328" t="s">
        <v>618</v>
      </c>
      <c r="E89" s="335"/>
      <c r="F89" s="303" t="s">
        <v>610</v>
      </c>
      <c r="G89" s="310"/>
      <c r="H89" s="315"/>
      <c r="I89" s="310"/>
      <c r="J89" s="315"/>
      <c r="K89" s="310"/>
      <c r="L89" s="329"/>
      <c r="M89" s="329"/>
      <c r="N89" s="309"/>
      <c r="O89" s="310"/>
      <c r="P89" s="329"/>
      <c r="Q89" s="329"/>
      <c r="R89" s="309"/>
      <c r="S89" s="310"/>
      <c r="T89" s="329"/>
      <c r="U89" s="329"/>
      <c r="V89" s="309"/>
      <c r="W89" s="310"/>
      <c r="X89" s="329"/>
      <c r="Y89" s="329"/>
      <c r="Z89" s="309"/>
      <c r="AA89" s="310"/>
      <c r="AB89" s="329"/>
      <c r="AC89" s="329"/>
      <c r="AD89" s="309"/>
      <c r="AE89" s="310"/>
      <c r="AF89" s="329"/>
      <c r="AG89" s="329"/>
      <c r="AH89" s="309"/>
      <c r="AI89" s="310"/>
      <c r="AJ89" s="329"/>
      <c r="AK89" s="329"/>
      <c r="AL89" s="309"/>
      <c r="AM89" s="310"/>
      <c r="AN89" s="329"/>
      <c r="AO89" s="329"/>
      <c r="AP89" s="309"/>
      <c r="AQ89" s="310"/>
      <c r="AR89" s="329"/>
      <c r="AS89" s="329"/>
      <c r="AT89" s="309"/>
      <c r="AU89" s="310"/>
      <c r="AV89" s="329"/>
      <c r="AW89" s="329"/>
      <c r="AX89" s="309"/>
      <c r="AY89" s="310"/>
      <c r="AZ89" s="329"/>
      <c r="BA89" s="329"/>
      <c r="BB89" s="309"/>
      <c r="BC89" s="310"/>
      <c r="BD89" s="329"/>
      <c r="BE89" s="329"/>
      <c r="BF89" s="309"/>
      <c r="BG89" s="310"/>
      <c r="BH89" s="329"/>
      <c r="BI89" s="329"/>
      <c r="BJ89" s="309"/>
      <c r="BK89" s="310"/>
      <c r="BL89" s="329"/>
      <c r="BM89" s="329"/>
      <c r="BN89" s="309"/>
      <c r="BO89" s="310"/>
      <c r="BP89" s="329"/>
      <c r="BQ89" s="329"/>
      <c r="BR89" s="309"/>
      <c r="BS89" s="310"/>
      <c r="BT89" s="329"/>
      <c r="BU89" s="329"/>
      <c r="BV89" s="309"/>
      <c r="BW89" s="310"/>
      <c r="BX89" s="329"/>
      <c r="BY89" s="329"/>
      <c r="BZ89" s="309"/>
      <c r="CA89" s="310"/>
      <c r="CB89" s="329"/>
      <c r="CC89" s="329"/>
      <c r="CD89" s="309"/>
      <c r="CE89" s="310"/>
      <c r="CF89" s="329"/>
      <c r="CG89" s="329"/>
      <c r="CH89" s="309"/>
      <c r="CI89" s="310"/>
      <c r="CJ89" s="329"/>
      <c r="CK89" s="329"/>
      <c r="CL89" s="309"/>
      <c r="CM89" s="310"/>
      <c r="CN89" s="329"/>
      <c r="CO89" s="329"/>
      <c r="CP89" s="309"/>
      <c r="CQ89" s="310"/>
      <c r="CR89" s="329"/>
      <c r="CS89" s="329"/>
      <c r="CT89" s="309"/>
      <c r="CU89" s="310"/>
      <c r="CV89" s="329"/>
      <c r="CW89" s="329"/>
      <c r="CX89" s="309"/>
      <c r="CY89" s="310"/>
      <c r="CZ89" s="329"/>
      <c r="DA89" s="329"/>
      <c r="DB89" s="309"/>
      <c r="DC89" s="310"/>
      <c r="DD89" s="329"/>
      <c r="DE89" s="329"/>
      <c r="DF89" s="309"/>
      <c r="DG89" s="310"/>
      <c r="DH89" s="329"/>
      <c r="DI89" s="329"/>
      <c r="DJ89" s="309"/>
      <c r="DK89" s="310"/>
      <c r="DL89" s="329"/>
      <c r="DM89" s="329"/>
      <c r="DN89" s="309"/>
      <c r="DO89" s="310"/>
      <c r="DP89" s="329"/>
      <c r="DQ89" s="329"/>
      <c r="DR89" s="309"/>
      <c r="DS89" s="310"/>
      <c r="DT89" s="329"/>
      <c r="DU89" s="329"/>
      <c r="DV89" s="309"/>
      <c r="DW89" s="310"/>
      <c r="DX89" s="329"/>
      <c r="DY89" s="329"/>
      <c r="DZ89" s="309"/>
      <c r="EA89" s="310"/>
      <c r="EB89" s="329"/>
      <c r="EC89" s="329"/>
      <c r="ED89" s="309"/>
      <c r="EE89" s="310"/>
      <c r="EF89" s="329"/>
      <c r="EG89" s="329"/>
      <c r="EH89" s="309"/>
      <c r="EI89" s="310"/>
      <c r="EJ89" s="329"/>
      <c r="EK89" s="329"/>
      <c r="EL89" s="309"/>
      <c r="EM89" s="310"/>
      <c r="EN89" s="329"/>
      <c r="EO89" s="329"/>
      <c r="EP89" s="309"/>
      <c r="EQ89" s="310"/>
      <c r="ER89" s="329"/>
      <c r="ES89" s="329"/>
      <c r="ET89" s="309"/>
      <c r="EU89" s="310"/>
      <c r="EV89" s="329"/>
      <c r="EW89" s="329"/>
      <c r="EX89" s="309"/>
      <c r="EY89" s="310"/>
      <c r="EZ89" s="329"/>
      <c r="FA89" s="329"/>
      <c r="FB89" s="309"/>
      <c r="FC89" s="310"/>
      <c r="FD89" s="329"/>
      <c r="FE89" s="329"/>
      <c r="FF89" s="309"/>
      <c r="FG89" s="310"/>
      <c r="FH89" s="329"/>
      <c r="FI89" s="329"/>
      <c r="FJ89" s="309"/>
      <c r="FK89" s="310"/>
      <c r="FL89" s="329"/>
      <c r="FM89" s="329"/>
      <c r="FN89" s="309"/>
      <c r="FO89" s="310"/>
      <c r="FP89" s="329"/>
      <c r="FQ89" s="329"/>
      <c r="FR89" s="309"/>
      <c r="FS89" s="310"/>
      <c r="FT89" s="329"/>
      <c r="FU89" s="329"/>
      <c r="FV89" s="309"/>
      <c r="FW89" s="310"/>
      <c r="FX89" s="329"/>
      <c r="FY89" s="329"/>
      <c r="FZ89" s="309"/>
      <c r="GA89" s="310"/>
      <c r="GB89" s="329"/>
      <c r="GC89" s="329"/>
      <c r="GD89" s="309"/>
      <c r="GE89" s="310"/>
      <c r="GF89" s="329"/>
      <c r="GG89" s="329"/>
      <c r="GH89" s="309"/>
      <c r="GI89" s="310"/>
      <c r="GJ89" s="329"/>
      <c r="GK89" s="329"/>
      <c r="GL89" s="309"/>
      <c r="GM89" s="310"/>
      <c r="GN89" s="329"/>
      <c r="GO89" s="329"/>
      <c r="GP89" s="309"/>
      <c r="GQ89" s="310"/>
      <c r="GR89" s="329"/>
      <c r="GS89" s="329"/>
      <c r="GT89" s="309"/>
      <c r="GU89" s="310"/>
      <c r="GV89" s="329"/>
      <c r="GW89" s="329"/>
      <c r="GX89" s="309"/>
      <c r="GY89" s="310"/>
      <c r="GZ89" s="329"/>
      <c r="HA89" s="329"/>
      <c r="HB89" s="309"/>
      <c r="HC89" s="312">
        <f t="shared" si="72"/>
        <v>0</v>
      </c>
      <c r="HD89" s="330"/>
      <c r="HE89" s="330"/>
      <c r="HF89" s="314"/>
      <c r="HG89" s="312">
        <f>SUM(SUMIFS(K89:HB89,$K$13:$HB$13,{"エネルギー管理指定工場等*","県域*"}))</f>
        <v>0</v>
      </c>
      <c r="HH89" s="330"/>
      <c r="HI89" s="330"/>
      <c r="HJ89" s="314"/>
    </row>
    <row r="90" spans="1:218" ht="19.8">
      <c r="A90" s="164"/>
      <c r="B90" s="302"/>
      <c r="C90" s="319"/>
      <c r="D90" s="355"/>
      <c r="E90" s="333" t="s">
        <v>616</v>
      </c>
      <c r="F90" s="303" t="s">
        <v>610</v>
      </c>
      <c r="G90" s="310"/>
      <c r="H90" s="315"/>
      <c r="I90" s="308"/>
      <c r="J90" s="309"/>
      <c r="K90" s="310"/>
      <c r="L90" s="329"/>
      <c r="M90" s="329"/>
      <c r="N90" s="309"/>
      <c r="O90" s="310"/>
      <c r="P90" s="329"/>
      <c r="Q90" s="329"/>
      <c r="R90" s="309"/>
      <c r="S90" s="310"/>
      <c r="T90" s="329"/>
      <c r="U90" s="329"/>
      <c r="V90" s="309"/>
      <c r="W90" s="310"/>
      <c r="X90" s="329"/>
      <c r="Y90" s="329"/>
      <c r="Z90" s="309"/>
      <c r="AA90" s="310"/>
      <c r="AB90" s="329"/>
      <c r="AC90" s="329"/>
      <c r="AD90" s="309"/>
      <c r="AE90" s="310"/>
      <c r="AF90" s="329"/>
      <c r="AG90" s="329"/>
      <c r="AH90" s="309"/>
      <c r="AI90" s="310"/>
      <c r="AJ90" s="329"/>
      <c r="AK90" s="329"/>
      <c r="AL90" s="309"/>
      <c r="AM90" s="310"/>
      <c r="AN90" s="329"/>
      <c r="AO90" s="329"/>
      <c r="AP90" s="309"/>
      <c r="AQ90" s="310"/>
      <c r="AR90" s="329"/>
      <c r="AS90" s="329"/>
      <c r="AT90" s="309"/>
      <c r="AU90" s="310"/>
      <c r="AV90" s="329"/>
      <c r="AW90" s="329"/>
      <c r="AX90" s="309"/>
      <c r="AY90" s="310"/>
      <c r="AZ90" s="329"/>
      <c r="BA90" s="329"/>
      <c r="BB90" s="309"/>
      <c r="BC90" s="310"/>
      <c r="BD90" s="329"/>
      <c r="BE90" s="329"/>
      <c r="BF90" s="309"/>
      <c r="BG90" s="310"/>
      <c r="BH90" s="329"/>
      <c r="BI90" s="329"/>
      <c r="BJ90" s="309"/>
      <c r="BK90" s="310"/>
      <c r="BL90" s="329"/>
      <c r="BM90" s="329"/>
      <c r="BN90" s="309"/>
      <c r="BO90" s="310"/>
      <c r="BP90" s="329"/>
      <c r="BQ90" s="329"/>
      <c r="BR90" s="309"/>
      <c r="BS90" s="310"/>
      <c r="BT90" s="329"/>
      <c r="BU90" s="329"/>
      <c r="BV90" s="309"/>
      <c r="BW90" s="310"/>
      <c r="BX90" s="329"/>
      <c r="BY90" s="329"/>
      <c r="BZ90" s="309"/>
      <c r="CA90" s="310"/>
      <c r="CB90" s="329"/>
      <c r="CC90" s="329"/>
      <c r="CD90" s="309"/>
      <c r="CE90" s="310"/>
      <c r="CF90" s="329"/>
      <c r="CG90" s="329"/>
      <c r="CH90" s="309"/>
      <c r="CI90" s="310"/>
      <c r="CJ90" s="329"/>
      <c r="CK90" s="329"/>
      <c r="CL90" s="309"/>
      <c r="CM90" s="310"/>
      <c r="CN90" s="329"/>
      <c r="CO90" s="329"/>
      <c r="CP90" s="309"/>
      <c r="CQ90" s="310"/>
      <c r="CR90" s="329"/>
      <c r="CS90" s="329"/>
      <c r="CT90" s="309"/>
      <c r="CU90" s="310"/>
      <c r="CV90" s="329"/>
      <c r="CW90" s="329"/>
      <c r="CX90" s="309"/>
      <c r="CY90" s="310"/>
      <c r="CZ90" s="329"/>
      <c r="DA90" s="329"/>
      <c r="DB90" s="309"/>
      <c r="DC90" s="310"/>
      <c r="DD90" s="329"/>
      <c r="DE90" s="329"/>
      <c r="DF90" s="309"/>
      <c r="DG90" s="310"/>
      <c r="DH90" s="329"/>
      <c r="DI90" s="329"/>
      <c r="DJ90" s="309"/>
      <c r="DK90" s="310"/>
      <c r="DL90" s="329"/>
      <c r="DM90" s="329"/>
      <c r="DN90" s="309"/>
      <c r="DO90" s="310"/>
      <c r="DP90" s="329"/>
      <c r="DQ90" s="329"/>
      <c r="DR90" s="309"/>
      <c r="DS90" s="310"/>
      <c r="DT90" s="329"/>
      <c r="DU90" s="329"/>
      <c r="DV90" s="309"/>
      <c r="DW90" s="310"/>
      <c r="DX90" s="329"/>
      <c r="DY90" s="329"/>
      <c r="DZ90" s="309"/>
      <c r="EA90" s="310"/>
      <c r="EB90" s="329"/>
      <c r="EC90" s="329"/>
      <c r="ED90" s="309"/>
      <c r="EE90" s="310"/>
      <c r="EF90" s="329"/>
      <c r="EG90" s="329"/>
      <c r="EH90" s="309"/>
      <c r="EI90" s="310"/>
      <c r="EJ90" s="329"/>
      <c r="EK90" s="329"/>
      <c r="EL90" s="309"/>
      <c r="EM90" s="310"/>
      <c r="EN90" s="329"/>
      <c r="EO90" s="329"/>
      <c r="EP90" s="309"/>
      <c r="EQ90" s="310"/>
      <c r="ER90" s="329"/>
      <c r="ES90" s="329"/>
      <c r="ET90" s="309"/>
      <c r="EU90" s="310"/>
      <c r="EV90" s="329"/>
      <c r="EW90" s="329"/>
      <c r="EX90" s="309"/>
      <c r="EY90" s="310"/>
      <c r="EZ90" s="329"/>
      <c r="FA90" s="329"/>
      <c r="FB90" s="309"/>
      <c r="FC90" s="310"/>
      <c r="FD90" s="329"/>
      <c r="FE90" s="329"/>
      <c r="FF90" s="309"/>
      <c r="FG90" s="310"/>
      <c r="FH90" s="329"/>
      <c r="FI90" s="329"/>
      <c r="FJ90" s="309"/>
      <c r="FK90" s="310"/>
      <c r="FL90" s="329"/>
      <c r="FM90" s="329"/>
      <c r="FN90" s="309"/>
      <c r="FO90" s="310"/>
      <c r="FP90" s="329"/>
      <c r="FQ90" s="329"/>
      <c r="FR90" s="309"/>
      <c r="FS90" s="310"/>
      <c r="FT90" s="329"/>
      <c r="FU90" s="329"/>
      <c r="FV90" s="309"/>
      <c r="FW90" s="310"/>
      <c r="FX90" s="329"/>
      <c r="FY90" s="329"/>
      <c r="FZ90" s="309"/>
      <c r="GA90" s="310"/>
      <c r="GB90" s="329"/>
      <c r="GC90" s="329"/>
      <c r="GD90" s="309"/>
      <c r="GE90" s="310"/>
      <c r="GF90" s="329"/>
      <c r="GG90" s="329"/>
      <c r="GH90" s="309"/>
      <c r="GI90" s="310"/>
      <c r="GJ90" s="329"/>
      <c r="GK90" s="329"/>
      <c r="GL90" s="309"/>
      <c r="GM90" s="310"/>
      <c r="GN90" s="329"/>
      <c r="GO90" s="329"/>
      <c r="GP90" s="309"/>
      <c r="GQ90" s="310"/>
      <c r="GR90" s="329"/>
      <c r="GS90" s="329"/>
      <c r="GT90" s="309"/>
      <c r="GU90" s="310"/>
      <c r="GV90" s="329"/>
      <c r="GW90" s="329"/>
      <c r="GX90" s="309"/>
      <c r="GY90" s="310"/>
      <c r="GZ90" s="329"/>
      <c r="HA90" s="329"/>
      <c r="HB90" s="309"/>
      <c r="HC90" s="312">
        <f t="shared" si="72"/>
        <v>0</v>
      </c>
      <c r="HD90" s="330"/>
      <c r="HE90" s="330"/>
      <c r="HF90" s="314"/>
      <c r="HG90" s="312">
        <f>SUM(SUMIFS(K90:HB90,$K$13:$HB$13,{"エネルギー管理指定工場等*","県域*"}))</f>
        <v>0</v>
      </c>
      <c r="HH90" s="330"/>
      <c r="HI90" s="330"/>
      <c r="HJ90" s="314"/>
    </row>
    <row r="91" spans="1:218" ht="19.8">
      <c r="A91" s="164"/>
      <c r="B91" s="302"/>
      <c r="C91" s="319"/>
      <c r="D91" s="355"/>
      <c r="E91" s="333" t="s">
        <v>617</v>
      </c>
      <c r="F91" s="303" t="s">
        <v>610</v>
      </c>
      <c r="G91" s="310"/>
      <c r="H91" s="315"/>
      <c r="I91" s="308"/>
      <c r="J91" s="309"/>
      <c r="K91" s="310"/>
      <c r="L91" s="329"/>
      <c r="M91" s="329"/>
      <c r="N91" s="309"/>
      <c r="O91" s="310"/>
      <c r="P91" s="329"/>
      <c r="Q91" s="329"/>
      <c r="R91" s="309"/>
      <c r="S91" s="310"/>
      <c r="T91" s="329"/>
      <c r="U91" s="329"/>
      <c r="V91" s="309"/>
      <c r="W91" s="310"/>
      <c r="X91" s="329"/>
      <c r="Y91" s="329"/>
      <c r="Z91" s="309"/>
      <c r="AA91" s="310"/>
      <c r="AB91" s="329"/>
      <c r="AC91" s="329"/>
      <c r="AD91" s="309"/>
      <c r="AE91" s="310"/>
      <c r="AF91" s="329"/>
      <c r="AG91" s="329"/>
      <c r="AH91" s="309"/>
      <c r="AI91" s="310"/>
      <c r="AJ91" s="329"/>
      <c r="AK91" s="329"/>
      <c r="AL91" s="309"/>
      <c r="AM91" s="310"/>
      <c r="AN91" s="329"/>
      <c r="AO91" s="329"/>
      <c r="AP91" s="309"/>
      <c r="AQ91" s="310"/>
      <c r="AR91" s="329"/>
      <c r="AS91" s="329"/>
      <c r="AT91" s="309"/>
      <c r="AU91" s="310"/>
      <c r="AV91" s="329"/>
      <c r="AW91" s="329"/>
      <c r="AX91" s="309"/>
      <c r="AY91" s="310"/>
      <c r="AZ91" s="329"/>
      <c r="BA91" s="329"/>
      <c r="BB91" s="309"/>
      <c r="BC91" s="310"/>
      <c r="BD91" s="329"/>
      <c r="BE91" s="329"/>
      <c r="BF91" s="309"/>
      <c r="BG91" s="310"/>
      <c r="BH91" s="329"/>
      <c r="BI91" s="329"/>
      <c r="BJ91" s="309"/>
      <c r="BK91" s="310"/>
      <c r="BL91" s="329"/>
      <c r="BM91" s="329"/>
      <c r="BN91" s="309"/>
      <c r="BO91" s="310"/>
      <c r="BP91" s="329"/>
      <c r="BQ91" s="329"/>
      <c r="BR91" s="309"/>
      <c r="BS91" s="310"/>
      <c r="BT91" s="329"/>
      <c r="BU91" s="329"/>
      <c r="BV91" s="309"/>
      <c r="BW91" s="310"/>
      <c r="BX91" s="329"/>
      <c r="BY91" s="329"/>
      <c r="BZ91" s="309"/>
      <c r="CA91" s="310"/>
      <c r="CB91" s="329"/>
      <c r="CC91" s="329"/>
      <c r="CD91" s="309"/>
      <c r="CE91" s="310"/>
      <c r="CF91" s="329"/>
      <c r="CG91" s="329"/>
      <c r="CH91" s="309"/>
      <c r="CI91" s="310"/>
      <c r="CJ91" s="329"/>
      <c r="CK91" s="329"/>
      <c r="CL91" s="309"/>
      <c r="CM91" s="310"/>
      <c r="CN91" s="329"/>
      <c r="CO91" s="329"/>
      <c r="CP91" s="309"/>
      <c r="CQ91" s="310"/>
      <c r="CR91" s="329"/>
      <c r="CS91" s="329"/>
      <c r="CT91" s="309"/>
      <c r="CU91" s="310"/>
      <c r="CV91" s="329"/>
      <c r="CW91" s="329"/>
      <c r="CX91" s="309"/>
      <c r="CY91" s="310"/>
      <c r="CZ91" s="329"/>
      <c r="DA91" s="329"/>
      <c r="DB91" s="309"/>
      <c r="DC91" s="310"/>
      <c r="DD91" s="329"/>
      <c r="DE91" s="329"/>
      <c r="DF91" s="309"/>
      <c r="DG91" s="310"/>
      <c r="DH91" s="329"/>
      <c r="DI91" s="329"/>
      <c r="DJ91" s="309"/>
      <c r="DK91" s="310"/>
      <c r="DL91" s="329"/>
      <c r="DM91" s="329"/>
      <c r="DN91" s="309"/>
      <c r="DO91" s="310"/>
      <c r="DP91" s="329"/>
      <c r="DQ91" s="329"/>
      <c r="DR91" s="309"/>
      <c r="DS91" s="310"/>
      <c r="DT91" s="329"/>
      <c r="DU91" s="329"/>
      <c r="DV91" s="309"/>
      <c r="DW91" s="310"/>
      <c r="DX91" s="329"/>
      <c r="DY91" s="329"/>
      <c r="DZ91" s="309"/>
      <c r="EA91" s="310"/>
      <c r="EB91" s="329"/>
      <c r="EC91" s="329"/>
      <c r="ED91" s="309"/>
      <c r="EE91" s="310"/>
      <c r="EF91" s="329"/>
      <c r="EG91" s="329"/>
      <c r="EH91" s="309"/>
      <c r="EI91" s="310"/>
      <c r="EJ91" s="329"/>
      <c r="EK91" s="329"/>
      <c r="EL91" s="309"/>
      <c r="EM91" s="310"/>
      <c r="EN91" s="329"/>
      <c r="EO91" s="329"/>
      <c r="EP91" s="309"/>
      <c r="EQ91" s="310"/>
      <c r="ER91" s="329"/>
      <c r="ES91" s="329"/>
      <c r="ET91" s="309"/>
      <c r="EU91" s="310"/>
      <c r="EV91" s="329"/>
      <c r="EW91" s="329"/>
      <c r="EX91" s="309"/>
      <c r="EY91" s="310"/>
      <c r="EZ91" s="329"/>
      <c r="FA91" s="329"/>
      <c r="FB91" s="309"/>
      <c r="FC91" s="310"/>
      <c r="FD91" s="329"/>
      <c r="FE91" s="329"/>
      <c r="FF91" s="309"/>
      <c r="FG91" s="310"/>
      <c r="FH91" s="329"/>
      <c r="FI91" s="329"/>
      <c r="FJ91" s="309"/>
      <c r="FK91" s="310"/>
      <c r="FL91" s="329"/>
      <c r="FM91" s="329"/>
      <c r="FN91" s="309"/>
      <c r="FO91" s="310"/>
      <c r="FP91" s="329"/>
      <c r="FQ91" s="329"/>
      <c r="FR91" s="309"/>
      <c r="FS91" s="310"/>
      <c r="FT91" s="329"/>
      <c r="FU91" s="329"/>
      <c r="FV91" s="309"/>
      <c r="FW91" s="310"/>
      <c r="FX91" s="329"/>
      <c r="FY91" s="329"/>
      <c r="FZ91" s="309"/>
      <c r="GA91" s="310"/>
      <c r="GB91" s="329"/>
      <c r="GC91" s="329"/>
      <c r="GD91" s="309"/>
      <c r="GE91" s="310"/>
      <c r="GF91" s="329"/>
      <c r="GG91" s="329"/>
      <c r="GH91" s="309"/>
      <c r="GI91" s="310"/>
      <c r="GJ91" s="329"/>
      <c r="GK91" s="329"/>
      <c r="GL91" s="309"/>
      <c r="GM91" s="310"/>
      <c r="GN91" s="329"/>
      <c r="GO91" s="329"/>
      <c r="GP91" s="309"/>
      <c r="GQ91" s="310"/>
      <c r="GR91" s="329"/>
      <c r="GS91" s="329"/>
      <c r="GT91" s="309"/>
      <c r="GU91" s="310"/>
      <c r="GV91" s="329"/>
      <c r="GW91" s="329"/>
      <c r="GX91" s="309"/>
      <c r="GY91" s="310"/>
      <c r="GZ91" s="329"/>
      <c r="HA91" s="329"/>
      <c r="HB91" s="309"/>
      <c r="HC91" s="312">
        <f t="shared" si="72"/>
        <v>0</v>
      </c>
      <c r="HD91" s="330"/>
      <c r="HE91" s="330"/>
      <c r="HF91" s="314"/>
      <c r="HG91" s="312">
        <f>SUM(SUMIFS(K91:HB91,$K$13:$HB$13,{"エネルギー管理指定工場等*","県域*"}))</f>
        <v>0</v>
      </c>
      <c r="HH91" s="330"/>
      <c r="HI91" s="330"/>
      <c r="HJ91" s="314"/>
    </row>
    <row r="92" spans="1:218" ht="19.8">
      <c r="A92" s="164"/>
      <c r="B92" s="302"/>
      <c r="C92" s="317" t="s">
        <v>619</v>
      </c>
      <c r="D92" s="328" t="s">
        <v>620</v>
      </c>
      <c r="E92" s="357"/>
      <c r="F92" s="303" t="s">
        <v>610</v>
      </c>
      <c r="G92" s="306">
        <v>3.6</v>
      </c>
      <c r="H92" s="309"/>
      <c r="I92" s="310"/>
      <c r="J92" s="315"/>
      <c r="K92" s="310"/>
      <c r="L92" s="329"/>
      <c r="M92" s="311"/>
      <c r="N92" s="309"/>
      <c r="O92" s="310"/>
      <c r="P92" s="329"/>
      <c r="Q92" s="311"/>
      <c r="R92" s="309"/>
      <c r="S92" s="310"/>
      <c r="T92" s="329"/>
      <c r="U92" s="311"/>
      <c r="V92" s="309"/>
      <c r="W92" s="310"/>
      <c r="X92" s="329"/>
      <c r="Y92" s="311"/>
      <c r="Z92" s="309"/>
      <c r="AA92" s="310"/>
      <c r="AB92" s="329"/>
      <c r="AC92" s="311"/>
      <c r="AD92" s="309"/>
      <c r="AE92" s="310"/>
      <c r="AF92" s="329"/>
      <c r="AG92" s="311"/>
      <c r="AH92" s="309"/>
      <c r="AI92" s="310"/>
      <c r="AJ92" s="329"/>
      <c r="AK92" s="311"/>
      <c r="AL92" s="309"/>
      <c r="AM92" s="310"/>
      <c r="AN92" s="329"/>
      <c r="AO92" s="311"/>
      <c r="AP92" s="309"/>
      <c r="AQ92" s="310"/>
      <c r="AR92" s="329"/>
      <c r="AS92" s="311"/>
      <c r="AT92" s="309"/>
      <c r="AU92" s="310"/>
      <c r="AV92" s="329"/>
      <c r="AW92" s="311"/>
      <c r="AX92" s="309"/>
      <c r="AY92" s="310"/>
      <c r="AZ92" s="329"/>
      <c r="BA92" s="311"/>
      <c r="BB92" s="309"/>
      <c r="BC92" s="310"/>
      <c r="BD92" s="329"/>
      <c r="BE92" s="311"/>
      <c r="BF92" s="309"/>
      <c r="BG92" s="310"/>
      <c r="BH92" s="329"/>
      <c r="BI92" s="311"/>
      <c r="BJ92" s="309"/>
      <c r="BK92" s="310"/>
      <c r="BL92" s="329"/>
      <c r="BM92" s="311"/>
      <c r="BN92" s="309"/>
      <c r="BO92" s="310"/>
      <c r="BP92" s="329"/>
      <c r="BQ92" s="311"/>
      <c r="BR92" s="309"/>
      <c r="BS92" s="310"/>
      <c r="BT92" s="329"/>
      <c r="BU92" s="311"/>
      <c r="BV92" s="309"/>
      <c r="BW92" s="310"/>
      <c r="BX92" s="329"/>
      <c r="BY92" s="311"/>
      <c r="BZ92" s="309"/>
      <c r="CA92" s="310"/>
      <c r="CB92" s="329"/>
      <c r="CC92" s="311"/>
      <c r="CD92" s="309"/>
      <c r="CE92" s="310"/>
      <c r="CF92" s="329"/>
      <c r="CG92" s="311"/>
      <c r="CH92" s="309"/>
      <c r="CI92" s="310"/>
      <c r="CJ92" s="329"/>
      <c r="CK92" s="311"/>
      <c r="CL92" s="309"/>
      <c r="CM92" s="310"/>
      <c r="CN92" s="329"/>
      <c r="CO92" s="311"/>
      <c r="CP92" s="309"/>
      <c r="CQ92" s="310"/>
      <c r="CR92" s="329"/>
      <c r="CS92" s="311"/>
      <c r="CT92" s="309"/>
      <c r="CU92" s="310"/>
      <c r="CV92" s="329"/>
      <c r="CW92" s="311"/>
      <c r="CX92" s="309"/>
      <c r="CY92" s="310"/>
      <c r="CZ92" s="329"/>
      <c r="DA92" s="311"/>
      <c r="DB92" s="309"/>
      <c r="DC92" s="310"/>
      <c r="DD92" s="329"/>
      <c r="DE92" s="311"/>
      <c r="DF92" s="309"/>
      <c r="DG92" s="310"/>
      <c r="DH92" s="329"/>
      <c r="DI92" s="311"/>
      <c r="DJ92" s="309"/>
      <c r="DK92" s="310"/>
      <c r="DL92" s="329"/>
      <c r="DM92" s="311"/>
      <c r="DN92" s="309"/>
      <c r="DO92" s="310"/>
      <c r="DP92" s="329"/>
      <c r="DQ92" s="311"/>
      <c r="DR92" s="309"/>
      <c r="DS92" s="310"/>
      <c r="DT92" s="329"/>
      <c r="DU92" s="311"/>
      <c r="DV92" s="309"/>
      <c r="DW92" s="310"/>
      <c r="DX92" s="329"/>
      <c r="DY92" s="311"/>
      <c r="DZ92" s="309"/>
      <c r="EA92" s="310"/>
      <c r="EB92" s="329"/>
      <c r="EC92" s="311"/>
      <c r="ED92" s="309"/>
      <c r="EE92" s="310"/>
      <c r="EF92" s="329"/>
      <c r="EG92" s="311"/>
      <c r="EH92" s="309"/>
      <c r="EI92" s="310"/>
      <c r="EJ92" s="329"/>
      <c r="EK92" s="311"/>
      <c r="EL92" s="309"/>
      <c r="EM92" s="310"/>
      <c r="EN92" s="329"/>
      <c r="EO92" s="311"/>
      <c r="EP92" s="309"/>
      <c r="EQ92" s="310"/>
      <c r="ER92" s="329"/>
      <c r="ES92" s="311"/>
      <c r="ET92" s="309"/>
      <c r="EU92" s="310"/>
      <c r="EV92" s="329"/>
      <c r="EW92" s="311"/>
      <c r="EX92" s="309"/>
      <c r="EY92" s="310"/>
      <c r="EZ92" s="329"/>
      <c r="FA92" s="311"/>
      <c r="FB92" s="309"/>
      <c r="FC92" s="310"/>
      <c r="FD92" s="329"/>
      <c r="FE92" s="311"/>
      <c r="FF92" s="309"/>
      <c r="FG92" s="310"/>
      <c r="FH92" s="329"/>
      <c r="FI92" s="311"/>
      <c r="FJ92" s="309"/>
      <c r="FK92" s="310"/>
      <c r="FL92" s="329"/>
      <c r="FM92" s="311"/>
      <c r="FN92" s="309"/>
      <c r="FO92" s="310"/>
      <c r="FP92" s="329"/>
      <c r="FQ92" s="311"/>
      <c r="FR92" s="309"/>
      <c r="FS92" s="310"/>
      <c r="FT92" s="329"/>
      <c r="FU92" s="311"/>
      <c r="FV92" s="309"/>
      <c r="FW92" s="310"/>
      <c r="FX92" s="329"/>
      <c r="FY92" s="311"/>
      <c r="FZ92" s="309"/>
      <c r="GA92" s="310"/>
      <c r="GB92" s="329"/>
      <c r="GC92" s="311"/>
      <c r="GD92" s="309"/>
      <c r="GE92" s="310"/>
      <c r="GF92" s="329"/>
      <c r="GG92" s="311"/>
      <c r="GH92" s="309"/>
      <c r="GI92" s="310"/>
      <c r="GJ92" s="329"/>
      <c r="GK92" s="311"/>
      <c r="GL92" s="309"/>
      <c r="GM92" s="310"/>
      <c r="GN92" s="329"/>
      <c r="GO92" s="311"/>
      <c r="GP92" s="309"/>
      <c r="GQ92" s="310"/>
      <c r="GR92" s="329"/>
      <c r="GS92" s="311"/>
      <c r="GT92" s="309"/>
      <c r="GU92" s="310"/>
      <c r="GV92" s="329"/>
      <c r="GW92" s="311"/>
      <c r="GX92" s="309"/>
      <c r="GY92" s="310"/>
      <c r="GZ92" s="329"/>
      <c r="HA92" s="311"/>
      <c r="HB92" s="309"/>
      <c r="HC92" s="312">
        <f t="shared" si="72"/>
        <v>0</v>
      </c>
      <c r="HD92" s="330"/>
      <c r="HE92" s="313">
        <f t="shared" ref="HE92:HE107" si="73">M92+Q92+U92+Y92+AC92+AG92+AK92+AO92+AS92+AW92+BA92+BE92+BI92+BM92+BQ92+BU92+BY92+CC92+CG92+CK92+CO92+CS92+CW92+DA92+DE92+DI92+DM92+DQ92+DU92+DY92+EC92+EG92+EK92+EO92+ES92+EW92+FA92+FE92+FI92+FM92+FQ92+FU92+FY92+GC92+GG92+GK92+GO92+GS92+GW92+HA92</f>
        <v>0</v>
      </c>
      <c r="HF92" s="314"/>
      <c r="HG92" s="312">
        <f>SUM(SUMIFS(K92:HB92,$K$13:$HB$13,{"エネルギー管理指定工場等*","県域*"}))</f>
        <v>0</v>
      </c>
      <c r="HH92" s="330"/>
      <c r="HI92" s="313">
        <f>SUM(SUMIFS(M92:HD92,$K$13:$HB$13,{"エネルギー管理指定工場等*","県域*"}))</f>
        <v>0</v>
      </c>
      <c r="HJ92" s="314"/>
    </row>
    <row r="93" spans="1:218" ht="19.8">
      <c r="A93" s="164"/>
      <c r="B93" s="302"/>
      <c r="C93" s="319"/>
      <c r="D93" s="346"/>
      <c r="E93" s="270"/>
      <c r="F93" s="303" t="s">
        <v>463</v>
      </c>
      <c r="G93" s="308"/>
      <c r="H93" s="309"/>
      <c r="I93" s="310"/>
      <c r="J93" s="315"/>
      <c r="K93" s="310"/>
      <c r="L93" s="329"/>
      <c r="M93" s="329"/>
      <c r="N93" s="309"/>
      <c r="O93" s="310"/>
      <c r="P93" s="329"/>
      <c r="Q93" s="329"/>
      <c r="R93" s="309"/>
      <c r="S93" s="310"/>
      <c r="T93" s="329"/>
      <c r="U93" s="329"/>
      <c r="V93" s="309"/>
      <c r="W93" s="310"/>
      <c r="X93" s="329"/>
      <c r="Y93" s="329"/>
      <c r="Z93" s="309"/>
      <c r="AA93" s="310"/>
      <c r="AB93" s="329"/>
      <c r="AC93" s="329"/>
      <c r="AD93" s="309"/>
      <c r="AE93" s="310"/>
      <c r="AF93" s="329"/>
      <c r="AG93" s="329"/>
      <c r="AH93" s="309"/>
      <c r="AI93" s="310"/>
      <c r="AJ93" s="329"/>
      <c r="AK93" s="329"/>
      <c r="AL93" s="309"/>
      <c r="AM93" s="310"/>
      <c r="AN93" s="329"/>
      <c r="AO93" s="329"/>
      <c r="AP93" s="309"/>
      <c r="AQ93" s="310"/>
      <c r="AR93" s="329"/>
      <c r="AS93" s="329"/>
      <c r="AT93" s="309"/>
      <c r="AU93" s="310"/>
      <c r="AV93" s="329"/>
      <c r="AW93" s="329"/>
      <c r="AX93" s="309"/>
      <c r="AY93" s="310"/>
      <c r="AZ93" s="329"/>
      <c r="BA93" s="329"/>
      <c r="BB93" s="309"/>
      <c r="BC93" s="310"/>
      <c r="BD93" s="329"/>
      <c r="BE93" s="329"/>
      <c r="BF93" s="309"/>
      <c r="BG93" s="310"/>
      <c r="BH93" s="329"/>
      <c r="BI93" s="329"/>
      <c r="BJ93" s="309"/>
      <c r="BK93" s="310"/>
      <c r="BL93" s="329"/>
      <c r="BM93" s="329"/>
      <c r="BN93" s="309"/>
      <c r="BO93" s="310"/>
      <c r="BP93" s="329"/>
      <c r="BQ93" s="329"/>
      <c r="BR93" s="309"/>
      <c r="BS93" s="310"/>
      <c r="BT93" s="329"/>
      <c r="BU93" s="329"/>
      <c r="BV93" s="309"/>
      <c r="BW93" s="310"/>
      <c r="BX93" s="329"/>
      <c r="BY93" s="329"/>
      <c r="BZ93" s="309"/>
      <c r="CA93" s="310"/>
      <c r="CB93" s="329"/>
      <c r="CC93" s="329"/>
      <c r="CD93" s="309"/>
      <c r="CE93" s="310"/>
      <c r="CF93" s="329"/>
      <c r="CG93" s="329"/>
      <c r="CH93" s="309"/>
      <c r="CI93" s="310"/>
      <c r="CJ93" s="329"/>
      <c r="CK93" s="329"/>
      <c r="CL93" s="309"/>
      <c r="CM93" s="310"/>
      <c r="CN93" s="329"/>
      <c r="CO93" s="329"/>
      <c r="CP93" s="309"/>
      <c r="CQ93" s="310"/>
      <c r="CR93" s="329"/>
      <c r="CS93" s="329"/>
      <c r="CT93" s="309"/>
      <c r="CU93" s="310"/>
      <c r="CV93" s="329"/>
      <c r="CW93" s="329"/>
      <c r="CX93" s="309"/>
      <c r="CY93" s="310"/>
      <c r="CZ93" s="329"/>
      <c r="DA93" s="329"/>
      <c r="DB93" s="309"/>
      <c r="DC93" s="310"/>
      <c r="DD93" s="329"/>
      <c r="DE93" s="329"/>
      <c r="DF93" s="309"/>
      <c r="DG93" s="310"/>
      <c r="DH93" s="329"/>
      <c r="DI93" s="329"/>
      <c r="DJ93" s="309"/>
      <c r="DK93" s="310"/>
      <c r="DL93" s="329"/>
      <c r="DM93" s="329"/>
      <c r="DN93" s="309"/>
      <c r="DO93" s="310"/>
      <c r="DP93" s="329"/>
      <c r="DQ93" s="329"/>
      <c r="DR93" s="309"/>
      <c r="DS93" s="310"/>
      <c r="DT93" s="329"/>
      <c r="DU93" s="329"/>
      <c r="DV93" s="309"/>
      <c r="DW93" s="310"/>
      <c r="DX93" s="329"/>
      <c r="DY93" s="329"/>
      <c r="DZ93" s="309"/>
      <c r="EA93" s="310"/>
      <c r="EB93" s="329"/>
      <c r="EC93" s="329"/>
      <c r="ED93" s="309"/>
      <c r="EE93" s="310"/>
      <c r="EF93" s="329"/>
      <c r="EG93" s="329"/>
      <c r="EH93" s="309"/>
      <c r="EI93" s="310"/>
      <c r="EJ93" s="329"/>
      <c r="EK93" s="329"/>
      <c r="EL93" s="309"/>
      <c r="EM93" s="310"/>
      <c r="EN93" s="329"/>
      <c r="EO93" s="329"/>
      <c r="EP93" s="309"/>
      <c r="EQ93" s="310"/>
      <c r="ER93" s="329"/>
      <c r="ES93" s="329"/>
      <c r="ET93" s="309"/>
      <c r="EU93" s="310"/>
      <c r="EV93" s="329"/>
      <c r="EW93" s="329"/>
      <c r="EX93" s="309"/>
      <c r="EY93" s="310"/>
      <c r="EZ93" s="329"/>
      <c r="FA93" s="329"/>
      <c r="FB93" s="309"/>
      <c r="FC93" s="310"/>
      <c r="FD93" s="329"/>
      <c r="FE93" s="329"/>
      <c r="FF93" s="309"/>
      <c r="FG93" s="310"/>
      <c r="FH93" s="329"/>
      <c r="FI93" s="329"/>
      <c r="FJ93" s="309"/>
      <c r="FK93" s="310"/>
      <c r="FL93" s="329"/>
      <c r="FM93" s="329"/>
      <c r="FN93" s="309"/>
      <c r="FO93" s="310"/>
      <c r="FP93" s="329"/>
      <c r="FQ93" s="329"/>
      <c r="FR93" s="309"/>
      <c r="FS93" s="310"/>
      <c r="FT93" s="329"/>
      <c r="FU93" s="329"/>
      <c r="FV93" s="309"/>
      <c r="FW93" s="310"/>
      <c r="FX93" s="329"/>
      <c r="FY93" s="329"/>
      <c r="FZ93" s="309"/>
      <c r="GA93" s="310"/>
      <c r="GB93" s="329"/>
      <c r="GC93" s="329"/>
      <c r="GD93" s="309"/>
      <c r="GE93" s="310"/>
      <c r="GF93" s="329"/>
      <c r="GG93" s="329"/>
      <c r="GH93" s="309"/>
      <c r="GI93" s="310"/>
      <c r="GJ93" s="329"/>
      <c r="GK93" s="329"/>
      <c r="GL93" s="309"/>
      <c r="GM93" s="310"/>
      <c r="GN93" s="329"/>
      <c r="GO93" s="329"/>
      <c r="GP93" s="309"/>
      <c r="GQ93" s="310"/>
      <c r="GR93" s="329"/>
      <c r="GS93" s="329"/>
      <c r="GT93" s="309"/>
      <c r="GU93" s="310"/>
      <c r="GV93" s="329"/>
      <c r="GW93" s="329"/>
      <c r="GX93" s="309"/>
      <c r="GY93" s="310"/>
      <c r="GZ93" s="329"/>
      <c r="HA93" s="329"/>
      <c r="HB93" s="309"/>
      <c r="HC93" s="312">
        <f t="shared" si="72"/>
        <v>0</v>
      </c>
      <c r="HD93" s="330"/>
      <c r="HE93" s="330"/>
      <c r="HF93" s="314"/>
      <c r="HG93" s="312">
        <f>SUM(SUMIFS(K93:HB93,$K$13:$HB$13,{"エネルギー管理指定工場等*","県域*"}))</f>
        <v>0</v>
      </c>
      <c r="HH93" s="330"/>
      <c r="HI93" s="330"/>
      <c r="HJ93" s="314"/>
    </row>
    <row r="94" spans="1:218" ht="19.8">
      <c r="A94" s="164"/>
      <c r="B94" s="302"/>
      <c r="C94" s="319"/>
      <c r="D94" s="328" t="s">
        <v>621</v>
      </c>
      <c r="E94" s="357"/>
      <c r="F94" s="303" t="s">
        <v>610</v>
      </c>
      <c r="G94" s="306">
        <v>3.6</v>
      </c>
      <c r="H94" s="309"/>
      <c r="I94" s="310"/>
      <c r="J94" s="315"/>
      <c r="K94" s="310"/>
      <c r="L94" s="329"/>
      <c r="M94" s="311"/>
      <c r="N94" s="309"/>
      <c r="O94" s="310"/>
      <c r="P94" s="329"/>
      <c r="Q94" s="311"/>
      <c r="R94" s="309"/>
      <c r="S94" s="310"/>
      <c r="T94" s="329"/>
      <c r="U94" s="311"/>
      <c r="V94" s="309"/>
      <c r="W94" s="310"/>
      <c r="X94" s="329"/>
      <c r="Y94" s="311"/>
      <c r="Z94" s="309"/>
      <c r="AA94" s="310"/>
      <c r="AB94" s="329"/>
      <c r="AC94" s="311"/>
      <c r="AD94" s="309"/>
      <c r="AE94" s="310"/>
      <c r="AF94" s="329"/>
      <c r="AG94" s="311"/>
      <c r="AH94" s="309"/>
      <c r="AI94" s="310"/>
      <c r="AJ94" s="329"/>
      <c r="AK94" s="311"/>
      <c r="AL94" s="309"/>
      <c r="AM94" s="310"/>
      <c r="AN94" s="329"/>
      <c r="AO94" s="311"/>
      <c r="AP94" s="309"/>
      <c r="AQ94" s="310"/>
      <c r="AR94" s="329"/>
      <c r="AS94" s="311"/>
      <c r="AT94" s="309"/>
      <c r="AU94" s="310"/>
      <c r="AV94" s="329"/>
      <c r="AW94" s="311"/>
      <c r="AX94" s="309"/>
      <c r="AY94" s="310"/>
      <c r="AZ94" s="329"/>
      <c r="BA94" s="311"/>
      <c r="BB94" s="309"/>
      <c r="BC94" s="310"/>
      <c r="BD94" s="329"/>
      <c r="BE94" s="311"/>
      <c r="BF94" s="309"/>
      <c r="BG94" s="310"/>
      <c r="BH94" s="329"/>
      <c r="BI94" s="311"/>
      <c r="BJ94" s="309"/>
      <c r="BK94" s="310"/>
      <c r="BL94" s="329"/>
      <c r="BM94" s="311"/>
      <c r="BN94" s="309"/>
      <c r="BO94" s="310"/>
      <c r="BP94" s="329"/>
      <c r="BQ94" s="311"/>
      <c r="BR94" s="309"/>
      <c r="BS94" s="310"/>
      <c r="BT94" s="329"/>
      <c r="BU94" s="311"/>
      <c r="BV94" s="309"/>
      <c r="BW94" s="310"/>
      <c r="BX94" s="329"/>
      <c r="BY94" s="311"/>
      <c r="BZ94" s="309"/>
      <c r="CA94" s="310"/>
      <c r="CB94" s="329"/>
      <c r="CC94" s="311"/>
      <c r="CD94" s="309"/>
      <c r="CE94" s="310"/>
      <c r="CF94" s="329"/>
      <c r="CG94" s="311"/>
      <c r="CH94" s="309"/>
      <c r="CI94" s="310"/>
      <c r="CJ94" s="329"/>
      <c r="CK94" s="311"/>
      <c r="CL94" s="309"/>
      <c r="CM94" s="310"/>
      <c r="CN94" s="329"/>
      <c r="CO94" s="311"/>
      <c r="CP94" s="309"/>
      <c r="CQ94" s="310"/>
      <c r="CR94" s="329"/>
      <c r="CS94" s="311"/>
      <c r="CT94" s="309"/>
      <c r="CU94" s="310"/>
      <c r="CV94" s="329"/>
      <c r="CW94" s="311"/>
      <c r="CX94" s="309"/>
      <c r="CY94" s="310"/>
      <c r="CZ94" s="329"/>
      <c r="DA94" s="311"/>
      <c r="DB94" s="309"/>
      <c r="DC94" s="310"/>
      <c r="DD94" s="329"/>
      <c r="DE94" s="311"/>
      <c r="DF94" s="309"/>
      <c r="DG94" s="310"/>
      <c r="DH94" s="329"/>
      <c r="DI94" s="311"/>
      <c r="DJ94" s="309"/>
      <c r="DK94" s="310"/>
      <c r="DL94" s="329"/>
      <c r="DM94" s="311"/>
      <c r="DN94" s="309"/>
      <c r="DO94" s="310"/>
      <c r="DP94" s="329"/>
      <c r="DQ94" s="311"/>
      <c r="DR94" s="309"/>
      <c r="DS94" s="310"/>
      <c r="DT94" s="329"/>
      <c r="DU94" s="311"/>
      <c r="DV94" s="309"/>
      <c r="DW94" s="310"/>
      <c r="DX94" s="329"/>
      <c r="DY94" s="311"/>
      <c r="DZ94" s="309"/>
      <c r="EA94" s="310"/>
      <c r="EB94" s="329"/>
      <c r="EC94" s="311"/>
      <c r="ED94" s="309"/>
      <c r="EE94" s="310"/>
      <c r="EF94" s="329"/>
      <c r="EG94" s="311"/>
      <c r="EH94" s="309"/>
      <c r="EI94" s="310"/>
      <c r="EJ94" s="329"/>
      <c r="EK94" s="311"/>
      <c r="EL94" s="309"/>
      <c r="EM94" s="310"/>
      <c r="EN94" s="329"/>
      <c r="EO94" s="311"/>
      <c r="EP94" s="309"/>
      <c r="EQ94" s="310"/>
      <c r="ER94" s="329"/>
      <c r="ES94" s="311"/>
      <c r="ET94" s="309"/>
      <c r="EU94" s="310"/>
      <c r="EV94" s="329"/>
      <c r="EW94" s="311"/>
      <c r="EX94" s="309"/>
      <c r="EY94" s="310"/>
      <c r="EZ94" s="329"/>
      <c r="FA94" s="311"/>
      <c r="FB94" s="309"/>
      <c r="FC94" s="310"/>
      <c r="FD94" s="329"/>
      <c r="FE94" s="311"/>
      <c r="FF94" s="309"/>
      <c r="FG94" s="310"/>
      <c r="FH94" s="329"/>
      <c r="FI94" s="311"/>
      <c r="FJ94" s="309"/>
      <c r="FK94" s="310"/>
      <c r="FL94" s="329"/>
      <c r="FM94" s="311"/>
      <c r="FN94" s="309"/>
      <c r="FO94" s="310"/>
      <c r="FP94" s="329"/>
      <c r="FQ94" s="311"/>
      <c r="FR94" s="309"/>
      <c r="FS94" s="310"/>
      <c r="FT94" s="329"/>
      <c r="FU94" s="311"/>
      <c r="FV94" s="309"/>
      <c r="FW94" s="310"/>
      <c r="FX94" s="329"/>
      <c r="FY94" s="311"/>
      <c r="FZ94" s="309"/>
      <c r="GA94" s="310"/>
      <c r="GB94" s="329"/>
      <c r="GC94" s="311"/>
      <c r="GD94" s="309"/>
      <c r="GE94" s="310"/>
      <c r="GF94" s="329"/>
      <c r="GG94" s="311"/>
      <c r="GH94" s="309"/>
      <c r="GI94" s="310"/>
      <c r="GJ94" s="329"/>
      <c r="GK94" s="311"/>
      <c r="GL94" s="309"/>
      <c r="GM94" s="310"/>
      <c r="GN94" s="329"/>
      <c r="GO94" s="311"/>
      <c r="GP94" s="309"/>
      <c r="GQ94" s="310"/>
      <c r="GR94" s="329"/>
      <c r="GS94" s="311"/>
      <c r="GT94" s="309"/>
      <c r="GU94" s="310"/>
      <c r="GV94" s="329"/>
      <c r="GW94" s="311"/>
      <c r="GX94" s="309"/>
      <c r="GY94" s="310"/>
      <c r="GZ94" s="329"/>
      <c r="HA94" s="311"/>
      <c r="HB94" s="309"/>
      <c r="HC94" s="312">
        <f t="shared" si="72"/>
        <v>0</v>
      </c>
      <c r="HD94" s="330"/>
      <c r="HE94" s="313">
        <f t="shared" ref="HE94" si="74">M94+Q94+U94+Y94+AC94+AG94+AK94+AO94+AS94+AW94+BA94+BE94+BI94+BM94+BQ94+BU94+BY94+CC94+CG94+CK94+CO94+CS94+CW94+DA94+DE94+DI94+DM94+DQ94+DU94+DY94+EC94+EG94+EK94+EO94+ES94+EW94+FA94+FE94+FI94+FM94+FQ94+FU94+FY94+GC94+GG94+GK94+GO94+GS94+GW94+HA94</f>
        <v>0</v>
      </c>
      <c r="HF94" s="314"/>
      <c r="HG94" s="312">
        <f>SUM(SUMIFS(K94:HB94,$K$13:$HB$13,{"エネルギー管理指定工場等*","県域*"}))</f>
        <v>0</v>
      </c>
      <c r="HH94" s="330"/>
      <c r="HI94" s="313">
        <f>SUM(SUMIFS(M94:HD94,$K$13:$HB$13,{"エネルギー管理指定工場等*","県域*"}))</f>
        <v>0</v>
      </c>
      <c r="HJ94" s="314"/>
    </row>
    <row r="95" spans="1:218" ht="19.8">
      <c r="A95" s="164"/>
      <c r="B95" s="302"/>
      <c r="C95" s="319"/>
      <c r="D95" s="346"/>
      <c r="E95" s="270"/>
      <c r="F95" s="303" t="s">
        <v>463</v>
      </c>
      <c r="G95" s="308"/>
      <c r="H95" s="309"/>
      <c r="I95" s="310"/>
      <c r="J95" s="315"/>
      <c r="K95" s="310"/>
      <c r="L95" s="329"/>
      <c r="M95" s="329"/>
      <c r="N95" s="309"/>
      <c r="O95" s="310"/>
      <c r="P95" s="329"/>
      <c r="Q95" s="329"/>
      <c r="R95" s="309"/>
      <c r="S95" s="310"/>
      <c r="T95" s="329"/>
      <c r="U95" s="329"/>
      <c r="V95" s="309"/>
      <c r="W95" s="310"/>
      <c r="X95" s="329"/>
      <c r="Y95" s="329"/>
      <c r="Z95" s="309"/>
      <c r="AA95" s="310"/>
      <c r="AB95" s="329"/>
      <c r="AC95" s="329"/>
      <c r="AD95" s="309"/>
      <c r="AE95" s="310"/>
      <c r="AF95" s="329"/>
      <c r="AG95" s="329"/>
      <c r="AH95" s="309"/>
      <c r="AI95" s="310"/>
      <c r="AJ95" s="329"/>
      <c r="AK95" s="329"/>
      <c r="AL95" s="309"/>
      <c r="AM95" s="310"/>
      <c r="AN95" s="329"/>
      <c r="AO95" s="329"/>
      <c r="AP95" s="309"/>
      <c r="AQ95" s="310"/>
      <c r="AR95" s="329"/>
      <c r="AS95" s="329"/>
      <c r="AT95" s="309"/>
      <c r="AU95" s="310"/>
      <c r="AV95" s="329"/>
      <c r="AW95" s="329"/>
      <c r="AX95" s="309"/>
      <c r="AY95" s="310"/>
      <c r="AZ95" s="329"/>
      <c r="BA95" s="329"/>
      <c r="BB95" s="309"/>
      <c r="BC95" s="310"/>
      <c r="BD95" s="329"/>
      <c r="BE95" s="329"/>
      <c r="BF95" s="309"/>
      <c r="BG95" s="310"/>
      <c r="BH95" s="329"/>
      <c r="BI95" s="329"/>
      <c r="BJ95" s="309"/>
      <c r="BK95" s="310"/>
      <c r="BL95" s="329"/>
      <c r="BM95" s="329"/>
      <c r="BN95" s="309"/>
      <c r="BO95" s="310"/>
      <c r="BP95" s="329"/>
      <c r="BQ95" s="329"/>
      <c r="BR95" s="309"/>
      <c r="BS95" s="310"/>
      <c r="BT95" s="329"/>
      <c r="BU95" s="329"/>
      <c r="BV95" s="309"/>
      <c r="BW95" s="310"/>
      <c r="BX95" s="329"/>
      <c r="BY95" s="329"/>
      <c r="BZ95" s="309"/>
      <c r="CA95" s="310"/>
      <c r="CB95" s="329"/>
      <c r="CC95" s="329"/>
      <c r="CD95" s="309"/>
      <c r="CE95" s="310"/>
      <c r="CF95" s="329"/>
      <c r="CG95" s="329"/>
      <c r="CH95" s="309"/>
      <c r="CI95" s="310"/>
      <c r="CJ95" s="329"/>
      <c r="CK95" s="329"/>
      <c r="CL95" s="309"/>
      <c r="CM95" s="310"/>
      <c r="CN95" s="329"/>
      <c r="CO95" s="329"/>
      <c r="CP95" s="309"/>
      <c r="CQ95" s="310"/>
      <c r="CR95" s="329"/>
      <c r="CS95" s="329"/>
      <c r="CT95" s="309"/>
      <c r="CU95" s="310"/>
      <c r="CV95" s="329"/>
      <c r="CW95" s="329"/>
      <c r="CX95" s="309"/>
      <c r="CY95" s="310"/>
      <c r="CZ95" s="329"/>
      <c r="DA95" s="329"/>
      <c r="DB95" s="309"/>
      <c r="DC95" s="310"/>
      <c r="DD95" s="329"/>
      <c r="DE95" s="329"/>
      <c r="DF95" s="309"/>
      <c r="DG95" s="310"/>
      <c r="DH95" s="329"/>
      <c r="DI95" s="329"/>
      <c r="DJ95" s="309"/>
      <c r="DK95" s="310"/>
      <c r="DL95" s="329"/>
      <c r="DM95" s="329"/>
      <c r="DN95" s="309"/>
      <c r="DO95" s="310"/>
      <c r="DP95" s="329"/>
      <c r="DQ95" s="329"/>
      <c r="DR95" s="309"/>
      <c r="DS95" s="310"/>
      <c r="DT95" s="329"/>
      <c r="DU95" s="329"/>
      <c r="DV95" s="309"/>
      <c r="DW95" s="310"/>
      <c r="DX95" s="329"/>
      <c r="DY95" s="329"/>
      <c r="DZ95" s="309"/>
      <c r="EA95" s="310"/>
      <c r="EB95" s="329"/>
      <c r="EC95" s="329"/>
      <c r="ED95" s="309"/>
      <c r="EE95" s="310"/>
      <c r="EF95" s="329"/>
      <c r="EG95" s="329"/>
      <c r="EH95" s="309"/>
      <c r="EI95" s="310"/>
      <c r="EJ95" s="329"/>
      <c r="EK95" s="329"/>
      <c r="EL95" s="309"/>
      <c r="EM95" s="310"/>
      <c r="EN95" s="329"/>
      <c r="EO95" s="329"/>
      <c r="EP95" s="309"/>
      <c r="EQ95" s="310"/>
      <c r="ER95" s="329"/>
      <c r="ES95" s="329"/>
      <c r="ET95" s="309"/>
      <c r="EU95" s="310"/>
      <c r="EV95" s="329"/>
      <c r="EW95" s="329"/>
      <c r="EX95" s="309"/>
      <c r="EY95" s="310"/>
      <c r="EZ95" s="329"/>
      <c r="FA95" s="329"/>
      <c r="FB95" s="309"/>
      <c r="FC95" s="310"/>
      <c r="FD95" s="329"/>
      <c r="FE95" s="329"/>
      <c r="FF95" s="309"/>
      <c r="FG95" s="310"/>
      <c r="FH95" s="329"/>
      <c r="FI95" s="329"/>
      <c r="FJ95" s="309"/>
      <c r="FK95" s="310"/>
      <c r="FL95" s="329"/>
      <c r="FM95" s="329"/>
      <c r="FN95" s="309"/>
      <c r="FO95" s="310"/>
      <c r="FP95" s="329"/>
      <c r="FQ95" s="329"/>
      <c r="FR95" s="309"/>
      <c r="FS95" s="310"/>
      <c r="FT95" s="329"/>
      <c r="FU95" s="329"/>
      <c r="FV95" s="309"/>
      <c r="FW95" s="310"/>
      <c r="FX95" s="329"/>
      <c r="FY95" s="329"/>
      <c r="FZ95" s="309"/>
      <c r="GA95" s="310"/>
      <c r="GB95" s="329"/>
      <c r="GC95" s="329"/>
      <c r="GD95" s="309"/>
      <c r="GE95" s="310"/>
      <c r="GF95" s="329"/>
      <c r="GG95" s="329"/>
      <c r="GH95" s="309"/>
      <c r="GI95" s="310"/>
      <c r="GJ95" s="329"/>
      <c r="GK95" s="329"/>
      <c r="GL95" s="309"/>
      <c r="GM95" s="310"/>
      <c r="GN95" s="329"/>
      <c r="GO95" s="329"/>
      <c r="GP95" s="309"/>
      <c r="GQ95" s="310"/>
      <c r="GR95" s="329"/>
      <c r="GS95" s="329"/>
      <c r="GT95" s="309"/>
      <c r="GU95" s="310"/>
      <c r="GV95" s="329"/>
      <c r="GW95" s="329"/>
      <c r="GX95" s="309"/>
      <c r="GY95" s="310"/>
      <c r="GZ95" s="329"/>
      <c r="HA95" s="329"/>
      <c r="HB95" s="309"/>
      <c r="HC95" s="312">
        <f t="shared" si="72"/>
        <v>0</v>
      </c>
      <c r="HD95" s="330"/>
      <c r="HE95" s="330"/>
      <c r="HF95" s="314"/>
      <c r="HG95" s="312">
        <f>SUM(SUMIFS(K95:HB95,$K$13:$HB$13,{"エネルギー管理指定工場等*","県域*"}))</f>
        <v>0</v>
      </c>
      <c r="HH95" s="330"/>
      <c r="HI95" s="330"/>
      <c r="HJ95" s="314"/>
    </row>
    <row r="96" spans="1:218" ht="19.8">
      <c r="A96" s="164"/>
      <c r="B96" s="302"/>
      <c r="C96" s="319"/>
      <c r="D96" s="328" t="s">
        <v>622</v>
      </c>
      <c r="E96" s="357"/>
      <c r="F96" s="303" t="s">
        <v>610</v>
      </c>
      <c r="G96" s="306">
        <v>3.6</v>
      </c>
      <c r="H96" s="309"/>
      <c r="I96" s="310"/>
      <c r="J96" s="315"/>
      <c r="K96" s="310"/>
      <c r="L96" s="329"/>
      <c r="M96" s="311"/>
      <c r="N96" s="309"/>
      <c r="O96" s="310"/>
      <c r="P96" s="329"/>
      <c r="Q96" s="311"/>
      <c r="R96" s="309"/>
      <c r="S96" s="310"/>
      <c r="T96" s="329"/>
      <c r="U96" s="311"/>
      <c r="V96" s="309"/>
      <c r="W96" s="310"/>
      <c r="X96" s="329"/>
      <c r="Y96" s="311"/>
      <c r="Z96" s="309"/>
      <c r="AA96" s="310"/>
      <c r="AB96" s="329"/>
      <c r="AC96" s="311"/>
      <c r="AD96" s="309"/>
      <c r="AE96" s="310"/>
      <c r="AF96" s="329"/>
      <c r="AG96" s="311"/>
      <c r="AH96" s="309"/>
      <c r="AI96" s="310"/>
      <c r="AJ96" s="329"/>
      <c r="AK96" s="311"/>
      <c r="AL96" s="309"/>
      <c r="AM96" s="310"/>
      <c r="AN96" s="329"/>
      <c r="AO96" s="311"/>
      <c r="AP96" s="309"/>
      <c r="AQ96" s="310"/>
      <c r="AR96" s="329"/>
      <c r="AS96" s="311"/>
      <c r="AT96" s="309"/>
      <c r="AU96" s="310"/>
      <c r="AV96" s="329"/>
      <c r="AW96" s="311"/>
      <c r="AX96" s="309"/>
      <c r="AY96" s="310"/>
      <c r="AZ96" s="329"/>
      <c r="BA96" s="311"/>
      <c r="BB96" s="309"/>
      <c r="BC96" s="310"/>
      <c r="BD96" s="329"/>
      <c r="BE96" s="311"/>
      <c r="BF96" s="309"/>
      <c r="BG96" s="310"/>
      <c r="BH96" s="329"/>
      <c r="BI96" s="311"/>
      <c r="BJ96" s="309"/>
      <c r="BK96" s="310"/>
      <c r="BL96" s="329"/>
      <c r="BM96" s="311"/>
      <c r="BN96" s="309"/>
      <c r="BO96" s="310"/>
      <c r="BP96" s="329"/>
      <c r="BQ96" s="311"/>
      <c r="BR96" s="309"/>
      <c r="BS96" s="310"/>
      <c r="BT96" s="329"/>
      <c r="BU96" s="311"/>
      <c r="BV96" s="309"/>
      <c r="BW96" s="310"/>
      <c r="BX96" s="329"/>
      <c r="BY96" s="311"/>
      <c r="BZ96" s="309"/>
      <c r="CA96" s="310"/>
      <c r="CB96" s="329"/>
      <c r="CC96" s="311"/>
      <c r="CD96" s="309"/>
      <c r="CE96" s="310"/>
      <c r="CF96" s="329"/>
      <c r="CG96" s="311"/>
      <c r="CH96" s="309"/>
      <c r="CI96" s="310"/>
      <c r="CJ96" s="329"/>
      <c r="CK96" s="311"/>
      <c r="CL96" s="309"/>
      <c r="CM96" s="310"/>
      <c r="CN96" s="329"/>
      <c r="CO96" s="311"/>
      <c r="CP96" s="309"/>
      <c r="CQ96" s="310"/>
      <c r="CR96" s="329"/>
      <c r="CS96" s="311"/>
      <c r="CT96" s="309"/>
      <c r="CU96" s="310"/>
      <c r="CV96" s="329"/>
      <c r="CW96" s="311"/>
      <c r="CX96" s="309"/>
      <c r="CY96" s="310"/>
      <c r="CZ96" s="329"/>
      <c r="DA96" s="311"/>
      <c r="DB96" s="309"/>
      <c r="DC96" s="310"/>
      <c r="DD96" s="329"/>
      <c r="DE96" s="311"/>
      <c r="DF96" s="309"/>
      <c r="DG96" s="310"/>
      <c r="DH96" s="329"/>
      <c r="DI96" s="311"/>
      <c r="DJ96" s="309"/>
      <c r="DK96" s="310"/>
      <c r="DL96" s="329"/>
      <c r="DM96" s="311"/>
      <c r="DN96" s="309"/>
      <c r="DO96" s="310"/>
      <c r="DP96" s="329"/>
      <c r="DQ96" s="311"/>
      <c r="DR96" s="309"/>
      <c r="DS96" s="310"/>
      <c r="DT96" s="329"/>
      <c r="DU96" s="311"/>
      <c r="DV96" s="309"/>
      <c r="DW96" s="310"/>
      <c r="DX96" s="329"/>
      <c r="DY96" s="311"/>
      <c r="DZ96" s="309"/>
      <c r="EA96" s="310"/>
      <c r="EB96" s="329"/>
      <c r="EC96" s="311"/>
      <c r="ED96" s="309"/>
      <c r="EE96" s="310"/>
      <c r="EF96" s="329"/>
      <c r="EG96" s="311"/>
      <c r="EH96" s="309"/>
      <c r="EI96" s="310"/>
      <c r="EJ96" s="329"/>
      <c r="EK96" s="311"/>
      <c r="EL96" s="309"/>
      <c r="EM96" s="310"/>
      <c r="EN96" s="329"/>
      <c r="EO96" s="311"/>
      <c r="EP96" s="309"/>
      <c r="EQ96" s="310"/>
      <c r="ER96" s="329"/>
      <c r="ES96" s="311"/>
      <c r="ET96" s="309"/>
      <c r="EU96" s="310"/>
      <c r="EV96" s="329"/>
      <c r="EW96" s="311"/>
      <c r="EX96" s="309"/>
      <c r="EY96" s="310"/>
      <c r="EZ96" s="329"/>
      <c r="FA96" s="311"/>
      <c r="FB96" s="309"/>
      <c r="FC96" s="310"/>
      <c r="FD96" s="329"/>
      <c r="FE96" s="311"/>
      <c r="FF96" s="309"/>
      <c r="FG96" s="310"/>
      <c r="FH96" s="329"/>
      <c r="FI96" s="311"/>
      <c r="FJ96" s="309"/>
      <c r="FK96" s="310"/>
      <c r="FL96" s="329"/>
      <c r="FM96" s="311"/>
      <c r="FN96" s="309"/>
      <c r="FO96" s="310"/>
      <c r="FP96" s="329"/>
      <c r="FQ96" s="311"/>
      <c r="FR96" s="309"/>
      <c r="FS96" s="310"/>
      <c r="FT96" s="329"/>
      <c r="FU96" s="311"/>
      <c r="FV96" s="309"/>
      <c r="FW96" s="310"/>
      <c r="FX96" s="329"/>
      <c r="FY96" s="311"/>
      <c r="FZ96" s="309"/>
      <c r="GA96" s="310"/>
      <c r="GB96" s="329"/>
      <c r="GC96" s="311"/>
      <c r="GD96" s="309"/>
      <c r="GE96" s="310"/>
      <c r="GF96" s="329"/>
      <c r="GG96" s="311"/>
      <c r="GH96" s="309"/>
      <c r="GI96" s="310"/>
      <c r="GJ96" s="329"/>
      <c r="GK96" s="311"/>
      <c r="GL96" s="309"/>
      <c r="GM96" s="310"/>
      <c r="GN96" s="329"/>
      <c r="GO96" s="311"/>
      <c r="GP96" s="309"/>
      <c r="GQ96" s="310"/>
      <c r="GR96" s="329"/>
      <c r="GS96" s="311"/>
      <c r="GT96" s="309"/>
      <c r="GU96" s="310"/>
      <c r="GV96" s="329"/>
      <c r="GW96" s="311"/>
      <c r="GX96" s="309"/>
      <c r="GY96" s="310"/>
      <c r="GZ96" s="329"/>
      <c r="HA96" s="311"/>
      <c r="HB96" s="309"/>
      <c r="HC96" s="312">
        <f t="shared" si="72"/>
        <v>0</v>
      </c>
      <c r="HD96" s="330"/>
      <c r="HE96" s="313">
        <f t="shared" si="73"/>
        <v>0</v>
      </c>
      <c r="HF96" s="314"/>
      <c r="HG96" s="312">
        <f>SUM(SUMIFS(K96:HB96,$K$13:$HB$13,{"エネルギー管理指定工場等*","県域*"}))</f>
        <v>0</v>
      </c>
      <c r="HH96" s="330"/>
      <c r="HI96" s="313">
        <f>SUM(SUMIFS(M96:HD96,$K$13:$HB$13,{"エネルギー管理指定工場等*","県域*"}))</f>
        <v>0</v>
      </c>
      <c r="HJ96" s="314"/>
    </row>
    <row r="97" spans="1:218" ht="19.8">
      <c r="A97" s="164"/>
      <c r="B97" s="302"/>
      <c r="C97" s="319"/>
      <c r="D97" s="346"/>
      <c r="E97" s="270"/>
      <c r="F97" s="303" t="s">
        <v>463</v>
      </c>
      <c r="G97" s="308"/>
      <c r="H97" s="309"/>
      <c r="I97" s="310"/>
      <c r="J97" s="315"/>
      <c r="K97" s="310"/>
      <c r="L97" s="329"/>
      <c r="M97" s="329"/>
      <c r="N97" s="309"/>
      <c r="O97" s="310"/>
      <c r="P97" s="329"/>
      <c r="Q97" s="329"/>
      <c r="R97" s="309"/>
      <c r="S97" s="310"/>
      <c r="T97" s="329"/>
      <c r="U97" s="329"/>
      <c r="V97" s="309"/>
      <c r="W97" s="310"/>
      <c r="X97" s="329"/>
      <c r="Y97" s="329"/>
      <c r="Z97" s="309"/>
      <c r="AA97" s="310"/>
      <c r="AB97" s="329"/>
      <c r="AC97" s="329"/>
      <c r="AD97" s="309"/>
      <c r="AE97" s="310"/>
      <c r="AF97" s="329"/>
      <c r="AG97" s="329"/>
      <c r="AH97" s="309"/>
      <c r="AI97" s="310"/>
      <c r="AJ97" s="329"/>
      <c r="AK97" s="329"/>
      <c r="AL97" s="309"/>
      <c r="AM97" s="310"/>
      <c r="AN97" s="329"/>
      <c r="AO97" s="329"/>
      <c r="AP97" s="309"/>
      <c r="AQ97" s="310"/>
      <c r="AR97" s="329"/>
      <c r="AS97" s="329"/>
      <c r="AT97" s="309"/>
      <c r="AU97" s="310"/>
      <c r="AV97" s="329"/>
      <c r="AW97" s="329"/>
      <c r="AX97" s="309"/>
      <c r="AY97" s="310"/>
      <c r="AZ97" s="329"/>
      <c r="BA97" s="329"/>
      <c r="BB97" s="309"/>
      <c r="BC97" s="310"/>
      <c r="BD97" s="329"/>
      <c r="BE97" s="329"/>
      <c r="BF97" s="309"/>
      <c r="BG97" s="310"/>
      <c r="BH97" s="329"/>
      <c r="BI97" s="329"/>
      <c r="BJ97" s="309"/>
      <c r="BK97" s="310"/>
      <c r="BL97" s="329"/>
      <c r="BM97" s="329"/>
      <c r="BN97" s="309"/>
      <c r="BO97" s="310"/>
      <c r="BP97" s="329"/>
      <c r="BQ97" s="329"/>
      <c r="BR97" s="309"/>
      <c r="BS97" s="310"/>
      <c r="BT97" s="329"/>
      <c r="BU97" s="329"/>
      <c r="BV97" s="309"/>
      <c r="BW97" s="310"/>
      <c r="BX97" s="329"/>
      <c r="BY97" s="329"/>
      <c r="BZ97" s="309"/>
      <c r="CA97" s="310"/>
      <c r="CB97" s="329"/>
      <c r="CC97" s="329"/>
      <c r="CD97" s="309"/>
      <c r="CE97" s="310"/>
      <c r="CF97" s="329"/>
      <c r="CG97" s="329"/>
      <c r="CH97" s="309"/>
      <c r="CI97" s="310"/>
      <c r="CJ97" s="329"/>
      <c r="CK97" s="329"/>
      <c r="CL97" s="309"/>
      <c r="CM97" s="310"/>
      <c r="CN97" s="329"/>
      <c r="CO97" s="329"/>
      <c r="CP97" s="309"/>
      <c r="CQ97" s="310"/>
      <c r="CR97" s="329"/>
      <c r="CS97" s="329"/>
      <c r="CT97" s="309"/>
      <c r="CU97" s="310"/>
      <c r="CV97" s="329"/>
      <c r="CW97" s="329"/>
      <c r="CX97" s="309"/>
      <c r="CY97" s="310"/>
      <c r="CZ97" s="329"/>
      <c r="DA97" s="329"/>
      <c r="DB97" s="309"/>
      <c r="DC97" s="310"/>
      <c r="DD97" s="329"/>
      <c r="DE97" s="329"/>
      <c r="DF97" s="309"/>
      <c r="DG97" s="310"/>
      <c r="DH97" s="329"/>
      <c r="DI97" s="329"/>
      <c r="DJ97" s="309"/>
      <c r="DK97" s="310"/>
      <c r="DL97" s="329"/>
      <c r="DM97" s="329"/>
      <c r="DN97" s="309"/>
      <c r="DO97" s="310"/>
      <c r="DP97" s="329"/>
      <c r="DQ97" s="329"/>
      <c r="DR97" s="309"/>
      <c r="DS97" s="310"/>
      <c r="DT97" s="329"/>
      <c r="DU97" s="329"/>
      <c r="DV97" s="309"/>
      <c r="DW97" s="310"/>
      <c r="DX97" s="329"/>
      <c r="DY97" s="329"/>
      <c r="DZ97" s="309"/>
      <c r="EA97" s="310"/>
      <c r="EB97" s="329"/>
      <c r="EC97" s="329"/>
      <c r="ED97" s="309"/>
      <c r="EE97" s="310"/>
      <c r="EF97" s="329"/>
      <c r="EG97" s="329"/>
      <c r="EH97" s="309"/>
      <c r="EI97" s="310"/>
      <c r="EJ97" s="329"/>
      <c r="EK97" s="329"/>
      <c r="EL97" s="309"/>
      <c r="EM97" s="310"/>
      <c r="EN97" s="329"/>
      <c r="EO97" s="329"/>
      <c r="EP97" s="309"/>
      <c r="EQ97" s="310"/>
      <c r="ER97" s="329"/>
      <c r="ES97" s="329"/>
      <c r="ET97" s="309"/>
      <c r="EU97" s="310"/>
      <c r="EV97" s="329"/>
      <c r="EW97" s="329"/>
      <c r="EX97" s="309"/>
      <c r="EY97" s="310"/>
      <c r="EZ97" s="329"/>
      <c r="FA97" s="329"/>
      <c r="FB97" s="309"/>
      <c r="FC97" s="310"/>
      <c r="FD97" s="329"/>
      <c r="FE97" s="329"/>
      <c r="FF97" s="309"/>
      <c r="FG97" s="310"/>
      <c r="FH97" s="329"/>
      <c r="FI97" s="329"/>
      <c r="FJ97" s="309"/>
      <c r="FK97" s="310"/>
      <c r="FL97" s="329"/>
      <c r="FM97" s="329"/>
      <c r="FN97" s="309"/>
      <c r="FO97" s="310"/>
      <c r="FP97" s="329"/>
      <c r="FQ97" s="329"/>
      <c r="FR97" s="309"/>
      <c r="FS97" s="310"/>
      <c r="FT97" s="329"/>
      <c r="FU97" s="329"/>
      <c r="FV97" s="309"/>
      <c r="FW97" s="310"/>
      <c r="FX97" s="329"/>
      <c r="FY97" s="329"/>
      <c r="FZ97" s="309"/>
      <c r="GA97" s="310"/>
      <c r="GB97" s="329"/>
      <c r="GC97" s="329"/>
      <c r="GD97" s="309"/>
      <c r="GE97" s="310"/>
      <c r="GF97" s="329"/>
      <c r="GG97" s="329"/>
      <c r="GH97" s="309"/>
      <c r="GI97" s="310"/>
      <c r="GJ97" s="329"/>
      <c r="GK97" s="329"/>
      <c r="GL97" s="309"/>
      <c r="GM97" s="310"/>
      <c r="GN97" s="329"/>
      <c r="GO97" s="329"/>
      <c r="GP97" s="309"/>
      <c r="GQ97" s="310"/>
      <c r="GR97" s="329"/>
      <c r="GS97" s="329"/>
      <c r="GT97" s="309"/>
      <c r="GU97" s="310"/>
      <c r="GV97" s="329"/>
      <c r="GW97" s="329"/>
      <c r="GX97" s="309"/>
      <c r="GY97" s="310"/>
      <c r="GZ97" s="329"/>
      <c r="HA97" s="329"/>
      <c r="HB97" s="309"/>
      <c r="HC97" s="312">
        <f t="shared" si="72"/>
        <v>0</v>
      </c>
      <c r="HD97" s="330"/>
      <c r="HE97" s="330"/>
      <c r="HF97" s="314"/>
      <c r="HG97" s="312">
        <f>SUM(SUMIFS(K97:HB97,$K$13:$HB$13,{"エネルギー管理指定工場等*","県域*"}))</f>
        <v>0</v>
      </c>
      <c r="HH97" s="330"/>
      <c r="HI97" s="330"/>
      <c r="HJ97" s="314"/>
    </row>
    <row r="98" spans="1:218" ht="19.8">
      <c r="A98" s="164"/>
      <c r="B98" s="302"/>
      <c r="C98" s="319"/>
      <c r="D98" s="328" t="s">
        <v>623</v>
      </c>
      <c r="E98" s="357"/>
      <c r="F98" s="303" t="s">
        <v>610</v>
      </c>
      <c r="G98" s="306">
        <v>3.6</v>
      </c>
      <c r="H98" s="309"/>
      <c r="I98" s="310"/>
      <c r="J98" s="315"/>
      <c r="K98" s="310"/>
      <c r="L98" s="329"/>
      <c r="M98" s="311"/>
      <c r="N98" s="309"/>
      <c r="O98" s="310"/>
      <c r="P98" s="329"/>
      <c r="Q98" s="311"/>
      <c r="R98" s="309"/>
      <c r="S98" s="310"/>
      <c r="T98" s="329"/>
      <c r="U98" s="311"/>
      <c r="V98" s="309"/>
      <c r="W98" s="310"/>
      <c r="X98" s="329"/>
      <c r="Y98" s="311"/>
      <c r="Z98" s="309"/>
      <c r="AA98" s="310"/>
      <c r="AB98" s="329"/>
      <c r="AC98" s="311"/>
      <c r="AD98" s="309"/>
      <c r="AE98" s="310"/>
      <c r="AF98" s="329"/>
      <c r="AG98" s="311"/>
      <c r="AH98" s="309"/>
      <c r="AI98" s="310"/>
      <c r="AJ98" s="329"/>
      <c r="AK98" s="311"/>
      <c r="AL98" s="309"/>
      <c r="AM98" s="310"/>
      <c r="AN98" s="329"/>
      <c r="AO98" s="311"/>
      <c r="AP98" s="309"/>
      <c r="AQ98" s="310"/>
      <c r="AR98" s="329"/>
      <c r="AS98" s="311"/>
      <c r="AT98" s="309"/>
      <c r="AU98" s="310"/>
      <c r="AV98" s="329"/>
      <c r="AW98" s="311"/>
      <c r="AX98" s="309"/>
      <c r="AY98" s="310"/>
      <c r="AZ98" s="329"/>
      <c r="BA98" s="311"/>
      <c r="BB98" s="309"/>
      <c r="BC98" s="310"/>
      <c r="BD98" s="329"/>
      <c r="BE98" s="311"/>
      <c r="BF98" s="309"/>
      <c r="BG98" s="310"/>
      <c r="BH98" s="329"/>
      <c r="BI98" s="311"/>
      <c r="BJ98" s="309"/>
      <c r="BK98" s="310"/>
      <c r="BL98" s="329"/>
      <c r="BM98" s="311"/>
      <c r="BN98" s="309"/>
      <c r="BO98" s="310"/>
      <c r="BP98" s="329"/>
      <c r="BQ98" s="311"/>
      <c r="BR98" s="309"/>
      <c r="BS98" s="310"/>
      <c r="BT98" s="329"/>
      <c r="BU98" s="311"/>
      <c r="BV98" s="309"/>
      <c r="BW98" s="310"/>
      <c r="BX98" s="329"/>
      <c r="BY98" s="311"/>
      <c r="BZ98" s="309"/>
      <c r="CA98" s="310"/>
      <c r="CB98" s="329"/>
      <c r="CC98" s="311"/>
      <c r="CD98" s="309"/>
      <c r="CE98" s="310"/>
      <c r="CF98" s="329"/>
      <c r="CG98" s="311"/>
      <c r="CH98" s="309"/>
      <c r="CI98" s="310"/>
      <c r="CJ98" s="329"/>
      <c r="CK98" s="311"/>
      <c r="CL98" s="309"/>
      <c r="CM98" s="310"/>
      <c r="CN98" s="329"/>
      <c r="CO98" s="311"/>
      <c r="CP98" s="309"/>
      <c r="CQ98" s="310"/>
      <c r="CR98" s="329"/>
      <c r="CS98" s="311"/>
      <c r="CT98" s="309"/>
      <c r="CU98" s="310"/>
      <c r="CV98" s="329"/>
      <c r="CW98" s="311"/>
      <c r="CX98" s="309"/>
      <c r="CY98" s="310"/>
      <c r="CZ98" s="329"/>
      <c r="DA98" s="311"/>
      <c r="DB98" s="309"/>
      <c r="DC98" s="310"/>
      <c r="DD98" s="329"/>
      <c r="DE98" s="311"/>
      <c r="DF98" s="309"/>
      <c r="DG98" s="310"/>
      <c r="DH98" s="329"/>
      <c r="DI98" s="311"/>
      <c r="DJ98" s="309"/>
      <c r="DK98" s="310"/>
      <c r="DL98" s="329"/>
      <c r="DM98" s="311"/>
      <c r="DN98" s="309"/>
      <c r="DO98" s="310"/>
      <c r="DP98" s="329"/>
      <c r="DQ98" s="311"/>
      <c r="DR98" s="309"/>
      <c r="DS98" s="310"/>
      <c r="DT98" s="329"/>
      <c r="DU98" s="311"/>
      <c r="DV98" s="309"/>
      <c r="DW98" s="310"/>
      <c r="DX98" s="329"/>
      <c r="DY98" s="311"/>
      <c r="DZ98" s="309"/>
      <c r="EA98" s="310"/>
      <c r="EB98" s="329"/>
      <c r="EC98" s="311"/>
      <c r="ED98" s="309"/>
      <c r="EE98" s="310"/>
      <c r="EF98" s="329"/>
      <c r="EG98" s="311"/>
      <c r="EH98" s="309"/>
      <c r="EI98" s="310"/>
      <c r="EJ98" s="329"/>
      <c r="EK98" s="311"/>
      <c r="EL98" s="309"/>
      <c r="EM98" s="310"/>
      <c r="EN98" s="329"/>
      <c r="EO98" s="311"/>
      <c r="EP98" s="309"/>
      <c r="EQ98" s="310"/>
      <c r="ER98" s="329"/>
      <c r="ES98" s="311"/>
      <c r="ET98" s="309"/>
      <c r="EU98" s="310"/>
      <c r="EV98" s="329"/>
      <c r="EW98" s="311"/>
      <c r="EX98" s="309"/>
      <c r="EY98" s="310"/>
      <c r="EZ98" s="329"/>
      <c r="FA98" s="311"/>
      <c r="FB98" s="309"/>
      <c r="FC98" s="310"/>
      <c r="FD98" s="329"/>
      <c r="FE98" s="311"/>
      <c r="FF98" s="309"/>
      <c r="FG98" s="310"/>
      <c r="FH98" s="329"/>
      <c r="FI98" s="311"/>
      <c r="FJ98" s="309"/>
      <c r="FK98" s="310"/>
      <c r="FL98" s="329"/>
      <c r="FM98" s="311"/>
      <c r="FN98" s="309"/>
      <c r="FO98" s="310"/>
      <c r="FP98" s="329"/>
      <c r="FQ98" s="311"/>
      <c r="FR98" s="309"/>
      <c r="FS98" s="310"/>
      <c r="FT98" s="329"/>
      <c r="FU98" s="311"/>
      <c r="FV98" s="309"/>
      <c r="FW98" s="310"/>
      <c r="FX98" s="329"/>
      <c r="FY98" s="311"/>
      <c r="FZ98" s="309"/>
      <c r="GA98" s="310"/>
      <c r="GB98" s="329"/>
      <c r="GC98" s="311"/>
      <c r="GD98" s="309"/>
      <c r="GE98" s="310"/>
      <c r="GF98" s="329"/>
      <c r="GG98" s="311"/>
      <c r="GH98" s="309"/>
      <c r="GI98" s="310"/>
      <c r="GJ98" s="329"/>
      <c r="GK98" s="311"/>
      <c r="GL98" s="309"/>
      <c r="GM98" s="310"/>
      <c r="GN98" s="329"/>
      <c r="GO98" s="311"/>
      <c r="GP98" s="309"/>
      <c r="GQ98" s="310"/>
      <c r="GR98" s="329"/>
      <c r="GS98" s="311"/>
      <c r="GT98" s="309"/>
      <c r="GU98" s="310"/>
      <c r="GV98" s="329"/>
      <c r="GW98" s="311"/>
      <c r="GX98" s="309"/>
      <c r="GY98" s="310"/>
      <c r="GZ98" s="329"/>
      <c r="HA98" s="311"/>
      <c r="HB98" s="309"/>
      <c r="HC98" s="312">
        <f t="shared" si="72"/>
        <v>0</v>
      </c>
      <c r="HD98" s="330"/>
      <c r="HE98" s="313">
        <f t="shared" si="73"/>
        <v>0</v>
      </c>
      <c r="HF98" s="314"/>
      <c r="HG98" s="312">
        <f>SUM(SUMIFS(K98:HB98,$K$13:$HB$13,{"エネルギー管理指定工場等*","県域*"}))</f>
        <v>0</v>
      </c>
      <c r="HH98" s="330"/>
      <c r="HI98" s="313">
        <f>SUM(SUMIFS(M98:HD98,$K$13:$HB$13,{"エネルギー管理指定工場等*","県域*"}))</f>
        <v>0</v>
      </c>
      <c r="HJ98" s="314"/>
    </row>
    <row r="99" spans="1:218" ht="19.8">
      <c r="A99" s="164"/>
      <c r="B99" s="302"/>
      <c r="C99" s="318"/>
      <c r="D99" s="346"/>
      <c r="E99" s="270"/>
      <c r="F99" s="303" t="s">
        <v>463</v>
      </c>
      <c r="G99" s="308"/>
      <c r="H99" s="309"/>
      <c r="I99" s="310"/>
      <c r="J99" s="315"/>
      <c r="K99" s="310"/>
      <c r="L99" s="329"/>
      <c r="M99" s="329"/>
      <c r="N99" s="309"/>
      <c r="O99" s="310"/>
      <c r="P99" s="329"/>
      <c r="Q99" s="329"/>
      <c r="R99" s="309"/>
      <c r="S99" s="310"/>
      <c r="T99" s="329"/>
      <c r="U99" s="329"/>
      <c r="V99" s="309"/>
      <c r="W99" s="310"/>
      <c r="X99" s="329"/>
      <c r="Y99" s="329"/>
      <c r="Z99" s="309"/>
      <c r="AA99" s="310"/>
      <c r="AB99" s="329"/>
      <c r="AC99" s="329"/>
      <c r="AD99" s="309"/>
      <c r="AE99" s="310"/>
      <c r="AF99" s="329"/>
      <c r="AG99" s="329"/>
      <c r="AH99" s="309"/>
      <c r="AI99" s="310"/>
      <c r="AJ99" s="329"/>
      <c r="AK99" s="329"/>
      <c r="AL99" s="309"/>
      <c r="AM99" s="310"/>
      <c r="AN99" s="329"/>
      <c r="AO99" s="329"/>
      <c r="AP99" s="309"/>
      <c r="AQ99" s="310"/>
      <c r="AR99" s="329"/>
      <c r="AS99" s="329"/>
      <c r="AT99" s="309"/>
      <c r="AU99" s="310"/>
      <c r="AV99" s="329"/>
      <c r="AW99" s="329"/>
      <c r="AX99" s="309"/>
      <c r="AY99" s="310"/>
      <c r="AZ99" s="329"/>
      <c r="BA99" s="329"/>
      <c r="BB99" s="309"/>
      <c r="BC99" s="310"/>
      <c r="BD99" s="329"/>
      <c r="BE99" s="329"/>
      <c r="BF99" s="309"/>
      <c r="BG99" s="310"/>
      <c r="BH99" s="329"/>
      <c r="BI99" s="329"/>
      <c r="BJ99" s="309"/>
      <c r="BK99" s="310"/>
      <c r="BL99" s="329"/>
      <c r="BM99" s="329"/>
      <c r="BN99" s="309"/>
      <c r="BO99" s="310"/>
      <c r="BP99" s="329"/>
      <c r="BQ99" s="329"/>
      <c r="BR99" s="309"/>
      <c r="BS99" s="310"/>
      <c r="BT99" s="329"/>
      <c r="BU99" s="329"/>
      <c r="BV99" s="309"/>
      <c r="BW99" s="310"/>
      <c r="BX99" s="329"/>
      <c r="BY99" s="329"/>
      <c r="BZ99" s="309"/>
      <c r="CA99" s="310"/>
      <c r="CB99" s="329"/>
      <c r="CC99" s="329"/>
      <c r="CD99" s="309"/>
      <c r="CE99" s="310"/>
      <c r="CF99" s="329"/>
      <c r="CG99" s="329"/>
      <c r="CH99" s="309"/>
      <c r="CI99" s="310"/>
      <c r="CJ99" s="329"/>
      <c r="CK99" s="329"/>
      <c r="CL99" s="309"/>
      <c r="CM99" s="310"/>
      <c r="CN99" s="329"/>
      <c r="CO99" s="329"/>
      <c r="CP99" s="309"/>
      <c r="CQ99" s="310"/>
      <c r="CR99" s="329"/>
      <c r="CS99" s="329"/>
      <c r="CT99" s="309"/>
      <c r="CU99" s="310"/>
      <c r="CV99" s="329"/>
      <c r="CW99" s="329"/>
      <c r="CX99" s="309"/>
      <c r="CY99" s="310"/>
      <c r="CZ99" s="329"/>
      <c r="DA99" s="329"/>
      <c r="DB99" s="309"/>
      <c r="DC99" s="310"/>
      <c r="DD99" s="329"/>
      <c r="DE99" s="329"/>
      <c r="DF99" s="309"/>
      <c r="DG99" s="310"/>
      <c r="DH99" s="329"/>
      <c r="DI99" s="329"/>
      <c r="DJ99" s="309"/>
      <c r="DK99" s="310"/>
      <c r="DL99" s="329"/>
      <c r="DM99" s="329"/>
      <c r="DN99" s="309"/>
      <c r="DO99" s="310"/>
      <c r="DP99" s="329"/>
      <c r="DQ99" s="329"/>
      <c r="DR99" s="309"/>
      <c r="DS99" s="310"/>
      <c r="DT99" s="329"/>
      <c r="DU99" s="329"/>
      <c r="DV99" s="309"/>
      <c r="DW99" s="310"/>
      <c r="DX99" s="329"/>
      <c r="DY99" s="329"/>
      <c r="DZ99" s="309"/>
      <c r="EA99" s="310"/>
      <c r="EB99" s="329"/>
      <c r="EC99" s="329"/>
      <c r="ED99" s="309"/>
      <c r="EE99" s="310"/>
      <c r="EF99" s="329"/>
      <c r="EG99" s="329"/>
      <c r="EH99" s="309"/>
      <c r="EI99" s="310"/>
      <c r="EJ99" s="329"/>
      <c r="EK99" s="329"/>
      <c r="EL99" s="309"/>
      <c r="EM99" s="310"/>
      <c r="EN99" s="329"/>
      <c r="EO99" s="329"/>
      <c r="EP99" s="309"/>
      <c r="EQ99" s="310"/>
      <c r="ER99" s="329"/>
      <c r="ES99" s="329"/>
      <c r="ET99" s="309"/>
      <c r="EU99" s="310"/>
      <c r="EV99" s="329"/>
      <c r="EW99" s="329"/>
      <c r="EX99" s="309"/>
      <c r="EY99" s="310"/>
      <c r="EZ99" s="329"/>
      <c r="FA99" s="329"/>
      <c r="FB99" s="309"/>
      <c r="FC99" s="310"/>
      <c r="FD99" s="329"/>
      <c r="FE99" s="329"/>
      <c r="FF99" s="309"/>
      <c r="FG99" s="310"/>
      <c r="FH99" s="329"/>
      <c r="FI99" s="329"/>
      <c r="FJ99" s="309"/>
      <c r="FK99" s="310"/>
      <c r="FL99" s="329"/>
      <c r="FM99" s="329"/>
      <c r="FN99" s="309"/>
      <c r="FO99" s="310"/>
      <c r="FP99" s="329"/>
      <c r="FQ99" s="329"/>
      <c r="FR99" s="309"/>
      <c r="FS99" s="310"/>
      <c r="FT99" s="329"/>
      <c r="FU99" s="329"/>
      <c r="FV99" s="309"/>
      <c r="FW99" s="310"/>
      <c r="FX99" s="329"/>
      <c r="FY99" s="329"/>
      <c r="FZ99" s="309"/>
      <c r="GA99" s="310"/>
      <c r="GB99" s="329"/>
      <c r="GC99" s="329"/>
      <c r="GD99" s="309"/>
      <c r="GE99" s="310"/>
      <c r="GF99" s="329"/>
      <c r="GG99" s="329"/>
      <c r="GH99" s="309"/>
      <c r="GI99" s="310"/>
      <c r="GJ99" s="329"/>
      <c r="GK99" s="329"/>
      <c r="GL99" s="309"/>
      <c r="GM99" s="310"/>
      <c r="GN99" s="329"/>
      <c r="GO99" s="329"/>
      <c r="GP99" s="309"/>
      <c r="GQ99" s="310"/>
      <c r="GR99" s="329"/>
      <c r="GS99" s="329"/>
      <c r="GT99" s="309"/>
      <c r="GU99" s="310"/>
      <c r="GV99" s="329"/>
      <c r="GW99" s="329"/>
      <c r="GX99" s="309"/>
      <c r="GY99" s="310"/>
      <c r="GZ99" s="329"/>
      <c r="HA99" s="329"/>
      <c r="HB99" s="309"/>
      <c r="HC99" s="312">
        <f t="shared" si="72"/>
        <v>0</v>
      </c>
      <c r="HD99" s="330"/>
      <c r="HE99" s="330"/>
      <c r="HF99" s="314"/>
      <c r="HG99" s="312">
        <f>SUM(SUMIFS(K99:HB99,$K$13:$HB$13,{"エネルギー管理指定工場等*","県域*"}))</f>
        <v>0</v>
      </c>
      <c r="HH99" s="330"/>
      <c r="HI99" s="330"/>
      <c r="HJ99" s="314"/>
    </row>
    <row r="100" spans="1:218" ht="99">
      <c r="A100" s="164"/>
      <c r="B100" s="302"/>
      <c r="C100" s="327" t="s">
        <v>1386</v>
      </c>
      <c r="D100" s="358"/>
      <c r="E100" s="335"/>
      <c r="F100" s="303" t="s">
        <v>610</v>
      </c>
      <c r="G100" s="310"/>
      <c r="H100" s="315"/>
      <c r="I100" s="310"/>
      <c r="J100" s="315"/>
      <c r="K100" s="310"/>
      <c r="L100" s="329"/>
      <c r="M100" s="311"/>
      <c r="N100" s="309"/>
      <c r="O100" s="310"/>
      <c r="P100" s="329"/>
      <c r="Q100" s="311"/>
      <c r="R100" s="309"/>
      <c r="S100" s="310"/>
      <c r="T100" s="329"/>
      <c r="U100" s="311"/>
      <c r="V100" s="309"/>
      <c r="W100" s="310"/>
      <c r="X100" s="329"/>
      <c r="Y100" s="311"/>
      <c r="Z100" s="309"/>
      <c r="AA100" s="310"/>
      <c r="AB100" s="329"/>
      <c r="AC100" s="311"/>
      <c r="AD100" s="309"/>
      <c r="AE100" s="310"/>
      <c r="AF100" s="329"/>
      <c r="AG100" s="311"/>
      <c r="AH100" s="309"/>
      <c r="AI100" s="310"/>
      <c r="AJ100" s="329"/>
      <c r="AK100" s="311"/>
      <c r="AL100" s="309"/>
      <c r="AM100" s="310"/>
      <c r="AN100" s="329"/>
      <c r="AO100" s="311"/>
      <c r="AP100" s="309"/>
      <c r="AQ100" s="310"/>
      <c r="AR100" s="329"/>
      <c r="AS100" s="311"/>
      <c r="AT100" s="309"/>
      <c r="AU100" s="310"/>
      <c r="AV100" s="329"/>
      <c r="AW100" s="311"/>
      <c r="AX100" s="309"/>
      <c r="AY100" s="310"/>
      <c r="AZ100" s="329"/>
      <c r="BA100" s="311"/>
      <c r="BB100" s="309"/>
      <c r="BC100" s="310"/>
      <c r="BD100" s="329"/>
      <c r="BE100" s="311"/>
      <c r="BF100" s="309"/>
      <c r="BG100" s="310"/>
      <c r="BH100" s="329"/>
      <c r="BI100" s="311"/>
      <c r="BJ100" s="309"/>
      <c r="BK100" s="310"/>
      <c r="BL100" s="329"/>
      <c r="BM100" s="311"/>
      <c r="BN100" s="309"/>
      <c r="BO100" s="310"/>
      <c r="BP100" s="329"/>
      <c r="BQ100" s="311"/>
      <c r="BR100" s="309"/>
      <c r="BS100" s="310"/>
      <c r="BT100" s="329"/>
      <c r="BU100" s="311"/>
      <c r="BV100" s="309"/>
      <c r="BW100" s="310"/>
      <c r="BX100" s="329"/>
      <c r="BY100" s="311"/>
      <c r="BZ100" s="309"/>
      <c r="CA100" s="310"/>
      <c r="CB100" s="329"/>
      <c r="CC100" s="311"/>
      <c r="CD100" s="309"/>
      <c r="CE100" s="310"/>
      <c r="CF100" s="329"/>
      <c r="CG100" s="311"/>
      <c r="CH100" s="309"/>
      <c r="CI100" s="310"/>
      <c r="CJ100" s="329"/>
      <c r="CK100" s="311"/>
      <c r="CL100" s="309"/>
      <c r="CM100" s="310"/>
      <c r="CN100" s="329"/>
      <c r="CO100" s="311"/>
      <c r="CP100" s="309"/>
      <c r="CQ100" s="310"/>
      <c r="CR100" s="329"/>
      <c r="CS100" s="311"/>
      <c r="CT100" s="309"/>
      <c r="CU100" s="310"/>
      <c r="CV100" s="329"/>
      <c r="CW100" s="311"/>
      <c r="CX100" s="309"/>
      <c r="CY100" s="310"/>
      <c r="CZ100" s="329"/>
      <c r="DA100" s="311"/>
      <c r="DB100" s="309"/>
      <c r="DC100" s="310"/>
      <c r="DD100" s="329"/>
      <c r="DE100" s="311"/>
      <c r="DF100" s="309"/>
      <c r="DG100" s="310"/>
      <c r="DH100" s="329"/>
      <c r="DI100" s="311"/>
      <c r="DJ100" s="309"/>
      <c r="DK100" s="310"/>
      <c r="DL100" s="329"/>
      <c r="DM100" s="311"/>
      <c r="DN100" s="309"/>
      <c r="DO100" s="310"/>
      <c r="DP100" s="329"/>
      <c r="DQ100" s="311"/>
      <c r="DR100" s="309"/>
      <c r="DS100" s="310"/>
      <c r="DT100" s="329"/>
      <c r="DU100" s="311"/>
      <c r="DV100" s="309"/>
      <c r="DW100" s="310"/>
      <c r="DX100" s="329"/>
      <c r="DY100" s="311"/>
      <c r="DZ100" s="309"/>
      <c r="EA100" s="310"/>
      <c r="EB100" s="329"/>
      <c r="EC100" s="311"/>
      <c r="ED100" s="309"/>
      <c r="EE100" s="310"/>
      <c r="EF100" s="329"/>
      <c r="EG100" s="311"/>
      <c r="EH100" s="309"/>
      <c r="EI100" s="310"/>
      <c r="EJ100" s="329"/>
      <c r="EK100" s="311"/>
      <c r="EL100" s="309"/>
      <c r="EM100" s="310"/>
      <c r="EN100" s="329"/>
      <c r="EO100" s="311"/>
      <c r="EP100" s="309"/>
      <c r="EQ100" s="310"/>
      <c r="ER100" s="329"/>
      <c r="ES100" s="311"/>
      <c r="ET100" s="309"/>
      <c r="EU100" s="310"/>
      <c r="EV100" s="329"/>
      <c r="EW100" s="311"/>
      <c r="EX100" s="309"/>
      <c r="EY100" s="310"/>
      <c r="EZ100" s="329"/>
      <c r="FA100" s="311"/>
      <c r="FB100" s="309"/>
      <c r="FC100" s="310"/>
      <c r="FD100" s="329"/>
      <c r="FE100" s="311"/>
      <c r="FF100" s="309"/>
      <c r="FG100" s="310"/>
      <c r="FH100" s="329"/>
      <c r="FI100" s="311"/>
      <c r="FJ100" s="309"/>
      <c r="FK100" s="310"/>
      <c r="FL100" s="329"/>
      <c r="FM100" s="311"/>
      <c r="FN100" s="309"/>
      <c r="FO100" s="310"/>
      <c r="FP100" s="329"/>
      <c r="FQ100" s="311"/>
      <c r="FR100" s="309"/>
      <c r="FS100" s="310"/>
      <c r="FT100" s="329"/>
      <c r="FU100" s="311"/>
      <c r="FV100" s="309"/>
      <c r="FW100" s="310"/>
      <c r="FX100" s="329"/>
      <c r="FY100" s="311"/>
      <c r="FZ100" s="309"/>
      <c r="GA100" s="310"/>
      <c r="GB100" s="329"/>
      <c r="GC100" s="311"/>
      <c r="GD100" s="309"/>
      <c r="GE100" s="310"/>
      <c r="GF100" s="329"/>
      <c r="GG100" s="311"/>
      <c r="GH100" s="309"/>
      <c r="GI100" s="310"/>
      <c r="GJ100" s="329"/>
      <c r="GK100" s="311"/>
      <c r="GL100" s="309"/>
      <c r="GM100" s="310"/>
      <c r="GN100" s="329"/>
      <c r="GO100" s="311"/>
      <c r="GP100" s="309"/>
      <c r="GQ100" s="310"/>
      <c r="GR100" s="329"/>
      <c r="GS100" s="311"/>
      <c r="GT100" s="309"/>
      <c r="GU100" s="310"/>
      <c r="GV100" s="329"/>
      <c r="GW100" s="311"/>
      <c r="GX100" s="309"/>
      <c r="GY100" s="310"/>
      <c r="GZ100" s="329"/>
      <c r="HA100" s="311"/>
      <c r="HB100" s="309"/>
      <c r="HC100" s="312">
        <f t="shared" si="72"/>
        <v>0</v>
      </c>
      <c r="HD100" s="330"/>
      <c r="HE100" s="313">
        <f t="shared" si="73"/>
        <v>0</v>
      </c>
      <c r="HF100" s="314"/>
      <c r="HG100" s="312">
        <f>SUM(SUMIFS(K100:HB100,$K$13:$HB$13,{"エネルギー管理指定工場等*","県域*"}))</f>
        <v>0</v>
      </c>
      <c r="HH100" s="330"/>
      <c r="HI100" s="313">
        <f>SUM(SUMIFS(M100:HD100,$K$13:$HB$13,{"エネルギー管理指定工場等*","県域*"}))</f>
        <v>0</v>
      </c>
      <c r="HJ100" s="314"/>
    </row>
    <row r="101" spans="1:218" ht="19.8">
      <c r="A101" s="164"/>
      <c r="B101" s="302"/>
      <c r="C101" s="319"/>
      <c r="D101" s="359"/>
      <c r="E101" s="360"/>
      <c r="F101" s="303" t="s">
        <v>463</v>
      </c>
      <c r="G101" s="310"/>
      <c r="H101" s="315"/>
      <c r="I101" s="310"/>
      <c r="J101" s="315"/>
      <c r="K101" s="310"/>
      <c r="L101" s="329"/>
      <c r="M101" s="329"/>
      <c r="N101" s="309"/>
      <c r="O101" s="310"/>
      <c r="P101" s="329"/>
      <c r="Q101" s="329"/>
      <c r="R101" s="309"/>
      <c r="S101" s="310"/>
      <c r="T101" s="329"/>
      <c r="U101" s="329"/>
      <c r="V101" s="309"/>
      <c r="W101" s="310"/>
      <c r="X101" s="329"/>
      <c r="Y101" s="329"/>
      <c r="Z101" s="309"/>
      <c r="AA101" s="310"/>
      <c r="AB101" s="329"/>
      <c r="AC101" s="329"/>
      <c r="AD101" s="309"/>
      <c r="AE101" s="310"/>
      <c r="AF101" s="329"/>
      <c r="AG101" s="329"/>
      <c r="AH101" s="309"/>
      <c r="AI101" s="310"/>
      <c r="AJ101" s="329"/>
      <c r="AK101" s="329"/>
      <c r="AL101" s="309"/>
      <c r="AM101" s="310"/>
      <c r="AN101" s="329"/>
      <c r="AO101" s="329"/>
      <c r="AP101" s="309"/>
      <c r="AQ101" s="310"/>
      <c r="AR101" s="329"/>
      <c r="AS101" s="329"/>
      <c r="AT101" s="309"/>
      <c r="AU101" s="310"/>
      <c r="AV101" s="329"/>
      <c r="AW101" s="329"/>
      <c r="AX101" s="309"/>
      <c r="AY101" s="310"/>
      <c r="AZ101" s="329"/>
      <c r="BA101" s="329"/>
      <c r="BB101" s="309"/>
      <c r="BC101" s="310"/>
      <c r="BD101" s="329"/>
      <c r="BE101" s="329"/>
      <c r="BF101" s="309"/>
      <c r="BG101" s="310"/>
      <c r="BH101" s="329"/>
      <c r="BI101" s="329"/>
      <c r="BJ101" s="309"/>
      <c r="BK101" s="310"/>
      <c r="BL101" s="329"/>
      <c r="BM101" s="329"/>
      <c r="BN101" s="309"/>
      <c r="BO101" s="310"/>
      <c r="BP101" s="329"/>
      <c r="BQ101" s="329"/>
      <c r="BR101" s="309"/>
      <c r="BS101" s="310"/>
      <c r="BT101" s="329"/>
      <c r="BU101" s="329"/>
      <c r="BV101" s="309"/>
      <c r="BW101" s="310"/>
      <c r="BX101" s="329"/>
      <c r="BY101" s="329"/>
      <c r="BZ101" s="309"/>
      <c r="CA101" s="310"/>
      <c r="CB101" s="329"/>
      <c r="CC101" s="329"/>
      <c r="CD101" s="309"/>
      <c r="CE101" s="310"/>
      <c r="CF101" s="329"/>
      <c r="CG101" s="329"/>
      <c r="CH101" s="309"/>
      <c r="CI101" s="310"/>
      <c r="CJ101" s="329"/>
      <c r="CK101" s="329"/>
      <c r="CL101" s="309"/>
      <c r="CM101" s="310"/>
      <c r="CN101" s="329"/>
      <c r="CO101" s="329"/>
      <c r="CP101" s="309"/>
      <c r="CQ101" s="310"/>
      <c r="CR101" s="329"/>
      <c r="CS101" s="329"/>
      <c r="CT101" s="309"/>
      <c r="CU101" s="310"/>
      <c r="CV101" s="329"/>
      <c r="CW101" s="329"/>
      <c r="CX101" s="309"/>
      <c r="CY101" s="310"/>
      <c r="CZ101" s="329"/>
      <c r="DA101" s="329"/>
      <c r="DB101" s="309"/>
      <c r="DC101" s="310"/>
      <c r="DD101" s="329"/>
      <c r="DE101" s="329"/>
      <c r="DF101" s="309"/>
      <c r="DG101" s="310"/>
      <c r="DH101" s="329"/>
      <c r="DI101" s="329"/>
      <c r="DJ101" s="309"/>
      <c r="DK101" s="310"/>
      <c r="DL101" s="329"/>
      <c r="DM101" s="329"/>
      <c r="DN101" s="309"/>
      <c r="DO101" s="310"/>
      <c r="DP101" s="329"/>
      <c r="DQ101" s="329"/>
      <c r="DR101" s="309"/>
      <c r="DS101" s="310"/>
      <c r="DT101" s="329"/>
      <c r="DU101" s="329"/>
      <c r="DV101" s="309"/>
      <c r="DW101" s="310"/>
      <c r="DX101" s="329"/>
      <c r="DY101" s="329"/>
      <c r="DZ101" s="309"/>
      <c r="EA101" s="310"/>
      <c r="EB101" s="329"/>
      <c r="EC101" s="329"/>
      <c r="ED101" s="309"/>
      <c r="EE101" s="310"/>
      <c r="EF101" s="329"/>
      <c r="EG101" s="329"/>
      <c r="EH101" s="309"/>
      <c r="EI101" s="310"/>
      <c r="EJ101" s="329"/>
      <c r="EK101" s="329"/>
      <c r="EL101" s="309"/>
      <c r="EM101" s="310"/>
      <c r="EN101" s="329"/>
      <c r="EO101" s="329"/>
      <c r="EP101" s="309"/>
      <c r="EQ101" s="310"/>
      <c r="ER101" s="329"/>
      <c r="ES101" s="329"/>
      <c r="ET101" s="309"/>
      <c r="EU101" s="310"/>
      <c r="EV101" s="329"/>
      <c r="EW101" s="329"/>
      <c r="EX101" s="309"/>
      <c r="EY101" s="310"/>
      <c r="EZ101" s="329"/>
      <c r="FA101" s="329"/>
      <c r="FB101" s="309"/>
      <c r="FC101" s="310"/>
      <c r="FD101" s="329"/>
      <c r="FE101" s="329"/>
      <c r="FF101" s="309"/>
      <c r="FG101" s="310"/>
      <c r="FH101" s="329"/>
      <c r="FI101" s="329"/>
      <c r="FJ101" s="309"/>
      <c r="FK101" s="310"/>
      <c r="FL101" s="329"/>
      <c r="FM101" s="329"/>
      <c r="FN101" s="309"/>
      <c r="FO101" s="310"/>
      <c r="FP101" s="329"/>
      <c r="FQ101" s="329"/>
      <c r="FR101" s="309"/>
      <c r="FS101" s="310"/>
      <c r="FT101" s="329"/>
      <c r="FU101" s="329"/>
      <c r="FV101" s="309"/>
      <c r="FW101" s="310"/>
      <c r="FX101" s="329"/>
      <c r="FY101" s="329"/>
      <c r="FZ101" s="309"/>
      <c r="GA101" s="310"/>
      <c r="GB101" s="329"/>
      <c r="GC101" s="329"/>
      <c r="GD101" s="309"/>
      <c r="GE101" s="310"/>
      <c r="GF101" s="329"/>
      <c r="GG101" s="329"/>
      <c r="GH101" s="309"/>
      <c r="GI101" s="310"/>
      <c r="GJ101" s="329"/>
      <c r="GK101" s="329"/>
      <c r="GL101" s="309"/>
      <c r="GM101" s="310"/>
      <c r="GN101" s="329"/>
      <c r="GO101" s="329"/>
      <c r="GP101" s="309"/>
      <c r="GQ101" s="310"/>
      <c r="GR101" s="329"/>
      <c r="GS101" s="329"/>
      <c r="GT101" s="309"/>
      <c r="GU101" s="310"/>
      <c r="GV101" s="329"/>
      <c r="GW101" s="329"/>
      <c r="GX101" s="309"/>
      <c r="GY101" s="310"/>
      <c r="GZ101" s="329"/>
      <c r="HA101" s="329"/>
      <c r="HB101" s="309"/>
      <c r="HC101" s="312">
        <f t="shared" si="72"/>
        <v>0</v>
      </c>
      <c r="HD101" s="330"/>
      <c r="HE101" s="330"/>
      <c r="HF101" s="314"/>
      <c r="HG101" s="312">
        <f>SUM(SUMIFS(K101:HB101,$K$13:$HB$13,{"エネルギー管理指定工場等*","県域*"}))</f>
        <v>0</v>
      </c>
      <c r="HH101" s="330"/>
      <c r="HI101" s="330"/>
      <c r="HJ101" s="314"/>
    </row>
    <row r="102" spans="1:218" ht="19.8">
      <c r="A102" s="164"/>
      <c r="B102" s="302"/>
      <c r="C102" s="327"/>
      <c r="D102" s="358"/>
      <c r="E102" s="335"/>
      <c r="F102" s="303" t="s">
        <v>610</v>
      </c>
      <c r="G102" s="310"/>
      <c r="H102" s="315"/>
      <c r="I102" s="310"/>
      <c r="J102" s="315"/>
      <c r="K102" s="310"/>
      <c r="L102" s="329"/>
      <c r="M102" s="311"/>
      <c r="N102" s="309"/>
      <c r="O102" s="310"/>
      <c r="P102" s="329"/>
      <c r="Q102" s="311"/>
      <c r="R102" s="309"/>
      <c r="S102" s="310"/>
      <c r="T102" s="329"/>
      <c r="U102" s="311"/>
      <c r="V102" s="309"/>
      <c r="W102" s="310"/>
      <c r="X102" s="329"/>
      <c r="Y102" s="311"/>
      <c r="Z102" s="309"/>
      <c r="AA102" s="310"/>
      <c r="AB102" s="329"/>
      <c r="AC102" s="311"/>
      <c r="AD102" s="309"/>
      <c r="AE102" s="310"/>
      <c r="AF102" s="329"/>
      <c r="AG102" s="311"/>
      <c r="AH102" s="309"/>
      <c r="AI102" s="310"/>
      <c r="AJ102" s="329"/>
      <c r="AK102" s="311"/>
      <c r="AL102" s="309"/>
      <c r="AM102" s="310"/>
      <c r="AN102" s="329"/>
      <c r="AO102" s="311"/>
      <c r="AP102" s="309"/>
      <c r="AQ102" s="310"/>
      <c r="AR102" s="329"/>
      <c r="AS102" s="311"/>
      <c r="AT102" s="309"/>
      <c r="AU102" s="310"/>
      <c r="AV102" s="329"/>
      <c r="AW102" s="311"/>
      <c r="AX102" s="309"/>
      <c r="AY102" s="310"/>
      <c r="AZ102" s="329"/>
      <c r="BA102" s="311"/>
      <c r="BB102" s="309"/>
      <c r="BC102" s="310"/>
      <c r="BD102" s="329"/>
      <c r="BE102" s="311"/>
      <c r="BF102" s="309"/>
      <c r="BG102" s="310"/>
      <c r="BH102" s="329"/>
      <c r="BI102" s="311"/>
      <c r="BJ102" s="309"/>
      <c r="BK102" s="310"/>
      <c r="BL102" s="329"/>
      <c r="BM102" s="311"/>
      <c r="BN102" s="309"/>
      <c r="BO102" s="310"/>
      <c r="BP102" s="329"/>
      <c r="BQ102" s="311"/>
      <c r="BR102" s="309"/>
      <c r="BS102" s="310"/>
      <c r="BT102" s="329"/>
      <c r="BU102" s="311"/>
      <c r="BV102" s="309"/>
      <c r="BW102" s="310"/>
      <c r="BX102" s="329"/>
      <c r="BY102" s="311"/>
      <c r="BZ102" s="309"/>
      <c r="CA102" s="310"/>
      <c r="CB102" s="329"/>
      <c r="CC102" s="311"/>
      <c r="CD102" s="309"/>
      <c r="CE102" s="310"/>
      <c r="CF102" s="329"/>
      <c r="CG102" s="311"/>
      <c r="CH102" s="309"/>
      <c r="CI102" s="310"/>
      <c r="CJ102" s="329"/>
      <c r="CK102" s="311"/>
      <c r="CL102" s="309"/>
      <c r="CM102" s="310"/>
      <c r="CN102" s="329"/>
      <c r="CO102" s="311"/>
      <c r="CP102" s="309"/>
      <c r="CQ102" s="310"/>
      <c r="CR102" s="329"/>
      <c r="CS102" s="311"/>
      <c r="CT102" s="309"/>
      <c r="CU102" s="310"/>
      <c r="CV102" s="329"/>
      <c r="CW102" s="311"/>
      <c r="CX102" s="309"/>
      <c r="CY102" s="310"/>
      <c r="CZ102" s="329"/>
      <c r="DA102" s="311"/>
      <c r="DB102" s="309"/>
      <c r="DC102" s="310"/>
      <c r="DD102" s="329"/>
      <c r="DE102" s="311"/>
      <c r="DF102" s="309"/>
      <c r="DG102" s="310"/>
      <c r="DH102" s="329"/>
      <c r="DI102" s="311"/>
      <c r="DJ102" s="309"/>
      <c r="DK102" s="310"/>
      <c r="DL102" s="329"/>
      <c r="DM102" s="311"/>
      <c r="DN102" s="309"/>
      <c r="DO102" s="310"/>
      <c r="DP102" s="329"/>
      <c r="DQ102" s="311"/>
      <c r="DR102" s="309"/>
      <c r="DS102" s="310"/>
      <c r="DT102" s="329"/>
      <c r="DU102" s="311"/>
      <c r="DV102" s="309"/>
      <c r="DW102" s="310"/>
      <c r="DX102" s="329"/>
      <c r="DY102" s="311"/>
      <c r="DZ102" s="309"/>
      <c r="EA102" s="310"/>
      <c r="EB102" s="329"/>
      <c r="EC102" s="311"/>
      <c r="ED102" s="309"/>
      <c r="EE102" s="310"/>
      <c r="EF102" s="329"/>
      <c r="EG102" s="311"/>
      <c r="EH102" s="309"/>
      <c r="EI102" s="310"/>
      <c r="EJ102" s="329"/>
      <c r="EK102" s="311"/>
      <c r="EL102" s="309"/>
      <c r="EM102" s="310"/>
      <c r="EN102" s="329"/>
      <c r="EO102" s="311"/>
      <c r="EP102" s="309"/>
      <c r="EQ102" s="310"/>
      <c r="ER102" s="329"/>
      <c r="ES102" s="311"/>
      <c r="ET102" s="309"/>
      <c r="EU102" s="310"/>
      <c r="EV102" s="329"/>
      <c r="EW102" s="311"/>
      <c r="EX102" s="309"/>
      <c r="EY102" s="310"/>
      <c r="EZ102" s="329"/>
      <c r="FA102" s="311"/>
      <c r="FB102" s="309"/>
      <c r="FC102" s="310"/>
      <c r="FD102" s="329"/>
      <c r="FE102" s="311"/>
      <c r="FF102" s="309"/>
      <c r="FG102" s="310"/>
      <c r="FH102" s="329"/>
      <c r="FI102" s="311"/>
      <c r="FJ102" s="309"/>
      <c r="FK102" s="310"/>
      <c r="FL102" s="329"/>
      <c r="FM102" s="311"/>
      <c r="FN102" s="309"/>
      <c r="FO102" s="310"/>
      <c r="FP102" s="329"/>
      <c r="FQ102" s="311"/>
      <c r="FR102" s="309"/>
      <c r="FS102" s="310"/>
      <c r="FT102" s="329"/>
      <c r="FU102" s="311"/>
      <c r="FV102" s="309"/>
      <c r="FW102" s="310"/>
      <c r="FX102" s="329"/>
      <c r="FY102" s="311"/>
      <c r="FZ102" s="309"/>
      <c r="GA102" s="310"/>
      <c r="GB102" s="329"/>
      <c r="GC102" s="311"/>
      <c r="GD102" s="309"/>
      <c r="GE102" s="310"/>
      <c r="GF102" s="329"/>
      <c r="GG102" s="311"/>
      <c r="GH102" s="309"/>
      <c r="GI102" s="310"/>
      <c r="GJ102" s="329"/>
      <c r="GK102" s="311"/>
      <c r="GL102" s="309"/>
      <c r="GM102" s="310"/>
      <c r="GN102" s="329"/>
      <c r="GO102" s="311"/>
      <c r="GP102" s="309"/>
      <c r="GQ102" s="310"/>
      <c r="GR102" s="329"/>
      <c r="GS102" s="311"/>
      <c r="GT102" s="309"/>
      <c r="GU102" s="310"/>
      <c r="GV102" s="329"/>
      <c r="GW102" s="311"/>
      <c r="GX102" s="309"/>
      <c r="GY102" s="310"/>
      <c r="GZ102" s="329"/>
      <c r="HA102" s="311"/>
      <c r="HB102" s="309"/>
      <c r="HC102" s="312">
        <f t="shared" si="72"/>
        <v>0</v>
      </c>
      <c r="HD102" s="330"/>
      <c r="HE102" s="313">
        <f t="shared" si="73"/>
        <v>0</v>
      </c>
      <c r="HF102" s="314"/>
      <c r="HG102" s="312">
        <f>SUM(SUMIFS(K102:HB102,$K$13:$HB$13,{"エネルギー管理指定工場等*","県域*"}))</f>
        <v>0</v>
      </c>
      <c r="HH102" s="330"/>
      <c r="HI102" s="313">
        <f>SUM(SUMIFS(M102:HD102,$K$13:$HB$13,{"エネルギー管理指定工場等*","県域*"}))</f>
        <v>0</v>
      </c>
      <c r="HJ102" s="314"/>
    </row>
    <row r="103" spans="1:218" ht="19.8">
      <c r="A103" s="164"/>
      <c r="B103" s="302"/>
      <c r="C103" s="318"/>
      <c r="D103" s="359"/>
      <c r="E103" s="360"/>
      <c r="F103" s="303" t="s">
        <v>463</v>
      </c>
      <c r="G103" s="310"/>
      <c r="H103" s="315"/>
      <c r="I103" s="310"/>
      <c r="J103" s="315"/>
      <c r="K103" s="310"/>
      <c r="L103" s="329"/>
      <c r="M103" s="329"/>
      <c r="N103" s="309"/>
      <c r="O103" s="310"/>
      <c r="P103" s="329"/>
      <c r="Q103" s="329"/>
      <c r="R103" s="309"/>
      <c r="S103" s="310"/>
      <c r="T103" s="329"/>
      <c r="U103" s="329"/>
      <c r="V103" s="309"/>
      <c r="W103" s="310"/>
      <c r="X103" s="329"/>
      <c r="Y103" s="329"/>
      <c r="Z103" s="309"/>
      <c r="AA103" s="310"/>
      <c r="AB103" s="329"/>
      <c r="AC103" s="329"/>
      <c r="AD103" s="309"/>
      <c r="AE103" s="310"/>
      <c r="AF103" s="329"/>
      <c r="AG103" s="329"/>
      <c r="AH103" s="309"/>
      <c r="AI103" s="310"/>
      <c r="AJ103" s="329"/>
      <c r="AK103" s="329"/>
      <c r="AL103" s="309"/>
      <c r="AM103" s="310"/>
      <c r="AN103" s="329"/>
      <c r="AO103" s="329"/>
      <c r="AP103" s="309"/>
      <c r="AQ103" s="310"/>
      <c r="AR103" s="329"/>
      <c r="AS103" s="329"/>
      <c r="AT103" s="309"/>
      <c r="AU103" s="310"/>
      <c r="AV103" s="329"/>
      <c r="AW103" s="329"/>
      <c r="AX103" s="309"/>
      <c r="AY103" s="310"/>
      <c r="AZ103" s="329"/>
      <c r="BA103" s="329"/>
      <c r="BB103" s="309"/>
      <c r="BC103" s="310"/>
      <c r="BD103" s="329"/>
      <c r="BE103" s="329"/>
      <c r="BF103" s="309"/>
      <c r="BG103" s="310"/>
      <c r="BH103" s="329"/>
      <c r="BI103" s="329"/>
      <c r="BJ103" s="309"/>
      <c r="BK103" s="310"/>
      <c r="BL103" s="329"/>
      <c r="BM103" s="329"/>
      <c r="BN103" s="309"/>
      <c r="BO103" s="310"/>
      <c r="BP103" s="329"/>
      <c r="BQ103" s="329"/>
      <c r="BR103" s="309"/>
      <c r="BS103" s="310"/>
      <c r="BT103" s="329"/>
      <c r="BU103" s="329"/>
      <c r="BV103" s="309"/>
      <c r="BW103" s="310"/>
      <c r="BX103" s="329"/>
      <c r="BY103" s="329"/>
      <c r="BZ103" s="309"/>
      <c r="CA103" s="310"/>
      <c r="CB103" s="329"/>
      <c r="CC103" s="329"/>
      <c r="CD103" s="309"/>
      <c r="CE103" s="310"/>
      <c r="CF103" s="329"/>
      <c r="CG103" s="329"/>
      <c r="CH103" s="309"/>
      <c r="CI103" s="310"/>
      <c r="CJ103" s="329"/>
      <c r="CK103" s="329"/>
      <c r="CL103" s="309"/>
      <c r="CM103" s="310"/>
      <c r="CN103" s="329"/>
      <c r="CO103" s="329"/>
      <c r="CP103" s="309"/>
      <c r="CQ103" s="310"/>
      <c r="CR103" s="329"/>
      <c r="CS103" s="329"/>
      <c r="CT103" s="309"/>
      <c r="CU103" s="310"/>
      <c r="CV103" s="329"/>
      <c r="CW103" s="329"/>
      <c r="CX103" s="309"/>
      <c r="CY103" s="310"/>
      <c r="CZ103" s="329"/>
      <c r="DA103" s="329"/>
      <c r="DB103" s="309"/>
      <c r="DC103" s="310"/>
      <c r="DD103" s="329"/>
      <c r="DE103" s="329"/>
      <c r="DF103" s="309"/>
      <c r="DG103" s="310"/>
      <c r="DH103" s="329"/>
      <c r="DI103" s="329"/>
      <c r="DJ103" s="309"/>
      <c r="DK103" s="310"/>
      <c r="DL103" s="329"/>
      <c r="DM103" s="329"/>
      <c r="DN103" s="309"/>
      <c r="DO103" s="310"/>
      <c r="DP103" s="329"/>
      <c r="DQ103" s="329"/>
      <c r="DR103" s="309"/>
      <c r="DS103" s="310"/>
      <c r="DT103" s="329"/>
      <c r="DU103" s="329"/>
      <c r="DV103" s="309"/>
      <c r="DW103" s="310"/>
      <c r="DX103" s="329"/>
      <c r="DY103" s="329"/>
      <c r="DZ103" s="309"/>
      <c r="EA103" s="310"/>
      <c r="EB103" s="329"/>
      <c r="EC103" s="329"/>
      <c r="ED103" s="309"/>
      <c r="EE103" s="310"/>
      <c r="EF103" s="329"/>
      <c r="EG103" s="329"/>
      <c r="EH103" s="309"/>
      <c r="EI103" s="310"/>
      <c r="EJ103" s="329"/>
      <c r="EK103" s="329"/>
      <c r="EL103" s="309"/>
      <c r="EM103" s="310"/>
      <c r="EN103" s="329"/>
      <c r="EO103" s="329"/>
      <c r="EP103" s="309"/>
      <c r="EQ103" s="310"/>
      <c r="ER103" s="329"/>
      <c r="ES103" s="329"/>
      <c r="ET103" s="309"/>
      <c r="EU103" s="310"/>
      <c r="EV103" s="329"/>
      <c r="EW103" s="329"/>
      <c r="EX103" s="309"/>
      <c r="EY103" s="310"/>
      <c r="EZ103" s="329"/>
      <c r="FA103" s="329"/>
      <c r="FB103" s="309"/>
      <c r="FC103" s="310"/>
      <c r="FD103" s="329"/>
      <c r="FE103" s="329"/>
      <c r="FF103" s="309"/>
      <c r="FG103" s="310"/>
      <c r="FH103" s="329"/>
      <c r="FI103" s="329"/>
      <c r="FJ103" s="309"/>
      <c r="FK103" s="310"/>
      <c r="FL103" s="329"/>
      <c r="FM103" s="329"/>
      <c r="FN103" s="309"/>
      <c r="FO103" s="310"/>
      <c r="FP103" s="329"/>
      <c r="FQ103" s="329"/>
      <c r="FR103" s="309"/>
      <c r="FS103" s="310"/>
      <c r="FT103" s="329"/>
      <c r="FU103" s="329"/>
      <c r="FV103" s="309"/>
      <c r="FW103" s="310"/>
      <c r="FX103" s="329"/>
      <c r="FY103" s="329"/>
      <c r="FZ103" s="309"/>
      <c r="GA103" s="310"/>
      <c r="GB103" s="329"/>
      <c r="GC103" s="329"/>
      <c r="GD103" s="309"/>
      <c r="GE103" s="310"/>
      <c r="GF103" s="329"/>
      <c r="GG103" s="329"/>
      <c r="GH103" s="309"/>
      <c r="GI103" s="310"/>
      <c r="GJ103" s="329"/>
      <c r="GK103" s="329"/>
      <c r="GL103" s="309"/>
      <c r="GM103" s="310"/>
      <c r="GN103" s="329"/>
      <c r="GO103" s="329"/>
      <c r="GP103" s="309"/>
      <c r="GQ103" s="310"/>
      <c r="GR103" s="329"/>
      <c r="GS103" s="329"/>
      <c r="GT103" s="309"/>
      <c r="GU103" s="310"/>
      <c r="GV103" s="329"/>
      <c r="GW103" s="329"/>
      <c r="GX103" s="309"/>
      <c r="GY103" s="310"/>
      <c r="GZ103" s="329"/>
      <c r="HA103" s="329"/>
      <c r="HB103" s="309"/>
      <c r="HC103" s="312">
        <f t="shared" si="72"/>
        <v>0</v>
      </c>
      <c r="HD103" s="330"/>
      <c r="HE103" s="330"/>
      <c r="HF103" s="314"/>
      <c r="HG103" s="312">
        <f>SUM(SUMIFS(K103:HB103,$K$13:$HB$13,{"エネルギー管理指定工場等*","県域*"}))</f>
        <v>0</v>
      </c>
      <c r="HH103" s="330"/>
      <c r="HI103" s="330"/>
      <c r="HJ103" s="314"/>
    </row>
    <row r="104" spans="1:218" ht="59.4">
      <c r="A104" s="164"/>
      <c r="B104" s="302"/>
      <c r="C104" s="327" t="s">
        <v>1387</v>
      </c>
      <c r="D104" s="303" t="s">
        <v>1388</v>
      </c>
      <c r="E104" s="335"/>
      <c r="F104" s="303" t="s">
        <v>610</v>
      </c>
      <c r="G104" s="306">
        <v>8.64</v>
      </c>
      <c r="H104" s="315"/>
      <c r="I104" s="310"/>
      <c r="J104" s="315"/>
      <c r="K104" s="310"/>
      <c r="L104" s="329"/>
      <c r="M104" s="311"/>
      <c r="N104" s="309"/>
      <c r="O104" s="310"/>
      <c r="P104" s="329"/>
      <c r="Q104" s="311"/>
      <c r="R104" s="309"/>
      <c r="S104" s="310"/>
      <c r="T104" s="329"/>
      <c r="U104" s="311"/>
      <c r="V104" s="309"/>
      <c r="W104" s="310"/>
      <c r="X104" s="329"/>
      <c r="Y104" s="311"/>
      <c r="Z104" s="309"/>
      <c r="AA104" s="310"/>
      <c r="AB104" s="329"/>
      <c r="AC104" s="311"/>
      <c r="AD104" s="309"/>
      <c r="AE104" s="310"/>
      <c r="AF104" s="329"/>
      <c r="AG104" s="311"/>
      <c r="AH104" s="309"/>
      <c r="AI104" s="310"/>
      <c r="AJ104" s="329"/>
      <c r="AK104" s="311"/>
      <c r="AL104" s="309"/>
      <c r="AM104" s="310"/>
      <c r="AN104" s="329"/>
      <c r="AO104" s="311"/>
      <c r="AP104" s="309"/>
      <c r="AQ104" s="310"/>
      <c r="AR104" s="329"/>
      <c r="AS104" s="311"/>
      <c r="AT104" s="309"/>
      <c r="AU104" s="310"/>
      <c r="AV104" s="329"/>
      <c r="AW104" s="311"/>
      <c r="AX104" s="309"/>
      <c r="AY104" s="310"/>
      <c r="AZ104" s="329"/>
      <c r="BA104" s="311"/>
      <c r="BB104" s="309"/>
      <c r="BC104" s="310"/>
      <c r="BD104" s="329"/>
      <c r="BE104" s="311"/>
      <c r="BF104" s="309"/>
      <c r="BG104" s="310"/>
      <c r="BH104" s="329"/>
      <c r="BI104" s="311"/>
      <c r="BJ104" s="309"/>
      <c r="BK104" s="310"/>
      <c r="BL104" s="329"/>
      <c r="BM104" s="311"/>
      <c r="BN104" s="309"/>
      <c r="BO104" s="310"/>
      <c r="BP104" s="329"/>
      <c r="BQ104" s="311"/>
      <c r="BR104" s="309"/>
      <c r="BS104" s="310"/>
      <c r="BT104" s="329"/>
      <c r="BU104" s="311"/>
      <c r="BV104" s="309"/>
      <c r="BW104" s="310"/>
      <c r="BX104" s="329"/>
      <c r="BY104" s="311"/>
      <c r="BZ104" s="309"/>
      <c r="CA104" s="310"/>
      <c r="CB104" s="329"/>
      <c r="CC104" s="311"/>
      <c r="CD104" s="309"/>
      <c r="CE104" s="310"/>
      <c r="CF104" s="329"/>
      <c r="CG104" s="311"/>
      <c r="CH104" s="309"/>
      <c r="CI104" s="310"/>
      <c r="CJ104" s="329"/>
      <c r="CK104" s="311"/>
      <c r="CL104" s="309"/>
      <c r="CM104" s="310"/>
      <c r="CN104" s="329"/>
      <c r="CO104" s="311"/>
      <c r="CP104" s="309"/>
      <c r="CQ104" s="310"/>
      <c r="CR104" s="329"/>
      <c r="CS104" s="311"/>
      <c r="CT104" s="309"/>
      <c r="CU104" s="310"/>
      <c r="CV104" s="329"/>
      <c r="CW104" s="311"/>
      <c r="CX104" s="309"/>
      <c r="CY104" s="310"/>
      <c r="CZ104" s="329"/>
      <c r="DA104" s="311"/>
      <c r="DB104" s="309"/>
      <c r="DC104" s="310"/>
      <c r="DD104" s="329"/>
      <c r="DE104" s="311"/>
      <c r="DF104" s="309"/>
      <c r="DG104" s="310"/>
      <c r="DH104" s="329"/>
      <c r="DI104" s="311"/>
      <c r="DJ104" s="309"/>
      <c r="DK104" s="310"/>
      <c r="DL104" s="329"/>
      <c r="DM104" s="311"/>
      <c r="DN104" s="309"/>
      <c r="DO104" s="310"/>
      <c r="DP104" s="329"/>
      <c r="DQ104" s="311"/>
      <c r="DR104" s="309"/>
      <c r="DS104" s="310"/>
      <c r="DT104" s="329"/>
      <c r="DU104" s="311"/>
      <c r="DV104" s="309"/>
      <c r="DW104" s="310"/>
      <c r="DX104" s="329"/>
      <c r="DY104" s="311"/>
      <c r="DZ104" s="309"/>
      <c r="EA104" s="310"/>
      <c r="EB104" s="329"/>
      <c r="EC104" s="311"/>
      <c r="ED104" s="309"/>
      <c r="EE104" s="310"/>
      <c r="EF104" s="329"/>
      <c r="EG104" s="311"/>
      <c r="EH104" s="309"/>
      <c r="EI104" s="310"/>
      <c r="EJ104" s="329"/>
      <c r="EK104" s="311"/>
      <c r="EL104" s="309"/>
      <c r="EM104" s="310"/>
      <c r="EN104" s="329"/>
      <c r="EO104" s="311"/>
      <c r="EP104" s="309"/>
      <c r="EQ104" s="310"/>
      <c r="ER104" s="329"/>
      <c r="ES104" s="311"/>
      <c r="ET104" s="309"/>
      <c r="EU104" s="310"/>
      <c r="EV104" s="329"/>
      <c r="EW104" s="311"/>
      <c r="EX104" s="309"/>
      <c r="EY104" s="310"/>
      <c r="EZ104" s="329"/>
      <c r="FA104" s="311"/>
      <c r="FB104" s="309"/>
      <c r="FC104" s="310"/>
      <c r="FD104" s="329"/>
      <c r="FE104" s="311"/>
      <c r="FF104" s="309"/>
      <c r="FG104" s="310"/>
      <c r="FH104" s="329"/>
      <c r="FI104" s="311"/>
      <c r="FJ104" s="309"/>
      <c r="FK104" s="310"/>
      <c r="FL104" s="329"/>
      <c r="FM104" s="311"/>
      <c r="FN104" s="309"/>
      <c r="FO104" s="310"/>
      <c r="FP104" s="329"/>
      <c r="FQ104" s="311"/>
      <c r="FR104" s="309"/>
      <c r="FS104" s="310"/>
      <c r="FT104" s="329"/>
      <c r="FU104" s="311"/>
      <c r="FV104" s="309"/>
      <c r="FW104" s="310"/>
      <c r="FX104" s="329"/>
      <c r="FY104" s="311"/>
      <c r="FZ104" s="309"/>
      <c r="GA104" s="310"/>
      <c r="GB104" s="329"/>
      <c r="GC104" s="311"/>
      <c r="GD104" s="309"/>
      <c r="GE104" s="310"/>
      <c r="GF104" s="329"/>
      <c r="GG104" s="311"/>
      <c r="GH104" s="309"/>
      <c r="GI104" s="310"/>
      <c r="GJ104" s="329"/>
      <c r="GK104" s="311"/>
      <c r="GL104" s="309"/>
      <c r="GM104" s="310"/>
      <c r="GN104" s="329"/>
      <c r="GO104" s="311"/>
      <c r="GP104" s="309"/>
      <c r="GQ104" s="310"/>
      <c r="GR104" s="329"/>
      <c r="GS104" s="311"/>
      <c r="GT104" s="309"/>
      <c r="GU104" s="310"/>
      <c r="GV104" s="329"/>
      <c r="GW104" s="311"/>
      <c r="GX104" s="309"/>
      <c r="GY104" s="310"/>
      <c r="GZ104" s="329"/>
      <c r="HA104" s="311"/>
      <c r="HB104" s="309"/>
      <c r="HC104" s="312">
        <f t="shared" si="72"/>
        <v>0</v>
      </c>
      <c r="HD104" s="330"/>
      <c r="HE104" s="313">
        <f t="shared" si="73"/>
        <v>0</v>
      </c>
      <c r="HF104" s="314"/>
      <c r="HG104" s="312">
        <f>SUM(SUMIFS(K104:HB104,$K$13:$HB$13,{"エネルギー管理指定工場等*","県域*"}))</f>
        <v>0</v>
      </c>
      <c r="HH104" s="330"/>
      <c r="HI104" s="313">
        <f>SUM(SUMIFS(M104:HD104,$K$13:$HB$13,{"エネルギー管理指定工場等*","県域*"}))</f>
        <v>0</v>
      </c>
      <c r="HJ104" s="314"/>
    </row>
    <row r="105" spans="1:218" ht="19.8">
      <c r="A105" s="164"/>
      <c r="B105" s="302"/>
      <c r="C105" s="318"/>
      <c r="D105" s="303" t="s">
        <v>624</v>
      </c>
      <c r="E105" s="335"/>
      <c r="F105" s="303" t="s">
        <v>610</v>
      </c>
      <c r="G105" s="306">
        <v>8.64</v>
      </c>
      <c r="H105" s="315"/>
      <c r="I105" s="310"/>
      <c r="J105" s="315"/>
      <c r="K105" s="310"/>
      <c r="L105" s="329"/>
      <c r="M105" s="311"/>
      <c r="N105" s="309"/>
      <c r="O105" s="310"/>
      <c r="P105" s="329"/>
      <c r="Q105" s="311"/>
      <c r="R105" s="309"/>
      <c r="S105" s="310"/>
      <c r="T105" s="329"/>
      <c r="U105" s="311"/>
      <c r="V105" s="309"/>
      <c r="W105" s="310"/>
      <c r="X105" s="329"/>
      <c r="Y105" s="311"/>
      <c r="Z105" s="309"/>
      <c r="AA105" s="310"/>
      <c r="AB105" s="329"/>
      <c r="AC105" s="311"/>
      <c r="AD105" s="309"/>
      <c r="AE105" s="310"/>
      <c r="AF105" s="329"/>
      <c r="AG105" s="311"/>
      <c r="AH105" s="309"/>
      <c r="AI105" s="310"/>
      <c r="AJ105" s="329"/>
      <c r="AK105" s="311"/>
      <c r="AL105" s="309"/>
      <c r="AM105" s="310"/>
      <c r="AN105" s="329"/>
      <c r="AO105" s="311"/>
      <c r="AP105" s="309"/>
      <c r="AQ105" s="310"/>
      <c r="AR105" s="329"/>
      <c r="AS105" s="311"/>
      <c r="AT105" s="309"/>
      <c r="AU105" s="310"/>
      <c r="AV105" s="329"/>
      <c r="AW105" s="311"/>
      <c r="AX105" s="309"/>
      <c r="AY105" s="310"/>
      <c r="AZ105" s="329"/>
      <c r="BA105" s="311"/>
      <c r="BB105" s="309"/>
      <c r="BC105" s="310"/>
      <c r="BD105" s="329"/>
      <c r="BE105" s="311"/>
      <c r="BF105" s="309"/>
      <c r="BG105" s="310"/>
      <c r="BH105" s="329"/>
      <c r="BI105" s="311"/>
      <c r="BJ105" s="309"/>
      <c r="BK105" s="310"/>
      <c r="BL105" s="329"/>
      <c r="BM105" s="311"/>
      <c r="BN105" s="309"/>
      <c r="BO105" s="310"/>
      <c r="BP105" s="329"/>
      <c r="BQ105" s="311"/>
      <c r="BR105" s="309"/>
      <c r="BS105" s="310"/>
      <c r="BT105" s="329"/>
      <c r="BU105" s="311"/>
      <c r="BV105" s="309"/>
      <c r="BW105" s="310"/>
      <c r="BX105" s="329"/>
      <c r="BY105" s="311"/>
      <c r="BZ105" s="309"/>
      <c r="CA105" s="310"/>
      <c r="CB105" s="329"/>
      <c r="CC105" s="311"/>
      <c r="CD105" s="309"/>
      <c r="CE105" s="310"/>
      <c r="CF105" s="329"/>
      <c r="CG105" s="311"/>
      <c r="CH105" s="309"/>
      <c r="CI105" s="310"/>
      <c r="CJ105" s="329"/>
      <c r="CK105" s="311"/>
      <c r="CL105" s="309"/>
      <c r="CM105" s="310"/>
      <c r="CN105" s="329"/>
      <c r="CO105" s="311"/>
      <c r="CP105" s="309"/>
      <c r="CQ105" s="310"/>
      <c r="CR105" s="329"/>
      <c r="CS105" s="311"/>
      <c r="CT105" s="309"/>
      <c r="CU105" s="310"/>
      <c r="CV105" s="329"/>
      <c r="CW105" s="311"/>
      <c r="CX105" s="309"/>
      <c r="CY105" s="310"/>
      <c r="CZ105" s="329"/>
      <c r="DA105" s="311"/>
      <c r="DB105" s="309"/>
      <c r="DC105" s="310"/>
      <c r="DD105" s="329"/>
      <c r="DE105" s="311"/>
      <c r="DF105" s="309"/>
      <c r="DG105" s="310"/>
      <c r="DH105" s="329"/>
      <c r="DI105" s="311"/>
      <c r="DJ105" s="309"/>
      <c r="DK105" s="310"/>
      <c r="DL105" s="329"/>
      <c r="DM105" s="311"/>
      <c r="DN105" s="309"/>
      <c r="DO105" s="310"/>
      <c r="DP105" s="329"/>
      <c r="DQ105" s="311"/>
      <c r="DR105" s="309"/>
      <c r="DS105" s="310"/>
      <c r="DT105" s="329"/>
      <c r="DU105" s="311"/>
      <c r="DV105" s="309"/>
      <c r="DW105" s="310"/>
      <c r="DX105" s="329"/>
      <c r="DY105" s="311"/>
      <c r="DZ105" s="309"/>
      <c r="EA105" s="310"/>
      <c r="EB105" s="329"/>
      <c r="EC105" s="311"/>
      <c r="ED105" s="309"/>
      <c r="EE105" s="310"/>
      <c r="EF105" s="329"/>
      <c r="EG105" s="311"/>
      <c r="EH105" s="309"/>
      <c r="EI105" s="310"/>
      <c r="EJ105" s="329"/>
      <c r="EK105" s="311"/>
      <c r="EL105" s="309"/>
      <c r="EM105" s="310"/>
      <c r="EN105" s="329"/>
      <c r="EO105" s="311"/>
      <c r="EP105" s="309"/>
      <c r="EQ105" s="310"/>
      <c r="ER105" s="329"/>
      <c r="ES105" s="311"/>
      <c r="ET105" s="309"/>
      <c r="EU105" s="310"/>
      <c r="EV105" s="329"/>
      <c r="EW105" s="311"/>
      <c r="EX105" s="309"/>
      <c r="EY105" s="310"/>
      <c r="EZ105" s="329"/>
      <c r="FA105" s="311"/>
      <c r="FB105" s="309"/>
      <c r="FC105" s="310"/>
      <c r="FD105" s="329"/>
      <c r="FE105" s="311"/>
      <c r="FF105" s="309"/>
      <c r="FG105" s="310"/>
      <c r="FH105" s="329"/>
      <c r="FI105" s="311"/>
      <c r="FJ105" s="309"/>
      <c r="FK105" s="310"/>
      <c r="FL105" s="329"/>
      <c r="FM105" s="311"/>
      <c r="FN105" s="309"/>
      <c r="FO105" s="310"/>
      <c r="FP105" s="329"/>
      <c r="FQ105" s="311"/>
      <c r="FR105" s="309"/>
      <c r="FS105" s="310"/>
      <c r="FT105" s="329"/>
      <c r="FU105" s="311"/>
      <c r="FV105" s="309"/>
      <c r="FW105" s="310"/>
      <c r="FX105" s="329"/>
      <c r="FY105" s="311"/>
      <c r="FZ105" s="309"/>
      <c r="GA105" s="310"/>
      <c r="GB105" s="329"/>
      <c r="GC105" s="311"/>
      <c r="GD105" s="309"/>
      <c r="GE105" s="310"/>
      <c r="GF105" s="329"/>
      <c r="GG105" s="311"/>
      <c r="GH105" s="309"/>
      <c r="GI105" s="310"/>
      <c r="GJ105" s="329"/>
      <c r="GK105" s="311"/>
      <c r="GL105" s="309"/>
      <c r="GM105" s="310"/>
      <c r="GN105" s="329"/>
      <c r="GO105" s="311"/>
      <c r="GP105" s="309"/>
      <c r="GQ105" s="310"/>
      <c r="GR105" s="329"/>
      <c r="GS105" s="311"/>
      <c r="GT105" s="309"/>
      <c r="GU105" s="310"/>
      <c r="GV105" s="329"/>
      <c r="GW105" s="311"/>
      <c r="GX105" s="309"/>
      <c r="GY105" s="310"/>
      <c r="GZ105" s="329"/>
      <c r="HA105" s="311"/>
      <c r="HB105" s="309"/>
      <c r="HC105" s="312">
        <f t="shared" si="72"/>
        <v>0</v>
      </c>
      <c r="HD105" s="330"/>
      <c r="HE105" s="313">
        <f t="shared" si="73"/>
        <v>0</v>
      </c>
      <c r="HF105" s="314"/>
      <c r="HG105" s="312">
        <f>SUM(SUMIFS(K105:HB105,$K$13:$HB$13,{"エネルギー管理指定工場等*","県域*"}))</f>
        <v>0</v>
      </c>
      <c r="HH105" s="330"/>
      <c r="HI105" s="313">
        <f>SUM(SUMIFS(M105:HD105,$K$13:$HB$13,{"エネルギー管理指定工場等*","県域*"}))</f>
        <v>0</v>
      </c>
      <c r="HJ105" s="314"/>
    </row>
    <row r="106" spans="1:218" ht="59.4">
      <c r="A106" s="164"/>
      <c r="B106" s="302"/>
      <c r="C106" s="327" t="s">
        <v>1389</v>
      </c>
      <c r="D106" s="303" t="s">
        <v>1388</v>
      </c>
      <c r="E106" s="335"/>
      <c r="F106" s="303" t="s">
        <v>610</v>
      </c>
      <c r="G106" s="306">
        <v>8.64</v>
      </c>
      <c r="H106" s="315"/>
      <c r="I106" s="310"/>
      <c r="J106" s="315"/>
      <c r="K106" s="310"/>
      <c r="L106" s="329"/>
      <c r="M106" s="311"/>
      <c r="N106" s="309"/>
      <c r="O106" s="310"/>
      <c r="P106" s="329"/>
      <c r="Q106" s="311"/>
      <c r="R106" s="309"/>
      <c r="S106" s="310"/>
      <c r="T106" s="329"/>
      <c r="U106" s="311"/>
      <c r="V106" s="309"/>
      <c r="W106" s="310"/>
      <c r="X106" s="329"/>
      <c r="Y106" s="311"/>
      <c r="Z106" s="309"/>
      <c r="AA106" s="310"/>
      <c r="AB106" s="329"/>
      <c r="AC106" s="311"/>
      <c r="AD106" s="309"/>
      <c r="AE106" s="310"/>
      <c r="AF106" s="329"/>
      <c r="AG106" s="311"/>
      <c r="AH106" s="309"/>
      <c r="AI106" s="310"/>
      <c r="AJ106" s="329"/>
      <c r="AK106" s="311"/>
      <c r="AL106" s="309"/>
      <c r="AM106" s="310"/>
      <c r="AN106" s="329"/>
      <c r="AO106" s="311"/>
      <c r="AP106" s="309"/>
      <c r="AQ106" s="310"/>
      <c r="AR106" s="329"/>
      <c r="AS106" s="311"/>
      <c r="AT106" s="309"/>
      <c r="AU106" s="310"/>
      <c r="AV106" s="329"/>
      <c r="AW106" s="311"/>
      <c r="AX106" s="309"/>
      <c r="AY106" s="310"/>
      <c r="AZ106" s="329"/>
      <c r="BA106" s="311"/>
      <c r="BB106" s="309"/>
      <c r="BC106" s="310"/>
      <c r="BD106" s="329"/>
      <c r="BE106" s="311"/>
      <c r="BF106" s="309"/>
      <c r="BG106" s="310"/>
      <c r="BH106" s="329"/>
      <c r="BI106" s="311"/>
      <c r="BJ106" s="309"/>
      <c r="BK106" s="310"/>
      <c r="BL106" s="329"/>
      <c r="BM106" s="311"/>
      <c r="BN106" s="309"/>
      <c r="BO106" s="310"/>
      <c r="BP106" s="329"/>
      <c r="BQ106" s="311"/>
      <c r="BR106" s="309"/>
      <c r="BS106" s="310"/>
      <c r="BT106" s="329"/>
      <c r="BU106" s="311"/>
      <c r="BV106" s="309"/>
      <c r="BW106" s="310"/>
      <c r="BX106" s="329"/>
      <c r="BY106" s="311"/>
      <c r="BZ106" s="309"/>
      <c r="CA106" s="310"/>
      <c r="CB106" s="329"/>
      <c r="CC106" s="311"/>
      <c r="CD106" s="309"/>
      <c r="CE106" s="310"/>
      <c r="CF106" s="329"/>
      <c r="CG106" s="311"/>
      <c r="CH106" s="309"/>
      <c r="CI106" s="310"/>
      <c r="CJ106" s="329"/>
      <c r="CK106" s="311"/>
      <c r="CL106" s="309"/>
      <c r="CM106" s="310"/>
      <c r="CN106" s="329"/>
      <c r="CO106" s="311"/>
      <c r="CP106" s="309"/>
      <c r="CQ106" s="310"/>
      <c r="CR106" s="329"/>
      <c r="CS106" s="311"/>
      <c r="CT106" s="309"/>
      <c r="CU106" s="310"/>
      <c r="CV106" s="329"/>
      <c r="CW106" s="311"/>
      <c r="CX106" s="309"/>
      <c r="CY106" s="310"/>
      <c r="CZ106" s="329"/>
      <c r="DA106" s="311"/>
      <c r="DB106" s="309"/>
      <c r="DC106" s="310"/>
      <c r="DD106" s="329"/>
      <c r="DE106" s="311"/>
      <c r="DF106" s="309"/>
      <c r="DG106" s="310"/>
      <c r="DH106" s="329"/>
      <c r="DI106" s="311"/>
      <c r="DJ106" s="309"/>
      <c r="DK106" s="310"/>
      <c r="DL106" s="329"/>
      <c r="DM106" s="311"/>
      <c r="DN106" s="309"/>
      <c r="DO106" s="310"/>
      <c r="DP106" s="329"/>
      <c r="DQ106" s="311"/>
      <c r="DR106" s="309"/>
      <c r="DS106" s="310"/>
      <c r="DT106" s="329"/>
      <c r="DU106" s="311"/>
      <c r="DV106" s="309"/>
      <c r="DW106" s="310"/>
      <c r="DX106" s="329"/>
      <c r="DY106" s="311"/>
      <c r="DZ106" s="309"/>
      <c r="EA106" s="310"/>
      <c r="EB106" s="329"/>
      <c r="EC106" s="311"/>
      <c r="ED106" s="309"/>
      <c r="EE106" s="310"/>
      <c r="EF106" s="329"/>
      <c r="EG106" s="311"/>
      <c r="EH106" s="309"/>
      <c r="EI106" s="310"/>
      <c r="EJ106" s="329"/>
      <c r="EK106" s="311"/>
      <c r="EL106" s="309"/>
      <c r="EM106" s="310"/>
      <c r="EN106" s="329"/>
      <c r="EO106" s="311"/>
      <c r="EP106" s="309"/>
      <c r="EQ106" s="310"/>
      <c r="ER106" s="329"/>
      <c r="ES106" s="311"/>
      <c r="ET106" s="309"/>
      <c r="EU106" s="310"/>
      <c r="EV106" s="329"/>
      <c r="EW106" s="311"/>
      <c r="EX106" s="309"/>
      <c r="EY106" s="310"/>
      <c r="EZ106" s="329"/>
      <c r="FA106" s="311"/>
      <c r="FB106" s="309"/>
      <c r="FC106" s="310"/>
      <c r="FD106" s="329"/>
      <c r="FE106" s="311"/>
      <c r="FF106" s="309"/>
      <c r="FG106" s="310"/>
      <c r="FH106" s="329"/>
      <c r="FI106" s="311"/>
      <c r="FJ106" s="309"/>
      <c r="FK106" s="310"/>
      <c r="FL106" s="329"/>
      <c r="FM106" s="311"/>
      <c r="FN106" s="309"/>
      <c r="FO106" s="310"/>
      <c r="FP106" s="329"/>
      <c r="FQ106" s="311"/>
      <c r="FR106" s="309"/>
      <c r="FS106" s="310"/>
      <c r="FT106" s="329"/>
      <c r="FU106" s="311"/>
      <c r="FV106" s="309"/>
      <c r="FW106" s="310"/>
      <c r="FX106" s="329"/>
      <c r="FY106" s="311"/>
      <c r="FZ106" s="309"/>
      <c r="GA106" s="310"/>
      <c r="GB106" s="329"/>
      <c r="GC106" s="311"/>
      <c r="GD106" s="309"/>
      <c r="GE106" s="310"/>
      <c r="GF106" s="329"/>
      <c r="GG106" s="311"/>
      <c r="GH106" s="309"/>
      <c r="GI106" s="310"/>
      <c r="GJ106" s="329"/>
      <c r="GK106" s="311"/>
      <c r="GL106" s="309"/>
      <c r="GM106" s="310"/>
      <c r="GN106" s="329"/>
      <c r="GO106" s="311"/>
      <c r="GP106" s="309"/>
      <c r="GQ106" s="310"/>
      <c r="GR106" s="329"/>
      <c r="GS106" s="311"/>
      <c r="GT106" s="309"/>
      <c r="GU106" s="310"/>
      <c r="GV106" s="329"/>
      <c r="GW106" s="311"/>
      <c r="GX106" s="309"/>
      <c r="GY106" s="310"/>
      <c r="GZ106" s="329"/>
      <c r="HA106" s="311"/>
      <c r="HB106" s="309"/>
      <c r="HC106" s="312">
        <f t="shared" si="72"/>
        <v>0</v>
      </c>
      <c r="HD106" s="330"/>
      <c r="HE106" s="313">
        <f t="shared" si="73"/>
        <v>0</v>
      </c>
      <c r="HF106" s="314"/>
      <c r="HG106" s="312">
        <f>SUM(SUMIFS(K106:HB106,$K$13:$HB$13,{"エネルギー管理指定工場等*","県域*"}))</f>
        <v>0</v>
      </c>
      <c r="HH106" s="330"/>
      <c r="HI106" s="313">
        <f>SUM(SUMIFS(M106:HD106,$K$13:$HB$13,{"エネルギー管理指定工場等*","県域*"}))</f>
        <v>0</v>
      </c>
      <c r="HJ106" s="314"/>
    </row>
    <row r="107" spans="1:218" ht="20.399999999999999" thickBot="1">
      <c r="A107" s="164"/>
      <c r="B107" s="361"/>
      <c r="C107" s="362"/>
      <c r="D107" s="363" t="s">
        <v>624</v>
      </c>
      <c r="E107" s="335"/>
      <c r="F107" s="363" t="s">
        <v>610</v>
      </c>
      <c r="G107" s="364">
        <v>8.64</v>
      </c>
      <c r="H107" s="365"/>
      <c r="I107" s="366"/>
      <c r="J107" s="365"/>
      <c r="K107" s="366"/>
      <c r="L107" s="367"/>
      <c r="M107" s="368"/>
      <c r="N107" s="369"/>
      <c r="O107" s="366"/>
      <c r="P107" s="367"/>
      <c r="Q107" s="368"/>
      <c r="R107" s="369"/>
      <c r="S107" s="366"/>
      <c r="T107" s="367"/>
      <c r="U107" s="368"/>
      <c r="V107" s="369"/>
      <c r="W107" s="366"/>
      <c r="X107" s="367"/>
      <c r="Y107" s="368"/>
      <c r="Z107" s="369"/>
      <c r="AA107" s="366"/>
      <c r="AB107" s="367"/>
      <c r="AC107" s="368"/>
      <c r="AD107" s="369"/>
      <c r="AE107" s="366"/>
      <c r="AF107" s="367"/>
      <c r="AG107" s="368"/>
      <c r="AH107" s="369"/>
      <c r="AI107" s="366"/>
      <c r="AJ107" s="367"/>
      <c r="AK107" s="368"/>
      <c r="AL107" s="369"/>
      <c r="AM107" s="366"/>
      <c r="AN107" s="367"/>
      <c r="AO107" s="368"/>
      <c r="AP107" s="369"/>
      <c r="AQ107" s="366"/>
      <c r="AR107" s="367"/>
      <c r="AS107" s="368"/>
      <c r="AT107" s="369"/>
      <c r="AU107" s="366"/>
      <c r="AV107" s="367"/>
      <c r="AW107" s="368"/>
      <c r="AX107" s="369"/>
      <c r="AY107" s="366"/>
      <c r="AZ107" s="367"/>
      <c r="BA107" s="368"/>
      <c r="BB107" s="369"/>
      <c r="BC107" s="366"/>
      <c r="BD107" s="367"/>
      <c r="BE107" s="368"/>
      <c r="BF107" s="369"/>
      <c r="BG107" s="366"/>
      <c r="BH107" s="367"/>
      <c r="BI107" s="368"/>
      <c r="BJ107" s="369"/>
      <c r="BK107" s="366"/>
      <c r="BL107" s="367"/>
      <c r="BM107" s="368"/>
      <c r="BN107" s="369"/>
      <c r="BO107" s="366"/>
      <c r="BP107" s="367"/>
      <c r="BQ107" s="368"/>
      <c r="BR107" s="369"/>
      <c r="BS107" s="366"/>
      <c r="BT107" s="367"/>
      <c r="BU107" s="368"/>
      <c r="BV107" s="369"/>
      <c r="BW107" s="366"/>
      <c r="BX107" s="367"/>
      <c r="BY107" s="368"/>
      <c r="BZ107" s="369"/>
      <c r="CA107" s="366"/>
      <c r="CB107" s="367"/>
      <c r="CC107" s="368"/>
      <c r="CD107" s="369"/>
      <c r="CE107" s="366"/>
      <c r="CF107" s="367"/>
      <c r="CG107" s="368"/>
      <c r="CH107" s="369"/>
      <c r="CI107" s="366"/>
      <c r="CJ107" s="367"/>
      <c r="CK107" s="368"/>
      <c r="CL107" s="369"/>
      <c r="CM107" s="366"/>
      <c r="CN107" s="367"/>
      <c r="CO107" s="368"/>
      <c r="CP107" s="369"/>
      <c r="CQ107" s="366"/>
      <c r="CR107" s="367"/>
      <c r="CS107" s="368"/>
      <c r="CT107" s="369"/>
      <c r="CU107" s="366"/>
      <c r="CV107" s="367"/>
      <c r="CW107" s="368"/>
      <c r="CX107" s="369"/>
      <c r="CY107" s="366"/>
      <c r="CZ107" s="367"/>
      <c r="DA107" s="368"/>
      <c r="DB107" s="369"/>
      <c r="DC107" s="366"/>
      <c r="DD107" s="367"/>
      <c r="DE107" s="368"/>
      <c r="DF107" s="369"/>
      <c r="DG107" s="366"/>
      <c r="DH107" s="367"/>
      <c r="DI107" s="368"/>
      <c r="DJ107" s="369"/>
      <c r="DK107" s="366"/>
      <c r="DL107" s="367"/>
      <c r="DM107" s="368"/>
      <c r="DN107" s="369"/>
      <c r="DO107" s="366"/>
      <c r="DP107" s="367"/>
      <c r="DQ107" s="368"/>
      <c r="DR107" s="369"/>
      <c r="DS107" s="366"/>
      <c r="DT107" s="367"/>
      <c r="DU107" s="368"/>
      <c r="DV107" s="369"/>
      <c r="DW107" s="366"/>
      <c r="DX107" s="367"/>
      <c r="DY107" s="368"/>
      <c r="DZ107" s="369"/>
      <c r="EA107" s="366"/>
      <c r="EB107" s="367"/>
      <c r="EC107" s="368"/>
      <c r="ED107" s="369"/>
      <c r="EE107" s="366"/>
      <c r="EF107" s="367"/>
      <c r="EG107" s="368"/>
      <c r="EH107" s="369"/>
      <c r="EI107" s="366"/>
      <c r="EJ107" s="367"/>
      <c r="EK107" s="368"/>
      <c r="EL107" s="369"/>
      <c r="EM107" s="366"/>
      <c r="EN107" s="367"/>
      <c r="EO107" s="368"/>
      <c r="EP107" s="369"/>
      <c r="EQ107" s="366"/>
      <c r="ER107" s="367"/>
      <c r="ES107" s="368"/>
      <c r="ET107" s="369"/>
      <c r="EU107" s="366"/>
      <c r="EV107" s="367"/>
      <c r="EW107" s="368"/>
      <c r="EX107" s="369"/>
      <c r="EY107" s="366"/>
      <c r="EZ107" s="367"/>
      <c r="FA107" s="368"/>
      <c r="FB107" s="369"/>
      <c r="FC107" s="366"/>
      <c r="FD107" s="367"/>
      <c r="FE107" s="368"/>
      <c r="FF107" s="369"/>
      <c r="FG107" s="366"/>
      <c r="FH107" s="367"/>
      <c r="FI107" s="368"/>
      <c r="FJ107" s="369"/>
      <c r="FK107" s="366"/>
      <c r="FL107" s="367"/>
      <c r="FM107" s="368"/>
      <c r="FN107" s="369"/>
      <c r="FO107" s="366"/>
      <c r="FP107" s="367"/>
      <c r="FQ107" s="368"/>
      <c r="FR107" s="369"/>
      <c r="FS107" s="366"/>
      <c r="FT107" s="367"/>
      <c r="FU107" s="368"/>
      <c r="FV107" s="369"/>
      <c r="FW107" s="366"/>
      <c r="FX107" s="367"/>
      <c r="FY107" s="368"/>
      <c r="FZ107" s="369"/>
      <c r="GA107" s="366"/>
      <c r="GB107" s="367"/>
      <c r="GC107" s="368"/>
      <c r="GD107" s="369"/>
      <c r="GE107" s="366"/>
      <c r="GF107" s="367"/>
      <c r="GG107" s="368"/>
      <c r="GH107" s="369"/>
      <c r="GI107" s="366"/>
      <c r="GJ107" s="367"/>
      <c r="GK107" s="368"/>
      <c r="GL107" s="369"/>
      <c r="GM107" s="366"/>
      <c r="GN107" s="367"/>
      <c r="GO107" s="368"/>
      <c r="GP107" s="369"/>
      <c r="GQ107" s="366"/>
      <c r="GR107" s="367"/>
      <c r="GS107" s="368"/>
      <c r="GT107" s="369"/>
      <c r="GU107" s="366"/>
      <c r="GV107" s="367"/>
      <c r="GW107" s="368"/>
      <c r="GX107" s="369"/>
      <c r="GY107" s="366"/>
      <c r="GZ107" s="367"/>
      <c r="HA107" s="368"/>
      <c r="HB107" s="369"/>
      <c r="HC107" s="370">
        <f t="shared" si="72"/>
        <v>0</v>
      </c>
      <c r="HD107" s="371"/>
      <c r="HE107" s="372">
        <f t="shared" si="73"/>
        <v>0</v>
      </c>
      <c r="HF107" s="373"/>
      <c r="HG107" s="370">
        <f>SUM(SUMIFS(K107:HB107,$K$13:$HB$13,{"エネルギー管理指定工場等*","県域*"}))</f>
        <v>0</v>
      </c>
      <c r="HH107" s="371"/>
      <c r="HI107" s="372">
        <f>SUM(SUMIFS(M107:HD107,$K$13:$HB$13,{"エネルギー管理指定工場等*","県域*"}))</f>
        <v>0</v>
      </c>
      <c r="HJ107" s="373"/>
    </row>
    <row r="108" spans="1:218" ht="19.8">
      <c r="A108" s="164"/>
      <c r="B108" s="290" t="s">
        <v>625</v>
      </c>
      <c r="C108" s="374" t="s">
        <v>626</v>
      </c>
      <c r="D108" s="375"/>
      <c r="E108" s="376"/>
      <c r="F108" s="376"/>
      <c r="G108" s="258"/>
      <c r="H108" s="256"/>
      <c r="I108" s="377"/>
      <c r="J108" s="378"/>
      <c r="K108" s="297"/>
      <c r="L108" s="379"/>
      <c r="M108" s="380"/>
      <c r="N108" s="381"/>
      <c r="O108" s="297"/>
      <c r="P108" s="379"/>
      <c r="Q108" s="380"/>
      <c r="R108" s="381"/>
      <c r="S108" s="297"/>
      <c r="T108" s="379"/>
      <c r="U108" s="380"/>
      <c r="V108" s="381"/>
      <c r="W108" s="297"/>
      <c r="X108" s="379"/>
      <c r="Y108" s="380"/>
      <c r="Z108" s="381"/>
      <c r="AA108" s="297"/>
      <c r="AB108" s="379"/>
      <c r="AC108" s="380"/>
      <c r="AD108" s="381"/>
      <c r="AE108" s="297"/>
      <c r="AF108" s="379"/>
      <c r="AG108" s="380"/>
      <c r="AH108" s="381"/>
      <c r="AI108" s="297"/>
      <c r="AJ108" s="379"/>
      <c r="AK108" s="380"/>
      <c r="AL108" s="381"/>
      <c r="AM108" s="297"/>
      <c r="AN108" s="379"/>
      <c r="AO108" s="380"/>
      <c r="AP108" s="381"/>
      <c r="AQ108" s="297"/>
      <c r="AR108" s="379"/>
      <c r="AS108" s="380"/>
      <c r="AT108" s="381"/>
      <c r="AU108" s="297"/>
      <c r="AV108" s="379"/>
      <c r="AW108" s="380"/>
      <c r="AX108" s="381"/>
      <c r="AY108" s="297"/>
      <c r="AZ108" s="379"/>
      <c r="BA108" s="380"/>
      <c r="BB108" s="381"/>
      <c r="BC108" s="297"/>
      <c r="BD108" s="379"/>
      <c r="BE108" s="380"/>
      <c r="BF108" s="381"/>
      <c r="BG108" s="297"/>
      <c r="BH108" s="379"/>
      <c r="BI108" s="380"/>
      <c r="BJ108" s="381"/>
      <c r="BK108" s="297"/>
      <c r="BL108" s="379"/>
      <c r="BM108" s="380"/>
      <c r="BN108" s="381"/>
      <c r="BO108" s="297"/>
      <c r="BP108" s="379"/>
      <c r="BQ108" s="380"/>
      <c r="BR108" s="381"/>
      <c r="BS108" s="297"/>
      <c r="BT108" s="379"/>
      <c r="BU108" s="380"/>
      <c r="BV108" s="381"/>
      <c r="BW108" s="297"/>
      <c r="BX108" s="379"/>
      <c r="BY108" s="380"/>
      <c r="BZ108" s="381"/>
      <c r="CA108" s="297"/>
      <c r="CB108" s="379"/>
      <c r="CC108" s="380"/>
      <c r="CD108" s="381"/>
      <c r="CE108" s="297"/>
      <c r="CF108" s="379"/>
      <c r="CG108" s="380"/>
      <c r="CH108" s="381"/>
      <c r="CI108" s="297"/>
      <c r="CJ108" s="379"/>
      <c r="CK108" s="380"/>
      <c r="CL108" s="381"/>
      <c r="CM108" s="297"/>
      <c r="CN108" s="379"/>
      <c r="CO108" s="380"/>
      <c r="CP108" s="381"/>
      <c r="CQ108" s="297"/>
      <c r="CR108" s="379"/>
      <c r="CS108" s="380"/>
      <c r="CT108" s="381"/>
      <c r="CU108" s="297"/>
      <c r="CV108" s="379"/>
      <c r="CW108" s="380"/>
      <c r="CX108" s="381"/>
      <c r="CY108" s="297"/>
      <c r="CZ108" s="379"/>
      <c r="DA108" s="380"/>
      <c r="DB108" s="381"/>
      <c r="DC108" s="297"/>
      <c r="DD108" s="379"/>
      <c r="DE108" s="380"/>
      <c r="DF108" s="381"/>
      <c r="DG108" s="297"/>
      <c r="DH108" s="379"/>
      <c r="DI108" s="380"/>
      <c r="DJ108" s="381"/>
      <c r="DK108" s="297"/>
      <c r="DL108" s="379"/>
      <c r="DM108" s="380"/>
      <c r="DN108" s="381"/>
      <c r="DO108" s="297"/>
      <c r="DP108" s="379"/>
      <c r="DQ108" s="380"/>
      <c r="DR108" s="381"/>
      <c r="DS108" s="297"/>
      <c r="DT108" s="379"/>
      <c r="DU108" s="380"/>
      <c r="DV108" s="381"/>
      <c r="DW108" s="297"/>
      <c r="DX108" s="379"/>
      <c r="DY108" s="380"/>
      <c r="DZ108" s="381"/>
      <c r="EA108" s="297"/>
      <c r="EB108" s="379"/>
      <c r="EC108" s="380"/>
      <c r="ED108" s="381"/>
      <c r="EE108" s="297"/>
      <c r="EF108" s="379"/>
      <c r="EG108" s="380"/>
      <c r="EH108" s="381"/>
      <c r="EI108" s="297"/>
      <c r="EJ108" s="379"/>
      <c r="EK108" s="380"/>
      <c r="EL108" s="381"/>
      <c r="EM108" s="297"/>
      <c r="EN108" s="379"/>
      <c r="EO108" s="380"/>
      <c r="EP108" s="381"/>
      <c r="EQ108" s="297"/>
      <c r="ER108" s="379"/>
      <c r="ES108" s="380"/>
      <c r="ET108" s="381"/>
      <c r="EU108" s="297"/>
      <c r="EV108" s="379"/>
      <c r="EW108" s="380"/>
      <c r="EX108" s="381"/>
      <c r="EY108" s="297"/>
      <c r="EZ108" s="379"/>
      <c r="FA108" s="380"/>
      <c r="FB108" s="381"/>
      <c r="FC108" s="297"/>
      <c r="FD108" s="379"/>
      <c r="FE108" s="380"/>
      <c r="FF108" s="381"/>
      <c r="FG108" s="297"/>
      <c r="FH108" s="379"/>
      <c r="FI108" s="380"/>
      <c r="FJ108" s="381"/>
      <c r="FK108" s="297"/>
      <c r="FL108" s="379"/>
      <c r="FM108" s="380"/>
      <c r="FN108" s="381"/>
      <c r="FO108" s="297"/>
      <c r="FP108" s="379"/>
      <c r="FQ108" s="380"/>
      <c r="FR108" s="381"/>
      <c r="FS108" s="297"/>
      <c r="FT108" s="379"/>
      <c r="FU108" s="380"/>
      <c r="FV108" s="381"/>
      <c r="FW108" s="297"/>
      <c r="FX108" s="379"/>
      <c r="FY108" s="380"/>
      <c r="FZ108" s="381"/>
      <c r="GA108" s="297"/>
      <c r="GB108" s="379"/>
      <c r="GC108" s="380"/>
      <c r="GD108" s="381"/>
      <c r="GE108" s="297"/>
      <c r="GF108" s="379"/>
      <c r="GG108" s="380"/>
      <c r="GH108" s="381"/>
      <c r="GI108" s="297"/>
      <c r="GJ108" s="379"/>
      <c r="GK108" s="380"/>
      <c r="GL108" s="381"/>
      <c r="GM108" s="297"/>
      <c r="GN108" s="379"/>
      <c r="GO108" s="380"/>
      <c r="GP108" s="381"/>
      <c r="GQ108" s="297"/>
      <c r="GR108" s="379"/>
      <c r="GS108" s="380"/>
      <c r="GT108" s="381"/>
      <c r="GU108" s="297"/>
      <c r="GV108" s="379"/>
      <c r="GW108" s="380"/>
      <c r="GX108" s="381"/>
      <c r="GY108" s="297"/>
      <c r="GZ108" s="379"/>
      <c r="HA108" s="380"/>
      <c r="HB108" s="381"/>
    </row>
    <row r="109" spans="1:218" ht="19.8">
      <c r="A109" s="164"/>
      <c r="B109" s="302"/>
      <c r="C109" s="303" t="s">
        <v>510</v>
      </c>
      <c r="D109" s="382"/>
      <c r="E109" s="304"/>
      <c r="F109" s="304"/>
      <c r="G109" s="304"/>
      <c r="H109" s="383"/>
      <c r="I109" s="384"/>
      <c r="J109" s="385"/>
      <c r="K109" s="310"/>
      <c r="L109" s="386"/>
      <c r="M109" s="387"/>
      <c r="N109" s="388"/>
      <c r="O109" s="310"/>
      <c r="P109" s="386"/>
      <c r="Q109" s="387"/>
      <c r="R109" s="388"/>
      <c r="S109" s="310"/>
      <c r="T109" s="386"/>
      <c r="U109" s="387"/>
      <c r="V109" s="388"/>
      <c r="W109" s="310"/>
      <c r="X109" s="386"/>
      <c r="Y109" s="387"/>
      <c r="Z109" s="388"/>
      <c r="AA109" s="310"/>
      <c r="AB109" s="386"/>
      <c r="AC109" s="387"/>
      <c r="AD109" s="388"/>
      <c r="AE109" s="310"/>
      <c r="AF109" s="386"/>
      <c r="AG109" s="387"/>
      <c r="AH109" s="388"/>
      <c r="AI109" s="310"/>
      <c r="AJ109" s="386"/>
      <c r="AK109" s="387"/>
      <c r="AL109" s="388"/>
      <c r="AM109" s="310"/>
      <c r="AN109" s="386"/>
      <c r="AO109" s="387"/>
      <c r="AP109" s="388"/>
      <c r="AQ109" s="310"/>
      <c r="AR109" s="386"/>
      <c r="AS109" s="387"/>
      <c r="AT109" s="388"/>
      <c r="AU109" s="310"/>
      <c r="AV109" s="386"/>
      <c r="AW109" s="387"/>
      <c r="AX109" s="388"/>
      <c r="AY109" s="310"/>
      <c r="AZ109" s="386"/>
      <c r="BA109" s="387"/>
      <c r="BB109" s="388"/>
      <c r="BC109" s="310"/>
      <c r="BD109" s="386"/>
      <c r="BE109" s="387"/>
      <c r="BF109" s="388"/>
      <c r="BG109" s="310"/>
      <c r="BH109" s="386"/>
      <c r="BI109" s="387"/>
      <c r="BJ109" s="388"/>
      <c r="BK109" s="310"/>
      <c r="BL109" s="386"/>
      <c r="BM109" s="387"/>
      <c r="BN109" s="388"/>
      <c r="BO109" s="310"/>
      <c r="BP109" s="386"/>
      <c r="BQ109" s="387"/>
      <c r="BR109" s="388"/>
      <c r="BS109" s="310"/>
      <c r="BT109" s="386"/>
      <c r="BU109" s="387"/>
      <c r="BV109" s="388"/>
      <c r="BW109" s="310"/>
      <c r="BX109" s="386"/>
      <c r="BY109" s="387"/>
      <c r="BZ109" s="388"/>
      <c r="CA109" s="310"/>
      <c r="CB109" s="386"/>
      <c r="CC109" s="387"/>
      <c r="CD109" s="388"/>
      <c r="CE109" s="310"/>
      <c r="CF109" s="386"/>
      <c r="CG109" s="387"/>
      <c r="CH109" s="388"/>
      <c r="CI109" s="310"/>
      <c r="CJ109" s="386"/>
      <c r="CK109" s="387"/>
      <c r="CL109" s="388"/>
      <c r="CM109" s="310"/>
      <c r="CN109" s="386"/>
      <c r="CO109" s="387"/>
      <c r="CP109" s="388"/>
      <c r="CQ109" s="310"/>
      <c r="CR109" s="386"/>
      <c r="CS109" s="387"/>
      <c r="CT109" s="388"/>
      <c r="CU109" s="310"/>
      <c r="CV109" s="386"/>
      <c r="CW109" s="387"/>
      <c r="CX109" s="388"/>
      <c r="CY109" s="310"/>
      <c r="CZ109" s="386"/>
      <c r="DA109" s="387"/>
      <c r="DB109" s="388"/>
      <c r="DC109" s="310"/>
      <c r="DD109" s="386"/>
      <c r="DE109" s="387"/>
      <c r="DF109" s="388"/>
      <c r="DG109" s="310"/>
      <c r="DH109" s="386"/>
      <c r="DI109" s="387"/>
      <c r="DJ109" s="388"/>
      <c r="DK109" s="310"/>
      <c r="DL109" s="386"/>
      <c r="DM109" s="387"/>
      <c r="DN109" s="388"/>
      <c r="DO109" s="310"/>
      <c r="DP109" s="386"/>
      <c r="DQ109" s="387"/>
      <c r="DR109" s="388"/>
      <c r="DS109" s="310"/>
      <c r="DT109" s="386"/>
      <c r="DU109" s="387"/>
      <c r="DV109" s="388"/>
      <c r="DW109" s="310"/>
      <c r="DX109" s="386"/>
      <c r="DY109" s="387"/>
      <c r="DZ109" s="388"/>
      <c r="EA109" s="310"/>
      <c r="EB109" s="386"/>
      <c r="EC109" s="387"/>
      <c r="ED109" s="388"/>
      <c r="EE109" s="310"/>
      <c r="EF109" s="386"/>
      <c r="EG109" s="387"/>
      <c r="EH109" s="388"/>
      <c r="EI109" s="310"/>
      <c r="EJ109" s="386"/>
      <c r="EK109" s="387"/>
      <c r="EL109" s="388"/>
      <c r="EM109" s="310"/>
      <c r="EN109" s="386"/>
      <c r="EO109" s="387"/>
      <c r="EP109" s="388"/>
      <c r="EQ109" s="310"/>
      <c r="ER109" s="386"/>
      <c r="ES109" s="387"/>
      <c r="ET109" s="388"/>
      <c r="EU109" s="310"/>
      <c r="EV109" s="386"/>
      <c r="EW109" s="387"/>
      <c r="EX109" s="388"/>
      <c r="EY109" s="310"/>
      <c r="EZ109" s="386"/>
      <c r="FA109" s="387"/>
      <c r="FB109" s="388"/>
      <c r="FC109" s="310"/>
      <c r="FD109" s="386"/>
      <c r="FE109" s="387"/>
      <c r="FF109" s="388"/>
      <c r="FG109" s="310"/>
      <c r="FH109" s="386"/>
      <c r="FI109" s="387"/>
      <c r="FJ109" s="388"/>
      <c r="FK109" s="310"/>
      <c r="FL109" s="386"/>
      <c r="FM109" s="387"/>
      <c r="FN109" s="388"/>
      <c r="FO109" s="310"/>
      <c r="FP109" s="386"/>
      <c r="FQ109" s="387"/>
      <c r="FR109" s="388"/>
      <c r="FS109" s="310"/>
      <c r="FT109" s="386"/>
      <c r="FU109" s="387"/>
      <c r="FV109" s="388"/>
      <c r="FW109" s="310"/>
      <c r="FX109" s="386"/>
      <c r="FY109" s="387"/>
      <c r="FZ109" s="388"/>
      <c r="GA109" s="310"/>
      <c r="GB109" s="386"/>
      <c r="GC109" s="387"/>
      <c r="GD109" s="388"/>
      <c r="GE109" s="310"/>
      <c r="GF109" s="386"/>
      <c r="GG109" s="387"/>
      <c r="GH109" s="388"/>
      <c r="GI109" s="310"/>
      <c r="GJ109" s="386"/>
      <c r="GK109" s="387"/>
      <c r="GL109" s="388"/>
      <c r="GM109" s="310"/>
      <c r="GN109" s="386"/>
      <c r="GO109" s="387"/>
      <c r="GP109" s="388"/>
      <c r="GQ109" s="310"/>
      <c r="GR109" s="386"/>
      <c r="GS109" s="387"/>
      <c r="GT109" s="388"/>
      <c r="GU109" s="310"/>
      <c r="GV109" s="386"/>
      <c r="GW109" s="387"/>
      <c r="GX109" s="388"/>
      <c r="GY109" s="310"/>
      <c r="GZ109" s="386"/>
      <c r="HA109" s="387"/>
      <c r="HB109" s="388"/>
    </row>
    <row r="110" spans="1:218" ht="20.399999999999999" thickBot="1">
      <c r="A110" s="164"/>
      <c r="B110" s="361"/>
      <c r="C110" s="389" t="s">
        <v>1357</v>
      </c>
      <c r="D110" s="390"/>
      <c r="E110" s="278"/>
      <c r="F110" s="278"/>
      <c r="G110" s="391"/>
      <c r="H110" s="392"/>
      <c r="I110" s="393"/>
      <c r="J110" s="394"/>
      <c r="K110" s="366"/>
      <c r="L110" s="395"/>
      <c r="M110" s="396"/>
      <c r="N110" s="397"/>
      <c r="O110" s="366"/>
      <c r="P110" s="395"/>
      <c r="Q110" s="396"/>
      <c r="R110" s="397"/>
      <c r="S110" s="366"/>
      <c r="T110" s="395"/>
      <c r="U110" s="396"/>
      <c r="V110" s="397"/>
      <c r="W110" s="366"/>
      <c r="X110" s="395"/>
      <c r="Y110" s="396"/>
      <c r="Z110" s="397"/>
      <c r="AA110" s="366"/>
      <c r="AB110" s="395"/>
      <c r="AC110" s="396"/>
      <c r="AD110" s="397"/>
      <c r="AE110" s="366"/>
      <c r="AF110" s="395"/>
      <c r="AG110" s="396"/>
      <c r="AH110" s="397"/>
      <c r="AI110" s="366"/>
      <c r="AJ110" s="395"/>
      <c r="AK110" s="396"/>
      <c r="AL110" s="397"/>
      <c r="AM110" s="366"/>
      <c r="AN110" s="395"/>
      <c r="AO110" s="396"/>
      <c r="AP110" s="397"/>
      <c r="AQ110" s="366"/>
      <c r="AR110" s="395"/>
      <c r="AS110" s="396"/>
      <c r="AT110" s="397"/>
      <c r="AU110" s="366"/>
      <c r="AV110" s="395"/>
      <c r="AW110" s="396"/>
      <c r="AX110" s="397"/>
      <c r="AY110" s="366"/>
      <c r="AZ110" s="395"/>
      <c r="BA110" s="396"/>
      <c r="BB110" s="397"/>
      <c r="BC110" s="366"/>
      <c r="BD110" s="395"/>
      <c r="BE110" s="396"/>
      <c r="BF110" s="397"/>
      <c r="BG110" s="366"/>
      <c r="BH110" s="395"/>
      <c r="BI110" s="396"/>
      <c r="BJ110" s="397"/>
      <c r="BK110" s="366"/>
      <c r="BL110" s="395"/>
      <c r="BM110" s="396"/>
      <c r="BN110" s="397"/>
      <c r="BO110" s="366"/>
      <c r="BP110" s="395"/>
      <c r="BQ110" s="396"/>
      <c r="BR110" s="397"/>
      <c r="BS110" s="366"/>
      <c r="BT110" s="395"/>
      <c r="BU110" s="396"/>
      <c r="BV110" s="397"/>
      <c r="BW110" s="366"/>
      <c r="BX110" s="395"/>
      <c r="BY110" s="396"/>
      <c r="BZ110" s="397"/>
      <c r="CA110" s="366"/>
      <c r="CB110" s="395"/>
      <c r="CC110" s="396"/>
      <c r="CD110" s="397"/>
      <c r="CE110" s="366"/>
      <c r="CF110" s="395"/>
      <c r="CG110" s="396"/>
      <c r="CH110" s="397"/>
      <c r="CI110" s="366"/>
      <c r="CJ110" s="395"/>
      <c r="CK110" s="396"/>
      <c r="CL110" s="397"/>
      <c r="CM110" s="366"/>
      <c r="CN110" s="395"/>
      <c r="CO110" s="396"/>
      <c r="CP110" s="397"/>
      <c r="CQ110" s="366"/>
      <c r="CR110" s="395"/>
      <c r="CS110" s="396"/>
      <c r="CT110" s="397"/>
      <c r="CU110" s="366"/>
      <c r="CV110" s="395"/>
      <c r="CW110" s="396"/>
      <c r="CX110" s="397"/>
      <c r="CY110" s="366"/>
      <c r="CZ110" s="395"/>
      <c r="DA110" s="396"/>
      <c r="DB110" s="397"/>
      <c r="DC110" s="366"/>
      <c r="DD110" s="395"/>
      <c r="DE110" s="396"/>
      <c r="DF110" s="397"/>
      <c r="DG110" s="366"/>
      <c r="DH110" s="395"/>
      <c r="DI110" s="396"/>
      <c r="DJ110" s="397"/>
      <c r="DK110" s="366"/>
      <c r="DL110" s="395"/>
      <c r="DM110" s="396"/>
      <c r="DN110" s="397"/>
      <c r="DO110" s="366"/>
      <c r="DP110" s="395"/>
      <c r="DQ110" s="396"/>
      <c r="DR110" s="397"/>
      <c r="DS110" s="366"/>
      <c r="DT110" s="395"/>
      <c r="DU110" s="396"/>
      <c r="DV110" s="397"/>
      <c r="DW110" s="366"/>
      <c r="DX110" s="395"/>
      <c r="DY110" s="396"/>
      <c r="DZ110" s="397"/>
      <c r="EA110" s="366"/>
      <c r="EB110" s="395"/>
      <c r="EC110" s="396"/>
      <c r="ED110" s="397"/>
      <c r="EE110" s="366"/>
      <c r="EF110" s="395"/>
      <c r="EG110" s="396"/>
      <c r="EH110" s="397"/>
      <c r="EI110" s="366"/>
      <c r="EJ110" s="395"/>
      <c r="EK110" s="396"/>
      <c r="EL110" s="397"/>
      <c r="EM110" s="366"/>
      <c r="EN110" s="395"/>
      <c r="EO110" s="396"/>
      <c r="EP110" s="397"/>
      <c r="EQ110" s="366"/>
      <c r="ER110" s="395"/>
      <c r="ES110" s="396"/>
      <c r="ET110" s="397"/>
      <c r="EU110" s="366"/>
      <c r="EV110" s="395"/>
      <c r="EW110" s="396"/>
      <c r="EX110" s="397"/>
      <c r="EY110" s="366"/>
      <c r="EZ110" s="395"/>
      <c r="FA110" s="396"/>
      <c r="FB110" s="397"/>
      <c r="FC110" s="366"/>
      <c r="FD110" s="395"/>
      <c r="FE110" s="396"/>
      <c r="FF110" s="397"/>
      <c r="FG110" s="366"/>
      <c r="FH110" s="395"/>
      <c r="FI110" s="396"/>
      <c r="FJ110" s="397"/>
      <c r="FK110" s="366"/>
      <c r="FL110" s="395"/>
      <c r="FM110" s="396"/>
      <c r="FN110" s="397"/>
      <c r="FO110" s="366"/>
      <c r="FP110" s="395"/>
      <c r="FQ110" s="396"/>
      <c r="FR110" s="397"/>
      <c r="FS110" s="366"/>
      <c r="FT110" s="395"/>
      <c r="FU110" s="396"/>
      <c r="FV110" s="397"/>
      <c r="FW110" s="366"/>
      <c r="FX110" s="395"/>
      <c r="FY110" s="396"/>
      <c r="FZ110" s="397"/>
      <c r="GA110" s="366"/>
      <c r="GB110" s="395"/>
      <c r="GC110" s="396"/>
      <c r="GD110" s="397"/>
      <c r="GE110" s="366"/>
      <c r="GF110" s="395"/>
      <c r="GG110" s="396"/>
      <c r="GH110" s="397"/>
      <c r="GI110" s="366"/>
      <c r="GJ110" s="395"/>
      <c r="GK110" s="396"/>
      <c r="GL110" s="397"/>
      <c r="GM110" s="366"/>
      <c r="GN110" s="395"/>
      <c r="GO110" s="396"/>
      <c r="GP110" s="397"/>
      <c r="GQ110" s="366"/>
      <c r="GR110" s="395"/>
      <c r="GS110" s="396"/>
      <c r="GT110" s="397"/>
      <c r="GU110" s="366"/>
      <c r="GV110" s="395"/>
      <c r="GW110" s="396"/>
      <c r="GX110" s="397"/>
      <c r="GY110" s="366"/>
      <c r="GZ110" s="395"/>
      <c r="HA110" s="396"/>
      <c r="HB110" s="397"/>
    </row>
    <row r="111" spans="1:218" ht="20.399999999999999" thickBot="1">
      <c r="A111" s="164"/>
      <c r="B111" s="398" t="s">
        <v>1390</v>
      </c>
      <c r="C111" s="399" t="s">
        <v>628</v>
      </c>
      <c r="D111" s="399" t="s">
        <v>464</v>
      </c>
      <c r="E111" s="399" t="s">
        <v>1391</v>
      </c>
      <c r="F111" s="400" t="s">
        <v>1392</v>
      </c>
      <c r="G111" s="400" t="s">
        <v>465</v>
      </c>
      <c r="H111" s="401" t="s">
        <v>629</v>
      </c>
      <c r="I111" s="402"/>
      <c r="J111" s="403"/>
      <c r="K111" s="404" t="s">
        <v>1369</v>
      </c>
      <c r="L111" s="405" t="s">
        <v>1370</v>
      </c>
      <c r="M111" s="405" t="s">
        <v>1371</v>
      </c>
      <c r="N111" s="406"/>
      <c r="O111" s="404" t="s">
        <v>1369</v>
      </c>
      <c r="P111" s="405" t="s">
        <v>1370</v>
      </c>
      <c r="Q111" s="405" t="s">
        <v>1371</v>
      </c>
      <c r="R111" s="406"/>
      <c r="S111" s="404" t="s">
        <v>1369</v>
      </c>
      <c r="T111" s="405" t="s">
        <v>1370</v>
      </c>
      <c r="U111" s="405" t="s">
        <v>1371</v>
      </c>
      <c r="V111" s="406"/>
      <c r="W111" s="404" t="s">
        <v>1369</v>
      </c>
      <c r="X111" s="405" t="s">
        <v>1370</v>
      </c>
      <c r="Y111" s="405" t="s">
        <v>1371</v>
      </c>
      <c r="Z111" s="406"/>
      <c r="AA111" s="404" t="s">
        <v>1369</v>
      </c>
      <c r="AB111" s="405" t="s">
        <v>1370</v>
      </c>
      <c r="AC111" s="405" t="s">
        <v>1371</v>
      </c>
      <c r="AD111" s="406"/>
      <c r="AE111" s="404" t="s">
        <v>1369</v>
      </c>
      <c r="AF111" s="405" t="s">
        <v>1370</v>
      </c>
      <c r="AG111" s="405" t="s">
        <v>1371</v>
      </c>
      <c r="AH111" s="282"/>
      <c r="AI111" s="404" t="s">
        <v>1369</v>
      </c>
      <c r="AJ111" s="405" t="s">
        <v>1370</v>
      </c>
      <c r="AK111" s="405" t="s">
        <v>1371</v>
      </c>
      <c r="AL111" s="282"/>
      <c r="AM111" s="404" t="s">
        <v>1369</v>
      </c>
      <c r="AN111" s="405" t="s">
        <v>1370</v>
      </c>
      <c r="AO111" s="405" t="s">
        <v>1371</v>
      </c>
      <c r="AP111" s="282"/>
      <c r="AQ111" s="404" t="s">
        <v>1369</v>
      </c>
      <c r="AR111" s="405" t="s">
        <v>1370</v>
      </c>
      <c r="AS111" s="405" t="s">
        <v>1371</v>
      </c>
      <c r="AT111" s="282"/>
      <c r="AU111" s="404" t="s">
        <v>1369</v>
      </c>
      <c r="AV111" s="405" t="s">
        <v>1370</v>
      </c>
      <c r="AW111" s="405" t="s">
        <v>1371</v>
      </c>
      <c r="AX111" s="282"/>
      <c r="AY111" s="404" t="s">
        <v>1369</v>
      </c>
      <c r="AZ111" s="405" t="s">
        <v>1370</v>
      </c>
      <c r="BA111" s="405" t="s">
        <v>1371</v>
      </c>
      <c r="BB111" s="282"/>
      <c r="BC111" s="404" t="s">
        <v>1369</v>
      </c>
      <c r="BD111" s="405" t="s">
        <v>1370</v>
      </c>
      <c r="BE111" s="405" t="s">
        <v>1371</v>
      </c>
      <c r="BF111" s="282"/>
      <c r="BG111" s="404" t="s">
        <v>1369</v>
      </c>
      <c r="BH111" s="405" t="s">
        <v>1370</v>
      </c>
      <c r="BI111" s="405" t="s">
        <v>1371</v>
      </c>
      <c r="BJ111" s="282"/>
      <c r="BK111" s="404" t="s">
        <v>1369</v>
      </c>
      <c r="BL111" s="405" t="s">
        <v>1370</v>
      </c>
      <c r="BM111" s="405" t="s">
        <v>1371</v>
      </c>
      <c r="BN111" s="282"/>
      <c r="BO111" s="404" t="s">
        <v>1369</v>
      </c>
      <c r="BP111" s="405" t="s">
        <v>1370</v>
      </c>
      <c r="BQ111" s="405" t="s">
        <v>1371</v>
      </c>
      <c r="BR111" s="282"/>
      <c r="BS111" s="404" t="s">
        <v>1369</v>
      </c>
      <c r="BT111" s="405" t="s">
        <v>1370</v>
      </c>
      <c r="BU111" s="405" t="s">
        <v>1371</v>
      </c>
      <c r="BV111" s="282"/>
      <c r="BW111" s="404" t="s">
        <v>630</v>
      </c>
      <c r="BX111" s="405" t="s">
        <v>570</v>
      </c>
      <c r="BY111" s="405" t="s">
        <v>571</v>
      </c>
      <c r="BZ111" s="282" t="s">
        <v>572</v>
      </c>
      <c r="CA111" s="404" t="s">
        <v>630</v>
      </c>
      <c r="CB111" s="405" t="s">
        <v>570</v>
      </c>
      <c r="CC111" s="405" t="s">
        <v>571</v>
      </c>
      <c r="CD111" s="282" t="s">
        <v>572</v>
      </c>
      <c r="CE111" s="404" t="s">
        <v>630</v>
      </c>
      <c r="CF111" s="405" t="s">
        <v>570</v>
      </c>
      <c r="CG111" s="405" t="s">
        <v>571</v>
      </c>
      <c r="CH111" s="282" t="s">
        <v>572</v>
      </c>
      <c r="CI111" s="404" t="s">
        <v>630</v>
      </c>
      <c r="CJ111" s="405" t="s">
        <v>570</v>
      </c>
      <c r="CK111" s="405" t="s">
        <v>571</v>
      </c>
      <c r="CL111" s="282" t="s">
        <v>572</v>
      </c>
      <c r="CM111" s="404" t="s">
        <v>630</v>
      </c>
      <c r="CN111" s="405" t="s">
        <v>570</v>
      </c>
      <c r="CO111" s="405" t="s">
        <v>571</v>
      </c>
      <c r="CP111" s="282" t="s">
        <v>572</v>
      </c>
      <c r="CQ111" s="404" t="s">
        <v>630</v>
      </c>
      <c r="CR111" s="405" t="s">
        <v>570</v>
      </c>
      <c r="CS111" s="405" t="s">
        <v>571</v>
      </c>
      <c r="CT111" s="282" t="s">
        <v>572</v>
      </c>
      <c r="CU111" s="404" t="s">
        <v>630</v>
      </c>
      <c r="CV111" s="405" t="s">
        <v>570</v>
      </c>
      <c r="CW111" s="405" t="s">
        <v>571</v>
      </c>
      <c r="CX111" s="282" t="s">
        <v>572</v>
      </c>
      <c r="CY111" s="404" t="s">
        <v>630</v>
      </c>
      <c r="CZ111" s="405" t="s">
        <v>570</v>
      </c>
      <c r="DA111" s="405" t="s">
        <v>571</v>
      </c>
      <c r="DB111" s="282" t="s">
        <v>572</v>
      </c>
      <c r="DC111" s="404" t="s">
        <v>630</v>
      </c>
      <c r="DD111" s="405" t="s">
        <v>570</v>
      </c>
      <c r="DE111" s="405" t="s">
        <v>571</v>
      </c>
      <c r="DF111" s="282" t="s">
        <v>572</v>
      </c>
      <c r="DG111" s="404" t="s">
        <v>630</v>
      </c>
      <c r="DH111" s="405" t="s">
        <v>570</v>
      </c>
      <c r="DI111" s="405" t="s">
        <v>571</v>
      </c>
      <c r="DJ111" s="282" t="s">
        <v>572</v>
      </c>
      <c r="DK111" s="404" t="s">
        <v>630</v>
      </c>
      <c r="DL111" s="405" t="s">
        <v>570</v>
      </c>
      <c r="DM111" s="405" t="s">
        <v>571</v>
      </c>
      <c r="DN111" s="282" t="s">
        <v>572</v>
      </c>
      <c r="DO111" s="404" t="s">
        <v>630</v>
      </c>
      <c r="DP111" s="405" t="s">
        <v>570</v>
      </c>
      <c r="DQ111" s="405" t="s">
        <v>571</v>
      </c>
      <c r="DR111" s="282" t="s">
        <v>572</v>
      </c>
      <c r="DS111" s="404" t="s">
        <v>630</v>
      </c>
      <c r="DT111" s="405" t="s">
        <v>570</v>
      </c>
      <c r="DU111" s="405" t="s">
        <v>571</v>
      </c>
      <c r="DV111" s="282" t="s">
        <v>572</v>
      </c>
      <c r="DW111" s="404" t="s">
        <v>630</v>
      </c>
      <c r="DX111" s="405" t="s">
        <v>570</v>
      </c>
      <c r="DY111" s="405" t="s">
        <v>571</v>
      </c>
      <c r="DZ111" s="282" t="s">
        <v>572</v>
      </c>
      <c r="EA111" s="404" t="s">
        <v>630</v>
      </c>
      <c r="EB111" s="405" t="s">
        <v>570</v>
      </c>
      <c r="EC111" s="405" t="s">
        <v>571</v>
      </c>
      <c r="ED111" s="282" t="s">
        <v>572</v>
      </c>
      <c r="EE111" s="404" t="s">
        <v>630</v>
      </c>
      <c r="EF111" s="405" t="s">
        <v>570</v>
      </c>
      <c r="EG111" s="405" t="s">
        <v>571</v>
      </c>
      <c r="EH111" s="282" t="s">
        <v>572</v>
      </c>
      <c r="EI111" s="404" t="s">
        <v>630</v>
      </c>
      <c r="EJ111" s="405" t="s">
        <v>570</v>
      </c>
      <c r="EK111" s="405" t="s">
        <v>571</v>
      </c>
      <c r="EL111" s="282" t="s">
        <v>572</v>
      </c>
      <c r="EM111" s="404" t="s">
        <v>630</v>
      </c>
      <c r="EN111" s="405" t="s">
        <v>570</v>
      </c>
      <c r="EO111" s="405" t="s">
        <v>571</v>
      </c>
      <c r="EP111" s="282" t="s">
        <v>572</v>
      </c>
      <c r="EQ111" s="404" t="s">
        <v>630</v>
      </c>
      <c r="ER111" s="405" t="s">
        <v>570</v>
      </c>
      <c r="ES111" s="405" t="s">
        <v>571</v>
      </c>
      <c r="ET111" s="282" t="s">
        <v>572</v>
      </c>
      <c r="EU111" s="404" t="s">
        <v>630</v>
      </c>
      <c r="EV111" s="405" t="s">
        <v>570</v>
      </c>
      <c r="EW111" s="405" t="s">
        <v>571</v>
      </c>
      <c r="EX111" s="282" t="s">
        <v>572</v>
      </c>
      <c r="EY111" s="404" t="s">
        <v>630</v>
      </c>
      <c r="EZ111" s="405" t="s">
        <v>570</v>
      </c>
      <c r="FA111" s="405" t="s">
        <v>571</v>
      </c>
      <c r="FB111" s="282" t="s">
        <v>572</v>
      </c>
      <c r="FC111" s="404" t="s">
        <v>630</v>
      </c>
      <c r="FD111" s="405" t="s">
        <v>570</v>
      </c>
      <c r="FE111" s="405" t="s">
        <v>571</v>
      </c>
      <c r="FF111" s="282" t="s">
        <v>572</v>
      </c>
      <c r="FG111" s="404" t="s">
        <v>630</v>
      </c>
      <c r="FH111" s="405" t="s">
        <v>570</v>
      </c>
      <c r="FI111" s="405" t="s">
        <v>571</v>
      </c>
      <c r="FJ111" s="282" t="s">
        <v>572</v>
      </c>
      <c r="FK111" s="404" t="s">
        <v>630</v>
      </c>
      <c r="FL111" s="405" t="s">
        <v>570</v>
      </c>
      <c r="FM111" s="405" t="s">
        <v>571</v>
      </c>
      <c r="FN111" s="282" t="s">
        <v>572</v>
      </c>
      <c r="FO111" s="404" t="s">
        <v>630</v>
      </c>
      <c r="FP111" s="405" t="s">
        <v>570</v>
      </c>
      <c r="FQ111" s="405" t="s">
        <v>571</v>
      </c>
      <c r="FR111" s="282" t="s">
        <v>572</v>
      </c>
      <c r="FS111" s="404" t="s">
        <v>630</v>
      </c>
      <c r="FT111" s="405" t="s">
        <v>570</v>
      </c>
      <c r="FU111" s="405" t="s">
        <v>571</v>
      </c>
      <c r="FV111" s="282" t="s">
        <v>572</v>
      </c>
      <c r="FW111" s="404" t="s">
        <v>630</v>
      </c>
      <c r="FX111" s="405" t="s">
        <v>570</v>
      </c>
      <c r="FY111" s="405" t="s">
        <v>571</v>
      </c>
      <c r="FZ111" s="282" t="s">
        <v>572</v>
      </c>
      <c r="GA111" s="404" t="s">
        <v>630</v>
      </c>
      <c r="GB111" s="405" t="s">
        <v>570</v>
      </c>
      <c r="GC111" s="405" t="s">
        <v>571</v>
      </c>
      <c r="GD111" s="282" t="s">
        <v>572</v>
      </c>
      <c r="GE111" s="404" t="s">
        <v>630</v>
      </c>
      <c r="GF111" s="405" t="s">
        <v>570</v>
      </c>
      <c r="GG111" s="405" t="s">
        <v>571</v>
      </c>
      <c r="GH111" s="282" t="s">
        <v>572</v>
      </c>
      <c r="GI111" s="404" t="s">
        <v>630</v>
      </c>
      <c r="GJ111" s="405" t="s">
        <v>570</v>
      </c>
      <c r="GK111" s="405" t="s">
        <v>571</v>
      </c>
      <c r="GL111" s="282" t="s">
        <v>572</v>
      </c>
      <c r="GM111" s="404" t="s">
        <v>630</v>
      </c>
      <c r="GN111" s="405" t="s">
        <v>570</v>
      </c>
      <c r="GO111" s="405" t="s">
        <v>571</v>
      </c>
      <c r="GP111" s="282" t="s">
        <v>572</v>
      </c>
      <c r="GQ111" s="404" t="s">
        <v>630</v>
      </c>
      <c r="GR111" s="405" t="s">
        <v>570</v>
      </c>
      <c r="GS111" s="405" t="s">
        <v>571</v>
      </c>
      <c r="GT111" s="282" t="s">
        <v>572</v>
      </c>
      <c r="GU111" s="404" t="s">
        <v>630</v>
      </c>
      <c r="GV111" s="405" t="s">
        <v>570</v>
      </c>
      <c r="GW111" s="405" t="s">
        <v>571</v>
      </c>
      <c r="GX111" s="282" t="s">
        <v>572</v>
      </c>
      <c r="GY111" s="404" t="s">
        <v>630</v>
      </c>
      <c r="GZ111" s="405" t="s">
        <v>570</v>
      </c>
      <c r="HA111" s="405" t="s">
        <v>571</v>
      </c>
      <c r="HB111" s="282" t="s">
        <v>572</v>
      </c>
      <c r="HC111" s="407" t="s">
        <v>630</v>
      </c>
      <c r="HD111" s="408" t="s">
        <v>570</v>
      </c>
      <c r="HE111" s="408" t="s">
        <v>571</v>
      </c>
      <c r="HF111" s="409" t="s">
        <v>572</v>
      </c>
      <c r="HG111" s="407" t="s">
        <v>630</v>
      </c>
      <c r="HH111" s="408" t="s">
        <v>570</v>
      </c>
      <c r="HI111" s="408" t="s">
        <v>571</v>
      </c>
      <c r="HJ111" s="409" t="s">
        <v>572</v>
      </c>
    </row>
    <row r="112" spans="1:218" ht="19.8">
      <c r="A112" s="164"/>
      <c r="B112" s="410" t="s">
        <v>1393</v>
      </c>
      <c r="C112" s="411"/>
      <c r="D112" s="411"/>
      <c r="E112" s="411"/>
      <c r="F112" s="411"/>
      <c r="G112" s="412"/>
      <c r="H112" s="413"/>
      <c r="I112" s="414"/>
      <c r="J112" s="415"/>
      <c r="K112" s="416"/>
      <c r="L112" s="411"/>
      <c r="M112" s="411"/>
      <c r="N112" s="417"/>
      <c r="O112" s="416"/>
      <c r="P112" s="411"/>
      <c r="Q112" s="411"/>
      <c r="R112" s="417"/>
      <c r="S112" s="416"/>
      <c r="T112" s="411"/>
      <c r="U112" s="411"/>
      <c r="V112" s="417"/>
      <c r="W112" s="416"/>
      <c r="X112" s="411"/>
      <c r="Y112" s="411"/>
      <c r="Z112" s="417"/>
      <c r="AA112" s="416"/>
      <c r="AB112" s="411"/>
      <c r="AC112" s="411"/>
      <c r="AD112" s="417"/>
      <c r="AE112" s="416"/>
      <c r="AF112" s="411"/>
      <c r="AG112" s="411"/>
      <c r="AH112" s="417"/>
      <c r="AI112" s="416"/>
      <c r="AJ112" s="411"/>
      <c r="AK112" s="411"/>
      <c r="AL112" s="417"/>
      <c r="AM112" s="416"/>
      <c r="AN112" s="411"/>
      <c r="AO112" s="411"/>
      <c r="AP112" s="417"/>
      <c r="AQ112" s="416"/>
      <c r="AR112" s="411"/>
      <c r="AS112" s="411"/>
      <c r="AT112" s="417"/>
      <c r="AU112" s="416"/>
      <c r="AV112" s="411"/>
      <c r="AW112" s="411"/>
      <c r="AX112" s="417"/>
      <c r="AY112" s="416"/>
      <c r="AZ112" s="411"/>
      <c r="BA112" s="411"/>
      <c r="BB112" s="417"/>
      <c r="BC112" s="416"/>
      <c r="BD112" s="411"/>
      <c r="BE112" s="411"/>
      <c r="BF112" s="417"/>
      <c r="BG112" s="416"/>
      <c r="BH112" s="411"/>
      <c r="BI112" s="411"/>
      <c r="BJ112" s="417"/>
      <c r="BK112" s="416"/>
      <c r="BL112" s="411"/>
      <c r="BM112" s="411"/>
      <c r="BN112" s="417"/>
      <c r="BO112" s="416"/>
      <c r="BP112" s="411"/>
      <c r="BQ112" s="411"/>
      <c r="BR112" s="417"/>
      <c r="BS112" s="416"/>
      <c r="BT112" s="411"/>
      <c r="BU112" s="411"/>
      <c r="BV112" s="417"/>
      <c r="BW112" s="416"/>
      <c r="BX112" s="411"/>
      <c r="BY112" s="411"/>
      <c r="BZ112" s="417"/>
      <c r="CA112" s="416"/>
      <c r="CB112" s="411"/>
      <c r="CC112" s="411"/>
      <c r="CD112" s="417"/>
      <c r="CE112" s="416"/>
      <c r="CF112" s="411"/>
      <c r="CG112" s="411"/>
      <c r="CH112" s="417"/>
      <c r="CI112" s="416"/>
      <c r="CJ112" s="411"/>
      <c r="CK112" s="411"/>
      <c r="CL112" s="417"/>
      <c r="CM112" s="416"/>
      <c r="CN112" s="411"/>
      <c r="CO112" s="411"/>
      <c r="CP112" s="417"/>
      <c r="CQ112" s="416"/>
      <c r="CR112" s="411"/>
      <c r="CS112" s="411"/>
      <c r="CT112" s="417"/>
      <c r="CU112" s="416"/>
      <c r="CV112" s="411"/>
      <c r="CW112" s="411"/>
      <c r="CX112" s="417"/>
      <c r="CY112" s="416"/>
      <c r="CZ112" s="411"/>
      <c r="DA112" s="411"/>
      <c r="DB112" s="417"/>
      <c r="DC112" s="416"/>
      <c r="DD112" s="411"/>
      <c r="DE112" s="411"/>
      <c r="DF112" s="417"/>
      <c r="DG112" s="416"/>
      <c r="DH112" s="411"/>
      <c r="DI112" s="411"/>
      <c r="DJ112" s="417"/>
      <c r="DK112" s="416"/>
      <c r="DL112" s="411"/>
      <c r="DM112" s="411"/>
      <c r="DN112" s="417"/>
      <c r="DO112" s="416"/>
      <c r="DP112" s="411"/>
      <c r="DQ112" s="411"/>
      <c r="DR112" s="417"/>
      <c r="DS112" s="416"/>
      <c r="DT112" s="411"/>
      <c r="DU112" s="411"/>
      <c r="DV112" s="417"/>
      <c r="DW112" s="416"/>
      <c r="DX112" s="411"/>
      <c r="DY112" s="411"/>
      <c r="DZ112" s="417"/>
      <c r="EA112" s="416"/>
      <c r="EB112" s="411"/>
      <c r="EC112" s="411"/>
      <c r="ED112" s="417"/>
      <c r="EE112" s="416"/>
      <c r="EF112" s="411"/>
      <c r="EG112" s="411"/>
      <c r="EH112" s="417"/>
      <c r="EI112" s="416"/>
      <c r="EJ112" s="411"/>
      <c r="EK112" s="411"/>
      <c r="EL112" s="417"/>
      <c r="EM112" s="416"/>
      <c r="EN112" s="411"/>
      <c r="EO112" s="411"/>
      <c r="EP112" s="417"/>
      <c r="EQ112" s="416"/>
      <c r="ER112" s="411"/>
      <c r="ES112" s="411"/>
      <c r="ET112" s="417"/>
      <c r="EU112" s="416"/>
      <c r="EV112" s="411"/>
      <c r="EW112" s="411"/>
      <c r="EX112" s="417"/>
      <c r="EY112" s="416"/>
      <c r="EZ112" s="411"/>
      <c r="FA112" s="411"/>
      <c r="FB112" s="417"/>
      <c r="FC112" s="416"/>
      <c r="FD112" s="411"/>
      <c r="FE112" s="411"/>
      <c r="FF112" s="417"/>
      <c r="FG112" s="416"/>
      <c r="FH112" s="411"/>
      <c r="FI112" s="411"/>
      <c r="FJ112" s="417"/>
      <c r="FK112" s="416"/>
      <c r="FL112" s="411"/>
      <c r="FM112" s="411"/>
      <c r="FN112" s="417"/>
      <c r="FO112" s="416"/>
      <c r="FP112" s="411"/>
      <c r="FQ112" s="411"/>
      <c r="FR112" s="417"/>
      <c r="FS112" s="416"/>
      <c r="FT112" s="411"/>
      <c r="FU112" s="411"/>
      <c r="FV112" s="417"/>
      <c r="FW112" s="416"/>
      <c r="FX112" s="411"/>
      <c r="FY112" s="411"/>
      <c r="FZ112" s="417"/>
      <c r="GA112" s="416"/>
      <c r="GB112" s="411"/>
      <c r="GC112" s="411"/>
      <c r="GD112" s="417"/>
      <c r="GE112" s="416"/>
      <c r="GF112" s="411"/>
      <c r="GG112" s="411"/>
      <c r="GH112" s="417"/>
      <c r="GI112" s="416"/>
      <c r="GJ112" s="411"/>
      <c r="GK112" s="411"/>
      <c r="GL112" s="417"/>
      <c r="GM112" s="416"/>
      <c r="GN112" s="411"/>
      <c r="GO112" s="411"/>
      <c r="GP112" s="417"/>
      <c r="GQ112" s="416"/>
      <c r="GR112" s="411"/>
      <c r="GS112" s="411"/>
      <c r="GT112" s="417"/>
      <c r="GU112" s="416"/>
      <c r="GV112" s="411"/>
      <c r="GW112" s="411"/>
      <c r="GX112" s="417"/>
      <c r="GY112" s="416"/>
      <c r="GZ112" s="411"/>
      <c r="HA112" s="411"/>
      <c r="HB112" s="417"/>
      <c r="HC112" s="418">
        <f t="shared" ref="HC112:HF143" si="75">K112+O112+S112+W112+AA112+AE112+AI112+AM112+AQ112+AU112+AY112+BC112+BG112+BK112+BO112+BS112+BW112+CA112+CE112+CI112+CM112+CQ112+CU112+CY112+DC112+DG112+DK112+DO112+DS112+DW112+EA112+EE112+EI112+EM112+EQ112+EU112+EY112+FC112+FG112+FK112+FO112+FS112+FW112+GA112+GE112+GI112+GM112+GQ112+GU112+GY112</f>
        <v>0</v>
      </c>
      <c r="HD112" s="419">
        <f t="shared" si="75"/>
        <v>0</v>
      </c>
      <c r="HE112" s="419">
        <f t="shared" si="75"/>
        <v>0</v>
      </c>
      <c r="HF112" s="420"/>
      <c r="HG112" s="418">
        <f>SUM(SUMIFS(K112:HB112,$K$13:$HB$13,{"エネルギー管理指定工場等*","県域*"}))</f>
        <v>0</v>
      </c>
      <c r="HH112" s="419">
        <f>SUM(SUMIFS(L112:HC112,$K$13:$HB$13,{"エネルギー管理指定工場等*","県域*"}))</f>
        <v>0</v>
      </c>
      <c r="HI112" s="419">
        <f>SUM(SUMIFS(M112:HD112,$K$13:$HB$13,{"エネルギー管理指定工場等*","県域*"}))</f>
        <v>0</v>
      </c>
      <c r="HJ112" s="420"/>
    </row>
    <row r="113" spans="1:218" ht="19.8">
      <c r="A113" s="164"/>
      <c r="B113" s="421" t="s">
        <v>1394</v>
      </c>
      <c r="C113" s="422"/>
      <c r="D113" s="422"/>
      <c r="E113" s="422"/>
      <c r="F113" s="422"/>
      <c r="G113" s="423"/>
      <c r="H113" s="424"/>
      <c r="I113" s="425"/>
      <c r="J113" s="426"/>
      <c r="K113" s="427"/>
      <c r="L113" s="422"/>
      <c r="M113" s="422"/>
      <c r="N113" s="428"/>
      <c r="O113" s="427"/>
      <c r="P113" s="422"/>
      <c r="Q113" s="422"/>
      <c r="R113" s="428"/>
      <c r="S113" s="427"/>
      <c r="T113" s="422"/>
      <c r="U113" s="422"/>
      <c r="V113" s="428"/>
      <c r="W113" s="427"/>
      <c r="X113" s="422"/>
      <c r="Y113" s="422"/>
      <c r="Z113" s="428"/>
      <c r="AA113" s="427"/>
      <c r="AB113" s="422"/>
      <c r="AC113" s="422"/>
      <c r="AD113" s="428"/>
      <c r="AE113" s="427"/>
      <c r="AF113" s="422"/>
      <c r="AG113" s="422"/>
      <c r="AH113" s="428"/>
      <c r="AI113" s="427"/>
      <c r="AJ113" s="422"/>
      <c r="AK113" s="422"/>
      <c r="AL113" s="428"/>
      <c r="AM113" s="427"/>
      <c r="AN113" s="422"/>
      <c r="AO113" s="422"/>
      <c r="AP113" s="428"/>
      <c r="AQ113" s="427"/>
      <c r="AR113" s="422"/>
      <c r="AS113" s="422"/>
      <c r="AT113" s="428"/>
      <c r="AU113" s="427"/>
      <c r="AV113" s="422"/>
      <c r="AW113" s="422"/>
      <c r="AX113" s="428"/>
      <c r="AY113" s="427"/>
      <c r="AZ113" s="422"/>
      <c r="BA113" s="422"/>
      <c r="BB113" s="428"/>
      <c r="BC113" s="427"/>
      <c r="BD113" s="422"/>
      <c r="BE113" s="422"/>
      <c r="BF113" s="428"/>
      <c r="BG113" s="427"/>
      <c r="BH113" s="422"/>
      <c r="BI113" s="422"/>
      <c r="BJ113" s="428"/>
      <c r="BK113" s="427"/>
      <c r="BL113" s="422"/>
      <c r="BM113" s="422"/>
      <c r="BN113" s="428"/>
      <c r="BO113" s="427"/>
      <c r="BP113" s="422"/>
      <c r="BQ113" s="422"/>
      <c r="BR113" s="428"/>
      <c r="BS113" s="427"/>
      <c r="BT113" s="422"/>
      <c r="BU113" s="422"/>
      <c r="BV113" s="428"/>
      <c r="BW113" s="427"/>
      <c r="BX113" s="422"/>
      <c r="BY113" s="422"/>
      <c r="BZ113" s="428"/>
      <c r="CA113" s="427"/>
      <c r="CB113" s="422"/>
      <c r="CC113" s="422"/>
      <c r="CD113" s="428"/>
      <c r="CE113" s="427"/>
      <c r="CF113" s="422"/>
      <c r="CG113" s="422"/>
      <c r="CH113" s="428"/>
      <c r="CI113" s="427"/>
      <c r="CJ113" s="422"/>
      <c r="CK113" s="422"/>
      <c r="CL113" s="428"/>
      <c r="CM113" s="427"/>
      <c r="CN113" s="422"/>
      <c r="CO113" s="422"/>
      <c r="CP113" s="428"/>
      <c r="CQ113" s="427"/>
      <c r="CR113" s="422"/>
      <c r="CS113" s="422"/>
      <c r="CT113" s="428"/>
      <c r="CU113" s="427"/>
      <c r="CV113" s="422"/>
      <c r="CW113" s="422"/>
      <c r="CX113" s="428"/>
      <c r="CY113" s="427"/>
      <c r="CZ113" s="422"/>
      <c r="DA113" s="422"/>
      <c r="DB113" s="428"/>
      <c r="DC113" s="427"/>
      <c r="DD113" s="422"/>
      <c r="DE113" s="422"/>
      <c r="DF113" s="428"/>
      <c r="DG113" s="427"/>
      <c r="DH113" s="422"/>
      <c r="DI113" s="422"/>
      <c r="DJ113" s="428"/>
      <c r="DK113" s="427"/>
      <c r="DL113" s="422"/>
      <c r="DM113" s="422"/>
      <c r="DN113" s="428"/>
      <c r="DO113" s="427"/>
      <c r="DP113" s="422"/>
      <c r="DQ113" s="422"/>
      <c r="DR113" s="428"/>
      <c r="DS113" s="427"/>
      <c r="DT113" s="422"/>
      <c r="DU113" s="422"/>
      <c r="DV113" s="428"/>
      <c r="DW113" s="427"/>
      <c r="DX113" s="422"/>
      <c r="DY113" s="422"/>
      <c r="DZ113" s="428"/>
      <c r="EA113" s="427"/>
      <c r="EB113" s="422"/>
      <c r="EC113" s="422"/>
      <c r="ED113" s="428"/>
      <c r="EE113" s="427"/>
      <c r="EF113" s="422"/>
      <c r="EG113" s="422"/>
      <c r="EH113" s="428"/>
      <c r="EI113" s="427"/>
      <c r="EJ113" s="422"/>
      <c r="EK113" s="422"/>
      <c r="EL113" s="428"/>
      <c r="EM113" s="427"/>
      <c r="EN113" s="422"/>
      <c r="EO113" s="422"/>
      <c r="EP113" s="428"/>
      <c r="EQ113" s="427"/>
      <c r="ER113" s="422"/>
      <c r="ES113" s="422"/>
      <c r="ET113" s="428"/>
      <c r="EU113" s="427"/>
      <c r="EV113" s="422"/>
      <c r="EW113" s="422"/>
      <c r="EX113" s="428"/>
      <c r="EY113" s="427"/>
      <c r="EZ113" s="422"/>
      <c r="FA113" s="422"/>
      <c r="FB113" s="428"/>
      <c r="FC113" s="427"/>
      <c r="FD113" s="422"/>
      <c r="FE113" s="422"/>
      <c r="FF113" s="428"/>
      <c r="FG113" s="427"/>
      <c r="FH113" s="422"/>
      <c r="FI113" s="422"/>
      <c r="FJ113" s="428"/>
      <c r="FK113" s="427"/>
      <c r="FL113" s="422"/>
      <c r="FM113" s="422"/>
      <c r="FN113" s="428"/>
      <c r="FO113" s="427"/>
      <c r="FP113" s="422"/>
      <c r="FQ113" s="422"/>
      <c r="FR113" s="428"/>
      <c r="FS113" s="427"/>
      <c r="FT113" s="422"/>
      <c r="FU113" s="422"/>
      <c r="FV113" s="428"/>
      <c r="FW113" s="427"/>
      <c r="FX113" s="422"/>
      <c r="FY113" s="422"/>
      <c r="FZ113" s="428"/>
      <c r="GA113" s="427"/>
      <c r="GB113" s="422"/>
      <c r="GC113" s="422"/>
      <c r="GD113" s="428"/>
      <c r="GE113" s="427"/>
      <c r="GF113" s="422"/>
      <c r="GG113" s="422"/>
      <c r="GH113" s="428"/>
      <c r="GI113" s="427"/>
      <c r="GJ113" s="422"/>
      <c r="GK113" s="422"/>
      <c r="GL113" s="428"/>
      <c r="GM113" s="427"/>
      <c r="GN113" s="422"/>
      <c r="GO113" s="422"/>
      <c r="GP113" s="428"/>
      <c r="GQ113" s="427"/>
      <c r="GR113" s="422"/>
      <c r="GS113" s="422"/>
      <c r="GT113" s="428"/>
      <c r="GU113" s="427"/>
      <c r="GV113" s="422"/>
      <c r="GW113" s="422"/>
      <c r="GX113" s="428"/>
      <c r="GY113" s="427"/>
      <c r="GZ113" s="422"/>
      <c r="HA113" s="422"/>
      <c r="HB113" s="428"/>
      <c r="HC113" s="429">
        <f t="shared" si="75"/>
        <v>0</v>
      </c>
      <c r="HD113" s="430">
        <f t="shared" si="75"/>
        <v>0</v>
      </c>
      <c r="HE113" s="430">
        <f t="shared" si="75"/>
        <v>0</v>
      </c>
      <c r="HF113" s="431"/>
      <c r="HG113" s="429">
        <f>SUM(SUMIFS(K113:HB113,$K$13:$HB$13,{"エネルギー管理指定工場等*","県域*"}))</f>
        <v>0</v>
      </c>
      <c r="HH113" s="432">
        <f>SUM(SUMIFS(L113:HC113,$K$13:$HB$13,{"エネルギー管理指定工場等*","県域*"}))</f>
        <v>0</v>
      </c>
      <c r="HI113" s="432">
        <f>SUM(SUMIFS(M113:HD113,$K$13:$HB$13,{"エネルギー管理指定工場等*","県域*"}))</f>
        <v>0</v>
      </c>
      <c r="HJ113" s="433"/>
    </row>
    <row r="114" spans="1:218" ht="19.8">
      <c r="A114" s="164"/>
      <c r="B114" s="421" t="s">
        <v>1395</v>
      </c>
      <c r="C114" s="422"/>
      <c r="D114" s="422"/>
      <c r="E114" s="422"/>
      <c r="F114" s="422"/>
      <c r="G114" s="423"/>
      <c r="H114" s="424"/>
      <c r="I114" s="425"/>
      <c r="J114" s="426"/>
      <c r="K114" s="427"/>
      <c r="L114" s="422"/>
      <c r="M114" s="422"/>
      <c r="N114" s="428"/>
      <c r="O114" s="427"/>
      <c r="P114" s="422"/>
      <c r="Q114" s="422"/>
      <c r="R114" s="428"/>
      <c r="S114" s="427"/>
      <c r="T114" s="422"/>
      <c r="U114" s="422"/>
      <c r="V114" s="428"/>
      <c r="W114" s="427"/>
      <c r="X114" s="422"/>
      <c r="Y114" s="422"/>
      <c r="Z114" s="428"/>
      <c r="AA114" s="427"/>
      <c r="AB114" s="422"/>
      <c r="AC114" s="422"/>
      <c r="AD114" s="428"/>
      <c r="AE114" s="427"/>
      <c r="AF114" s="422"/>
      <c r="AG114" s="422"/>
      <c r="AH114" s="428"/>
      <c r="AI114" s="427"/>
      <c r="AJ114" s="422"/>
      <c r="AK114" s="422"/>
      <c r="AL114" s="428"/>
      <c r="AM114" s="427"/>
      <c r="AN114" s="422"/>
      <c r="AO114" s="422"/>
      <c r="AP114" s="428"/>
      <c r="AQ114" s="427"/>
      <c r="AR114" s="422"/>
      <c r="AS114" s="422"/>
      <c r="AT114" s="428"/>
      <c r="AU114" s="427"/>
      <c r="AV114" s="422"/>
      <c r="AW114" s="422"/>
      <c r="AX114" s="428"/>
      <c r="AY114" s="427"/>
      <c r="AZ114" s="422"/>
      <c r="BA114" s="422"/>
      <c r="BB114" s="428"/>
      <c r="BC114" s="427"/>
      <c r="BD114" s="422"/>
      <c r="BE114" s="422"/>
      <c r="BF114" s="428"/>
      <c r="BG114" s="427"/>
      <c r="BH114" s="422"/>
      <c r="BI114" s="422"/>
      <c r="BJ114" s="428"/>
      <c r="BK114" s="427"/>
      <c r="BL114" s="422"/>
      <c r="BM114" s="422"/>
      <c r="BN114" s="428"/>
      <c r="BO114" s="427"/>
      <c r="BP114" s="422"/>
      <c r="BQ114" s="422"/>
      <c r="BR114" s="428"/>
      <c r="BS114" s="427"/>
      <c r="BT114" s="422"/>
      <c r="BU114" s="422"/>
      <c r="BV114" s="428"/>
      <c r="BW114" s="427"/>
      <c r="BX114" s="422"/>
      <c r="BY114" s="422"/>
      <c r="BZ114" s="428"/>
      <c r="CA114" s="427"/>
      <c r="CB114" s="422"/>
      <c r="CC114" s="422"/>
      <c r="CD114" s="428"/>
      <c r="CE114" s="427"/>
      <c r="CF114" s="422"/>
      <c r="CG114" s="422"/>
      <c r="CH114" s="428"/>
      <c r="CI114" s="427"/>
      <c r="CJ114" s="422"/>
      <c r="CK114" s="422"/>
      <c r="CL114" s="428"/>
      <c r="CM114" s="427"/>
      <c r="CN114" s="422"/>
      <c r="CO114" s="422"/>
      <c r="CP114" s="428"/>
      <c r="CQ114" s="427"/>
      <c r="CR114" s="422"/>
      <c r="CS114" s="422"/>
      <c r="CT114" s="428"/>
      <c r="CU114" s="427"/>
      <c r="CV114" s="422"/>
      <c r="CW114" s="422"/>
      <c r="CX114" s="428"/>
      <c r="CY114" s="427"/>
      <c r="CZ114" s="422"/>
      <c r="DA114" s="422"/>
      <c r="DB114" s="428"/>
      <c r="DC114" s="427"/>
      <c r="DD114" s="422"/>
      <c r="DE114" s="422"/>
      <c r="DF114" s="428"/>
      <c r="DG114" s="427"/>
      <c r="DH114" s="422"/>
      <c r="DI114" s="422"/>
      <c r="DJ114" s="428"/>
      <c r="DK114" s="427"/>
      <c r="DL114" s="422"/>
      <c r="DM114" s="422"/>
      <c r="DN114" s="428"/>
      <c r="DO114" s="427"/>
      <c r="DP114" s="422"/>
      <c r="DQ114" s="422"/>
      <c r="DR114" s="428"/>
      <c r="DS114" s="427"/>
      <c r="DT114" s="422"/>
      <c r="DU114" s="422"/>
      <c r="DV114" s="428"/>
      <c r="DW114" s="427"/>
      <c r="DX114" s="422"/>
      <c r="DY114" s="422"/>
      <c r="DZ114" s="428"/>
      <c r="EA114" s="427"/>
      <c r="EB114" s="422"/>
      <c r="EC114" s="422"/>
      <c r="ED114" s="428"/>
      <c r="EE114" s="427"/>
      <c r="EF114" s="422"/>
      <c r="EG114" s="422"/>
      <c r="EH114" s="428"/>
      <c r="EI114" s="427"/>
      <c r="EJ114" s="422"/>
      <c r="EK114" s="422"/>
      <c r="EL114" s="428"/>
      <c r="EM114" s="427"/>
      <c r="EN114" s="422"/>
      <c r="EO114" s="422"/>
      <c r="EP114" s="428"/>
      <c r="EQ114" s="427"/>
      <c r="ER114" s="422"/>
      <c r="ES114" s="422"/>
      <c r="ET114" s="428"/>
      <c r="EU114" s="427"/>
      <c r="EV114" s="422"/>
      <c r="EW114" s="422"/>
      <c r="EX114" s="428"/>
      <c r="EY114" s="427"/>
      <c r="EZ114" s="422"/>
      <c r="FA114" s="422"/>
      <c r="FB114" s="428"/>
      <c r="FC114" s="427"/>
      <c r="FD114" s="422"/>
      <c r="FE114" s="422"/>
      <c r="FF114" s="428"/>
      <c r="FG114" s="427"/>
      <c r="FH114" s="422"/>
      <c r="FI114" s="422"/>
      <c r="FJ114" s="428"/>
      <c r="FK114" s="427"/>
      <c r="FL114" s="422"/>
      <c r="FM114" s="422"/>
      <c r="FN114" s="428"/>
      <c r="FO114" s="427"/>
      <c r="FP114" s="422"/>
      <c r="FQ114" s="422"/>
      <c r="FR114" s="428"/>
      <c r="FS114" s="427"/>
      <c r="FT114" s="422"/>
      <c r="FU114" s="422"/>
      <c r="FV114" s="428"/>
      <c r="FW114" s="427"/>
      <c r="FX114" s="422"/>
      <c r="FY114" s="422"/>
      <c r="FZ114" s="428"/>
      <c r="GA114" s="427"/>
      <c r="GB114" s="422"/>
      <c r="GC114" s="422"/>
      <c r="GD114" s="428"/>
      <c r="GE114" s="427"/>
      <c r="GF114" s="422"/>
      <c r="GG114" s="422"/>
      <c r="GH114" s="428"/>
      <c r="GI114" s="427"/>
      <c r="GJ114" s="422"/>
      <c r="GK114" s="422"/>
      <c r="GL114" s="428"/>
      <c r="GM114" s="427"/>
      <c r="GN114" s="422"/>
      <c r="GO114" s="422"/>
      <c r="GP114" s="428"/>
      <c r="GQ114" s="427"/>
      <c r="GR114" s="422"/>
      <c r="GS114" s="422"/>
      <c r="GT114" s="428"/>
      <c r="GU114" s="427"/>
      <c r="GV114" s="422"/>
      <c r="GW114" s="422"/>
      <c r="GX114" s="428"/>
      <c r="GY114" s="427"/>
      <c r="GZ114" s="422"/>
      <c r="HA114" s="422"/>
      <c r="HB114" s="428"/>
      <c r="HC114" s="434">
        <f t="shared" si="75"/>
        <v>0</v>
      </c>
      <c r="HD114" s="432">
        <f t="shared" si="75"/>
        <v>0</v>
      </c>
      <c r="HE114" s="432">
        <f t="shared" si="75"/>
        <v>0</v>
      </c>
      <c r="HF114" s="433"/>
      <c r="HG114" s="434">
        <f>SUM(SUMIFS(K114:HB114,$K$13:$HB$13,{"エネルギー管理指定工場等*","県域*"}))</f>
        <v>0</v>
      </c>
      <c r="HH114" s="432">
        <f>SUM(SUMIFS(L114:HC114,$K$13:$HB$13,{"エネルギー管理指定工場等*","県域*"}))</f>
        <v>0</v>
      </c>
      <c r="HI114" s="432">
        <f>SUM(SUMIFS(M114:HD114,$K$13:$HB$13,{"エネルギー管理指定工場等*","県域*"}))</f>
        <v>0</v>
      </c>
      <c r="HJ114" s="433"/>
    </row>
    <row r="115" spans="1:218" ht="19.8">
      <c r="A115" s="164"/>
      <c r="B115" s="421" t="s">
        <v>1396</v>
      </c>
      <c r="C115" s="422"/>
      <c r="D115" s="422"/>
      <c r="E115" s="422"/>
      <c r="F115" s="422"/>
      <c r="G115" s="423"/>
      <c r="H115" s="424"/>
      <c r="I115" s="425"/>
      <c r="J115" s="426"/>
      <c r="K115" s="427"/>
      <c r="L115" s="422"/>
      <c r="M115" s="422"/>
      <c r="N115" s="428"/>
      <c r="O115" s="427"/>
      <c r="P115" s="422"/>
      <c r="Q115" s="422"/>
      <c r="R115" s="428"/>
      <c r="S115" s="427"/>
      <c r="T115" s="422"/>
      <c r="U115" s="422"/>
      <c r="V115" s="428"/>
      <c r="W115" s="427"/>
      <c r="X115" s="422"/>
      <c r="Y115" s="422"/>
      <c r="Z115" s="428"/>
      <c r="AA115" s="427"/>
      <c r="AB115" s="422"/>
      <c r="AC115" s="422"/>
      <c r="AD115" s="428"/>
      <c r="AE115" s="427"/>
      <c r="AF115" s="422"/>
      <c r="AG115" s="422"/>
      <c r="AH115" s="428"/>
      <c r="AI115" s="427"/>
      <c r="AJ115" s="422"/>
      <c r="AK115" s="422"/>
      <c r="AL115" s="428"/>
      <c r="AM115" s="427"/>
      <c r="AN115" s="422"/>
      <c r="AO115" s="422"/>
      <c r="AP115" s="428"/>
      <c r="AQ115" s="427"/>
      <c r="AR115" s="422"/>
      <c r="AS115" s="422"/>
      <c r="AT115" s="428"/>
      <c r="AU115" s="427"/>
      <c r="AV115" s="422"/>
      <c r="AW115" s="422"/>
      <c r="AX115" s="428"/>
      <c r="AY115" s="427"/>
      <c r="AZ115" s="422"/>
      <c r="BA115" s="422"/>
      <c r="BB115" s="428"/>
      <c r="BC115" s="427"/>
      <c r="BD115" s="422"/>
      <c r="BE115" s="422"/>
      <c r="BF115" s="428"/>
      <c r="BG115" s="427"/>
      <c r="BH115" s="422"/>
      <c r="BI115" s="422"/>
      <c r="BJ115" s="428"/>
      <c r="BK115" s="427"/>
      <c r="BL115" s="422"/>
      <c r="BM115" s="422"/>
      <c r="BN115" s="428"/>
      <c r="BO115" s="427"/>
      <c r="BP115" s="422"/>
      <c r="BQ115" s="422"/>
      <c r="BR115" s="428"/>
      <c r="BS115" s="427"/>
      <c r="BT115" s="422"/>
      <c r="BU115" s="422"/>
      <c r="BV115" s="428"/>
      <c r="BW115" s="427"/>
      <c r="BX115" s="422"/>
      <c r="BY115" s="422"/>
      <c r="BZ115" s="428"/>
      <c r="CA115" s="427"/>
      <c r="CB115" s="422"/>
      <c r="CC115" s="422"/>
      <c r="CD115" s="428"/>
      <c r="CE115" s="427"/>
      <c r="CF115" s="422"/>
      <c r="CG115" s="422"/>
      <c r="CH115" s="428"/>
      <c r="CI115" s="427"/>
      <c r="CJ115" s="422"/>
      <c r="CK115" s="422"/>
      <c r="CL115" s="428"/>
      <c r="CM115" s="427"/>
      <c r="CN115" s="422"/>
      <c r="CO115" s="422"/>
      <c r="CP115" s="428"/>
      <c r="CQ115" s="427"/>
      <c r="CR115" s="422"/>
      <c r="CS115" s="422"/>
      <c r="CT115" s="428"/>
      <c r="CU115" s="427"/>
      <c r="CV115" s="422"/>
      <c r="CW115" s="422"/>
      <c r="CX115" s="428"/>
      <c r="CY115" s="427"/>
      <c r="CZ115" s="422"/>
      <c r="DA115" s="422"/>
      <c r="DB115" s="428"/>
      <c r="DC115" s="427"/>
      <c r="DD115" s="422"/>
      <c r="DE115" s="422"/>
      <c r="DF115" s="428"/>
      <c r="DG115" s="427"/>
      <c r="DH115" s="422"/>
      <c r="DI115" s="422"/>
      <c r="DJ115" s="428"/>
      <c r="DK115" s="427"/>
      <c r="DL115" s="422"/>
      <c r="DM115" s="422"/>
      <c r="DN115" s="428"/>
      <c r="DO115" s="427"/>
      <c r="DP115" s="422"/>
      <c r="DQ115" s="422"/>
      <c r="DR115" s="428"/>
      <c r="DS115" s="427"/>
      <c r="DT115" s="422"/>
      <c r="DU115" s="422"/>
      <c r="DV115" s="428"/>
      <c r="DW115" s="427"/>
      <c r="DX115" s="422"/>
      <c r="DY115" s="422"/>
      <c r="DZ115" s="428"/>
      <c r="EA115" s="427"/>
      <c r="EB115" s="422"/>
      <c r="EC115" s="422"/>
      <c r="ED115" s="428"/>
      <c r="EE115" s="427"/>
      <c r="EF115" s="422"/>
      <c r="EG115" s="422"/>
      <c r="EH115" s="428"/>
      <c r="EI115" s="427"/>
      <c r="EJ115" s="422"/>
      <c r="EK115" s="422"/>
      <c r="EL115" s="428"/>
      <c r="EM115" s="427"/>
      <c r="EN115" s="422"/>
      <c r="EO115" s="422"/>
      <c r="EP115" s="428"/>
      <c r="EQ115" s="427"/>
      <c r="ER115" s="422"/>
      <c r="ES115" s="422"/>
      <c r="ET115" s="428"/>
      <c r="EU115" s="427"/>
      <c r="EV115" s="422"/>
      <c r="EW115" s="422"/>
      <c r="EX115" s="428"/>
      <c r="EY115" s="427"/>
      <c r="EZ115" s="422"/>
      <c r="FA115" s="422"/>
      <c r="FB115" s="428"/>
      <c r="FC115" s="427"/>
      <c r="FD115" s="422"/>
      <c r="FE115" s="422"/>
      <c r="FF115" s="428"/>
      <c r="FG115" s="427"/>
      <c r="FH115" s="422"/>
      <c r="FI115" s="422"/>
      <c r="FJ115" s="428"/>
      <c r="FK115" s="427"/>
      <c r="FL115" s="422"/>
      <c r="FM115" s="422"/>
      <c r="FN115" s="428"/>
      <c r="FO115" s="427"/>
      <c r="FP115" s="422"/>
      <c r="FQ115" s="422"/>
      <c r="FR115" s="428"/>
      <c r="FS115" s="427"/>
      <c r="FT115" s="422"/>
      <c r="FU115" s="422"/>
      <c r="FV115" s="428"/>
      <c r="FW115" s="427"/>
      <c r="FX115" s="422"/>
      <c r="FY115" s="422"/>
      <c r="FZ115" s="428"/>
      <c r="GA115" s="427"/>
      <c r="GB115" s="422"/>
      <c r="GC115" s="422"/>
      <c r="GD115" s="428"/>
      <c r="GE115" s="427"/>
      <c r="GF115" s="422"/>
      <c r="GG115" s="422"/>
      <c r="GH115" s="428"/>
      <c r="GI115" s="427"/>
      <c r="GJ115" s="422"/>
      <c r="GK115" s="422"/>
      <c r="GL115" s="428"/>
      <c r="GM115" s="427"/>
      <c r="GN115" s="422"/>
      <c r="GO115" s="422"/>
      <c r="GP115" s="428"/>
      <c r="GQ115" s="427"/>
      <c r="GR115" s="422"/>
      <c r="GS115" s="422"/>
      <c r="GT115" s="428"/>
      <c r="GU115" s="427"/>
      <c r="GV115" s="422"/>
      <c r="GW115" s="422"/>
      <c r="GX115" s="428"/>
      <c r="GY115" s="427"/>
      <c r="GZ115" s="422"/>
      <c r="HA115" s="422"/>
      <c r="HB115" s="428"/>
      <c r="HC115" s="434">
        <f t="shared" si="75"/>
        <v>0</v>
      </c>
      <c r="HD115" s="432">
        <f t="shared" si="75"/>
        <v>0</v>
      </c>
      <c r="HE115" s="432">
        <f t="shared" si="75"/>
        <v>0</v>
      </c>
      <c r="HF115" s="433"/>
      <c r="HG115" s="434">
        <f>SUM(SUMIFS(K115:HB115,$K$13:$HB$13,{"エネルギー管理指定工場等*","県域*"}))</f>
        <v>0</v>
      </c>
      <c r="HH115" s="432">
        <f>SUM(SUMIFS(L115:HC115,$K$13:$HB$13,{"エネルギー管理指定工場等*","県域*"}))</f>
        <v>0</v>
      </c>
      <c r="HI115" s="432">
        <f>SUM(SUMIFS(M115:HD115,$K$13:$HB$13,{"エネルギー管理指定工場等*","県域*"}))</f>
        <v>0</v>
      </c>
      <c r="HJ115" s="433"/>
    </row>
    <row r="116" spans="1:218" ht="19.8">
      <c r="A116" s="164"/>
      <c r="B116" s="421" t="s">
        <v>1397</v>
      </c>
      <c r="C116" s="422"/>
      <c r="D116" s="422"/>
      <c r="E116" s="422"/>
      <c r="F116" s="422"/>
      <c r="G116" s="423"/>
      <c r="H116" s="424"/>
      <c r="I116" s="435"/>
      <c r="J116" s="436"/>
      <c r="K116" s="427"/>
      <c r="L116" s="422"/>
      <c r="M116" s="422"/>
      <c r="N116" s="428"/>
      <c r="O116" s="427"/>
      <c r="P116" s="422"/>
      <c r="Q116" s="422"/>
      <c r="R116" s="428"/>
      <c r="S116" s="427"/>
      <c r="T116" s="422"/>
      <c r="U116" s="422"/>
      <c r="V116" s="428"/>
      <c r="W116" s="427"/>
      <c r="X116" s="422"/>
      <c r="Y116" s="422"/>
      <c r="Z116" s="428"/>
      <c r="AA116" s="427"/>
      <c r="AB116" s="422"/>
      <c r="AC116" s="422"/>
      <c r="AD116" s="428"/>
      <c r="AE116" s="427"/>
      <c r="AF116" s="422"/>
      <c r="AG116" s="422"/>
      <c r="AH116" s="428"/>
      <c r="AI116" s="427"/>
      <c r="AJ116" s="422"/>
      <c r="AK116" s="422"/>
      <c r="AL116" s="428"/>
      <c r="AM116" s="427"/>
      <c r="AN116" s="422"/>
      <c r="AO116" s="422"/>
      <c r="AP116" s="428"/>
      <c r="AQ116" s="427"/>
      <c r="AR116" s="422"/>
      <c r="AS116" s="422"/>
      <c r="AT116" s="428"/>
      <c r="AU116" s="427"/>
      <c r="AV116" s="422"/>
      <c r="AW116" s="422"/>
      <c r="AX116" s="428"/>
      <c r="AY116" s="427"/>
      <c r="AZ116" s="422"/>
      <c r="BA116" s="422"/>
      <c r="BB116" s="428"/>
      <c r="BC116" s="427"/>
      <c r="BD116" s="422"/>
      <c r="BE116" s="422"/>
      <c r="BF116" s="428"/>
      <c r="BG116" s="427"/>
      <c r="BH116" s="422"/>
      <c r="BI116" s="422"/>
      <c r="BJ116" s="428"/>
      <c r="BK116" s="427"/>
      <c r="BL116" s="422"/>
      <c r="BM116" s="422"/>
      <c r="BN116" s="428"/>
      <c r="BO116" s="427"/>
      <c r="BP116" s="422"/>
      <c r="BQ116" s="422"/>
      <c r="BR116" s="428"/>
      <c r="BS116" s="427"/>
      <c r="BT116" s="422"/>
      <c r="BU116" s="422"/>
      <c r="BV116" s="428"/>
      <c r="BW116" s="427"/>
      <c r="BX116" s="422"/>
      <c r="BY116" s="422"/>
      <c r="BZ116" s="428"/>
      <c r="CA116" s="427"/>
      <c r="CB116" s="422"/>
      <c r="CC116" s="422"/>
      <c r="CD116" s="428"/>
      <c r="CE116" s="427"/>
      <c r="CF116" s="422"/>
      <c r="CG116" s="422"/>
      <c r="CH116" s="428"/>
      <c r="CI116" s="427"/>
      <c r="CJ116" s="422"/>
      <c r="CK116" s="422"/>
      <c r="CL116" s="428"/>
      <c r="CM116" s="427"/>
      <c r="CN116" s="422"/>
      <c r="CO116" s="422"/>
      <c r="CP116" s="428"/>
      <c r="CQ116" s="427"/>
      <c r="CR116" s="422"/>
      <c r="CS116" s="422"/>
      <c r="CT116" s="428"/>
      <c r="CU116" s="427"/>
      <c r="CV116" s="422"/>
      <c r="CW116" s="422"/>
      <c r="CX116" s="428"/>
      <c r="CY116" s="427"/>
      <c r="CZ116" s="422"/>
      <c r="DA116" s="422"/>
      <c r="DB116" s="428"/>
      <c r="DC116" s="427"/>
      <c r="DD116" s="422"/>
      <c r="DE116" s="422"/>
      <c r="DF116" s="428"/>
      <c r="DG116" s="427"/>
      <c r="DH116" s="422"/>
      <c r="DI116" s="422"/>
      <c r="DJ116" s="428"/>
      <c r="DK116" s="427"/>
      <c r="DL116" s="422"/>
      <c r="DM116" s="422"/>
      <c r="DN116" s="428"/>
      <c r="DO116" s="427"/>
      <c r="DP116" s="422"/>
      <c r="DQ116" s="422"/>
      <c r="DR116" s="428"/>
      <c r="DS116" s="427"/>
      <c r="DT116" s="422"/>
      <c r="DU116" s="422"/>
      <c r="DV116" s="428"/>
      <c r="DW116" s="427"/>
      <c r="DX116" s="422"/>
      <c r="DY116" s="422"/>
      <c r="DZ116" s="428"/>
      <c r="EA116" s="427"/>
      <c r="EB116" s="422"/>
      <c r="EC116" s="422"/>
      <c r="ED116" s="428"/>
      <c r="EE116" s="427"/>
      <c r="EF116" s="422"/>
      <c r="EG116" s="422"/>
      <c r="EH116" s="428"/>
      <c r="EI116" s="427"/>
      <c r="EJ116" s="422"/>
      <c r="EK116" s="422"/>
      <c r="EL116" s="428"/>
      <c r="EM116" s="427"/>
      <c r="EN116" s="422"/>
      <c r="EO116" s="422"/>
      <c r="EP116" s="428"/>
      <c r="EQ116" s="427"/>
      <c r="ER116" s="422"/>
      <c r="ES116" s="422"/>
      <c r="ET116" s="428"/>
      <c r="EU116" s="427"/>
      <c r="EV116" s="422"/>
      <c r="EW116" s="422"/>
      <c r="EX116" s="428"/>
      <c r="EY116" s="427"/>
      <c r="EZ116" s="422"/>
      <c r="FA116" s="422"/>
      <c r="FB116" s="428"/>
      <c r="FC116" s="427"/>
      <c r="FD116" s="422"/>
      <c r="FE116" s="422"/>
      <c r="FF116" s="428"/>
      <c r="FG116" s="427"/>
      <c r="FH116" s="422"/>
      <c r="FI116" s="422"/>
      <c r="FJ116" s="428"/>
      <c r="FK116" s="427"/>
      <c r="FL116" s="422"/>
      <c r="FM116" s="422"/>
      <c r="FN116" s="428"/>
      <c r="FO116" s="427"/>
      <c r="FP116" s="422"/>
      <c r="FQ116" s="422"/>
      <c r="FR116" s="428"/>
      <c r="FS116" s="427"/>
      <c r="FT116" s="422"/>
      <c r="FU116" s="422"/>
      <c r="FV116" s="428"/>
      <c r="FW116" s="427"/>
      <c r="FX116" s="422"/>
      <c r="FY116" s="422"/>
      <c r="FZ116" s="428"/>
      <c r="GA116" s="427"/>
      <c r="GB116" s="422"/>
      <c r="GC116" s="422"/>
      <c r="GD116" s="428"/>
      <c r="GE116" s="427"/>
      <c r="GF116" s="422"/>
      <c r="GG116" s="422"/>
      <c r="GH116" s="428"/>
      <c r="GI116" s="427"/>
      <c r="GJ116" s="422"/>
      <c r="GK116" s="422"/>
      <c r="GL116" s="428"/>
      <c r="GM116" s="427"/>
      <c r="GN116" s="422"/>
      <c r="GO116" s="422"/>
      <c r="GP116" s="428"/>
      <c r="GQ116" s="427"/>
      <c r="GR116" s="422"/>
      <c r="GS116" s="422"/>
      <c r="GT116" s="428"/>
      <c r="GU116" s="427"/>
      <c r="GV116" s="422"/>
      <c r="GW116" s="422"/>
      <c r="GX116" s="428"/>
      <c r="GY116" s="427"/>
      <c r="GZ116" s="422"/>
      <c r="HA116" s="422"/>
      <c r="HB116" s="428"/>
      <c r="HC116" s="434">
        <f t="shared" si="75"/>
        <v>0</v>
      </c>
      <c r="HD116" s="432">
        <f t="shared" si="75"/>
        <v>0</v>
      </c>
      <c r="HE116" s="432">
        <f t="shared" si="75"/>
        <v>0</v>
      </c>
      <c r="HF116" s="433"/>
      <c r="HG116" s="434">
        <f>SUM(SUMIFS(K116:HB116,$K$13:$HB$13,{"エネルギー管理指定工場等*","県域*"}))</f>
        <v>0</v>
      </c>
      <c r="HH116" s="432">
        <f>SUM(SUMIFS(L116:HC116,$K$13:$HB$13,{"エネルギー管理指定工場等*","県域*"}))</f>
        <v>0</v>
      </c>
      <c r="HI116" s="432">
        <f>SUM(SUMIFS(M116:HD116,$K$13:$HB$13,{"エネルギー管理指定工場等*","県域*"}))</f>
        <v>0</v>
      </c>
      <c r="HJ116" s="433"/>
    </row>
    <row r="117" spans="1:218" ht="19.8">
      <c r="A117" s="164"/>
      <c r="B117" s="421" t="s">
        <v>1398</v>
      </c>
      <c r="C117" s="437"/>
      <c r="D117" s="437"/>
      <c r="E117" s="437"/>
      <c r="F117" s="422"/>
      <c r="G117" s="423"/>
      <c r="H117" s="438"/>
      <c r="I117" s="439"/>
      <c r="J117" s="440"/>
      <c r="K117" s="441"/>
      <c r="L117" s="437"/>
      <c r="M117" s="437"/>
      <c r="N117" s="442"/>
      <c r="O117" s="441"/>
      <c r="P117" s="437"/>
      <c r="Q117" s="437"/>
      <c r="R117" s="442"/>
      <c r="S117" s="441"/>
      <c r="T117" s="437"/>
      <c r="U117" s="437"/>
      <c r="V117" s="442"/>
      <c r="W117" s="441"/>
      <c r="X117" s="437"/>
      <c r="Y117" s="437"/>
      <c r="Z117" s="442"/>
      <c r="AA117" s="441"/>
      <c r="AB117" s="437"/>
      <c r="AC117" s="437"/>
      <c r="AD117" s="442"/>
      <c r="AE117" s="441"/>
      <c r="AF117" s="437"/>
      <c r="AG117" s="437"/>
      <c r="AH117" s="442"/>
      <c r="AI117" s="441"/>
      <c r="AJ117" s="437"/>
      <c r="AK117" s="437"/>
      <c r="AL117" s="442"/>
      <c r="AM117" s="441"/>
      <c r="AN117" s="437"/>
      <c r="AO117" s="437"/>
      <c r="AP117" s="442"/>
      <c r="AQ117" s="441"/>
      <c r="AR117" s="437"/>
      <c r="AS117" s="437"/>
      <c r="AT117" s="442"/>
      <c r="AU117" s="441"/>
      <c r="AV117" s="437"/>
      <c r="AW117" s="437"/>
      <c r="AX117" s="442"/>
      <c r="AY117" s="441"/>
      <c r="AZ117" s="437"/>
      <c r="BA117" s="437"/>
      <c r="BB117" s="442"/>
      <c r="BC117" s="441"/>
      <c r="BD117" s="437"/>
      <c r="BE117" s="437"/>
      <c r="BF117" s="442"/>
      <c r="BG117" s="441"/>
      <c r="BH117" s="437"/>
      <c r="BI117" s="437"/>
      <c r="BJ117" s="442"/>
      <c r="BK117" s="441"/>
      <c r="BL117" s="437"/>
      <c r="BM117" s="437"/>
      <c r="BN117" s="442"/>
      <c r="BO117" s="441"/>
      <c r="BP117" s="437"/>
      <c r="BQ117" s="437"/>
      <c r="BR117" s="442"/>
      <c r="BS117" s="441"/>
      <c r="BT117" s="437"/>
      <c r="BU117" s="437"/>
      <c r="BV117" s="442"/>
      <c r="BW117" s="441"/>
      <c r="BX117" s="437"/>
      <c r="BY117" s="437"/>
      <c r="BZ117" s="442"/>
      <c r="CA117" s="441"/>
      <c r="CB117" s="437"/>
      <c r="CC117" s="437"/>
      <c r="CD117" s="442"/>
      <c r="CE117" s="441"/>
      <c r="CF117" s="437"/>
      <c r="CG117" s="437"/>
      <c r="CH117" s="442"/>
      <c r="CI117" s="441"/>
      <c r="CJ117" s="437"/>
      <c r="CK117" s="437"/>
      <c r="CL117" s="442"/>
      <c r="CM117" s="441"/>
      <c r="CN117" s="437"/>
      <c r="CO117" s="437"/>
      <c r="CP117" s="442"/>
      <c r="CQ117" s="441"/>
      <c r="CR117" s="437"/>
      <c r="CS117" s="437"/>
      <c r="CT117" s="442"/>
      <c r="CU117" s="441"/>
      <c r="CV117" s="437"/>
      <c r="CW117" s="437"/>
      <c r="CX117" s="442"/>
      <c r="CY117" s="441"/>
      <c r="CZ117" s="437"/>
      <c r="DA117" s="437"/>
      <c r="DB117" s="442"/>
      <c r="DC117" s="441"/>
      <c r="DD117" s="437"/>
      <c r="DE117" s="437"/>
      <c r="DF117" s="442"/>
      <c r="DG117" s="441"/>
      <c r="DH117" s="437"/>
      <c r="DI117" s="437"/>
      <c r="DJ117" s="442"/>
      <c r="DK117" s="441"/>
      <c r="DL117" s="437"/>
      <c r="DM117" s="437"/>
      <c r="DN117" s="442"/>
      <c r="DO117" s="441"/>
      <c r="DP117" s="437"/>
      <c r="DQ117" s="437"/>
      <c r="DR117" s="442"/>
      <c r="DS117" s="441"/>
      <c r="DT117" s="437"/>
      <c r="DU117" s="437"/>
      <c r="DV117" s="442"/>
      <c r="DW117" s="441"/>
      <c r="DX117" s="437"/>
      <c r="DY117" s="437"/>
      <c r="DZ117" s="442"/>
      <c r="EA117" s="441"/>
      <c r="EB117" s="437"/>
      <c r="EC117" s="437"/>
      <c r="ED117" s="442"/>
      <c r="EE117" s="441"/>
      <c r="EF117" s="437"/>
      <c r="EG117" s="437"/>
      <c r="EH117" s="442"/>
      <c r="EI117" s="441"/>
      <c r="EJ117" s="437"/>
      <c r="EK117" s="437"/>
      <c r="EL117" s="442"/>
      <c r="EM117" s="441"/>
      <c r="EN117" s="437"/>
      <c r="EO117" s="437"/>
      <c r="EP117" s="442"/>
      <c r="EQ117" s="441"/>
      <c r="ER117" s="437"/>
      <c r="ES117" s="437"/>
      <c r="ET117" s="442"/>
      <c r="EU117" s="441"/>
      <c r="EV117" s="437"/>
      <c r="EW117" s="437"/>
      <c r="EX117" s="442"/>
      <c r="EY117" s="441"/>
      <c r="EZ117" s="437"/>
      <c r="FA117" s="437"/>
      <c r="FB117" s="442"/>
      <c r="FC117" s="441"/>
      <c r="FD117" s="437"/>
      <c r="FE117" s="437"/>
      <c r="FF117" s="442"/>
      <c r="FG117" s="441"/>
      <c r="FH117" s="437"/>
      <c r="FI117" s="437"/>
      <c r="FJ117" s="442"/>
      <c r="FK117" s="441"/>
      <c r="FL117" s="437"/>
      <c r="FM117" s="437"/>
      <c r="FN117" s="442"/>
      <c r="FO117" s="441"/>
      <c r="FP117" s="437"/>
      <c r="FQ117" s="437"/>
      <c r="FR117" s="442"/>
      <c r="FS117" s="441"/>
      <c r="FT117" s="437"/>
      <c r="FU117" s="437"/>
      <c r="FV117" s="442"/>
      <c r="FW117" s="441"/>
      <c r="FX117" s="437"/>
      <c r="FY117" s="437"/>
      <c r="FZ117" s="442"/>
      <c r="GA117" s="441"/>
      <c r="GB117" s="437"/>
      <c r="GC117" s="437"/>
      <c r="GD117" s="442"/>
      <c r="GE117" s="441"/>
      <c r="GF117" s="437"/>
      <c r="GG117" s="437"/>
      <c r="GH117" s="442"/>
      <c r="GI117" s="441"/>
      <c r="GJ117" s="437"/>
      <c r="GK117" s="437"/>
      <c r="GL117" s="442"/>
      <c r="GM117" s="441"/>
      <c r="GN117" s="437"/>
      <c r="GO117" s="437"/>
      <c r="GP117" s="442"/>
      <c r="GQ117" s="441"/>
      <c r="GR117" s="437"/>
      <c r="GS117" s="437"/>
      <c r="GT117" s="442"/>
      <c r="GU117" s="441"/>
      <c r="GV117" s="437"/>
      <c r="GW117" s="437"/>
      <c r="GX117" s="442"/>
      <c r="GY117" s="441"/>
      <c r="GZ117" s="437"/>
      <c r="HA117" s="437"/>
      <c r="HB117" s="442"/>
      <c r="HC117" s="429">
        <f t="shared" si="75"/>
        <v>0</v>
      </c>
      <c r="HD117" s="430">
        <f t="shared" si="75"/>
        <v>0</v>
      </c>
      <c r="HE117" s="430">
        <f t="shared" si="75"/>
        <v>0</v>
      </c>
      <c r="HF117" s="431"/>
      <c r="HG117" s="429">
        <f>SUM(SUMIFS(K117:HB117,$K$13:$HB$13,{"エネルギー管理指定工場等*","県域*"}))</f>
        <v>0</v>
      </c>
      <c r="HH117" s="430">
        <f>SUM(SUMIFS(L117:HC117,$K$13:$HB$13,{"エネルギー管理指定工場等*","県域*"}))</f>
        <v>0</v>
      </c>
      <c r="HI117" s="430">
        <f>SUM(SUMIFS(M117:HD117,$K$13:$HB$13,{"エネルギー管理指定工場等*","県域*"}))</f>
        <v>0</v>
      </c>
      <c r="HJ117" s="431"/>
    </row>
    <row r="118" spans="1:218" ht="19.8">
      <c r="A118" s="164"/>
      <c r="B118" s="421" t="s">
        <v>1399</v>
      </c>
      <c r="C118" s="422"/>
      <c r="D118" s="422"/>
      <c r="E118" s="422"/>
      <c r="F118" s="422"/>
      <c r="G118" s="423"/>
      <c r="H118" s="424"/>
      <c r="I118" s="425"/>
      <c r="J118" s="426"/>
      <c r="K118" s="427"/>
      <c r="L118" s="422"/>
      <c r="M118" s="422"/>
      <c r="N118" s="428"/>
      <c r="O118" s="427"/>
      <c r="P118" s="422"/>
      <c r="Q118" s="422"/>
      <c r="R118" s="428"/>
      <c r="S118" s="427"/>
      <c r="T118" s="422"/>
      <c r="U118" s="422"/>
      <c r="V118" s="428"/>
      <c r="W118" s="427"/>
      <c r="X118" s="422"/>
      <c r="Y118" s="422"/>
      <c r="Z118" s="428"/>
      <c r="AA118" s="427"/>
      <c r="AB118" s="422"/>
      <c r="AC118" s="422"/>
      <c r="AD118" s="428"/>
      <c r="AE118" s="427"/>
      <c r="AF118" s="422"/>
      <c r="AG118" s="422"/>
      <c r="AH118" s="428"/>
      <c r="AI118" s="427"/>
      <c r="AJ118" s="422"/>
      <c r="AK118" s="422"/>
      <c r="AL118" s="428"/>
      <c r="AM118" s="427"/>
      <c r="AN118" s="422"/>
      <c r="AO118" s="422"/>
      <c r="AP118" s="428"/>
      <c r="AQ118" s="427"/>
      <c r="AR118" s="422"/>
      <c r="AS118" s="422"/>
      <c r="AT118" s="428"/>
      <c r="AU118" s="427"/>
      <c r="AV118" s="422"/>
      <c r="AW118" s="422"/>
      <c r="AX118" s="428"/>
      <c r="AY118" s="427"/>
      <c r="AZ118" s="422"/>
      <c r="BA118" s="422"/>
      <c r="BB118" s="428"/>
      <c r="BC118" s="427"/>
      <c r="BD118" s="422"/>
      <c r="BE118" s="422"/>
      <c r="BF118" s="428"/>
      <c r="BG118" s="427"/>
      <c r="BH118" s="422"/>
      <c r="BI118" s="422"/>
      <c r="BJ118" s="428"/>
      <c r="BK118" s="427"/>
      <c r="BL118" s="422"/>
      <c r="BM118" s="422"/>
      <c r="BN118" s="428"/>
      <c r="BO118" s="427"/>
      <c r="BP118" s="422"/>
      <c r="BQ118" s="422"/>
      <c r="BR118" s="428"/>
      <c r="BS118" s="427"/>
      <c r="BT118" s="422"/>
      <c r="BU118" s="422"/>
      <c r="BV118" s="428"/>
      <c r="BW118" s="427"/>
      <c r="BX118" s="422"/>
      <c r="BY118" s="422"/>
      <c r="BZ118" s="428"/>
      <c r="CA118" s="427"/>
      <c r="CB118" s="422"/>
      <c r="CC118" s="422"/>
      <c r="CD118" s="428"/>
      <c r="CE118" s="427"/>
      <c r="CF118" s="422"/>
      <c r="CG118" s="422"/>
      <c r="CH118" s="428"/>
      <c r="CI118" s="427"/>
      <c r="CJ118" s="422"/>
      <c r="CK118" s="422"/>
      <c r="CL118" s="428"/>
      <c r="CM118" s="427"/>
      <c r="CN118" s="422"/>
      <c r="CO118" s="422"/>
      <c r="CP118" s="428"/>
      <c r="CQ118" s="427"/>
      <c r="CR118" s="422"/>
      <c r="CS118" s="422"/>
      <c r="CT118" s="428"/>
      <c r="CU118" s="427"/>
      <c r="CV118" s="422"/>
      <c r="CW118" s="422"/>
      <c r="CX118" s="428"/>
      <c r="CY118" s="427"/>
      <c r="CZ118" s="422"/>
      <c r="DA118" s="422"/>
      <c r="DB118" s="428"/>
      <c r="DC118" s="427"/>
      <c r="DD118" s="422"/>
      <c r="DE118" s="422"/>
      <c r="DF118" s="428"/>
      <c r="DG118" s="427"/>
      <c r="DH118" s="422"/>
      <c r="DI118" s="422"/>
      <c r="DJ118" s="428"/>
      <c r="DK118" s="427"/>
      <c r="DL118" s="422"/>
      <c r="DM118" s="422"/>
      <c r="DN118" s="428"/>
      <c r="DO118" s="427"/>
      <c r="DP118" s="422"/>
      <c r="DQ118" s="422"/>
      <c r="DR118" s="428"/>
      <c r="DS118" s="427"/>
      <c r="DT118" s="422"/>
      <c r="DU118" s="422"/>
      <c r="DV118" s="428"/>
      <c r="DW118" s="427"/>
      <c r="DX118" s="422"/>
      <c r="DY118" s="422"/>
      <c r="DZ118" s="428"/>
      <c r="EA118" s="427"/>
      <c r="EB118" s="422"/>
      <c r="EC118" s="422"/>
      <c r="ED118" s="428"/>
      <c r="EE118" s="427"/>
      <c r="EF118" s="422"/>
      <c r="EG118" s="422"/>
      <c r="EH118" s="428"/>
      <c r="EI118" s="427"/>
      <c r="EJ118" s="422"/>
      <c r="EK118" s="422"/>
      <c r="EL118" s="428"/>
      <c r="EM118" s="427"/>
      <c r="EN118" s="422"/>
      <c r="EO118" s="422"/>
      <c r="EP118" s="428"/>
      <c r="EQ118" s="427"/>
      <c r="ER118" s="422"/>
      <c r="ES118" s="422"/>
      <c r="ET118" s="428"/>
      <c r="EU118" s="427"/>
      <c r="EV118" s="422"/>
      <c r="EW118" s="422"/>
      <c r="EX118" s="428"/>
      <c r="EY118" s="427"/>
      <c r="EZ118" s="422"/>
      <c r="FA118" s="422"/>
      <c r="FB118" s="428"/>
      <c r="FC118" s="427"/>
      <c r="FD118" s="422"/>
      <c r="FE118" s="422"/>
      <c r="FF118" s="428"/>
      <c r="FG118" s="427"/>
      <c r="FH118" s="422"/>
      <c r="FI118" s="422"/>
      <c r="FJ118" s="428"/>
      <c r="FK118" s="427"/>
      <c r="FL118" s="422"/>
      <c r="FM118" s="422"/>
      <c r="FN118" s="428"/>
      <c r="FO118" s="427"/>
      <c r="FP118" s="422"/>
      <c r="FQ118" s="422"/>
      <c r="FR118" s="428"/>
      <c r="FS118" s="427"/>
      <c r="FT118" s="422"/>
      <c r="FU118" s="422"/>
      <c r="FV118" s="428"/>
      <c r="FW118" s="427"/>
      <c r="FX118" s="422"/>
      <c r="FY118" s="422"/>
      <c r="FZ118" s="428"/>
      <c r="GA118" s="427"/>
      <c r="GB118" s="422"/>
      <c r="GC118" s="422"/>
      <c r="GD118" s="428"/>
      <c r="GE118" s="427"/>
      <c r="GF118" s="422"/>
      <c r="GG118" s="422"/>
      <c r="GH118" s="428"/>
      <c r="GI118" s="427"/>
      <c r="GJ118" s="422"/>
      <c r="GK118" s="422"/>
      <c r="GL118" s="428"/>
      <c r="GM118" s="427"/>
      <c r="GN118" s="422"/>
      <c r="GO118" s="422"/>
      <c r="GP118" s="428"/>
      <c r="GQ118" s="427"/>
      <c r="GR118" s="422"/>
      <c r="GS118" s="422"/>
      <c r="GT118" s="428"/>
      <c r="GU118" s="427"/>
      <c r="GV118" s="422"/>
      <c r="GW118" s="422"/>
      <c r="GX118" s="428"/>
      <c r="GY118" s="427"/>
      <c r="GZ118" s="422"/>
      <c r="HA118" s="422"/>
      <c r="HB118" s="428"/>
      <c r="HC118" s="434">
        <f t="shared" si="75"/>
        <v>0</v>
      </c>
      <c r="HD118" s="432">
        <f t="shared" si="75"/>
        <v>0</v>
      </c>
      <c r="HE118" s="432">
        <f t="shared" si="75"/>
        <v>0</v>
      </c>
      <c r="HF118" s="433"/>
      <c r="HG118" s="434">
        <f>SUM(SUMIFS(K118:HB118,$K$13:$HB$13,{"エネルギー管理指定工場等*","県域*"}))</f>
        <v>0</v>
      </c>
      <c r="HH118" s="432">
        <f>SUM(SUMIFS(L118:HC118,$K$13:$HB$13,{"エネルギー管理指定工場等*","県域*"}))</f>
        <v>0</v>
      </c>
      <c r="HI118" s="432">
        <f>SUM(SUMIFS(M118:HD118,$K$13:$HB$13,{"エネルギー管理指定工場等*","県域*"}))</f>
        <v>0</v>
      </c>
      <c r="HJ118" s="433"/>
    </row>
    <row r="119" spans="1:218" ht="19.8">
      <c r="A119" s="164"/>
      <c r="B119" s="421" t="s">
        <v>1400</v>
      </c>
      <c r="C119" s="422"/>
      <c r="D119" s="422"/>
      <c r="E119" s="422"/>
      <c r="F119" s="422"/>
      <c r="G119" s="423"/>
      <c r="H119" s="424"/>
      <c r="I119" s="425"/>
      <c r="J119" s="426"/>
      <c r="K119" s="427"/>
      <c r="L119" s="422"/>
      <c r="M119" s="422"/>
      <c r="N119" s="428"/>
      <c r="O119" s="427"/>
      <c r="P119" s="422"/>
      <c r="Q119" s="422"/>
      <c r="R119" s="428"/>
      <c r="S119" s="427"/>
      <c r="T119" s="422"/>
      <c r="U119" s="422"/>
      <c r="V119" s="428"/>
      <c r="W119" s="427"/>
      <c r="X119" s="422"/>
      <c r="Y119" s="422"/>
      <c r="Z119" s="428"/>
      <c r="AA119" s="427"/>
      <c r="AB119" s="422"/>
      <c r="AC119" s="422"/>
      <c r="AD119" s="428"/>
      <c r="AE119" s="427"/>
      <c r="AF119" s="422"/>
      <c r="AG119" s="422"/>
      <c r="AH119" s="428"/>
      <c r="AI119" s="427"/>
      <c r="AJ119" s="422"/>
      <c r="AK119" s="422"/>
      <c r="AL119" s="428"/>
      <c r="AM119" s="427"/>
      <c r="AN119" s="422"/>
      <c r="AO119" s="422"/>
      <c r="AP119" s="428"/>
      <c r="AQ119" s="427"/>
      <c r="AR119" s="422"/>
      <c r="AS119" s="422"/>
      <c r="AT119" s="428"/>
      <c r="AU119" s="427"/>
      <c r="AV119" s="422"/>
      <c r="AW119" s="422"/>
      <c r="AX119" s="428"/>
      <c r="AY119" s="427"/>
      <c r="AZ119" s="422"/>
      <c r="BA119" s="422"/>
      <c r="BB119" s="428"/>
      <c r="BC119" s="427"/>
      <c r="BD119" s="422"/>
      <c r="BE119" s="422"/>
      <c r="BF119" s="428"/>
      <c r="BG119" s="427"/>
      <c r="BH119" s="422"/>
      <c r="BI119" s="422"/>
      <c r="BJ119" s="428"/>
      <c r="BK119" s="427"/>
      <c r="BL119" s="422"/>
      <c r="BM119" s="422"/>
      <c r="BN119" s="428"/>
      <c r="BO119" s="427"/>
      <c r="BP119" s="422"/>
      <c r="BQ119" s="422"/>
      <c r="BR119" s="428"/>
      <c r="BS119" s="427"/>
      <c r="BT119" s="422"/>
      <c r="BU119" s="422"/>
      <c r="BV119" s="428"/>
      <c r="BW119" s="427"/>
      <c r="BX119" s="422"/>
      <c r="BY119" s="422"/>
      <c r="BZ119" s="428"/>
      <c r="CA119" s="427"/>
      <c r="CB119" s="422"/>
      <c r="CC119" s="422"/>
      <c r="CD119" s="428"/>
      <c r="CE119" s="427"/>
      <c r="CF119" s="422"/>
      <c r="CG119" s="422"/>
      <c r="CH119" s="428"/>
      <c r="CI119" s="427"/>
      <c r="CJ119" s="422"/>
      <c r="CK119" s="422"/>
      <c r="CL119" s="428"/>
      <c r="CM119" s="427"/>
      <c r="CN119" s="422"/>
      <c r="CO119" s="422"/>
      <c r="CP119" s="428"/>
      <c r="CQ119" s="427"/>
      <c r="CR119" s="422"/>
      <c r="CS119" s="422"/>
      <c r="CT119" s="428"/>
      <c r="CU119" s="427"/>
      <c r="CV119" s="422"/>
      <c r="CW119" s="422"/>
      <c r="CX119" s="428"/>
      <c r="CY119" s="427"/>
      <c r="CZ119" s="422"/>
      <c r="DA119" s="422"/>
      <c r="DB119" s="428"/>
      <c r="DC119" s="427"/>
      <c r="DD119" s="422"/>
      <c r="DE119" s="422"/>
      <c r="DF119" s="428"/>
      <c r="DG119" s="427"/>
      <c r="DH119" s="422"/>
      <c r="DI119" s="422"/>
      <c r="DJ119" s="428"/>
      <c r="DK119" s="427"/>
      <c r="DL119" s="422"/>
      <c r="DM119" s="422"/>
      <c r="DN119" s="428"/>
      <c r="DO119" s="427"/>
      <c r="DP119" s="422"/>
      <c r="DQ119" s="422"/>
      <c r="DR119" s="428"/>
      <c r="DS119" s="427"/>
      <c r="DT119" s="422"/>
      <c r="DU119" s="422"/>
      <c r="DV119" s="428"/>
      <c r="DW119" s="427"/>
      <c r="DX119" s="422"/>
      <c r="DY119" s="422"/>
      <c r="DZ119" s="428"/>
      <c r="EA119" s="427"/>
      <c r="EB119" s="422"/>
      <c r="EC119" s="422"/>
      <c r="ED119" s="428"/>
      <c r="EE119" s="427"/>
      <c r="EF119" s="422"/>
      <c r="EG119" s="422"/>
      <c r="EH119" s="428"/>
      <c r="EI119" s="427"/>
      <c r="EJ119" s="422"/>
      <c r="EK119" s="422"/>
      <c r="EL119" s="428"/>
      <c r="EM119" s="427"/>
      <c r="EN119" s="422"/>
      <c r="EO119" s="422"/>
      <c r="EP119" s="428"/>
      <c r="EQ119" s="427"/>
      <c r="ER119" s="422"/>
      <c r="ES119" s="422"/>
      <c r="ET119" s="428"/>
      <c r="EU119" s="427"/>
      <c r="EV119" s="422"/>
      <c r="EW119" s="422"/>
      <c r="EX119" s="428"/>
      <c r="EY119" s="427"/>
      <c r="EZ119" s="422"/>
      <c r="FA119" s="422"/>
      <c r="FB119" s="428"/>
      <c r="FC119" s="427"/>
      <c r="FD119" s="422"/>
      <c r="FE119" s="422"/>
      <c r="FF119" s="428"/>
      <c r="FG119" s="427"/>
      <c r="FH119" s="422"/>
      <c r="FI119" s="422"/>
      <c r="FJ119" s="428"/>
      <c r="FK119" s="427"/>
      <c r="FL119" s="422"/>
      <c r="FM119" s="422"/>
      <c r="FN119" s="428"/>
      <c r="FO119" s="427"/>
      <c r="FP119" s="422"/>
      <c r="FQ119" s="422"/>
      <c r="FR119" s="428"/>
      <c r="FS119" s="427"/>
      <c r="FT119" s="422"/>
      <c r="FU119" s="422"/>
      <c r="FV119" s="428"/>
      <c r="FW119" s="427"/>
      <c r="FX119" s="422"/>
      <c r="FY119" s="422"/>
      <c r="FZ119" s="428"/>
      <c r="GA119" s="427"/>
      <c r="GB119" s="422"/>
      <c r="GC119" s="422"/>
      <c r="GD119" s="428"/>
      <c r="GE119" s="427"/>
      <c r="GF119" s="422"/>
      <c r="GG119" s="422"/>
      <c r="GH119" s="428"/>
      <c r="GI119" s="427"/>
      <c r="GJ119" s="422"/>
      <c r="GK119" s="422"/>
      <c r="GL119" s="428"/>
      <c r="GM119" s="427"/>
      <c r="GN119" s="422"/>
      <c r="GO119" s="422"/>
      <c r="GP119" s="428"/>
      <c r="GQ119" s="427"/>
      <c r="GR119" s="422"/>
      <c r="GS119" s="422"/>
      <c r="GT119" s="428"/>
      <c r="GU119" s="427"/>
      <c r="GV119" s="422"/>
      <c r="GW119" s="422"/>
      <c r="GX119" s="428"/>
      <c r="GY119" s="427"/>
      <c r="GZ119" s="422"/>
      <c r="HA119" s="422"/>
      <c r="HB119" s="428"/>
      <c r="HC119" s="434">
        <f t="shared" si="75"/>
        <v>0</v>
      </c>
      <c r="HD119" s="432">
        <f t="shared" si="75"/>
        <v>0</v>
      </c>
      <c r="HE119" s="432">
        <f t="shared" si="75"/>
        <v>0</v>
      </c>
      <c r="HF119" s="433"/>
      <c r="HG119" s="434">
        <f>SUM(SUMIFS(K119:HB119,$K$13:$HB$13,{"エネルギー管理指定工場等*","県域*"}))</f>
        <v>0</v>
      </c>
      <c r="HH119" s="432">
        <f>SUM(SUMIFS(L119:HC119,$K$13:$HB$13,{"エネルギー管理指定工場等*","県域*"}))</f>
        <v>0</v>
      </c>
      <c r="HI119" s="432">
        <f>SUM(SUMIFS(M119:HD119,$K$13:$HB$13,{"エネルギー管理指定工場等*","県域*"}))</f>
        <v>0</v>
      </c>
      <c r="HJ119" s="433"/>
    </row>
    <row r="120" spans="1:218" ht="19.8">
      <c r="A120" s="164"/>
      <c r="B120" s="421" t="s">
        <v>1401</v>
      </c>
      <c r="C120" s="422"/>
      <c r="D120" s="422"/>
      <c r="E120" s="422"/>
      <c r="F120" s="422"/>
      <c r="G120" s="423"/>
      <c r="H120" s="424"/>
      <c r="I120" s="425"/>
      <c r="J120" s="426"/>
      <c r="K120" s="427"/>
      <c r="L120" s="422"/>
      <c r="M120" s="422"/>
      <c r="N120" s="428"/>
      <c r="O120" s="427"/>
      <c r="P120" s="422"/>
      <c r="Q120" s="422"/>
      <c r="R120" s="428"/>
      <c r="S120" s="427"/>
      <c r="T120" s="422"/>
      <c r="U120" s="422"/>
      <c r="V120" s="428"/>
      <c r="W120" s="427"/>
      <c r="X120" s="422"/>
      <c r="Y120" s="422"/>
      <c r="Z120" s="428"/>
      <c r="AA120" s="427"/>
      <c r="AB120" s="422"/>
      <c r="AC120" s="422"/>
      <c r="AD120" s="428"/>
      <c r="AE120" s="427"/>
      <c r="AF120" s="422"/>
      <c r="AG120" s="422"/>
      <c r="AH120" s="428"/>
      <c r="AI120" s="427"/>
      <c r="AJ120" s="422"/>
      <c r="AK120" s="422"/>
      <c r="AL120" s="428"/>
      <c r="AM120" s="427"/>
      <c r="AN120" s="422"/>
      <c r="AO120" s="422"/>
      <c r="AP120" s="428"/>
      <c r="AQ120" s="427"/>
      <c r="AR120" s="422"/>
      <c r="AS120" s="422"/>
      <c r="AT120" s="428"/>
      <c r="AU120" s="427"/>
      <c r="AV120" s="422"/>
      <c r="AW120" s="422"/>
      <c r="AX120" s="428"/>
      <c r="AY120" s="427"/>
      <c r="AZ120" s="422"/>
      <c r="BA120" s="422"/>
      <c r="BB120" s="428"/>
      <c r="BC120" s="427"/>
      <c r="BD120" s="422"/>
      <c r="BE120" s="422"/>
      <c r="BF120" s="428"/>
      <c r="BG120" s="427"/>
      <c r="BH120" s="422"/>
      <c r="BI120" s="422"/>
      <c r="BJ120" s="428"/>
      <c r="BK120" s="427"/>
      <c r="BL120" s="422"/>
      <c r="BM120" s="422"/>
      <c r="BN120" s="428"/>
      <c r="BO120" s="427"/>
      <c r="BP120" s="422"/>
      <c r="BQ120" s="422"/>
      <c r="BR120" s="428"/>
      <c r="BS120" s="427"/>
      <c r="BT120" s="422"/>
      <c r="BU120" s="422"/>
      <c r="BV120" s="428"/>
      <c r="BW120" s="427"/>
      <c r="BX120" s="422"/>
      <c r="BY120" s="422"/>
      <c r="BZ120" s="428"/>
      <c r="CA120" s="427"/>
      <c r="CB120" s="422"/>
      <c r="CC120" s="422"/>
      <c r="CD120" s="428"/>
      <c r="CE120" s="427"/>
      <c r="CF120" s="422"/>
      <c r="CG120" s="422"/>
      <c r="CH120" s="428"/>
      <c r="CI120" s="427"/>
      <c r="CJ120" s="422"/>
      <c r="CK120" s="422"/>
      <c r="CL120" s="428"/>
      <c r="CM120" s="427"/>
      <c r="CN120" s="422"/>
      <c r="CO120" s="422"/>
      <c r="CP120" s="428"/>
      <c r="CQ120" s="427"/>
      <c r="CR120" s="422"/>
      <c r="CS120" s="422"/>
      <c r="CT120" s="428"/>
      <c r="CU120" s="427"/>
      <c r="CV120" s="422"/>
      <c r="CW120" s="422"/>
      <c r="CX120" s="428"/>
      <c r="CY120" s="427"/>
      <c r="CZ120" s="422"/>
      <c r="DA120" s="422"/>
      <c r="DB120" s="428"/>
      <c r="DC120" s="427"/>
      <c r="DD120" s="422"/>
      <c r="DE120" s="422"/>
      <c r="DF120" s="428"/>
      <c r="DG120" s="427"/>
      <c r="DH120" s="422"/>
      <c r="DI120" s="422"/>
      <c r="DJ120" s="428"/>
      <c r="DK120" s="427"/>
      <c r="DL120" s="422"/>
      <c r="DM120" s="422"/>
      <c r="DN120" s="428"/>
      <c r="DO120" s="427"/>
      <c r="DP120" s="422"/>
      <c r="DQ120" s="422"/>
      <c r="DR120" s="428"/>
      <c r="DS120" s="427"/>
      <c r="DT120" s="422"/>
      <c r="DU120" s="422"/>
      <c r="DV120" s="428"/>
      <c r="DW120" s="427"/>
      <c r="DX120" s="422"/>
      <c r="DY120" s="422"/>
      <c r="DZ120" s="428"/>
      <c r="EA120" s="427"/>
      <c r="EB120" s="422"/>
      <c r="EC120" s="422"/>
      <c r="ED120" s="428"/>
      <c r="EE120" s="427"/>
      <c r="EF120" s="422"/>
      <c r="EG120" s="422"/>
      <c r="EH120" s="428"/>
      <c r="EI120" s="427"/>
      <c r="EJ120" s="422"/>
      <c r="EK120" s="422"/>
      <c r="EL120" s="428"/>
      <c r="EM120" s="427"/>
      <c r="EN120" s="422"/>
      <c r="EO120" s="422"/>
      <c r="EP120" s="428"/>
      <c r="EQ120" s="427"/>
      <c r="ER120" s="422"/>
      <c r="ES120" s="422"/>
      <c r="ET120" s="428"/>
      <c r="EU120" s="427"/>
      <c r="EV120" s="422"/>
      <c r="EW120" s="422"/>
      <c r="EX120" s="428"/>
      <c r="EY120" s="427"/>
      <c r="EZ120" s="422"/>
      <c r="FA120" s="422"/>
      <c r="FB120" s="428"/>
      <c r="FC120" s="427"/>
      <c r="FD120" s="422"/>
      <c r="FE120" s="422"/>
      <c r="FF120" s="428"/>
      <c r="FG120" s="427"/>
      <c r="FH120" s="422"/>
      <c r="FI120" s="422"/>
      <c r="FJ120" s="428"/>
      <c r="FK120" s="427"/>
      <c r="FL120" s="422"/>
      <c r="FM120" s="422"/>
      <c r="FN120" s="428"/>
      <c r="FO120" s="427"/>
      <c r="FP120" s="422"/>
      <c r="FQ120" s="422"/>
      <c r="FR120" s="428"/>
      <c r="FS120" s="427"/>
      <c r="FT120" s="422"/>
      <c r="FU120" s="422"/>
      <c r="FV120" s="428"/>
      <c r="FW120" s="427"/>
      <c r="FX120" s="422"/>
      <c r="FY120" s="422"/>
      <c r="FZ120" s="428"/>
      <c r="GA120" s="427"/>
      <c r="GB120" s="422"/>
      <c r="GC120" s="422"/>
      <c r="GD120" s="428"/>
      <c r="GE120" s="427"/>
      <c r="GF120" s="422"/>
      <c r="GG120" s="422"/>
      <c r="GH120" s="428"/>
      <c r="GI120" s="427"/>
      <c r="GJ120" s="422"/>
      <c r="GK120" s="422"/>
      <c r="GL120" s="428"/>
      <c r="GM120" s="427"/>
      <c r="GN120" s="422"/>
      <c r="GO120" s="422"/>
      <c r="GP120" s="428"/>
      <c r="GQ120" s="427"/>
      <c r="GR120" s="422"/>
      <c r="GS120" s="422"/>
      <c r="GT120" s="428"/>
      <c r="GU120" s="427"/>
      <c r="GV120" s="422"/>
      <c r="GW120" s="422"/>
      <c r="GX120" s="428"/>
      <c r="GY120" s="427"/>
      <c r="GZ120" s="422"/>
      <c r="HA120" s="422"/>
      <c r="HB120" s="428"/>
      <c r="HC120" s="434">
        <f t="shared" si="75"/>
        <v>0</v>
      </c>
      <c r="HD120" s="432">
        <f t="shared" si="75"/>
        <v>0</v>
      </c>
      <c r="HE120" s="432">
        <f t="shared" si="75"/>
        <v>0</v>
      </c>
      <c r="HF120" s="433"/>
      <c r="HG120" s="434">
        <f>SUM(SUMIFS(K120:HB120,$K$13:$HB$13,{"エネルギー管理指定工場等*","県域*"}))</f>
        <v>0</v>
      </c>
      <c r="HH120" s="432">
        <f>SUM(SUMIFS(L120:HC120,$K$13:$HB$13,{"エネルギー管理指定工場等*","県域*"}))</f>
        <v>0</v>
      </c>
      <c r="HI120" s="432">
        <f>SUM(SUMIFS(M120:HD120,$K$13:$HB$13,{"エネルギー管理指定工場等*","県域*"}))</f>
        <v>0</v>
      </c>
      <c r="HJ120" s="433"/>
    </row>
    <row r="121" spans="1:218" ht="19.8">
      <c r="A121" s="164"/>
      <c r="B121" s="443" t="s">
        <v>1402</v>
      </c>
      <c r="C121" s="422"/>
      <c r="D121" s="422"/>
      <c r="E121" s="422"/>
      <c r="F121" s="444"/>
      <c r="G121" s="445"/>
      <c r="H121" s="424"/>
      <c r="I121" s="425"/>
      <c r="J121" s="426"/>
      <c r="K121" s="427"/>
      <c r="L121" s="422"/>
      <c r="M121" s="422"/>
      <c r="N121" s="428"/>
      <c r="O121" s="427"/>
      <c r="P121" s="422"/>
      <c r="Q121" s="422"/>
      <c r="R121" s="428"/>
      <c r="S121" s="427"/>
      <c r="T121" s="422"/>
      <c r="U121" s="422"/>
      <c r="V121" s="428"/>
      <c r="W121" s="427"/>
      <c r="X121" s="422"/>
      <c r="Y121" s="422"/>
      <c r="Z121" s="428"/>
      <c r="AA121" s="427"/>
      <c r="AB121" s="422"/>
      <c r="AC121" s="422"/>
      <c r="AD121" s="428"/>
      <c r="AE121" s="427"/>
      <c r="AF121" s="422"/>
      <c r="AG121" s="422"/>
      <c r="AH121" s="428"/>
      <c r="AI121" s="427"/>
      <c r="AJ121" s="422"/>
      <c r="AK121" s="422"/>
      <c r="AL121" s="428"/>
      <c r="AM121" s="427"/>
      <c r="AN121" s="422"/>
      <c r="AO121" s="422"/>
      <c r="AP121" s="428"/>
      <c r="AQ121" s="427"/>
      <c r="AR121" s="422"/>
      <c r="AS121" s="422"/>
      <c r="AT121" s="428"/>
      <c r="AU121" s="427"/>
      <c r="AV121" s="422"/>
      <c r="AW121" s="422"/>
      <c r="AX121" s="428"/>
      <c r="AY121" s="427"/>
      <c r="AZ121" s="422"/>
      <c r="BA121" s="422"/>
      <c r="BB121" s="428"/>
      <c r="BC121" s="427"/>
      <c r="BD121" s="422"/>
      <c r="BE121" s="422"/>
      <c r="BF121" s="428"/>
      <c r="BG121" s="427"/>
      <c r="BH121" s="422"/>
      <c r="BI121" s="422"/>
      <c r="BJ121" s="428"/>
      <c r="BK121" s="427"/>
      <c r="BL121" s="422"/>
      <c r="BM121" s="422"/>
      <c r="BN121" s="428"/>
      <c r="BO121" s="427"/>
      <c r="BP121" s="422"/>
      <c r="BQ121" s="422"/>
      <c r="BR121" s="428"/>
      <c r="BS121" s="427"/>
      <c r="BT121" s="422"/>
      <c r="BU121" s="422"/>
      <c r="BV121" s="428"/>
      <c r="BW121" s="427"/>
      <c r="BX121" s="422"/>
      <c r="BY121" s="422"/>
      <c r="BZ121" s="428"/>
      <c r="CA121" s="427"/>
      <c r="CB121" s="422"/>
      <c r="CC121" s="422"/>
      <c r="CD121" s="428"/>
      <c r="CE121" s="427"/>
      <c r="CF121" s="422"/>
      <c r="CG121" s="422"/>
      <c r="CH121" s="428"/>
      <c r="CI121" s="427"/>
      <c r="CJ121" s="422"/>
      <c r="CK121" s="422"/>
      <c r="CL121" s="428"/>
      <c r="CM121" s="427"/>
      <c r="CN121" s="422"/>
      <c r="CO121" s="422"/>
      <c r="CP121" s="428"/>
      <c r="CQ121" s="427"/>
      <c r="CR121" s="422"/>
      <c r="CS121" s="422"/>
      <c r="CT121" s="428"/>
      <c r="CU121" s="427"/>
      <c r="CV121" s="422"/>
      <c r="CW121" s="422"/>
      <c r="CX121" s="428"/>
      <c r="CY121" s="427"/>
      <c r="CZ121" s="422"/>
      <c r="DA121" s="422"/>
      <c r="DB121" s="428"/>
      <c r="DC121" s="427"/>
      <c r="DD121" s="422"/>
      <c r="DE121" s="422"/>
      <c r="DF121" s="428"/>
      <c r="DG121" s="427"/>
      <c r="DH121" s="422"/>
      <c r="DI121" s="422"/>
      <c r="DJ121" s="428"/>
      <c r="DK121" s="427"/>
      <c r="DL121" s="422"/>
      <c r="DM121" s="422"/>
      <c r="DN121" s="428"/>
      <c r="DO121" s="427"/>
      <c r="DP121" s="422"/>
      <c r="DQ121" s="422"/>
      <c r="DR121" s="428"/>
      <c r="DS121" s="427"/>
      <c r="DT121" s="422"/>
      <c r="DU121" s="422"/>
      <c r="DV121" s="428"/>
      <c r="DW121" s="427"/>
      <c r="DX121" s="422"/>
      <c r="DY121" s="422"/>
      <c r="DZ121" s="428"/>
      <c r="EA121" s="427"/>
      <c r="EB121" s="422"/>
      <c r="EC121" s="422"/>
      <c r="ED121" s="428"/>
      <c r="EE121" s="427"/>
      <c r="EF121" s="422"/>
      <c r="EG121" s="422"/>
      <c r="EH121" s="428"/>
      <c r="EI121" s="427"/>
      <c r="EJ121" s="422"/>
      <c r="EK121" s="422"/>
      <c r="EL121" s="428"/>
      <c r="EM121" s="427"/>
      <c r="EN121" s="422"/>
      <c r="EO121" s="422"/>
      <c r="EP121" s="428"/>
      <c r="EQ121" s="427"/>
      <c r="ER121" s="422"/>
      <c r="ES121" s="422"/>
      <c r="ET121" s="428"/>
      <c r="EU121" s="427"/>
      <c r="EV121" s="422"/>
      <c r="EW121" s="422"/>
      <c r="EX121" s="428"/>
      <c r="EY121" s="427"/>
      <c r="EZ121" s="422"/>
      <c r="FA121" s="422"/>
      <c r="FB121" s="428"/>
      <c r="FC121" s="427"/>
      <c r="FD121" s="422"/>
      <c r="FE121" s="422"/>
      <c r="FF121" s="428"/>
      <c r="FG121" s="427"/>
      <c r="FH121" s="422"/>
      <c r="FI121" s="422"/>
      <c r="FJ121" s="428"/>
      <c r="FK121" s="427"/>
      <c r="FL121" s="422"/>
      <c r="FM121" s="422"/>
      <c r="FN121" s="428"/>
      <c r="FO121" s="427"/>
      <c r="FP121" s="422"/>
      <c r="FQ121" s="422"/>
      <c r="FR121" s="428"/>
      <c r="FS121" s="427"/>
      <c r="FT121" s="422"/>
      <c r="FU121" s="422"/>
      <c r="FV121" s="428"/>
      <c r="FW121" s="427"/>
      <c r="FX121" s="422"/>
      <c r="FY121" s="422"/>
      <c r="FZ121" s="428"/>
      <c r="GA121" s="427"/>
      <c r="GB121" s="422"/>
      <c r="GC121" s="422"/>
      <c r="GD121" s="428"/>
      <c r="GE121" s="427"/>
      <c r="GF121" s="422"/>
      <c r="GG121" s="422"/>
      <c r="GH121" s="428"/>
      <c r="GI121" s="427"/>
      <c r="GJ121" s="422"/>
      <c r="GK121" s="422"/>
      <c r="GL121" s="428"/>
      <c r="GM121" s="427"/>
      <c r="GN121" s="422"/>
      <c r="GO121" s="422"/>
      <c r="GP121" s="428"/>
      <c r="GQ121" s="427"/>
      <c r="GR121" s="422"/>
      <c r="GS121" s="422"/>
      <c r="GT121" s="428"/>
      <c r="GU121" s="427"/>
      <c r="GV121" s="422"/>
      <c r="GW121" s="422"/>
      <c r="GX121" s="428"/>
      <c r="GY121" s="427"/>
      <c r="GZ121" s="422"/>
      <c r="HA121" s="422"/>
      <c r="HB121" s="428"/>
      <c r="HC121" s="446">
        <f t="shared" si="75"/>
        <v>0</v>
      </c>
      <c r="HD121" s="447">
        <f t="shared" si="75"/>
        <v>0</v>
      </c>
      <c r="HE121" s="447">
        <f t="shared" si="75"/>
        <v>0</v>
      </c>
      <c r="HF121" s="448"/>
      <c r="HG121" s="446">
        <f>SUM(SUMIFS(K121:HB121,$K$13:$HB$13,{"エネルギー管理指定工場等*","県域*"}))</f>
        <v>0</v>
      </c>
      <c r="HH121" s="447">
        <f>SUM(SUMIFS(L121:HC121,$K$13:$HB$13,{"エネルギー管理指定工場等*","県域*"}))</f>
        <v>0</v>
      </c>
      <c r="HI121" s="447">
        <f>SUM(SUMIFS(M121:HD121,$K$13:$HB$13,{"エネルギー管理指定工場等*","県域*"}))</f>
        <v>0</v>
      </c>
      <c r="HJ121" s="448"/>
    </row>
    <row r="122" spans="1:218" ht="19.8">
      <c r="A122" s="164"/>
      <c r="B122" s="410" t="s">
        <v>1403</v>
      </c>
      <c r="C122" s="411"/>
      <c r="D122" s="411"/>
      <c r="E122" s="411"/>
      <c r="F122" s="411"/>
      <c r="G122" s="411"/>
      <c r="H122" s="436"/>
      <c r="I122" s="425"/>
      <c r="J122" s="426"/>
      <c r="K122" s="416"/>
      <c r="L122" s="449"/>
      <c r="M122" s="411"/>
      <c r="N122" s="450"/>
      <c r="O122" s="416"/>
      <c r="P122" s="449"/>
      <c r="Q122" s="411"/>
      <c r="R122" s="450"/>
      <c r="S122" s="416"/>
      <c r="T122" s="449"/>
      <c r="U122" s="411"/>
      <c r="V122" s="450"/>
      <c r="W122" s="416"/>
      <c r="X122" s="449"/>
      <c r="Y122" s="411"/>
      <c r="Z122" s="450"/>
      <c r="AA122" s="416"/>
      <c r="AB122" s="449"/>
      <c r="AC122" s="411"/>
      <c r="AD122" s="450"/>
      <c r="AE122" s="416"/>
      <c r="AF122" s="449"/>
      <c r="AG122" s="411"/>
      <c r="AH122" s="450"/>
      <c r="AI122" s="416"/>
      <c r="AJ122" s="449"/>
      <c r="AK122" s="411"/>
      <c r="AL122" s="450"/>
      <c r="AM122" s="416"/>
      <c r="AN122" s="449"/>
      <c r="AO122" s="411"/>
      <c r="AP122" s="450"/>
      <c r="AQ122" s="416"/>
      <c r="AR122" s="449"/>
      <c r="AS122" s="411"/>
      <c r="AT122" s="450"/>
      <c r="AU122" s="416"/>
      <c r="AV122" s="449"/>
      <c r="AW122" s="411"/>
      <c r="AX122" s="450"/>
      <c r="AY122" s="416"/>
      <c r="AZ122" s="449"/>
      <c r="BA122" s="411"/>
      <c r="BB122" s="450"/>
      <c r="BC122" s="416"/>
      <c r="BD122" s="449"/>
      <c r="BE122" s="411"/>
      <c r="BF122" s="450"/>
      <c r="BG122" s="416"/>
      <c r="BH122" s="449"/>
      <c r="BI122" s="411"/>
      <c r="BJ122" s="450"/>
      <c r="BK122" s="416"/>
      <c r="BL122" s="449"/>
      <c r="BM122" s="411"/>
      <c r="BN122" s="450"/>
      <c r="BO122" s="416"/>
      <c r="BP122" s="449"/>
      <c r="BQ122" s="411"/>
      <c r="BR122" s="450"/>
      <c r="BS122" s="416"/>
      <c r="BT122" s="449"/>
      <c r="BU122" s="411"/>
      <c r="BV122" s="450"/>
      <c r="BW122" s="416"/>
      <c r="BX122" s="449"/>
      <c r="BY122" s="411"/>
      <c r="BZ122" s="411"/>
      <c r="CA122" s="416"/>
      <c r="CB122" s="449"/>
      <c r="CC122" s="411"/>
      <c r="CD122" s="411"/>
      <c r="CE122" s="416"/>
      <c r="CF122" s="449"/>
      <c r="CG122" s="411"/>
      <c r="CH122" s="411"/>
      <c r="CI122" s="416"/>
      <c r="CJ122" s="449"/>
      <c r="CK122" s="411"/>
      <c r="CL122" s="411"/>
      <c r="CM122" s="416"/>
      <c r="CN122" s="449"/>
      <c r="CO122" s="411"/>
      <c r="CP122" s="411"/>
      <c r="CQ122" s="416"/>
      <c r="CR122" s="449"/>
      <c r="CS122" s="411"/>
      <c r="CT122" s="411"/>
      <c r="CU122" s="416"/>
      <c r="CV122" s="449"/>
      <c r="CW122" s="411"/>
      <c r="CX122" s="411"/>
      <c r="CY122" s="416"/>
      <c r="CZ122" s="449"/>
      <c r="DA122" s="411"/>
      <c r="DB122" s="411"/>
      <c r="DC122" s="416"/>
      <c r="DD122" s="449"/>
      <c r="DE122" s="411"/>
      <c r="DF122" s="411"/>
      <c r="DG122" s="416"/>
      <c r="DH122" s="449"/>
      <c r="DI122" s="411"/>
      <c r="DJ122" s="411"/>
      <c r="DK122" s="416"/>
      <c r="DL122" s="449"/>
      <c r="DM122" s="411"/>
      <c r="DN122" s="411"/>
      <c r="DO122" s="416"/>
      <c r="DP122" s="449"/>
      <c r="DQ122" s="411"/>
      <c r="DR122" s="411"/>
      <c r="DS122" s="416"/>
      <c r="DT122" s="449"/>
      <c r="DU122" s="411"/>
      <c r="DV122" s="411"/>
      <c r="DW122" s="416"/>
      <c r="DX122" s="449"/>
      <c r="DY122" s="411"/>
      <c r="DZ122" s="411"/>
      <c r="EA122" s="416"/>
      <c r="EB122" s="449"/>
      <c r="EC122" s="411"/>
      <c r="ED122" s="411"/>
      <c r="EE122" s="416"/>
      <c r="EF122" s="449"/>
      <c r="EG122" s="411"/>
      <c r="EH122" s="411"/>
      <c r="EI122" s="416"/>
      <c r="EJ122" s="449"/>
      <c r="EK122" s="411"/>
      <c r="EL122" s="411"/>
      <c r="EM122" s="416"/>
      <c r="EN122" s="449"/>
      <c r="EO122" s="411"/>
      <c r="EP122" s="411"/>
      <c r="EQ122" s="416"/>
      <c r="ER122" s="449"/>
      <c r="ES122" s="411"/>
      <c r="ET122" s="411"/>
      <c r="EU122" s="416"/>
      <c r="EV122" s="449"/>
      <c r="EW122" s="411"/>
      <c r="EX122" s="411"/>
      <c r="EY122" s="416"/>
      <c r="EZ122" s="449"/>
      <c r="FA122" s="411"/>
      <c r="FB122" s="411"/>
      <c r="FC122" s="416"/>
      <c r="FD122" s="449"/>
      <c r="FE122" s="411"/>
      <c r="FF122" s="411"/>
      <c r="FG122" s="416"/>
      <c r="FH122" s="449"/>
      <c r="FI122" s="411"/>
      <c r="FJ122" s="411"/>
      <c r="FK122" s="416"/>
      <c r="FL122" s="449"/>
      <c r="FM122" s="411"/>
      <c r="FN122" s="411"/>
      <c r="FO122" s="416"/>
      <c r="FP122" s="449"/>
      <c r="FQ122" s="411"/>
      <c r="FR122" s="411"/>
      <c r="FS122" s="416"/>
      <c r="FT122" s="449"/>
      <c r="FU122" s="411"/>
      <c r="FV122" s="411"/>
      <c r="FW122" s="416"/>
      <c r="FX122" s="449"/>
      <c r="FY122" s="411"/>
      <c r="FZ122" s="411"/>
      <c r="GA122" s="416"/>
      <c r="GB122" s="449"/>
      <c r="GC122" s="411"/>
      <c r="GD122" s="411"/>
      <c r="GE122" s="416"/>
      <c r="GF122" s="449"/>
      <c r="GG122" s="411"/>
      <c r="GH122" s="411"/>
      <c r="GI122" s="416"/>
      <c r="GJ122" s="449"/>
      <c r="GK122" s="411"/>
      <c r="GL122" s="411"/>
      <c r="GM122" s="416"/>
      <c r="GN122" s="449"/>
      <c r="GO122" s="411"/>
      <c r="GP122" s="411"/>
      <c r="GQ122" s="416"/>
      <c r="GR122" s="449"/>
      <c r="GS122" s="411"/>
      <c r="GT122" s="411"/>
      <c r="GU122" s="416"/>
      <c r="GV122" s="449"/>
      <c r="GW122" s="411"/>
      <c r="GX122" s="411"/>
      <c r="GY122" s="416"/>
      <c r="GZ122" s="449"/>
      <c r="HA122" s="411"/>
      <c r="HB122" s="411"/>
      <c r="HC122" s="418">
        <f t="shared" si="75"/>
        <v>0</v>
      </c>
      <c r="HD122" s="451"/>
      <c r="HE122" s="419">
        <f t="shared" si="75"/>
        <v>0</v>
      </c>
      <c r="HF122" s="419">
        <f t="shared" si="75"/>
        <v>0</v>
      </c>
      <c r="HG122" s="418">
        <f>SUM(SUMIFS(K122:HB122,$K$13:$HB$13,{"エネルギー管理指定工場等*","県域*"}))</f>
        <v>0</v>
      </c>
      <c r="HH122" s="451"/>
      <c r="HI122" s="419">
        <f>SUM(SUMIFS(M122:HD122,$K$13:$HB$13,{"エネルギー管理指定工場等*","県域*"}))</f>
        <v>0</v>
      </c>
      <c r="HJ122" s="452">
        <f>SUM(SUMIFS(N122:HE122,$K$13:$HB$13,{"エネルギー管理指定工場等*","県域*"}))</f>
        <v>0</v>
      </c>
    </row>
    <row r="123" spans="1:218" ht="19.8">
      <c r="A123" s="164"/>
      <c r="B123" s="421" t="s">
        <v>1404</v>
      </c>
      <c r="C123" s="422"/>
      <c r="D123" s="422"/>
      <c r="E123" s="422"/>
      <c r="F123" s="422"/>
      <c r="G123" s="422"/>
      <c r="H123" s="453"/>
      <c r="I123" s="425"/>
      <c r="J123" s="426"/>
      <c r="K123" s="427"/>
      <c r="L123" s="454"/>
      <c r="M123" s="422"/>
      <c r="N123" s="455"/>
      <c r="O123" s="427"/>
      <c r="P123" s="454"/>
      <c r="Q123" s="422"/>
      <c r="R123" s="455"/>
      <c r="S123" s="427"/>
      <c r="T123" s="454"/>
      <c r="U123" s="422"/>
      <c r="V123" s="455"/>
      <c r="W123" s="427"/>
      <c r="X123" s="454"/>
      <c r="Y123" s="422"/>
      <c r="Z123" s="455"/>
      <c r="AA123" s="427"/>
      <c r="AB123" s="454"/>
      <c r="AC123" s="422"/>
      <c r="AD123" s="455"/>
      <c r="AE123" s="427"/>
      <c r="AF123" s="454"/>
      <c r="AG123" s="422"/>
      <c r="AH123" s="455"/>
      <c r="AI123" s="427"/>
      <c r="AJ123" s="454"/>
      <c r="AK123" s="422"/>
      <c r="AL123" s="455"/>
      <c r="AM123" s="427"/>
      <c r="AN123" s="454"/>
      <c r="AO123" s="422"/>
      <c r="AP123" s="455"/>
      <c r="AQ123" s="427"/>
      <c r="AR123" s="454"/>
      <c r="AS123" s="422"/>
      <c r="AT123" s="455"/>
      <c r="AU123" s="427"/>
      <c r="AV123" s="454"/>
      <c r="AW123" s="422"/>
      <c r="AX123" s="455"/>
      <c r="AY123" s="427"/>
      <c r="AZ123" s="454"/>
      <c r="BA123" s="422"/>
      <c r="BB123" s="455"/>
      <c r="BC123" s="427"/>
      <c r="BD123" s="454"/>
      <c r="BE123" s="422"/>
      <c r="BF123" s="455"/>
      <c r="BG123" s="427"/>
      <c r="BH123" s="454"/>
      <c r="BI123" s="422"/>
      <c r="BJ123" s="455"/>
      <c r="BK123" s="427"/>
      <c r="BL123" s="454"/>
      <c r="BM123" s="422"/>
      <c r="BN123" s="455"/>
      <c r="BO123" s="427"/>
      <c r="BP123" s="454"/>
      <c r="BQ123" s="422"/>
      <c r="BR123" s="455"/>
      <c r="BS123" s="427"/>
      <c r="BT123" s="454"/>
      <c r="BU123" s="422"/>
      <c r="BV123" s="455"/>
      <c r="BW123" s="427"/>
      <c r="BX123" s="454"/>
      <c r="BY123" s="422"/>
      <c r="BZ123" s="422"/>
      <c r="CA123" s="427"/>
      <c r="CB123" s="454"/>
      <c r="CC123" s="422"/>
      <c r="CD123" s="422"/>
      <c r="CE123" s="427"/>
      <c r="CF123" s="454"/>
      <c r="CG123" s="422"/>
      <c r="CH123" s="422"/>
      <c r="CI123" s="427"/>
      <c r="CJ123" s="454"/>
      <c r="CK123" s="422"/>
      <c r="CL123" s="422"/>
      <c r="CM123" s="427"/>
      <c r="CN123" s="454"/>
      <c r="CO123" s="422"/>
      <c r="CP123" s="422"/>
      <c r="CQ123" s="427"/>
      <c r="CR123" s="454"/>
      <c r="CS123" s="422"/>
      <c r="CT123" s="422"/>
      <c r="CU123" s="427"/>
      <c r="CV123" s="454"/>
      <c r="CW123" s="422"/>
      <c r="CX123" s="422"/>
      <c r="CY123" s="427"/>
      <c r="CZ123" s="454"/>
      <c r="DA123" s="422"/>
      <c r="DB123" s="422"/>
      <c r="DC123" s="427"/>
      <c r="DD123" s="454"/>
      <c r="DE123" s="422"/>
      <c r="DF123" s="422"/>
      <c r="DG123" s="427"/>
      <c r="DH123" s="454"/>
      <c r="DI123" s="422"/>
      <c r="DJ123" s="422"/>
      <c r="DK123" s="427"/>
      <c r="DL123" s="454"/>
      <c r="DM123" s="422"/>
      <c r="DN123" s="422"/>
      <c r="DO123" s="427"/>
      <c r="DP123" s="454"/>
      <c r="DQ123" s="422"/>
      <c r="DR123" s="422"/>
      <c r="DS123" s="427"/>
      <c r="DT123" s="454"/>
      <c r="DU123" s="422"/>
      <c r="DV123" s="422"/>
      <c r="DW123" s="427"/>
      <c r="DX123" s="454"/>
      <c r="DY123" s="422"/>
      <c r="DZ123" s="422"/>
      <c r="EA123" s="427"/>
      <c r="EB123" s="454"/>
      <c r="EC123" s="422"/>
      <c r="ED123" s="422"/>
      <c r="EE123" s="427"/>
      <c r="EF123" s="454"/>
      <c r="EG123" s="422"/>
      <c r="EH123" s="422"/>
      <c r="EI123" s="427"/>
      <c r="EJ123" s="454"/>
      <c r="EK123" s="422"/>
      <c r="EL123" s="422"/>
      <c r="EM123" s="427"/>
      <c r="EN123" s="454"/>
      <c r="EO123" s="422"/>
      <c r="EP123" s="422"/>
      <c r="EQ123" s="427"/>
      <c r="ER123" s="454"/>
      <c r="ES123" s="422"/>
      <c r="ET123" s="422"/>
      <c r="EU123" s="427"/>
      <c r="EV123" s="454"/>
      <c r="EW123" s="422"/>
      <c r="EX123" s="422"/>
      <c r="EY123" s="427"/>
      <c r="EZ123" s="454"/>
      <c r="FA123" s="422"/>
      <c r="FB123" s="422"/>
      <c r="FC123" s="427"/>
      <c r="FD123" s="454"/>
      <c r="FE123" s="422"/>
      <c r="FF123" s="422"/>
      <c r="FG123" s="427"/>
      <c r="FH123" s="454"/>
      <c r="FI123" s="422"/>
      <c r="FJ123" s="422"/>
      <c r="FK123" s="427"/>
      <c r="FL123" s="454"/>
      <c r="FM123" s="422"/>
      <c r="FN123" s="422"/>
      <c r="FO123" s="427"/>
      <c r="FP123" s="454"/>
      <c r="FQ123" s="422"/>
      <c r="FR123" s="422"/>
      <c r="FS123" s="427"/>
      <c r="FT123" s="454"/>
      <c r="FU123" s="422"/>
      <c r="FV123" s="422"/>
      <c r="FW123" s="427"/>
      <c r="FX123" s="454"/>
      <c r="FY123" s="422"/>
      <c r="FZ123" s="422"/>
      <c r="GA123" s="427"/>
      <c r="GB123" s="454"/>
      <c r="GC123" s="422"/>
      <c r="GD123" s="422"/>
      <c r="GE123" s="427"/>
      <c r="GF123" s="454"/>
      <c r="GG123" s="422"/>
      <c r="GH123" s="422"/>
      <c r="GI123" s="427"/>
      <c r="GJ123" s="454"/>
      <c r="GK123" s="422"/>
      <c r="GL123" s="422"/>
      <c r="GM123" s="427"/>
      <c r="GN123" s="454"/>
      <c r="GO123" s="422"/>
      <c r="GP123" s="422"/>
      <c r="GQ123" s="427"/>
      <c r="GR123" s="454"/>
      <c r="GS123" s="422"/>
      <c r="GT123" s="422"/>
      <c r="GU123" s="427"/>
      <c r="GV123" s="454"/>
      <c r="GW123" s="422"/>
      <c r="GX123" s="422"/>
      <c r="GY123" s="427"/>
      <c r="GZ123" s="454"/>
      <c r="HA123" s="422"/>
      <c r="HB123" s="422"/>
      <c r="HC123" s="434">
        <f t="shared" si="75"/>
        <v>0</v>
      </c>
      <c r="HD123" s="456"/>
      <c r="HE123" s="432">
        <f t="shared" si="75"/>
        <v>0</v>
      </c>
      <c r="HF123" s="432">
        <f t="shared" si="75"/>
        <v>0</v>
      </c>
      <c r="HG123" s="434">
        <f>SUM(SUMIFS(K123:HB123,$K$13:$HB$13,{"エネルギー管理指定工場等*","県域*"}))</f>
        <v>0</v>
      </c>
      <c r="HH123" s="456"/>
      <c r="HI123" s="432">
        <f>SUM(SUMIFS(M123:HD123,$K$13:$HB$13,{"エネルギー管理指定工場等*","県域*"}))</f>
        <v>0</v>
      </c>
      <c r="HJ123" s="457">
        <f>SUM(SUMIFS(N123:HE123,$K$13:$HB$13,{"エネルギー管理指定工場等*","県域*"}))</f>
        <v>0</v>
      </c>
    </row>
    <row r="124" spans="1:218" ht="19.8">
      <c r="A124" s="164"/>
      <c r="B124" s="443" t="s">
        <v>1405</v>
      </c>
      <c r="C124" s="458"/>
      <c r="D124" s="458"/>
      <c r="E124" s="458"/>
      <c r="F124" s="444"/>
      <c r="G124" s="444"/>
      <c r="H124" s="459"/>
      <c r="I124" s="425"/>
      <c r="J124" s="426"/>
      <c r="K124" s="460"/>
      <c r="L124" s="461"/>
      <c r="M124" s="458"/>
      <c r="N124" s="462"/>
      <c r="O124" s="460"/>
      <c r="P124" s="461"/>
      <c r="Q124" s="458"/>
      <c r="R124" s="462"/>
      <c r="S124" s="460"/>
      <c r="T124" s="461"/>
      <c r="U124" s="458"/>
      <c r="V124" s="462"/>
      <c r="W124" s="460"/>
      <c r="X124" s="461"/>
      <c r="Y124" s="458"/>
      <c r="Z124" s="462"/>
      <c r="AA124" s="460"/>
      <c r="AB124" s="461"/>
      <c r="AC124" s="458"/>
      <c r="AD124" s="462"/>
      <c r="AE124" s="460"/>
      <c r="AF124" s="461"/>
      <c r="AG124" s="458"/>
      <c r="AH124" s="462"/>
      <c r="AI124" s="460"/>
      <c r="AJ124" s="461"/>
      <c r="AK124" s="458"/>
      <c r="AL124" s="462"/>
      <c r="AM124" s="460"/>
      <c r="AN124" s="461"/>
      <c r="AO124" s="458"/>
      <c r="AP124" s="462"/>
      <c r="AQ124" s="460"/>
      <c r="AR124" s="461"/>
      <c r="AS124" s="458"/>
      <c r="AT124" s="462"/>
      <c r="AU124" s="460"/>
      <c r="AV124" s="461"/>
      <c r="AW124" s="458"/>
      <c r="AX124" s="462"/>
      <c r="AY124" s="460"/>
      <c r="AZ124" s="461"/>
      <c r="BA124" s="458"/>
      <c r="BB124" s="462"/>
      <c r="BC124" s="460"/>
      <c r="BD124" s="461"/>
      <c r="BE124" s="458"/>
      <c r="BF124" s="462"/>
      <c r="BG124" s="460"/>
      <c r="BH124" s="461"/>
      <c r="BI124" s="458"/>
      <c r="BJ124" s="462"/>
      <c r="BK124" s="460"/>
      <c r="BL124" s="461"/>
      <c r="BM124" s="458"/>
      <c r="BN124" s="462"/>
      <c r="BO124" s="460"/>
      <c r="BP124" s="461"/>
      <c r="BQ124" s="458"/>
      <c r="BR124" s="462"/>
      <c r="BS124" s="460"/>
      <c r="BT124" s="461"/>
      <c r="BU124" s="458"/>
      <c r="BV124" s="462"/>
      <c r="BW124" s="460"/>
      <c r="BX124" s="461"/>
      <c r="BY124" s="458"/>
      <c r="BZ124" s="458"/>
      <c r="CA124" s="460"/>
      <c r="CB124" s="461"/>
      <c r="CC124" s="458"/>
      <c r="CD124" s="458"/>
      <c r="CE124" s="460"/>
      <c r="CF124" s="461"/>
      <c r="CG124" s="458"/>
      <c r="CH124" s="458"/>
      <c r="CI124" s="460"/>
      <c r="CJ124" s="461"/>
      <c r="CK124" s="458"/>
      <c r="CL124" s="458"/>
      <c r="CM124" s="460"/>
      <c r="CN124" s="461"/>
      <c r="CO124" s="458"/>
      <c r="CP124" s="458"/>
      <c r="CQ124" s="460"/>
      <c r="CR124" s="461"/>
      <c r="CS124" s="458"/>
      <c r="CT124" s="458"/>
      <c r="CU124" s="460"/>
      <c r="CV124" s="461"/>
      <c r="CW124" s="458"/>
      <c r="CX124" s="458"/>
      <c r="CY124" s="460"/>
      <c r="CZ124" s="461"/>
      <c r="DA124" s="458"/>
      <c r="DB124" s="458"/>
      <c r="DC124" s="460"/>
      <c r="DD124" s="461"/>
      <c r="DE124" s="458"/>
      <c r="DF124" s="458"/>
      <c r="DG124" s="460"/>
      <c r="DH124" s="461"/>
      <c r="DI124" s="458"/>
      <c r="DJ124" s="458"/>
      <c r="DK124" s="460"/>
      <c r="DL124" s="461"/>
      <c r="DM124" s="458"/>
      <c r="DN124" s="458"/>
      <c r="DO124" s="460"/>
      <c r="DP124" s="461"/>
      <c r="DQ124" s="458"/>
      <c r="DR124" s="458"/>
      <c r="DS124" s="460"/>
      <c r="DT124" s="461"/>
      <c r="DU124" s="458"/>
      <c r="DV124" s="458"/>
      <c r="DW124" s="460"/>
      <c r="DX124" s="461"/>
      <c r="DY124" s="458"/>
      <c r="DZ124" s="458"/>
      <c r="EA124" s="460"/>
      <c r="EB124" s="461"/>
      <c r="EC124" s="458"/>
      <c r="ED124" s="458"/>
      <c r="EE124" s="460"/>
      <c r="EF124" s="461"/>
      <c r="EG124" s="458"/>
      <c r="EH124" s="458"/>
      <c r="EI124" s="460"/>
      <c r="EJ124" s="461"/>
      <c r="EK124" s="458"/>
      <c r="EL124" s="458"/>
      <c r="EM124" s="460"/>
      <c r="EN124" s="461"/>
      <c r="EO124" s="458"/>
      <c r="EP124" s="458"/>
      <c r="EQ124" s="460"/>
      <c r="ER124" s="461"/>
      <c r="ES124" s="458"/>
      <c r="ET124" s="458"/>
      <c r="EU124" s="460"/>
      <c r="EV124" s="461"/>
      <c r="EW124" s="458"/>
      <c r="EX124" s="458"/>
      <c r="EY124" s="460"/>
      <c r="EZ124" s="461"/>
      <c r="FA124" s="458"/>
      <c r="FB124" s="458"/>
      <c r="FC124" s="460"/>
      <c r="FD124" s="461"/>
      <c r="FE124" s="458"/>
      <c r="FF124" s="458"/>
      <c r="FG124" s="460"/>
      <c r="FH124" s="461"/>
      <c r="FI124" s="458"/>
      <c r="FJ124" s="458"/>
      <c r="FK124" s="460"/>
      <c r="FL124" s="461"/>
      <c r="FM124" s="458"/>
      <c r="FN124" s="458"/>
      <c r="FO124" s="460"/>
      <c r="FP124" s="461"/>
      <c r="FQ124" s="458"/>
      <c r="FR124" s="458"/>
      <c r="FS124" s="460"/>
      <c r="FT124" s="461"/>
      <c r="FU124" s="458"/>
      <c r="FV124" s="458"/>
      <c r="FW124" s="460"/>
      <c r="FX124" s="461"/>
      <c r="FY124" s="458"/>
      <c r="FZ124" s="458"/>
      <c r="GA124" s="460"/>
      <c r="GB124" s="461"/>
      <c r="GC124" s="458"/>
      <c r="GD124" s="458"/>
      <c r="GE124" s="460"/>
      <c r="GF124" s="461"/>
      <c r="GG124" s="458"/>
      <c r="GH124" s="458"/>
      <c r="GI124" s="460"/>
      <c r="GJ124" s="461"/>
      <c r="GK124" s="458"/>
      <c r="GL124" s="458"/>
      <c r="GM124" s="460"/>
      <c r="GN124" s="461"/>
      <c r="GO124" s="458"/>
      <c r="GP124" s="458"/>
      <c r="GQ124" s="460"/>
      <c r="GR124" s="461"/>
      <c r="GS124" s="458"/>
      <c r="GT124" s="458"/>
      <c r="GU124" s="460"/>
      <c r="GV124" s="461"/>
      <c r="GW124" s="458"/>
      <c r="GX124" s="458"/>
      <c r="GY124" s="460"/>
      <c r="GZ124" s="461"/>
      <c r="HA124" s="458"/>
      <c r="HB124" s="458"/>
      <c r="HC124" s="463">
        <f t="shared" si="75"/>
        <v>0</v>
      </c>
      <c r="HD124" s="464"/>
      <c r="HE124" s="465">
        <f t="shared" si="75"/>
        <v>0</v>
      </c>
      <c r="HF124" s="465">
        <f t="shared" si="75"/>
        <v>0</v>
      </c>
      <c r="HG124" s="463">
        <f>SUM(SUMIFS(K124:HB124,$K$13:$HB$13,{"エネルギー管理指定工場等*","県域*"}))</f>
        <v>0</v>
      </c>
      <c r="HH124" s="464"/>
      <c r="HI124" s="465">
        <f>SUM(SUMIFS(M124:HD124,$K$13:$HB$13,{"エネルギー管理指定工場等*","県域*"}))</f>
        <v>0</v>
      </c>
      <c r="HJ124" s="466">
        <f>SUM(SUMIFS(N124:HE124,$K$13:$HB$13,{"エネルギー管理指定工場等*","県域*"}))</f>
        <v>0</v>
      </c>
    </row>
    <row r="125" spans="1:218" ht="19.8">
      <c r="A125" s="164"/>
      <c r="B125" s="410" t="s">
        <v>1406</v>
      </c>
      <c r="C125" s="411"/>
      <c r="D125" s="411"/>
      <c r="E125" s="411"/>
      <c r="F125" s="411"/>
      <c r="G125" s="411"/>
      <c r="H125" s="436"/>
      <c r="I125" s="425"/>
      <c r="J125" s="426"/>
      <c r="K125" s="416"/>
      <c r="L125" s="449"/>
      <c r="M125" s="411"/>
      <c r="N125" s="450"/>
      <c r="O125" s="416"/>
      <c r="P125" s="449"/>
      <c r="Q125" s="411"/>
      <c r="R125" s="450"/>
      <c r="S125" s="416"/>
      <c r="T125" s="449"/>
      <c r="U125" s="411"/>
      <c r="V125" s="450"/>
      <c r="W125" s="416"/>
      <c r="X125" s="449"/>
      <c r="Y125" s="411"/>
      <c r="Z125" s="450"/>
      <c r="AA125" s="416"/>
      <c r="AB125" s="449"/>
      <c r="AC125" s="411"/>
      <c r="AD125" s="450"/>
      <c r="AE125" s="416"/>
      <c r="AF125" s="449"/>
      <c r="AG125" s="411"/>
      <c r="AH125" s="450"/>
      <c r="AI125" s="416"/>
      <c r="AJ125" s="449"/>
      <c r="AK125" s="411"/>
      <c r="AL125" s="450"/>
      <c r="AM125" s="416"/>
      <c r="AN125" s="449"/>
      <c r="AO125" s="411"/>
      <c r="AP125" s="450"/>
      <c r="AQ125" s="416"/>
      <c r="AR125" s="449"/>
      <c r="AS125" s="411"/>
      <c r="AT125" s="450"/>
      <c r="AU125" s="416"/>
      <c r="AV125" s="449"/>
      <c r="AW125" s="411"/>
      <c r="AX125" s="450"/>
      <c r="AY125" s="416"/>
      <c r="AZ125" s="449"/>
      <c r="BA125" s="411"/>
      <c r="BB125" s="450"/>
      <c r="BC125" s="416"/>
      <c r="BD125" s="449"/>
      <c r="BE125" s="411"/>
      <c r="BF125" s="450"/>
      <c r="BG125" s="416"/>
      <c r="BH125" s="449"/>
      <c r="BI125" s="411"/>
      <c r="BJ125" s="450"/>
      <c r="BK125" s="416"/>
      <c r="BL125" s="449"/>
      <c r="BM125" s="411"/>
      <c r="BN125" s="450"/>
      <c r="BO125" s="416"/>
      <c r="BP125" s="449"/>
      <c r="BQ125" s="411"/>
      <c r="BR125" s="450"/>
      <c r="BS125" s="416"/>
      <c r="BT125" s="449"/>
      <c r="BU125" s="411"/>
      <c r="BV125" s="450"/>
      <c r="BW125" s="416"/>
      <c r="BX125" s="449"/>
      <c r="BY125" s="411"/>
      <c r="BZ125" s="411"/>
      <c r="CA125" s="416"/>
      <c r="CB125" s="449"/>
      <c r="CC125" s="411"/>
      <c r="CD125" s="411"/>
      <c r="CE125" s="416"/>
      <c r="CF125" s="449"/>
      <c r="CG125" s="411"/>
      <c r="CH125" s="411"/>
      <c r="CI125" s="416"/>
      <c r="CJ125" s="449"/>
      <c r="CK125" s="411"/>
      <c r="CL125" s="411"/>
      <c r="CM125" s="416"/>
      <c r="CN125" s="449"/>
      <c r="CO125" s="411"/>
      <c r="CP125" s="411"/>
      <c r="CQ125" s="416"/>
      <c r="CR125" s="449"/>
      <c r="CS125" s="411"/>
      <c r="CT125" s="411"/>
      <c r="CU125" s="416"/>
      <c r="CV125" s="449"/>
      <c r="CW125" s="411"/>
      <c r="CX125" s="411"/>
      <c r="CY125" s="416"/>
      <c r="CZ125" s="449"/>
      <c r="DA125" s="411"/>
      <c r="DB125" s="411"/>
      <c r="DC125" s="416"/>
      <c r="DD125" s="449"/>
      <c r="DE125" s="411"/>
      <c r="DF125" s="411"/>
      <c r="DG125" s="416"/>
      <c r="DH125" s="449"/>
      <c r="DI125" s="411"/>
      <c r="DJ125" s="411"/>
      <c r="DK125" s="416"/>
      <c r="DL125" s="449"/>
      <c r="DM125" s="411"/>
      <c r="DN125" s="411"/>
      <c r="DO125" s="416"/>
      <c r="DP125" s="449"/>
      <c r="DQ125" s="411"/>
      <c r="DR125" s="411"/>
      <c r="DS125" s="416"/>
      <c r="DT125" s="449"/>
      <c r="DU125" s="411"/>
      <c r="DV125" s="411"/>
      <c r="DW125" s="416"/>
      <c r="DX125" s="449"/>
      <c r="DY125" s="411"/>
      <c r="DZ125" s="411"/>
      <c r="EA125" s="416"/>
      <c r="EB125" s="449"/>
      <c r="EC125" s="411"/>
      <c r="ED125" s="411"/>
      <c r="EE125" s="416"/>
      <c r="EF125" s="449"/>
      <c r="EG125" s="411"/>
      <c r="EH125" s="411"/>
      <c r="EI125" s="416"/>
      <c r="EJ125" s="449"/>
      <c r="EK125" s="411"/>
      <c r="EL125" s="411"/>
      <c r="EM125" s="416"/>
      <c r="EN125" s="449"/>
      <c r="EO125" s="411"/>
      <c r="EP125" s="411"/>
      <c r="EQ125" s="416"/>
      <c r="ER125" s="449"/>
      <c r="ES125" s="411"/>
      <c r="ET125" s="411"/>
      <c r="EU125" s="416"/>
      <c r="EV125" s="449"/>
      <c r="EW125" s="411"/>
      <c r="EX125" s="411"/>
      <c r="EY125" s="416"/>
      <c r="EZ125" s="449"/>
      <c r="FA125" s="411"/>
      <c r="FB125" s="411"/>
      <c r="FC125" s="416"/>
      <c r="FD125" s="449"/>
      <c r="FE125" s="411"/>
      <c r="FF125" s="411"/>
      <c r="FG125" s="416"/>
      <c r="FH125" s="449"/>
      <c r="FI125" s="411"/>
      <c r="FJ125" s="411"/>
      <c r="FK125" s="416"/>
      <c r="FL125" s="449"/>
      <c r="FM125" s="411"/>
      <c r="FN125" s="411"/>
      <c r="FO125" s="416"/>
      <c r="FP125" s="449"/>
      <c r="FQ125" s="411"/>
      <c r="FR125" s="411"/>
      <c r="FS125" s="416"/>
      <c r="FT125" s="449"/>
      <c r="FU125" s="411"/>
      <c r="FV125" s="411"/>
      <c r="FW125" s="416"/>
      <c r="FX125" s="449"/>
      <c r="FY125" s="411"/>
      <c r="FZ125" s="411"/>
      <c r="GA125" s="416"/>
      <c r="GB125" s="449"/>
      <c r="GC125" s="411"/>
      <c r="GD125" s="411"/>
      <c r="GE125" s="416"/>
      <c r="GF125" s="449"/>
      <c r="GG125" s="411"/>
      <c r="GH125" s="411"/>
      <c r="GI125" s="416"/>
      <c r="GJ125" s="449"/>
      <c r="GK125" s="411"/>
      <c r="GL125" s="411"/>
      <c r="GM125" s="416"/>
      <c r="GN125" s="449"/>
      <c r="GO125" s="411"/>
      <c r="GP125" s="411"/>
      <c r="GQ125" s="416"/>
      <c r="GR125" s="449"/>
      <c r="GS125" s="411"/>
      <c r="GT125" s="411"/>
      <c r="GU125" s="416"/>
      <c r="GV125" s="449"/>
      <c r="GW125" s="411"/>
      <c r="GX125" s="411"/>
      <c r="GY125" s="416"/>
      <c r="GZ125" s="449"/>
      <c r="HA125" s="411"/>
      <c r="HB125" s="411"/>
      <c r="HC125" s="418">
        <f t="shared" si="75"/>
        <v>0</v>
      </c>
      <c r="HD125" s="451"/>
      <c r="HE125" s="419">
        <f t="shared" si="75"/>
        <v>0</v>
      </c>
      <c r="HF125" s="419">
        <f t="shared" si="75"/>
        <v>0</v>
      </c>
      <c r="HG125" s="418">
        <f>SUM(SUMIFS(K125:HB125,$K$13:$HB$13,{"エネルギー管理指定工場等*","県域*"}))</f>
        <v>0</v>
      </c>
      <c r="HH125" s="451"/>
      <c r="HI125" s="419">
        <f>SUM(SUMIFS(M125:HD125,$K$13:$HB$13,{"エネルギー管理指定工場等*","県域*"}))</f>
        <v>0</v>
      </c>
      <c r="HJ125" s="452">
        <f>SUM(SUMIFS(N125:HE125,$K$13:$HB$13,{"エネルギー管理指定工場等*","県域*"}))</f>
        <v>0</v>
      </c>
    </row>
    <row r="126" spans="1:218" ht="19.8">
      <c r="A126" s="164"/>
      <c r="B126" s="421" t="s">
        <v>1407</v>
      </c>
      <c r="C126" s="422"/>
      <c r="D126" s="422"/>
      <c r="E126" s="422"/>
      <c r="F126" s="422"/>
      <c r="G126" s="422"/>
      <c r="H126" s="453"/>
      <c r="I126" s="425"/>
      <c r="J126" s="426"/>
      <c r="K126" s="427"/>
      <c r="L126" s="454"/>
      <c r="M126" s="422"/>
      <c r="N126" s="455"/>
      <c r="O126" s="427"/>
      <c r="P126" s="454"/>
      <c r="Q126" s="422"/>
      <c r="R126" s="455"/>
      <c r="S126" s="427"/>
      <c r="T126" s="454"/>
      <c r="U126" s="422"/>
      <c r="V126" s="455"/>
      <c r="W126" s="427"/>
      <c r="X126" s="454"/>
      <c r="Y126" s="422"/>
      <c r="Z126" s="455"/>
      <c r="AA126" s="427"/>
      <c r="AB126" s="454"/>
      <c r="AC126" s="422"/>
      <c r="AD126" s="455"/>
      <c r="AE126" s="427"/>
      <c r="AF126" s="454"/>
      <c r="AG126" s="422"/>
      <c r="AH126" s="455"/>
      <c r="AI126" s="427"/>
      <c r="AJ126" s="454"/>
      <c r="AK126" s="422"/>
      <c r="AL126" s="455"/>
      <c r="AM126" s="427"/>
      <c r="AN126" s="454"/>
      <c r="AO126" s="422"/>
      <c r="AP126" s="455"/>
      <c r="AQ126" s="427"/>
      <c r="AR126" s="454"/>
      <c r="AS126" s="422"/>
      <c r="AT126" s="455"/>
      <c r="AU126" s="427"/>
      <c r="AV126" s="454"/>
      <c r="AW126" s="422"/>
      <c r="AX126" s="455"/>
      <c r="AY126" s="427"/>
      <c r="AZ126" s="454"/>
      <c r="BA126" s="422"/>
      <c r="BB126" s="455"/>
      <c r="BC126" s="427"/>
      <c r="BD126" s="454"/>
      <c r="BE126" s="422"/>
      <c r="BF126" s="455"/>
      <c r="BG126" s="427"/>
      <c r="BH126" s="454"/>
      <c r="BI126" s="422"/>
      <c r="BJ126" s="455"/>
      <c r="BK126" s="427"/>
      <c r="BL126" s="454"/>
      <c r="BM126" s="422"/>
      <c r="BN126" s="455"/>
      <c r="BO126" s="427"/>
      <c r="BP126" s="454"/>
      <c r="BQ126" s="422"/>
      <c r="BR126" s="455"/>
      <c r="BS126" s="427"/>
      <c r="BT126" s="454"/>
      <c r="BU126" s="422"/>
      <c r="BV126" s="455"/>
      <c r="BW126" s="427"/>
      <c r="BX126" s="454"/>
      <c r="BY126" s="422"/>
      <c r="BZ126" s="422"/>
      <c r="CA126" s="427"/>
      <c r="CB126" s="454"/>
      <c r="CC126" s="422"/>
      <c r="CD126" s="422"/>
      <c r="CE126" s="427"/>
      <c r="CF126" s="454"/>
      <c r="CG126" s="422"/>
      <c r="CH126" s="422"/>
      <c r="CI126" s="427"/>
      <c r="CJ126" s="454"/>
      <c r="CK126" s="422"/>
      <c r="CL126" s="422"/>
      <c r="CM126" s="427"/>
      <c r="CN126" s="454"/>
      <c r="CO126" s="422"/>
      <c r="CP126" s="422"/>
      <c r="CQ126" s="427"/>
      <c r="CR126" s="454"/>
      <c r="CS126" s="422"/>
      <c r="CT126" s="422"/>
      <c r="CU126" s="427"/>
      <c r="CV126" s="454"/>
      <c r="CW126" s="422"/>
      <c r="CX126" s="422"/>
      <c r="CY126" s="427"/>
      <c r="CZ126" s="454"/>
      <c r="DA126" s="422"/>
      <c r="DB126" s="422"/>
      <c r="DC126" s="427"/>
      <c r="DD126" s="454"/>
      <c r="DE126" s="422"/>
      <c r="DF126" s="422"/>
      <c r="DG126" s="427"/>
      <c r="DH126" s="454"/>
      <c r="DI126" s="422"/>
      <c r="DJ126" s="422"/>
      <c r="DK126" s="427"/>
      <c r="DL126" s="454"/>
      <c r="DM126" s="422"/>
      <c r="DN126" s="422"/>
      <c r="DO126" s="427"/>
      <c r="DP126" s="454"/>
      <c r="DQ126" s="422"/>
      <c r="DR126" s="422"/>
      <c r="DS126" s="427"/>
      <c r="DT126" s="454"/>
      <c r="DU126" s="422"/>
      <c r="DV126" s="422"/>
      <c r="DW126" s="427"/>
      <c r="DX126" s="454"/>
      <c r="DY126" s="422"/>
      <c r="DZ126" s="422"/>
      <c r="EA126" s="427"/>
      <c r="EB126" s="454"/>
      <c r="EC126" s="422"/>
      <c r="ED126" s="422"/>
      <c r="EE126" s="427"/>
      <c r="EF126" s="454"/>
      <c r="EG126" s="422"/>
      <c r="EH126" s="422"/>
      <c r="EI126" s="427"/>
      <c r="EJ126" s="454"/>
      <c r="EK126" s="422"/>
      <c r="EL126" s="422"/>
      <c r="EM126" s="427"/>
      <c r="EN126" s="454"/>
      <c r="EO126" s="422"/>
      <c r="EP126" s="422"/>
      <c r="EQ126" s="427"/>
      <c r="ER126" s="454"/>
      <c r="ES126" s="422"/>
      <c r="ET126" s="422"/>
      <c r="EU126" s="427"/>
      <c r="EV126" s="454"/>
      <c r="EW126" s="422"/>
      <c r="EX126" s="422"/>
      <c r="EY126" s="427"/>
      <c r="EZ126" s="454"/>
      <c r="FA126" s="422"/>
      <c r="FB126" s="422"/>
      <c r="FC126" s="427"/>
      <c r="FD126" s="454"/>
      <c r="FE126" s="422"/>
      <c r="FF126" s="422"/>
      <c r="FG126" s="427"/>
      <c r="FH126" s="454"/>
      <c r="FI126" s="422"/>
      <c r="FJ126" s="422"/>
      <c r="FK126" s="427"/>
      <c r="FL126" s="454"/>
      <c r="FM126" s="422"/>
      <c r="FN126" s="422"/>
      <c r="FO126" s="427"/>
      <c r="FP126" s="454"/>
      <c r="FQ126" s="422"/>
      <c r="FR126" s="422"/>
      <c r="FS126" s="427"/>
      <c r="FT126" s="454"/>
      <c r="FU126" s="422"/>
      <c r="FV126" s="422"/>
      <c r="FW126" s="427"/>
      <c r="FX126" s="454"/>
      <c r="FY126" s="422"/>
      <c r="FZ126" s="422"/>
      <c r="GA126" s="427"/>
      <c r="GB126" s="454"/>
      <c r="GC126" s="422"/>
      <c r="GD126" s="422"/>
      <c r="GE126" s="427"/>
      <c r="GF126" s="454"/>
      <c r="GG126" s="422"/>
      <c r="GH126" s="422"/>
      <c r="GI126" s="427"/>
      <c r="GJ126" s="454"/>
      <c r="GK126" s="422"/>
      <c r="GL126" s="422"/>
      <c r="GM126" s="427"/>
      <c r="GN126" s="454"/>
      <c r="GO126" s="422"/>
      <c r="GP126" s="422"/>
      <c r="GQ126" s="427"/>
      <c r="GR126" s="454"/>
      <c r="GS126" s="422"/>
      <c r="GT126" s="422"/>
      <c r="GU126" s="427"/>
      <c r="GV126" s="454"/>
      <c r="GW126" s="422"/>
      <c r="GX126" s="422"/>
      <c r="GY126" s="427"/>
      <c r="GZ126" s="454"/>
      <c r="HA126" s="422"/>
      <c r="HB126" s="422"/>
      <c r="HC126" s="434">
        <f t="shared" si="75"/>
        <v>0</v>
      </c>
      <c r="HD126" s="456"/>
      <c r="HE126" s="432">
        <f t="shared" si="75"/>
        <v>0</v>
      </c>
      <c r="HF126" s="432">
        <f t="shared" si="75"/>
        <v>0</v>
      </c>
      <c r="HG126" s="434">
        <f>SUM(SUMIFS(K126:HB126,$K$13:$HB$13,{"エネルギー管理指定工場等*","県域*"}))</f>
        <v>0</v>
      </c>
      <c r="HH126" s="456"/>
      <c r="HI126" s="432">
        <f>SUM(SUMIFS(M126:HD126,$K$13:$HB$13,{"エネルギー管理指定工場等*","県域*"}))</f>
        <v>0</v>
      </c>
      <c r="HJ126" s="457">
        <f>SUM(SUMIFS(N126:HE126,$K$13:$HB$13,{"エネルギー管理指定工場等*","県域*"}))</f>
        <v>0</v>
      </c>
    </row>
    <row r="127" spans="1:218" ht="19.8">
      <c r="A127" s="164"/>
      <c r="B127" s="443" t="s">
        <v>1408</v>
      </c>
      <c r="C127" s="444"/>
      <c r="D127" s="444"/>
      <c r="E127" s="444"/>
      <c r="F127" s="444"/>
      <c r="G127" s="444"/>
      <c r="H127" s="467"/>
      <c r="I127" s="425"/>
      <c r="J127" s="426"/>
      <c r="K127" s="468"/>
      <c r="L127" s="469"/>
      <c r="M127" s="444"/>
      <c r="N127" s="470"/>
      <c r="O127" s="468"/>
      <c r="P127" s="469"/>
      <c r="Q127" s="444"/>
      <c r="R127" s="470"/>
      <c r="S127" s="468"/>
      <c r="T127" s="469"/>
      <c r="U127" s="444"/>
      <c r="V127" s="470"/>
      <c r="W127" s="468"/>
      <c r="X127" s="469"/>
      <c r="Y127" s="444"/>
      <c r="Z127" s="470"/>
      <c r="AA127" s="468"/>
      <c r="AB127" s="469"/>
      <c r="AC127" s="444"/>
      <c r="AD127" s="470"/>
      <c r="AE127" s="468"/>
      <c r="AF127" s="469"/>
      <c r="AG127" s="444"/>
      <c r="AH127" s="470"/>
      <c r="AI127" s="468"/>
      <c r="AJ127" s="469"/>
      <c r="AK127" s="444"/>
      <c r="AL127" s="470"/>
      <c r="AM127" s="468"/>
      <c r="AN127" s="469"/>
      <c r="AO127" s="444"/>
      <c r="AP127" s="470"/>
      <c r="AQ127" s="468"/>
      <c r="AR127" s="469"/>
      <c r="AS127" s="444"/>
      <c r="AT127" s="470"/>
      <c r="AU127" s="468"/>
      <c r="AV127" s="469"/>
      <c r="AW127" s="444"/>
      <c r="AX127" s="470"/>
      <c r="AY127" s="468"/>
      <c r="AZ127" s="469"/>
      <c r="BA127" s="444"/>
      <c r="BB127" s="470"/>
      <c r="BC127" s="468"/>
      <c r="BD127" s="469"/>
      <c r="BE127" s="444"/>
      <c r="BF127" s="470"/>
      <c r="BG127" s="468"/>
      <c r="BH127" s="469"/>
      <c r="BI127" s="444"/>
      <c r="BJ127" s="470"/>
      <c r="BK127" s="468"/>
      <c r="BL127" s="469"/>
      <c r="BM127" s="444"/>
      <c r="BN127" s="470"/>
      <c r="BO127" s="468"/>
      <c r="BP127" s="469"/>
      <c r="BQ127" s="444"/>
      <c r="BR127" s="470"/>
      <c r="BS127" s="468"/>
      <c r="BT127" s="469"/>
      <c r="BU127" s="444"/>
      <c r="BV127" s="470"/>
      <c r="BW127" s="468"/>
      <c r="BX127" s="469"/>
      <c r="BY127" s="444"/>
      <c r="BZ127" s="444"/>
      <c r="CA127" s="468"/>
      <c r="CB127" s="469"/>
      <c r="CC127" s="444"/>
      <c r="CD127" s="444"/>
      <c r="CE127" s="468"/>
      <c r="CF127" s="469"/>
      <c r="CG127" s="444"/>
      <c r="CH127" s="444"/>
      <c r="CI127" s="468"/>
      <c r="CJ127" s="469"/>
      <c r="CK127" s="444"/>
      <c r="CL127" s="444"/>
      <c r="CM127" s="468"/>
      <c r="CN127" s="469"/>
      <c r="CO127" s="444"/>
      <c r="CP127" s="444"/>
      <c r="CQ127" s="468"/>
      <c r="CR127" s="469"/>
      <c r="CS127" s="444"/>
      <c r="CT127" s="444"/>
      <c r="CU127" s="468"/>
      <c r="CV127" s="469"/>
      <c r="CW127" s="444"/>
      <c r="CX127" s="444"/>
      <c r="CY127" s="468"/>
      <c r="CZ127" s="469"/>
      <c r="DA127" s="444"/>
      <c r="DB127" s="444"/>
      <c r="DC127" s="468"/>
      <c r="DD127" s="469"/>
      <c r="DE127" s="444"/>
      <c r="DF127" s="444"/>
      <c r="DG127" s="468"/>
      <c r="DH127" s="469"/>
      <c r="DI127" s="444"/>
      <c r="DJ127" s="444"/>
      <c r="DK127" s="468"/>
      <c r="DL127" s="469"/>
      <c r="DM127" s="444"/>
      <c r="DN127" s="444"/>
      <c r="DO127" s="468"/>
      <c r="DP127" s="469"/>
      <c r="DQ127" s="444"/>
      <c r="DR127" s="444"/>
      <c r="DS127" s="468"/>
      <c r="DT127" s="469"/>
      <c r="DU127" s="444"/>
      <c r="DV127" s="444"/>
      <c r="DW127" s="468"/>
      <c r="DX127" s="469"/>
      <c r="DY127" s="444"/>
      <c r="DZ127" s="444"/>
      <c r="EA127" s="468"/>
      <c r="EB127" s="469"/>
      <c r="EC127" s="444"/>
      <c r="ED127" s="444"/>
      <c r="EE127" s="468"/>
      <c r="EF127" s="469"/>
      <c r="EG127" s="444"/>
      <c r="EH127" s="444"/>
      <c r="EI127" s="468"/>
      <c r="EJ127" s="469"/>
      <c r="EK127" s="444"/>
      <c r="EL127" s="444"/>
      <c r="EM127" s="468"/>
      <c r="EN127" s="469"/>
      <c r="EO127" s="444"/>
      <c r="EP127" s="444"/>
      <c r="EQ127" s="468"/>
      <c r="ER127" s="469"/>
      <c r="ES127" s="444"/>
      <c r="ET127" s="444"/>
      <c r="EU127" s="468"/>
      <c r="EV127" s="469"/>
      <c r="EW127" s="444"/>
      <c r="EX127" s="444"/>
      <c r="EY127" s="468"/>
      <c r="EZ127" s="469"/>
      <c r="FA127" s="444"/>
      <c r="FB127" s="444"/>
      <c r="FC127" s="468"/>
      <c r="FD127" s="469"/>
      <c r="FE127" s="444"/>
      <c r="FF127" s="444"/>
      <c r="FG127" s="468"/>
      <c r="FH127" s="469"/>
      <c r="FI127" s="444"/>
      <c r="FJ127" s="444"/>
      <c r="FK127" s="468"/>
      <c r="FL127" s="469"/>
      <c r="FM127" s="444"/>
      <c r="FN127" s="444"/>
      <c r="FO127" s="468"/>
      <c r="FP127" s="469"/>
      <c r="FQ127" s="444"/>
      <c r="FR127" s="444"/>
      <c r="FS127" s="468"/>
      <c r="FT127" s="469"/>
      <c r="FU127" s="444"/>
      <c r="FV127" s="444"/>
      <c r="FW127" s="468"/>
      <c r="FX127" s="469"/>
      <c r="FY127" s="444"/>
      <c r="FZ127" s="444"/>
      <c r="GA127" s="468"/>
      <c r="GB127" s="469"/>
      <c r="GC127" s="444"/>
      <c r="GD127" s="444"/>
      <c r="GE127" s="468"/>
      <c r="GF127" s="469"/>
      <c r="GG127" s="444"/>
      <c r="GH127" s="444"/>
      <c r="GI127" s="468"/>
      <c r="GJ127" s="469"/>
      <c r="GK127" s="444"/>
      <c r="GL127" s="444"/>
      <c r="GM127" s="468"/>
      <c r="GN127" s="469"/>
      <c r="GO127" s="444"/>
      <c r="GP127" s="444"/>
      <c r="GQ127" s="468"/>
      <c r="GR127" s="469"/>
      <c r="GS127" s="444"/>
      <c r="GT127" s="444"/>
      <c r="GU127" s="468"/>
      <c r="GV127" s="469"/>
      <c r="GW127" s="444"/>
      <c r="GX127" s="444"/>
      <c r="GY127" s="468"/>
      <c r="GZ127" s="469"/>
      <c r="HA127" s="444"/>
      <c r="HB127" s="444"/>
      <c r="HC127" s="446">
        <f t="shared" si="75"/>
        <v>0</v>
      </c>
      <c r="HD127" s="471"/>
      <c r="HE127" s="447">
        <f t="shared" si="75"/>
        <v>0</v>
      </c>
      <c r="HF127" s="447">
        <f t="shared" si="75"/>
        <v>0</v>
      </c>
      <c r="HG127" s="446">
        <f>SUM(SUMIFS(K127:HB127,$K$13:$HB$13,{"エネルギー管理指定工場等*","県域*"}))</f>
        <v>0</v>
      </c>
      <c r="HH127" s="471"/>
      <c r="HI127" s="447">
        <f>SUM(SUMIFS(M127:HD127,$K$13:$HB$13,{"エネルギー管理指定工場等*","県域*"}))</f>
        <v>0</v>
      </c>
      <c r="HJ127" s="472">
        <f>SUM(SUMIFS(N127:HE127,$K$13:$HB$13,{"エネルギー管理指定工場等*","県域*"}))</f>
        <v>0</v>
      </c>
    </row>
    <row r="128" spans="1:218" ht="19.8">
      <c r="A128" s="164"/>
      <c r="B128" s="410" t="s">
        <v>1409</v>
      </c>
      <c r="C128" s="473"/>
      <c r="D128" s="473"/>
      <c r="E128" s="473"/>
      <c r="F128" s="411"/>
      <c r="G128" s="411"/>
      <c r="H128" s="474"/>
      <c r="I128" s="425"/>
      <c r="J128" s="426"/>
      <c r="K128" s="475"/>
      <c r="L128" s="476"/>
      <c r="M128" s="473"/>
      <c r="N128" s="477"/>
      <c r="O128" s="475"/>
      <c r="P128" s="476"/>
      <c r="Q128" s="473"/>
      <c r="R128" s="477"/>
      <c r="S128" s="475"/>
      <c r="T128" s="476"/>
      <c r="U128" s="473"/>
      <c r="V128" s="477"/>
      <c r="W128" s="475"/>
      <c r="X128" s="476"/>
      <c r="Y128" s="473"/>
      <c r="Z128" s="477"/>
      <c r="AA128" s="475"/>
      <c r="AB128" s="476"/>
      <c r="AC128" s="473"/>
      <c r="AD128" s="477"/>
      <c r="AE128" s="475"/>
      <c r="AF128" s="476"/>
      <c r="AG128" s="473"/>
      <c r="AH128" s="477"/>
      <c r="AI128" s="475"/>
      <c r="AJ128" s="476"/>
      <c r="AK128" s="473"/>
      <c r="AL128" s="477"/>
      <c r="AM128" s="475"/>
      <c r="AN128" s="476"/>
      <c r="AO128" s="473"/>
      <c r="AP128" s="477"/>
      <c r="AQ128" s="475"/>
      <c r="AR128" s="476"/>
      <c r="AS128" s="473"/>
      <c r="AT128" s="477"/>
      <c r="AU128" s="475"/>
      <c r="AV128" s="476"/>
      <c r="AW128" s="473"/>
      <c r="AX128" s="477"/>
      <c r="AY128" s="475"/>
      <c r="AZ128" s="476"/>
      <c r="BA128" s="473"/>
      <c r="BB128" s="477"/>
      <c r="BC128" s="475"/>
      <c r="BD128" s="476"/>
      <c r="BE128" s="473"/>
      <c r="BF128" s="477"/>
      <c r="BG128" s="475"/>
      <c r="BH128" s="476"/>
      <c r="BI128" s="473"/>
      <c r="BJ128" s="477"/>
      <c r="BK128" s="475"/>
      <c r="BL128" s="476"/>
      <c r="BM128" s="473"/>
      <c r="BN128" s="477"/>
      <c r="BO128" s="475"/>
      <c r="BP128" s="476"/>
      <c r="BQ128" s="473"/>
      <c r="BR128" s="477"/>
      <c r="BS128" s="475"/>
      <c r="BT128" s="476"/>
      <c r="BU128" s="473"/>
      <c r="BV128" s="477"/>
      <c r="BW128" s="475"/>
      <c r="BX128" s="476"/>
      <c r="BY128" s="473"/>
      <c r="BZ128" s="473"/>
      <c r="CA128" s="475"/>
      <c r="CB128" s="476"/>
      <c r="CC128" s="473"/>
      <c r="CD128" s="473"/>
      <c r="CE128" s="475"/>
      <c r="CF128" s="476"/>
      <c r="CG128" s="473"/>
      <c r="CH128" s="473"/>
      <c r="CI128" s="475"/>
      <c r="CJ128" s="476"/>
      <c r="CK128" s="473"/>
      <c r="CL128" s="473"/>
      <c r="CM128" s="475"/>
      <c r="CN128" s="476"/>
      <c r="CO128" s="473"/>
      <c r="CP128" s="473"/>
      <c r="CQ128" s="475"/>
      <c r="CR128" s="476"/>
      <c r="CS128" s="473"/>
      <c r="CT128" s="473"/>
      <c r="CU128" s="475"/>
      <c r="CV128" s="476"/>
      <c r="CW128" s="473"/>
      <c r="CX128" s="473"/>
      <c r="CY128" s="475"/>
      <c r="CZ128" s="476"/>
      <c r="DA128" s="473"/>
      <c r="DB128" s="473"/>
      <c r="DC128" s="475"/>
      <c r="DD128" s="476"/>
      <c r="DE128" s="473"/>
      <c r="DF128" s="473"/>
      <c r="DG128" s="475"/>
      <c r="DH128" s="476"/>
      <c r="DI128" s="473"/>
      <c r="DJ128" s="473"/>
      <c r="DK128" s="475"/>
      <c r="DL128" s="476"/>
      <c r="DM128" s="473"/>
      <c r="DN128" s="473"/>
      <c r="DO128" s="475"/>
      <c r="DP128" s="476"/>
      <c r="DQ128" s="473"/>
      <c r="DR128" s="473"/>
      <c r="DS128" s="475"/>
      <c r="DT128" s="476"/>
      <c r="DU128" s="473"/>
      <c r="DV128" s="473"/>
      <c r="DW128" s="475"/>
      <c r="DX128" s="476"/>
      <c r="DY128" s="473"/>
      <c r="DZ128" s="473"/>
      <c r="EA128" s="475"/>
      <c r="EB128" s="476"/>
      <c r="EC128" s="473"/>
      <c r="ED128" s="473"/>
      <c r="EE128" s="475"/>
      <c r="EF128" s="476"/>
      <c r="EG128" s="473"/>
      <c r="EH128" s="473"/>
      <c r="EI128" s="475"/>
      <c r="EJ128" s="476"/>
      <c r="EK128" s="473"/>
      <c r="EL128" s="473"/>
      <c r="EM128" s="475"/>
      <c r="EN128" s="476"/>
      <c r="EO128" s="473"/>
      <c r="EP128" s="473"/>
      <c r="EQ128" s="475"/>
      <c r="ER128" s="476"/>
      <c r="ES128" s="473"/>
      <c r="ET128" s="473"/>
      <c r="EU128" s="475"/>
      <c r="EV128" s="476"/>
      <c r="EW128" s="473"/>
      <c r="EX128" s="473"/>
      <c r="EY128" s="475"/>
      <c r="EZ128" s="476"/>
      <c r="FA128" s="473"/>
      <c r="FB128" s="473"/>
      <c r="FC128" s="475"/>
      <c r="FD128" s="476"/>
      <c r="FE128" s="473"/>
      <c r="FF128" s="473"/>
      <c r="FG128" s="475"/>
      <c r="FH128" s="476"/>
      <c r="FI128" s="473"/>
      <c r="FJ128" s="473"/>
      <c r="FK128" s="475"/>
      <c r="FL128" s="476"/>
      <c r="FM128" s="473"/>
      <c r="FN128" s="473"/>
      <c r="FO128" s="475"/>
      <c r="FP128" s="476"/>
      <c r="FQ128" s="473"/>
      <c r="FR128" s="473"/>
      <c r="FS128" s="475"/>
      <c r="FT128" s="476"/>
      <c r="FU128" s="473"/>
      <c r="FV128" s="473"/>
      <c r="FW128" s="475"/>
      <c r="FX128" s="476"/>
      <c r="FY128" s="473"/>
      <c r="FZ128" s="473"/>
      <c r="GA128" s="475"/>
      <c r="GB128" s="476"/>
      <c r="GC128" s="473"/>
      <c r="GD128" s="473"/>
      <c r="GE128" s="475"/>
      <c r="GF128" s="476"/>
      <c r="GG128" s="473"/>
      <c r="GH128" s="473"/>
      <c r="GI128" s="475"/>
      <c r="GJ128" s="476"/>
      <c r="GK128" s="473"/>
      <c r="GL128" s="473"/>
      <c r="GM128" s="475"/>
      <c r="GN128" s="476"/>
      <c r="GO128" s="473"/>
      <c r="GP128" s="473"/>
      <c r="GQ128" s="475"/>
      <c r="GR128" s="476"/>
      <c r="GS128" s="473"/>
      <c r="GT128" s="473"/>
      <c r="GU128" s="475"/>
      <c r="GV128" s="476"/>
      <c r="GW128" s="473"/>
      <c r="GX128" s="473"/>
      <c r="GY128" s="475"/>
      <c r="GZ128" s="476"/>
      <c r="HA128" s="473"/>
      <c r="HB128" s="473"/>
      <c r="HC128" s="478">
        <f t="shared" si="75"/>
        <v>0</v>
      </c>
      <c r="HD128" s="479"/>
      <c r="HE128" s="480">
        <f t="shared" si="75"/>
        <v>0</v>
      </c>
      <c r="HF128" s="480">
        <f t="shared" si="75"/>
        <v>0</v>
      </c>
      <c r="HG128" s="478">
        <f>SUM(SUMIFS(K128:HB128,$K$13:$HB$13,{"エネルギー管理指定工場等*","県域*"}))</f>
        <v>0</v>
      </c>
      <c r="HH128" s="479"/>
      <c r="HI128" s="480">
        <f>SUM(SUMIFS(M128:HD128,$K$13:$HB$13,{"エネルギー管理指定工場等*","県域*"}))</f>
        <v>0</v>
      </c>
      <c r="HJ128" s="481">
        <f>SUM(SUMIFS(N128:HE128,$K$13:$HB$13,{"エネルギー管理指定工場等*","県域*"}))</f>
        <v>0</v>
      </c>
    </row>
    <row r="129" spans="1:218" ht="19.8">
      <c r="A129" s="164"/>
      <c r="B129" s="421" t="s">
        <v>1410</v>
      </c>
      <c r="C129" s="458"/>
      <c r="D129" s="458"/>
      <c r="E129" s="458"/>
      <c r="F129" s="422"/>
      <c r="G129" s="422"/>
      <c r="H129" s="459"/>
      <c r="I129" s="425"/>
      <c r="J129" s="426"/>
      <c r="K129" s="460"/>
      <c r="L129" s="461"/>
      <c r="M129" s="458"/>
      <c r="N129" s="462"/>
      <c r="O129" s="460"/>
      <c r="P129" s="461"/>
      <c r="Q129" s="458"/>
      <c r="R129" s="462"/>
      <c r="S129" s="460"/>
      <c r="T129" s="461"/>
      <c r="U129" s="458"/>
      <c r="V129" s="462"/>
      <c r="W129" s="460"/>
      <c r="X129" s="461"/>
      <c r="Y129" s="458"/>
      <c r="Z129" s="462"/>
      <c r="AA129" s="460"/>
      <c r="AB129" s="461"/>
      <c r="AC129" s="458"/>
      <c r="AD129" s="462"/>
      <c r="AE129" s="460"/>
      <c r="AF129" s="461"/>
      <c r="AG129" s="458"/>
      <c r="AH129" s="462"/>
      <c r="AI129" s="460"/>
      <c r="AJ129" s="461"/>
      <c r="AK129" s="458"/>
      <c r="AL129" s="462"/>
      <c r="AM129" s="460"/>
      <c r="AN129" s="461"/>
      <c r="AO129" s="458"/>
      <c r="AP129" s="462"/>
      <c r="AQ129" s="460"/>
      <c r="AR129" s="461"/>
      <c r="AS129" s="458"/>
      <c r="AT129" s="462"/>
      <c r="AU129" s="460"/>
      <c r="AV129" s="461"/>
      <c r="AW129" s="458"/>
      <c r="AX129" s="462"/>
      <c r="AY129" s="460"/>
      <c r="AZ129" s="461"/>
      <c r="BA129" s="458"/>
      <c r="BB129" s="462"/>
      <c r="BC129" s="460"/>
      <c r="BD129" s="461"/>
      <c r="BE129" s="458"/>
      <c r="BF129" s="462"/>
      <c r="BG129" s="460"/>
      <c r="BH129" s="461"/>
      <c r="BI129" s="458"/>
      <c r="BJ129" s="462"/>
      <c r="BK129" s="460"/>
      <c r="BL129" s="461"/>
      <c r="BM129" s="458"/>
      <c r="BN129" s="462"/>
      <c r="BO129" s="460"/>
      <c r="BP129" s="461"/>
      <c r="BQ129" s="458"/>
      <c r="BR129" s="462"/>
      <c r="BS129" s="460"/>
      <c r="BT129" s="461"/>
      <c r="BU129" s="458"/>
      <c r="BV129" s="462"/>
      <c r="BW129" s="460"/>
      <c r="BX129" s="461"/>
      <c r="BY129" s="458"/>
      <c r="BZ129" s="458"/>
      <c r="CA129" s="460"/>
      <c r="CB129" s="461"/>
      <c r="CC129" s="458"/>
      <c r="CD129" s="458"/>
      <c r="CE129" s="460"/>
      <c r="CF129" s="461"/>
      <c r="CG129" s="458"/>
      <c r="CH129" s="458"/>
      <c r="CI129" s="460"/>
      <c r="CJ129" s="461"/>
      <c r="CK129" s="458"/>
      <c r="CL129" s="458"/>
      <c r="CM129" s="460"/>
      <c r="CN129" s="461"/>
      <c r="CO129" s="458"/>
      <c r="CP129" s="458"/>
      <c r="CQ129" s="460"/>
      <c r="CR129" s="461"/>
      <c r="CS129" s="458"/>
      <c r="CT129" s="458"/>
      <c r="CU129" s="460"/>
      <c r="CV129" s="461"/>
      <c r="CW129" s="458"/>
      <c r="CX129" s="458"/>
      <c r="CY129" s="460"/>
      <c r="CZ129" s="461"/>
      <c r="DA129" s="458"/>
      <c r="DB129" s="458"/>
      <c r="DC129" s="460"/>
      <c r="DD129" s="461"/>
      <c r="DE129" s="458"/>
      <c r="DF129" s="458"/>
      <c r="DG129" s="460"/>
      <c r="DH129" s="461"/>
      <c r="DI129" s="458"/>
      <c r="DJ129" s="458"/>
      <c r="DK129" s="460"/>
      <c r="DL129" s="461"/>
      <c r="DM129" s="458"/>
      <c r="DN129" s="458"/>
      <c r="DO129" s="460"/>
      <c r="DP129" s="461"/>
      <c r="DQ129" s="458"/>
      <c r="DR129" s="458"/>
      <c r="DS129" s="460"/>
      <c r="DT129" s="461"/>
      <c r="DU129" s="458"/>
      <c r="DV129" s="458"/>
      <c r="DW129" s="460"/>
      <c r="DX129" s="461"/>
      <c r="DY129" s="458"/>
      <c r="DZ129" s="458"/>
      <c r="EA129" s="460"/>
      <c r="EB129" s="461"/>
      <c r="EC129" s="458"/>
      <c r="ED129" s="458"/>
      <c r="EE129" s="460"/>
      <c r="EF129" s="461"/>
      <c r="EG129" s="458"/>
      <c r="EH129" s="458"/>
      <c r="EI129" s="460"/>
      <c r="EJ129" s="461"/>
      <c r="EK129" s="458"/>
      <c r="EL129" s="458"/>
      <c r="EM129" s="460"/>
      <c r="EN129" s="461"/>
      <c r="EO129" s="458"/>
      <c r="EP129" s="458"/>
      <c r="EQ129" s="460"/>
      <c r="ER129" s="461"/>
      <c r="ES129" s="458"/>
      <c r="ET129" s="458"/>
      <c r="EU129" s="460"/>
      <c r="EV129" s="461"/>
      <c r="EW129" s="458"/>
      <c r="EX129" s="458"/>
      <c r="EY129" s="460"/>
      <c r="EZ129" s="461"/>
      <c r="FA129" s="458"/>
      <c r="FB129" s="458"/>
      <c r="FC129" s="460"/>
      <c r="FD129" s="461"/>
      <c r="FE129" s="458"/>
      <c r="FF129" s="458"/>
      <c r="FG129" s="460"/>
      <c r="FH129" s="461"/>
      <c r="FI129" s="458"/>
      <c r="FJ129" s="458"/>
      <c r="FK129" s="460"/>
      <c r="FL129" s="461"/>
      <c r="FM129" s="458"/>
      <c r="FN129" s="458"/>
      <c r="FO129" s="460"/>
      <c r="FP129" s="461"/>
      <c r="FQ129" s="458"/>
      <c r="FR129" s="458"/>
      <c r="FS129" s="460"/>
      <c r="FT129" s="461"/>
      <c r="FU129" s="458"/>
      <c r="FV129" s="458"/>
      <c r="FW129" s="460"/>
      <c r="FX129" s="461"/>
      <c r="FY129" s="458"/>
      <c r="FZ129" s="458"/>
      <c r="GA129" s="460"/>
      <c r="GB129" s="461"/>
      <c r="GC129" s="458"/>
      <c r="GD129" s="458"/>
      <c r="GE129" s="460"/>
      <c r="GF129" s="461"/>
      <c r="GG129" s="458"/>
      <c r="GH129" s="458"/>
      <c r="GI129" s="460"/>
      <c r="GJ129" s="461"/>
      <c r="GK129" s="458"/>
      <c r="GL129" s="458"/>
      <c r="GM129" s="460"/>
      <c r="GN129" s="461"/>
      <c r="GO129" s="458"/>
      <c r="GP129" s="458"/>
      <c r="GQ129" s="460"/>
      <c r="GR129" s="461"/>
      <c r="GS129" s="458"/>
      <c r="GT129" s="458"/>
      <c r="GU129" s="460"/>
      <c r="GV129" s="461"/>
      <c r="GW129" s="458"/>
      <c r="GX129" s="458"/>
      <c r="GY129" s="460"/>
      <c r="GZ129" s="461"/>
      <c r="HA129" s="458"/>
      <c r="HB129" s="458"/>
      <c r="HC129" s="463">
        <f t="shared" si="75"/>
        <v>0</v>
      </c>
      <c r="HD129" s="464"/>
      <c r="HE129" s="465">
        <f t="shared" si="75"/>
        <v>0</v>
      </c>
      <c r="HF129" s="465">
        <f t="shared" si="75"/>
        <v>0</v>
      </c>
      <c r="HG129" s="463">
        <f>SUM(SUMIFS(K129:HB129,$K$13:$HB$13,{"エネルギー管理指定工場等*","県域*"}))</f>
        <v>0</v>
      </c>
      <c r="HH129" s="464"/>
      <c r="HI129" s="465">
        <f>SUM(SUMIFS(M129:HD129,$K$13:$HB$13,{"エネルギー管理指定工場等*","県域*"}))</f>
        <v>0</v>
      </c>
      <c r="HJ129" s="466">
        <f>SUM(SUMIFS(N129:HE129,$K$13:$HB$13,{"エネルギー管理指定工場等*","県域*"}))</f>
        <v>0</v>
      </c>
    </row>
    <row r="130" spans="1:218" ht="19.8">
      <c r="A130" s="164"/>
      <c r="B130" s="443" t="s">
        <v>1411</v>
      </c>
      <c r="C130" s="444"/>
      <c r="D130" s="444"/>
      <c r="E130" s="444"/>
      <c r="F130" s="444"/>
      <c r="G130" s="444"/>
      <c r="H130" s="467"/>
      <c r="I130" s="425"/>
      <c r="J130" s="426"/>
      <c r="K130" s="468"/>
      <c r="L130" s="469"/>
      <c r="M130" s="444"/>
      <c r="N130" s="470"/>
      <c r="O130" s="468"/>
      <c r="P130" s="469"/>
      <c r="Q130" s="444"/>
      <c r="R130" s="470"/>
      <c r="S130" s="468"/>
      <c r="T130" s="469"/>
      <c r="U130" s="444"/>
      <c r="V130" s="470"/>
      <c r="W130" s="468"/>
      <c r="X130" s="469"/>
      <c r="Y130" s="444"/>
      <c r="Z130" s="470"/>
      <c r="AA130" s="468"/>
      <c r="AB130" s="469"/>
      <c r="AC130" s="444"/>
      <c r="AD130" s="470"/>
      <c r="AE130" s="468"/>
      <c r="AF130" s="469"/>
      <c r="AG130" s="444"/>
      <c r="AH130" s="470"/>
      <c r="AI130" s="468"/>
      <c r="AJ130" s="469"/>
      <c r="AK130" s="444"/>
      <c r="AL130" s="470"/>
      <c r="AM130" s="468"/>
      <c r="AN130" s="469"/>
      <c r="AO130" s="444"/>
      <c r="AP130" s="470"/>
      <c r="AQ130" s="468"/>
      <c r="AR130" s="469"/>
      <c r="AS130" s="444"/>
      <c r="AT130" s="470"/>
      <c r="AU130" s="468"/>
      <c r="AV130" s="469"/>
      <c r="AW130" s="444"/>
      <c r="AX130" s="470"/>
      <c r="AY130" s="468"/>
      <c r="AZ130" s="469"/>
      <c r="BA130" s="444"/>
      <c r="BB130" s="470"/>
      <c r="BC130" s="468"/>
      <c r="BD130" s="469"/>
      <c r="BE130" s="444"/>
      <c r="BF130" s="470"/>
      <c r="BG130" s="468"/>
      <c r="BH130" s="469"/>
      <c r="BI130" s="444"/>
      <c r="BJ130" s="470"/>
      <c r="BK130" s="468"/>
      <c r="BL130" s="469"/>
      <c r="BM130" s="444"/>
      <c r="BN130" s="470"/>
      <c r="BO130" s="468"/>
      <c r="BP130" s="469"/>
      <c r="BQ130" s="444"/>
      <c r="BR130" s="470"/>
      <c r="BS130" s="468"/>
      <c r="BT130" s="469"/>
      <c r="BU130" s="444"/>
      <c r="BV130" s="470"/>
      <c r="BW130" s="468"/>
      <c r="BX130" s="469"/>
      <c r="BY130" s="444"/>
      <c r="BZ130" s="444"/>
      <c r="CA130" s="468"/>
      <c r="CB130" s="469"/>
      <c r="CC130" s="444"/>
      <c r="CD130" s="444"/>
      <c r="CE130" s="468"/>
      <c r="CF130" s="469"/>
      <c r="CG130" s="444"/>
      <c r="CH130" s="444"/>
      <c r="CI130" s="468"/>
      <c r="CJ130" s="469"/>
      <c r="CK130" s="444"/>
      <c r="CL130" s="444"/>
      <c r="CM130" s="468"/>
      <c r="CN130" s="469"/>
      <c r="CO130" s="444"/>
      <c r="CP130" s="444"/>
      <c r="CQ130" s="468"/>
      <c r="CR130" s="469"/>
      <c r="CS130" s="444"/>
      <c r="CT130" s="444"/>
      <c r="CU130" s="468"/>
      <c r="CV130" s="469"/>
      <c r="CW130" s="444"/>
      <c r="CX130" s="444"/>
      <c r="CY130" s="468"/>
      <c r="CZ130" s="469"/>
      <c r="DA130" s="444"/>
      <c r="DB130" s="444"/>
      <c r="DC130" s="468"/>
      <c r="DD130" s="469"/>
      <c r="DE130" s="444"/>
      <c r="DF130" s="444"/>
      <c r="DG130" s="468"/>
      <c r="DH130" s="469"/>
      <c r="DI130" s="444"/>
      <c r="DJ130" s="444"/>
      <c r="DK130" s="468"/>
      <c r="DL130" s="469"/>
      <c r="DM130" s="444"/>
      <c r="DN130" s="444"/>
      <c r="DO130" s="468"/>
      <c r="DP130" s="469"/>
      <c r="DQ130" s="444"/>
      <c r="DR130" s="444"/>
      <c r="DS130" s="468"/>
      <c r="DT130" s="469"/>
      <c r="DU130" s="444"/>
      <c r="DV130" s="444"/>
      <c r="DW130" s="468"/>
      <c r="DX130" s="469"/>
      <c r="DY130" s="444"/>
      <c r="DZ130" s="444"/>
      <c r="EA130" s="468"/>
      <c r="EB130" s="469"/>
      <c r="EC130" s="444"/>
      <c r="ED130" s="444"/>
      <c r="EE130" s="468"/>
      <c r="EF130" s="469"/>
      <c r="EG130" s="444"/>
      <c r="EH130" s="444"/>
      <c r="EI130" s="468"/>
      <c r="EJ130" s="469"/>
      <c r="EK130" s="444"/>
      <c r="EL130" s="444"/>
      <c r="EM130" s="468"/>
      <c r="EN130" s="469"/>
      <c r="EO130" s="444"/>
      <c r="EP130" s="444"/>
      <c r="EQ130" s="468"/>
      <c r="ER130" s="469"/>
      <c r="ES130" s="444"/>
      <c r="ET130" s="444"/>
      <c r="EU130" s="468"/>
      <c r="EV130" s="469"/>
      <c r="EW130" s="444"/>
      <c r="EX130" s="444"/>
      <c r="EY130" s="468"/>
      <c r="EZ130" s="469"/>
      <c r="FA130" s="444"/>
      <c r="FB130" s="444"/>
      <c r="FC130" s="468"/>
      <c r="FD130" s="469"/>
      <c r="FE130" s="444"/>
      <c r="FF130" s="444"/>
      <c r="FG130" s="468"/>
      <c r="FH130" s="469"/>
      <c r="FI130" s="444"/>
      <c r="FJ130" s="444"/>
      <c r="FK130" s="468"/>
      <c r="FL130" s="469"/>
      <c r="FM130" s="444"/>
      <c r="FN130" s="444"/>
      <c r="FO130" s="468"/>
      <c r="FP130" s="469"/>
      <c r="FQ130" s="444"/>
      <c r="FR130" s="444"/>
      <c r="FS130" s="468"/>
      <c r="FT130" s="469"/>
      <c r="FU130" s="444"/>
      <c r="FV130" s="444"/>
      <c r="FW130" s="468"/>
      <c r="FX130" s="469"/>
      <c r="FY130" s="444"/>
      <c r="FZ130" s="444"/>
      <c r="GA130" s="468"/>
      <c r="GB130" s="469"/>
      <c r="GC130" s="444"/>
      <c r="GD130" s="444"/>
      <c r="GE130" s="468"/>
      <c r="GF130" s="469"/>
      <c r="GG130" s="444"/>
      <c r="GH130" s="444"/>
      <c r="GI130" s="468"/>
      <c r="GJ130" s="469"/>
      <c r="GK130" s="444"/>
      <c r="GL130" s="444"/>
      <c r="GM130" s="468"/>
      <c r="GN130" s="469"/>
      <c r="GO130" s="444"/>
      <c r="GP130" s="444"/>
      <c r="GQ130" s="468"/>
      <c r="GR130" s="469"/>
      <c r="GS130" s="444"/>
      <c r="GT130" s="444"/>
      <c r="GU130" s="468"/>
      <c r="GV130" s="469"/>
      <c r="GW130" s="444"/>
      <c r="GX130" s="444"/>
      <c r="GY130" s="468"/>
      <c r="GZ130" s="469"/>
      <c r="HA130" s="444"/>
      <c r="HB130" s="444"/>
      <c r="HC130" s="446">
        <f t="shared" si="75"/>
        <v>0</v>
      </c>
      <c r="HD130" s="471"/>
      <c r="HE130" s="447">
        <f t="shared" si="75"/>
        <v>0</v>
      </c>
      <c r="HF130" s="447">
        <f t="shared" si="75"/>
        <v>0</v>
      </c>
      <c r="HG130" s="446">
        <f>SUM(SUMIFS(K130:HB130,$K$13:$HB$13,{"エネルギー管理指定工場等*","県域*"}))</f>
        <v>0</v>
      </c>
      <c r="HH130" s="471"/>
      <c r="HI130" s="447">
        <f>SUM(SUMIFS(M130:HD130,$K$13:$HB$13,{"エネルギー管理指定工場等*","県域*"}))</f>
        <v>0</v>
      </c>
      <c r="HJ130" s="472">
        <f>SUM(SUMIFS(N130:HE130,$K$13:$HB$13,{"エネルギー管理指定工場等*","県域*"}))</f>
        <v>0</v>
      </c>
    </row>
    <row r="131" spans="1:218" ht="19.8">
      <c r="A131" s="164"/>
      <c r="B131" s="410" t="s">
        <v>1412</v>
      </c>
      <c r="C131" s="411"/>
      <c r="D131" s="411"/>
      <c r="E131" s="411"/>
      <c r="F131" s="411"/>
      <c r="G131" s="411"/>
      <c r="H131" s="436"/>
      <c r="I131" s="425"/>
      <c r="J131" s="426"/>
      <c r="K131" s="416"/>
      <c r="L131" s="449"/>
      <c r="M131" s="449"/>
      <c r="N131" s="417"/>
      <c r="O131" s="416"/>
      <c r="P131" s="449"/>
      <c r="Q131" s="449"/>
      <c r="R131" s="417"/>
      <c r="S131" s="416"/>
      <c r="T131" s="449"/>
      <c r="U131" s="449"/>
      <c r="V131" s="417"/>
      <c r="W131" s="416"/>
      <c r="X131" s="449"/>
      <c r="Y131" s="449"/>
      <c r="Z131" s="417"/>
      <c r="AA131" s="416"/>
      <c r="AB131" s="449"/>
      <c r="AC131" s="449"/>
      <c r="AD131" s="417"/>
      <c r="AE131" s="416"/>
      <c r="AF131" s="449"/>
      <c r="AG131" s="449"/>
      <c r="AH131" s="417"/>
      <c r="AI131" s="416"/>
      <c r="AJ131" s="449"/>
      <c r="AK131" s="449"/>
      <c r="AL131" s="417"/>
      <c r="AM131" s="416"/>
      <c r="AN131" s="449"/>
      <c r="AO131" s="449"/>
      <c r="AP131" s="417"/>
      <c r="AQ131" s="416"/>
      <c r="AR131" s="449"/>
      <c r="AS131" s="449"/>
      <c r="AT131" s="417"/>
      <c r="AU131" s="416"/>
      <c r="AV131" s="449"/>
      <c r="AW131" s="449"/>
      <c r="AX131" s="417"/>
      <c r="AY131" s="416"/>
      <c r="AZ131" s="449"/>
      <c r="BA131" s="449"/>
      <c r="BB131" s="417"/>
      <c r="BC131" s="416"/>
      <c r="BD131" s="449"/>
      <c r="BE131" s="449"/>
      <c r="BF131" s="417"/>
      <c r="BG131" s="416"/>
      <c r="BH131" s="449"/>
      <c r="BI131" s="449"/>
      <c r="BJ131" s="417"/>
      <c r="BK131" s="416"/>
      <c r="BL131" s="449"/>
      <c r="BM131" s="449"/>
      <c r="BN131" s="417"/>
      <c r="BO131" s="416"/>
      <c r="BP131" s="449"/>
      <c r="BQ131" s="449"/>
      <c r="BR131" s="417"/>
      <c r="BS131" s="416"/>
      <c r="BT131" s="449"/>
      <c r="BU131" s="449"/>
      <c r="BV131" s="417"/>
      <c r="BW131" s="416"/>
      <c r="BX131" s="449"/>
      <c r="BY131" s="449"/>
      <c r="BZ131" s="417"/>
      <c r="CA131" s="416"/>
      <c r="CB131" s="449"/>
      <c r="CC131" s="449"/>
      <c r="CD131" s="417"/>
      <c r="CE131" s="416"/>
      <c r="CF131" s="449"/>
      <c r="CG131" s="449"/>
      <c r="CH131" s="417"/>
      <c r="CI131" s="416"/>
      <c r="CJ131" s="449"/>
      <c r="CK131" s="449"/>
      <c r="CL131" s="417"/>
      <c r="CM131" s="416"/>
      <c r="CN131" s="449"/>
      <c r="CO131" s="449"/>
      <c r="CP131" s="417"/>
      <c r="CQ131" s="416"/>
      <c r="CR131" s="449"/>
      <c r="CS131" s="449"/>
      <c r="CT131" s="417"/>
      <c r="CU131" s="416"/>
      <c r="CV131" s="449"/>
      <c r="CW131" s="449"/>
      <c r="CX131" s="417"/>
      <c r="CY131" s="416"/>
      <c r="CZ131" s="449"/>
      <c r="DA131" s="449"/>
      <c r="DB131" s="417"/>
      <c r="DC131" s="416"/>
      <c r="DD131" s="449"/>
      <c r="DE131" s="449"/>
      <c r="DF131" s="417"/>
      <c r="DG131" s="416"/>
      <c r="DH131" s="449"/>
      <c r="DI131" s="449"/>
      <c r="DJ131" s="417"/>
      <c r="DK131" s="416"/>
      <c r="DL131" s="449"/>
      <c r="DM131" s="449"/>
      <c r="DN131" s="417"/>
      <c r="DO131" s="416"/>
      <c r="DP131" s="449"/>
      <c r="DQ131" s="449"/>
      <c r="DR131" s="417"/>
      <c r="DS131" s="416"/>
      <c r="DT131" s="449"/>
      <c r="DU131" s="449"/>
      <c r="DV131" s="417"/>
      <c r="DW131" s="416"/>
      <c r="DX131" s="449"/>
      <c r="DY131" s="449"/>
      <c r="DZ131" s="417"/>
      <c r="EA131" s="416"/>
      <c r="EB131" s="449"/>
      <c r="EC131" s="449"/>
      <c r="ED131" s="417"/>
      <c r="EE131" s="416"/>
      <c r="EF131" s="449"/>
      <c r="EG131" s="449"/>
      <c r="EH131" s="417"/>
      <c r="EI131" s="416"/>
      <c r="EJ131" s="449"/>
      <c r="EK131" s="449"/>
      <c r="EL131" s="417"/>
      <c r="EM131" s="416"/>
      <c r="EN131" s="449"/>
      <c r="EO131" s="449"/>
      <c r="EP131" s="417"/>
      <c r="EQ131" s="416"/>
      <c r="ER131" s="449"/>
      <c r="ES131" s="449"/>
      <c r="ET131" s="417"/>
      <c r="EU131" s="416"/>
      <c r="EV131" s="449"/>
      <c r="EW131" s="449"/>
      <c r="EX131" s="417"/>
      <c r="EY131" s="416"/>
      <c r="EZ131" s="449"/>
      <c r="FA131" s="449"/>
      <c r="FB131" s="417"/>
      <c r="FC131" s="416"/>
      <c r="FD131" s="449"/>
      <c r="FE131" s="449"/>
      <c r="FF131" s="417"/>
      <c r="FG131" s="416"/>
      <c r="FH131" s="449"/>
      <c r="FI131" s="449"/>
      <c r="FJ131" s="417"/>
      <c r="FK131" s="416"/>
      <c r="FL131" s="449"/>
      <c r="FM131" s="449"/>
      <c r="FN131" s="417"/>
      <c r="FO131" s="416"/>
      <c r="FP131" s="449"/>
      <c r="FQ131" s="449"/>
      <c r="FR131" s="417"/>
      <c r="FS131" s="416"/>
      <c r="FT131" s="449"/>
      <c r="FU131" s="449"/>
      <c r="FV131" s="417"/>
      <c r="FW131" s="416"/>
      <c r="FX131" s="449"/>
      <c r="FY131" s="449"/>
      <c r="FZ131" s="417"/>
      <c r="GA131" s="416"/>
      <c r="GB131" s="449"/>
      <c r="GC131" s="449"/>
      <c r="GD131" s="417"/>
      <c r="GE131" s="416"/>
      <c r="GF131" s="449"/>
      <c r="GG131" s="449"/>
      <c r="GH131" s="417"/>
      <c r="GI131" s="416"/>
      <c r="GJ131" s="449"/>
      <c r="GK131" s="449"/>
      <c r="GL131" s="417"/>
      <c r="GM131" s="416"/>
      <c r="GN131" s="449"/>
      <c r="GO131" s="449"/>
      <c r="GP131" s="417"/>
      <c r="GQ131" s="416"/>
      <c r="GR131" s="449"/>
      <c r="GS131" s="449"/>
      <c r="GT131" s="417"/>
      <c r="GU131" s="416"/>
      <c r="GV131" s="449"/>
      <c r="GW131" s="449"/>
      <c r="GX131" s="417"/>
      <c r="GY131" s="416"/>
      <c r="GZ131" s="449"/>
      <c r="HA131" s="449"/>
      <c r="HB131" s="417"/>
      <c r="HC131" s="418">
        <f t="shared" si="75"/>
        <v>0</v>
      </c>
      <c r="HD131" s="451"/>
      <c r="HE131" s="451"/>
      <c r="HF131" s="420"/>
      <c r="HG131" s="418">
        <f>SUM(SUMIFS(K131:HB131,$K$13:$HB$13,{"エネルギー管理指定工場等*","県域*"}))</f>
        <v>0</v>
      </c>
      <c r="HH131" s="451"/>
      <c r="HI131" s="451"/>
      <c r="HJ131" s="420"/>
    </row>
    <row r="132" spans="1:218" ht="19.8">
      <c r="A132" s="164"/>
      <c r="B132" s="421" t="s">
        <v>1413</v>
      </c>
      <c r="C132" s="422"/>
      <c r="D132" s="422"/>
      <c r="E132" s="422"/>
      <c r="F132" s="422"/>
      <c r="G132" s="422"/>
      <c r="H132" s="453"/>
      <c r="I132" s="425"/>
      <c r="J132" s="426"/>
      <c r="K132" s="427"/>
      <c r="L132" s="454"/>
      <c r="M132" s="454"/>
      <c r="N132" s="428"/>
      <c r="O132" s="427"/>
      <c r="P132" s="454"/>
      <c r="Q132" s="454"/>
      <c r="R132" s="428"/>
      <c r="S132" s="427"/>
      <c r="T132" s="454"/>
      <c r="U132" s="454"/>
      <c r="V132" s="428"/>
      <c r="W132" s="427"/>
      <c r="X132" s="454"/>
      <c r="Y132" s="454"/>
      <c r="Z132" s="428"/>
      <c r="AA132" s="427"/>
      <c r="AB132" s="454"/>
      <c r="AC132" s="454"/>
      <c r="AD132" s="428"/>
      <c r="AE132" s="427"/>
      <c r="AF132" s="454"/>
      <c r="AG132" s="454"/>
      <c r="AH132" s="428"/>
      <c r="AI132" s="427"/>
      <c r="AJ132" s="454"/>
      <c r="AK132" s="454"/>
      <c r="AL132" s="428"/>
      <c r="AM132" s="427"/>
      <c r="AN132" s="454"/>
      <c r="AO132" s="454"/>
      <c r="AP132" s="428"/>
      <c r="AQ132" s="427"/>
      <c r="AR132" s="454"/>
      <c r="AS132" s="454"/>
      <c r="AT132" s="428"/>
      <c r="AU132" s="427"/>
      <c r="AV132" s="454"/>
      <c r="AW132" s="454"/>
      <c r="AX132" s="428"/>
      <c r="AY132" s="427"/>
      <c r="AZ132" s="454"/>
      <c r="BA132" s="454"/>
      <c r="BB132" s="428"/>
      <c r="BC132" s="427"/>
      <c r="BD132" s="454"/>
      <c r="BE132" s="454"/>
      <c r="BF132" s="428"/>
      <c r="BG132" s="427"/>
      <c r="BH132" s="454"/>
      <c r="BI132" s="454"/>
      <c r="BJ132" s="428"/>
      <c r="BK132" s="427"/>
      <c r="BL132" s="454"/>
      <c r="BM132" s="454"/>
      <c r="BN132" s="428"/>
      <c r="BO132" s="427"/>
      <c r="BP132" s="454"/>
      <c r="BQ132" s="454"/>
      <c r="BR132" s="428"/>
      <c r="BS132" s="427"/>
      <c r="BT132" s="454"/>
      <c r="BU132" s="454"/>
      <c r="BV132" s="428"/>
      <c r="BW132" s="427"/>
      <c r="BX132" s="454"/>
      <c r="BY132" s="454"/>
      <c r="BZ132" s="428"/>
      <c r="CA132" s="427"/>
      <c r="CB132" s="454"/>
      <c r="CC132" s="454"/>
      <c r="CD132" s="428"/>
      <c r="CE132" s="427"/>
      <c r="CF132" s="454"/>
      <c r="CG132" s="454"/>
      <c r="CH132" s="428"/>
      <c r="CI132" s="427"/>
      <c r="CJ132" s="454"/>
      <c r="CK132" s="454"/>
      <c r="CL132" s="428"/>
      <c r="CM132" s="427"/>
      <c r="CN132" s="454"/>
      <c r="CO132" s="454"/>
      <c r="CP132" s="428"/>
      <c r="CQ132" s="427"/>
      <c r="CR132" s="454"/>
      <c r="CS132" s="454"/>
      <c r="CT132" s="428"/>
      <c r="CU132" s="427"/>
      <c r="CV132" s="454"/>
      <c r="CW132" s="454"/>
      <c r="CX132" s="428"/>
      <c r="CY132" s="427"/>
      <c r="CZ132" s="454"/>
      <c r="DA132" s="454"/>
      <c r="DB132" s="428"/>
      <c r="DC132" s="427"/>
      <c r="DD132" s="454"/>
      <c r="DE132" s="454"/>
      <c r="DF132" s="428"/>
      <c r="DG132" s="427"/>
      <c r="DH132" s="454"/>
      <c r="DI132" s="454"/>
      <c r="DJ132" s="428"/>
      <c r="DK132" s="427"/>
      <c r="DL132" s="454"/>
      <c r="DM132" s="454"/>
      <c r="DN132" s="428"/>
      <c r="DO132" s="427"/>
      <c r="DP132" s="454"/>
      <c r="DQ132" s="454"/>
      <c r="DR132" s="428"/>
      <c r="DS132" s="427"/>
      <c r="DT132" s="454"/>
      <c r="DU132" s="454"/>
      <c r="DV132" s="428"/>
      <c r="DW132" s="427"/>
      <c r="DX132" s="454"/>
      <c r="DY132" s="454"/>
      <c r="DZ132" s="428"/>
      <c r="EA132" s="427"/>
      <c r="EB132" s="454"/>
      <c r="EC132" s="454"/>
      <c r="ED132" s="428"/>
      <c r="EE132" s="427"/>
      <c r="EF132" s="454"/>
      <c r="EG132" s="454"/>
      <c r="EH132" s="428"/>
      <c r="EI132" s="427"/>
      <c r="EJ132" s="454"/>
      <c r="EK132" s="454"/>
      <c r="EL132" s="428"/>
      <c r="EM132" s="427"/>
      <c r="EN132" s="454"/>
      <c r="EO132" s="454"/>
      <c r="EP132" s="428"/>
      <c r="EQ132" s="427"/>
      <c r="ER132" s="454"/>
      <c r="ES132" s="454"/>
      <c r="ET132" s="428"/>
      <c r="EU132" s="427"/>
      <c r="EV132" s="454"/>
      <c r="EW132" s="454"/>
      <c r="EX132" s="428"/>
      <c r="EY132" s="427"/>
      <c r="EZ132" s="454"/>
      <c r="FA132" s="454"/>
      <c r="FB132" s="428"/>
      <c r="FC132" s="427"/>
      <c r="FD132" s="454"/>
      <c r="FE132" s="454"/>
      <c r="FF132" s="428"/>
      <c r="FG132" s="427"/>
      <c r="FH132" s="454"/>
      <c r="FI132" s="454"/>
      <c r="FJ132" s="428"/>
      <c r="FK132" s="427"/>
      <c r="FL132" s="454"/>
      <c r="FM132" s="454"/>
      <c r="FN132" s="428"/>
      <c r="FO132" s="427"/>
      <c r="FP132" s="454"/>
      <c r="FQ132" s="454"/>
      <c r="FR132" s="428"/>
      <c r="FS132" s="427"/>
      <c r="FT132" s="454"/>
      <c r="FU132" s="454"/>
      <c r="FV132" s="428"/>
      <c r="FW132" s="427"/>
      <c r="FX132" s="454"/>
      <c r="FY132" s="454"/>
      <c r="FZ132" s="428"/>
      <c r="GA132" s="427"/>
      <c r="GB132" s="454"/>
      <c r="GC132" s="454"/>
      <c r="GD132" s="428"/>
      <c r="GE132" s="427"/>
      <c r="GF132" s="454"/>
      <c r="GG132" s="454"/>
      <c r="GH132" s="428"/>
      <c r="GI132" s="427"/>
      <c r="GJ132" s="454"/>
      <c r="GK132" s="454"/>
      <c r="GL132" s="428"/>
      <c r="GM132" s="427"/>
      <c r="GN132" s="454"/>
      <c r="GO132" s="454"/>
      <c r="GP132" s="428"/>
      <c r="GQ132" s="427"/>
      <c r="GR132" s="454"/>
      <c r="GS132" s="454"/>
      <c r="GT132" s="428"/>
      <c r="GU132" s="427"/>
      <c r="GV132" s="454"/>
      <c r="GW132" s="454"/>
      <c r="GX132" s="428"/>
      <c r="GY132" s="427"/>
      <c r="GZ132" s="454"/>
      <c r="HA132" s="454"/>
      <c r="HB132" s="428"/>
      <c r="HC132" s="434">
        <f t="shared" si="75"/>
        <v>0</v>
      </c>
      <c r="HD132" s="456"/>
      <c r="HE132" s="456"/>
      <c r="HF132" s="433"/>
      <c r="HG132" s="434">
        <f>SUM(SUMIFS(K132:HB132,$K$13:$HB$13,{"エネルギー管理指定工場等*","県域*"}))</f>
        <v>0</v>
      </c>
      <c r="HH132" s="456"/>
      <c r="HI132" s="456"/>
      <c r="HJ132" s="433"/>
    </row>
    <row r="133" spans="1:218" ht="19.8">
      <c r="A133" s="164"/>
      <c r="B133" s="421" t="s">
        <v>1414</v>
      </c>
      <c r="C133" s="422"/>
      <c r="D133" s="422"/>
      <c r="E133" s="422"/>
      <c r="F133" s="422"/>
      <c r="G133" s="422"/>
      <c r="H133" s="453"/>
      <c r="I133" s="425"/>
      <c r="J133" s="426"/>
      <c r="K133" s="427"/>
      <c r="L133" s="454"/>
      <c r="M133" s="454"/>
      <c r="N133" s="428"/>
      <c r="O133" s="427"/>
      <c r="P133" s="454"/>
      <c r="Q133" s="454"/>
      <c r="R133" s="428"/>
      <c r="S133" s="427"/>
      <c r="T133" s="454"/>
      <c r="U133" s="454"/>
      <c r="V133" s="428"/>
      <c r="W133" s="427"/>
      <c r="X133" s="454"/>
      <c r="Y133" s="454"/>
      <c r="Z133" s="428"/>
      <c r="AA133" s="427"/>
      <c r="AB133" s="454"/>
      <c r="AC133" s="454"/>
      <c r="AD133" s="428"/>
      <c r="AE133" s="427"/>
      <c r="AF133" s="454"/>
      <c r="AG133" s="454"/>
      <c r="AH133" s="428"/>
      <c r="AI133" s="427"/>
      <c r="AJ133" s="454"/>
      <c r="AK133" s="454"/>
      <c r="AL133" s="428"/>
      <c r="AM133" s="427"/>
      <c r="AN133" s="454"/>
      <c r="AO133" s="454"/>
      <c r="AP133" s="428"/>
      <c r="AQ133" s="427"/>
      <c r="AR133" s="454"/>
      <c r="AS133" s="454"/>
      <c r="AT133" s="428"/>
      <c r="AU133" s="427"/>
      <c r="AV133" s="454"/>
      <c r="AW133" s="454"/>
      <c r="AX133" s="428"/>
      <c r="AY133" s="427"/>
      <c r="AZ133" s="454"/>
      <c r="BA133" s="454"/>
      <c r="BB133" s="428"/>
      <c r="BC133" s="427"/>
      <c r="BD133" s="454"/>
      <c r="BE133" s="454"/>
      <c r="BF133" s="428"/>
      <c r="BG133" s="427"/>
      <c r="BH133" s="454"/>
      <c r="BI133" s="454"/>
      <c r="BJ133" s="428"/>
      <c r="BK133" s="427"/>
      <c r="BL133" s="454"/>
      <c r="BM133" s="454"/>
      <c r="BN133" s="428"/>
      <c r="BO133" s="427"/>
      <c r="BP133" s="454"/>
      <c r="BQ133" s="454"/>
      <c r="BR133" s="428"/>
      <c r="BS133" s="427"/>
      <c r="BT133" s="454"/>
      <c r="BU133" s="454"/>
      <c r="BV133" s="428"/>
      <c r="BW133" s="427"/>
      <c r="BX133" s="454"/>
      <c r="BY133" s="454"/>
      <c r="BZ133" s="428"/>
      <c r="CA133" s="427"/>
      <c r="CB133" s="454"/>
      <c r="CC133" s="454"/>
      <c r="CD133" s="428"/>
      <c r="CE133" s="427"/>
      <c r="CF133" s="454"/>
      <c r="CG133" s="454"/>
      <c r="CH133" s="428"/>
      <c r="CI133" s="427"/>
      <c r="CJ133" s="454"/>
      <c r="CK133" s="454"/>
      <c r="CL133" s="428"/>
      <c r="CM133" s="427"/>
      <c r="CN133" s="454"/>
      <c r="CO133" s="454"/>
      <c r="CP133" s="428"/>
      <c r="CQ133" s="427"/>
      <c r="CR133" s="454"/>
      <c r="CS133" s="454"/>
      <c r="CT133" s="428"/>
      <c r="CU133" s="427"/>
      <c r="CV133" s="454"/>
      <c r="CW133" s="454"/>
      <c r="CX133" s="428"/>
      <c r="CY133" s="427"/>
      <c r="CZ133" s="454"/>
      <c r="DA133" s="454"/>
      <c r="DB133" s="428"/>
      <c r="DC133" s="427"/>
      <c r="DD133" s="454"/>
      <c r="DE133" s="454"/>
      <c r="DF133" s="428"/>
      <c r="DG133" s="427"/>
      <c r="DH133" s="454"/>
      <c r="DI133" s="454"/>
      <c r="DJ133" s="428"/>
      <c r="DK133" s="427"/>
      <c r="DL133" s="454"/>
      <c r="DM133" s="454"/>
      <c r="DN133" s="428"/>
      <c r="DO133" s="427"/>
      <c r="DP133" s="454"/>
      <c r="DQ133" s="454"/>
      <c r="DR133" s="428"/>
      <c r="DS133" s="427"/>
      <c r="DT133" s="454"/>
      <c r="DU133" s="454"/>
      <c r="DV133" s="428"/>
      <c r="DW133" s="427"/>
      <c r="DX133" s="454"/>
      <c r="DY133" s="454"/>
      <c r="DZ133" s="428"/>
      <c r="EA133" s="427"/>
      <c r="EB133" s="454"/>
      <c r="EC133" s="454"/>
      <c r="ED133" s="428"/>
      <c r="EE133" s="427"/>
      <c r="EF133" s="454"/>
      <c r="EG133" s="454"/>
      <c r="EH133" s="428"/>
      <c r="EI133" s="427"/>
      <c r="EJ133" s="454"/>
      <c r="EK133" s="454"/>
      <c r="EL133" s="428"/>
      <c r="EM133" s="427"/>
      <c r="EN133" s="454"/>
      <c r="EO133" s="454"/>
      <c r="EP133" s="428"/>
      <c r="EQ133" s="427"/>
      <c r="ER133" s="454"/>
      <c r="ES133" s="454"/>
      <c r="ET133" s="428"/>
      <c r="EU133" s="427"/>
      <c r="EV133" s="454"/>
      <c r="EW133" s="454"/>
      <c r="EX133" s="428"/>
      <c r="EY133" s="427"/>
      <c r="EZ133" s="454"/>
      <c r="FA133" s="454"/>
      <c r="FB133" s="428"/>
      <c r="FC133" s="427"/>
      <c r="FD133" s="454"/>
      <c r="FE133" s="454"/>
      <c r="FF133" s="428"/>
      <c r="FG133" s="427"/>
      <c r="FH133" s="454"/>
      <c r="FI133" s="454"/>
      <c r="FJ133" s="428"/>
      <c r="FK133" s="427"/>
      <c r="FL133" s="454"/>
      <c r="FM133" s="454"/>
      <c r="FN133" s="428"/>
      <c r="FO133" s="427"/>
      <c r="FP133" s="454"/>
      <c r="FQ133" s="454"/>
      <c r="FR133" s="428"/>
      <c r="FS133" s="427"/>
      <c r="FT133" s="454"/>
      <c r="FU133" s="454"/>
      <c r="FV133" s="428"/>
      <c r="FW133" s="427"/>
      <c r="FX133" s="454"/>
      <c r="FY133" s="454"/>
      <c r="FZ133" s="428"/>
      <c r="GA133" s="427"/>
      <c r="GB133" s="454"/>
      <c r="GC133" s="454"/>
      <c r="GD133" s="428"/>
      <c r="GE133" s="427"/>
      <c r="GF133" s="454"/>
      <c r="GG133" s="454"/>
      <c r="GH133" s="428"/>
      <c r="GI133" s="427"/>
      <c r="GJ133" s="454"/>
      <c r="GK133" s="454"/>
      <c r="GL133" s="428"/>
      <c r="GM133" s="427"/>
      <c r="GN133" s="454"/>
      <c r="GO133" s="454"/>
      <c r="GP133" s="428"/>
      <c r="GQ133" s="427"/>
      <c r="GR133" s="454"/>
      <c r="GS133" s="454"/>
      <c r="GT133" s="428"/>
      <c r="GU133" s="427"/>
      <c r="GV133" s="454"/>
      <c r="GW133" s="454"/>
      <c r="GX133" s="428"/>
      <c r="GY133" s="427"/>
      <c r="GZ133" s="454"/>
      <c r="HA133" s="454"/>
      <c r="HB133" s="428"/>
      <c r="HC133" s="434">
        <f t="shared" si="75"/>
        <v>0</v>
      </c>
      <c r="HD133" s="456"/>
      <c r="HE133" s="456"/>
      <c r="HF133" s="433"/>
      <c r="HG133" s="434">
        <f>SUM(SUMIFS(K133:HB133,$K$13:$HB$13,{"エネルギー管理指定工場等*","県域*"}))</f>
        <v>0</v>
      </c>
      <c r="HH133" s="456"/>
      <c r="HI133" s="456"/>
      <c r="HJ133" s="433"/>
    </row>
    <row r="134" spans="1:218" ht="19.8">
      <c r="A134" s="164"/>
      <c r="B134" s="421" t="s">
        <v>1415</v>
      </c>
      <c r="C134" s="422"/>
      <c r="D134" s="422"/>
      <c r="E134" s="422"/>
      <c r="F134" s="422"/>
      <c r="G134" s="422"/>
      <c r="H134" s="453"/>
      <c r="I134" s="425"/>
      <c r="J134" s="426"/>
      <c r="K134" s="427"/>
      <c r="L134" s="454"/>
      <c r="M134" s="454"/>
      <c r="N134" s="428"/>
      <c r="O134" s="427"/>
      <c r="P134" s="454"/>
      <c r="Q134" s="454"/>
      <c r="R134" s="428"/>
      <c r="S134" s="427"/>
      <c r="T134" s="454"/>
      <c r="U134" s="454"/>
      <c r="V134" s="428"/>
      <c r="W134" s="427"/>
      <c r="X134" s="454"/>
      <c r="Y134" s="454"/>
      <c r="Z134" s="428"/>
      <c r="AA134" s="427"/>
      <c r="AB134" s="454"/>
      <c r="AC134" s="454"/>
      <c r="AD134" s="428"/>
      <c r="AE134" s="427"/>
      <c r="AF134" s="454"/>
      <c r="AG134" s="454"/>
      <c r="AH134" s="428"/>
      <c r="AI134" s="427"/>
      <c r="AJ134" s="454"/>
      <c r="AK134" s="454"/>
      <c r="AL134" s="428"/>
      <c r="AM134" s="427"/>
      <c r="AN134" s="454"/>
      <c r="AO134" s="454"/>
      <c r="AP134" s="428"/>
      <c r="AQ134" s="427"/>
      <c r="AR134" s="454"/>
      <c r="AS134" s="454"/>
      <c r="AT134" s="428"/>
      <c r="AU134" s="427"/>
      <c r="AV134" s="454"/>
      <c r="AW134" s="454"/>
      <c r="AX134" s="428"/>
      <c r="AY134" s="427"/>
      <c r="AZ134" s="454"/>
      <c r="BA134" s="454"/>
      <c r="BB134" s="428"/>
      <c r="BC134" s="427"/>
      <c r="BD134" s="454"/>
      <c r="BE134" s="454"/>
      <c r="BF134" s="428"/>
      <c r="BG134" s="427"/>
      <c r="BH134" s="454"/>
      <c r="BI134" s="454"/>
      <c r="BJ134" s="428"/>
      <c r="BK134" s="427"/>
      <c r="BL134" s="454"/>
      <c r="BM134" s="454"/>
      <c r="BN134" s="428"/>
      <c r="BO134" s="427"/>
      <c r="BP134" s="454"/>
      <c r="BQ134" s="454"/>
      <c r="BR134" s="428"/>
      <c r="BS134" s="427"/>
      <c r="BT134" s="454"/>
      <c r="BU134" s="454"/>
      <c r="BV134" s="428"/>
      <c r="BW134" s="427"/>
      <c r="BX134" s="454"/>
      <c r="BY134" s="454"/>
      <c r="BZ134" s="428"/>
      <c r="CA134" s="427"/>
      <c r="CB134" s="454"/>
      <c r="CC134" s="454"/>
      <c r="CD134" s="428"/>
      <c r="CE134" s="427"/>
      <c r="CF134" s="454"/>
      <c r="CG134" s="454"/>
      <c r="CH134" s="428"/>
      <c r="CI134" s="427"/>
      <c r="CJ134" s="454"/>
      <c r="CK134" s="454"/>
      <c r="CL134" s="428"/>
      <c r="CM134" s="427"/>
      <c r="CN134" s="454"/>
      <c r="CO134" s="454"/>
      <c r="CP134" s="428"/>
      <c r="CQ134" s="427"/>
      <c r="CR134" s="454"/>
      <c r="CS134" s="454"/>
      <c r="CT134" s="428"/>
      <c r="CU134" s="427"/>
      <c r="CV134" s="454"/>
      <c r="CW134" s="454"/>
      <c r="CX134" s="428"/>
      <c r="CY134" s="427"/>
      <c r="CZ134" s="454"/>
      <c r="DA134" s="454"/>
      <c r="DB134" s="428"/>
      <c r="DC134" s="427"/>
      <c r="DD134" s="454"/>
      <c r="DE134" s="454"/>
      <c r="DF134" s="428"/>
      <c r="DG134" s="427"/>
      <c r="DH134" s="454"/>
      <c r="DI134" s="454"/>
      <c r="DJ134" s="428"/>
      <c r="DK134" s="427"/>
      <c r="DL134" s="454"/>
      <c r="DM134" s="454"/>
      <c r="DN134" s="428"/>
      <c r="DO134" s="427"/>
      <c r="DP134" s="454"/>
      <c r="DQ134" s="454"/>
      <c r="DR134" s="428"/>
      <c r="DS134" s="427"/>
      <c r="DT134" s="454"/>
      <c r="DU134" s="454"/>
      <c r="DV134" s="428"/>
      <c r="DW134" s="427"/>
      <c r="DX134" s="454"/>
      <c r="DY134" s="454"/>
      <c r="DZ134" s="428"/>
      <c r="EA134" s="427"/>
      <c r="EB134" s="454"/>
      <c r="EC134" s="454"/>
      <c r="ED134" s="428"/>
      <c r="EE134" s="427"/>
      <c r="EF134" s="454"/>
      <c r="EG134" s="454"/>
      <c r="EH134" s="428"/>
      <c r="EI134" s="427"/>
      <c r="EJ134" s="454"/>
      <c r="EK134" s="454"/>
      <c r="EL134" s="428"/>
      <c r="EM134" s="427"/>
      <c r="EN134" s="454"/>
      <c r="EO134" s="454"/>
      <c r="EP134" s="428"/>
      <c r="EQ134" s="427"/>
      <c r="ER134" s="454"/>
      <c r="ES134" s="454"/>
      <c r="ET134" s="428"/>
      <c r="EU134" s="427"/>
      <c r="EV134" s="454"/>
      <c r="EW134" s="454"/>
      <c r="EX134" s="428"/>
      <c r="EY134" s="427"/>
      <c r="EZ134" s="454"/>
      <c r="FA134" s="454"/>
      <c r="FB134" s="428"/>
      <c r="FC134" s="427"/>
      <c r="FD134" s="454"/>
      <c r="FE134" s="454"/>
      <c r="FF134" s="428"/>
      <c r="FG134" s="427"/>
      <c r="FH134" s="454"/>
      <c r="FI134" s="454"/>
      <c r="FJ134" s="428"/>
      <c r="FK134" s="427"/>
      <c r="FL134" s="454"/>
      <c r="FM134" s="454"/>
      <c r="FN134" s="428"/>
      <c r="FO134" s="427"/>
      <c r="FP134" s="454"/>
      <c r="FQ134" s="454"/>
      <c r="FR134" s="428"/>
      <c r="FS134" s="427"/>
      <c r="FT134" s="454"/>
      <c r="FU134" s="454"/>
      <c r="FV134" s="428"/>
      <c r="FW134" s="427"/>
      <c r="FX134" s="454"/>
      <c r="FY134" s="454"/>
      <c r="FZ134" s="428"/>
      <c r="GA134" s="427"/>
      <c r="GB134" s="454"/>
      <c r="GC134" s="454"/>
      <c r="GD134" s="428"/>
      <c r="GE134" s="427"/>
      <c r="GF134" s="454"/>
      <c r="GG134" s="454"/>
      <c r="GH134" s="428"/>
      <c r="GI134" s="427"/>
      <c r="GJ134" s="454"/>
      <c r="GK134" s="454"/>
      <c r="GL134" s="428"/>
      <c r="GM134" s="427"/>
      <c r="GN134" s="454"/>
      <c r="GO134" s="454"/>
      <c r="GP134" s="428"/>
      <c r="GQ134" s="427"/>
      <c r="GR134" s="454"/>
      <c r="GS134" s="454"/>
      <c r="GT134" s="428"/>
      <c r="GU134" s="427"/>
      <c r="GV134" s="454"/>
      <c r="GW134" s="454"/>
      <c r="GX134" s="428"/>
      <c r="GY134" s="427"/>
      <c r="GZ134" s="454"/>
      <c r="HA134" s="454"/>
      <c r="HB134" s="428"/>
      <c r="HC134" s="434">
        <f t="shared" si="75"/>
        <v>0</v>
      </c>
      <c r="HD134" s="456"/>
      <c r="HE134" s="456"/>
      <c r="HF134" s="433"/>
      <c r="HG134" s="434">
        <f>SUM(SUMIFS(K134:HB134,$K$13:$HB$13,{"エネルギー管理指定工場等*","県域*"}))</f>
        <v>0</v>
      </c>
      <c r="HH134" s="456"/>
      <c r="HI134" s="456"/>
      <c r="HJ134" s="433"/>
    </row>
    <row r="135" spans="1:218" ht="19.8">
      <c r="A135" s="164"/>
      <c r="B135" s="421" t="s">
        <v>1416</v>
      </c>
      <c r="C135" s="422"/>
      <c r="D135" s="422"/>
      <c r="E135" s="422"/>
      <c r="F135" s="422"/>
      <c r="G135" s="422"/>
      <c r="H135" s="453"/>
      <c r="I135" s="425"/>
      <c r="J135" s="426"/>
      <c r="K135" s="427"/>
      <c r="L135" s="454"/>
      <c r="M135" s="454"/>
      <c r="N135" s="428"/>
      <c r="O135" s="427"/>
      <c r="P135" s="454"/>
      <c r="Q135" s="454"/>
      <c r="R135" s="428"/>
      <c r="S135" s="427"/>
      <c r="T135" s="454"/>
      <c r="U135" s="454"/>
      <c r="V135" s="428"/>
      <c r="W135" s="427"/>
      <c r="X135" s="454"/>
      <c r="Y135" s="454"/>
      <c r="Z135" s="428"/>
      <c r="AA135" s="427"/>
      <c r="AB135" s="454"/>
      <c r="AC135" s="454"/>
      <c r="AD135" s="428"/>
      <c r="AE135" s="427"/>
      <c r="AF135" s="454"/>
      <c r="AG135" s="454"/>
      <c r="AH135" s="428"/>
      <c r="AI135" s="427"/>
      <c r="AJ135" s="454"/>
      <c r="AK135" s="454"/>
      <c r="AL135" s="428"/>
      <c r="AM135" s="427"/>
      <c r="AN135" s="454"/>
      <c r="AO135" s="454"/>
      <c r="AP135" s="428"/>
      <c r="AQ135" s="427"/>
      <c r="AR135" s="454"/>
      <c r="AS135" s="454"/>
      <c r="AT135" s="428"/>
      <c r="AU135" s="427"/>
      <c r="AV135" s="454"/>
      <c r="AW135" s="454"/>
      <c r="AX135" s="428"/>
      <c r="AY135" s="427"/>
      <c r="AZ135" s="454"/>
      <c r="BA135" s="454"/>
      <c r="BB135" s="428"/>
      <c r="BC135" s="427"/>
      <c r="BD135" s="454"/>
      <c r="BE135" s="454"/>
      <c r="BF135" s="428"/>
      <c r="BG135" s="427"/>
      <c r="BH135" s="454"/>
      <c r="BI135" s="454"/>
      <c r="BJ135" s="428"/>
      <c r="BK135" s="427"/>
      <c r="BL135" s="454"/>
      <c r="BM135" s="454"/>
      <c r="BN135" s="428"/>
      <c r="BO135" s="427"/>
      <c r="BP135" s="454"/>
      <c r="BQ135" s="454"/>
      <c r="BR135" s="428"/>
      <c r="BS135" s="427"/>
      <c r="BT135" s="454"/>
      <c r="BU135" s="454"/>
      <c r="BV135" s="428"/>
      <c r="BW135" s="427"/>
      <c r="BX135" s="454"/>
      <c r="BY135" s="454"/>
      <c r="BZ135" s="428"/>
      <c r="CA135" s="427"/>
      <c r="CB135" s="454"/>
      <c r="CC135" s="454"/>
      <c r="CD135" s="428"/>
      <c r="CE135" s="427"/>
      <c r="CF135" s="454"/>
      <c r="CG135" s="454"/>
      <c r="CH135" s="428"/>
      <c r="CI135" s="427"/>
      <c r="CJ135" s="454"/>
      <c r="CK135" s="454"/>
      <c r="CL135" s="428"/>
      <c r="CM135" s="427"/>
      <c r="CN135" s="454"/>
      <c r="CO135" s="454"/>
      <c r="CP135" s="428"/>
      <c r="CQ135" s="427"/>
      <c r="CR135" s="454"/>
      <c r="CS135" s="454"/>
      <c r="CT135" s="428"/>
      <c r="CU135" s="427"/>
      <c r="CV135" s="454"/>
      <c r="CW135" s="454"/>
      <c r="CX135" s="428"/>
      <c r="CY135" s="427"/>
      <c r="CZ135" s="454"/>
      <c r="DA135" s="454"/>
      <c r="DB135" s="428"/>
      <c r="DC135" s="427"/>
      <c r="DD135" s="454"/>
      <c r="DE135" s="454"/>
      <c r="DF135" s="428"/>
      <c r="DG135" s="427"/>
      <c r="DH135" s="454"/>
      <c r="DI135" s="454"/>
      <c r="DJ135" s="428"/>
      <c r="DK135" s="427"/>
      <c r="DL135" s="454"/>
      <c r="DM135" s="454"/>
      <c r="DN135" s="428"/>
      <c r="DO135" s="427"/>
      <c r="DP135" s="454"/>
      <c r="DQ135" s="454"/>
      <c r="DR135" s="428"/>
      <c r="DS135" s="427"/>
      <c r="DT135" s="454"/>
      <c r="DU135" s="454"/>
      <c r="DV135" s="428"/>
      <c r="DW135" s="427"/>
      <c r="DX135" s="454"/>
      <c r="DY135" s="454"/>
      <c r="DZ135" s="428"/>
      <c r="EA135" s="427"/>
      <c r="EB135" s="454"/>
      <c r="EC135" s="454"/>
      <c r="ED135" s="428"/>
      <c r="EE135" s="427"/>
      <c r="EF135" s="454"/>
      <c r="EG135" s="454"/>
      <c r="EH135" s="428"/>
      <c r="EI135" s="427"/>
      <c r="EJ135" s="454"/>
      <c r="EK135" s="454"/>
      <c r="EL135" s="428"/>
      <c r="EM135" s="427"/>
      <c r="EN135" s="454"/>
      <c r="EO135" s="454"/>
      <c r="EP135" s="428"/>
      <c r="EQ135" s="427"/>
      <c r="ER135" s="454"/>
      <c r="ES135" s="454"/>
      <c r="ET135" s="428"/>
      <c r="EU135" s="427"/>
      <c r="EV135" s="454"/>
      <c r="EW135" s="454"/>
      <c r="EX135" s="428"/>
      <c r="EY135" s="427"/>
      <c r="EZ135" s="454"/>
      <c r="FA135" s="454"/>
      <c r="FB135" s="428"/>
      <c r="FC135" s="427"/>
      <c r="FD135" s="454"/>
      <c r="FE135" s="454"/>
      <c r="FF135" s="428"/>
      <c r="FG135" s="427"/>
      <c r="FH135" s="454"/>
      <c r="FI135" s="454"/>
      <c r="FJ135" s="428"/>
      <c r="FK135" s="427"/>
      <c r="FL135" s="454"/>
      <c r="FM135" s="454"/>
      <c r="FN135" s="428"/>
      <c r="FO135" s="427"/>
      <c r="FP135" s="454"/>
      <c r="FQ135" s="454"/>
      <c r="FR135" s="428"/>
      <c r="FS135" s="427"/>
      <c r="FT135" s="454"/>
      <c r="FU135" s="454"/>
      <c r="FV135" s="428"/>
      <c r="FW135" s="427"/>
      <c r="FX135" s="454"/>
      <c r="FY135" s="454"/>
      <c r="FZ135" s="428"/>
      <c r="GA135" s="427"/>
      <c r="GB135" s="454"/>
      <c r="GC135" s="454"/>
      <c r="GD135" s="428"/>
      <c r="GE135" s="427"/>
      <c r="GF135" s="454"/>
      <c r="GG135" s="454"/>
      <c r="GH135" s="428"/>
      <c r="GI135" s="427"/>
      <c r="GJ135" s="454"/>
      <c r="GK135" s="454"/>
      <c r="GL135" s="428"/>
      <c r="GM135" s="427"/>
      <c r="GN135" s="454"/>
      <c r="GO135" s="454"/>
      <c r="GP135" s="428"/>
      <c r="GQ135" s="427"/>
      <c r="GR135" s="454"/>
      <c r="GS135" s="454"/>
      <c r="GT135" s="428"/>
      <c r="GU135" s="427"/>
      <c r="GV135" s="454"/>
      <c r="GW135" s="454"/>
      <c r="GX135" s="428"/>
      <c r="GY135" s="427"/>
      <c r="GZ135" s="454"/>
      <c r="HA135" s="454"/>
      <c r="HB135" s="428"/>
      <c r="HC135" s="434">
        <f t="shared" si="75"/>
        <v>0</v>
      </c>
      <c r="HD135" s="456"/>
      <c r="HE135" s="456"/>
      <c r="HF135" s="433"/>
      <c r="HG135" s="434">
        <f>SUM(SUMIFS(K135:HB135,$K$13:$HB$13,{"エネルギー管理指定工場等*","県域*"}))</f>
        <v>0</v>
      </c>
      <c r="HH135" s="456"/>
      <c r="HI135" s="456"/>
      <c r="HJ135" s="433"/>
    </row>
    <row r="136" spans="1:218" ht="19.8">
      <c r="A136" s="164"/>
      <c r="B136" s="421" t="s">
        <v>1417</v>
      </c>
      <c r="C136" s="422"/>
      <c r="D136" s="422"/>
      <c r="E136" s="422"/>
      <c r="F136" s="422"/>
      <c r="G136" s="422"/>
      <c r="H136" s="453"/>
      <c r="I136" s="425"/>
      <c r="J136" s="426"/>
      <c r="K136" s="427"/>
      <c r="L136" s="454"/>
      <c r="M136" s="454"/>
      <c r="N136" s="428"/>
      <c r="O136" s="427"/>
      <c r="P136" s="454"/>
      <c r="Q136" s="454"/>
      <c r="R136" s="428"/>
      <c r="S136" s="427"/>
      <c r="T136" s="454"/>
      <c r="U136" s="454"/>
      <c r="V136" s="428"/>
      <c r="W136" s="427"/>
      <c r="X136" s="454"/>
      <c r="Y136" s="454"/>
      <c r="Z136" s="428"/>
      <c r="AA136" s="427"/>
      <c r="AB136" s="454"/>
      <c r="AC136" s="454"/>
      <c r="AD136" s="428"/>
      <c r="AE136" s="427"/>
      <c r="AF136" s="454"/>
      <c r="AG136" s="454"/>
      <c r="AH136" s="428"/>
      <c r="AI136" s="427"/>
      <c r="AJ136" s="454"/>
      <c r="AK136" s="454"/>
      <c r="AL136" s="428"/>
      <c r="AM136" s="427"/>
      <c r="AN136" s="454"/>
      <c r="AO136" s="454"/>
      <c r="AP136" s="428"/>
      <c r="AQ136" s="427"/>
      <c r="AR136" s="454"/>
      <c r="AS136" s="454"/>
      <c r="AT136" s="428"/>
      <c r="AU136" s="427"/>
      <c r="AV136" s="454"/>
      <c r="AW136" s="454"/>
      <c r="AX136" s="428"/>
      <c r="AY136" s="427"/>
      <c r="AZ136" s="454"/>
      <c r="BA136" s="454"/>
      <c r="BB136" s="428"/>
      <c r="BC136" s="427"/>
      <c r="BD136" s="454"/>
      <c r="BE136" s="454"/>
      <c r="BF136" s="428"/>
      <c r="BG136" s="427"/>
      <c r="BH136" s="454"/>
      <c r="BI136" s="454"/>
      <c r="BJ136" s="428"/>
      <c r="BK136" s="427"/>
      <c r="BL136" s="454"/>
      <c r="BM136" s="454"/>
      <c r="BN136" s="428"/>
      <c r="BO136" s="427"/>
      <c r="BP136" s="454"/>
      <c r="BQ136" s="454"/>
      <c r="BR136" s="428"/>
      <c r="BS136" s="427"/>
      <c r="BT136" s="454"/>
      <c r="BU136" s="454"/>
      <c r="BV136" s="428"/>
      <c r="BW136" s="427"/>
      <c r="BX136" s="454"/>
      <c r="BY136" s="454"/>
      <c r="BZ136" s="428"/>
      <c r="CA136" s="427"/>
      <c r="CB136" s="454"/>
      <c r="CC136" s="454"/>
      <c r="CD136" s="428"/>
      <c r="CE136" s="427"/>
      <c r="CF136" s="454"/>
      <c r="CG136" s="454"/>
      <c r="CH136" s="428"/>
      <c r="CI136" s="427"/>
      <c r="CJ136" s="454"/>
      <c r="CK136" s="454"/>
      <c r="CL136" s="428"/>
      <c r="CM136" s="427"/>
      <c r="CN136" s="454"/>
      <c r="CO136" s="454"/>
      <c r="CP136" s="428"/>
      <c r="CQ136" s="427"/>
      <c r="CR136" s="454"/>
      <c r="CS136" s="454"/>
      <c r="CT136" s="428"/>
      <c r="CU136" s="427"/>
      <c r="CV136" s="454"/>
      <c r="CW136" s="454"/>
      <c r="CX136" s="428"/>
      <c r="CY136" s="427"/>
      <c r="CZ136" s="454"/>
      <c r="DA136" s="454"/>
      <c r="DB136" s="428"/>
      <c r="DC136" s="427"/>
      <c r="DD136" s="454"/>
      <c r="DE136" s="454"/>
      <c r="DF136" s="428"/>
      <c r="DG136" s="427"/>
      <c r="DH136" s="454"/>
      <c r="DI136" s="454"/>
      <c r="DJ136" s="428"/>
      <c r="DK136" s="427"/>
      <c r="DL136" s="454"/>
      <c r="DM136" s="454"/>
      <c r="DN136" s="428"/>
      <c r="DO136" s="427"/>
      <c r="DP136" s="454"/>
      <c r="DQ136" s="454"/>
      <c r="DR136" s="428"/>
      <c r="DS136" s="427"/>
      <c r="DT136" s="454"/>
      <c r="DU136" s="454"/>
      <c r="DV136" s="428"/>
      <c r="DW136" s="427"/>
      <c r="DX136" s="454"/>
      <c r="DY136" s="454"/>
      <c r="DZ136" s="428"/>
      <c r="EA136" s="427"/>
      <c r="EB136" s="454"/>
      <c r="EC136" s="454"/>
      <c r="ED136" s="428"/>
      <c r="EE136" s="427"/>
      <c r="EF136" s="454"/>
      <c r="EG136" s="454"/>
      <c r="EH136" s="428"/>
      <c r="EI136" s="427"/>
      <c r="EJ136" s="454"/>
      <c r="EK136" s="454"/>
      <c r="EL136" s="428"/>
      <c r="EM136" s="427"/>
      <c r="EN136" s="454"/>
      <c r="EO136" s="454"/>
      <c r="EP136" s="428"/>
      <c r="EQ136" s="427"/>
      <c r="ER136" s="454"/>
      <c r="ES136" s="454"/>
      <c r="ET136" s="428"/>
      <c r="EU136" s="427"/>
      <c r="EV136" s="454"/>
      <c r="EW136" s="454"/>
      <c r="EX136" s="428"/>
      <c r="EY136" s="427"/>
      <c r="EZ136" s="454"/>
      <c r="FA136" s="454"/>
      <c r="FB136" s="428"/>
      <c r="FC136" s="427"/>
      <c r="FD136" s="454"/>
      <c r="FE136" s="454"/>
      <c r="FF136" s="428"/>
      <c r="FG136" s="427"/>
      <c r="FH136" s="454"/>
      <c r="FI136" s="454"/>
      <c r="FJ136" s="428"/>
      <c r="FK136" s="427"/>
      <c r="FL136" s="454"/>
      <c r="FM136" s="454"/>
      <c r="FN136" s="428"/>
      <c r="FO136" s="427"/>
      <c r="FP136" s="454"/>
      <c r="FQ136" s="454"/>
      <c r="FR136" s="428"/>
      <c r="FS136" s="427"/>
      <c r="FT136" s="454"/>
      <c r="FU136" s="454"/>
      <c r="FV136" s="428"/>
      <c r="FW136" s="427"/>
      <c r="FX136" s="454"/>
      <c r="FY136" s="454"/>
      <c r="FZ136" s="428"/>
      <c r="GA136" s="427"/>
      <c r="GB136" s="454"/>
      <c r="GC136" s="454"/>
      <c r="GD136" s="428"/>
      <c r="GE136" s="427"/>
      <c r="GF136" s="454"/>
      <c r="GG136" s="454"/>
      <c r="GH136" s="428"/>
      <c r="GI136" s="427"/>
      <c r="GJ136" s="454"/>
      <c r="GK136" s="454"/>
      <c r="GL136" s="428"/>
      <c r="GM136" s="427"/>
      <c r="GN136" s="454"/>
      <c r="GO136" s="454"/>
      <c r="GP136" s="428"/>
      <c r="GQ136" s="427"/>
      <c r="GR136" s="454"/>
      <c r="GS136" s="454"/>
      <c r="GT136" s="428"/>
      <c r="GU136" s="427"/>
      <c r="GV136" s="454"/>
      <c r="GW136" s="454"/>
      <c r="GX136" s="428"/>
      <c r="GY136" s="427"/>
      <c r="GZ136" s="454"/>
      <c r="HA136" s="454"/>
      <c r="HB136" s="428"/>
      <c r="HC136" s="434">
        <f t="shared" si="75"/>
        <v>0</v>
      </c>
      <c r="HD136" s="456"/>
      <c r="HE136" s="456"/>
      <c r="HF136" s="433"/>
      <c r="HG136" s="434">
        <f>SUM(SUMIFS(K136:HB136,$K$13:$HB$13,{"エネルギー管理指定工場等*","県域*"}))</f>
        <v>0</v>
      </c>
      <c r="HH136" s="456"/>
      <c r="HI136" s="456"/>
      <c r="HJ136" s="433"/>
    </row>
    <row r="137" spans="1:218" ht="19.8">
      <c r="A137" s="164"/>
      <c r="B137" s="421" t="s">
        <v>1418</v>
      </c>
      <c r="C137" s="422"/>
      <c r="D137" s="422"/>
      <c r="E137" s="422"/>
      <c r="F137" s="422"/>
      <c r="G137" s="422"/>
      <c r="H137" s="453"/>
      <c r="I137" s="425"/>
      <c r="J137" s="426"/>
      <c r="K137" s="427"/>
      <c r="L137" s="454"/>
      <c r="M137" s="454"/>
      <c r="N137" s="428"/>
      <c r="O137" s="427"/>
      <c r="P137" s="454"/>
      <c r="Q137" s="454"/>
      <c r="R137" s="428"/>
      <c r="S137" s="427"/>
      <c r="T137" s="454"/>
      <c r="U137" s="454"/>
      <c r="V137" s="428"/>
      <c r="W137" s="427"/>
      <c r="X137" s="454"/>
      <c r="Y137" s="454"/>
      <c r="Z137" s="428"/>
      <c r="AA137" s="427"/>
      <c r="AB137" s="454"/>
      <c r="AC137" s="454"/>
      <c r="AD137" s="428"/>
      <c r="AE137" s="427"/>
      <c r="AF137" s="454"/>
      <c r="AG137" s="454"/>
      <c r="AH137" s="428"/>
      <c r="AI137" s="427"/>
      <c r="AJ137" s="454"/>
      <c r="AK137" s="454"/>
      <c r="AL137" s="428"/>
      <c r="AM137" s="427"/>
      <c r="AN137" s="454"/>
      <c r="AO137" s="454"/>
      <c r="AP137" s="428"/>
      <c r="AQ137" s="427"/>
      <c r="AR137" s="454"/>
      <c r="AS137" s="454"/>
      <c r="AT137" s="428"/>
      <c r="AU137" s="427"/>
      <c r="AV137" s="454"/>
      <c r="AW137" s="454"/>
      <c r="AX137" s="428"/>
      <c r="AY137" s="427"/>
      <c r="AZ137" s="454"/>
      <c r="BA137" s="454"/>
      <c r="BB137" s="428"/>
      <c r="BC137" s="427"/>
      <c r="BD137" s="454"/>
      <c r="BE137" s="454"/>
      <c r="BF137" s="428"/>
      <c r="BG137" s="427"/>
      <c r="BH137" s="454"/>
      <c r="BI137" s="454"/>
      <c r="BJ137" s="428"/>
      <c r="BK137" s="427"/>
      <c r="BL137" s="454"/>
      <c r="BM137" s="454"/>
      <c r="BN137" s="428"/>
      <c r="BO137" s="427"/>
      <c r="BP137" s="454"/>
      <c r="BQ137" s="454"/>
      <c r="BR137" s="428"/>
      <c r="BS137" s="427"/>
      <c r="BT137" s="454"/>
      <c r="BU137" s="454"/>
      <c r="BV137" s="428"/>
      <c r="BW137" s="427"/>
      <c r="BX137" s="454"/>
      <c r="BY137" s="454"/>
      <c r="BZ137" s="428"/>
      <c r="CA137" s="427"/>
      <c r="CB137" s="454"/>
      <c r="CC137" s="454"/>
      <c r="CD137" s="428"/>
      <c r="CE137" s="427"/>
      <c r="CF137" s="454"/>
      <c r="CG137" s="454"/>
      <c r="CH137" s="428"/>
      <c r="CI137" s="427"/>
      <c r="CJ137" s="454"/>
      <c r="CK137" s="454"/>
      <c r="CL137" s="428"/>
      <c r="CM137" s="427"/>
      <c r="CN137" s="454"/>
      <c r="CO137" s="454"/>
      <c r="CP137" s="428"/>
      <c r="CQ137" s="427"/>
      <c r="CR137" s="454"/>
      <c r="CS137" s="454"/>
      <c r="CT137" s="428"/>
      <c r="CU137" s="427"/>
      <c r="CV137" s="454"/>
      <c r="CW137" s="454"/>
      <c r="CX137" s="428"/>
      <c r="CY137" s="427"/>
      <c r="CZ137" s="454"/>
      <c r="DA137" s="454"/>
      <c r="DB137" s="428"/>
      <c r="DC137" s="427"/>
      <c r="DD137" s="454"/>
      <c r="DE137" s="454"/>
      <c r="DF137" s="428"/>
      <c r="DG137" s="427"/>
      <c r="DH137" s="454"/>
      <c r="DI137" s="454"/>
      <c r="DJ137" s="428"/>
      <c r="DK137" s="427"/>
      <c r="DL137" s="454"/>
      <c r="DM137" s="454"/>
      <c r="DN137" s="428"/>
      <c r="DO137" s="427"/>
      <c r="DP137" s="454"/>
      <c r="DQ137" s="454"/>
      <c r="DR137" s="428"/>
      <c r="DS137" s="427"/>
      <c r="DT137" s="454"/>
      <c r="DU137" s="454"/>
      <c r="DV137" s="428"/>
      <c r="DW137" s="427"/>
      <c r="DX137" s="454"/>
      <c r="DY137" s="454"/>
      <c r="DZ137" s="428"/>
      <c r="EA137" s="427"/>
      <c r="EB137" s="454"/>
      <c r="EC137" s="454"/>
      <c r="ED137" s="428"/>
      <c r="EE137" s="427"/>
      <c r="EF137" s="454"/>
      <c r="EG137" s="454"/>
      <c r="EH137" s="428"/>
      <c r="EI137" s="427"/>
      <c r="EJ137" s="454"/>
      <c r="EK137" s="454"/>
      <c r="EL137" s="428"/>
      <c r="EM137" s="427"/>
      <c r="EN137" s="454"/>
      <c r="EO137" s="454"/>
      <c r="EP137" s="428"/>
      <c r="EQ137" s="427"/>
      <c r="ER137" s="454"/>
      <c r="ES137" s="454"/>
      <c r="ET137" s="428"/>
      <c r="EU137" s="427"/>
      <c r="EV137" s="454"/>
      <c r="EW137" s="454"/>
      <c r="EX137" s="428"/>
      <c r="EY137" s="427"/>
      <c r="EZ137" s="454"/>
      <c r="FA137" s="454"/>
      <c r="FB137" s="428"/>
      <c r="FC137" s="427"/>
      <c r="FD137" s="454"/>
      <c r="FE137" s="454"/>
      <c r="FF137" s="428"/>
      <c r="FG137" s="427"/>
      <c r="FH137" s="454"/>
      <c r="FI137" s="454"/>
      <c r="FJ137" s="428"/>
      <c r="FK137" s="427"/>
      <c r="FL137" s="454"/>
      <c r="FM137" s="454"/>
      <c r="FN137" s="428"/>
      <c r="FO137" s="427"/>
      <c r="FP137" s="454"/>
      <c r="FQ137" s="454"/>
      <c r="FR137" s="428"/>
      <c r="FS137" s="427"/>
      <c r="FT137" s="454"/>
      <c r="FU137" s="454"/>
      <c r="FV137" s="428"/>
      <c r="FW137" s="427"/>
      <c r="FX137" s="454"/>
      <c r="FY137" s="454"/>
      <c r="FZ137" s="428"/>
      <c r="GA137" s="427"/>
      <c r="GB137" s="454"/>
      <c r="GC137" s="454"/>
      <c r="GD137" s="428"/>
      <c r="GE137" s="427"/>
      <c r="GF137" s="454"/>
      <c r="GG137" s="454"/>
      <c r="GH137" s="428"/>
      <c r="GI137" s="427"/>
      <c r="GJ137" s="454"/>
      <c r="GK137" s="454"/>
      <c r="GL137" s="428"/>
      <c r="GM137" s="427"/>
      <c r="GN137" s="454"/>
      <c r="GO137" s="454"/>
      <c r="GP137" s="428"/>
      <c r="GQ137" s="427"/>
      <c r="GR137" s="454"/>
      <c r="GS137" s="454"/>
      <c r="GT137" s="428"/>
      <c r="GU137" s="427"/>
      <c r="GV137" s="454"/>
      <c r="GW137" s="454"/>
      <c r="GX137" s="428"/>
      <c r="GY137" s="427"/>
      <c r="GZ137" s="454"/>
      <c r="HA137" s="454"/>
      <c r="HB137" s="428"/>
      <c r="HC137" s="434">
        <f t="shared" si="75"/>
        <v>0</v>
      </c>
      <c r="HD137" s="456"/>
      <c r="HE137" s="456"/>
      <c r="HF137" s="433"/>
      <c r="HG137" s="434">
        <f>SUM(SUMIFS(K137:HB137,$K$13:$HB$13,{"エネルギー管理指定工場等*","県域*"}))</f>
        <v>0</v>
      </c>
      <c r="HH137" s="456"/>
      <c r="HI137" s="456"/>
      <c r="HJ137" s="433"/>
    </row>
    <row r="138" spans="1:218" ht="19.8">
      <c r="A138" s="164"/>
      <c r="B138" s="421" t="s">
        <v>1419</v>
      </c>
      <c r="C138" s="422"/>
      <c r="D138" s="422"/>
      <c r="E138" s="422"/>
      <c r="F138" s="422"/>
      <c r="G138" s="422"/>
      <c r="H138" s="453"/>
      <c r="I138" s="425"/>
      <c r="J138" s="426"/>
      <c r="K138" s="427"/>
      <c r="L138" s="454"/>
      <c r="M138" s="454"/>
      <c r="N138" s="428"/>
      <c r="O138" s="427"/>
      <c r="P138" s="454"/>
      <c r="Q138" s="454"/>
      <c r="R138" s="428"/>
      <c r="S138" s="427"/>
      <c r="T138" s="454"/>
      <c r="U138" s="454"/>
      <c r="V138" s="428"/>
      <c r="W138" s="427"/>
      <c r="X138" s="454"/>
      <c r="Y138" s="454"/>
      <c r="Z138" s="428"/>
      <c r="AA138" s="427"/>
      <c r="AB138" s="454"/>
      <c r="AC138" s="454"/>
      <c r="AD138" s="428"/>
      <c r="AE138" s="427"/>
      <c r="AF138" s="454"/>
      <c r="AG138" s="454"/>
      <c r="AH138" s="428"/>
      <c r="AI138" s="427"/>
      <c r="AJ138" s="454"/>
      <c r="AK138" s="454"/>
      <c r="AL138" s="428"/>
      <c r="AM138" s="427"/>
      <c r="AN138" s="454"/>
      <c r="AO138" s="454"/>
      <c r="AP138" s="428"/>
      <c r="AQ138" s="427"/>
      <c r="AR138" s="454"/>
      <c r="AS138" s="454"/>
      <c r="AT138" s="428"/>
      <c r="AU138" s="427"/>
      <c r="AV138" s="454"/>
      <c r="AW138" s="454"/>
      <c r="AX138" s="428"/>
      <c r="AY138" s="427"/>
      <c r="AZ138" s="454"/>
      <c r="BA138" s="454"/>
      <c r="BB138" s="428"/>
      <c r="BC138" s="427"/>
      <c r="BD138" s="454"/>
      <c r="BE138" s="454"/>
      <c r="BF138" s="428"/>
      <c r="BG138" s="427"/>
      <c r="BH138" s="454"/>
      <c r="BI138" s="454"/>
      <c r="BJ138" s="428"/>
      <c r="BK138" s="427"/>
      <c r="BL138" s="454"/>
      <c r="BM138" s="454"/>
      <c r="BN138" s="428"/>
      <c r="BO138" s="427"/>
      <c r="BP138" s="454"/>
      <c r="BQ138" s="454"/>
      <c r="BR138" s="428"/>
      <c r="BS138" s="427"/>
      <c r="BT138" s="454"/>
      <c r="BU138" s="454"/>
      <c r="BV138" s="428"/>
      <c r="BW138" s="427"/>
      <c r="BX138" s="454"/>
      <c r="BY138" s="454"/>
      <c r="BZ138" s="428"/>
      <c r="CA138" s="427"/>
      <c r="CB138" s="454"/>
      <c r="CC138" s="454"/>
      <c r="CD138" s="428"/>
      <c r="CE138" s="427"/>
      <c r="CF138" s="454"/>
      <c r="CG138" s="454"/>
      <c r="CH138" s="428"/>
      <c r="CI138" s="427"/>
      <c r="CJ138" s="454"/>
      <c r="CK138" s="454"/>
      <c r="CL138" s="428"/>
      <c r="CM138" s="427"/>
      <c r="CN138" s="454"/>
      <c r="CO138" s="454"/>
      <c r="CP138" s="428"/>
      <c r="CQ138" s="427"/>
      <c r="CR138" s="454"/>
      <c r="CS138" s="454"/>
      <c r="CT138" s="428"/>
      <c r="CU138" s="427"/>
      <c r="CV138" s="454"/>
      <c r="CW138" s="454"/>
      <c r="CX138" s="428"/>
      <c r="CY138" s="427"/>
      <c r="CZ138" s="454"/>
      <c r="DA138" s="454"/>
      <c r="DB138" s="428"/>
      <c r="DC138" s="427"/>
      <c r="DD138" s="454"/>
      <c r="DE138" s="454"/>
      <c r="DF138" s="428"/>
      <c r="DG138" s="427"/>
      <c r="DH138" s="454"/>
      <c r="DI138" s="454"/>
      <c r="DJ138" s="428"/>
      <c r="DK138" s="427"/>
      <c r="DL138" s="454"/>
      <c r="DM138" s="454"/>
      <c r="DN138" s="428"/>
      <c r="DO138" s="427"/>
      <c r="DP138" s="454"/>
      <c r="DQ138" s="454"/>
      <c r="DR138" s="428"/>
      <c r="DS138" s="427"/>
      <c r="DT138" s="454"/>
      <c r="DU138" s="454"/>
      <c r="DV138" s="428"/>
      <c r="DW138" s="427"/>
      <c r="DX138" s="454"/>
      <c r="DY138" s="454"/>
      <c r="DZ138" s="428"/>
      <c r="EA138" s="427"/>
      <c r="EB138" s="454"/>
      <c r="EC138" s="454"/>
      <c r="ED138" s="428"/>
      <c r="EE138" s="427"/>
      <c r="EF138" s="454"/>
      <c r="EG138" s="454"/>
      <c r="EH138" s="428"/>
      <c r="EI138" s="427"/>
      <c r="EJ138" s="454"/>
      <c r="EK138" s="454"/>
      <c r="EL138" s="428"/>
      <c r="EM138" s="427"/>
      <c r="EN138" s="454"/>
      <c r="EO138" s="454"/>
      <c r="EP138" s="428"/>
      <c r="EQ138" s="427"/>
      <c r="ER138" s="454"/>
      <c r="ES138" s="454"/>
      <c r="ET138" s="428"/>
      <c r="EU138" s="427"/>
      <c r="EV138" s="454"/>
      <c r="EW138" s="454"/>
      <c r="EX138" s="428"/>
      <c r="EY138" s="427"/>
      <c r="EZ138" s="454"/>
      <c r="FA138" s="454"/>
      <c r="FB138" s="428"/>
      <c r="FC138" s="427"/>
      <c r="FD138" s="454"/>
      <c r="FE138" s="454"/>
      <c r="FF138" s="428"/>
      <c r="FG138" s="427"/>
      <c r="FH138" s="454"/>
      <c r="FI138" s="454"/>
      <c r="FJ138" s="428"/>
      <c r="FK138" s="427"/>
      <c r="FL138" s="454"/>
      <c r="FM138" s="454"/>
      <c r="FN138" s="428"/>
      <c r="FO138" s="427"/>
      <c r="FP138" s="454"/>
      <c r="FQ138" s="454"/>
      <c r="FR138" s="428"/>
      <c r="FS138" s="427"/>
      <c r="FT138" s="454"/>
      <c r="FU138" s="454"/>
      <c r="FV138" s="428"/>
      <c r="FW138" s="427"/>
      <c r="FX138" s="454"/>
      <c r="FY138" s="454"/>
      <c r="FZ138" s="428"/>
      <c r="GA138" s="427"/>
      <c r="GB138" s="454"/>
      <c r="GC138" s="454"/>
      <c r="GD138" s="428"/>
      <c r="GE138" s="427"/>
      <c r="GF138" s="454"/>
      <c r="GG138" s="454"/>
      <c r="GH138" s="428"/>
      <c r="GI138" s="427"/>
      <c r="GJ138" s="454"/>
      <c r="GK138" s="454"/>
      <c r="GL138" s="428"/>
      <c r="GM138" s="427"/>
      <c r="GN138" s="454"/>
      <c r="GO138" s="454"/>
      <c r="GP138" s="428"/>
      <c r="GQ138" s="427"/>
      <c r="GR138" s="454"/>
      <c r="GS138" s="454"/>
      <c r="GT138" s="428"/>
      <c r="GU138" s="427"/>
      <c r="GV138" s="454"/>
      <c r="GW138" s="454"/>
      <c r="GX138" s="428"/>
      <c r="GY138" s="427"/>
      <c r="GZ138" s="454"/>
      <c r="HA138" s="454"/>
      <c r="HB138" s="428"/>
      <c r="HC138" s="434">
        <f t="shared" si="75"/>
        <v>0</v>
      </c>
      <c r="HD138" s="456"/>
      <c r="HE138" s="456"/>
      <c r="HF138" s="433"/>
      <c r="HG138" s="434">
        <f>SUM(SUMIFS(K138:HB138,$K$13:$HB$13,{"エネルギー管理指定工場等*","県域*"}))</f>
        <v>0</v>
      </c>
      <c r="HH138" s="456"/>
      <c r="HI138" s="456"/>
      <c r="HJ138" s="433"/>
    </row>
    <row r="139" spans="1:218" ht="19.8">
      <c r="A139" s="164"/>
      <c r="B139" s="421" t="s">
        <v>1420</v>
      </c>
      <c r="C139" s="422"/>
      <c r="D139" s="422"/>
      <c r="E139" s="422"/>
      <c r="F139" s="422"/>
      <c r="G139" s="422"/>
      <c r="H139" s="453"/>
      <c r="I139" s="425"/>
      <c r="J139" s="426"/>
      <c r="K139" s="427"/>
      <c r="L139" s="454"/>
      <c r="M139" s="454"/>
      <c r="N139" s="428"/>
      <c r="O139" s="427"/>
      <c r="P139" s="454"/>
      <c r="Q139" s="454"/>
      <c r="R139" s="428"/>
      <c r="S139" s="427"/>
      <c r="T139" s="454"/>
      <c r="U139" s="454"/>
      <c r="V139" s="428"/>
      <c r="W139" s="427"/>
      <c r="X139" s="454"/>
      <c r="Y139" s="454"/>
      <c r="Z139" s="428"/>
      <c r="AA139" s="427"/>
      <c r="AB139" s="454"/>
      <c r="AC139" s="454"/>
      <c r="AD139" s="428"/>
      <c r="AE139" s="427"/>
      <c r="AF139" s="454"/>
      <c r="AG139" s="454"/>
      <c r="AH139" s="428"/>
      <c r="AI139" s="427"/>
      <c r="AJ139" s="454"/>
      <c r="AK139" s="454"/>
      <c r="AL139" s="428"/>
      <c r="AM139" s="427"/>
      <c r="AN139" s="454"/>
      <c r="AO139" s="454"/>
      <c r="AP139" s="428"/>
      <c r="AQ139" s="427"/>
      <c r="AR139" s="454"/>
      <c r="AS139" s="454"/>
      <c r="AT139" s="428"/>
      <c r="AU139" s="427"/>
      <c r="AV139" s="454"/>
      <c r="AW139" s="454"/>
      <c r="AX139" s="428"/>
      <c r="AY139" s="427"/>
      <c r="AZ139" s="454"/>
      <c r="BA139" s="454"/>
      <c r="BB139" s="428"/>
      <c r="BC139" s="427"/>
      <c r="BD139" s="454"/>
      <c r="BE139" s="454"/>
      <c r="BF139" s="428"/>
      <c r="BG139" s="427"/>
      <c r="BH139" s="454"/>
      <c r="BI139" s="454"/>
      <c r="BJ139" s="428"/>
      <c r="BK139" s="427"/>
      <c r="BL139" s="454"/>
      <c r="BM139" s="454"/>
      <c r="BN139" s="428"/>
      <c r="BO139" s="427"/>
      <c r="BP139" s="454"/>
      <c r="BQ139" s="454"/>
      <c r="BR139" s="428"/>
      <c r="BS139" s="427"/>
      <c r="BT139" s="454"/>
      <c r="BU139" s="454"/>
      <c r="BV139" s="428"/>
      <c r="BW139" s="427"/>
      <c r="BX139" s="454"/>
      <c r="BY139" s="454"/>
      <c r="BZ139" s="428"/>
      <c r="CA139" s="427"/>
      <c r="CB139" s="454"/>
      <c r="CC139" s="454"/>
      <c r="CD139" s="428"/>
      <c r="CE139" s="427"/>
      <c r="CF139" s="454"/>
      <c r="CG139" s="454"/>
      <c r="CH139" s="428"/>
      <c r="CI139" s="427"/>
      <c r="CJ139" s="454"/>
      <c r="CK139" s="454"/>
      <c r="CL139" s="428"/>
      <c r="CM139" s="427"/>
      <c r="CN139" s="454"/>
      <c r="CO139" s="454"/>
      <c r="CP139" s="428"/>
      <c r="CQ139" s="427"/>
      <c r="CR139" s="454"/>
      <c r="CS139" s="454"/>
      <c r="CT139" s="428"/>
      <c r="CU139" s="427"/>
      <c r="CV139" s="454"/>
      <c r="CW139" s="454"/>
      <c r="CX139" s="428"/>
      <c r="CY139" s="427"/>
      <c r="CZ139" s="454"/>
      <c r="DA139" s="454"/>
      <c r="DB139" s="428"/>
      <c r="DC139" s="427"/>
      <c r="DD139" s="454"/>
      <c r="DE139" s="454"/>
      <c r="DF139" s="428"/>
      <c r="DG139" s="427"/>
      <c r="DH139" s="454"/>
      <c r="DI139" s="454"/>
      <c r="DJ139" s="428"/>
      <c r="DK139" s="427"/>
      <c r="DL139" s="454"/>
      <c r="DM139" s="454"/>
      <c r="DN139" s="428"/>
      <c r="DO139" s="427"/>
      <c r="DP139" s="454"/>
      <c r="DQ139" s="454"/>
      <c r="DR139" s="428"/>
      <c r="DS139" s="427"/>
      <c r="DT139" s="454"/>
      <c r="DU139" s="454"/>
      <c r="DV139" s="428"/>
      <c r="DW139" s="427"/>
      <c r="DX139" s="454"/>
      <c r="DY139" s="454"/>
      <c r="DZ139" s="428"/>
      <c r="EA139" s="427"/>
      <c r="EB139" s="454"/>
      <c r="EC139" s="454"/>
      <c r="ED139" s="428"/>
      <c r="EE139" s="427"/>
      <c r="EF139" s="454"/>
      <c r="EG139" s="454"/>
      <c r="EH139" s="428"/>
      <c r="EI139" s="427"/>
      <c r="EJ139" s="454"/>
      <c r="EK139" s="454"/>
      <c r="EL139" s="428"/>
      <c r="EM139" s="427"/>
      <c r="EN139" s="454"/>
      <c r="EO139" s="454"/>
      <c r="EP139" s="428"/>
      <c r="EQ139" s="427"/>
      <c r="ER139" s="454"/>
      <c r="ES139" s="454"/>
      <c r="ET139" s="428"/>
      <c r="EU139" s="427"/>
      <c r="EV139" s="454"/>
      <c r="EW139" s="454"/>
      <c r="EX139" s="428"/>
      <c r="EY139" s="427"/>
      <c r="EZ139" s="454"/>
      <c r="FA139" s="454"/>
      <c r="FB139" s="428"/>
      <c r="FC139" s="427"/>
      <c r="FD139" s="454"/>
      <c r="FE139" s="454"/>
      <c r="FF139" s="428"/>
      <c r="FG139" s="427"/>
      <c r="FH139" s="454"/>
      <c r="FI139" s="454"/>
      <c r="FJ139" s="428"/>
      <c r="FK139" s="427"/>
      <c r="FL139" s="454"/>
      <c r="FM139" s="454"/>
      <c r="FN139" s="428"/>
      <c r="FO139" s="427"/>
      <c r="FP139" s="454"/>
      <c r="FQ139" s="454"/>
      <c r="FR139" s="428"/>
      <c r="FS139" s="427"/>
      <c r="FT139" s="454"/>
      <c r="FU139" s="454"/>
      <c r="FV139" s="428"/>
      <c r="FW139" s="427"/>
      <c r="FX139" s="454"/>
      <c r="FY139" s="454"/>
      <c r="FZ139" s="428"/>
      <c r="GA139" s="427"/>
      <c r="GB139" s="454"/>
      <c r="GC139" s="454"/>
      <c r="GD139" s="428"/>
      <c r="GE139" s="427"/>
      <c r="GF139" s="454"/>
      <c r="GG139" s="454"/>
      <c r="GH139" s="428"/>
      <c r="GI139" s="427"/>
      <c r="GJ139" s="454"/>
      <c r="GK139" s="454"/>
      <c r="GL139" s="428"/>
      <c r="GM139" s="427"/>
      <c r="GN139" s="454"/>
      <c r="GO139" s="454"/>
      <c r="GP139" s="428"/>
      <c r="GQ139" s="427"/>
      <c r="GR139" s="454"/>
      <c r="GS139" s="454"/>
      <c r="GT139" s="428"/>
      <c r="GU139" s="427"/>
      <c r="GV139" s="454"/>
      <c r="GW139" s="454"/>
      <c r="GX139" s="428"/>
      <c r="GY139" s="427"/>
      <c r="GZ139" s="454"/>
      <c r="HA139" s="454"/>
      <c r="HB139" s="428"/>
      <c r="HC139" s="434">
        <f t="shared" si="75"/>
        <v>0</v>
      </c>
      <c r="HD139" s="456"/>
      <c r="HE139" s="456"/>
      <c r="HF139" s="433"/>
      <c r="HG139" s="434">
        <f>SUM(SUMIFS(K139:HB139,$K$13:$HB$13,{"エネルギー管理指定工場等*","県域*"}))</f>
        <v>0</v>
      </c>
      <c r="HH139" s="456"/>
      <c r="HI139" s="456"/>
      <c r="HJ139" s="433"/>
    </row>
    <row r="140" spans="1:218" ht="19.8">
      <c r="A140" s="164"/>
      <c r="B140" s="443" t="s">
        <v>1421</v>
      </c>
      <c r="C140" s="444"/>
      <c r="D140" s="444"/>
      <c r="E140" s="444"/>
      <c r="F140" s="444"/>
      <c r="G140" s="444"/>
      <c r="H140" s="467"/>
      <c r="I140" s="425"/>
      <c r="J140" s="426"/>
      <c r="K140" s="468"/>
      <c r="L140" s="469"/>
      <c r="M140" s="469"/>
      <c r="N140" s="482"/>
      <c r="O140" s="468"/>
      <c r="P140" s="469"/>
      <c r="Q140" s="469"/>
      <c r="R140" s="482"/>
      <c r="S140" s="468"/>
      <c r="T140" s="469"/>
      <c r="U140" s="469"/>
      <c r="V140" s="482"/>
      <c r="W140" s="468"/>
      <c r="X140" s="469"/>
      <c r="Y140" s="469"/>
      <c r="Z140" s="482"/>
      <c r="AA140" s="468"/>
      <c r="AB140" s="469"/>
      <c r="AC140" s="469"/>
      <c r="AD140" s="482"/>
      <c r="AE140" s="468"/>
      <c r="AF140" s="469"/>
      <c r="AG140" s="469"/>
      <c r="AH140" s="482"/>
      <c r="AI140" s="468"/>
      <c r="AJ140" s="469"/>
      <c r="AK140" s="469"/>
      <c r="AL140" s="482"/>
      <c r="AM140" s="468"/>
      <c r="AN140" s="469"/>
      <c r="AO140" s="469"/>
      <c r="AP140" s="482"/>
      <c r="AQ140" s="468"/>
      <c r="AR140" s="469"/>
      <c r="AS140" s="469"/>
      <c r="AT140" s="482"/>
      <c r="AU140" s="468"/>
      <c r="AV140" s="469"/>
      <c r="AW140" s="469"/>
      <c r="AX140" s="482"/>
      <c r="AY140" s="468"/>
      <c r="AZ140" s="469"/>
      <c r="BA140" s="469"/>
      <c r="BB140" s="482"/>
      <c r="BC140" s="468"/>
      <c r="BD140" s="469"/>
      <c r="BE140" s="469"/>
      <c r="BF140" s="482"/>
      <c r="BG140" s="468"/>
      <c r="BH140" s="469"/>
      <c r="BI140" s="469"/>
      <c r="BJ140" s="482"/>
      <c r="BK140" s="468"/>
      <c r="BL140" s="469"/>
      <c r="BM140" s="469"/>
      <c r="BN140" s="482"/>
      <c r="BO140" s="468"/>
      <c r="BP140" s="469"/>
      <c r="BQ140" s="469"/>
      <c r="BR140" s="482"/>
      <c r="BS140" s="468"/>
      <c r="BT140" s="469"/>
      <c r="BU140" s="469"/>
      <c r="BV140" s="482"/>
      <c r="BW140" s="468"/>
      <c r="BX140" s="469"/>
      <c r="BY140" s="469"/>
      <c r="BZ140" s="482"/>
      <c r="CA140" s="468"/>
      <c r="CB140" s="469"/>
      <c r="CC140" s="469"/>
      <c r="CD140" s="482"/>
      <c r="CE140" s="468"/>
      <c r="CF140" s="469"/>
      <c r="CG140" s="469"/>
      <c r="CH140" s="482"/>
      <c r="CI140" s="468"/>
      <c r="CJ140" s="469"/>
      <c r="CK140" s="469"/>
      <c r="CL140" s="482"/>
      <c r="CM140" s="468"/>
      <c r="CN140" s="469"/>
      <c r="CO140" s="469"/>
      <c r="CP140" s="482"/>
      <c r="CQ140" s="468"/>
      <c r="CR140" s="469"/>
      <c r="CS140" s="469"/>
      <c r="CT140" s="482"/>
      <c r="CU140" s="468"/>
      <c r="CV140" s="469"/>
      <c r="CW140" s="469"/>
      <c r="CX140" s="482"/>
      <c r="CY140" s="468"/>
      <c r="CZ140" s="469"/>
      <c r="DA140" s="469"/>
      <c r="DB140" s="482"/>
      <c r="DC140" s="468"/>
      <c r="DD140" s="469"/>
      <c r="DE140" s="469"/>
      <c r="DF140" s="482"/>
      <c r="DG140" s="468"/>
      <c r="DH140" s="469"/>
      <c r="DI140" s="469"/>
      <c r="DJ140" s="482"/>
      <c r="DK140" s="468"/>
      <c r="DL140" s="469"/>
      <c r="DM140" s="469"/>
      <c r="DN140" s="482"/>
      <c r="DO140" s="468"/>
      <c r="DP140" s="469"/>
      <c r="DQ140" s="469"/>
      <c r="DR140" s="482"/>
      <c r="DS140" s="468"/>
      <c r="DT140" s="469"/>
      <c r="DU140" s="469"/>
      <c r="DV140" s="482"/>
      <c r="DW140" s="468"/>
      <c r="DX140" s="469"/>
      <c r="DY140" s="469"/>
      <c r="DZ140" s="482"/>
      <c r="EA140" s="468"/>
      <c r="EB140" s="469"/>
      <c r="EC140" s="469"/>
      <c r="ED140" s="482"/>
      <c r="EE140" s="468"/>
      <c r="EF140" s="469"/>
      <c r="EG140" s="469"/>
      <c r="EH140" s="482"/>
      <c r="EI140" s="468"/>
      <c r="EJ140" s="469"/>
      <c r="EK140" s="469"/>
      <c r="EL140" s="482"/>
      <c r="EM140" s="468"/>
      <c r="EN140" s="469"/>
      <c r="EO140" s="469"/>
      <c r="EP140" s="482"/>
      <c r="EQ140" s="468"/>
      <c r="ER140" s="469"/>
      <c r="ES140" s="469"/>
      <c r="ET140" s="482"/>
      <c r="EU140" s="468"/>
      <c r="EV140" s="469"/>
      <c r="EW140" s="469"/>
      <c r="EX140" s="482"/>
      <c r="EY140" s="468"/>
      <c r="EZ140" s="469"/>
      <c r="FA140" s="469"/>
      <c r="FB140" s="482"/>
      <c r="FC140" s="468"/>
      <c r="FD140" s="469"/>
      <c r="FE140" s="469"/>
      <c r="FF140" s="482"/>
      <c r="FG140" s="468"/>
      <c r="FH140" s="469"/>
      <c r="FI140" s="469"/>
      <c r="FJ140" s="482"/>
      <c r="FK140" s="468"/>
      <c r="FL140" s="469"/>
      <c r="FM140" s="469"/>
      <c r="FN140" s="482"/>
      <c r="FO140" s="468"/>
      <c r="FP140" s="469"/>
      <c r="FQ140" s="469"/>
      <c r="FR140" s="482"/>
      <c r="FS140" s="468"/>
      <c r="FT140" s="469"/>
      <c r="FU140" s="469"/>
      <c r="FV140" s="482"/>
      <c r="FW140" s="468"/>
      <c r="FX140" s="469"/>
      <c r="FY140" s="469"/>
      <c r="FZ140" s="482"/>
      <c r="GA140" s="468"/>
      <c r="GB140" s="469"/>
      <c r="GC140" s="469"/>
      <c r="GD140" s="482"/>
      <c r="GE140" s="468"/>
      <c r="GF140" s="469"/>
      <c r="GG140" s="469"/>
      <c r="GH140" s="482"/>
      <c r="GI140" s="468"/>
      <c r="GJ140" s="469"/>
      <c r="GK140" s="469"/>
      <c r="GL140" s="482"/>
      <c r="GM140" s="468"/>
      <c r="GN140" s="469"/>
      <c r="GO140" s="469"/>
      <c r="GP140" s="482"/>
      <c r="GQ140" s="468"/>
      <c r="GR140" s="469"/>
      <c r="GS140" s="469"/>
      <c r="GT140" s="482"/>
      <c r="GU140" s="468"/>
      <c r="GV140" s="469"/>
      <c r="GW140" s="469"/>
      <c r="GX140" s="482"/>
      <c r="GY140" s="468"/>
      <c r="GZ140" s="469"/>
      <c r="HA140" s="469"/>
      <c r="HB140" s="482"/>
      <c r="HC140" s="446">
        <f t="shared" si="75"/>
        <v>0</v>
      </c>
      <c r="HD140" s="471"/>
      <c r="HE140" s="471"/>
      <c r="HF140" s="448"/>
      <c r="HG140" s="446">
        <f>SUM(SUMIFS(K140:HB140,$K$13:$HB$13,{"エネルギー管理指定工場等*","県域*"}))</f>
        <v>0</v>
      </c>
      <c r="HH140" s="471"/>
      <c r="HI140" s="471"/>
      <c r="HJ140" s="448"/>
    </row>
    <row r="141" spans="1:218" ht="19.8">
      <c r="A141" s="164"/>
      <c r="B141" s="410" t="s">
        <v>1422</v>
      </c>
      <c r="C141" s="411"/>
      <c r="D141" s="411"/>
      <c r="E141" s="411"/>
      <c r="F141" s="411"/>
      <c r="G141" s="411"/>
      <c r="H141" s="436"/>
      <c r="I141" s="425"/>
      <c r="J141" s="426"/>
      <c r="K141" s="416"/>
      <c r="L141" s="449"/>
      <c r="M141" s="449"/>
      <c r="N141" s="417"/>
      <c r="O141" s="416"/>
      <c r="P141" s="449"/>
      <c r="Q141" s="449"/>
      <c r="R141" s="417"/>
      <c r="S141" s="416"/>
      <c r="T141" s="449"/>
      <c r="U141" s="449"/>
      <c r="V141" s="417"/>
      <c r="W141" s="416"/>
      <c r="X141" s="449"/>
      <c r="Y141" s="449"/>
      <c r="Z141" s="417"/>
      <c r="AA141" s="416"/>
      <c r="AB141" s="449"/>
      <c r="AC141" s="449"/>
      <c r="AD141" s="417"/>
      <c r="AE141" s="416"/>
      <c r="AF141" s="449"/>
      <c r="AG141" s="449"/>
      <c r="AH141" s="417"/>
      <c r="AI141" s="416"/>
      <c r="AJ141" s="449"/>
      <c r="AK141" s="449"/>
      <c r="AL141" s="417"/>
      <c r="AM141" s="416"/>
      <c r="AN141" s="449"/>
      <c r="AO141" s="449"/>
      <c r="AP141" s="417"/>
      <c r="AQ141" s="416"/>
      <c r="AR141" s="449"/>
      <c r="AS141" s="449"/>
      <c r="AT141" s="417"/>
      <c r="AU141" s="416"/>
      <c r="AV141" s="449"/>
      <c r="AW141" s="449"/>
      <c r="AX141" s="417"/>
      <c r="AY141" s="416"/>
      <c r="AZ141" s="449"/>
      <c r="BA141" s="449"/>
      <c r="BB141" s="417"/>
      <c r="BC141" s="416"/>
      <c r="BD141" s="449"/>
      <c r="BE141" s="449"/>
      <c r="BF141" s="417"/>
      <c r="BG141" s="416"/>
      <c r="BH141" s="449"/>
      <c r="BI141" s="449"/>
      <c r="BJ141" s="417"/>
      <c r="BK141" s="416"/>
      <c r="BL141" s="449"/>
      <c r="BM141" s="449"/>
      <c r="BN141" s="417"/>
      <c r="BO141" s="416"/>
      <c r="BP141" s="449"/>
      <c r="BQ141" s="449"/>
      <c r="BR141" s="417"/>
      <c r="BS141" s="416"/>
      <c r="BT141" s="449"/>
      <c r="BU141" s="449"/>
      <c r="BV141" s="417"/>
      <c r="BW141" s="416"/>
      <c r="BX141" s="449"/>
      <c r="BY141" s="449"/>
      <c r="BZ141" s="417"/>
      <c r="CA141" s="416"/>
      <c r="CB141" s="449"/>
      <c r="CC141" s="449"/>
      <c r="CD141" s="417"/>
      <c r="CE141" s="416"/>
      <c r="CF141" s="449"/>
      <c r="CG141" s="449"/>
      <c r="CH141" s="417"/>
      <c r="CI141" s="416"/>
      <c r="CJ141" s="449"/>
      <c r="CK141" s="449"/>
      <c r="CL141" s="417"/>
      <c r="CM141" s="416"/>
      <c r="CN141" s="449"/>
      <c r="CO141" s="449"/>
      <c r="CP141" s="417"/>
      <c r="CQ141" s="416"/>
      <c r="CR141" s="449"/>
      <c r="CS141" s="449"/>
      <c r="CT141" s="417"/>
      <c r="CU141" s="416"/>
      <c r="CV141" s="449"/>
      <c r="CW141" s="449"/>
      <c r="CX141" s="417"/>
      <c r="CY141" s="416"/>
      <c r="CZ141" s="449"/>
      <c r="DA141" s="449"/>
      <c r="DB141" s="417"/>
      <c r="DC141" s="416"/>
      <c r="DD141" s="449"/>
      <c r="DE141" s="449"/>
      <c r="DF141" s="417"/>
      <c r="DG141" s="416"/>
      <c r="DH141" s="449"/>
      <c r="DI141" s="449"/>
      <c r="DJ141" s="417"/>
      <c r="DK141" s="416"/>
      <c r="DL141" s="449"/>
      <c r="DM141" s="449"/>
      <c r="DN141" s="417"/>
      <c r="DO141" s="416"/>
      <c r="DP141" s="449"/>
      <c r="DQ141" s="449"/>
      <c r="DR141" s="417"/>
      <c r="DS141" s="416"/>
      <c r="DT141" s="449"/>
      <c r="DU141" s="449"/>
      <c r="DV141" s="417"/>
      <c r="DW141" s="416"/>
      <c r="DX141" s="449"/>
      <c r="DY141" s="449"/>
      <c r="DZ141" s="417"/>
      <c r="EA141" s="416"/>
      <c r="EB141" s="449"/>
      <c r="EC141" s="449"/>
      <c r="ED141" s="417"/>
      <c r="EE141" s="416"/>
      <c r="EF141" s="449"/>
      <c r="EG141" s="449"/>
      <c r="EH141" s="417"/>
      <c r="EI141" s="416"/>
      <c r="EJ141" s="449"/>
      <c r="EK141" s="449"/>
      <c r="EL141" s="417"/>
      <c r="EM141" s="416"/>
      <c r="EN141" s="449"/>
      <c r="EO141" s="449"/>
      <c r="EP141" s="417"/>
      <c r="EQ141" s="416"/>
      <c r="ER141" s="449"/>
      <c r="ES141" s="449"/>
      <c r="ET141" s="417"/>
      <c r="EU141" s="416"/>
      <c r="EV141" s="449"/>
      <c r="EW141" s="449"/>
      <c r="EX141" s="417"/>
      <c r="EY141" s="416"/>
      <c r="EZ141" s="449"/>
      <c r="FA141" s="449"/>
      <c r="FB141" s="417"/>
      <c r="FC141" s="416"/>
      <c r="FD141" s="449"/>
      <c r="FE141" s="449"/>
      <c r="FF141" s="417"/>
      <c r="FG141" s="416"/>
      <c r="FH141" s="449"/>
      <c r="FI141" s="449"/>
      <c r="FJ141" s="417"/>
      <c r="FK141" s="416"/>
      <c r="FL141" s="449"/>
      <c r="FM141" s="449"/>
      <c r="FN141" s="417"/>
      <c r="FO141" s="416"/>
      <c r="FP141" s="449"/>
      <c r="FQ141" s="449"/>
      <c r="FR141" s="417"/>
      <c r="FS141" s="416"/>
      <c r="FT141" s="449"/>
      <c r="FU141" s="449"/>
      <c r="FV141" s="417"/>
      <c r="FW141" s="416"/>
      <c r="FX141" s="449"/>
      <c r="FY141" s="449"/>
      <c r="FZ141" s="417"/>
      <c r="GA141" s="416"/>
      <c r="GB141" s="449"/>
      <c r="GC141" s="449"/>
      <c r="GD141" s="417"/>
      <c r="GE141" s="416"/>
      <c r="GF141" s="449"/>
      <c r="GG141" s="449"/>
      <c r="GH141" s="417"/>
      <c r="GI141" s="416"/>
      <c r="GJ141" s="449"/>
      <c r="GK141" s="449"/>
      <c r="GL141" s="417"/>
      <c r="GM141" s="416"/>
      <c r="GN141" s="449"/>
      <c r="GO141" s="449"/>
      <c r="GP141" s="417"/>
      <c r="GQ141" s="416"/>
      <c r="GR141" s="449"/>
      <c r="GS141" s="449"/>
      <c r="GT141" s="417"/>
      <c r="GU141" s="416"/>
      <c r="GV141" s="449"/>
      <c r="GW141" s="449"/>
      <c r="GX141" s="417"/>
      <c r="GY141" s="416"/>
      <c r="GZ141" s="449"/>
      <c r="HA141" s="449"/>
      <c r="HB141" s="417"/>
      <c r="HC141" s="418">
        <f t="shared" si="75"/>
        <v>0</v>
      </c>
      <c r="HD141" s="451"/>
      <c r="HE141" s="451"/>
      <c r="HF141" s="420"/>
      <c r="HG141" s="418">
        <f>SUM(SUMIFS(K141:HB141,$K$13:$HB$13,{"エネルギー管理指定工場等*","県域*"}))</f>
        <v>0</v>
      </c>
      <c r="HH141" s="451"/>
      <c r="HI141" s="451"/>
      <c r="HJ141" s="420"/>
    </row>
    <row r="142" spans="1:218" ht="19.8">
      <c r="A142" s="164"/>
      <c r="B142" s="421" t="s">
        <v>1423</v>
      </c>
      <c r="C142" s="422"/>
      <c r="D142" s="422"/>
      <c r="E142" s="422"/>
      <c r="F142" s="422"/>
      <c r="G142" s="422"/>
      <c r="H142" s="453"/>
      <c r="I142" s="425"/>
      <c r="J142" s="426"/>
      <c r="K142" s="427"/>
      <c r="L142" s="454"/>
      <c r="M142" s="454"/>
      <c r="N142" s="428"/>
      <c r="O142" s="427"/>
      <c r="P142" s="454"/>
      <c r="Q142" s="454"/>
      <c r="R142" s="428"/>
      <c r="S142" s="427"/>
      <c r="T142" s="454"/>
      <c r="U142" s="454"/>
      <c r="V142" s="428"/>
      <c r="W142" s="427"/>
      <c r="X142" s="454"/>
      <c r="Y142" s="454"/>
      <c r="Z142" s="428"/>
      <c r="AA142" s="427"/>
      <c r="AB142" s="454"/>
      <c r="AC142" s="454"/>
      <c r="AD142" s="428"/>
      <c r="AE142" s="427"/>
      <c r="AF142" s="454"/>
      <c r="AG142" s="454"/>
      <c r="AH142" s="428"/>
      <c r="AI142" s="427"/>
      <c r="AJ142" s="454"/>
      <c r="AK142" s="454"/>
      <c r="AL142" s="428"/>
      <c r="AM142" s="427"/>
      <c r="AN142" s="454"/>
      <c r="AO142" s="454"/>
      <c r="AP142" s="428"/>
      <c r="AQ142" s="427"/>
      <c r="AR142" s="454"/>
      <c r="AS142" s="454"/>
      <c r="AT142" s="428"/>
      <c r="AU142" s="427"/>
      <c r="AV142" s="454"/>
      <c r="AW142" s="454"/>
      <c r="AX142" s="428"/>
      <c r="AY142" s="427"/>
      <c r="AZ142" s="454"/>
      <c r="BA142" s="454"/>
      <c r="BB142" s="428"/>
      <c r="BC142" s="427"/>
      <c r="BD142" s="454"/>
      <c r="BE142" s="454"/>
      <c r="BF142" s="428"/>
      <c r="BG142" s="427"/>
      <c r="BH142" s="454"/>
      <c r="BI142" s="454"/>
      <c r="BJ142" s="428"/>
      <c r="BK142" s="427"/>
      <c r="BL142" s="454"/>
      <c r="BM142" s="454"/>
      <c r="BN142" s="428"/>
      <c r="BO142" s="427"/>
      <c r="BP142" s="454"/>
      <c r="BQ142" s="454"/>
      <c r="BR142" s="428"/>
      <c r="BS142" s="427"/>
      <c r="BT142" s="454"/>
      <c r="BU142" s="454"/>
      <c r="BV142" s="428"/>
      <c r="BW142" s="427"/>
      <c r="BX142" s="454"/>
      <c r="BY142" s="454"/>
      <c r="BZ142" s="428"/>
      <c r="CA142" s="427"/>
      <c r="CB142" s="454"/>
      <c r="CC142" s="454"/>
      <c r="CD142" s="428"/>
      <c r="CE142" s="427"/>
      <c r="CF142" s="454"/>
      <c r="CG142" s="454"/>
      <c r="CH142" s="428"/>
      <c r="CI142" s="427"/>
      <c r="CJ142" s="454"/>
      <c r="CK142" s="454"/>
      <c r="CL142" s="428"/>
      <c r="CM142" s="427"/>
      <c r="CN142" s="454"/>
      <c r="CO142" s="454"/>
      <c r="CP142" s="428"/>
      <c r="CQ142" s="427"/>
      <c r="CR142" s="454"/>
      <c r="CS142" s="454"/>
      <c r="CT142" s="428"/>
      <c r="CU142" s="427"/>
      <c r="CV142" s="454"/>
      <c r="CW142" s="454"/>
      <c r="CX142" s="428"/>
      <c r="CY142" s="427"/>
      <c r="CZ142" s="454"/>
      <c r="DA142" s="454"/>
      <c r="DB142" s="428"/>
      <c r="DC142" s="427"/>
      <c r="DD142" s="454"/>
      <c r="DE142" s="454"/>
      <c r="DF142" s="428"/>
      <c r="DG142" s="427"/>
      <c r="DH142" s="454"/>
      <c r="DI142" s="454"/>
      <c r="DJ142" s="428"/>
      <c r="DK142" s="427"/>
      <c r="DL142" s="454"/>
      <c r="DM142" s="454"/>
      <c r="DN142" s="428"/>
      <c r="DO142" s="427"/>
      <c r="DP142" s="454"/>
      <c r="DQ142" s="454"/>
      <c r="DR142" s="428"/>
      <c r="DS142" s="427"/>
      <c r="DT142" s="454"/>
      <c r="DU142" s="454"/>
      <c r="DV142" s="428"/>
      <c r="DW142" s="427"/>
      <c r="DX142" s="454"/>
      <c r="DY142" s="454"/>
      <c r="DZ142" s="428"/>
      <c r="EA142" s="427"/>
      <c r="EB142" s="454"/>
      <c r="EC142" s="454"/>
      <c r="ED142" s="428"/>
      <c r="EE142" s="427"/>
      <c r="EF142" s="454"/>
      <c r="EG142" s="454"/>
      <c r="EH142" s="428"/>
      <c r="EI142" s="427"/>
      <c r="EJ142" s="454"/>
      <c r="EK142" s="454"/>
      <c r="EL142" s="428"/>
      <c r="EM142" s="427"/>
      <c r="EN142" s="454"/>
      <c r="EO142" s="454"/>
      <c r="EP142" s="428"/>
      <c r="EQ142" s="427"/>
      <c r="ER142" s="454"/>
      <c r="ES142" s="454"/>
      <c r="ET142" s="428"/>
      <c r="EU142" s="427"/>
      <c r="EV142" s="454"/>
      <c r="EW142" s="454"/>
      <c r="EX142" s="428"/>
      <c r="EY142" s="427"/>
      <c r="EZ142" s="454"/>
      <c r="FA142" s="454"/>
      <c r="FB142" s="428"/>
      <c r="FC142" s="427"/>
      <c r="FD142" s="454"/>
      <c r="FE142" s="454"/>
      <c r="FF142" s="428"/>
      <c r="FG142" s="427"/>
      <c r="FH142" s="454"/>
      <c r="FI142" s="454"/>
      <c r="FJ142" s="428"/>
      <c r="FK142" s="427"/>
      <c r="FL142" s="454"/>
      <c r="FM142" s="454"/>
      <c r="FN142" s="428"/>
      <c r="FO142" s="427"/>
      <c r="FP142" s="454"/>
      <c r="FQ142" s="454"/>
      <c r="FR142" s="428"/>
      <c r="FS142" s="427"/>
      <c r="FT142" s="454"/>
      <c r="FU142" s="454"/>
      <c r="FV142" s="428"/>
      <c r="FW142" s="427"/>
      <c r="FX142" s="454"/>
      <c r="FY142" s="454"/>
      <c r="FZ142" s="428"/>
      <c r="GA142" s="427"/>
      <c r="GB142" s="454"/>
      <c r="GC142" s="454"/>
      <c r="GD142" s="428"/>
      <c r="GE142" s="427"/>
      <c r="GF142" s="454"/>
      <c r="GG142" s="454"/>
      <c r="GH142" s="428"/>
      <c r="GI142" s="427"/>
      <c r="GJ142" s="454"/>
      <c r="GK142" s="454"/>
      <c r="GL142" s="428"/>
      <c r="GM142" s="427"/>
      <c r="GN142" s="454"/>
      <c r="GO142" s="454"/>
      <c r="GP142" s="428"/>
      <c r="GQ142" s="427"/>
      <c r="GR142" s="454"/>
      <c r="GS142" s="454"/>
      <c r="GT142" s="428"/>
      <c r="GU142" s="427"/>
      <c r="GV142" s="454"/>
      <c r="GW142" s="454"/>
      <c r="GX142" s="428"/>
      <c r="GY142" s="427"/>
      <c r="GZ142" s="454"/>
      <c r="HA142" s="454"/>
      <c r="HB142" s="428"/>
      <c r="HC142" s="434">
        <f t="shared" si="75"/>
        <v>0</v>
      </c>
      <c r="HD142" s="456"/>
      <c r="HE142" s="456"/>
      <c r="HF142" s="433"/>
      <c r="HG142" s="434">
        <f>SUM(SUMIFS(K142:HB142,$K$13:$HB$13,{"エネルギー管理指定工場等*","県域*"}))</f>
        <v>0</v>
      </c>
      <c r="HH142" s="456"/>
      <c r="HI142" s="456"/>
      <c r="HJ142" s="433"/>
    </row>
    <row r="143" spans="1:218" ht="19.8">
      <c r="A143" s="164"/>
      <c r="B143" s="421" t="s">
        <v>1424</v>
      </c>
      <c r="C143" s="422"/>
      <c r="D143" s="422"/>
      <c r="E143" s="422"/>
      <c r="F143" s="422"/>
      <c r="G143" s="422"/>
      <c r="H143" s="453"/>
      <c r="I143" s="425"/>
      <c r="J143" s="426"/>
      <c r="K143" s="427"/>
      <c r="L143" s="454"/>
      <c r="M143" s="454"/>
      <c r="N143" s="428"/>
      <c r="O143" s="427"/>
      <c r="P143" s="454"/>
      <c r="Q143" s="454"/>
      <c r="R143" s="428"/>
      <c r="S143" s="427"/>
      <c r="T143" s="454"/>
      <c r="U143" s="454"/>
      <c r="V143" s="428"/>
      <c r="W143" s="427"/>
      <c r="X143" s="454"/>
      <c r="Y143" s="454"/>
      <c r="Z143" s="428"/>
      <c r="AA143" s="427"/>
      <c r="AB143" s="454"/>
      <c r="AC143" s="454"/>
      <c r="AD143" s="428"/>
      <c r="AE143" s="427"/>
      <c r="AF143" s="454"/>
      <c r="AG143" s="454"/>
      <c r="AH143" s="428"/>
      <c r="AI143" s="427"/>
      <c r="AJ143" s="454"/>
      <c r="AK143" s="454"/>
      <c r="AL143" s="428"/>
      <c r="AM143" s="427"/>
      <c r="AN143" s="454"/>
      <c r="AO143" s="454"/>
      <c r="AP143" s="428"/>
      <c r="AQ143" s="427"/>
      <c r="AR143" s="454"/>
      <c r="AS143" s="454"/>
      <c r="AT143" s="428"/>
      <c r="AU143" s="427"/>
      <c r="AV143" s="454"/>
      <c r="AW143" s="454"/>
      <c r="AX143" s="428"/>
      <c r="AY143" s="427"/>
      <c r="AZ143" s="454"/>
      <c r="BA143" s="454"/>
      <c r="BB143" s="428"/>
      <c r="BC143" s="427"/>
      <c r="BD143" s="454"/>
      <c r="BE143" s="454"/>
      <c r="BF143" s="428"/>
      <c r="BG143" s="427"/>
      <c r="BH143" s="454"/>
      <c r="BI143" s="454"/>
      <c r="BJ143" s="428"/>
      <c r="BK143" s="427"/>
      <c r="BL143" s="454"/>
      <c r="BM143" s="454"/>
      <c r="BN143" s="428"/>
      <c r="BO143" s="427"/>
      <c r="BP143" s="454"/>
      <c r="BQ143" s="454"/>
      <c r="BR143" s="428"/>
      <c r="BS143" s="427"/>
      <c r="BT143" s="454"/>
      <c r="BU143" s="454"/>
      <c r="BV143" s="428"/>
      <c r="BW143" s="427"/>
      <c r="BX143" s="454"/>
      <c r="BY143" s="454"/>
      <c r="BZ143" s="428"/>
      <c r="CA143" s="427"/>
      <c r="CB143" s="454"/>
      <c r="CC143" s="454"/>
      <c r="CD143" s="428"/>
      <c r="CE143" s="427"/>
      <c r="CF143" s="454"/>
      <c r="CG143" s="454"/>
      <c r="CH143" s="428"/>
      <c r="CI143" s="427"/>
      <c r="CJ143" s="454"/>
      <c r="CK143" s="454"/>
      <c r="CL143" s="428"/>
      <c r="CM143" s="427"/>
      <c r="CN143" s="454"/>
      <c r="CO143" s="454"/>
      <c r="CP143" s="428"/>
      <c r="CQ143" s="427"/>
      <c r="CR143" s="454"/>
      <c r="CS143" s="454"/>
      <c r="CT143" s="428"/>
      <c r="CU143" s="427"/>
      <c r="CV143" s="454"/>
      <c r="CW143" s="454"/>
      <c r="CX143" s="428"/>
      <c r="CY143" s="427"/>
      <c r="CZ143" s="454"/>
      <c r="DA143" s="454"/>
      <c r="DB143" s="428"/>
      <c r="DC143" s="427"/>
      <c r="DD143" s="454"/>
      <c r="DE143" s="454"/>
      <c r="DF143" s="428"/>
      <c r="DG143" s="427"/>
      <c r="DH143" s="454"/>
      <c r="DI143" s="454"/>
      <c r="DJ143" s="428"/>
      <c r="DK143" s="427"/>
      <c r="DL143" s="454"/>
      <c r="DM143" s="454"/>
      <c r="DN143" s="428"/>
      <c r="DO143" s="427"/>
      <c r="DP143" s="454"/>
      <c r="DQ143" s="454"/>
      <c r="DR143" s="428"/>
      <c r="DS143" s="427"/>
      <c r="DT143" s="454"/>
      <c r="DU143" s="454"/>
      <c r="DV143" s="428"/>
      <c r="DW143" s="427"/>
      <c r="DX143" s="454"/>
      <c r="DY143" s="454"/>
      <c r="DZ143" s="428"/>
      <c r="EA143" s="427"/>
      <c r="EB143" s="454"/>
      <c r="EC143" s="454"/>
      <c r="ED143" s="428"/>
      <c r="EE143" s="427"/>
      <c r="EF143" s="454"/>
      <c r="EG143" s="454"/>
      <c r="EH143" s="428"/>
      <c r="EI143" s="427"/>
      <c r="EJ143" s="454"/>
      <c r="EK143" s="454"/>
      <c r="EL143" s="428"/>
      <c r="EM143" s="427"/>
      <c r="EN143" s="454"/>
      <c r="EO143" s="454"/>
      <c r="EP143" s="428"/>
      <c r="EQ143" s="427"/>
      <c r="ER143" s="454"/>
      <c r="ES143" s="454"/>
      <c r="ET143" s="428"/>
      <c r="EU143" s="427"/>
      <c r="EV143" s="454"/>
      <c r="EW143" s="454"/>
      <c r="EX143" s="428"/>
      <c r="EY143" s="427"/>
      <c r="EZ143" s="454"/>
      <c r="FA143" s="454"/>
      <c r="FB143" s="428"/>
      <c r="FC143" s="427"/>
      <c r="FD143" s="454"/>
      <c r="FE143" s="454"/>
      <c r="FF143" s="428"/>
      <c r="FG143" s="427"/>
      <c r="FH143" s="454"/>
      <c r="FI143" s="454"/>
      <c r="FJ143" s="428"/>
      <c r="FK143" s="427"/>
      <c r="FL143" s="454"/>
      <c r="FM143" s="454"/>
      <c r="FN143" s="428"/>
      <c r="FO143" s="427"/>
      <c r="FP143" s="454"/>
      <c r="FQ143" s="454"/>
      <c r="FR143" s="428"/>
      <c r="FS143" s="427"/>
      <c r="FT143" s="454"/>
      <c r="FU143" s="454"/>
      <c r="FV143" s="428"/>
      <c r="FW143" s="427"/>
      <c r="FX143" s="454"/>
      <c r="FY143" s="454"/>
      <c r="FZ143" s="428"/>
      <c r="GA143" s="427"/>
      <c r="GB143" s="454"/>
      <c r="GC143" s="454"/>
      <c r="GD143" s="428"/>
      <c r="GE143" s="427"/>
      <c r="GF143" s="454"/>
      <c r="GG143" s="454"/>
      <c r="GH143" s="428"/>
      <c r="GI143" s="427"/>
      <c r="GJ143" s="454"/>
      <c r="GK143" s="454"/>
      <c r="GL143" s="428"/>
      <c r="GM143" s="427"/>
      <c r="GN143" s="454"/>
      <c r="GO143" s="454"/>
      <c r="GP143" s="428"/>
      <c r="GQ143" s="427"/>
      <c r="GR143" s="454"/>
      <c r="GS143" s="454"/>
      <c r="GT143" s="428"/>
      <c r="GU143" s="427"/>
      <c r="GV143" s="454"/>
      <c r="GW143" s="454"/>
      <c r="GX143" s="428"/>
      <c r="GY143" s="427"/>
      <c r="GZ143" s="454"/>
      <c r="HA143" s="454"/>
      <c r="HB143" s="428"/>
      <c r="HC143" s="434">
        <f t="shared" si="75"/>
        <v>0</v>
      </c>
      <c r="HD143" s="456"/>
      <c r="HE143" s="456"/>
      <c r="HF143" s="433"/>
      <c r="HG143" s="434">
        <f>SUM(SUMIFS(K143:HB143,$K$13:$HB$13,{"エネルギー管理指定工場等*","県域*"}))</f>
        <v>0</v>
      </c>
      <c r="HH143" s="456"/>
      <c r="HI143" s="456"/>
      <c r="HJ143" s="433"/>
    </row>
    <row r="144" spans="1:218" ht="19.8">
      <c r="A144" s="164"/>
      <c r="B144" s="421" t="s">
        <v>1425</v>
      </c>
      <c r="C144" s="422"/>
      <c r="D144" s="422"/>
      <c r="E144" s="422"/>
      <c r="F144" s="422"/>
      <c r="G144" s="422"/>
      <c r="H144" s="453"/>
      <c r="I144" s="425"/>
      <c r="J144" s="426"/>
      <c r="K144" s="427"/>
      <c r="L144" s="454"/>
      <c r="M144" s="454"/>
      <c r="N144" s="428"/>
      <c r="O144" s="427"/>
      <c r="P144" s="454"/>
      <c r="Q144" s="454"/>
      <c r="R144" s="428"/>
      <c r="S144" s="427"/>
      <c r="T144" s="454"/>
      <c r="U144" s="454"/>
      <c r="V144" s="428"/>
      <c r="W144" s="427"/>
      <c r="X144" s="454"/>
      <c r="Y144" s="454"/>
      <c r="Z144" s="428"/>
      <c r="AA144" s="427"/>
      <c r="AB144" s="454"/>
      <c r="AC144" s="454"/>
      <c r="AD144" s="428"/>
      <c r="AE144" s="427"/>
      <c r="AF144" s="454"/>
      <c r="AG144" s="454"/>
      <c r="AH144" s="428"/>
      <c r="AI144" s="427"/>
      <c r="AJ144" s="454"/>
      <c r="AK144" s="454"/>
      <c r="AL144" s="428"/>
      <c r="AM144" s="427"/>
      <c r="AN144" s="454"/>
      <c r="AO144" s="454"/>
      <c r="AP144" s="428"/>
      <c r="AQ144" s="427"/>
      <c r="AR144" s="454"/>
      <c r="AS144" s="454"/>
      <c r="AT144" s="428"/>
      <c r="AU144" s="427"/>
      <c r="AV144" s="454"/>
      <c r="AW144" s="454"/>
      <c r="AX144" s="428"/>
      <c r="AY144" s="427"/>
      <c r="AZ144" s="454"/>
      <c r="BA144" s="454"/>
      <c r="BB144" s="428"/>
      <c r="BC144" s="427"/>
      <c r="BD144" s="454"/>
      <c r="BE144" s="454"/>
      <c r="BF144" s="428"/>
      <c r="BG144" s="427"/>
      <c r="BH144" s="454"/>
      <c r="BI144" s="454"/>
      <c r="BJ144" s="428"/>
      <c r="BK144" s="427"/>
      <c r="BL144" s="454"/>
      <c r="BM144" s="454"/>
      <c r="BN144" s="428"/>
      <c r="BO144" s="427"/>
      <c r="BP144" s="454"/>
      <c r="BQ144" s="454"/>
      <c r="BR144" s="428"/>
      <c r="BS144" s="427"/>
      <c r="BT144" s="454"/>
      <c r="BU144" s="454"/>
      <c r="BV144" s="428"/>
      <c r="BW144" s="427"/>
      <c r="BX144" s="454"/>
      <c r="BY144" s="454"/>
      <c r="BZ144" s="428"/>
      <c r="CA144" s="427"/>
      <c r="CB144" s="454"/>
      <c r="CC144" s="454"/>
      <c r="CD144" s="428"/>
      <c r="CE144" s="427"/>
      <c r="CF144" s="454"/>
      <c r="CG144" s="454"/>
      <c r="CH144" s="428"/>
      <c r="CI144" s="427"/>
      <c r="CJ144" s="454"/>
      <c r="CK144" s="454"/>
      <c r="CL144" s="428"/>
      <c r="CM144" s="427"/>
      <c r="CN144" s="454"/>
      <c r="CO144" s="454"/>
      <c r="CP144" s="428"/>
      <c r="CQ144" s="427"/>
      <c r="CR144" s="454"/>
      <c r="CS144" s="454"/>
      <c r="CT144" s="428"/>
      <c r="CU144" s="427"/>
      <c r="CV144" s="454"/>
      <c r="CW144" s="454"/>
      <c r="CX144" s="428"/>
      <c r="CY144" s="427"/>
      <c r="CZ144" s="454"/>
      <c r="DA144" s="454"/>
      <c r="DB144" s="428"/>
      <c r="DC144" s="427"/>
      <c r="DD144" s="454"/>
      <c r="DE144" s="454"/>
      <c r="DF144" s="428"/>
      <c r="DG144" s="427"/>
      <c r="DH144" s="454"/>
      <c r="DI144" s="454"/>
      <c r="DJ144" s="428"/>
      <c r="DK144" s="427"/>
      <c r="DL144" s="454"/>
      <c r="DM144" s="454"/>
      <c r="DN144" s="428"/>
      <c r="DO144" s="427"/>
      <c r="DP144" s="454"/>
      <c r="DQ144" s="454"/>
      <c r="DR144" s="428"/>
      <c r="DS144" s="427"/>
      <c r="DT144" s="454"/>
      <c r="DU144" s="454"/>
      <c r="DV144" s="428"/>
      <c r="DW144" s="427"/>
      <c r="DX144" s="454"/>
      <c r="DY144" s="454"/>
      <c r="DZ144" s="428"/>
      <c r="EA144" s="427"/>
      <c r="EB144" s="454"/>
      <c r="EC144" s="454"/>
      <c r="ED144" s="428"/>
      <c r="EE144" s="427"/>
      <c r="EF144" s="454"/>
      <c r="EG144" s="454"/>
      <c r="EH144" s="428"/>
      <c r="EI144" s="427"/>
      <c r="EJ144" s="454"/>
      <c r="EK144" s="454"/>
      <c r="EL144" s="428"/>
      <c r="EM144" s="427"/>
      <c r="EN144" s="454"/>
      <c r="EO144" s="454"/>
      <c r="EP144" s="428"/>
      <c r="EQ144" s="427"/>
      <c r="ER144" s="454"/>
      <c r="ES144" s="454"/>
      <c r="ET144" s="428"/>
      <c r="EU144" s="427"/>
      <c r="EV144" s="454"/>
      <c r="EW144" s="454"/>
      <c r="EX144" s="428"/>
      <c r="EY144" s="427"/>
      <c r="EZ144" s="454"/>
      <c r="FA144" s="454"/>
      <c r="FB144" s="428"/>
      <c r="FC144" s="427"/>
      <c r="FD144" s="454"/>
      <c r="FE144" s="454"/>
      <c r="FF144" s="428"/>
      <c r="FG144" s="427"/>
      <c r="FH144" s="454"/>
      <c r="FI144" s="454"/>
      <c r="FJ144" s="428"/>
      <c r="FK144" s="427"/>
      <c r="FL144" s="454"/>
      <c r="FM144" s="454"/>
      <c r="FN144" s="428"/>
      <c r="FO144" s="427"/>
      <c r="FP144" s="454"/>
      <c r="FQ144" s="454"/>
      <c r="FR144" s="428"/>
      <c r="FS144" s="427"/>
      <c r="FT144" s="454"/>
      <c r="FU144" s="454"/>
      <c r="FV144" s="428"/>
      <c r="FW144" s="427"/>
      <c r="FX144" s="454"/>
      <c r="FY144" s="454"/>
      <c r="FZ144" s="428"/>
      <c r="GA144" s="427"/>
      <c r="GB144" s="454"/>
      <c r="GC144" s="454"/>
      <c r="GD144" s="428"/>
      <c r="GE144" s="427"/>
      <c r="GF144" s="454"/>
      <c r="GG144" s="454"/>
      <c r="GH144" s="428"/>
      <c r="GI144" s="427"/>
      <c r="GJ144" s="454"/>
      <c r="GK144" s="454"/>
      <c r="GL144" s="428"/>
      <c r="GM144" s="427"/>
      <c r="GN144" s="454"/>
      <c r="GO144" s="454"/>
      <c r="GP144" s="428"/>
      <c r="GQ144" s="427"/>
      <c r="GR144" s="454"/>
      <c r="GS144" s="454"/>
      <c r="GT144" s="428"/>
      <c r="GU144" s="427"/>
      <c r="GV144" s="454"/>
      <c r="GW144" s="454"/>
      <c r="GX144" s="428"/>
      <c r="GY144" s="427"/>
      <c r="GZ144" s="454"/>
      <c r="HA144" s="454"/>
      <c r="HB144" s="428"/>
      <c r="HC144" s="434">
        <f t="shared" ref="HC144:HC160" si="76">K144+O144+S144+W144+AA144+AE144+AI144+AM144+AQ144+AU144+AY144+BC144+BG144+BK144+BO144+BS144+BW144+CA144+CE144+CI144+CM144+CQ144+CU144+CY144+DC144+DG144+DK144+DO144+DS144+DW144+EA144+EE144+EI144+EM144+EQ144+EU144+EY144+FC144+FG144+FK144+FO144+FS144+FW144+GA144+GE144+GI144+GM144+GQ144+GU144+GY144</f>
        <v>0</v>
      </c>
      <c r="HD144" s="456"/>
      <c r="HE144" s="456"/>
      <c r="HF144" s="433"/>
      <c r="HG144" s="434">
        <f>SUM(SUMIFS(K144:HB144,$K$13:$HB$13,{"エネルギー管理指定工場等*","県域*"}))</f>
        <v>0</v>
      </c>
      <c r="HH144" s="456"/>
      <c r="HI144" s="456"/>
      <c r="HJ144" s="433"/>
    </row>
    <row r="145" spans="1:218" ht="19.8">
      <c r="A145" s="164"/>
      <c r="B145" s="421" t="s">
        <v>1426</v>
      </c>
      <c r="C145" s="422"/>
      <c r="D145" s="422"/>
      <c r="E145" s="422"/>
      <c r="F145" s="422"/>
      <c r="G145" s="422"/>
      <c r="H145" s="453"/>
      <c r="I145" s="425"/>
      <c r="J145" s="426"/>
      <c r="K145" s="427"/>
      <c r="L145" s="454"/>
      <c r="M145" s="454"/>
      <c r="N145" s="428"/>
      <c r="O145" s="427"/>
      <c r="P145" s="454"/>
      <c r="Q145" s="454"/>
      <c r="R145" s="428"/>
      <c r="S145" s="427"/>
      <c r="T145" s="454"/>
      <c r="U145" s="454"/>
      <c r="V145" s="428"/>
      <c r="W145" s="427"/>
      <c r="X145" s="454"/>
      <c r="Y145" s="454"/>
      <c r="Z145" s="428"/>
      <c r="AA145" s="427"/>
      <c r="AB145" s="454"/>
      <c r="AC145" s="454"/>
      <c r="AD145" s="428"/>
      <c r="AE145" s="427"/>
      <c r="AF145" s="454"/>
      <c r="AG145" s="454"/>
      <c r="AH145" s="428"/>
      <c r="AI145" s="427"/>
      <c r="AJ145" s="454"/>
      <c r="AK145" s="454"/>
      <c r="AL145" s="428"/>
      <c r="AM145" s="427"/>
      <c r="AN145" s="454"/>
      <c r="AO145" s="454"/>
      <c r="AP145" s="428"/>
      <c r="AQ145" s="427"/>
      <c r="AR145" s="454"/>
      <c r="AS145" s="454"/>
      <c r="AT145" s="428"/>
      <c r="AU145" s="427"/>
      <c r="AV145" s="454"/>
      <c r="AW145" s="454"/>
      <c r="AX145" s="428"/>
      <c r="AY145" s="427"/>
      <c r="AZ145" s="454"/>
      <c r="BA145" s="454"/>
      <c r="BB145" s="428"/>
      <c r="BC145" s="427"/>
      <c r="BD145" s="454"/>
      <c r="BE145" s="454"/>
      <c r="BF145" s="428"/>
      <c r="BG145" s="427"/>
      <c r="BH145" s="454"/>
      <c r="BI145" s="454"/>
      <c r="BJ145" s="428"/>
      <c r="BK145" s="427"/>
      <c r="BL145" s="454"/>
      <c r="BM145" s="454"/>
      <c r="BN145" s="428"/>
      <c r="BO145" s="427"/>
      <c r="BP145" s="454"/>
      <c r="BQ145" s="454"/>
      <c r="BR145" s="428"/>
      <c r="BS145" s="427"/>
      <c r="BT145" s="454"/>
      <c r="BU145" s="454"/>
      <c r="BV145" s="428"/>
      <c r="BW145" s="427"/>
      <c r="BX145" s="454"/>
      <c r="BY145" s="454"/>
      <c r="BZ145" s="428"/>
      <c r="CA145" s="427"/>
      <c r="CB145" s="454"/>
      <c r="CC145" s="454"/>
      <c r="CD145" s="428"/>
      <c r="CE145" s="427"/>
      <c r="CF145" s="454"/>
      <c r="CG145" s="454"/>
      <c r="CH145" s="428"/>
      <c r="CI145" s="427"/>
      <c r="CJ145" s="454"/>
      <c r="CK145" s="454"/>
      <c r="CL145" s="428"/>
      <c r="CM145" s="427"/>
      <c r="CN145" s="454"/>
      <c r="CO145" s="454"/>
      <c r="CP145" s="428"/>
      <c r="CQ145" s="427"/>
      <c r="CR145" s="454"/>
      <c r="CS145" s="454"/>
      <c r="CT145" s="428"/>
      <c r="CU145" s="427"/>
      <c r="CV145" s="454"/>
      <c r="CW145" s="454"/>
      <c r="CX145" s="428"/>
      <c r="CY145" s="427"/>
      <c r="CZ145" s="454"/>
      <c r="DA145" s="454"/>
      <c r="DB145" s="428"/>
      <c r="DC145" s="427"/>
      <c r="DD145" s="454"/>
      <c r="DE145" s="454"/>
      <c r="DF145" s="428"/>
      <c r="DG145" s="427"/>
      <c r="DH145" s="454"/>
      <c r="DI145" s="454"/>
      <c r="DJ145" s="428"/>
      <c r="DK145" s="427"/>
      <c r="DL145" s="454"/>
      <c r="DM145" s="454"/>
      <c r="DN145" s="428"/>
      <c r="DO145" s="427"/>
      <c r="DP145" s="454"/>
      <c r="DQ145" s="454"/>
      <c r="DR145" s="428"/>
      <c r="DS145" s="427"/>
      <c r="DT145" s="454"/>
      <c r="DU145" s="454"/>
      <c r="DV145" s="428"/>
      <c r="DW145" s="427"/>
      <c r="DX145" s="454"/>
      <c r="DY145" s="454"/>
      <c r="DZ145" s="428"/>
      <c r="EA145" s="427"/>
      <c r="EB145" s="454"/>
      <c r="EC145" s="454"/>
      <c r="ED145" s="428"/>
      <c r="EE145" s="427"/>
      <c r="EF145" s="454"/>
      <c r="EG145" s="454"/>
      <c r="EH145" s="428"/>
      <c r="EI145" s="427"/>
      <c r="EJ145" s="454"/>
      <c r="EK145" s="454"/>
      <c r="EL145" s="428"/>
      <c r="EM145" s="427"/>
      <c r="EN145" s="454"/>
      <c r="EO145" s="454"/>
      <c r="EP145" s="428"/>
      <c r="EQ145" s="427"/>
      <c r="ER145" s="454"/>
      <c r="ES145" s="454"/>
      <c r="ET145" s="428"/>
      <c r="EU145" s="427"/>
      <c r="EV145" s="454"/>
      <c r="EW145" s="454"/>
      <c r="EX145" s="428"/>
      <c r="EY145" s="427"/>
      <c r="EZ145" s="454"/>
      <c r="FA145" s="454"/>
      <c r="FB145" s="428"/>
      <c r="FC145" s="427"/>
      <c r="FD145" s="454"/>
      <c r="FE145" s="454"/>
      <c r="FF145" s="428"/>
      <c r="FG145" s="427"/>
      <c r="FH145" s="454"/>
      <c r="FI145" s="454"/>
      <c r="FJ145" s="428"/>
      <c r="FK145" s="427"/>
      <c r="FL145" s="454"/>
      <c r="FM145" s="454"/>
      <c r="FN145" s="428"/>
      <c r="FO145" s="427"/>
      <c r="FP145" s="454"/>
      <c r="FQ145" s="454"/>
      <c r="FR145" s="428"/>
      <c r="FS145" s="427"/>
      <c r="FT145" s="454"/>
      <c r="FU145" s="454"/>
      <c r="FV145" s="428"/>
      <c r="FW145" s="427"/>
      <c r="FX145" s="454"/>
      <c r="FY145" s="454"/>
      <c r="FZ145" s="428"/>
      <c r="GA145" s="427"/>
      <c r="GB145" s="454"/>
      <c r="GC145" s="454"/>
      <c r="GD145" s="428"/>
      <c r="GE145" s="427"/>
      <c r="GF145" s="454"/>
      <c r="GG145" s="454"/>
      <c r="GH145" s="428"/>
      <c r="GI145" s="427"/>
      <c r="GJ145" s="454"/>
      <c r="GK145" s="454"/>
      <c r="GL145" s="428"/>
      <c r="GM145" s="427"/>
      <c r="GN145" s="454"/>
      <c r="GO145" s="454"/>
      <c r="GP145" s="428"/>
      <c r="GQ145" s="427"/>
      <c r="GR145" s="454"/>
      <c r="GS145" s="454"/>
      <c r="GT145" s="428"/>
      <c r="GU145" s="427"/>
      <c r="GV145" s="454"/>
      <c r="GW145" s="454"/>
      <c r="GX145" s="428"/>
      <c r="GY145" s="427"/>
      <c r="GZ145" s="454"/>
      <c r="HA145" s="454"/>
      <c r="HB145" s="428"/>
      <c r="HC145" s="434">
        <f t="shared" si="76"/>
        <v>0</v>
      </c>
      <c r="HD145" s="456"/>
      <c r="HE145" s="456"/>
      <c r="HF145" s="433"/>
      <c r="HG145" s="434">
        <f>SUM(SUMIFS(K145:HB145,$K$13:$HB$13,{"エネルギー管理指定工場等*","県域*"}))</f>
        <v>0</v>
      </c>
      <c r="HH145" s="456"/>
      <c r="HI145" s="456"/>
      <c r="HJ145" s="433"/>
    </row>
    <row r="146" spans="1:218" ht="19.8">
      <c r="A146" s="164"/>
      <c r="B146" s="421" t="s">
        <v>1427</v>
      </c>
      <c r="C146" s="422"/>
      <c r="D146" s="422"/>
      <c r="E146" s="422"/>
      <c r="F146" s="422"/>
      <c r="G146" s="422"/>
      <c r="H146" s="453"/>
      <c r="I146" s="425"/>
      <c r="J146" s="426"/>
      <c r="K146" s="427"/>
      <c r="L146" s="454"/>
      <c r="M146" s="454"/>
      <c r="N146" s="428"/>
      <c r="O146" s="427"/>
      <c r="P146" s="454"/>
      <c r="Q146" s="454"/>
      <c r="R146" s="428"/>
      <c r="S146" s="427"/>
      <c r="T146" s="454"/>
      <c r="U146" s="454"/>
      <c r="V146" s="428"/>
      <c r="W146" s="427"/>
      <c r="X146" s="454"/>
      <c r="Y146" s="454"/>
      <c r="Z146" s="428"/>
      <c r="AA146" s="427"/>
      <c r="AB146" s="454"/>
      <c r="AC146" s="454"/>
      <c r="AD146" s="428"/>
      <c r="AE146" s="427"/>
      <c r="AF146" s="454"/>
      <c r="AG146" s="454"/>
      <c r="AH146" s="428"/>
      <c r="AI146" s="427"/>
      <c r="AJ146" s="454"/>
      <c r="AK146" s="454"/>
      <c r="AL146" s="428"/>
      <c r="AM146" s="427"/>
      <c r="AN146" s="454"/>
      <c r="AO146" s="454"/>
      <c r="AP146" s="428"/>
      <c r="AQ146" s="427"/>
      <c r="AR146" s="454"/>
      <c r="AS146" s="454"/>
      <c r="AT146" s="428"/>
      <c r="AU146" s="427"/>
      <c r="AV146" s="454"/>
      <c r="AW146" s="454"/>
      <c r="AX146" s="428"/>
      <c r="AY146" s="427"/>
      <c r="AZ146" s="454"/>
      <c r="BA146" s="454"/>
      <c r="BB146" s="428"/>
      <c r="BC146" s="427"/>
      <c r="BD146" s="454"/>
      <c r="BE146" s="454"/>
      <c r="BF146" s="428"/>
      <c r="BG146" s="427"/>
      <c r="BH146" s="454"/>
      <c r="BI146" s="454"/>
      <c r="BJ146" s="428"/>
      <c r="BK146" s="427"/>
      <c r="BL146" s="454"/>
      <c r="BM146" s="454"/>
      <c r="BN146" s="428"/>
      <c r="BO146" s="427"/>
      <c r="BP146" s="454"/>
      <c r="BQ146" s="454"/>
      <c r="BR146" s="428"/>
      <c r="BS146" s="427"/>
      <c r="BT146" s="454"/>
      <c r="BU146" s="454"/>
      <c r="BV146" s="428"/>
      <c r="BW146" s="427"/>
      <c r="BX146" s="454"/>
      <c r="BY146" s="454"/>
      <c r="BZ146" s="428"/>
      <c r="CA146" s="427"/>
      <c r="CB146" s="454"/>
      <c r="CC146" s="454"/>
      <c r="CD146" s="428"/>
      <c r="CE146" s="427"/>
      <c r="CF146" s="454"/>
      <c r="CG146" s="454"/>
      <c r="CH146" s="428"/>
      <c r="CI146" s="427"/>
      <c r="CJ146" s="454"/>
      <c r="CK146" s="454"/>
      <c r="CL146" s="428"/>
      <c r="CM146" s="427"/>
      <c r="CN146" s="454"/>
      <c r="CO146" s="454"/>
      <c r="CP146" s="428"/>
      <c r="CQ146" s="427"/>
      <c r="CR146" s="454"/>
      <c r="CS146" s="454"/>
      <c r="CT146" s="428"/>
      <c r="CU146" s="427"/>
      <c r="CV146" s="454"/>
      <c r="CW146" s="454"/>
      <c r="CX146" s="428"/>
      <c r="CY146" s="427"/>
      <c r="CZ146" s="454"/>
      <c r="DA146" s="454"/>
      <c r="DB146" s="428"/>
      <c r="DC146" s="427"/>
      <c r="DD146" s="454"/>
      <c r="DE146" s="454"/>
      <c r="DF146" s="428"/>
      <c r="DG146" s="427"/>
      <c r="DH146" s="454"/>
      <c r="DI146" s="454"/>
      <c r="DJ146" s="428"/>
      <c r="DK146" s="427"/>
      <c r="DL146" s="454"/>
      <c r="DM146" s="454"/>
      <c r="DN146" s="428"/>
      <c r="DO146" s="427"/>
      <c r="DP146" s="454"/>
      <c r="DQ146" s="454"/>
      <c r="DR146" s="428"/>
      <c r="DS146" s="427"/>
      <c r="DT146" s="454"/>
      <c r="DU146" s="454"/>
      <c r="DV146" s="428"/>
      <c r="DW146" s="427"/>
      <c r="DX146" s="454"/>
      <c r="DY146" s="454"/>
      <c r="DZ146" s="428"/>
      <c r="EA146" s="427"/>
      <c r="EB146" s="454"/>
      <c r="EC146" s="454"/>
      <c r="ED146" s="428"/>
      <c r="EE146" s="427"/>
      <c r="EF146" s="454"/>
      <c r="EG146" s="454"/>
      <c r="EH146" s="428"/>
      <c r="EI146" s="427"/>
      <c r="EJ146" s="454"/>
      <c r="EK146" s="454"/>
      <c r="EL146" s="428"/>
      <c r="EM146" s="427"/>
      <c r="EN146" s="454"/>
      <c r="EO146" s="454"/>
      <c r="EP146" s="428"/>
      <c r="EQ146" s="427"/>
      <c r="ER146" s="454"/>
      <c r="ES146" s="454"/>
      <c r="ET146" s="428"/>
      <c r="EU146" s="427"/>
      <c r="EV146" s="454"/>
      <c r="EW146" s="454"/>
      <c r="EX146" s="428"/>
      <c r="EY146" s="427"/>
      <c r="EZ146" s="454"/>
      <c r="FA146" s="454"/>
      <c r="FB146" s="428"/>
      <c r="FC146" s="427"/>
      <c r="FD146" s="454"/>
      <c r="FE146" s="454"/>
      <c r="FF146" s="428"/>
      <c r="FG146" s="427"/>
      <c r="FH146" s="454"/>
      <c r="FI146" s="454"/>
      <c r="FJ146" s="428"/>
      <c r="FK146" s="427"/>
      <c r="FL146" s="454"/>
      <c r="FM146" s="454"/>
      <c r="FN146" s="428"/>
      <c r="FO146" s="427"/>
      <c r="FP146" s="454"/>
      <c r="FQ146" s="454"/>
      <c r="FR146" s="428"/>
      <c r="FS146" s="427"/>
      <c r="FT146" s="454"/>
      <c r="FU146" s="454"/>
      <c r="FV146" s="428"/>
      <c r="FW146" s="427"/>
      <c r="FX146" s="454"/>
      <c r="FY146" s="454"/>
      <c r="FZ146" s="428"/>
      <c r="GA146" s="427"/>
      <c r="GB146" s="454"/>
      <c r="GC146" s="454"/>
      <c r="GD146" s="428"/>
      <c r="GE146" s="427"/>
      <c r="GF146" s="454"/>
      <c r="GG146" s="454"/>
      <c r="GH146" s="428"/>
      <c r="GI146" s="427"/>
      <c r="GJ146" s="454"/>
      <c r="GK146" s="454"/>
      <c r="GL146" s="428"/>
      <c r="GM146" s="427"/>
      <c r="GN146" s="454"/>
      <c r="GO146" s="454"/>
      <c r="GP146" s="428"/>
      <c r="GQ146" s="427"/>
      <c r="GR146" s="454"/>
      <c r="GS146" s="454"/>
      <c r="GT146" s="428"/>
      <c r="GU146" s="427"/>
      <c r="GV146" s="454"/>
      <c r="GW146" s="454"/>
      <c r="GX146" s="428"/>
      <c r="GY146" s="427"/>
      <c r="GZ146" s="454"/>
      <c r="HA146" s="454"/>
      <c r="HB146" s="428"/>
      <c r="HC146" s="434">
        <f t="shared" si="76"/>
        <v>0</v>
      </c>
      <c r="HD146" s="456"/>
      <c r="HE146" s="456"/>
      <c r="HF146" s="433"/>
      <c r="HG146" s="434">
        <f>SUM(SUMIFS(K146:HB146,$K$13:$HB$13,{"エネルギー管理指定工場等*","県域*"}))</f>
        <v>0</v>
      </c>
      <c r="HH146" s="456"/>
      <c r="HI146" s="456"/>
      <c r="HJ146" s="433"/>
    </row>
    <row r="147" spans="1:218" ht="19.8">
      <c r="A147" s="164"/>
      <c r="B147" s="421" t="s">
        <v>1428</v>
      </c>
      <c r="C147" s="422"/>
      <c r="D147" s="422"/>
      <c r="E147" s="422"/>
      <c r="F147" s="422"/>
      <c r="G147" s="422"/>
      <c r="H147" s="453"/>
      <c r="I147" s="425"/>
      <c r="J147" s="426"/>
      <c r="K147" s="427"/>
      <c r="L147" s="454"/>
      <c r="M147" s="454"/>
      <c r="N147" s="428"/>
      <c r="O147" s="427"/>
      <c r="P147" s="454"/>
      <c r="Q147" s="454"/>
      <c r="R147" s="428"/>
      <c r="S147" s="427"/>
      <c r="T147" s="454"/>
      <c r="U147" s="454"/>
      <c r="V147" s="428"/>
      <c r="W147" s="427"/>
      <c r="X147" s="454"/>
      <c r="Y147" s="454"/>
      <c r="Z147" s="428"/>
      <c r="AA147" s="427"/>
      <c r="AB147" s="454"/>
      <c r="AC147" s="454"/>
      <c r="AD147" s="428"/>
      <c r="AE147" s="427"/>
      <c r="AF147" s="454"/>
      <c r="AG147" s="454"/>
      <c r="AH147" s="428"/>
      <c r="AI147" s="427"/>
      <c r="AJ147" s="454"/>
      <c r="AK147" s="454"/>
      <c r="AL147" s="428"/>
      <c r="AM147" s="427"/>
      <c r="AN147" s="454"/>
      <c r="AO147" s="454"/>
      <c r="AP147" s="428"/>
      <c r="AQ147" s="427"/>
      <c r="AR147" s="454"/>
      <c r="AS147" s="454"/>
      <c r="AT147" s="428"/>
      <c r="AU147" s="427"/>
      <c r="AV147" s="454"/>
      <c r="AW147" s="454"/>
      <c r="AX147" s="428"/>
      <c r="AY147" s="427"/>
      <c r="AZ147" s="454"/>
      <c r="BA147" s="454"/>
      <c r="BB147" s="428"/>
      <c r="BC147" s="427"/>
      <c r="BD147" s="454"/>
      <c r="BE147" s="454"/>
      <c r="BF147" s="428"/>
      <c r="BG147" s="427"/>
      <c r="BH147" s="454"/>
      <c r="BI147" s="454"/>
      <c r="BJ147" s="428"/>
      <c r="BK147" s="427"/>
      <c r="BL147" s="454"/>
      <c r="BM147" s="454"/>
      <c r="BN147" s="428"/>
      <c r="BO147" s="427"/>
      <c r="BP147" s="454"/>
      <c r="BQ147" s="454"/>
      <c r="BR147" s="428"/>
      <c r="BS147" s="427"/>
      <c r="BT147" s="454"/>
      <c r="BU147" s="454"/>
      <c r="BV147" s="428"/>
      <c r="BW147" s="427"/>
      <c r="BX147" s="454"/>
      <c r="BY147" s="454"/>
      <c r="BZ147" s="428"/>
      <c r="CA147" s="427"/>
      <c r="CB147" s="454"/>
      <c r="CC147" s="454"/>
      <c r="CD147" s="428"/>
      <c r="CE147" s="427"/>
      <c r="CF147" s="454"/>
      <c r="CG147" s="454"/>
      <c r="CH147" s="428"/>
      <c r="CI147" s="427"/>
      <c r="CJ147" s="454"/>
      <c r="CK147" s="454"/>
      <c r="CL147" s="428"/>
      <c r="CM147" s="427"/>
      <c r="CN147" s="454"/>
      <c r="CO147" s="454"/>
      <c r="CP147" s="428"/>
      <c r="CQ147" s="427"/>
      <c r="CR147" s="454"/>
      <c r="CS147" s="454"/>
      <c r="CT147" s="428"/>
      <c r="CU147" s="427"/>
      <c r="CV147" s="454"/>
      <c r="CW147" s="454"/>
      <c r="CX147" s="428"/>
      <c r="CY147" s="427"/>
      <c r="CZ147" s="454"/>
      <c r="DA147" s="454"/>
      <c r="DB147" s="428"/>
      <c r="DC147" s="427"/>
      <c r="DD147" s="454"/>
      <c r="DE147" s="454"/>
      <c r="DF147" s="428"/>
      <c r="DG147" s="427"/>
      <c r="DH147" s="454"/>
      <c r="DI147" s="454"/>
      <c r="DJ147" s="428"/>
      <c r="DK147" s="427"/>
      <c r="DL147" s="454"/>
      <c r="DM147" s="454"/>
      <c r="DN147" s="428"/>
      <c r="DO147" s="427"/>
      <c r="DP147" s="454"/>
      <c r="DQ147" s="454"/>
      <c r="DR147" s="428"/>
      <c r="DS147" s="427"/>
      <c r="DT147" s="454"/>
      <c r="DU147" s="454"/>
      <c r="DV147" s="428"/>
      <c r="DW147" s="427"/>
      <c r="DX147" s="454"/>
      <c r="DY147" s="454"/>
      <c r="DZ147" s="428"/>
      <c r="EA147" s="427"/>
      <c r="EB147" s="454"/>
      <c r="EC147" s="454"/>
      <c r="ED147" s="428"/>
      <c r="EE147" s="427"/>
      <c r="EF147" s="454"/>
      <c r="EG147" s="454"/>
      <c r="EH147" s="428"/>
      <c r="EI147" s="427"/>
      <c r="EJ147" s="454"/>
      <c r="EK147" s="454"/>
      <c r="EL147" s="428"/>
      <c r="EM147" s="427"/>
      <c r="EN147" s="454"/>
      <c r="EO147" s="454"/>
      <c r="EP147" s="428"/>
      <c r="EQ147" s="427"/>
      <c r="ER147" s="454"/>
      <c r="ES147" s="454"/>
      <c r="ET147" s="428"/>
      <c r="EU147" s="427"/>
      <c r="EV147" s="454"/>
      <c r="EW147" s="454"/>
      <c r="EX147" s="428"/>
      <c r="EY147" s="427"/>
      <c r="EZ147" s="454"/>
      <c r="FA147" s="454"/>
      <c r="FB147" s="428"/>
      <c r="FC147" s="427"/>
      <c r="FD147" s="454"/>
      <c r="FE147" s="454"/>
      <c r="FF147" s="428"/>
      <c r="FG147" s="427"/>
      <c r="FH147" s="454"/>
      <c r="FI147" s="454"/>
      <c r="FJ147" s="428"/>
      <c r="FK147" s="427"/>
      <c r="FL147" s="454"/>
      <c r="FM147" s="454"/>
      <c r="FN147" s="428"/>
      <c r="FO147" s="427"/>
      <c r="FP147" s="454"/>
      <c r="FQ147" s="454"/>
      <c r="FR147" s="428"/>
      <c r="FS147" s="427"/>
      <c r="FT147" s="454"/>
      <c r="FU147" s="454"/>
      <c r="FV147" s="428"/>
      <c r="FW147" s="427"/>
      <c r="FX147" s="454"/>
      <c r="FY147" s="454"/>
      <c r="FZ147" s="428"/>
      <c r="GA147" s="427"/>
      <c r="GB147" s="454"/>
      <c r="GC147" s="454"/>
      <c r="GD147" s="428"/>
      <c r="GE147" s="427"/>
      <c r="GF147" s="454"/>
      <c r="GG147" s="454"/>
      <c r="GH147" s="428"/>
      <c r="GI147" s="427"/>
      <c r="GJ147" s="454"/>
      <c r="GK147" s="454"/>
      <c r="GL147" s="428"/>
      <c r="GM147" s="427"/>
      <c r="GN147" s="454"/>
      <c r="GO147" s="454"/>
      <c r="GP147" s="428"/>
      <c r="GQ147" s="427"/>
      <c r="GR147" s="454"/>
      <c r="GS147" s="454"/>
      <c r="GT147" s="428"/>
      <c r="GU147" s="427"/>
      <c r="GV147" s="454"/>
      <c r="GW147" s="454"/>
      <c r="GX147" s="428"/>
      <c r="GY147" s="427"/>
      <c r="GZ147" s="454"/>
      <c r="HA147" s="454"/>
      <c r="HB147" s="428"/>
      <c r="HC147" s="434">
        <f t="shared" si="76"/>
        <v>0</v>
      </c>
      <c r="HD147" s="456"/>
      <c r="HE147" s="456"/>
      <c r="HF147" s="433"/>
      <c r="HG147" s="434">
        <f>SUM(SUMIFS(K147:HB147,$K$13:$HB$13,{"エネルギー管理指定工場等*","県域*"}))</f>
        <v>0</v>
      </c>
      <c r="HH147" s="456"/>
      <c r="HI147" s="456"/>
      <c r="HJ147" s="433"/>
    </row>
    <row r="148" spans="1:218" ht="19.8">
      <c r="A148" s="164"/>
      <c r="B148" s="421" t="s">
        <v>1429</v>
      </c>
      <c r="C148" s="422"/>
      <c r="D148" s="422"/>
      <c r="E148" s="422"/>
      <c r="F148" s="422"/>
      <c r="G148" s="422"/>
      <c r="H148" s="453"/>
      <c r="I148" s="425"/>
      <c r="J148" s="426"/>
      <c r="K148" s="427"/>
      <c r="L148" s="454"/>
      <c r="M148" s="454"/>
      <c r="N148" s="428"/>
      <c r="O148" s="427"/>
      <c r="P148" s="454"/>
      <c r="Q148" s="454"/>
      <c r="R148" s="428"/>
      <c r="S148" s="427"/>
      <c r="T148" s="454"/>
      <c r="U148" s="454"/>
      <c r="V148" s="428"/>
      <c r="W148" s="427"/>
      <c r="X148" s="454"/>
      <c r="Y148" s="454"/>
      <c r="Z148" s="428"/>
      <c r="AA148" s="427"/>
      <c r="AB148" s="454"/>
      <c r="AC148" s="454"/>
      <c r="AD148" s="428"/>
      <c r="AE148" s="427"/>
      <c r="AF148" s="454"/>
      <c r="AG148" s="454"/>
      <c r="AH148" s="428"/>
      <c r="AI148" s="427"/>
      <c r="AJ148" s="454"/>
      <c r="AK148" s="454"/>
      <c r="AL148" s="428"/>
      <c r="AM148" s="427"/>
      <c r="AN148" s="454"/>
      <c r="AO148" s="454"/>
      <c r="AP148" s="428"/>
      <c r="AQ148" s="427"/>
      <c r="AR148" s="454"/>
      <c r="AS148" s="454"/>
      <c r="AT148" s="428"/>
      <c r="AU148" s="427"/>
      <c r="AV148" s="454"/>
      <c r="AW148" s="454"/>
      <c r="AX148" s="428"/>
      <c r="AY148" s="427"/>
      <c r="AZ148" s="454"/>
      <c r="BA148" s="454"/>
      <c r="BB148" s="428"/>
      <c r="BC148" s="427"/>
      <c r="BD148" s="454"/>
      <c r="BE148" s="454"/>
      <c r="BF148" s="428"/>
      <c r="BG148" s="427"/>
      <c r="BH148" s="454"/>
      <c r="BI148" s="454"/>
      <c r="BJ148" s="428"/>
      <c r="BK148" s="427"/>
      <c r="BL148" s="454"/>
      <c r="BM148" s="454"/>
      <c r="BN148" s="428"/>
      <c r="BO148" s="427"/>
      <c r="BP148" s="454"/>
      <c r="BQ148" s="454"/>
      <c r="BR148" s="428"/>
      <c r="BS148" s="427"/>
      <c r="BT148" s="454"/>
      <c r="BU148" s="454"/>
      <c r="BV148" s="428"/>
      <c r="BW148" s="427"/>
      <c r="BX148" s="454"/>
      <c r="BY148" s="454"/>
      <c r="BZ148" s="428"/>
      <c r="CA148" s="427"/>
      <c r="CB148" s="454"/>
      <c r="CC148" s="454"/>
      <c r="CD148" s="428"/>
      <c r="CE148" s="427"/>
      <c r="CF148" s="454"/>
      <c r="CG148" s="454"/>
      <c r="CH148" s="428"/>
      <c r="CI148" s="427"/>
      <c r="CJ148" s="454"/>
      <c r="CK148" s="454"/>
      <c r="CL148" s="428"/>
      <c r="CM148" s="427"/>
      <c r="CN148" s="454"/>
      <c r="CO148" s="454"/>
      <c r="CP148" s="428"/>
      <c r="CQ148" s="427"/>
      <c r="CR148" s="454"/>
      <c r="CS148" s="454"/>
      <c r="CT148" s="428"/>
      <c r="CU148" s="427"/>
      <c r="CV148" s="454"/>
      <c r="CW148" s="454"/>
      <c r="CX148" s="428"/>
      <c r="CY148" s="427"/>
      <c r="CZ148" s="454"/>
      <c r="DA148" s="454"/>
      <c r="DB148" s="428"/>
      <c r="DC148" s="427"/>
      <c r="DD148" s="454"/>
      <c r="DE148" s="454"/>
      <c r="DF148" s="428"/>
      <c r="DG148" s="427"/>
      <c r="DH148" s="454"/>
      <c r="DI148" s="454"/>
      <c r="DJ148" s="428"/>
      <c r="DK148" s="427"/>
      <c r="DL148" s="454"/>
      <c r="DM148" s="454"/>
      <c r="DN148" s="428"/>
      <c r="DO148" s="427"/>
      <c r="DP148" s="454"/>
      <c r="DQ148" s="454"/>
      <c r="DR148" s="428"/>
      <c r="DS148" s="427"/>
      <c r="DT148" s="454"/>
      <c r="DU148" s="454"/>
      <c r="DV148" s="428"/>
      <c r="DW148" s="427"/>
      <c r="DX148" s="454"/>
      <c r="DY148" s="454"/>
      <c r="DZ148" s="428"/>
      <c r="EA148" s="427"/>
      <c r="EB148" s="454"/>
      <c r="EC148" s="454"/>
      <c r="ED148" s="428"/>
      <c r="EE148" s="427"/>
      <c r="EF148" s="454"/>
      <c r="EG148" s="454"/>
      <c r="EH148" s="428"/>
      <c r="EI148" s="427"/>
      <c r="EJ148" s="454"/>
      <c r="EK148" s="454"/>
      <c r="EL148" s="428"/>
      <c r="EM148" s="427"/>
      <c r="EN148" s="454"/>
      <c r="EO148" s="454"/>
      <c r="EP148" s="428"/>
      <c r="EQ148" s="427"/>
      <c r="ER148" s="454"/>
      <c r="ES148" s="454"/>
      <c r="ET148" s="428"/>
      <c r="EU148" s="427"/>
      <c r="EV148" s="454"/>
      <c r="EW148" s="454"/>
      <c r="EX148" s="428"/>
      <c r="EY148" s="427"/>
      <c r="EZ148" s="454"/>
      <c r="FA148" s="454"/>
      <c r="FB148" s="428"/>
      <c r="FC148" s="427"/>
      <c r="FD148" s="454"/>
      <c r="FE148" s="454"/>
      <c r="FF148" s="428"/>
      <c r="FG148" s="427"/>
      <c r="FH148" s="454"/>
      <c r="FI148" s="454"/>
      <c r="FJ148" s="428"/>
      <c r="FK148" s="427"/>
      <c r="FL148" s="454"/>
      <c r="FM148" s="454"/>
      <c r="FN148" s="428"/>
      <c r="FO148" s="427"/>
      <c r="FP148" s="454"/>
      <c r="FQ148" s="454"/>
      <c r="FR148" s="428"/>
      <c r="FS148" s="427"/>
      <c r="FT148" s="454"/>
      <c r="FU148" s="454"/>
      <c r="FV148" s="428"/>
      <c r="FW148" s="427"/>
      <c r="FX148" s="454"/>
      <c r="FY148" s="454"/>
      <c r="FZ148" s="428"/>
      <c r="GA148" s="427"/>
      <c r="GB148" s="454"/>
      <c r="GC148" s="454"/>
      <c r="GD148" s="428"/>
      <c r="GE148" s="427"/>
      <c r="GF148" s="454"/>
      <c r="GG148" s="454"/>
      <c r="GH148" s="428"/>
      <c r="GI148" s="427"/>
      <c r="GJ148" s="454"/>
      <c r="GK148" s="454"/>
      <c r="GL148" s="428"/>
      <c r="GM148" s="427"/>
      <c r="GN148" s="454"/>
      <c r="GO148" s="454"/>
      <c r="GP148" s="428"/>
      <c r="GQ148" s="427"/>
      <c r="GR148" s="454"/>
      <c r="GS148" s="454"/>
      <c r="GT148" s="428"/>
      <c r="GU148" s="427"/>
      <c r="GV148" s="454"/>
      <c r="GW148" s="454"/>
      <c r="GX148" s="428"/>
      <c r="GY148" s="427"/>
      <c r="GZ148" s="454"/>
      <c r="HA148" s="454"/>
      <c r="HB148" s="428"/>
      <c r="HC148" s="434">
        <f t="shared" si="76"/>
        <v>0</v>
      </c>
      <c r="HD148" s="456"/>
      <c r="HE148" s="456"/>
      <c r="HF148" s="433"/>
      <c r="HG148" s="434">
        <f>SUM(SUMIFS(K148:HB148,$K$13:$HB$13,{"エネルギー管理指定工場等*","県域*"}))</f>
        <v>0</v>
      </c>
      <c r="HH148" s="456"/>
      <c r="HI148" s="456"/>
      <c r="HJ148" s="433"/>
    </row>
    <row r="149" spans="1:218" ht="19.8">
      <c r="A149" s="164"/>
      <c r="B149" s="421" t="s">
        <v>1430</v>
      </c>
      <c r="C149" s="422"/>
      <c r="D149" s="422"/>
      <c r="E149" s="422"/>
      <c r="F149" s="422"/>
      <c r="G149" s="422"/>
      <c r="H149" s="453"/>
      <c r="I149" s="425"/>
      <c r="J149" s="426"/>
      <c r="K149" s="427"/>
      <c r="L149" s="454"/>
      <c r="M149" s="454"/>
      <c r="N149" s="428"/>
      <c r="O149" s="427"/>
      <c r="P149" s="454"/>
      <c r="Q149" s="454"/>
      <c r="R149" s="428"/>
      <c r="S149" s="427"/>
      <c r="T149" s="454"/>
      <c r="U149" s="454"/>
      <c r="V149" s="428"/>
      <c r="W149" s="427"/>
      <c r="X149" s="454"/>
      <c r="Y149" s="454"/>
      <c r="Z149" s="428"/>
      <c r="AA149" s="427"/>
      <c r="AB149" s="454"/>
      <c r="AC149" s="454"/>
      <c r="AD149" s="428"/>
      <c r="AE149" s="427"/>
      <c r="AF149" s="454"/>
      <c r="AG149" s="454"/>
      <c r="AH149" s="428"/>
      <c r="AI149" s="427"/>
      <c r="AJ149" s="454"/>
      <c r="AK149" s="454"/>
      <c r="AL149" s="428"/>
      <c r="AM149" s="427"/>
      <c r="AN149" s="454"/>
      <c r="AO149" s="454"/>
      <c r="AP149" s="428"/>
      <c r="AQ149" s="427"/>
      <c r="AR149" s="454"/>
      <c r="AS149" s="454"/>
      <c r="AT149" s="428"/>
      <c r="AU149" s="427"/>
      <c r="AV149" s="454"/>
      <c r="AW149" s="454"/>
      <c r="AX149" s="428"/>
      <c r="AY149" s="427"/>
      <c r="AZ149" s="454"/>
      <c r="BA149" s="454"/>
      <c r="BB149" s="428"/>
      <c r="BC149" s="427"/>
      <c r="BD149" s="454"/>
      <c r="BE149" s="454"/>
      <c r="BF149" s="428"/>
      <c r="BG149" s="427"/>
      <c r="BH149" s="454"/>
      <c r="BI149" s="454"/>
      <c r="BJ149" s="428"/>
      <c r="BK149" s="427"/>
      <c r="BL149" s="454"/>
      <c r="BM149" s="454"/>
      <c r="BN149" s="428"/>
      <c r="BO149" s="427"/>
      <c r="BP149" s="454"/>
      <c r="BQ149" s="454"/>
      <c r="BR149" s="428"/>
      <c r="BS149" s="427"/>
      <c r="BT149" s="454"/>
      <c r="BU149" s="454"/>
      <c r="BV149" s="428"/>
      <c r="BW149" s="427"/>
      <c r="BX149" s="454"/>
      <c r="BY149" s="454"/>
      <c r="BZ149" s="428"/>
      <c r="CA149" s="427"/>
      <c r="CB149" s="454"/>
      <c r="CC149" s="454"/>
      <c r="CD149" s="428"/>
      <c r="CE149" s="427"/>
      <c r="CF149" s="454"/>
      <c r="CG149" s="454"/>
      <c r="CH149" s="428"/>
      <c r="CI149" s="427"/>
      <c r="CJ149" s="454"/>
      <c r="CK149" s="454"/>
      <c r="CL149" s="428"/>
      <c r="CM149" s="427"/>
      <c r="CN149" s="454"/>
      <c r="CO149" s="454"/>
      <c r="CP149" s="428"/>
      <c r="CQ149" s="427"/>
      <c r="CR149" s="454"/>
      <c r="CS149" s="454"/>
      <c r="CT149" s="428"/>
      <c r="CU149" s="427"/>
      <c r="CV149" s="454"/>
      <c r="CW149" s="454"/>
      <c r="CX149" s="428"/>
      <c r="CY149" s="427"/>
      <c r="CZ149" s="454"/>
      <c r="DA149" s="454"/>
      <c r="DB149" s="428"/>
      <c r="DC149" s="427"/>
      <c r="DD149" s="454"/>
      <c r="DE149" s="454"/>
      <c r="DF149" s="428"/>
      <c r="DG149" s="427"/>
      <c r="DH149" s="454"/>
      <c r="DI149" s="454"/>
      <c r="DJ149" s="428"/>
      <c r="DK149" s="427"/>
      <c r="DL149" s="454"/>
      <c r="DM149" s="454"/>
      <c r="DN149" s="428"/>
      <c r="DO149" s="427"/>
      <c r="DP149" s="454"/>
      <c r="DQ149" s="454"/>
      <c r="DR149" s="428"/>
      <c r="DS149" s="427"/>
      <c r="DT149" s="454"/>
      <c r="DU149" s="454"/>
      <c r="DV149" s="428"/>
      <c r="DW149" s="427"/>
      <c r="DX149" s="454"/>
      <c r="DY149" s="454"/>
      <c r="DZ149" s="428"/>
      <c r="EA149" s="427"/>
      <c r="EB149" s="454"/>
      <c r="EC149" s="454"/>
      <c r="ED149" s="428"/>
      <c r="EE149" s="427"/>
      <c r="EF149" s="454"/>
      <c r="EG149" s="454"/>
      <c r="EH149" s="428"/>
      <c r="EI149" s="427"/>
      <c r="EJ149" s="454"/>
      <c r="EK149" s="454"/>
      <c r="EL149" s="428"/>
      <c r="EM149" s="427"/>
      <c r="EN149" s="454"/>
      <c r="EO149" s="454"/>
      <c r="EP149" s="428"/>
      <c r="EQ149" s="427"/>
      <c r="ER149" s="454"/>
      <c r="ES149" s="454"/>
      <c r="ET149" s="428"/>
      <c r="EU149" s="427"/>
      <c r="EV149" s="454"/>
      <c r="EW149" s="454"/>
      <c r="EX149" s="428"/>
      <c r="EY149" s="427"/>
      <c r="EZ149" s="454"/>
      <c r="FA149" s="454"/>
      <c r="FB149" s="428"/>
      <c r="FC149" s="427"/>
      <c r="FD149" s="454"/>
      <c r="FE149" s="454"/>
      <c r="FF149" s="428"/>
      <c r="FG149" s="427"/>
      <c r="FH149" s="454"/>
      <c r="FI149" s="454"/>
      <c r="FJ149" s="428"/>
      <c r="FK149" s="427"/>
      <c r="FL149" s="454"/>
      <c r="FM149" s="454"/>
      <c r="FN149" s="428"/>
      <c r="FO149" s="427"/>
      <c r="FP149" s="454"/>
      <c r="FQ149" s="454"/>
      <c r="FR149" s="428"/>
      <c r="FS149" s="427"/>
      <c r="FT149" s="454"/>
      <c r="FU149" s="454"/>
      <c r="FV149" s="428"/>
      <c r="FW149" s="427"/>
      <c r="FX149" s="454"/>
      <c r="FY149" s="454"/>
      <c r="FZ149" s="428"/>
      <c r="GA149" s="427"/>
      <c r="GB149" s="454"/>
      <c r="GC149" s="454"/>
      <c r="GD149" s="428"/>
      <c r="GE149" s="427"/>
      <c r="GF149" s="454"/>
      <c r="GG149" s="454"/>
      <c r="GH149" s="428"/>
      <c r="GI149" s="427"/>
      <c r="GJ149" s="454"/>
      <c r="GK149" s="454"/>
      <c r="GL149" s="428"/>
      <c r="GM149" s="427"/>
      <c r="GN149" s="454"/>
      <c r="GO149" s="454"/>
      <c r="GP149" s="428"/>
      <c r="GQ149" s="427"/>
      <c r="GR149" s="454"/>
      <c r="GS149" s="454"/>
      <c r="GT149" s="428"/>
      <c r="GU149" s="427"/>
      <c r="GV149" s="454"/>
      <c r="GW149" s="454"/>
      <c r="GX149" s="428"/>
      <c r="GY149" s="427"/>
      <c r="GZ149" s="454"/>
      <c r="HA149" s="454"/>
      <c r="HB149" s="428"/>
      <c r="HC149" s="434">
        <f t="shared" si="76"/>
        <v>0</v>
      </c>
      <c r="HD149" s="456"/>
      <c r="HE149" s="456"/>
      <c r="HF149" s="433"/>
      <c r="HG149" s="434">
        <f>SUM(SUMIFS(K149:HB149,$K$13:$HB$13,{"エネルギー管理指定工場等*","県域*"}))</f>
        <v>0</v>
      </c>
      <c r="HH149" s="456"/>
      <c r="HI149" s="456"/>
      <c r="HJ149" s="433"/>
    </row>
    <row r="150" spans="1:218" ht="19.8">
      <c r="A150" s="164"/>
      <c r="B150" s="443" t="s">
        <v>1431</v>
      </c>
      <c r="C150" s="444"/>
      <c r="D150" s="444"/>
      <c r="E150" s="444"/>
      <c r="F150" s="444"/>
      <c r="G150" s="444"/>
      <c r="H150" s="467"/>
      <c r="I150" s="425"/>
      <c r="J150" s="426"/>
      <c r="K150" s="468"/>
      <c r="L150" s="469"/>
      <c r="M150" s="469"/>
      <c r="N150" s="482"/>
      <c r="O150" s="468"/>
      <c r="P150" s="469"/>
      <c r="Q150" s="469"/>
      <c r="R150" s="482"/>
      <c r="S150" s="468"/>
      <c r="T150" s="469"/>
      <c r="U150" s="469"/>
      <c r="V150" s="482"/>
      <c r="W150" s="468"/>
      <c r="X150" s="469"/>
      <c r="Y150" s="469"/>
      <c r="Z150" s="482"/>
      <c r="AA150" s="468"/>
      <c r="AB150" s="469"/>
      <c r="AC150" s="469"/>
      <c r="AD150" s="482"/>
      <c r="AE150" s="468"/>
      <c r="AF150" s="469"/>
      <c r="AG150" s="469"/>
      <c r="AH150" s="482"/>
      <c r="AI150" s="468"/>
      <c r="AJ150" s="469"/>
      <c r="AK150" s="469"/>
      <c r="AL150" s="482"/>
      <c r="AM150" s="468"/>
      <c r="AN150" s="469"/>
      <c r="AO150" s="469"/>
      <c r="AP150" s="482"/>
      <c r="AQ150" s="468"/>
      <c r="AR150" s="469"/>
      <c r="AS150" s="469"/>
      <c r="AT150" s="482"/>
      <c r="AU150" s="468"/>
      <c r="AV150" s="469"/>
      <c r="AW150" s="469"/>
      <c r="AX150" s="482"/>
      <c r="AY150" s="468"/>
      <c r="AZ150" s="469"/>
      <c r="BA150" s="469"/>
      <c r="BB150" s="482"/>
      <c r="BC150" s="468"/>
      <c r="BD150" s="469"/>
      <c r="BE150" s="469"/>
      <c r="BF150" s="482"/>
      <c r="BG150" s="468"/>
      <c r="BH150" s="469"/>
      <c r="BI150" s="469"/>
      <c r="BJ150" s="482"/>
      <c r="BK150" s="468"/>
      <c r="BL150" s="469"/>
      <c r="BM150" s="469"/>
      <c r="BN150" s="482"/>
      <c r="BO150" s="468"/>
      <c r="BP150" s="469"/>
      <c r="BQ150" s="469"/>
      <c r="BR150" s="482"/>
      <c r="BS150" s="468"/>
      <c r="BT150" s="469"/>
      <c r="BU150" s="469"/>
      <c r="BV150" s="482"/>
      <c r="BW150" s="468"/>
      <c r="BX150" s="469"/>
      <c r="BY150" s="469"/>
      <c r="BZ150" s="482"/>
      <c r="CA150" s="468"/>
      <c r="CB150" s="469"/>
      <c r="CC150" s="469"/>
      <c r="CD150" s="482"/>
      <c r="CE150" s="468"/>
      <c r="CF150" s="469"/>
      <c r="CG150" s="469"/>
      <c r="CH150" s="482"/>
      <c r="CI150" s="468"/>
      <c r="CJ150" s="469"/>
      <c r="CK150" s="469"/>
      <c r="CL150" s="482"/>
      <c r="CM150" s="468"/>
      <c r="CN150" s="469"/>
      <c r="CO150" s="469"/>
      <c r="CP150" s="482"/>
      <c r="CQ150" s="468"/>
      <c r="CR150" s="469"/>
      <c r="CS150" s="469"/>
      <c r="CT150" s="482"/>
      <c r="CU150" s="468"/>
      <c r="CV150" s="469"/>
      <c r="CW150" s="469"/>
      <c r="CX150" s="482"/>
      <c r="CY150" s="468"/>
      <c r="CZ150" s="469"/>
      <c r="DA150" s="469"/>
      <c r="DB150" s="482"/>
      <c r="DC150" s="468"/>
      <c r="DD150" s="469"/>
      <c r="DE150" s="469"/>
      <c r="DF150" s="482"/>
      <c r="DG150" s="468"/>
      <c r="DH150" s="469"/>
      <c r="DI150" s="469"/>
      <c r="DJ150" s="482"/>
      <c r="DK150" s="468"/>
      <c r="DL150" s="469"/>
      <c r="DM150" s="469"/>
      <c r="DN150" s="482"/>
      <c r="DO150" s="468"/>
      <c r="DP150" s="469"/>
      <c r="DQ150" s="469"/>
      <c r="DR150" s="482"/>
      <c r="DS150" s="468"/>
      <c r="DT150" s="469"/>
      <c r="DU150" s="469"/>
      <c r="DV150" s="482"/>
      <c r="DW150" s="468"/>
      <c r="DX150" s="469"/>
      <c r="DY150" s="469"/>
      <c r="DZ150" s="482"/>
      <c r="EA150" s="468"/>
      <c r="EB150" s="469"/>
      <c r="EC150" s="469"/>
      <c r="ED150" s="482"/>
      <c r="EE150" s="468"/>
      <c r="EF150" s="469"/>
      <c r="EG150" s="469"/>
      <c r="EH150" s="482"/>
      <c r="EI150" s="468"/>
      <c r="EJ150" s="469"/>
      <c r="EK150" s="469"/>
      <c r="EL150" s="482"/>
      <c r="EM150" s="468"/>
      <c r="EN150" s="469"/>
      <c r="EO150" s="469"/>
      <c r="EP150" s="482"/>
      <c r="EQ150" s="468"/>
      <c r="ER150" s="469"/>
      <c r="ES150" s="469"/>
      <c r="ET150" s="482"/>
      <c r="EU150" s="468"/>
      <c r="EV150" s="469"/>
      <c r="EW150" s="469"/>
      <c r="EX150" s="482"/>
      <c r="EY150" s="468"/>
      <c r="EZ150" s="469"/>
      <c r="FA150" s="469"/>
      <c r="FB150" s="482"/>
      <c r="FC150" s="468"/>
      <c r="FD150" s="469"/>
      <c r="FE150" s="469"/>
      <c r="FF150" s="482"/>
      <c r="FG150" s="468"/>
      <c r="FH150" s="469"/>
      <c r="FI150" s="469"/>
      <c r="FJ150" s="482"/>
      <c r="FK150" s="468"/>
      <c r="FL150" s="469"/>
      <c r="FM150" s="469"/>
      <c r="FN150" s="482"/>
      <c r="FO150" s="468"/>
      <c r="FP150" s="469"/>
      <c r="FQ150" s="469"/>
      <c r="FR150" s="482"/>
      <c r="FS150" s="468"/>
      <c r="FT150" s="469"/>
      <c r="FU150" s="469"/>
      <c r="FV150" s="482"/>
      <c r="FW150" s="468"/>
      <c r="FX150" s="469"/>
      <c r="FY150" s="469"/>
      <c r="FZ150" s="482"/>
      <c r="GA150" s="468"/>
      <c r="GB150" s="469"/>
      <c r="GC150" s="469"/>
      <c r="GD150" s="482"/>
      <c r="GE150" s="468"/>
      <c r="GF150" s="469"/>
      <c r="GG150" s="469"/>
      <c r="GH150" s="482"/>
      <c r="GI150" s="468"/>
      <c r="GJ150" s="469"/>
      <c r="GK150" s="469"/>
      <c r="GL150" s="482"/>
      <c r="GM150" s="468"/>
      <c r="GN150" s="469"/>
      <c r="GO150" s="469"/>
      <c r="GP150" s="482"/>
      <c r="GQ150" s="468"/>
      <c r="GR150" s="469"/>
      <c r="GS150" s="469"/>
      <c r="GT150" s="482"/>
      <c r="GU150" s="468"/>
      <c r="GV150" s="469"/>
      <c r="GW150" s="469"/>
      <c r="GX150" s="482"/>
      <c r="GY150" s="468"/>
      <c r="GZ150" s="469"/>
      <c r="HA150" s="469"/>
      <c r="HB150" s="482"/>
      <c r="HC150" s="446">
        <f t="shared" si="76"/>
        <v>0</v>
      </c>
      <c r="HD150" s="471"/>
      <c r="HE150" s="471"/>
      <c r="HF150" s="448"/>
      <c r="HG150" s="446">
        <f>SUM(SUMIFS(K150:HB150,$K$13:$HB$13,{"エネルギー管理指定工場等*","県域*"}))</f>
        <v>0</v>
      </c>
      <c r="HH150" s="471"/>
      <c r="HI150" s="471"/>
      <c r="HJ150" s="448"/>
    </row>
    <row r="151" spans="1:218" ht="19.8">
      <c r="A151" s="164"/>
      <c r="B151" s="410" t="s">
        <v>1432</v>
      </c>
      <c r="C151" s="411"/>
      <c r="D151" s="411"/>
      <c r="E151" s="411"/>
      <c r="F151" s="411"/>
      <c r="G151" s="411"/>
      <c r="H151" s="436"/>
      <c r="I151" s="425"/>
      <c r="J151" s="426"/>
      <c r="K151" s="416"/>
      <c r="L151" s="449"/>
      <c r="M151" s="449"/>
      <c r="N151" s="417"/>
      <c r="O151" s="416"/>
      <c r="P151" s="449"/>
      <c r="Q151" s="449"/>
      <c r="R151" s="417"/>
      <c r="S151" s="416"/>
      <c r="T151" s="449"/>
      <c r="U151" s="449"/>
      <c r="V151" s="417"/>
      <c r="W151" s="416"/>
      <c r="X151" s="449"/>
      <c r="Y151" s="449"/>
      <c r="Z151" s="417"/>
      <c r="AA151" s="416"/>
      <c r="AB151" s="449"/>
      <c r="AC151" s="449"/>
      <c r="AD151" s="417"/>
      <c r="AE151" s="416"/>
      <c r="AF151" s="449"/>
      <c r="AG151" s="449"/>
      <c r="AH151" s="417"/>
      <c r="AI151" s="416"/>
      <c r="AJ151" s="449"/>
      <c r="AK151" s="449"/>
      <c r="AL151" s="417"/>
      <c r="AM151" s="416"/>
      <c r="AN151" s="449"/>
      <c r="AO151" s="449"/>
      <c r="AP151" s="417"/>
      <c r="AQ151" s="416"/>
      <c r="AR151" s="449"/>
      <c r="AS151" s="449"/>
      <c r="AT151" s="417"/>
      <c r="AU151" s="416"/>
      <c r="AV151" s="449"/>
      <c r="AW151" s="449"/>
      <c r="AX151" s="417"/>
      <c r="AY151" s="416"/>
      <c r="AZ151" s="449"/>
      <c r="BA151" s="449"/>
      <c r="BB151" s="417"/>
      <c r="BC151" s="416"/>
      <c r="BD151" s="449"/>
      <c r="BE151" s="449"/>
      <c r="BF151" s="417"/>
      <c r="BG151" s="416"/>
      <c r="BH151" s="449"/>
      <c r="BI151" s="449"/>
      <c r="BJ151" s="417"/>
      <c r="BK151" s="416"/>
      <c r="BL151" s="449"/>
      <c r="BM151" s="449"/>
      <c r="BN151" s="417"/>
      <c r="BO151" s="416"/>
      <c r="BP151" s="449"/>
      <c r="BQ151" s="449"/>
      <c r="BR151" s="417"/>
      <c r="BS151" s="416"/>
      <c r="BT151" s="449"/>
      <c r="BU151" s="449"/>
      <c r="BV151" s="417"/>
      <c r="BW151" s="416"/>
      <c r="BX151" s="449"/>
      <c r="BY151" s="449"/>
      <c r="BZ151" s="417"/>
      <c r="CA151" s="416"/>
      <c r="CB151" s="449"/>
      <c r="CC151" s="449"/>
      <c r="CD151" s="417"/>
      <c r="CE151" s="416"/>
      <c r="CF151" s="449"/>
      <c r="CG151" s="449"/>
      <c r="CH151" s="417"/>
      <c r="CI151" s="416"/>
      <c r="CJ151" s="449"/>
      <c r="CK151" s="449"/>
      <c r="CL151" s="417"/>
      <c r="CM151" s="416"/>
      <c r="CN151" s="449"/>
      <c r="CO151" s="449"/>
      <c r="CP151" s="417"/>
      <c r="CQ151" s="416"/>
      <c r="CR151" s="449"/>
      <c r="CS151" s="449"/>
      <c r="CT151" s="417"/>
      <c r="CU151" s="416"/>
      <c r="CV151" s="449"/>
      <c r="CW151" s="449"/>
      <c r="CX151" s="417"/>
      <c r="CY151" s="416"/>
      <c r="CZ151" s="449"/>
      <c r="DA151" s="449"/>
      <c r="DB151" s="417"/>
      <c r="DC151" s="416"/>
      <c r="DD151" s="449"/>
      <c r="DE151" s="449"/>
      <c r="DF151" s="417"/>
      <c r="DG151" s="416"/>
      <c r="DH151" s="449"/>
      <c r="DI151" s="449"/>
      <c r="DJ151" s="417"/>
      <c r="DK151" s="416"/>
      <c r="DL151" s="449"/>
      <c r="DM151" s="449"/>
      <c r="DN151" s="417"/>
      <c r="DO151" s="416"/>
      <c r="DP151" s="449"/>
      <c r="DQ151" s="449"/>
      <c r="DR151" s="417"/>
      <c r="DS151" s="416"/>
      <c r="DT151" s="449"/>
      <c r="DU151" s="449"/>
      <c r="DV151" s="417"/>
      <c r="DW151" s="416"/>
      <c r="DX151" s="449"/>
      <c r="DY151" s="449"/>
      <c r="DZ151" s="417"/>
      <c r="EA151" s="416"/>
      <c r="EB151" s="449"/>
      <c r="EC151" s="449"/>
      <c r="ED151" s="417"/>
      <c r="EE151" s="416"/>
      <c r="EF151" s="449"/>
      <c r="EG151" s="449"/>
      <c r="EH151" s="417"/>
      <c r="EI151" s="416"/>
      <c r="EJ151" s="449"/>
      <c r="EK151" s="449"/>
      <c r="EL151" s="417"/>
      <c r="EM151" s="416"/>
      <c r="EN151" s="449"/>
      <c r="EO151" s="449"/>
      <c r="EP151" s="417"/>
      <c r="EQ151" s="416"/>
      <c r="ER151" s="449"/>
      <c r="ES151" s="449"/>
      <c r="ET151" s="417"/>
      <c r="EU151" s="416"/>
      <c r="EV151" s="449"/>
      <c r="EW151" s="449"/>
      <c r="EX151" s="417"/>
      <c r="EY151" s="416"/>
      <c r="EZ151" s="449"/>
      <c r="FA151" s="449"/>
      <c r="FB151" s="417"/>
      <c r="FC151" s="416"/>
      <c r="FD151" s="449"/>
      <c r="FE151" s="449"/>
      <c r="FF151" s="417"/>
      <c r="FG151" s="416"/>
      <c r="FH151" s="449"/>
      <c r="FI151" s="449"/>
      <c r="FJ151" s="417"/>
      <c r="FK151" s="416"/>
      <c r="FL151" s="449"/>
      <c r="FM151" s="449"/>
      <c r="FN151" s="417"/>
      <c r="FO151" s="416"/>
      <c r="FP151" s="449"/>
      <c r="FQ151" s="449"/>
      <c r="FR151" s="417"/>
      <c r="FS151" s="416"/>
      <c r="FT151" s="449"/>
      <c r="FU151" s="449"/>
      <c r="FV151" s="417"/>
      <c r="FW151" s="416"/>
      <c r="FX151" s="449"/>
      <c r="FY151" s="449"/>
      <c r="FZ151" s="417"/>
      <c r="GA151" s="416"/>
      <c r="GB151" s="449"/>
      <c r="GC151" s="449"/>
      <c r="GD151" s="417"/>
      <c r="GE151" s="416"/>
      <c r="GF151" s="449"/>
      <c r="GG151" s="449"/>
      <c r="GH151" s="417"/>
      <c r="GI151" s="416"/>
      <c r="GJ151" s="449"/>
      <c r="GK151" s="449"/>
      <c r="GL151" s="417"/>
      <c r="GM151" s="416"/>
      <c r="GN151" s="449"/>
      <c r="GO151" s="449"/>
      <c r="GP151" s="417"/>
      <c r="GQ151" s="416"/>
      <c r="GR151" s="449"/>
      <c r="GS151" s="449"/>
      <c r="GT151" s="417"/>
      <c r="GU151" s="416"/>
      <c r="GV151" s="449"/>
      <c r="GW151" s="449"/>
      <c r="GX151" s="417"/>
      <c r="GY151" s="416"/>
      <c r="GZ151" s="449"/>
      <c r="HA151" s="449"/>
      <c r="HB151" s="417"/>
      <c r="HC151" s="418">
        <f t="shared" si="76"/>
        <v>0</v>
      </c>
      <c r="HD151" s="451"/>
      <c r="HE151" s="451"/>
      <c r="HF151" s="420"/>
      <c r="HG151" s="418">
        <f>SUM(SUMIFS(K151:HB151,$K$13:$HB$13,{"エネルギー管理指定工場等*","県域*"}))</f>
        <v>0</v>
      </c>
      <c r="HH151" s="451"/>
      <c r="HI151" s="451"/>
      <c r="HJ151" s="420"/>
    </row>
    <row r="152" spans="1:218" ht="19.8">
      <c r="A152" s="164"/>
      <c r="B152" s="421" t="s">
        <v>1433</v>
      </c>
      <c r="C152" s="422"/>
      <c r="D152" s="422"/>
      <c r="E152" s="422"/>
      <c r="F152" s="422"/>
      <c r="G152" s="422"/>
      <c r="H152" s="453"/>
      <c r="I152" s="425"/>
      <c r="J152" s="426"/>
      <c r="K152" s="427"/>
      <c r="L152" s="454"/>
      <c r="M152" s="454"/>
      <c r="N152" s="428"/>
      <c r="O152" s="427"/>
      <c r="P152" s="454"/>
      <c r="Q152" s="454"/>
      <c r="R152" s="428"/>
      <c r="S152" s="427"/>
      <c r="T152" s="454"/>
      <c r="U152" s="454"/>
      <c r="V152" s="428"/>
      <c r="W152" s="427"/>
      <c r="X152" s="454"/>
      <c r="Y152" s="454"/>
      <c r="Z152" s="428"/>
      <c r="AA152" s="427"/>
      <c r="AB152" s="454"/>
      <c r="AC152" s="454"/>
      <c r="AD152" s="428"/>
      <c r="AE152" s="427"/>
      <c r="AF152" s="454"/>
      <c r="AG152" s="454"/>
      <c r="AH152" s="428"/>
      <c r="AI152" s="427"/>
      <c r="AJ152" s="454"/>
      <c r="AK152" s="454"/>
      <c r="AL152" s="428"/>
      <c r="AM152" s="427"/>
      <c r="AN152" s="454"/>
      <c r="AO152" s="454"/>
      <c r="AP152" s="428"/>
      <c r="AQ152" s="427"/>
      <c r="AR152" s="454"/>
      <c r="AS152" s="454"/>
      <c r="AT152" s="428"/>
      <c r="AU152" s="427"/>
      <c r="AV152" s="454"/>
      <c r="AW152" s="454"/>
      <c r="AX152" s="428"/>
      <c r="AY152" s="427"/>
      <c r="AZ152" s="454"/>
      <c r="BA152" s="454"/>
      <c r="BB152" s="428"/>
      <c r="BC152" s="427"/>
      <c r="BD152" s="454"/>
      <c r="BE152" s="454"/>
      <c r="BF152" s="428"/>
      <c r="BG152" s="427"/>
      <c r="BH152" s="454"/>
      <c r="BI152" s="454"/>
      <c r="BJ152" s="428"/>
      <c r="BK152" s="427"/>
      <c r="BL152" s="454"/>
      <c r="BM152" s="454"/>
      <c r="BN152" s="428"/>
      <c r="BO152" s="427"/>
      <c r="BP152" s="454"/>
      <c r="BQ152" s="454"/>
      <c r="BR152" s="428"/>
      <c r="BS152" s="427"/>
      <c r="BT152" s="454"/>
      <c r="BU152" s="454"/>
      <c r="BV152" s="428"/>
      <c r="BW152" s="427"/>
      <c r="BX152" s="454"/>
      <c r="BY152" s="454"/>
      <c r="BZ152" s="428"/>
      <c r="CA152" s="427"/>
      <c r="CB152" s="454"/>
      <c r="CC152" s="454"/>
      <c r="CD152" s="428"/>
      <c r="CE152" s="427"/>
      <c r="CF152" s="454"/>
      <c r="CG152" s="454"/>
      <c r="CH152" s="428"/>
      <c r="CI152" s="427"/>
      <c r="CJ152" s="454"/>
      <c r="CK152" s="454"/>
      <c r="CL152" s="428"/>
      <c r="CM152" s="427"/>
      <c r="CN152" s="454"/>
      <c r="CO152" s="454"/>
      <c r="CP152" s="428"/>
      <c r="CQ152" s="427"/>
      <c r="CR152" s="454"/>
      <c r="CS152" s="454"/>
      <c r="CT152" s="428"/>
      <c r="CU152" s="427"/>
      <c r="CV152" s="454"/>
      <c r="CW152" s="454"/>
      <c r="CX152" s="428"/>
      <c r="CY152" s="427"/>
      <c r="CZ152" s="454"/>
      <c r="DA152" s="454"/>
      <c r="DB152" s="428"/>
      <c r="DC152" s="427"/>
      <c r="DD152" s="454"/>
      <c r="DE152" s="454"/>
      <c r="DF152" s="428"/>
      <c r="DG152" s="427"/>
      <c r="DH152" s="454"/>
      <c r="DI152" s="454"/>
      <c r="DJ152" s="428"/>
      <c r="DK152" s="427"/>
      <c r="DL152" s="454"/>
      <c r="DM152" s="454"/>
      <c r="DN152" s="428"/>
      <c r="DO152" s="427"/>
      <c r="DP152" s="454"/>
      <c r="DQ152" s="454"/>
      <c r="DR152" s="428"/>
      <c r="DS152" s="427"/>
      <c r="DT152" s="454"/>
      <c r="DU152" s="454"/>
      <c r="DV152" s="428"/>
      <c r="DW152" s="427"/>
      <c r="DX152" s="454"/>
      <c r="DY152" s="454"/>
      <c r="DZ152" s="428"/>
      <c r="EA152" s="427"/>
      <c r="EB152" s="454"/>
      <c r="EC152" s="454"/>
      <c r="ED152" s="428"/>
      <c r="EE152" s="427"/>
      <c r="EF152" s="454"/>
      <c r="EG152" s="454"/>
      <c r="EH152" s="428"/>
      <c r="EI152" s="427"/>
      <c r="EJ152" s="454"/>
      <c r="EK152" s="454"/>
      <c r="EL152" s="428"/>
      <c r="EM152" s="427"/>
      <c r="EN152" s="454"/>
      <c r="EO152" s="454"/>
      <c r="EP152" s="428"/>
      <c r="EQ152" s="427"/>
      <c r="ER152" s="454"/>
      <c r="ES152" s="454"/>
      <c r="ET152" s="428"/>
      <c r="EU152" s="427"/>
      <c r="EV152" s="454"/>
      <c r="EW152" s="454"/>
      <c r="EX152" s="428"/>
      <c r="EY152" s="427"/>
      <c r="EZ152" s="454"/>
      <c r="FA152" s="454"/>
      <c r="FB152" s="428"/>
      <c r="FC152" s="427"/>
      <c r="FD152" s="454"/>
      <c r="FE152" s="454"/>
      <c r="FF152" s="428"/>
      <c r="FG152" s="427"/>
      <c r="FH152" s="454"/>
      <c r="FI152" s="454"/>
      <c r="FJ152" s="428"/>
      <c r="FK152" s="427"/>
      <c r="FL152" s="454"/>
      <c r="FM152" s="454"/>
      <c r="FN152" s="428"/>
      <c r="FO152" s="427"/>
      <c r="FP152" s="454"/>
      <c r="FQ152" s="454"/>
      <c r="FR152" s="428"/>
      <c r="FS152" s="427"/>
      <c r="FT152" s="454"/>
      <c r="FU152" s="454"/>
      <c r="FV152" s="428"/>
      <c r="FW152" s="427"/>
      <c r="FX152" s="454"/>
      <c r="FY152" s="454"/>
      <c r="FZ152" s="428"/>
      <c r="GA152" s="427"/>
      <c r="GB152" s="454"/>
      <c r="GC152" s="454"/>
      <c r="GD152" s="428"/>
      <c r="GE152" s="427"/>
      <c r="GF152" s="454"/>
      <c r="GG152" s="454"/>
      <c r="GH152" s="428"/>
      <c r="GI152" s="427"/>
      <c r="GJ152" s="454"/>
      <c r="GK152" s="454"/>
      <c r="GL152" s="428"/>
      <c r="GM152" s="427"/>
      <c r="GN152" s="454"/>
      <c r="GO152" s="454"/>
      <c r="GP152" s="428"/>
      <c r="GQ152" s="427"/>
      <c r="GR152" s="454"/>
      <c r="GS152" s="454"/>
      <c r="GT152" s="428"/>
      <c r="GU152" s="427"/>
      <c r="GV152" s="454"/>
      <c r="GW152" s="454"/>
      <c r="GX152" s="428"/>
      <c r="GY152" s="427"/>
      <c r="GZ152" s="454"/>
      <c r="HA152" s="454"/>
      <c r="HB152" s="428"/>
      <c r="HC152" s="434">
        <f t="shared" si="76"/>
        <v>0</v>
      </c>
      <c r="HD152" s="456"/>
      <c r="HE152" s="456"/>
      <c r="HF152" s="433"/>
      <c r="HG152" s="434">
        <f>SUM(SUMIFS(K152:HB152,$K$13:$HB$13,{"エネルギー管理指定工場等*","県域*"}))</f>
        <v>0</v>
      </c>
      <c r="HH152" s="456"/>
      <c r="HI152" s="456"/>
      <c r="HJ152" s="433"/>
    </row>
    <row r="153" spans="1:218" ht="19.8">
      <c r="A153" s="164"/>
      <c r="B153" s="421" t="s">
        <v>1434</v>
      </c>
      <c r="C153" s="422"/>
      <c r="D153" s="422"/>
      <c r="E153" s="422"/>
      <c r="F153" s="422"/>
      <c r="G153" s="422"/>
      <c r="H153" s="453"/>
      <c r="I153" s="425"/>
      <c r="J153" s="426"/>
      <c r="K153" s="427"/>
      <c r="L153" s="454"/>
      <c r="M153" s="454"/>
      <c r="N153" s="428"/>
      <c r="O153" s="427"/>
      <c r="P153" s="454"/>
      <c r="Q153" s="454"/>
      <c r="R153" s="428"/>
      <c r="S153" s="427"/>
      <c r="T153" s="454"/>
      <c r="U153" s="454"/>
      <c r="V153" s="428"/>
      <c r="W153" s="427"/>
      <c r="X153" s="454"/>
      <c r="Y153" s="454"/>
      <c r="Z153" s="428"/>
      <c r="AA153" s="427"/>
      <c r="AB153" s="454"/>
      <c r="AC153" s="454"/>
      <c r="AD153" s="428"/>
      <c r="AE153" s="427"/>
      <c r="AF153" s="454"/>
      <c r="AG153" s="454"/>
      <c r="AH153" s="428"/>
      <c r="AI153" s="427"/>
      <c r="AJ153" s="454"/>
      <c r="AK153" s="454"/>
      <c r="AL153" s="428"/>
      <c r="AM153" s="427"/>
      <c r="AN153" s="454"/>
      <c r="AO153" s="454"/>
      <c r="AP153" s="428"/>
      <c r="AQ153" s="427"/>
      <c r="AR153" s="454"/>
      <c r="AS153" s="454"/>
      <c r="AT153" s="428"/>
      <c r="AU153" s="427"/>
      <c r="AV153" s="454"/>
      <c r="AW153" s="454"/>
      <c r="AX153" s="428"/>
      <c r="AY153" s="427"/>
      <c r="AZ153" s="454"/>
      <c r="BA153" s="454"/>
      <c r="BB153" s="428"/>
      <c r="BC153" s="427"/>
      <c r="BD153" s="454"/>
      <c r="BE153" s="454"/>
      <c r="BF153" s="428"/>
      <c r="BG153" s="427"/>
      <c r="BH153" s="454"/>
      <c r="BI153" s="454"/>
      <c r="BJ153" s="428"/>
      <c r="BK153" s="427"/>
      <c r="BL153" s="454"/>
      <c r="BM153" s="454"/>
      <c r="BN153" s="428"/>
      <c r="BO153" s="427"/>
      <c r="BP153" s="454"/>
      <c r="BQ153" s="454"/>
      <c r="BR153" s="428"/>
      <c r="BS153" s="427"/>
      <c r="BT153" s="454"/>
      <c r="BU153" s="454"/>
      <c r="BV153" s="428"/>
      <c r="BW153" s="427"/>
      <c r="BX153" s="454"/>
      <c r="BY153" s="454"/>
      <c r="BZ153" s="428"/>
      <c r="CA153" s="427"/>
      <c r="CB153" s="454"/>
      <c r="CC153" s="454"/>
      <c r="CD153" s="428"/>
      <c r="CE153" s="427"/>
      <c r="CF153" s="454"/>
      <c r="CG153" s="454"/>
      <c r="CH153" s="428"/>
      <c r="CI153" s="427"/>
      <c r="CJ153" s="454"/>
      <c r="CK153" s="454"/>
      <c r="CL153" s="428"/>
      <c r="CM153" s="427"/>
      <c r="CN153" s="454"/>
      <c r="CO153" s="454"/>
      <c r="CP153" s="428"/>
      <c r="CQ153" s="427"/>
      <c r="CR153" s="454"/>
      <c r="CS153" s="454"/>
      <c r="CT153" s="428"/>
      <c r="CU153" s="427"/>
      <c r="CV153" s="454"/>
      <c r="CW153" s="454"/>
      <c r="CX153" s="428"/>
      <c r="CY153" s="427"/>
      <c r="CZ153" s="454"/>
      <c r="DA153" s="454"/>
      <c r="DB153" s="428"/>
      <c r="DC153" s="427"/>
      <c r="DD153" s="454"/>
      <c r="DE153" s="454"/>
      <c r="DF153" s="428"/>
      <c r="DG153" s="427"/>
      <c r="DH153" s="454"/>
      <c r="DI153" s="454"/>
      <c r="DJ153" s="428"/>
      <c r="DK153" s="427"/>
      <c r="DL153" s="454"/>
      <c r="DM153" s="454"/>
      <c r="DN153" s="428"/>
      <c r="DO153" s="427"/>
      <c r="DP153" s="454"/>
      <c r="DQ153" s="454"/>
      <c r="DR153" s="428"/>
      <c r="DS153" s="427"/>
      <c r="DT153" s="454"/>
      <c r="DU153" s="454"/>
      <c r="DV153" s="428"/>
      <c r="DW153" s="427"/>
      <c r="DX153" s="454"/>
      <c r="DY153" s="454"/>
      <c r="DZ153" s="428"/>
      <c r="EA153" s="427"/>
      <c r="EB153" s="454"/>
      <c r="EC153" s="454"/>
      <c r="ED153" s="428"/>
      <c r="EE153" s="427"/>
      <c r="EF153" s="454"/>
      <c r="EG153" s="454"/>
      <c r="EH153" s="428"/>
      <c r="EI153" s="427"/>
      <c r="EJ153" s="454"/>
      <c r="EK153" s="454"/>
      <c r="EL153" s="428"/>
      <c r="EM153" s="427"/>
      <c r="EN153" s="454"/>
      <c r="EO153" s="454"/>
      <c r="EP153" s="428"/>
      <c r="EQ153" s="427"/>
      <c r="ER153" s="454"/>
      <c r="ES153" s="454"/>
      <c r="ET153" s="428"/>
      <c r="EU153" s="427"/>
      <c r="EV153" s="454"/>
      <c r="EW153" s="454"/>
      <c r="EX153" s="428"/>
      <c r="EY153" s="427"/>
      <c r="EZ153" s="454"/>
      <c r="FA153" s="454"/>
      <c r="FB153" s="428"/>
      <c r="FC153" s="427"/>
      <c r="FD153" s="454"/>
      <c r="FE153" s="454"/>
      <c r="FF153" s="428"/>
      <c r="FG153" s="427"/>
      <c r="FH153" s="454"/>
      <c r="FI153" s="454"/>
      <c r="FJ153" s="428"/>
      <c r="FK153" s="427"/>
      <c r="FL153" s="454"/>
      <c r="FM153" s="454"/>
      <c r="FN153" s="428"/>
      <c r="FO153" s="427"/>
      <c r="FP153" s="454"/>
      <c r="FQ153" s="454"/>
      <c r="FR153" s="428"/>
      <c r="FS153" s="427"/>
      <c r="FT153" s="454"/>
      <c r="FU153" s="454"/>
      <c r="FV153" s="428"/>
      <c r="FW153" s="427"/>
      <c r="FX153" s="454"/>
      <c r="FY153" s="454"/>
      <c r="FZ153" s="428"/>
      <c r="GA153" s="427"/>
      <c r="GB153" s="454"/>
      <c r="GC153" s="454"/>
      <c r="GD153" s="428"/>
      <c r="GE153" s="427"/>
      <c r="GF153" s="454"/>
      <c r="GG153" s="454"/>
      <c r="GH153" s="428"/>
      <c r="GI153" s="427"/>
      <c r="GJ153" s="454"/>
      <c r="GK153" s="454"/>
      <c r="GL153" s="428"/>
      <c r="GM153" s="427"/>
      <c r="GN153" s="454"/>
      <c r="GO153" s="454"/>
      <c r="GP153" s="428"/>
      <c r="GQ153" s="427"/>
      <c r="GR153" s="454"/>
      <c r="GS153" s="454"/>
      <c r="GT153" s="428"/>
      <c r="GU153" s="427"/>
      <c r="GV153" s="454"/>
      <c r="GW153" s="454"/>
      <c r="GX153" s="428"/>
      <c r="GY153" s="427"/>
      <c r="GZ153" s="454"/>
      <c r="HA153" s="454"/>
      <c r="HB153" s="428"/>
      <c r="HC153" s="434">
        <f t="shared" si="76"/>
        <v>0</v>
      </c>
      <c r="HD153" s="456"/>
      <c r="HE153" s="456"/>
      <c r="HF153" s="433"/>
      <c r="HG153" s="434">
        <f>SUM(SUMIFS(K153:HB153,$K$13:$HB$13,{"エネルギー管理指定工場等*","県域*"}))</f>
        <v>0</v>
      </c>
      <c r="HH153" s="456"/>
      <c r="HI153" s="456"/>
      <c r="HJ153" s="433"/>
    </row>
    <row r="154" spans="1:218" ht="19.8">
      <c r="A154" s="164"/>
      <c r="B154" s="421" t="s">
        <v>1435</v>
      </c>
      <c r="C154" s="422"/>
      <c r="D154" s="422"/>
      <c r="E154" s="422"/>
      <c r="F154" s="422"/>
      <c r="G154" s="422"/>
      <c r="H154" s="453"/>
      <c r="I154" s="425"/>
      <c r="J154" s="426"/>
      <c r="K154" s="427"/>
      <c r="L154" s="454"/>
      <c r="M154" s="454"/>
      <c r="N154" s="428"/>
      <c r="O154" s="427"/>
      <c r="P154" s="454"/>
      <c r="Q154" s="454"/>
      <c r="R154" s="428"/>
      <c r="S154" s="427"/>
      <c r="T154" s="454"/>
      <c r="U154" s="454"/>
      <c r="V154" s="428"/>
      <c r="W154" s="427"/>
      <c r="X154" s="454"/>
      <c r="Y154" s="454"/>
      <c r="Z154" s="428"/>
      <c r="AA154" s="427"/>
      <c r="AB154" s="454"/>
      <c r="AC154" s="454"/>
      <c r="AD154" s="428"/>
      <c r="AE154" s="427"/>
      <c r="AF154" s="454"/>
      <c r="AG154" s="454"/>
      <c r="AH154" s="428"/>
      <c r="AI154" s="427"/>
      <c r="AJ154" s="454"/>
      <c r="AK154" s="454"/>
      <c r="AL154" s="428"/>
      <c r="AM154" s="427"/>
      <c r="AN154" s="454"/>
      <c r="AO154" s="454"/>
      <c r="AP154" s="428"/>
      <c r="AQ154" s="427"/>
      <c r="AR154" s="454"/>
      <c r="AS154" s="454"/>
      <c r="AT154" s="428"/>
      <c r="AU154" s="427"/>
      <c r="AV154" s="454"/>
      <c r="AW154" s="454"/>
      <c r="AX154" s="428"/>
      <c r="AY154" s="427"/>
      <c r="AZ154" s="454"/>
      <c r="BA154" s="454"/>
      <c r="BB154" s="428"/>
      <c r="BC154" s="427"/>
      <c r="BD154" s="454"/>
      <c r="BE154" s="454"/>
      <c r="BF154" s="428"/>
      <c r="BG154" s="427"/>
      <c r="BH154" s="454"/>
      <c r="BI154" s="454"/>
      <c r="BJ154" s="428"/>
      <c r="BK154" s="427"/>
      <c r="BL154" s="454"/>
      <c r="BM154" s="454"/>
      <c r="BN154" s="428"/>
      <c r="BO154" s="427"/>
      <c r="BP154" s="454"/>
      <c r="BQ154" s="454"/>
      <c r="BR154" s="428"/>
      <c r="BS154" s="427"/>
      <c r="BT154" s="454"/>
      <c r="BU154" s="454"/>
      <c r="BV154" s="428"/>
      <c r="BW154" s="427"/>
      <c r="BX154" s="454"/>
      <c r="BY154" s="454"/>
      <c r="BZ154" s="428"/>
      <c r="CA154" s="427"/>
      <c r="CB154" s="454"/>
      <c r="CC154" s="454"/>
      <c r="CD154" s="428"/>
      <c r="CE154" s="427"/>
      <c r="CF154" s="454"/>
      <c r="CG154" s="454"/>
      <c r="CH154" s="428"/>
      <c r="CI154" s="427"/>
      <c r="CJ154" s="454"/>
      <c r="CK154" s="454"/>
      <c r="CL154" s="428"/>
      <c r="CM154" s="427"/>
      <c r="CN154" s="454"/>
      <c r="CO154" s="454"/>
      <c r="CP154" s="428"/>
      <c r="CQ154" s="427"/>
      <c r="CR154" s="454"/>
      <c r="CS154" s="454"/>
      <c r="CT154" s="428"/>
      <c r="CU154" s="427"/>
      <c r="CV154" s="454"/>
      <c r="CW154" s="454"/>
      <c r="CX154" s="428"/>
      <c r="CY154" s="427"/>
      <c r="CZ154" s="454"/>
      <c r="DA154" s="454"/>
      <c r="DB154" s="428"/>
      <c r="DC154" s="427"/>
      <c r="DD154" s="454"/>
      <c r="DE154" s="454"/>
      <c r="DF154" s="428"/>
      <c r="DG154" s="427"/>
      <c r="DH154" s="454"/>
      <c r="DI154" s="454"/>
      <c r="DJ154" s="428"/>
      <c r="DK154" s="427"/>
      <c r="DL154" s="454"/>
      <c r="DM154" s="454"/>
      <c r="DN154" s="428"/>
      <c r="DO154" s="427"/>
      <c r="DP154" s="454"/>
      <c r="DQ154" s="454"/>
      <c r="DR154" s="428"/>
      <c r="DS154" s="427"/>
      <c r="DT154" s="454"/>
      <c r="DU154" s="454"/>
      <c r="DV154" s="428"/>
      <c r="DW154" s="427"/>
      <c r="DX154" s="454"/>
      <c r="DY154" s="454"/>
      <c r="DZ154" s="428"/>
      <c r="EA154" s="427"/>
      <c r="EB154" s="454"/>
      <c r="EC154" s="454"/>
      <c r="ED154" s="428"/>
      <c r="EE154" s="427"/>
      <c r="EF154" s="454"/>
      <c r="EG154" s="454"/>
      <c r="EH154" s="428"/>
      <c r="EI154" s="427"/>
      <c r="EJ154" s="454"/>
      <c r="EK154" s="454"/>
      <c r="EL154" s="428"/>
      <c r="EM154" s="427"/>
      <c r="EN154" s="454"/>
      <c r="EO154" s="454"/>
      <c r="EP154" s="428"/>
      <c r="EQ154" s="427"/>
      <c r="ER154" s="454"/>
      <c r="ES154" s="454"/>
      <c r="ET154" s="428"/>
      <c r="EU154" s="427"/>
      <c r="EV154" s="454"/>
      <c r="EW154" s="454"/>
      <c r="EX154" s="428"/>
      <c r="EY154" s="427"/>
      <c r="EZ154" s="454"/>
      <c r="FA154" s="454"/>
      <c r="FB154" s="428"/>
      <c r="FC154" s="427"/>
      <c r="FD154" s="454"/>
      <c r="FE154" s="454"/>
      <c r="FF154" s="428"/>
      <c r="FG154" s="427"/>
      <c r="FH154" s="454"/>
      <c r="FI154" s="454"/>
      <c r="FJ154" s="428"/>
      <c r="FK154" s="427"/>
      <c r="FL154" s="454"/>
      <c r="FM154" s="454"/>
      <c r="FN154" s="428"/>
      <c r="FO154" s="427"/>
      <c r="FP154" s="454"/>
      <c r="FQ154" s="454"/>
      <c r="FR154" s="428"/>
      <c r="FS154" s="427"/>
      <c r="FT154" s="454"/>
      <c r="FU154" s="454"/>
      <c r="FV154" s="428"/>
      <c r="FW154" s="427"/>
      <c r="FX154" s="454"/>
      <c r="FY154" s="454"/>
      <c r="FZ154" s="428"/>
      <c r="GA154" s="427"/>
      <c r="GB154" s="454"/>
      <c r="GC154" s="454"/>
      <c r="GD154" s="428"/>
      <c r="GE154" s="427"/>
      <c r="GF154" s="454"/>
      <c r="GG154" s="454"/>
      <c r="GH154" s="428"/>
      <c r="GI154" s="427"/>
      <c r="GJ154" s="454"/>
      <c r="GK154" s="454"/>
      <c r="GL154" s="428"/>
      <c r="GM154" s="427"/>
      <c r="GN154" s="454"/>
      <c r="GO154" s="454"/>
      <c r="GP154" s="428"/>
      <c r="GQ154" s="427"/>
      <c r="GR154" s="454"/>
      <c r="GS154" s="454"/>
      <c r="GT154" s="428"/>
      <c r="GU154" s="427"/>
      <c r="GV154" s="454"/>
      <c r="GW154" s="454"/>
      <c r="GX154" s="428"/>
      <c r="GY154" s="427"/>
      <c r="GZ154" s="454"/>
      <c r="HA154" s="454"/>
      <c r="HB154" s="428"/>
      <c r="HC154" s="434">
        <f t="shared" si="76"/>
        <v>0</v>
      </c>
      <c r="HD154" s="456"/>
      <c r="HE154" s="456"/>
      <c r="HF154" s="433"/>
      <c r="HG154" s="434">
        <f>SUM(SUMIFS(K154:HB154,$K$13:$HB$13,{"エネルギー管理指定工場等*","県域*"}))</f>
        <v>0</v>
      </c>
      <c r="HH154" s="456"/>
      <c r="HI154" s="456"/>
      <c r="HJ154" s="433"/>
    </row>
    <row r="155" spans="1:218" ht="19.8">
      <c r="A155" s="164"/>
      <c r="B155" s="421" t="s">
        <v>1436</v>
      </c>
      <c r="C155" s="422"/>
      <c r="D155" s="422"/>
      <c r="E155" s="422"/>
      <c r="F155" s="422"/>
      <c r="G155" s="422"/>
      <c r="H155" s="453"/>
      <c r="I155" s="425"/>
      <c r="J155" s="426"/>
      <c r="K155" s="427"/>
      <c r="L155" s="454"/>
      <c r="M155" s="454"/>
      <c r="N155" s="428"/>
      <c r="O155" s="427"/>
      <c r="P155" s="454"/>
      <c r="Q155" s="454"/>
      <c r="R155" s="428"/>
      <c r="S155" s="427"/>
      <c r="T155" s="454"/>
      <c r="U155" s="454"/>
      <c r="V155" s="428"/>
      <c r="W155" s="427"/>
      <c r="X155" s="454"/>
      <c r="Y155" s="454"/>
      <c r="Z155" s="428"/>
      <c r="AA155" s="427"/>
      <c r="AB155" s="454"/>
      <c r="AC155" s="454"/>
      <c r="AD155" s="428"/>
      <c r="AE155" s="427"/>
      <c r="AF155" s="454"/>
      <c r="AG155" s="454"/>
      <c r="AH155" s="428"/>
      <c r="AI155" s="427"/>
      <c r="AJ155" s="454"/>
      <c r="AK155" s="454"/>
      <c r="AL155" s="428"/>
      <c r="AM155" s="427"/>
      <c r="AN155" s="454"/>
      <c r="AO155" s="454"/>
      <c r="AP155" s="428"/>
      <c r="AQ155" s="427"/>
      <c r="AR155" s="454"/>
      <c r="AS155" s="454"/>
      <c r="AT155" s="428"/>
      <c r="AU155" s="427"/>
      <c r="AV155" s="454"/>
      <c r="AW155" s="454"/>
      <c r="AX155" s="428"/>
      <c r="AY155" s="427"/>
      <c r="AZ155" s="454"/>
      <c r="BA155" s="454"/>
      <c r="BB155" s="428"/>
      <c r="BC155" s="427"/>
      <c r="BD155" s="454"/>
      <c r="BE155" s="454"/>
      <c r="BF155" s="428"/>
      <c r="BG155" s="427"/>
      <c r="BH155" s="454"/>
      <c r="BI155" s="454"/>
      <c r="BJ155" s="428"/>
      <c r="BK155" s="427"/>
      <c r="BL155" s="454"/>
      <c r="BM155" s="454"/>
      <c r="BN155" s="428"/>
      <c r="BO155" s="427"/>
      <c r="BP155" s="454"/>
      <c r="BQ155" s="454"/>
      <c r="BR155" s="428"/>
      <c r="BS155" s="427"/>
      <c r="BT155" s="454"/>
      <c r="BU155" s="454"/>
      <c r="BV155" s="428"/>
      <c r="BW155" s="427"/>
      <c r="BX155" s="454"/>
      <c r="BY155" s="454"/>
      <c r="BZ155" s="428"/>
      <c r="CA155" s="427"/>
      <c r="CB155" s="454"/>
      <c r="CC155" s="454"/>
      <c r="CD155" s="428"/>
      <c r="CE155" s="427"/>
      <c r="CF155" s="454"/>
      <c r="CG155" s="454"/>
      <c r="CH155" s="428"/>
      <c r="CI155" s="427"/>
      <c r="CJ155" s="454"/>
      <c r="CK155" s="454"/>
      <c r="CL155" s="428"/>
      <c r="CM155" s="427"/>
      <c r="CN155" s="454"/>
      <c r="CO155" s="454"/>
      <c r="CP155" s="428"/>
      <c r="CQ155" s="427"/>
      <c r="CR155" s="454"/>
      <c r="CS155" s="454"/>
      <c r="CT155" s="428"/>
      <c r="CU155" s="427"/>
      <c r="CV155" s="454"/>
      <c r="CW155" s="454"/>
      <c r="CX155" s="428"/>
      <c r="CY155" s="427"/>
      <c r="CZ155" s="454"/>
      <c r="DA155" s="454"/>
      <c r="DB155" s="428"/>
      <c r="DC155" s="427"/>
      <c r="DD155" s="454"/>
      <c r="DE155" s="454"/>
      <c r="DF155" s="428"/>
      <c r="DG155" s="427"/>
      <c r="DH155" s="454"/>
      <c r="DI155" s="454"/>
      <c r="DJ155" s="428"/>
      <c r="DK155" s="427"/>
      <c r="DL155" s="454"/>
      <c r="DM155" s="454"/>
      <c r="DN155" s="428"/>
      <c r="DO155" s="427"/>
      <c r="DP155" s="454"/>
      <c r="DQ155" s="454"/>
      <c r="DR155" s="428"/>
      <c r="DS155" s="427"/>
      <c r="DT155" s="454"/>
      <c r="DU155" s="454"/>
      <c r="DV155" s="428"/>
      <c r="DW155" s="427"/>
      <c r="DX155" s="454"/>
      <c r="DY155" s="454"/>
      <c r="DZ155" s="428"/>
      <c r="EA155" s="427"/>
      <c r="EB155" s="454"/>
      <c r="EC155" s="454"/>
      <c r="ED155" s="428"/>
      <c r="EE155" s="427"/>
      <c r="EF155" s="454"/>
      <c r="EG155" s="454"/>
      <c r="EH155" s="428"/>
      <c r="EI155" s="427"/>
      <c r="EJ155" s="454"/>
      <c r="EK155" s="454"/>
      <c r="EL155" s="428"/>
      <c r="EM155" s="427"/>
      <c r="EN155" s="454"/>
      <c r="EO155" s="454"/>
      <c r="EP155" s="428"/>
      <c r="EQ155" s="427"/>
      <c r="ER155" s="454"/>
      <c r="ES155" s="454"/>
      <c r="ET155" s="428"/>
      <c r="EU155" s="427"/>
      <c r="EV155" s="454"/>
      <c r="EW155" s="454"/>
      <c r="EX155" s="428"/>
      <c r="EY155" s="427"/>
      <c r="EZ155" s="454"/>
      <c r="FA155" s="454"/>
      <c r="FB155" s="428"/>
      <c r="FC155" s="427"/>
      <c r="FD155" s="454"/>
      <c r="FE155" s="454"/>
      <c r="FF155" s="428"/>
      <c r="FG155" s="427"/>
      <c r="FH155" s="454"/>
      <c r="FI155" s="454"/>
      <c r="FJ155" s="428"/>
      <c r="FK155" s="427"/>
      <c r="FL155" s="454"/>
      <c r="FM155" s="454"/>
      <c r="FN155" s="428"/>
      <c r="FO155" s="427"/>
      <c r="FP155" s="454"/>
      <c r="FQ155" s="454"/>
      <c r="FR155" s="428"/>
      <c r="FS155" s="427"/>
      <c r="FT155" s="454"/>
      <c r="FU155" s="454"/>
      <c r="FV155" s="428"/>
      <c r="FW155" s="427"/>
      <c r="FX155" s="454"/>
      <c r="FY155" s="454"/>
      <c r="FZ155" s="428"/>
      <c r="GA155" s="427"/>
      <c r="GB155" s="454"/>
      <c r="GC155" s="454"/>
      <c r="GD155" s="428"/>
      <c r="GE155" s="427"/>
      <c r="GF155" s="454"/>
      <c r="GG155" s="454"/>
      <c r="GH155" s="428"/>
      <c r="GI155" s="427"/>
      <c r="GJ155" s="454"/>
      <c r="GK155" s="454"/>
      <c r="GL155" s="428"/>
      <c r="GM155" s="427"/>
      <c r="GN155" s="454"/>
      <c r="GO155" s="454"/>
      <c r="GP155" s="428"/>
      <c r="GQ155" s="427"/>
      <c r="GR155" s="454"/>
      <c r="GS155" s="454"/>
      <c r="GT155" s="428"/>
      <c r="GU155" s="427"/>
      <c r="GV155" s="454"/>
      <c r="GW155" s="454"/>
      <c r="GX155" s="428"/>
      <c r="GY155" s="427"/>
      <c r="GZ155" s="454"/>
      <c r="HA155" s="454"/>
      <c r="HB155" s="428"/>
      <c r="HC155" s="434">
        <f t="shared" si="76"/>
        <v>0</v>
      </c>
      <c r="HD155" s="456"/>
      <c r="HE155" s="456"/>
      <c r="HF155" s="433"/>
      <c r="HG155" s="434">
        <f>SUM(SUMIFS(K155:HB155,$K$13:$HB$13,{"エネルギー管理指定工場等*","県域*"}))</f>
        <v>0</v>
      </c>
      <c r="HH155" s="456"/>
      <c r="HI155" s="456"/>
      <c r="HJ155" s="433"/>
    </row>
    <row r="156" spans="1:218" ht="19.8">
      <c r="A156" s="164"/>
      <c r="B156" s="421" t="s">
        <v>1437</v>
      </c>
      <c r="C156" s="422"/>
      <c r="D156" s="422"/>
      <c r="E156" s="422"/>
      <c r="F156" s="422"/>
      <c r="G156" s="422"/>
      <c r="H156" s="453"/>
      <c r="I156" s="425"/>
      <c r="J156" s="426"/>
      <c r="K156" s="427"/>
      <c r="L156" s="454"/>
      <c r="M156" s="454"/>
      <c r="N156" s="428"/>
      <c r="O156" s="427"/>
      <c r="P156" s="454"/>
      <c r="Q156" s="454"/>
      <c r="R156" s="428"/>
      <c r="S156" s="427"/>
      <c r="T156" s="454"/>
      <c r="U156" s="454"/>
      <c r="V156" s="428"/>
      <c r="W156" s="427"/>
      <c r="X156" s="454"/>
      <c r="Y156" s="454"/>
      <c r="Z156" s="428"/>
      <c r="AA156" s="427"/>
      <c r="AB156" s="454"/>
      <c r="AC156" s="454"/>
      <c r="AD156" s="428"/>
      <c r="AE156" s="427"/>
      <c r="AF156" s="454"/>
      <c r="AG156" s="454"/>
      <c r="AH156" s="428"/>
      <c r="AI156" s="427"/>
      <c r="AJ156" s="454"/>
      <c r="AK156" s="454"/>
      <c r="AL156" s="428"/>
      <c r="AM156" s="427"/>
      <c r="AN156" s="454"/>
      <c r="AO156" s="454"/>
      <c r="AP156" s="428"/>
      <c r="AQ156" s="427"/>
      <c r="AR156" s="454"/>
      <c r="AS156" s="454"/>
      <c r="AT156" s="428"/>
      <c r="AU156" s="427"/>
      <c r="AV156" s="454"/>
      <c r="AW156" s="454"/>
      <c r="AX156" s="428"/>
      <c r="AY156" s="427"/>
      <c r="AZ156" s="454"/>
      <c r="BA156" s="454"/>
      <c r="BB156" s="428"/>
      <c r="BC156" s="427"/>
      <c r="BD156" s="454"/>
      <c r="BE156" s="454"/>
      <c r="BF156" s="428"/>
      <c r="BG156" s="427"/>
      <c r="BH156" s="454"/>
      <c r="BI156" s="454"/>
      <c r="BJ156" s="428"/>
      <c r="BK156" s="427"/>
      <c r="BL156" s="454"/>
      <c r="BM156" s="454"/>
      <c r="BN156" s="428"/>
      <c r="BO156" s="427"/>
      <c r="BP156" s="454"/>
      <c r="BQ156" s="454"/>
      <c r="BR156" s="428"/>
      <c r="BS156" s="427"/>
      <c r="BT156" s="454"/>
      <c r="BU156" s="454"/>
      <c r="BV156" s="428"/>
      <c r="BW156" s="427"/>
      <c r="BX156" s="454"/>
      <c r="BY156" s="454"/>
      <c r="BZ156" s="428"/>
      <c r="CA156" s="427"/>
      <c r="CB156" s="454"/>
      <c r="CC156" s="454"/>
      <c r="CD156" s="428"/>
      <c r="CE156" s="427"/>
      <c r="CF156" s="454"/>
      <c r="CG156" s="454"/>
      <c r="CH156" s="428"/>
      <c r="CI156" s="427"/>
      <c r="CJ156" s="454"/>
      <c r="CK156" s="454"/>
      <c r="CL156" s="428"/>
      <c r="CM156" s="427"/>
      <c r="CN156" s="454"/>
      <c r="CO156" s="454"/>
      <c r="CP156" s="428"/>
      <c r="CQ156" s="427"/>
      <c r="CR156" s="454"/>
      <c r="CS156" s="454"/>
      <c r="CT156" s="428"/>
      <c r="CU156" s="427"/>
      <c r="CV156" s="454"/>
      <c r="CW156" s="454"/>
      <c r="CX156" s="428"/>
      <c r="CY156" s="427"/>
      <c r="CZ156" s="454"/>
      <c r="DA156" s="454"/>
      <c r="DB156" s="428"/>
      <c r="DC156" s="427"/>
      <c r="DD156" s="454"/>
      <c r="DE156" s="454"/>
      <c r="DF156" s="428"/>
      <c r="DG156" s="427"/>
      <c r="DH156" s="454"/>
      <c r="DI156" s="454"/>
      <c r="DJ156" s="428"/>
      <c r="DK156" s="427"/>
      <c r="DL156" s="454"/>
      <c r="DM156" s="454"/>
      <c r="DN156" s="428"/>
      <c r="DO156" s="427"/>
      <c r="DP156" s="454"/>
      <c r="DQ156" s="454"/>
      <c r="DR156" s="428"/>
      <c r="DS156" s="427"/>
      <c r="DT156" s="454"/>
      <c r="DU156" s="454"/>
      <c r="DV156" s="428"/>
      <c r="DW156" s="427"/>
      <c r="DX156" s="454"/>
      <c r="DY156" s="454"/>
      <c r="DZ156" s="428"/>
      <c r="EA156" s="427"/>
      <c r="EB156" s="454"/>
      <c r="EC156" s="454"/>
      <c r="ED156" s="428"/>
      <c r="EE156" s="427"/>
      <c r="EF156" s="454"/>
      <c r="EG156" s="454"/>
      <c r="EH156" s="428"/>
      <c r="EI156" s="427"/>
      <c r="EJ156" s="454"/>
      <c r="EK156" s="454"/>
      <c r="EL156" s="428"/>
      <c r="EM156" s="427"/>
      <c r="EN156" s="454"/>
      <c r="EO156" s="454"/>
      <c r="EP156" s="428"/>
      <c r="EQ156" s="427"/>
      <c r="ER156" s="454"/>
      <c r="ES156" s="454"/>
      <c r="ET156" s="428"/>
      <c r="EU156" s="427"/>
      <c r="EV156" s="454"/>
      <c r="EW156" s="454"/>
      <c r="EX156" s="428"/>
      <c r="EY156" s="427"/>
      <c r="EZ156" s="454"/>
      <c r="FA156" s="454"/>
      <c r="FB156" s="428"/>
      <c r="FC156" s="427"/>
      <c r="FD156" s="454"/>
      <c r="FE156" s="454"/>
      <c r="FF156" s="428"/>
      <c r="FG156" s="427"/>
      <c r="FH156" s="454"/>
      <c r="FI156" s="454"/>
      <c r="FJ156" s="428"/>
      <c r="FK156" s="427"/>
      <c r="FL156" s="454"/>
      <c r="FM156" s="454"/>
      <c r="FN156" s="428"/>
      <c r="FO156" s="427"/>
      <c r="FP156" s="454"/>
      <c r="FQ156" s="454"/>
      <c r="FR156" s="428"/>
      <c r="FS156" s="427"/>
      <c r="FT156" s="454"/>
      <c r="FU156" s="454"/>
      <c r="FV156" s="428"/>
      <c r="FW156" s="427"/>
      <c r="FX156" s="454"/>
      <c r="FY156" s="454"/>
      <c r="FZ156" s="428"/>
      <c r="GA156" s="427"/>
      <c r="GB156" s="454"/>
      <c r="GC156" s="454"/>
      <c r="GD156" s="428"/>
      <c r="GE156" s="427"/>
      <c r="GF156" s="454"/>
      <c r="GG156" s="454"/>
      <c r="GH156" s="428"/>
      <c r="GI156" s="427"/>
      <c r="GJ156" s="454"/>
      <c r="GK156" s="454"/>
      <c r="GL156" s="428"/>
      <c r="GM156" s="427"/>
      <c r="GN156" s="454"/>
      <c r="GO156" s="454"/>
      <c r="GP156" s="428"/>
      <c r="GQ156" s="427"/>
      <c r="GR156" s="454"/>
      <c r="GS156" s="454"/>
      <c r="GT156" s="428"/>
      <c r="GU156" s="427"/>
      <c r="GV156" s="454"/>
      <c r="GW156" s="454"/>
      <c r="GX156" s="428"/>
      <c r="GY156" s="427"/>
      <c r="GZ156" s="454"/>
      <c r="HA156" s="454"/>
      <c r="HB156" s="428"/>
      <c r="HC156" s="434">
        <f t="shared" si="76"/>
        <v>0</v>
      </c>
      <c r="HD156" s="456"/>
      <c r="HE156" s="456"/>
      <c r="HF156" s="433"/>
      <c r="HG156" s="434">
        <f>SUM(SUMIFS(K156:HB156,$K$13:$HB$13,{"エネルギー管理指定工場等*","県域*"}))</f>
        <v>0</v>
      </c>
      <c r="HH156" s="456"/>
      <c r="HI156" s="456"/>
      <c r="HJ156" s="433"/>
    </row>
    <row r="157" spans="1:218" ht="19.8">
      <c r="A157" s="164"/>
      <c r="B157" s="421" t="s">
        <v>1438</v>
      </c>
      <c r="C157" s="422"/>
      <c r="D157" s="422"/>
      <c r="E157" s="422"/>
      <c r="F157" s="422"/>
      <c r="G157" s="422"/>
      <c r="H157" s="453"/>
      <c r="I157" s="425"/>
      <c r="J157" s="426"/>
      <c r="K157" s="427"/>
      <c r="L157" s="454"/>
      <c r="M157" s="454"/>
      <c r="N157" s="428"/>
      <c r="O157" s="427"/>
      <c r="P157" s="454"/>
      <c r="Q157" s="454"/>
      <c r="R157" s="428"/>
      <c r="S157" s="427"/>
      <c r="T157" s="454"/>
      <c r="U157" s="454"/>
      <c r="V157" s="428"/>
      <c r="W157" s="427"/>
      <c r="X157" s="454"/>
      <c r="Y157" s="454"/>
      <c r="Z157" s="428"/>
      <c r="AA157" s="427"/>
      <c r="AB157" s="454"/>
      <c r="AC157" s="454"/>
      <c r="AD157" s="428"/>
      <c r="AE157" s="427"/>
      <c r="AF157" s="454"/>
      <c r="AG157" s="454"/>
      <c r="AH157" s="428"/>
      <c r="AI157" s="427"/>
      <c r="AJ157" s="454"/>
      <c r="AK157" s="454"/>
      <c r="AL157" s="428"/>
      <c r="AM157" s="427"/>
      <c r="AN157" s="454"/>
      <c r="AO157" s="454"/>
      <c r="AP157" s="428"/>
      <c r="AQ157" s="427"/>
      <c r="AR157" s="454"/>
      <c r="AS157" s="454"/>
      <c r="AT157" s="428"/>
      <c r="AU157" s="427"/>
      <c r="AV157" s="454"/>
      <c r="AW157" s="454"/>
      <c r="AX157" s="428"/>
      <c r="AY157" s="427"/>
      <c r="AZ157" s="454"/>
      <c r="BA157" s="454"/>
      <c r="BB157" s="428"/>
      <c r="BC157" s="427"/>
      <c r="BD157" s="454"/>
      <c r="BE157" s="454"/>
      <c r="BF157" s="428"/>
      <c r="BG157" s="427"/>
      <c r="BH157" s="454"/>
      <c r="BI157" s="454"/>
      <c r="BJ157" s="428"/>
      <c r="BK157" s="427"/>
      <c r="BL157" s="454"/>
      <c r="BM157" s="454"/>
      <c r="BN157" s="428"/>
      <c r="BO157" s="427"/>
      <c r="BP157" s="454"/>
      <c r="BQ157" s="454"/>
      <c r="BR157" s="428"/>
      <c r="BS157" s="427"/>
      <c r="BT157" s="454"/>
      <c r="BU157" s="454"/>
      <c r="BV157" s="428"/>
      <c r="BW157" s="427"/>
      <c r="BX157" s="454"/>
      <c r="BY157" s="454"/>
      <c r="BZ157" s="428"/>
      <c r="CA157" s="427"/>
      <c r="CB157" s="454"/>
      <c r="CC157" s="454"/>
      <c r="CD157" s="428"/>
      <c r="CE157" s="427"/>
      <c r="CF157" s="454"/>
      <c r="CG157" s="454"/>
      <c r="CH157" s="428"/>
      <c r="CI157" s="427"/>
      <c r="CJ157" s="454"/>
      <c r="CK157" s="454"/>
      <c r="CL157" s="428"/>
      <c r="CM157" s="427"/>
      <c r="CN157" s="454"/>
      <c r="CO157" s="454"/>
      <c r="CP157" s="428"/>
      <c r="CQ157" s="427"/>
      <c r="CR157" s="454"/>
      <c r="CS157" s="454"/>
      <c r="CT157" s="428"/>
      <c r="CU157" s="427"/>
      <c r="CV157" s="454"/>
      <c r="CW157" s="454"/>
      <c r="CX157" s="428"/>
      <c r="CY157" s="427"/>
      <c r="CZ157" s="454"/>
      <c r="DA157" s="454"/>
      <c r="DB157" s="428"/>
      <c r="DC157" s="427"/>
      <c r="DD157" s="454"/>
      <c r="DE157" s="454"/>
      <c r="DF157" s="428"/>
      <c r="DG157" s="427"/>
      <c r="DH157" s="454"/>
      <c r="DI157" s="454"/>
      <c r="DJ157" s="428"/>
      <c r="DK157" s="427"/>
      <c r="DL157" s="454"/>
      <c r="DM157" s="454"/>
      <c r="DN157" s="428"/>
      <c r="DO157" s="427"/>
      <c r="DP157" s="454"/>
      <c r="DQ157" s="454"/>
      <c r="DR157" s="428"/>
      <c r="DS157" s="427"/>
      <c r="DT157" s="454"/>
      <c r="DU157" s="454"/>
      <c r="DV157" s="428"/>
      <c r="DW157" s="427"/>
      <c r="DX157" s="454"/>
      <c r="DY157" s="454"/>
      <c r="DZ157" s="428"/>
      <c r="EA157" s="427"/>
      <c r="EB157" s="454"/>
      <c r="EC157" s="454"/>
      <c r="ED157" s="428"/>
      <c r="EE157" s="427"/>
      <c r="EF157" s="454"/>
      <c r="EG157" s="454"/>
      <c r="EH157" s="428"/>
      <c r="EI157" s="427"/>
      <c r="EJ157" s="454"/>
      <c r="EK157" s="454"/>
      <c r="EL157" s="428"/>
      <c r="EM157" s="427"/>
      <c r="EN157" s="454"/>
      <c r="EO157" s="454"/>
      <c r="EP157" s="428"/>
      <c r="EQ157" s="427"/>
      <c r="ER157" s="454"/>
      <c r="ES157" s="454"/>
      <c r="ET157" s="428"/>
      <c r="EU157" s="427"/>
      <c r="EV157" s="454"/>
      <c r="EW157" s="454"/>
      <c r="EX157" s="428"/>
      <c r="EY157" s="427"/>
      <c r="EZ157" s="454"/>
      <c r="FA157" s="454"/>
      <c r="FB157" s="428"/>
      <c r="FC157" s="427"/>
      <c r="FD157" s="454"/>
      <c r="FE157" s="454"/>
      <c r="FF157" s="428"/>
      <c r="FG157" s="427"/>
      <c r="FH157" s="454"/>
      <c r="FI157" s="454"/>
      <c r="FJ157" s="428"/>
      <c r="FK157" s="427"/>
      <c r="FL157" s="454"/>
      <c r="FM157" s="454"/>
      <c r="FN157" s="428"/>
      <c r="FO157" s="427"/>
      <c r="FP157" s="454"/>
      <c r="FQ157" s="454"/>
      <c r="FR157" s="428"/>
      <c r="FS157" s="427"/>
      <c r="FT157" s="454"/>
      <c r="FU157" s="454"/>
      <c r="FV157" s="428"/>
      <c r="FW157" s="427"/>
      <c r="FX157" s="454"/>
      <c r="FY157" s="454"/>
      <c r="FZ157" s="428"/>
      <c r="GA157" s="427"/>
      <c r="GB157" s="454"/>
      <c r="GC157" s="454"/>
      <c r="GD157" s="428"/>
      <c r="GE157" s="427"/>
      <c r="GF157" s="454"/>
      <c r="GG157" s="454"/>
      <c r="GH157" s="428"/>
      <c r="GI157" s="427"/>
      <c r="GJ157" s="454"/>
      <c r="GK157" s="454"/>
      <c r="GL157" s="428"/>
      <c r="GM157" s="427"/>
      <c r="GN157" s="454"/>
      <c r="GO157" s="454"/>
      <c r="GP157" s="428"/>
      <c r="GQ157" s="427"/>
      <c r="GR157" s="454"/>
      <c r="GS157" s="454"/>
      <c r="GT157" s="428"/>
      <c r="GU157" s="427"/>
      <c r="GV157" s="454"/>
      <c r="GW157" s="454"/>
      <c r="GX157" s="428"/>
      <c r="GY157" s="427"/>
      <c r="GZ157" s="454"/>
      <c r="HA157" s="454"/>
      <c r="HB157" s="428"/>
      <c r="HC157" s="434">
        <f t="shared" si="76"/>
        <v>0</v>
      </c>
      <c r="HD157" s="456"/>
      <c r="HE157" s="456"/>
      <c r="HF157" s="433"/>
      <c r="HG157" s="434">
        <f>SUM(SUMIFS(K157:HB157,$K$13:$HB$13,{"エネルギー管理指定工場等*","県域*"}))</f>
        <v>0</v>
      </c>
      <c r="HH157" s="456"/>
      <c r="HI157" s="456"/>
      <c r="HJ157" s="433"/>
    </row>
    <row r="158" spans="1:218" ht="19.8">
      <c r="A158" s="164"/>
      <c r="B158" s="421" t="s">
        <v>1439</v>
      </c>
      <c r="C158" s="422"/>
      <c r="D158" s="422"/>
      <c r="E158" s="422"/>
      <c r="F158" s="422"/>
      <c r="G158" s="422"/>
      <c r="H158" s="453"/>
      <c r="I158" s="425"/>
      <c r="J158" s="426"/>
      <c r="K158" s="427"/>
      <c r="L158" s="454"/>
      <c r="M158" s="454"/>
      <c r="N158" s="428"/>
      <c r="O158" s="427"/>
      <c r="P158" s="454"/>
      <c r="Q158" s="454"/>
      <c r="R158" s="428"/>
      <c r="S158" s="427"/>
      <c r="T158" s="454"/>
      <c r="U158" s="454"/>
      <c r="V158" s="428"/>
      <c r="W158" s="427"/>
      <c r="X158" s="454"/>
      <c r="Y158" s="454"/>
      <c r="Z158" s="428"/>
      <c r="AA158" s="427"/>
      <c r="AB158" s="454"/>
      <c r="AC158" s="454"/>
      <c r="AD158" s="428"/>
      <c r="AE158" s="427"/>
      <c r="AF158" s="454"/>
      <c r="AG158" s="454"/>
      <c r="AH158" s="428"/>
      <c r="AI158" s="427"/>
      <c r="AJ158" s="454"/>
      <c r="AK158" s="454"/>
      <c r="AL158" s="428"/>
      <c r="AM158" s="427"/>
      <c r="AN158" s="454"/>
      <c r="AO158" s="454"/>
      <c r="AP158" s="428"/>
      <c r="AQ158" s="427"/>
      <c r="AR158" s="454"/>
      <c r="AS158" s="454"/>
      <c r="AT158" s="428"/>
      <c r="AU158" s="427"/>
      <c r="AV158" s="454"/>
      <c r="AW158" s="454"/>
      <c r="AX158" s="428"/>
      <c r="AY158" s="427"/>
      <c r="AZ158" s="454"/>
      <c r="BA158" s="454"/>
      <c r="BB158" s="428"/>
      <c r="BC158" s="427"/>
      <c r="BD158" s="454"/>
      <c r="BE158" s="454"/>
      <c r="BF158" s="428"/>
      <c r="BG158" s="427"/>
      <c r="BH158" s="454"/>
      <c r="BI158" s="454"/>
      <c r="BJ158" s="428"/>
      <c r="BK158" s="427"/>
      <c r="BL158" s="454"/>
      <c r="BM158" s="454"/>
      <c r="BN158" s="428"/>
      <c r="BO158" s="427"/>
      <c r="BP158" s="454"/>
      <c r="BQ158" s="454"/>
      <c r="BR158" s="428"/>
      <c r="BS158" s="427"/>
      <c r="BT158" s="454"/>
      <c r="BU158" s="454"/>
      <c r="BV158" s="428"/>
      <c r="BW158" s="427"/>
      <c r="BX158" s="454"/>
      <c r="BY158" s="454"/>
      <c r="BZ158" s="428"/>
      <c r="CA158" s="427"/>
      <c r="CB158" s="454"/>
      <c r="CC158" s="454"/>
      <c r="CD158" s="428"/>
      <c r="CE158" s="427"/>
      <c r="CF158" s="454"/>
      <c r="CG158" s="454"/>
      <c r="CH158" s="428"/>
      <c r="CI158" s="427"/>
      <c r="CJ158" s="454"/>
      <c r="CK158" s="454"/>
      <c r="CL158" s="428"/>
      <c r="CM158" s="427"/>
      <c r="CN158" s="454"/>
      <c r="CO158" s="454"/>
      <c r="CP158" s="428"/>
      <c r="CQ158" s="427"/>
      <c r="CR158" s="454"/>
      <c r="CS158" s="454"/>
      <c r="CT158" s="428"/>
      <c r="CU158" s="427"/>
      <c r="CV158" s="454"/>
      <c r="CW158" s="454"/>
      <c r="CX158" s="428"/>
      <c r="CY158" s="427"/>
      <c r="CZ158" s="454"/>
      <c r="DA158" s="454"/>
      <c r="DB158" s="428"/>
      <c r="DC158" s="427"/>
      <c r="DD158" s="454"/>
      <c r="DE158" s="454"/>
      <c r="DF158" s="428"/>
      <c r="DG158" s="427"/>
      <c r="DH158" s="454"/>
      <c r="DI158" s="454"/>
      <c r="DJ158" s="428"/>
      <c r="DK158" s="427"/>
      <c r="DL158" s="454"/>
      <c r="DM158" s="454"/>
      <c r="DN158" s="428"/>
      <c r="DO158" s="427"/>
      <c r="DP158" s="454"/>
      <c r="DQ158" s="454"/>
      <c r="DR158" s="428"/>
      <c r="DS158" s="427"/>
      <c r="DT158" s="454"/>
      <c r="DU158" s="454"/>
      <c r="DV158" s="428"/>
      <c r="DW158" s="427"/>
      <c r="DX158" s="454"/>
      <c r="DY158" s="454"/>
      <c r="DZ158" s="428"/>
      <c r="EA158" s="427"/>
      <c r="EB158" s="454"/>
      <c r="EC158" s="454"/>
      <c r="ED158" s="428"/>
      <c r="EE158" s="427"/>
      <c r="EF158" s="454"/>
      <c r="EG158" s="454"/>
      <c r="EH158" s="428"/>
      <c r="EI158" s="427"/>
      <c r="EJ158" s="454"/>
      <c r="EK158" s="454"/>
      <c r="EL158" s="428"/>
      <c r="EM158" s="427"/>
      <c r="EN158" s="454"/>
      <c r="EO158" s="454"/>
      <c r="EP158" s="428"/>
      <c r="EQ158" s="427"/>
      <c r="ER158" s="454"/>
      <c r="ES158" s="454"/>
      <c r="ET158" s="428"/>
      <c r="EU158" s="427"/>
      <c r="EV158" s="454"/>
      <c r="EW158" s="454"/>
      <c r="EX158" s="428"/>
      <c r="EY158" s="427"/>
      <c r="EZ158" s="454"/>
      <c r="FA158" s="454"/>
      <c r="FB158" s="428"/>
      <c r="FC158" s="427"/>
      <c r="FD158" s="454"/>
      <c r="FE158" s="454"/>
      <c r="FF158" s="428"/>
      <c r="FG158" s="427"/>
      <c r="FH158" s="454"/>
      <c r="FI158" s="454"/>
      <c r="FJ158" s="428"/>
      <c r="FK158" s="427"/>
      <c r="FL158" s="454"/>
      <c r="FM158" s="454"/>
      <c r="FN158" s="428"/>
      <c r="FO158" s="427"/>
      <c r="FP158" s="454"/>
      <c r="FQ158" s="454"/>
      <c r="FR158" s="428"/>
      <c r="FS158" s="427"/>
      <c r="FT158" s="454"/>
      <c r="FU158" s="454"/>
      <c r="FV158" s="428"/>
      <c r="FW158" s="427"/>
      <c r="FX158" s="454"/>
      <c r="FY158" s="454"/>
      <c r="FZ158" s="428"/>
      <c r="GA158" s="427"/>
      <c r="GB158" s="454"/>
      <c r="GC158" s="454"/>
      <c r="GD158" s="428"/>
      <c r="GE158" s="427"/>
      <c r="GF158" s="454"/>
      <c r="GG158" s="454"/>
      <c r="GH158" s="428"/>
      <c r="GI158" s="427"/>
      <c r="GJ158" s="454"/>
      <c r="GK158" s="454"/>
      <c r="GL158" s="428"/>
      <c r="GM158" s="427"/>
      <c r="GN158" s="454"/>
      <c r="GO158" s="454"/>
      <c r="GP158" s="428"/>
      <c r="GQ158" s="427"/>
      <c r="GR158" s="454"/>
      <c r="GS158" s="454"/>
      <c r="GT158" s="428"/>
      <c r="GU158" s="427"/>
      <c r="GV158" s="454"/>
      <c r="GW158" s="454"/>
      <c r="GX158" s="428"/>
      <c r="GY158" s="427"/>
      <c r="GZ158" s="454"/>
      <c r="HA158" s="454"/>
      <c r="HB158" s="428"/>
      <c r="HC158" s="434">
        <f t="shared" si="76"/>
        <v>0</v>
      </c>
      <c r="HD158" s="456"/>
      <c r="HE158" s="456"/>
      <c r="HF158" s="433"/>
      <c r="HG158" s="434">
        <f>SUM(SUMIFS(K158:HB158,$K$13:$HB$13,{"エネルギー管理指定工場等*","県域*"}))</f>
        <v>0</v>
      </c>
      <c r="HH158" s="456"/>
      <c r="HI158" s="456"/>
      <c r="HJ158" s="433"/>
    </row>
    <row r="159" spans="1:218" ht="19.8">
      <c r="A159" s="164"/>
      <c r="B159" s="421" t="s">
        <v>1440</v>
      </c>
      <c r="C159" s="422"/>
      <c r="D159" s="422"/>
      <c r="E159" s="422"/>
      <c r="F159" s="422"/>
      <c r="G159" s="422"/>
      <c r="H159" s="453"/>
      <c r="I159" s="425"/>
      <c r="J159" s="426"/>
      <c r="K159" s="427"/>
      <c r="L159" s="454"/>
      <c r="M159" s="454"/>
      <c r="N159" s="428"/>
      <c r="O159" s="427"/>
      <c r="P159" s="454"/>
      <c r="Q159" s="454"/>
      <c r="R159" s="428"/>
      <c r="S159" s="427"/>
      <c r="T159" s="454"/>
      <c r="U159" s="454"/>
      <c r="V159" s="428"/>
      <c r="W159" s="427"/>
      <c r="X159" s="454"/>
      <c r="Y159" s="454"/>
      <c r="Z159" s="428"/>
      <c r="AA159" s="427"/>
      <c r="AB159" s="454"/>
      <c r="AC159" s="454"/>
      <c r="AD159" s="428"/>
      <c r="AE159" s="427"/>
      <c r="AF159" s="454"/>
      <c r="AG159" s="454"/>
      <c r="AH159" s="428"/>
      <c r="AI159" s="427"/>
      <c r="AJ159" s="454"/>
      <c r="AK159" s="454"/>
      <c r="AL159" s="428"/>
      <c r="AM159" s="427"/>
      <c r="AN159" s="454"/>
      <c r="AO159" s="454"/>
      <c r="AP159" s="428"/>
      <c r="AQ159" s="427"/>
      <c r="AR159" s="454"/>
      <c r="AS159" s="454"/>
      <c r="AT159" s="428"/>
      <c r="AU159" s="427"/>
      <c r="AV159" s="454"/>
      <c r="AW159" s="454"/>
      <c r="AX159" s="428"/>
      <c r="AY159" s="427"/>
      <c r="AZ159" s="454"/>
      <c r="BA159" s="454"/>
      <c r="BB159" s="428"/>
      <c r="BC159" s="427"/>
      <c r="BD159" s="454"/>
      <c r="BE159" s="454"/>
      <c r="BF159" s="428"/>
      <c r="BG159" s="427"/>
      <c r="BH159" s="454"/>
      <c r="BI159" s="454"/>
      <c r="BJ159" s="428"/>
      <c r="BK159" s="427"/>
      <c r="BL159" s="454"/>
      <c r="BM159" s="454"/>
      <c r="BN159" s="428"/>
      <c r="BO159" s="427"/>
      <c r="BP159" s="454"/>
      <c r="BQ159" s="454"/>
      <c r="BR159" s="428"/>
      <c r="BS159" s="427"/>
      <c r="BT159" s="454"/>
      <c r="BU159" s="454"/>
      <c r="BV159" s="428"/>
      <c r="BW159" s="427"/>
      <c r="BX159" s="454"/>
      <c r="BY159" s="454"/>
      <c r="BZ159" s="428"/>
      <c r="CA159" s="427"/>
      <c r="CB159" s="454"/>
      <c r="CC159" s="454"/>
      <c r="CD159" s="428"/>
      <c r="CE159" s="427"/>
      <c r="CF159" s="454"/>
      <c r="CG159" s="454"/>
      <c r="CH159" s="428"/>
      <c r="CI159" s="427"/>
      <c r="CJ159" s="454"/>
      <c r="CK159" s="454"/>
      <c r="CL159" s="428"/>
      <c r="CM159" s="427"/>
      <c r="CN159" s="454"/>
      <c r="CO159" s="454"/>
      <c r="CP159" s="428"/>
      <c r="CQ159" s="427"/>
      <c r="CR159" s="454"/>
      <c r="CS159" s="454"/>
      <c r="CT159" s="428"/>
      <c r="CU159" s="427"/>
      <c r="CV159" s="454"/>
      <c r="CW159" s="454"/>
      <c r="CX159" s="428"/>
      <c r="CY159" s="427"/>
      <c r="CZ159" s="454"/>
      <c r="DA159" s="454"/>
      <c r="DB159" s="428"/>
      <c r="DC159" s="427"/>
      <c r="DD159" s="454"/>
      <c r="DE159" s="454"/>
      <c r="DF159" s="428"/>
      <c r="DG159" s="427"/>
      <c r="DH159" s="454"/>
      <c r="DI159" s="454"/>
      <c r="DJ159" s="428"/>
      <c r="DK159" s="427"/>
      <c r="DL159" s="454"/>
      <c r="DM159" s="454"/>
      <c r="DN159" s="428"/>
      <c r="DO159" s="427"/>
      <c r="DP159" s="454"/>
      <c r="DQ159" s="454"/>
      <c r="DR159" s="428"/>
      <c r="DS159" s="427"/>
      <c r="DT159" s="454"/>
      <c r="DU159" s="454"/>
      <c r="DV159" s="428"/>
      <c r="DW159" s="427"/>
      <c r="DX159" s="454"/>
      <c r="DY159" s="454"/>
      <c r="DZ159" s="428"/>
      <c r="EA159" s="427"/>
      <c r="EB159" s="454"/>
      <c r="EC159" s="454"/>
      <c r="ED159" s="428"/>
      <c r="EE159" s="427"/>
      <c r="EF159" s="454"/>
      <c r="EG159" s="454"/>
      <c r="EH159" s="428"/>
      <c r="EI159" s="427"/>
      <c r="EJ159" s="454"/>
      <c r="EK159" s="454"/>
      <c r="EL159" s="428"/>
      <c r="EM159" s="427"/>
      <c r="EN159" s="454"/>
      <c r="EO159" s="454"/>
      <c r="EP159" s="428"/>
      <c r="EQ159" s="427"/>
      <c r="ER159" s="454"/>
      <c r="ES159" s="454"/>
      <c r="ET159" s="428"/>
      <c r="EU159" s="427"/>
      <c r="EV159" s="454"/>
      <c r="EW159" s="454"/>
      <c r="EX159" s="428"/>
      <c r="EY159" s="427"/>
      <c r="EZ159" s="454"/>
      <c r="FA159" s="454"/>
      <c r="FB159" s="428"/>
      <c r="FC159" s="427"/>
      <c r="FD159" s="454"/>
      <c r="FE159" s="454"/>
      <c r="FF159" s="428"/>
      <c r="FG159" s="427"/>
      <c r="FH159" s="454"/>
      <c r="FI159" s="454"/>
      <c r="FJ159" s="428"/>
      <c r="FK159" s="427"/>
      <c r="FL159" s="454"/>
      <c r="FM159" s="454"/>
      <c r="FN159" s="428"/>
      <c r="FO159" s="427"/>
      <c r="FP159" s="454"/>
      <c r="FQ159" s="454"/>
      <c r="FR159" s="428"/>
      <c r="FS159" s="427"/>
      <c r="FT159" s="454"/>
      <c r="FU159" s="454"/>
      <c r="FV159" s="428"/>
      <c r="FW159" s="427"/>
      <c r="FX159" s="454"/>
      <c r="FY159" s="454"/>
      <c r="FZ159" s="428"/>
      <c r="GA159" s="427"/>
      <c r="GB159" s="454"/>
      <c r="GC159" s="454"/>
      <c r="GD159" s="428"/>
      <c r="GE159" s="427"/>
      <c r="GF159" s="454"/>
      <c r="GG159" s="454"/>
      <c r="GH159" s="428"/>
      <c r="GI159" s="427"/>
      <c r="GJ159" s="454"/>
      <c r="GK159" s="454"/>
      <c r="GL159" s="428"/>
      <c r="GM159" s="427"/>
      <c r="GN159" s="454"/>
      <c r="GO159" s="454"/>
      <c r="GP159" s="428"/>
      <c r="GQ159" s="427"/>
      <c r="GR159" s="454"/>
      <c r="GS159" s="454"/>
      <c r="GT159" s="428"/>
      <c r="GU159" s="427"/>
      <c r="GV159" s="454"/>
      <c r="GW159" s="454"/>
      <c r="GX159" s="428"/>
      <c r="GY159" s="427"/>
      <c r="GZ159" s="454"/>
      <c r="HA159" s="454"/>
      <c r="HB159" s="428"/>
      <c r="HC159" s="434">
        <f t="shared" si="76"/>
        <v>0</v>
      </c>
      <c r="HD159" s="456"/>
      <c r="HE159" s="456"/>
      <c r="HF159" s="433"/>
      <c r="HG159" s="434">
        <f>SUM(SUMIFS(K159:HB159,$K$13:$HB$13,{"エネルギー管理指定工場等*","県域*"}))</f>
        <v>0</v>
      </c>
      <c r="HH159" s="456"/>
      <c r="HI159" s="456"/>
      <c r="HJ159" s="433"/>
    </row>
    <row r="160" spans="1:218" ht="20.399999999999999" thickBot="1">
      <c r="A160" s="164"/>
      <c r="B160" s="483" t="s">
        <v>1441</v>
      </c>
      <c r="C160" s="458"/>
      <c r="D160" s="458"/>
      <c r="E160" s="458"/>
      <c r="F160" s="458"/>
      <c r="G160" s="458"/>
      <c r="H160" s="459"/>
      <c r="I160" s="484"/>
      <c r="J160" s="485"/>
      <c r="K160" s="486"/>
      <c r="L160" s="487"/>
      <c r="M160" s="487"/>
      <c r="N160" s="488"/>
      <c r="O160" s="486"/>
      <c r="P160" s="487"/>
      <c r="Q160" s="487"/>
      <c r="R160" s="488"/>
      <c r="S160" s="486"/>
      <c r="T160" s="487"/>
      <c r="U160" s="487"/>
      <c r="V160" s="488"/>
      <c r="W160" s="486"/>
      <c r="X160" s="487"/>
      <c r="Y160" s="487"/>
      <c r="Z160" s="488"/>
      <c r="AA160" s="486"/>
      <c r="AB160" s="487"/>
      <c r="AC160" s="487"/>
      <c r="AD160" s="488"/>
      <c r="AE160" s="460"/>
      <c r="AF160" s="461"/>
      <c r="AG160" s="487"/>
      <c r="AH160" s="488"/>
      <c r="AI160" s="486"/>
      <c r="AJ160" s="487"/>
      <c r="AK160" s="487"/>
      <c r="AL160" s="488"/>
      <c r="AM160" s="486"/>
      <c r="AN160" s="487"/>
      <c r="AO160" s="487"/>
      <c r="AP160" s="488"/>
      <c r="AQ160" s="486"/>
      <c r="AR160" s="487"/>
      <c r="AS160" s="487"/>
      <c r="AT160" s="488"/>
      <c r="AU160" s="486"/>
      <c r="AV160" s="487"/>
      <c r="AW160" s="487"/>
      <c r="AX160" s="488"/>
      <c r="AY160" s="486"/>
      <c r="AZ160" s="487"/>
      <c r="BA160" s="487"/>
      <c r="BB160" s="488"/>
      <c r="BC160" s="486"/>
      <c r="BD160" s="487"/>
      <c r="BE160" s="487"/>
      <c r="BF160" s="488"/>
      <c r="BG160" s="486"/>
      <c r="BH160" s="487"/>
      <c r="BI160" s="487"/>
      <c r="BJ160" s="488"/>
      <c r="BK160" s="486"/>
      <c r="BL160" s="487"/>
      <c r="BM160" s="487"/>
      <c r="BN160" s="488"/>
      <c r="BO160" s="486"/>
      <c r="BP160" s="487"/>
      <c r="BQ160" s="487"/>
      <c r="BR160" s="488"/>
      <c r="BS160" s="486"/>
      <c r="BT160" s="487"/>
      <c r="BU160" s="487"/>
      <c r="BV160" s="488"/>
      <c r="BW160" s="486"/>
      <c r="BX160" s="487"/>
      <c r="BY160" s="487"/>
      <c r="BZ160" s="488"/>
      <c r="CA160" s="486"/>
      <c r="CB160" s="487"/>
      <c r="CC160" s="487"/>
      <c r="CD160" s="488"/>
      <c r="CE160" s="486"/>
      <c r="CF160" s="487"/>
      <c r="CG160" s="487"/>
      <c r="CH160" s="488"/>
      <c r="CI160" s="486"/>
      <c r="CJ160" s="487"/>
      <c r="CK160" s="487"/>
      <c r="CL160" s="488"/>
      <c r="CM160" s="486"/>
      <c r="CN160" s="487"/>
      <c r="CO160" s="487"/>
      <c r="CP160" s="488"/>
      <c r="CQ160" s="486"/>
      <c r="CR160" s="487"/>
      <c r="CS160" s="487"/>
      <c r="CT160" s="488"/>
      <c r="CU160" s="486"/>
      <c r="CV160" s="487"/>
      <c r="CW160" s="487"/>
      <c r="CX160" s="488"/>
      <c r="CY160" s="486"/>
      <c r="CZ160" s="487"/>
      <c r="DA160" s="487"/>
      <c r="DB160" s="488"/>
      <c r="DC160" s="486"/>
      <c r="DD160" s="487"/>
      <c r="DE160" s="487"/>
      <c r="DF160" s="488"/>
      <c r="DG160" s="486"/>
      <c r="DH160" s="487"/>
      <c r="DI160" s="487"/>
      <c r="DJ160" s="488"/>
      <c r="DK160" s="486"/>
      <c r="DL160" s="487"/>
      <c r="DM160" s="487"/>
      <c r="DN160" s="488"/>
      <c r="DO160" s="486"/>
      <c r="DP160" s="487"/>
      <c r="DQ160" s="487"/>
      <c r="DR160" s="488"/>
      <c r="DS160" s="486"/>
      <c r="DT160" s="487"/>
      <c r="DU160" s="487"/>
      <c r="DV160" s="488"/>
      <c r="DW160" s="486"/>
      <c r="DX160" s="487"/>
      <c r="DY160" s="487"/>
      <c r="DZ160" s="488"/>
      <c r="EA160" s="486"/>
      <c r="EB160" s="487"/>
      <c r="EC160" s="487"/>
      <c r="ED160" s="488"/>
      <c r="EE160" s="486"/>
      <c r="EF160" s="487"/>
      <c r="EG160" s="487"/>
      <c r="EH160" s="488"/>
      <c r="EI160" s="486"/>
      <c r="EJ160" s="487"/>
      <c r="EK160" s="487"/>
      <c r="EL160" s="488"/>
      <c r="EM160" s="486"/>
      <c r="EN160" s="487"/>
      <c r="EO160" s="487"/>
      <c r="EP160" s="488"/>
      <c r="EQ160" s="486"/>
      <c r="ER160" s="487"/>
      <c r="ES160" s="487"/>
      <c r="ET160" s="488"/>
      <c r="EU160" s="486"/>
      <c r="EV160" s="487"/>
      <c r="EW160" s="487"/>
      <c r="EX160" s="488"/>
      <c r="EY160" s="486"/>
      <c r="EZ160" s="487"/>
      <c r="FA160" s="487"/>
      <c r="FB160" s="488"/>
      <c r="FC160" s="486"/>
      <c r="FD160" s="487"/>
      <c r="FE160" s="487"/>
      <c r="FF160" s="488"/>
      <c r="FG160" s="486"/>
      <c r="FH160" s="487"/>
      <c r="FI160" s="487"/>
      <c r="FJ160" s="488"/>
      <c r="FK160" s="486"/>
      <c r="FL160" s="487"/>
      <c r="FM160" s="487"/>
      <c r="FN160" s="488"/>
      <c r="FO160" s="486"/>
      <c r="FP160" s="487"/>
      <c r="FQ160" s="487"/>
      <c r="FR160" s="488"/>
      <c r="FS160" s="486"/>
      <c r="FT160" s="487"/>
      <c r="FU160" s="487"/>
      <c r="FV160" s="488"/>
      <c r="FW160" s="486"/>
      <c r="FX160" s="487"/>
      <c r="FY160" s="487"/>
      <c r="FZ160" s="488"/>
      <c r="GA160" s="486"/>
      <c r="GB160" s="487"/>
      <c r="GC160" s="487"/>
      <c r="GD160" s="488"/>
      <c r="GE160" s="486"/>
      <c r="GF160" s="487"/>
      <c r="GG160" s="487"/>
      <c r="GH160" s="488"/>
      <c r="GI160" s="486"/>
      <c r="GJ160" s="487"/>
      <c r="GK160" s="487"/>
      <c r="GL160" s="488"/>
      <c r="GM160" s="486"/>
      <c r="GN160" s="487"/>
      <c r="GO160" s="487"/>
      <c r="GP160" s="488"/>
      <c r="GQ160" s="486"/>
      <c r="GR160" s="487"/>
      <c r="GS160" s="487"/>
      <c r="GT160" s="488"/>
      <c r="GU160" s="486"/>
      <c r="GV160" s="487"/>
      <c r="GW160" s="487"/>
      <c r="GX160" s="488"/>
      <c r="GY160" s="486"/>
      <c r="GZ160" s="487"/>
      <c r="HA160" s="487"/>
      <c r="HB160" s="488"/>
      <c r="HC160" s="489">
        <f t="shared" si="76"/>
        <v>0</v>
      </c>
      <c r="HD160" s="490"/>
      <c r="HE160" s="490"/>
      <c r="HF160" s="491"/>
      <c r="HG160" s="489">
        <f>SUM(SUMIFS(K160:HB160,$K$13:$HB$13,{"エネルギー管理指定工場等*","県域*"}))</f>
        <v>0</v>
      </c>
      <c r="HH160" s="490"/>
      <c r="HI160" s="490"/>
      <c r="HJ160" s="491"/>
    </row>
    <row r="161" spans="1:210" ht="19.8">
      <c r="A161" s="164"/>
      <c r="B161" s="492" t="s">
        <v>1442</v>
      </c>
      <c r="C161" s="374" t="s">
        <v>1443</v>
      </c>
      <c r="D161" s="376"/>
      <c r="E161" s="376"/>
      <c r="F161" s="493"/>
      <c r="G161" s="492" t="s">
        <v>631</v>
      </c>
      <c r="H161" s="493"/>
      <c r="I161" s="293" t="s">
        <v>632</v>
      </c>
      <c r="J161" s="399" t="s">
        <v>633</v>
      </c>
      <c r="K161" s="494" t="s">
        <v>1444</v>
      </c>
      <c r="L161" s="254" t="s">
        <v>1445</v>
      </c>
      <c r="M161" s="254" t="s">
        <v>1446</v>
      </c>
      <c r="N161" s="254" t="s">
        <v>1447</v>
      </c>
      <c r="O161" s="492"/>
      <c r="P161" s="376"/>
      <c r="Q161" s="200"/>
      <c r="R161" s="251"/>
      <c r="S161" s="251"/>
      <c r="T161" s="251"/>
      <c r="U161" s="200"/>
      <c r="V161" s="251"/>
      <c r="W161" s="251"/>
      <c r="X161" s="251"/>
      <c r="Y161" s="200"/>
      <c r="Z161" s="251"/>
      <c r="AA161" s="251"/>
      <c r="AB161" s="251"/>
      <c r="AC161" s="200"/>
      <c r="AD161" s="251"/>
      <c r="AE161" s="376"/>
      <c r="AF161" s="376"/>
      <c r="AG161" s="251"/>
      <c r="AH161" s="251"/>
      <c r="AI161" s="251"/>
      <c r="AJ161" s="251"/>
      <c r="AK161" s="251"/>
      <c r="AL161" s="251"/>
      <c r="AM161" s="251"/>
      <c r="AN161" s="251"/>
      <c r="AO161" s="495"/>
      <c r="AP161" s="495"/>
      <c r="AQ161" s="249"/>
      <c r="AR161" s="249"/>
      <c r="AS161" s="249"/>
      <c r="AT161" s="249"/>
      <c r="AU161" s="249"/>
      <c r="AV161" s="249"/>
      <c r="AW161" s="251"/>
      <c r="AX161" s="251"/>
      <c r="AY161" s="251"/>
      <c r="AZ161" s="251"/>
      <c r="BA161" s="251"/>
      <c r="BB161" s="251"/>
      <c r="BC161" s="251"/>
      <c r="BD161" s="251"/>
      <c r="BE161" s="251"/>
      <c r="BF161" s="251"/>
      <c r="BG161" s="251"/>
      <c r="BH161" s="251"/>
      <c r="BI161" s="251"/>
      <c r="BJ161" s="251"/>
      <c r="BK161" s="251"/>
      <c r="BL161" s="251"/>
      <c r="BM161" s="251"/>
      <c r="BN161" s="251"/>
      <c r="BO161" s="251"/>
      <c r="BP161" s="251"/>
      <c r="BQ161" s="249"/>
      <c r="BR161" s="249"/>
      <c r="BS161" s="249"/>
      <c r="BT161" s="249"/>
      <c r="BU161" s="249"/>
      <c r="BV161" s="249"/>
      <c r="BW161" s="496"/>
      <c r="BX161" s="496"/>
      <c r="BY161" s="496"/>
      <c r="BZ161" s="496"/>
      <c r="CA161" s="496"/>
      <c r="CB161" s="496"/>
      <c r="CC161" s="496"/>
      <c r="CD161" s="496"/>
      <c r="CE161" s="496"/>
      <c r="CF161" s="496"/>
      <c r="CG161" s="496"/>
      <c r="CH161" s="496"/>
      <c r="CI161" s="496"/>
      <c r="CJ161" s="496"/>
      <c r="CK161" s="496"/>
      <c r="CL161" s="496"/>
      <c r="CM161" s="496"/>
      <c r="CN161" s="496"/>
      <c r="CO161" s="496"/>
      <c r="CP161" s="496"/>
      <c r="CQ161" s="496"/>
      <c r="CR161" s="496"/>
      <c r="CS161" s="496"/>
      <c r="CT161" s="496"/>
      <c r="CU161" s="496"/>
      <c r="CV161" s="496"/>
      <c r="CW161" s="496"/>
      <c r="CX161" s="496"/>
      <c r="CY161" s="496"/>
      <c r="CZ161" s="496"/>
      <c r="DA161" s="496"/>
      <c r="DB161" s="496"/>
      <c r="DC161" s="496"/>
      <c r="DD161" s="496"/>
      <c r="DE161" s="496"/>
      <c r="DF161" s="496"/>
      <c r="DG161" s="496"/>
      <c r="DH161" s="496"/>
      <c r="DI161" s="496"/>
      <c r="DJ161" s="496"/>
      <c r="DK161" s="496"/>
      <c r="DL161" s="496"/>
      <c r="DM161" s="496"/>
      <c r="DN161" s="496"/>
      <c r="DO161" s="496"/>
      <c r="DP161" s="496"/>
      <c r="DQ161" s="496"/>
      <c r="DR161" s="496"/>
      <c r="DS161" s="496"/>
      <c r="DT161" s="496"/>
      <c r="DU161" s="496"/>
      <c r="DV161" s="496"/>
      <c r="DW161" s="496"/>
      <c r="DX161" s="496"/>
      <c r="DY161" s="496"/>
      <c r="DZ161" s="496"/>
      <c r="EA161" s="496"/>
      <c r="EB161" s="496"/>
      <c r="EC161" s="496"/>
      <c r="ED161" s="496"/>
      <c r="EE161" s="496"/>
      <c r="EF161" s="496"/>
      <c r="EG161" s="496"/>
      <c r="EH161" s="496"/>
      <c r="EI161" s="496"/>
      <c r="EJ161" s="496"/>
      <c r="EK161" s="496"/>
      <c r="EL161" s="496"/>
      <c r="EM161" s="496"/>
      <c r="EN161" s="496"/>
      <c r="EO161" s="496"/>
      <c r="EP161" s="496"/>
      <c r="EQ161" s="496"/>
      <c r="ER161" s="496"/>
      <c r="ES161" s="496"/>
      <c r="ET161" s="496"/>
      <c r="EU161" s="496"/>
      <c r="EV161" s="496"/>
      <c r="EW161" s="496"/>
      <c r="EX161" s="496"/>
      <c r="EY161" s="496"/>
      <c r="EZ161" s="496"/>
      <c r="FA161" s="496"/>
      <c r="FB161" s="496"/>
      <c r="FC161" s="496"/>
      <c r="FD161" s="496"/>
      <c r="FE161" s="496"/>
      <c r="FF161" s="496"/>
      <c r="FG161" s="496"/>
      <c r="FH161" s="496"/>
      <c r="FI161" s="496"/>
      <c r="FJ161" s="496"/>
      <c r="FK161" s="496"/>
      <c r="FL161" s="496"/>
      <c r="FM161" s="496"/>
      <c r="FN161" s="496"/>
      <c r="FO161" s="496"/>
      <c r="FP161" s="496"/>
      <c r="FQ161" s="496"/>
      <c r="FR161" s="496"/>
      <c r="FS161" s="496"/>
      <c r="FT161" s="496"/>
      <c r="FU161" s="496"/>
      <c r="FV161" s="496"/>
      <c r="FW161" s="496"/>
      <c r="FX161" s="496"/>
      <c r="FY161" s="496"/>
      <c r="FZ161" s="496"/>
      <c r="GA161" s="496"/>
      <c r="GB161" s="496"/>
      <c r="GC161" s="496"/>
      <c r="GD161" s="496"/>
      <c r="GE161" s="496"/>
      <c r="GF161" s="496"/>
      <c r="GG161" s="496"/>
      <c r="GH161" s="496"/>
      <c r="GI161" s="496"/>
      <c r="GJ161" s="496"/>
      <c r="GK161" s="496"/>
      <c r="GL161" s="496"/>
      <c r="GM161" s="496"/>
      <c r="GN161" s="496"/>
      <c r="GO161" s="496"/>
      <c r="GP161" s="496"/>
      <c r="GQ161" s="496"/>
      <c r="GR161" s="496"/>
      <c r="GS161" s="496"/>
      <c r="GT161" s="496"/>
      <c r="GU161" s="496"/>
      <c r="GV161" s="496"/>
      <c r="GW161" s="496"/>
      <c r="GX161" s="496"/>
      <c r="GY161" s="496"/>
      <c r="GZ161" s="496"/>
      <c r="HA161" s="496"/>
      <c r="HB161" s="496"/>
    </row>
    <row r="162" spans="1:210" ht="19.8">
      <c r="A162" s="164"/>
      <c r="B162" s="250"/>
      <c r="C162" s="497" t="s">
        <v>1448</v>
      </c>
      <c r="D162" s="498" t="s">
        <v>634</v>
      </c>
      <c r="E162" s="499"/>
      <c r="F162" s="500"/>
      <c r="G162" s="501" t="s">
        <v>433</v>
      </c>
      <c r="H162" s="383"/>
      <c r="I162" s="310"/>
      <c r="J162" s="311"/>
      <c r="K162" s="315"/>
      <c r="L162" s="310"/>
      <c r="M162" s="310"/>
      <c r="N162" s="310"/>
      <c r="O162" s="250"/>
      <c r="P162" s="251"/>
      <c r="Q162" s="200"/>
      <c r="R162" s="251"/>
      <c r="S162" s="251"/>
      <c r="T162" s="251"/>
      <c r="U162" s="200"/>
      <c r="V162" s="251"/>
      <c r="W162" s="251"/>
      <c r="X162" s="251"/>
      <c r="Y162" s="200"/>
      <c r="Z162" s="251"/>
      <c r="AA162" s="251"/>
      <c r="AB162" s="251"/>
      <c r="AC162" s="200"/>
      <c r="AD162" s="251"/>
      <c r="AE162" s="251"/>
      <c r="AF162" s="251"/>
      <c r="AG162" s="251"/>
      <c r="AH162" s="251"/>
      <c r="AI162" s="251"/>
      <c r="AJ162" s="251"/>
      <c r="AK162" s="251"/>
      <c r="AL162" s="251"/>
      <c r="AM162" s="251"/>
      <c r="AN162" s="251"/>
      <c r="AO162" s="495"/>
      <c r="AP162" s="495"/>
      <c r="AQ162" s="249"/>
      <c r="AR162" s="249"/>
      <c r="AS162" s="249"/>
      <c r="AT162" s="249"/>
      <c r="AU162" s="249"/>
      <c r="AV162" s="249"/>
      <c r="AW162" s="251"/>
      <c r="AX162" s="251"/>
      <c r="AY162" s="251"/>
      <c r="AZ162" s="251"/>
      <c r="BA162" s="251"/>
      <c r="BB162" s="251"/>
      <c r="BC162" s="251"/>
      <c r="BD162" s="251"/>
      <c r="BE162" s="251"/>
      <c r="BF162" s="251"/>
      <c r="BG162" s="251"/>
      <c r="BH162" s="251"/>
      <c r="BI162" s="251"/>
      <c r="BJ162" s="251"/>
      <c r="BK162" s="251"/>
      <c r="BL162" s="251"/>
      <c r="BM162" s="251"/>
      <c r="BN162" s="251"/>
      <c r="BO162" s="251"/>
      <c r="BP162" s="251"/>
      <c r="BQ162" s="249"/>
      <c r="BR162" s="249"/>
      <c r="BS162" s="249"/>
      <c r="BT162" s="249"/>
      <c r="BU162" s="249"/>
      <c r="BV162" s="249"/>
      <c r="BW162" s="496"/>
      <c r="BX162" s="496"/>
      <c r="BY162" s="496"/>
      <c r="BZ162" s="496"/>
      <c r="CA162" s="496"/>
      <c r="CB162" s="496"/>
      <c r="CC162" s="496"/>
      <c r="CD162" s="496"/>
      <c r="CE162" s="496"/>
      <c r="CF162" s="496"/>
      <c r="CG162" s="496"/>
      <c r="CH162" s="496"/>
      <c r="CI162" s="496"/>
      <c r="CJ162" s="496"/>
      <c r="CK162" s="496"/>
      <c r="CL162" s="496"/>
      <c r="CM162" s="496"/>
      <c r="CN162" s="496"/>
      <c r="CO162" s="496"/>
      <c r="CP162" s="496"/>
      <c r="CQ162" s="496"/>
      <c r="CR162" s="496"/>
      <c r="CS162" s="496"/>
      <c r="CT162" s="496"/>
      <c r="CU162" s="496"/>
      <c r="CV162" s="496"/>
      <c r="CW162" s="496"/>
      <c r="CX162" s="496"/>
      <c r="CY162" s="496"/>
      <c r="CZ162" s="496"/>
      <c r="DA162" s="496"/>
      <c r="DB162" s="496"/>
      <c r="DC162" s="496"/>
      <c r="DD162" s="496"/>
      <c r="DE162" s="496"/>
      <c r="DF162" s="496"/>
      <c r="DG162" s="496"/>
      <c r="DH162" s="496"/>
      <c r="DI162" s="496"/>
      <c r="DJ162" s="496"/>
      <c r="DK162" s="496"/>
      <c r="DL162" s="496"/>
      <c r="DM162" s="496"/>
      <c r="DN162" s="496"/>
      <c r="DO162" s="496"/>
      <c r="DP162" s="496"/>
      <c r="DQ162" s="496"/>
      <c r="DR162" s="496"/>
      <c r="DS162" s="496"/>
      <c r="DT162" s="496"/>
      <c r="DU162" s="496"/>
      <c r="DV162" s="496"/>
      <c r="DW162" s="496"/>
      <c r="DX162" s="496"/>
      <c r="DY162" s="496"/>
      <c r="DZ162" s="496"/>
      <c r="EA162" s="496"/>
      <c r="EB162" s="496"/>
      <c r="EC162" s="496"/>
      <c r="ED162" s="496"/>
      <c r="EE162" s="496"/>
      <c r="EF162" s="496"/>
      <c r="EG162" s="496"/>
      <c r="EH162" s="496"/>
      <c r="EI162" s="496"/>
      <c r="EJ162" s="496"/>
      <c r="EK162" s="496"/>
      <c r="EL162" s="496"/>
      <c r="EM162" s="496"/>
      <c r="EN162" s="496"/>
      <c r="EO162" s="496"/>
      <c r="EP162" s="496"/>
      <c r="EQ162" s="496"/>
      <c r="ER162" s="496"/>
      <c r="ES162" s="496"/>
      <c r="ET162" s="496"/>
      <c r="EU162" s="496"/>
      <c r="EV162" s="496"/>
      <c r="EW162" s="496"/>
      <c r="EX162" s="496"/>
      <c r="EY162" s="496"/>
      <c r="EZ162" s="496"/>
      <c r="FA162" s="496"/>
      <c r="FB162" s="496"/>
      <c r="FC162" s="496"/>
      <c r="FD162" s="496"/>
      <c r="FE162" s="496"/>
      <c r="FF162" s="496"/>
      <c r="FG162" s="496"/>
      <c r="FH162" s="496"/>
      <c r="FI162" s="496"/>
      <c r="FJ162" s="496"/>
      <c r="FK162" s="496"/>
      <c r="FL162" s="496"/>
      <c r="FM162" s="496"/>
      <c r="FN162" s="496"/>
      <c r="FO162" s="496"/>
      <c r="FP162" s="496"/>
      <c r="FQ162" s="496"/>
      <c r="FR162" s="496"/>
      <c r="FS162" s="496"/>
      <c r="FT162" s="496"/>
      <c r="FU162" s="496"/>
      <c r="FV162" s="496"/>
      <c r="FW162" s="496"/>
      <c r="FX162" s="496"/>
      <c r="FY162" s="496"/>
      <c r="FZ162" s="496"/>
      <c r="GA162" s="496"/>
      <c r="GB162" s="496"/>
      <c r="GC162" s="496"/>
      <c r="GD162" s="496"/>
      <c r="GE162" s="496"/>
      <c r="GF162" s="496"/>
      <c r="GG162" s="496"/>
      <c r="GH162" s="496"/>
      <c r="GI162" s="496"/>
      <c r="GJ162" s="496"/>
      <c r="GK162" s="496"/>
      <c r="GL162" s="496"/>
      <c r="GM162" s="496"/>
      <c r="GN162" s="496"/>
      <c r="GO162" s="496"/>
      <c r="GP162" s="496"/>
      <c r="GQ162" s="496"/>
      <c r="GR162" s="496"/>
      <c r="GS162" s="496"/>
      <c r="GT162" s="496"/>
      <c r="GU162" s="496"/>
      <c r="GV162" s="496"/>
      <c r="GW162" s="496"/>
      <c r="GX162" s="496"/>
      <c r="GY162" s="496"/>
      <c r="GZ162" s="496"/>
      <c r="HA162" s="496"/>
      <c r="HB162" s="496"/>
    </row>
    <row r="163" spans="1:210" ht="19.8">
      <c r="A163" s="164"/>
      <c r="B163" s="250"/>
      <c r="C163" s="502"/>
      <c r="D163" s="503" t="s">
        <v>635</v>
      </c>
      <c r="E163" s="498"/>
      <c r="F163" s="500"/>
      <c r="G163" s="501" t="s">
        <v>433</v>
      </c>
      <c r="H163" s="383"/>
      <c r="I163" s="310"/>
      <c r="J163" s="311"/>
      <c r="K163" s="315"/>
      <c r="L163" s="310"/>
      <c r="M163" s="310"/>
      <c r="N163" s="310"/>
      <c r="O163" s="250"/>
      <c r="P163" s="251"/>
      <c r="Q163" s="200"/>
      <c r="R163" s="251"/>
      <c r="S163" s="251"/>
      <c r="T163" s="251"/>
      <c r="U163" s="200"/>
      <c r="V163" s="251"/>
      <c r="W163" s="251"/>
      <c r="X163" s="251"/>
      <c r="Y163" s="200"/>
      <c r="Z163" s="251"/>
      <c r="AA163" s="251"/>
      <c r="AB163" s="251"/>
      <c r="AC163" s="200"/>
      <c r="AD163" s="251"/>
      <c r="AE163" s="251"/>
      <c r="AF163" s="251"/>
      <c r="AG163" s="251"/>
      <c r="AH163" s="251"/>
      <c r="AI163" s="251"/>
      <c r="AJ163" s="251"/>
      <c r="AK163" s="251"/>
      <c r="AL163" s="251"/>
      <c r="AM163" s="251"/>
      <c r="AN163" s="251"/>
      <c r="AO163" s="495"/>
      <c r="AP163" s="495"/>
      <c r="AQ163" s="249"/>
      <c r="AR163" s="249"/>
      <c r="AS163" s="249"/>
      <c r="AT163" s="249"/>
      <c r="AU163" s="249"/>
      <c r="AV163" s="249"/>
      <c r="AW163" s="251"/>
      <c r="AX163" s="251"/>
      <c r="AY163" s="251"/>
      <c r="AZ163" s="251"/>
      <c r="BA163" s="251"/>
      <c r="BB163" s="251"/>
      <c r="BC163" s="251"/>
      <c r="BD163" s="251"/>
      <c r="BE163" s="251"/>
      <c r="BF163" s="251"/>
      <c r="BG163" s="251"/>
      <c r="BH163" s="251"/>
      <c r="BI163" s="251"/>
      <c r="BJ163" s="251"/>
      <c r="BK163" s="251"/>
      <c r="BL163" s="251"/>
      <c r="BM163" s="251"/>
      <c r="BN163" s="251"/>
      <c r="BO163" s="251"/>
      <c r="BP163" s="251"/>
      <c r="BQ163" s="249"/>
      <c r="BR163" s="249"/>
      <c r="BS163" s="249"/>
      <c r="BT163" s="249"/>
      <c r="BU163" s="249"/>
      <c r="BV163" s="249"/>
      <c r="BW163" s="496"/>
      <c r="BX163" s="496"/>
      <c r="BY163" s="496"/>
      <c r="BZ163" s="496"/>
      <c r="CA163" s="496"/>
      <c r="CB163" s="496"/>
      <c r="CC163" s="496"/>
      <c r="CD163" s="496"/>
      <c r="CE163" s="496"/>
      <c r="CF163" s="496"/>
      <c r="CG163" s="496"/>
      <c r="CH163" s="496"/>
      <c r="CI163" s="496"/>
      <c r="CJ163" s="496"/>
      <c r="CK163" s="496"/>
      <c r="CL163" s="496"/>
      <c r="CM163" s="496"/>
      <c r="CN163" s="496"/>
      <c r="CO163" s="496"/>
      <c r="CP163" s="496"/>
      <c r="CQ163" s="496"/>
      <c r="CR163" s="496"/>
      <c r="CS163" s="496"/>
      <c r="CT163" s="496"/>
      <c r="CU163" s="496"/>
      <c r="CV163" s="496"/>
      <c r="CW163" s="496"/>
      <c r="CX163" s="496"/>
      <c r="CY163" s="496"/>
      <c r="CZ163" s="496"/>
      <c r="DA163" s="496"/>
      <c r="DB163" s="496"/>
      <c r="DC163" s="496"/>
      <c r="DD163" s="496"/>
      <c r="DE163" s="496"/>
      <c r="DF163" s="496"/>
      <c r="DG163" s="496"/>
      <c r="DH163" s="496"/>
      <c r="DI163" s="496"/>
      <c r="DJ163" s="496"/>
      <c r="DK163" s="496"/>
      <c r="DL163" s="496"/>
      <c r="DM163" s="496"/>
      <c r="DN163" s="496"/>
      <c r="DO163" s="496"/>
      <c r="DP163" s="496"/>
      <c r="DQ163" s="496"/>
      <c r="DR163" s="496"/>
      <c r="DS163" s="496"/>
      <c r="DT163" s="496"/>
      <c r="DU163" s="496"/>
      <c r="DV163" s="496"/>
      <c r="DW163" s="496"/>
      <c r="DX163" s="496"/>
      <c r="DY163" s="496"/>
      <c r="DZ163" s="496"/>
      <c r="EA163" s="496"/>
      <c r="EB163" s="496"/>
      <c r="EC163" s="496"/>
      <c r="ED163" s="496"/>
      <c r="EE163" s="496"/>
      <c r="EF163" s="496"/>
      <c r="EG163" s="496"/>
      <c r="EH163" s="496"/>
      <c r="EI163" s="496"/>
      <c r="EJ163" s="496"/>
      <c r="EK163" s="496"/>
      <c r="EL163" s="496"/>
      <c r="EM163" s="496"/>
      <c r="EN163" s="496"/>
      <c r="EO163" s="496"/>
      <c r="EP163" s="496"/>
      <c r="EQ163" s="496"/>
      <c r="ER163" s="496"/>
      <c r="ES163" s="496"/>
      <c r="ET163" s="496"/>
      <c r="EU163" s="496"/>
      <c r="EV163" s="496"/>
      <c r="EW163" s="496"/>
      <c r="EX163" s="496"/>
      <c r="EY163" s="496"/>
      <c r="EZ163" s="496"/>
      <c r="FA163" s="496"/>
      <c r="FB163" s="496"/>
      <c r="FC163" s="496"/>
      <c r="FD163" s="496"/>
      <c r="FE163" s="496"/>
      <c r="FF163" s="496"/>
      <c r="FG163" s="496"/>
      <c r="FH163" s="496"/>
      <c r="FI163" s="496"/>
      <c r="FJ163" s="496"/>
      <c r="FK163" s="496"/>
      <c r="FL163" s="496"/>
      <c r="FM163" s="496"/>
      <c r="FN163" s="496"/>
      <c r="FO163" s="496"/>
      <c r="FP163" s="496"/>
      <c r="FQ163" s="496"/>
      <c r="FR163" s="496"/>
      <c r="FS163" s="496"/>
      <c r="FT163" s="496"/>
      <c r="FU163" s="496"/>
      <c r="FV163" s="496"/>
      <c r="FW163" s="496"/>
      <c r="FX163" s="496"/>
      <c r="FY163" s="496"/>
      <c r="FZ163" s="496"/>
      <c r="GA163" s="496"/>
      <c r="GB163" s="496"/>
      <c r="GC163" s="496"/>
      <c r="GD163" s="496"/>
      <c r="GE163" s="496"/>
      <c r="GF163" s="496"/>
      <c r="GG163" s="496"/>
      <c r="GH163" s="496"/>
      <c r="GI163" s="496"/>
      <c r="GJ163" s="496"/>
      <c r="GK163" s="496"/>
      <c r="GL163" s="496"/>
      <c r="GM163" s="496"/>
      <c r="GN163" s="496"/>
      <c r="GO163" s="496"/>
      <c r="GP163" s="496"/>
      <c r="GQ163" s="496"/>
      <c r="GR163" s="496"/>
      <c r="GS163" s="496"/>
      <c r="GT163" s="496"/>
      <c r="GU163" s="496"/>
      <c r="GV163" s="496"/>
      <c r="GW163" s="496"/>
      <c r="GX163" s="496"/>
      <c r="GY163" s="496"/>
      <c r="GZ163" s="496"/>
      <c r="HA163" s="496"/>
      <c r="HB163" s="496"/>
    </row>
    <row r="164" spans="1:210" ht="19.8">
      <c r="A164" s="164"/>
      <c r="B164" s="250"/>
      <c r="C164" s="502"/>
      <c r="D164" s="504" t="s">
        <v>636</v>
      </c>
      <c r="E164" s="498" t="s">
        <v>1449</v>
      </c>
      <c r="F164" s="500"/>
      <c r="G164" s="501" t="s">
        <v>433</v>
      </c>
      <c r="H164" s="383"/>
      <c r="I164" s="310"/>
      <c r="J164" s="311"/>
      <c r="K164" s="315"/>
      <c r="L164" s="310"/>
      <c r="M164" s="310"/>
      <c r="N164" s="310"/>
      <c r="O164" s="250"/>
      <c r="P164" s="251"/>
      <c r="Q164" s="200"/>
      <c r="R164" s="251"/>
      <c r="S164" s="251"/>
      <c r="T164" s="251"/>
      <c r="U164" s="200"/>
      <c r="V164" s="251"/>
      <c r="W164" s="251"/>
      <c r="X164" s="251"/>
      <c r="Y164" s="200"/>
      <c r="Z164" s="251"/>
      <c r="AA164" s="251"/>
      <c r="AB164" s="251"/>
      <c r="AC164" s="200"/>
      <c r="AD164" s="251"/>
      <c r="AE164" s="251"/>
      <c r="AF164" s="251"/>
      <c r="AG164" s="251"/>
      <c r="AH164" s="251"/>
      <c r="AI164" s="251"/>
      <c r="AJ164" s="251"/>
      <c r="AK164" s="251"/>
      <c r="AL164" s="251"/>
      <c r="AM164" s="251"/>
      <c r="AN164" s="251"/>
      <c r="AO164" s="495"/>
      <c r="AP164" s="495"/>
      <c r="AQ164" s="249"/>
      <c r="AR164" s="249"/>
      <c r="AS164" s="249"/>
      <c r="AT164" s="249"/>
      <c r="AU164" s="249"/>
      <c r="AV164" s="249"/>
      <c r="AW164" s="251"/>
      <c r="AX164" s="251"/>
      <c r="AY164" s="251"/>
      <c r="AZ164" s="251"/>
      <c r="BA164" s="251"/>
      <c r="BB164" s="251"/>
      <c r="BC164" s="251"/>
      <c r="BD164" s="251"/>
      <c r="BE164" s="251"/>
      <c r="BF164" s="251"/>
      <c r="BG164" s="251"/>
      <c r="BH164" s="251"/>
      <c r="BI164" s="251"/>
      <c r="BJ164" s="251"/>
      <c r="BK164" s="251"/>
      <c r="BL164" s="251"/>
      <c r="BM164" s="251"/>
      <c r="BN164" s="251"/>
      <c r="BO164" s="251"/>
      <c r="BP164" s="251"/>
      <c r="BQ164" s="249"/>
      <c r="BR164" s="249"/>
      <c r="BS164" s="249"/>
      <c r="BT164" s="249"/>
      <c r="BU164" s="249"/>
      <c r="BV164" s="249"/>
      <c r="BW164" s="496"/>
      <c r="BX164" s="496"/>
      <c r="BY164" s="496"/>
      <c r="BZ164" s="496"/>
      <c r="CA164" s="496"/>
      <c r="CB164" s="496"/>
      <c r="CC164" s="496"/>
      <c r="CD164" s="496"/>
      <c r="CE164" s="496"/>
      <c r="CF164" s="496"/>
      <c r="CG164" s="496"/>
      <c r="CH164" s="496"/>
      <c r="CI164" s="496"/>
      <c r="CJ164" s="496"/>
      <c r="CK164" s="496"/>
      <c r="CL164" s="496"/>
      <c r="CM164" s="496"/>
      <c r="CN164" s="496"/>
      <c r="CO164" s="496"/>
      <c r="CP164" s="496"/>
      <c r="CQ164" s="496"/>
      <c r="CR164" s="496"/>
      <c r="CS164" s="496"/>
      <c r="CT164" s="496"/>
      <c r="CU164" s="496"/>
      <c r="CV164" s="496"/>
      <c r="CW164" s="496"/>
      <c r="CX164" s="496"/>
      <c r="CY164" s="496"/>
      <c r="CZ164" s="496"/>
      <c r="DA164" s="496"/>
      <c r="DB164" s="496"/>
      <c r="DC164" s="496"/>
      <c r="DD164" s="496"/>
      <c r="DE164" s="496"/>
      <c r="DF164" s="496"/>
      <c r="DG164" s="496"/>
      <c r="DH164" s="496"/>
      <c r="DI164" s="496"/>
      <c r="DJ164" s="496"/>
      <c r="DK164" s="496"/>
      <c r="DL164" s="496"/>
      <c r="DM164" s="496"/>
      <c r="DN164" s="496"/>
      <c r="DO164" s="496"/>
      <c r="DP164" s="496"/>
      <c r="DQ164" s="496"/>
      <c r="DR164" s="496"/>
      <c r="DS164" s="496"/>
      <c r="DT164" s="496"/>
      <c r="DU164" s="496"/>
      <c r="DV164" s="496"/>
      <c r="DW164" s="496"/>
      <c r="DX164" s="496"/>
      <c r="DY164" s="496"/>
      <c r="DZ164" s="496"/>
      <c r="EA164" s="496"/>
      <c r="EB164" s="496"/>
      <c r="EC164" s="496"/>
      <c r="ED164" s="496"/>
      <c r="EE164" s="496"/>
      <c r="EF164" s="496"/>
      <c r="EG164" s="496"/>
      <c r="EH164" s="496"/>
      <c r="EI164" s="496"/>
      <c r="EJ164" s="496"/>
      <c r="EK164" s="496"/>
      <c r="EL164" s="496"/>
      <c r="EM164" s="496"/>
      <c r="EN164" s="496"/>
      <c r="EO164" s="496"/>
      <c r="EP164" s="496"/>
      <c r="EQ164" s="496"/>
      <c r="ER164" s="496"/>
      <c r="ES164" s="496"/>
      <c r="ET164" s="496"/>
      <c r="EU164" s="496"/>
      <c r="EV164" s="496"/>
      <c r="EW164" s="496"/>
      <c r="EX164" s="496"/>
      <c r="EY164" s="496"/>
      <c r="EZ164" s="496"/>
      <c r="FA164" s="496"/>
      <c r="FB164" s="496"/>
      <c r="FC164" s="496"/>
      <c r="FD164" s="496"/>
      <c r="FE164" s="496"/>
      <c r="FF164" s="496"/>
      <c r="FG164" s="496"/>
      <c r="FH164" s="496"/>
      <c r="FI164" s="496"/>
      <c r="FJ164" s="496"/>
      <c r="FK164" s="496"/>
      <c r="FL164" s="496"/>
      <c r="FM164" s="496"/>
      <c r="FN164" s="496"/>
      <c r="FO164" s="496"/>
      <c r="FP164" s="496"/>
      <c r="FQ164" s="496"/>
      <c r="FR164" s="496"/>
      <c r="FS164" s="496"/>
      <c r="FT164" s="496"/>
      <c r="FU164" s="496"/>
      <c r="FV164" s="496"/>
      <c r="FW164" s="496"/>
      <c r="FX164" s="496"/>
      <c r="FY164" s="496"/>
      <c r="FZ164" s="496"/>
      <c r="GA164" s="496"/>
      <c r="GB164" s="496"/>
      <c r="GC164" s="496"/>
      <c r="GD164" s="496"/>
      <c r="GE164" s="496"/>
      <c r="GF164" s="496"/>
      <c r="GG164" s="496"/>
      <c r="GH164" s="496"/>
      <c r="GI164" s="496"/>
      <c r="GJ164" s="496"/>
      <c r="GK164" s="496"/>
      <c r="GL164" s="496"/>
      <c r="GM164" s="496"/>
      <c r="GN164" s="496"/>
      <c r="GO164" s="496"/>
      <c r="GP164" s="496"/>
      <c r="GQ164" s="496"/>
      <c r="GR164" s="496"/>
      <c r="GS164" s="496"/>
      <c r="GT164" s="496"/>
      <c r="GU164" s="496"/>
      <c r="GV164" s="496"/>
      <c r="GW164" s="496"/>
      <c r="GX164" s="496"/>
      <c r="GY164" s="496"/>
      <c r="GZ164" s="496"/>
      <c r="HA164" s="496"/>
      <c r="HB164" s="496"/>
    </row>
    <row r="165" spans="1:210" ht="19.8">
      <c r="A165" s="164"/>
      <c r="B165" s="250"/>
      <c r="C165" s="502"/>
      <c r="D165" s="505"/>
      <c r="E165" s="498" t="s">
        <v>469</v>
      </c>
      <c r="F165" s="500"/>
      <c r="G165" s="501" t="s">
        <v>436</v>
      </c>
      <c r="H165" s="383"/>
      <c r="I165" s="310"/>
      <c r="J165" s="311"/>
      <c r="K165" s="315"/>
      <c r="L165" s="310"/>
      <c r="M165" s="310"/>
      <c r="N165" s="310"/>
      <c r="O165" s="250"/>
      <c r="P165" s="251"/>
      <c r="Q165" s="200"/>
      <c r="R165" s="251"/>
      <c r="S165" s="251"/>
      <c r="T165" s="251"/>
      <c r="U165" s="200"/>
      <c r="V165" s="251"/>
      <c r="W165" s="251"/>
      <c r="X165" s="251"/>
      <c r="Y165" s="200"/>
      <c r="Z165" s="251"/>
      <c r="AA165" s="251"/>
      <c r="AB165" s="251"/>
      <c r="AC165" s="200"/>
      <c r="AD165" s="251"/>
      <c r="AE165" s="251"/>
      <c r="AF165" s="251"/>
      <c r="AG165" s="251"/>
      <c r="AH165" s="251"/>
      <c r="AI165" s="251"/>
      <c r="AJ165" s="251"/>
      <c r="AK165" s="251"/>
      <c r="AL165" s="251"/>
      <c r="AM165" s="251"/>
      <c r="AN165" s="251"/>
      <c r="AO165" s="495"/>
      <c r="AP165" s="495"/>
      <c r="AQ165" s="249"/>
      <c r="AR165" s="249"/>
      <c r="AS165" s="249"/>
      <c r="AT165" s="249"/>
      <c r="AU165" s="249"/>
      <c r="AV165" s="249"/>
      <c r="AW165" s="251"/>
      <c r="AX165" s="251"/>
      <c r="AY165" s="251"/>
      <c r="AZ165" s="251"/>
      <c r="BA165" s="251"/>
      <c r="BB165" s="251"/>
      <c r="BC165" s="251"/>
      <c r="BD165" s="251"/>
      <c r="BE165" s="251"/>
      <c r="BF165" s="251"/>
      <c r="BG165" s="251"/>
      <c r="BH165" s="251"/>
      <c r="BI165" s="251"/>
      <c r="BJ165" s="251"/>
      <c r="BK165" s="251"/>
      <c r="BL165" s="251"/>
      <c r="BM165" s="251"/>
      <c r="BN165" s="251"/>
      <c r="BO165" s="251"/>
      <c r="BP165" s="251"/>
      <c r="BQ165" s="249"/>
      <c r="BR165" s="249"/>
      <c r="BS165" s="249"/>
      <c r="BT165" s="249"/>
      <c r="BU165" s="249"/>
      <c r="BV165" s="249"/>
      <c r="BW165" s="496"/>
      <c r="BX165" s="496"/>
      <c r="BY165" s="496"/>
      <c r="BZ165" s="496"/>
      <c r="CA165" s="496"/>
      <c r="CB165" s="496"/>
      <c r="CC165" s="496"/>
      <c r="CD165" s="496"/>
      <c r="CE165" s="496"/>
      <c r="CF165" s="496"/>
      <c r="CG165" s="496"/>
      <c r="CH165" s="496"/>
      <c r="CI165" s="496"/>
      <c r="CJ165" s="496"/>
      <c r="CK165" s="496"/>
      <c r="CL165" s="496"/>
      <c r="CM165" s="496"/>
      <c r="CN165" s="496"/>
      <c r="CO165" s="496"/>
      <c r="CP165" s="496"/>
      <c r="CQ165" s="496"/>
      <c r="CR165" s="496"/>
      <c r="CS165" s="496"/>
      <c r="CT165" s="496"/>
      <c r="CU165" s="496"/>
      <c r="CV165" s="496"/>
      <c r="CW165" s="496"/>
      <c r="CX165" s="496"/>
      <c r="CY165" s="496"/>
      <c r="CZ165" s="496"/>
      <c r="DA165" s="496"/>
      <c r="DB165" s="496"/>
      <c r="DC165" s="496"/>
      <c r="DD165" s="496"/>
      <c r="DE165" s="496"/>
      <c r="DF165" s="496"/>
      <c r="DG165" s="496"/>
      <c r="DH165" s="496"/>
      <c r="DI165" s="496"/>
      <c r="DJ165" s="496"/>
      <c r="DK165" s="496"/>
      <c r="DL165" s="496"/>
      <c r="DM165" s="496"/>
      <c r="DN165" s="496"/>
      <c r="DO165" s="496"/>
      <c r="DP165" s="496"/>
      <c r="DQ165" s="496"/>
      <c r="DR165" s="496"/>
      <c r="DS165" s="496"/>
      <c r="DT165" s="496"/>
      <c r="DU165" s="496"/>
      <c r="DV165" s="496"/>
      <c r="DW165" s="496"/>
      <c r="DX165" s="496"/>
      <c r="DY165" s="496"/>
      <c r="DZ165" s="496"/>
      <c r="EA165" s="496"/>
      <c r="EB165" s="496"/>
      <c r="EC165" s="496"/>
      <c r="ED165" s="496"/>
      <c r="EE165" s="496"/>
      <c r="EF165" s="496"/>
      <c r="EG165" s="496"/>
      <c r="EH165" s="496"/>
      <c r="EI165" s="496"/>
      <c r="EJ165" s="496"/>
      <c r="EK165" s="496"/>
      <c r="EL165" s="496"/>
      <c r="EM165" s="496"/>
      <c r="EN165" s="496"/>
      <c r="EO165" s="496"/>
      <c r="EP165" s="496"/>
      <c r="EQ165" s="496"/>
      <c r="ER165" s="496"/>
      <c r="ES165" s="496"/>
      <c r="ET165" s="496"/>
      <c r="EU165" s="496"/>
      <c r="EV165" s="496"/>
      <c r="EW165" s="496"/>
      <c r="EX165" s="496"/>
      <c r="EY165" s="496"/>
      <c r="EZ165" s="496"/>
      <c r="FA165" s="496"/>
      <c r="FB165" s="496"/>
      <c r="FC165" s="496"/>
      <c r="FD165" s="496"/>
      <c r="FE165" s="496"/>
      <c r="FF165" s="496"/>
      <c r="FG165" s="496"/>
      <c r="FH165" s="496"/>
      <c r="FI165" s="496"/>
      <c r="FJ165" s="496"/>
      <c r="FK165" s="496"/>
      <c r="FL165" s="496"/>
      <c r="FM165" s="496"/>
      <c r="FN165" s="496"/>
      <c r="FO165" s="496"/>
      <c r="FP165" s="496"/>
      <c r="FQ165" s="496"/>
      <c r="FR165" s="496"/>
      <c r="FS165" s="496"/>
      <c r="FT165" s="496"/>
      <c r="FU165" s="496"/>
      <c r="FV165" s="496"/>
      <c r="FW165" s="496"/>
      <c r="FX165" s="496"/>
      <c r="FY165" s="496"/>
      <c r="FZ165" s="496"/>
      <c r="GA165" s="496"/>
      <c r="GB165" s="496"/>
      <c r="GC165" s="496"/>
      <c r="GD165" s="496"/>
      <c r="GE165" s="496"/>
      <c r="GF165" s="496"/>
      <c r="GG165" s="496"/>
      <c r="GH165" s="496"/>
      <c r="GI165" s="496"/>
      <c r="GJ165" s="496"/>
      <c r="GK165" s="496"/>
      <c r="GL165" s="496"/>
      <c r="GM165" s="496"/>
      <c r="GN165" s="496"/>
      <c r="GO165" s="496"/>
      <c r="GP165" s="496"/>
      <c r="GQ165" s="496"/>
      <c r="GR165" s="496"/>
      <c r="GS165" s="496"/>
      <c r="GT165" s="496"/>
      <c r="GU165" s="496"/>
      <c r="GV165" s="496"/>
      <c r="GW165" s="496"/>
      <c r="GX165" s="496"/>
      <c r="GY165" s="496"/>
      <c r="GZ165" s="496"/>
      <c r="HA165" s="496"/>
      <c r="HB165" s="496"/>
    </row>
    <row r="166" spans="1:210" ht="19.8">
      <c r="A166" s="164"/>
      <c r="B166" s="250"/>
      <c r="C166" s="502"/>
      <c r="D166" s="505"/>
      <c r="E166" s="498" t="s">
        <v>1450</v>
      </c>
      <c r="F166" s="500"/>
      <c r="G166" s="501" t="s">
        <v>433</v>
      </c>
      <c r="H166" s="383"/>
      <c r="I166" s="310"/>
      <c r="J166" s="311"/>
      <c r="K166" s="315"/>
      <c r="L166" s="310"/>
      <c r="M166" s="310"/>
      <c r="N166" s="310"/>
      <c r="O166" s="250"/>
      <c r="P166" s="251"/>
      <c r="Q166" s="200"/>
      <c r="R166" s="251"/>
      <c r="S166" s="251"/>
      <c r="T166" s="251"/>
      <c r="U166" s="200"/>
      <c r="V166" s="251"/>
      <c r="W166" s="251"/>
      <c r="X166" s="251"/>
      <c r="Y166" s="200"/>
      <c r="Z166" s="251"/>
      <c r="AA166" s="251"/>
      <c r="AB166" s="251"/>
      <c r="AC166" s="200"/>
      <c r="AD166" s="251"/>
      <c r="AE166" s="251"/>
      <c r="AF166" s="251"/>
      <c r="AG166" s="251"/>
      <c r="AH166" s="251"/>
      <c r="AI166" s="251"/>
      <c r="AJ166" s="251"/>
      <c r="AK166" s="251"/>
      <c r="AL166" s="251"/>
      <c r="AM166" s="251"/>
      <c r="AN166" s="251"/>
      <c r="AO166" s="495"/>
      <c r="AP166" s="495"/>
      <c r="AQ166" s="249"/>
      <c r="AR166" s="249"/>
      <c r="AS166" s="249"/>
      <c r="AT166" s="249"/>
      <c r="AU166" s="249"/>
      <c r="AV166" s="249"/>
      <c r="AW166" s="251"/>
      <c r="AX166" s="251"/>
      <c r="AY166" s="251"/>
      <c r="AZ166" s="251"/>
      <c r="BA166" s="251"/>
      <c r="BB166" s="251"/>
      <c r="BC166" s="251"/>
      <c r="BD166" s="251"/>
      <c r="BE166" s="251"/>
      <c r="BF166" s="251"/>
      <c r="BG166" s="251"/>
      <c r="BH166" s="251"/>
      <c r="BI166" s="251"/>
      <c r="BJ166" s="251"/>
      <c r="BK166" s="251"/>
      <c r="BL166" s="251"/>
      <c r="BM166" s="251"/>
      <c r="BN166" s="251"/>
      <c r="BO166" s="251"/>
      <c r="BP166" s="251"/>
      <c r="BQ166" s="249"/>
      <c r="BR166" s="249"/>
      <c r="BS166" s="249"/>
      <c r="BT166" s="249"/>
      <c r="BU166" s="249"/>
      <c r="BV166" s="249"/>
      <c r="BW166" s="496"/>
      <c r="BX166" s="496"/>
      <c r="BY166" s="496"/>
      <c r="BZ166" s="496"/>
      <c r="CA166" s="496"/>
      <c r="CB166" s="496"/>
      <c r="CC166" s="496"/>
      <c r="CD166" s="496"/>
      <c r="CE166" s="496"/>
      <c r="CF166" s="496"/>
      <c r="CG166" s="496"/>
      <c r="CH166" s="496"/>
      <c r="CI166" s="496"/>
      <c r="CJ166" s="496"/>
      <c r="CK166" s="496"/>
      <c r="CL166" s="496"/>
      <c r="CM166" s="496"/>
      <c r="CN166" s="496"/>
      <c r="CO166" s="496"/>
      <c r="CP166" s="496"/>
      <c r="CQ166" s="496"/>
      <c r="CR166" s="496"/>
      <c r="CS166" s="496"/>
      <c r="CT166" s="496"/>
      <c r="CU166" s="496"/>
      <c r="CV166" s="496"/>
      <c r="CW166" s="496"/>
      <c r="CX166" s="496"/>
      <c r="CY166" s="496"/>
      <c r="CZ166" s="496"/>
      <c r="DA166" s="496"/>
      <c r="DB166" s="496"/>
      <c r="DC166" s="496"/>
      <c r="DD166" s="496"/>
      <c r="DE166" s="496"/>
      <c r="DF166" s="496"/>
      <c r="DG166" s="496"/>
      <c r="DH166" s="496"/>
      <c r="DI166" s="496"/>
      <c r="DJ166" s="496"/>
      <c r="DK166" s="496"/>
      <c r="DL166" s="496"/>
      <c r="DM166" s="496"/>
      <c r="DN166" s="496"/>
      <c r="DO166" s="496"/>
      <c r="DP166" s="496"/>
      <c r="DQ166" s="496"/>
      <c r="DR166" s="496"/>
      <c r="DS166" s="496"/>
      <c r="DT166" s="496"/>
      <c r="DU166" s="496"/>
      <c r="DV166" s="496"/>
      <c r="DW166" s="496"/>
      <c r="DX166" s="496"/>
      <c r="DY166" s="496"/>
      <c r="DZ166" s="496"/>
      <c r="EA166" s="496"/>
      <c r="EB166" s="496"/>
      <c r="EC166" s="496"/>
      <c r="ED166" s="496"/>
      <c r="EE166" s="496"/>
      <c r="EF166" s="496"/>
      <c r="EG166" s="496"/>
      <c r="EH166" s="496"/>
      <c r="EI166" s="496"/>
      <c r="EJ166" s="496"/>
      <c r="EK166" s="496"/>
      <c r="EL166" s="496"/>
      <c r="EM166" s="496"/>
      <c r="EN166" s="496"/>
      <c r="EO166" s="496"/>
      <c r="EP166" s="496"/>
      <c r="EQ166" s="496"/>
      <c r="ER166" s="496"/>
      <c r="ES166" s="496"/>
      <c r="ET166" s="496"/>
      <c r="EU166" s="496"/>
      <c r="EV166" s="496"/>
      <c r="EW166" s="496"/>
      <c r="EX166" s="496"/>
      <c r="EY166" s="496"/>
      <c r="EZ166" s="496"/>
      <c r="FA166" s="496"/>
      <c r="FB166" s="496"/>
      <c r="FC166" s="496"/>
      <c r="FD166" s="496"/>
      <c r="FE166" s="496"/>
      <c r="FF166" s="496"/>
      <c r="FG166" s="496"/>
      <c r="FH166" s="496"/>
      <c r="FI166" s="496"/>
      <c r="FJ166" s="496"/>
      <c r="FK166" s="496"/>
      <c r="FL166" s="496"/>
      <c r="FM166" s="496"/>
      <c r="FN166" s="496"/>
      <c r="FO166" s="496"/>
      <c r="FP166" s="496"/>
      <c r="FQ166" s="496"/>
      <c r="FR166" s="496"/>
      <c r="FS166" s="496"/>
      <c r="FT166" s="496"/>
      <c r="FU166" s="496"/>
      <c r="FV166" s="496"/>
      <c r="FW166" s="496"/>
      <c r="FX166" s="496"/>
      <c r="FY166" s="496"/>
      <c r="FZ166" s="496"/>
      <c r="GA166" s="496"/>
      <c r="GB166" s="496"/>
      <c r="GC166" s="496"/>
      <c r="GD166" s="496"/>
      <c r="GE166" s="496"/>
      <c r="GF166" s="496"/>
      <c r="GG166" s="496"/>
      <c r="GH166" s="496"/>
      <c r="GI166" s="496"/>
      <c r="GJ166" s="496"/>
      <c r="GK166" s="496"/>
      <c r="GL166" s="496"/>
      <c r="GM166" s="496"/>
      <c r="GN166" s="496"/>
      <c r="GO166" s="496"/>
      <c r="GP166" s="496"/>
      <c r="GQ166" s="496"/>
      <c r="GR166" s="496"/>
      <c r="GS166" s="496"/>
      <c r="GT166" s="496"/>
      <c r="GU166" s="496"/>
      <c r="GV166" s="496"/>
      <c r="GW166" s="496"/>
      <c r="GX166" s="496"/>
      <c r="GY166" s="496"/>
      <c r="GZ166" s="496"/>
      <c r="HA166" s="496"/>
      <c r="HB166" s="496"/>
    </row>
    <row r="167" spans="1:210" ht="19.8">
      <c r="A167" s="164"/>
      <c r="B167" s="250"/>
      <c r="C167" s="502"/>
      <c r="D167" s="505"/>
      <c r="E167" s="498" t="s">
        <v>1451</v>
      </c>
      <c r="F167" s="500"/>
      <c r="G167" s="501" t="s">
        <v>1533</v>
      </c>
      <c r="H167" s="383"/>
      <c r="I167" s="310"/>
      <c r="J167" s="311"/>
      <c r="K167" s="315"/>
      <c r="L167" s="310"/>
      <c r="M167" s="310"/>
      <c r="N167" s="310"/>
      <c r="O167" s="250"/>
      <c r="P167" s="251"/>
      <c r="Q167" s="200"/>
      <c r="R167" s="251"/>
      <c r="S167" s="251"/>
      <c r="T167" s="251"/>
      <c r="U167" s="200"/>
      <c r="V167" s="251"/>
      <c r="W167" s="251"/>
      <c r="X167" s="251"/>
      <c r="Y167" s="200"/>
      <c r="Z167" s="251"/>
      <c r="AA167" s="251"/>
      <c r="AB167" s="251"/>
      <c r="AC167" s="200"/>
      <c r="AD167" s="251"/>
      <c r="AE167" s="251"/>
      <c r="AF167" s="251"/>
      <c r="AG167" s="251"/>
      <c r="AH167" s="251"/>
      <c r="AI167" s="251"/>
      <c r="AJ167" s="251"/>
      <c r="AK167" s="251"/>
      <c r="AL167" s="251"/>
      <c r="AM167" s="251"/>
      <c r="AN167" s="251"/>
      <c r="AO167" s="495"/>
      <c r="AP167" s="495"/>
      <c r="AQ167" s="249"/>
      <c r="AR167" s="249"/>
      <c r="AS167" s="249"/>
      <c r="AT167" s="249"/>
      <c r="AU167" s="249"/>
      <c r="AV167" s="249"/>
      <c r="AW167" s="251"/>
      <c r="AX167" s="251"/>
      <c r="AY167" s="251"/>
      <c r="AZ167" s="251"/>
      <c r="BA167" s="251"/>
      <c r="BB167" s="251"/>
      <c r="BC167" s="251"/>
      <c r="BD167" s="251"/>
      <c r="BE167" s="251"/>
      <c r="BF167" s="251"/>
      <c r="BG167" s="251"/>
      <c r="BH167" s="251"/>
      <c r="BI167" s="251"/>
      <c r="BJ167" s="251"/>
      <c r="BK167" s="251"/>
      <c r="BL167" s="251"/>
      <c r="BM167" s="251"/>
      <c r="BN167" s="251"/>
      <c r="BO167" s="251"/>
      <c r="BP167" s="251"/>
      <c r="BQ167" s="249"/>
      <c r="BR167" s="249"/>
      <c r="BS167" s="249"/>
      <c r="BT167" s="249"/>
      <c r="BU167" s="249"/>
      <c r="BV167" s="249"/>
      <c r="BW167" s="496"/>
      <c r="BX167" s="496"/>
      <c r="BY167" s="496"/>
      <c r="BZ167" s="496"/>
      <c r="CA167" s="496"/>
      <c r="CB167" s="496"/>
      <c r="CC167" s="496"/>
      <c r="CD167" s="496"/>
      <c r="CE167" s="496"/>
      <c r="CF167" s="496"/>
      <c r="CG167" s="496"/>
      <c r="CH167" s="496"/>
      <c r="CI167" s="496"/>
      <c r="CJ167" s="496"/>
      <c r="CK167" s="496"/>
      <c r="CL167" s="496"/>
      <c r="CM167" s="496"/>
      <c r="CN167" s="496"/>
      <c r="CO167" s="496"/>
      <c r="CP167" s="496"/>
      <c r="CQ167" s="496"/>
      <c r="CR167" s="496"/>
      <c r="CS167" s="496"/>
      <c r="CT167" s="496"/>
      <c r="CU167" s="496"/>
      <c r="CV167" s="496"/>
      <c r="CW167" s="496"/>
      <c r="CX167" s="496"/>
      <c r="CY167" s="496"/>
      <c r="CZ167" s="496"/>
      <c r="DA167" s="496"/>
      <c r="DB167" s="496"/>
      <c r="DC167" s="496"/>
      <c r="DD167" s="496"/>
      <c r="DE167" s="496"/>
      <c r="DF167" s="496"/>
      <c r="DG167" s="496"/>
      <c r="DH167" s="496"/>
      <c r="DI167" s="496"/>
      <c r="DJ167" s="496"/>
      <c r="DK167" s="496"/>
      <c r="DL167" s="496"/>
      <c r="DM167" s="496"/>
      <c r="DN167" s="496"/>
      <c r="DO167" s="496"/>
      <c r="DP167" s="496"/>
      <c r="DQ167" s="496"/>
      <c r="DR167" s="496"/>
      <c r="DS167" s="496"/>
      <c r="DT167" s="496"/>
      <c r="DU167" s="496"/>
      <c r="DV167" s="496"/>
      <c r="DW167" s="496"/>
      <c r="DX167" s="496"/>
      <c r="DY167" s="496"/>
      <c r="DZ167" s="496"/>
      <c r="EA167" s="496"/>
      <c r="EB167" s="496"/>
      <c r="EC167" s="496"/>
      <c r="ED167" s="496"/>
      <c r="EE167" s="496"/>
      <c r="EF167" s="496"/>
      <c r="EG167" s="496"/>
      <c r="EH167" s="496"/>
      <c r="EI167" s="496"/>
      <c r="EJ167" s="496"/>
      <c r="EK167" s="496"/>
      <c r="EL167" s="496"/>
      <c r="EM167" s="496"/>
      <c r="EN167" s="496"/>
      <c r="EO167" s="496"/>
      <c r="EP167" s="496"/>
      <c r="EQ167" s="496"/>
      <c r="ER167" s="496"/>
      <c r="ES167" s="496"/>
      <c r="ET167" s="496"/>
      <c r="EU167" s="496"/>
      <c r="EV167" s="496"/>
      <c r="EW167" s="496"/>
      <c r="EX167" s="496"/>
      <c r="EY167" s="496"/>
      <c r="EZ167" s="496"/>
      <c r="FA167" s="496"/>
      <c r="FB167" s="496"/>
      <c r="FC167" s="496"/>
      <c r="FD167" s="496"/>
      <c r="FE167" s="496"/>
      <c r="FF167" s="496"/>
      <c r="FG167" s="496"/>
      <c r="FH167" s="496"/>
      <c r="FI167" s="496"/>
      <c r="FJ167" s="496"/>
      <c r="FK167" s="496"/>
      <c r="FL167" s="496"/>
      <c r="FM167" s="496"/>
      <c r="FN167" s="496"/>
      <c r="FO167" s="496"/>
      <c r="FP167" s="496"/>
      <c r="FQ167" s="496"/>
      <c r="FR167" s="496"/>
      <c r="FS167" s="496"/>
      <c r="FT167" s="496"/>
      <c r="FU167" s="496"/>
      <c r="FV167" s="496"/>
      <c r="FW167" s="496"/>
      <c r="FX167" s="496"/>
      <c r="FY167" s="496"/>
      <c r="FZ167" s="496"/>
      <c r="GA167" s="496"/>
      <c r="GB167" s="496"/>
      <c r="GC167" s="496"/>
      <c r="GD167" s="496"/>
      <c r="GE167" s="496"/>
      <c r="GF167" s="496"/>
      <c r="GG167" s="496"/>
      <c r="GH167" s="496"/>
      <c r="GI167" s="496"/>
      <c r="GJ167" s="496"/>
      <c r="GK167" s="496"/>
      <c r="GL167" s="496"/>
      <c r="GM167" s="496"/>
      <c r="GN167" s="496"/>
      <c r="GO167" s="496"/>
      <c r="GP167" s="496"/>
      <c r="GQ167" s="496"/>
      <c r="GR167" s="496"/>
      <c r="GS167" s="496"/>
      <c r="GT167" s="496"/>
      <c r="GU167" s="496"/>
      <c r="GV167" s="496"/>
      <c r="GW167" s="496"/>
      <c r="GX167" s="496"/>
      <c r="GY167" s="496"/>
      <c r="GZ167" s="496"/>
      <c r="HA167" s="496"/>
      <c r="HB167" s="496"/>
    </row>
    <row r="168" spans="1:210" ht="19.8">
      <c r="A168" s="164"/>
      <c r="B168" s="250"/>
      <c r="C168" s="502"/>
      <c r="D168" s="506"/>
      <c r="E168" s="498" t="s">
        <v>1452</v>
      </c>
      <c r="F168" s="500"/>
      <c r="G168" s="501" t="s">
        <v>433</v>
      </c>
      <c r="H168" s="383"/>
      <c r="I168" s="310"/>
      <c r="J168" s="311"/>
      <c r="K168" s="315"/>
      <c r="L168" s="310"/>
      <c r="M168" s="310"/>
      <c r="N168" s="310"/>
      <c r="O168" s="250"/>
      <c r="P168" s="251"/>
      <c r="Q168" s="200"/>
      <c r="R168" s="251"/>
      <c r="S168" s="251"/>
      <c r="T168" s="251"/>
      <c r="U168" s="200"/>
      <c r="V168" s="251"/>
      <c r="W168" s="251"/>
      <c r="X168" s="251"/>
      <c r="Y168" s="200"/>
      <c r="Z168" s="251"/>
      <c r="AA168" s="251"/>
      <c r="AB168" s="251"/>
      <c r="AC168" s="200"/>
      <c r="AD168" s="251"/>
      <c r="AE168" s="251"/>
      <c r="AF168" s="251"/>
      <c r="AG168" s="251"/>
      <c r="AH168" s="251"/>
      <c r="AI168" s="251"/>
      <c r="AJ168" s="251"/>
      <c r="AK168" s="251"/>
      <c r="AL168" s="251"/>
      <c r="AM168" s="251"/>
      <c r="AN168" s="251"/>
      <c r="AO168" s="495"/>
      <c r="AP168" s="495"/>
      <c r="AQ168" s="249"/>
      <c r="AR168" s="249"/>
      <c r="AS168" s="249"/>
      <c r="AT168" s="249"/>
      <c r="AU168" s="249"/>
      <c r="AV168" s="249"/>
      <c r="AW168" s="251"/>
      <c r="AX168" s="251"/>
      <c r="AY168" s="251"/>
      <c r="AZ168" s="251"/>
      <c r="BA168" s="251"/>
      <c r="BB168" s="251"/>
      <c r="BC168" s="251"/>
      <c r="BD168" s="251"/>
      <c r="BE168" s="251"/>
      <c r="BF168" s="251"/>
      <c r="BG168" s="251"/>
      <c r="BH168" s="251"/>
      <c r="BI168" s="251"/>
      <c r="BJ168" s="251"/>
      <c r="BK168" s="251"/>
      <c r="BL168" s="251"/>
      <c r="BM168" s="251"/>
      <c r="BN168" s="251"/>
      <c r="BO168" s="251"/>
      <c r="BP168" s="251"/>
      <c r="BQ168" s="249"/>
      <c r="BR168" s="249"/>
      <c r="BS168" s="249"/>
      <c r="BT168" s="249"/>
      <c r="BU168" s="249"/>
      <c r="BV168" s="249"/>
      <c r="BW168" s="496"/>
      <c r="BX168" s="496"/>
      <c r="BY168" s="496"/>
      <c r="BZ168" s="496"/>
      <c r="CA168" s="496"/>
      <c r="CB168" s="496"/>
      <c r="CC168" s="496"/>
      <c r="CD168" s="496"/>
      <c r="CE168" s="496"/>
      <c r="CF168" s="496"/>
      <c r="CG168" s="496"/>
      <c r="CH168" s="496"/>
      <c r="CI168" s="496"/>
      <c r="CJ168" s="496"/>
      <c r="CK168" s="496"/>
      <c r="CL168" s="496"/>
      <c r="CM168" s="496"/>
      <c r="CN168" s="496"/>
      <c r="CO168" s="496"/>
      <c r="CP168" s="496"/>
      <c r="CQ168" s="496"/>
      <c r="CR168" s="496"/>
      <c r="CS168" s="496"/>
      <c r="CT168" s="496"/>
      <c r="CU168" s="496"/>
      <c r="CV168" s="496"/>
      <c r="CW168" s="496"/>
      <c r="CX168" s="496"/>
      <c r="CY168" s="496"/>
      <c r="CZ168" s="496"/>
      <c r="DA168" s="496"/>
      <c r="DB168" s="496"/>
      <c r="DC168" s="496"/>
      <c r="DD168" s="496"/>
      <c r="DE168" s="496"/>
      <c r="DF168" s="496"/>
      <c r="DG168" s="496"/>
      <c r="DH168" s="496"/>
      <c r="DI168" s="496"/>
      <c r="DJ168" s="496"/>
      <c r="DK168" s="496"/>
      <c r="DL168" s="496"/>
      <c r="DM168" s="496"/>
      <c r="DN168" s="496"/>
      <c r="DO168" s="496"/>
      <c r="DP168" s="496"/>
      <c r="DQ168" s="496"/>
      <c r="DR168" s="496"/>
      <c r="DS168" s="496"/>
      <c r="DT168" s="496"/>
      <c r="DU168" s="496"/>
      <c r="DV168" s="496"/>
      <c r="DW168" s="496"/>
      <c r="DX168" s="496"/>
      <c r="DY168" s="496"/>
      <c r="DZ168" s="496"/>
      <c r="EA168" s="496"/>
      <c r="EB168" s="496"/>
      <c r="EC168" s="496"/>
      <c r="ED168" s="496"/>
      <c r="EE168" s="496"/>
      <c r="EF168" s="496"/>
      <c r="EG168" s="496"/>
      <c r="EH168" s="496"/>
      <c r="EI168" s="496"/>
      <c r="EJ168" s="496"/>
      <c r="EK168" s="496"/>
      <c r="EL168" s="496"/>
      <c r="EM168" s="496"/>
      <c r="EN168" s="496"/>
      <c r="EO168" s="496"/>
      <c r="EP168" s="496"/>
      <c r="EQ168" s="496"/>
      <c r="ER168" s="496"/>
      <c r="ES168" s="496"/>
      <c r="ET168" s="496"/>
      <c r="EU168" s="496"/>
      <c r="EV168" s="496"/>
      <c r="EW168" s="496"/>
      <c r="EX168" s="496"/>
      <c r="EY168" s="496"/>
      <c r="EZ168" s="496"/>
      <c r="FA168" s="496"/>
      <c r="FB168" s="496"/>
      <c r="FC168" s="496"/>
      <c r="FD168" s="496"/>
      <c r="FE168" s="496"/>
      <c r="FF168" s="496"/>
      <c r="FG168" s="496"/>
      <c r="FH168" s="496"/>
      <c r="FI168" s="496"/>
      <c r="FJ168" s="496"/>
      <c r="FK168" s="496"/>
      <c r="FL168" s="496"/>
      <c r="FM168" s="496"/>
      <c r="FN168" s="496"/>
      <c r="FO168" s="496"/>
      <c r="FP168" s="496"/>
      <c r="FQ168" s="496"/>
      <c r="FR168" s="496"/>
      <c r="FS168" s="496"/>
      <c r="FT168" s="496"/>
      <c r="FU168" s="496"/>
      <c r="FV168" s="496"/>
      <c r="FW168" s="496"/>
      <c r="FX168" s="496"/>
      <c r="FY168" s="496"/>
      <c r="FZ168" s="496"/>
      <c r="GA168" s="496"/>
      <c r="GB168" s="496"/>
      <c r="GC168" s="496"/>
      <c r="GD168" s="496"/>
      <c r="GE168" s="496"/>
      <c r="GF168" s="496"/>
      <c r="GG168" s="496"/>
      <c r="GH168" s="496"/>
      <c r="GI168" s="496"/>
      <c r="GJ168" s="496"/>
      <c r="GK168" s="496"/>
      <c r="GL168" s="496"/>
      <c r="GM168" s="496"/>
      <c r="GN168" s="496"/>
      <c r="GO168" s="496"/>
      <c r="GP168" s="496"/>
      <c r="GQ168" s="496"/>
      <c r="GR168" s="496"/>
      <c r="GS168" s="496"/>
      <c r="GT168" s="496"/>
      <c r="GU168" s="496"/>
      <c r="GV168" s="496"/>
      <c r="GW168" s="496"/>
      <c r="GX168" s="496"/>
      <c r="GY168" s="496"/>
      <c r="GZ168" s="496"/>
      <c r="HA168" s="496"/>
      <c r="HB168" s="496"/>
    </row>
    <row r="169" spans="1:210" ht="19.8">
      <c r="A169" s="164"/>
      <c r="B169" s="250"/>
      <c r="C169" s="502"/>
      <c r="D169" s="497" t="s">
        <v>637</v>
      </c>
      <c r="E169" s="498" t="s">
        <v>1453</v>
      </c>
      <c r="F169" s="500"/>
      <c r="G169" s="501" t="s">
        <v>433</v>
      </c>
      <c r="H169" s="383"/>
      <c r="I169" s="310"/>
      <c r="J169" s="311"/>
      <c r="K169" s="315"/>
      <c r="L169" s="310"/>
      <c r="M169" s="310"/>
      <c r="N169" s="310"/>
      <c r="O169" s="250"/>
      <c r="P169" s="251"/>
      <c r="Q169" s="200"/>
      <c r="R169" s="251"/>
      <c r="S169" s="251"/>
      <c r="T169" s="251"/>
      <c r="U169" s="200"/>
      <c r="V169" s="251"/>
      <c r="W169" s="251"/>
      <c r="X169" s="251"/>
      <c r="Y169" s="200"/>
      <c r="Z169" s="251"/>
      <c r="AA169" s="251"/>
      <c r="AB169" s="251"/>
      <c r="AC169" s="200"/>
      <c r="AD169" s="251"/>
      <c r="AE169" s="251"/>
      <c r="AF169" s="251"/>
      <c r="AG169" s="251"/>
      <c r="AH169" s="251"/>
      <c r="AI169" s="251"/>
      <c r="AJ169" s="251"/>
      <c r="AK169" s="251"/>
      <c r="AL169" s="251"/>
      <c r="AM169" s="251"/>
      <c r="AN169" s="251"/>
      <c r="AO169" s="495"/>
      <c r="AP169" s="495"/>
      <c r="AQ169" s="249"/>
      <c r="AR169" s="249"/>
      <c r="AS169" s="249"/>
      <c r="AT169" s="249"/>
      <c r="AU169" s="249"/>
      <c r="AV169" s="249"/>
      <c r="AW169" s="251"/>
      <c r="AX169" s="251"/>
      <c r="AY169" s="251"/>
      <c r="AZ169" s="251"/>
      <c r="BA169" s="251"/>
      <c r="BB169" s="251"/>
      <c r="BC169" s="251"/>
      <c r="BD169" s="251"/>
      <c r="BE169" s="251"/>
      <c r="BF169" s="251"/>
      <c r="BG169" s="251"/>
      <c r="BH169" s="251"/>
      <c r="BI169" s="251"/>
      <c r="BJ169" s="251"/>
      <c r="BK169" s="251"/>
      <c r="BL169" s="251"/>
      <c r="BM169" s="251"/>
      <c r="BN169" s="251"/>
      <c r="BO169" s="251"/>
      <c r="BP169" s="251"/>
      <c r="BQ169" s="249"/>
      <c r="BR169" s="249"/>
      <c r="BS169" s="249"/>
      <c r="BT169" s="249"/>
      <c r="BU169" s="249"/>
      <c r="BV169" s="249"/>
      <c r="BW169" s="496"/>
      <c r="BX169" s="496"/>
      <c r="BY169" s="496"/>
      <c r="BZ169" s="496"/>
      <c r="CA169" s="496"/>
      <c r="CB169" s="496"/>
      <c r="CC169" s="496"/>
      <c r="CD169" s="496"/>
      <c r="CE169" s="496"/>
      <c r="CF169" s="496"/>
      <c r="CG169" s="496"/>
      <c r="CH169" s="496"/>
      <c r="CI169" s="496"/>
      <c r="CJ169" s="496"/>
      <c r="CK169" s="496"/>
      <c r="CL169" s="496"/>
      <c r="CM169" s="496"/>
      <c r="CN169" s="496"/>
      <c r="CO169" s="496"/>
      <c r="CP169" s="496"/>
      <c r="CQ169" s="496"/>
      <c r="CR169" s="496"/>
      <c r="CS169" s="496"/>
      <c r="CT169" s="496"/>
      <c r="CU169" s="496"/>
      <c r="CV169" s="496"/>
      <c r="CW169" s="496"/>
      <c r="CX169" s="496"/>
      <c r="CY169" s="496"/>
      <c r="CZ169" s="496"/>
      <c r="DA169" s="496"/>
      <c r="DB169" s="496"/>
      <c r="DC169" s="496"/>
      <c r="DD169" s="496"/>
      <c r="DE169" s="496"/>
      <c r="DF169" s="496"/>
      <c r="DG169" s="496"/>
      <c r="DH169" s="496"/>
      <c r="DI169" s="496"/>
      <c r="DJ169" s="496"/>
      <c r="DK169" s="496"/>
      <c r="DL169" s="496"/>
      <c r="DM169" s="496"/>
      <c r="DN169" s="496"/>
      <c r="DO169" s="496"/>
      <c r="DP169" s="496"/>
      <c r="DQ169" s="496"/>
      <c r="DR169" s="496"/>
      <c r="DS169" s="496"/>
      <c r="DT169" s="496"/>
      <c r="DU169" s="496"/>
      <c r="DV169" s="496"/>
      <c r="DW169" s="496"/>
      <c r="DX169" s="496"/>
      <c r="DY169" s="496"/>
      <c r="DZ169" s="496"/>
      <c r="EA169" s="496"/>
      <c r="EB169" s="496"/>
      <c r="EC169" s="496"/>
      <c r="ED169" s="496"/>
      <c r="EE169" s="496"/>
      <c r="EF169" s="496"/>
      <c r="EG169" s="496"/>
      <c r="EH169" s="496"/>
      <c r="EI169" s="496"/>
      <c r="EJ169" s="496"/>
      <c r="EK169" s="496"/>
      <c r="EL169" s="496"/>
      <c r="EM169" s="496"/>
      <c r="EN169" s="496"/>
      <c r="EO169" s="496"/>
      <c r="EP169" s="496"/>
      <c r="EQ169" s="496"/>
      <c r="ER169" s="496"/>
      <c r="ES169" s="496"/>
      <c r="ET169" s="496"/>
      <c r="EU169" s="496"/>
      <c r="EV169" s="496"/>
      <c r="EW169" s="496"/>
      <c r="EX169" s="496"/>
      <c r="EY169" s="496"/>
      <c r="EZ169" s="496"/>
      <c r="FA169" s="496"/>
      <c r="FB169" s="496"/>
      <c r="FC169" s="496"/>
      <c r="FD169" s="496"/>
      <c r="FE169" s="496"/>
      <c r="FF169" s="496"/>
      <c r="FG169" s="496"/>
      <c r="FH169" s="496"/>
      <c r="FI169" s="496"/>
      <c r="FJ169" s="496"/>
      <c r="FK169" s="496"/>
      <c r="FL169" s="496"/>
      <c r="FM169" s="496"/>
      <c r="FN169" s="496"/>
      <c r="FO169" s="496"/>
      <c r="FP169" s="496"/>
      <c r="FQ169" s="496"/>
      <c r="FR169" s="496"/>
      <c r="FS169" s="496"/>
      <c r="FT169" s="496"/>
      <c r="FU169" s="496"/>
      <c r="FV169" s="496"/>
      <c r="FW169" s="496"/>
      <c r="FX169" s="496"/>
      <c r="FY169" s="496"/>
      <c r="FZ169" s="496"/>
      <c r="GA169" s="496"/>
      <c r="GB169" s="496"/>
      <c r="GC169" s="496"/>
      <c r="GD169" s="496"/>
      <c r="GE169" s="496"/>
      <c r="GF169" s="496"/>
      <c r="GG169" s="496"/>
      <c r="GH169" s="496"/>
      <c r="GI169" s="496"/>
      <c r="GJ169" s="496"/>
      <c r="GK169" s="496"/>
      <c r="GL169" s="496"/>
      <c r="GM169" s="496"/>
      <c r="GN169" s="496"/>
      <c r="GO169" s="496"/>
      <c r="GP169" s="496"/>
      <c r="GQ169" s="496"/>
      <c r="GR169" s="496"/>
      <c r="GS169" s="496"/>
      <c r="GT169" s="496"/>
      <c r="GU169" s="496"/>
      <c r="GV169" s="496"/>
      <c r="GW169" s="496"/>
      <c r="GX169" s="496"/>
      <c r="GY169" s="496"/>
      <c r="GZ169" s="496"/>
      <c r="HA169" s="496"/>
      <c r="HB169" s="496"/>
    </row>
    <row r="170" spans="1:210" ht="19.8">
      <c r="A170" s="164"/>
      <c r="B170" s="250"/>
      <c r="C170" s="502"/>
      <c r="D170" s="502"/>
      <c r="E170" s="498" t="s">
        <v>1454</v>
      </c>
      <c r="F170" s="500"/>
      <c r="G170" s="501" t="s">
        <v>436</v>
      </c>
      <c r="H170" s="383"/>
      <c r="I170" s="310"/>
      <c r="J170" s="311"/>
      <c r="K170" s="315"/>
      <c r="L170" s="310"/>
      <c r="M170" s="310"/>
      <c r="N170" s="310"/>
      <c r="O170" s="250"/>
      <c r="P170" s="251"/>
      <c r="Q170" s="200"/>
      <c r="R170" s="251"/>
      <c r="S170" s="251"/>
      <c r="T170" s="251"/>
      <c r="U170" s="200"/>
      <c r="V170" s="251"/>
      <c r="W170" s="251"/>
      <c r="X170" s="251"/>
      <c r="Y170" s="200"/>
      <c r="Z170" s="251"/>
      <c r="AA170" s="251"/>
      <c r="AB170" s="251"/>
      <c r="AC170" s="200"/>
      <c r="AD170" s="251"/>
      <c r="AE170" s="251"/>
      <c r="AF170" s="251"/>
      <c r="AG170" s="251"/>
      <c r="AH170" s="251"/>
      <c r="AI170" s="251"/>
      <c r="AJ170" s="251"/>
      <c r="AK170" s="251"/>
      <c r="AL170" s="251"/>
      <c r="AM170" s="251"/>
      <c r="AN170" s="251"/>
      <c r="AO170" s="495"/>
      <c r="AP170" s="495"/>
      <c r="AQ170" s="249"/>
      <c r="AR170" s="249"/>
      <c r="AS170" s="249"/>
      <c r="AT170" s="249"/>
      <c r="AU170" s="249"/>
      <c r="AV170" s="249"/>
      <c r="AW170" s="251"/>
      <c r="AX170" s="251"/>
      <c r="AY170" s="251"/>
      <c r="AZ170" s="251"/>
      <c r="BA170" s="251"/>
      <c r="BB170" s="251"/>
      <c r="BC170" s="251"/>
      <c r="BD170" s="251"/>
      <c r="BE170" s="251"/>
      <c r="BF170" s="251"/>
      <c r="BG170" s="251"/>
      <c r="BH170" s="251"/>
      <c r="BI170" s="251"/>
      <c r="BJ170" s="251"/>
      <c r="BK170" s="251"/>
      <c r="BL170" s="251"/>
      <c r="BM170" s="251"/>
      <c r="BN170" s="251"/>
      <c r="BO170" s="251"/>
      <c r="BP170" s="251"/>
      <c r="BQ170" s="249"/>
      <c r="BR170" s="249"/>
      <c r="BS170" s="249"/>
      <c r="BT170" s="249"/>
      <c r="BU170" s="249"/>
      <c r="BV170" s="249"/>
      <c r="BW170" s="496"/>
      <c r="BX170" s="496"/>
      <c r="BY170" s="496"/>
      <c r="BZ170" s="496"/>
      <c r="CA170" s="496"/>
      <c r="CB170" s="496"/>
      <c r="CC170" s="496"/>
      <c r="CD170" s="496"/>
      <c r="CE170" s="496"/>
      <c r="CF170" s="496"/>
      <c r="CG170" s="496"/>
      <c r="CH170" s="496"/>
      <c r="CI170" s="496"/>
      <c r="CJ170" s="496"/>
      <c r="CK170" s="496"/>
      <c r="CL170" s="496"/>
      <c r="CM170" s="496"/>
      <c r="CN170" s="496"/>
      <c r="CO170" s="496"/>
      <c r="CP170" s="496"/>
      <c r="CQ170" s="496"/>
      <c r="CR170" s="496"/>
      <c r="CS170" s="496"/>
      <c r="CT170" s="496"/>
      <c r="CU170" s="496"/>
      <c r="CV170" s="496"/>
      <c r="CW170" s="496"/>
      <c r="CX170" s="496"/>
      <c r="CY170" s="496"/>
      <c r="CZ170" s="496"/>
      <c r="DA170" s="496"/>
      <c r="DB170" s="496"/>
      <c r="DC170" s="496"/>
      <c r="DD170" s="496"/>
      <c r="DE170" s="496"/>
      <c r="DF170" s="496"/>
      <c r="DG170" s="496"/>
      <c r="DH170" s="496"/>
      <c r="DI170" s="496"/>
      <c r="DJ170" s="496"/>
      <c r="DK170" s="496"/>
      <c r="DL170" s="496"/>
      <c r="DM170" s="496"/>
      <c r="DN170" s="496"/>
      <c r="DO170" s="496"/>
      <c r="DP170" s="496"/>
      <c r="DQ170" s="496"/>
      <c r="DR170" s="496"/>
      <c r="DS170" s="496"/>
      <c r="DT170" s="496"/>
      <c r="DU170" s="496"/>
      <c r="DV170" s="496"/>
      <c r="DW170" s="496"/>
      <c r="DX170" s="496"/>
      <c r="DY170" s="496"/>
      <c r="DZ170" s="496"/>
      <c r="EA170" s="496"/>
      <c r="EB170" s="496"/>
      <c r="EC170" s="496"/>
      <c r="ED170" s="496"/>
      <c r="EE170" s="496"/>
      <c r="EF170" s="496"/>
      <c r="EG170" s="496"/>
      <c r="EH170" s="496"/>
      <c r="EI170" s="496"/>
      <c r="EJ170" s="496"/>
      <c r="EK170" s="496"/>
      <c r="EL170" s="496"/>
      <c r="EM170" s="496"/>
      <c r="EN170" s="496"/>
      <c r="EO170" s="496"/>
      <c r="EP170" s="496"/>
      <c r="EQ170" s="496"/>
      <c r="ER170" s="496"/>
      <c r="ES170" s="496"/>
      <c r="ET170" s="496"/>
      <c r="EU170" s="496"/>
      <c r="EV170" s="496"/>
      <c r="EW170" s="496"/>
      <c r="EX170" s="496"/>
      <c r="EY170" s="496"/>
      <c r="EZ170" s="496"/>
      <c r="FA170" s="496"/>
      <c r="FB170" s="496"/>
      <c r="FC170" s="496"/>
      <c r="FD170" s="496"/>
      <c r="FE170" s="496"/>
      <c r="FF170" s="496"/>
      <c r="FG170" s="496"/>
      <c r="FH170" s="496"/>
      <c r="FI170" s="496"/>
      <c r="FJ170" s="496"/>
      <c r="FK170" s="496"/>
      <c r="FL170" s="496"/>
      <c r="FM170" s="496"/>
      <c r="FN170" s="496"/>
      <c r="FO170" s="496"/>
      <c r="FP170" s="496"/>
      <c r="FQ170" s="496"/>
      <c r="FR170" s="496"/>
      <c r="FS170" s="496"/>
      <c r="FT170" s="496"/>
      <c r="FU170" s="496"/>
      <c r="FV170" s="496"/>
      <c r="FW170" s="496"/>
      <c r="FX170" s="496"/>
      <c r="FY170" s="496"/>
      <c r="FZ170" s="496"/>
      <c r="GA170" s="496"/>
      <c r="GB170" s="496"/>
      <c r="GC170" s="496"/>
      <c r="GD170" s="496"/>
      <c r="GE170" s="496"/>
      <c r="GF170" s="496"/>
      <c r="GG170" s="496"/>
      <c r="GH170" s="496"/>
      <c r="GI170" s="496"/>
      <c r="GJ170" s="496"/>
      <c r="GK170" s="496"/>
      <c r="GL170" s="496"/>
      <c r="GM170" s="496"/>
      <c r="GN170" s="496"/>
      <c r="GO170" s="496"/>
      <c r="GP170" s="496"/>
      <c r="GQ170" s="496"/>
      <c r="GR170" s="496"/>
      <c r="GS170" s="496"/>
      <c r="GT170" s="496"/>
      <c r="GU170" s="496"/>
      <c r="GV170" s="496"/>
      <c r="GW170" s="496"/>
      <c r="GX170" s="496"/>
      <c r="GY170" s="496"/>
      <c r="GZ170" s="496"/>
      <c r="HA170" s="496"/>
      <c r="HB170" s="496"/>
    </row>
    <row r="171" spans="1:210" ht="19.8">
      <c r="A171" s="164"/>
      <c r="B171" s="250"/>
      <c r="C171" s="502"/>
      <c r="D171" s="502"/>
      <c r="E171" s="498" t="s">
        <v>1455</v>
      </c>
      <c r="F171" s="500"/>
      <c r="G171" s="501" t="s">
        <v>433</v>
      </c>
      <c r="H171" s="383"/>
      <c r="I171" s="310"/>
      <c r="J171" s="311"/>
      <c r="K171" s="315"/>
      <c r="L171" s="310"/>
      <c r="M171" s="310"/>
      <c r="N171" s="310"/>
      <c r="O171" s="250"/>
      <c r="P171" s="251"/>
      <c r="Q171" s="200"/>
      <c r="R171" s="251"/>
      <c r="S171" s="251"/>
      <c r="T171" s="251"/>
      <c r="U171" s="200"/>
      <c r="V171" s="251"/>
      <c r="W171" s="251"/>
      <c r="X171" s="251"/>
      <c r="Y171" s="200"/>
      <c r="Z171" s="251"/>
      <c r="AA171" s="251"/>
      <c r="AB171" s="251"/>
      <c r="AC171" s="200"/>
      <c r="AD171" s="251"/>
      <c r="AE171" s="251"/>
      <c r="AF171" s="251"/>
      <c r="AG171" s="251"/>
      <c r="AH171" s="251"/>
      <c r="AI171" s="251"/>
      <c r="AJ171" s="251"/>
      <c r="AK171" s="251"/>
      <c r="AL171" s="251"/>
      <c r="AM171" s="251"/>
      <c r="AN171" s="251"/>
      <c r="AO171" s="495"/>
      <c r="AP171" s="495"/>
      <c r="AQ171" s="249"/>
      <c r="AR171" s="249"/>
      <c r="AS171" s="249"/>
      <c r="AT171" s="249"/>
      <c r="AU171" s="249"/>
      <c r="AV171" s="249"/>
      <c r="AW171" s="251"/>
      <c r="AX171" s="251"/>
      <c r="AY171" s="251"/>
      <c r="AZ171" s="251"/>
      <c r="BA171" s="251"/>
      <c r="BB171" s="251"/>
      <c r="BC171" s="251"/>
      <c r="BD171" s="251"/>
      <c r="BE171" s="251"/>
      <c r="BF171" s="251"/>
      <c r="BG171" s="251"/>
      <c r="BH171" s="251"/>
      <c r="BI171" s="251"/>
      <c r="BJ171" s="251"/>
      <c r="BK171" s="251"/>
      <c r="BL171" s="251"/>
      <c r="BM171" s="251"/>
      <c r="BN171" s="251"/>
      <c r="BO171" s="251"/>
      <c r="BP171" s="251"/>
      <c r="BQ171" s="249"/>
      <c r="BR171" s="249"/>
      <c r="BS171" s="249"/>
      <c r="BT171" s="249"/>
      <c r="BU171" s="249"/>
      <c r="BV171" s="249"/>
      <c r="BW171" s="496"/>
      <c r="BX171" s="496"/>
      <c r="BY171" s="496"/>
      <c r="BZ171" s="496"/>
      <c r="CA171" s="496"/>
      <c r="CB171" s="496"/>
      <c r="CC171" s="496"/>
      <c r="CD171" s="496"/>
      <c r="CE171" s="496"/>
      <c r="CF171" s="496"/>
      <c r="CG171" s="496"/>
      <c r="CH171" s="496"/>
      <c r="CI171" s="496"/>
      <c r="CJ171" s="496"/>
      <c r="CK171" s="496"/>
      <c r="CL171" s="496"/>
      <c r="CM171" s="496"/>
      <c r="CN171" s="496"/>
      <c r="CO171" s="496"/>
      <c r="CP171" s="496"/>
      <c r="CQ171" s="496"/>
      <c r="CR171" s="496"/>
      <c r="CS171" s="496"/>
      <c r="CT171" s="496"/>
      <c r="CU171" s="496"/>
      <c r="CV171" s="496"/>
      <c r="CW171" s="496"/>
      <c r="CX171" s="496"/>
      <c r="CY171" s="496"/>
      <c r="CZ171" s="496"/>
      <c r="DA171" s="496"/>
      <c r="DB171" s="496"/>
      <c r="DC171" s="496"/>
      <c r="DD171" s="496"/>
      <c r="DE171" s="496"/>
      <c r="DF171" s="496"/>
      <c r="DG171" s="496"/>
      <c r="DH171" s="496"/>
      <c r="DI171" s="496"/>
      <c r="DJ171" s="496"/>
      <c r="DK171" s="496"/>
      <c r="DL171" s="496"/>
      <c r="DM171" s="496"/>
      <c r="DN171" s="496"/>
      <c r="DO171" s="496"/>
      <c r="DP171" s="496"/>
      <c r="DQ171" s="496"/>
      <c r="DR171" s="496"/>
      <c r="DS171" s="496"/>
      <c r="DT171" s="496"/>
      <c r="DU171" s="496"/>
      <c r="DV171" s="496"/>
      <c r="DW171" s="496"/>
      <c r="DX171" s="496"/>
      <c r="DY171" s="496"/>
      <c r="DZ171" s="496"/>
      <c r="EA171" s="496"/>
      <c r="EB171" s="496"/>
      <c r="EC171" s="496"/>
      <c r="ED171" s="496"/>
      <c r="EE171" s="496"/>
      <c r="EF171" s="496"/>
      <c r="EG171" s="496"/>
      <c r="EH171" s="496"/>
      <c r="EI171" s="496"/>
      <c r="EJ171" s="496"/>
      <c r="EK171" s="496"/>
      <c r="EL171" s="496"/>
      <c r="EM171" s="496"/>
      <c r="EN171" s="496"/>
      <c r="EO171" s="496"/>
      <c r="EP171" s="496"/>
      <c r="EQ171" s="496"/>
      <c r="ER171" s="496"/>
      <c r="ES171" s="496"/>
      <c r="ET171" s="496"/>
      <c r="EU171" s="496"/>
      <c r="EV171" s="496"/>
      <c r="EW171" s="496"/>
      <c r="EX171" s="496"/>
      <c r="EY171" s="496"/>
      <c r="EZ171" s="496"/>
      <c r="FA171" s="496"/>
      <c r="FB171" s="496"/>
      <c r="FC171" s="496"/>
      <c r="FD171" s="496"/>
      <c r="FE171" s="496"/>
      <c r="FF171" s="496"/>
      <c r="FG171" s="496"/>
      <c r="FH171" s="496"/>
      <c r="FI171" s="496"/>
      <c r="FJ171" s="496"/>
      <c r="FK171" s="496"/>
      <c r="FL171" s="496"/>
      <c r="FM171" s="496"/>
      <c r="FN171" s="496"/>
      <c r="FO171" s="496"/>
      <c r="FP171" s="496"/>
      <c r="FQ171" s="496"/>
      <c r="FR171" s="496"/>
      <c r="FS171" s="496"/>
      <c r="FT171" s="496"/>
      <c r="FU171" s="496"/>
      <c r="FV171" s="496"/>
      <c r="FW171" s="496"/>
      <c r="FX171" s="496"/>
      <c r="FY171" s="496"/>
      <c r="FZ171" s="496"/>
      <c r="GA171" s="496"/>
      <c r="GB171" s="496"/>
      <c r="GC171" s="496"/>
      <c r="GD171" s="496"/>
      <c r="GE171" s="496"/>
      <c r="GF171" s="496"/>
      <c r="GG171" s="496"/>
      <c r="GH171" s="496"/>
      <c r="GI171" s="496"/>
      <c r="GJ171" s="496"/>
      <c r="GK171" s="496"/>
      <c r="GL171" s="496"/>
      <c r="GM171" s="496"/>
      <c r="GN171" s="496"/>
      <c r="GO171" s="496"/>
      <c r="GP171" s="496"/>
      <c r="GQ171" s="496"/>
      <c r="GR171" s="496"/>
      <c r="GS171" s="496"/>
      <c r="GT171" s="496"/>
      <c r="GU171" s="496"/>
      <c r="GV171" s="496"/>
      <c r="GW171" s="496"/>
      <c r="GX171" s="496"/>
      <c r="GY171" s="496"/>
      <c r="GZ171" s="496"/>
      <c r="HA171" s="496"/>
      <c r="HB171" s="496"/>
    </row>
    <row r="172" spans="1:210" ht="19.8">
      <c r="A172" s="164"/>
      <c r="B172" s="250"/>
      <c r="C172" s="502"/>
      <c r="D172" s="506"/>
      <c r="E172" s="498" t="s">
        <v>1456</v>
      </c>
      <c r="F172" s="500"/>
      <c r="G172" s="501" t="s">
        <v>1533</v>
      </c>
      <c r="H172" s="383"/>
      <c r="I172" s="310"/>
      <c r="J172" s="311"/>
      <c r="K172" s="315"/>
      <c r="L172" s="310"/>
      <c r="M172" s="310"/>
      <c r="N172" s="310"/>
      <c r="O172" s="250"/>
      <c r="P172" s="251"/>
      <c r="Q172" s="200"/>
      <c r="R172" s="251"/>
      <c r="S172" s="251"/>
      <c r="T172" s="251"/>
      <c r="U172" s="200"/>
      <c r="V172" s="251"/>
      <c r="W172" s="251"/>
      <c r="X172" s="251"/>
      <c r="Y172" s="200"/>
      <c r="Z172" s="251"/>
      <c r="AA172" s="251"/>
      <c r="AB172" s="251"/>
      <c r="AC172" s="200"/>
      <c r="AD172" s="251"/>
      <c r="AE172" s="251"/>
      <c r="AF172" s="251"/>
      <c r="AG172" s="251"/>
      <c r="AH172" s="251"/>
      <c r="AI172" s="251"/>
      <c r="AJ172" s="251"/>
      <c r="AK172" s="251"/>
      <c r="AL172" s="251"/>
      <c r="AM172" s="251"/>
      <c r="AN172" s="251"/>
      <c r="AO172" s="495"/>
      <c r="AP172" s="495"/>
      <c r="AQ172" s="249"/>
      <c r="AR172" s="249"/>
      <c r="AS172" s="249"/>
      <c r="AT172" s="249"/>
      <c r="AU172" s="249"/>
      <c r="AV172" s="249"/>
      <c r="AW172" s="251"/>
      <c r="AX172" s="251"/>
      <c r="AY172" s="251"/>
      <c r="AZ172" s="251"/>
      <c r="BA172" s="251"/>
      <c r="BB172" s="251"/>
      <c r="BC172" s="251"/>
      <c r="BD172" s="251"/>
      <c r="BE172" s="251"/>
      <c r="BF172" s="251"/>
      <c r="BG172" s="251"/>
      <c r="BH172" s="251"/>
      <c r="BI172" s="251"/>
      <c r="BJ172" s="251"/>
      <c r="BK172" s="251"/>
      <c r="BL172" s="251"/>
      <c r="BM172" s="251"/>
      <c r="BN172" s="251"/>
      <c r="BO172" s="251"/>
      <c r="BP172" s="251"/>
      <c r="BQ172" s="249"/>
      <c r="BR172" s="249"/>
      <c r="BS172" s="249"/>
      <c r="BT172" s="249"/>
      <c r="BU172" s="249"/>
      <c r="BV172" s="249"/>
      <c r="BW172" s="496"/>
      <c r="BX172" s="496"/>
      <c r="BY172" s="496"/>
      <c r="BZ172" s="496"/>
      <c r="CA172" s="496"/>
      <c r="CB172" s="496"/>
      <c r="CC172" s="496"/>
      <c r="CD172" s="496"/>
      <c r="CE172" s="496"/>
      <c r="CF172" s="496"/>
      <c r="CG172" s="496"/>
      <c r="CH172" s="496"/>
      <c r="CI172" s="496"/>
      <c r="CJ172" s="496"/>
      <c r="CK172" s="496"/>
      <c r="CL172" s="496"/>
      <c r="CM172" s="496"/>
      <c r="CN172" s="496"/>
      <c r="CO172" s="496"/>
      <c r="CP172" s="496"/>
      <c r="CQ172" s="496"/>
      <c r="CR172" s="496"/>
      <c r="CS172" s="496"/>
      <c r="CT172" s="496"/>
      <c r="CU172" s="496"/>
      <c r="CV172" s="496"/>
      <c r="CW172" s="496"/>
      <c r="CX172" s="496"/>
      <c r="CY172" s="496"/>
      <c r="CZ172" s="496"/>
      <c r="DA172" s="496"/>
      <c r="DB172" s="496"/>
      <c r="DC172" s="496"/>
      <c r="DD172" s="496"/>
      <c r="DE172" s="496"/>
      <c r="DF172" s="496"/>
      <c r="DG172" s="496"/>
      <c r="DH172" s="496"/>
      <c r="DI172" s="496"/>
      <c r="DJ172" s="496"/>
      <c r="DK172" s="496"/>
      <c r="DL172" s="496"/>
      <c r="DM172" s="496"/>
      <c r="DN172" s="496"/>
      <c r="DO172" s="496"/>
      <c r="DP172" s="496"/>
      <c r="DQ172" s="496"/>
      <c r="DR172" s="496"/>
      <c r="DS172" s="496"/>
      <c r="DT172" s="496"/>
      <c r="DU172" s="496"/>
      <c r="DV172" s="496"/>
      <c r="DW172" s="496"/>
      <c r="DX172" s="496"/>
      <c r="DY172" s="496"/>
      <c r="DZ172" s="496"/>
      <c r="EA172" s="496"/>
      <c r="EB172" s="496"/>
      <c r="EC172" s="496"/>
      <c r="ED172" s="496"/>
      <c r="EE172" s="496"/>
      <c r="EF172" s="496"/>
      <c r="EG172" s="496"/>
      <c r="EH172" s="496"/>
      <c r="EI172" s="496"/>
      <c r="EJ172" s="496"/>
      <c r="EK172" s="496"/>
      <c r="EL172" s="496"/>
      <c r="EM172" s="496"/>
      <c r="EN172" s="496"/>
      <c r="EO172" s="496"/>
      <c r="EP172" s="496"/>
      <c r="EQ172" s="496"/>
      <c r="ER172" s="496"/>
      <c r="ES172" s="496"/>
      <c r="ET172" s="496"/>
      <c r="EU172" s="496"/>
      <c r="EV172" s="496"/>
      <c r="EW172" s="496"/>
      <c r="EX172" s="496"/>
      <c r="EY172" s="496"/>
      <c r="EZ172" s="496"/>
      <c r="FA172" s="496"/>
      <c r="FB172" s="496"/>
      <c r="FC172" s="496"/>
      <c r="FD172" s="496"/>
      <c r="FE172" s="496"/>
      <c r="FF172" s="496"/>
      <c r="FG172" s="496"/>
      <c r="FH172" s="496"/>
      <c r="FI172" s="496"/>
      <c r="FJ172" s="496"/>
      <c r="FK172" s="496"/>
      <c r="FL172" s="496"/>
      <c r="FM172" s="496"/>
      <c r="FN172" s="496"/>
      <c r="FO172" s="496"/>
      <c r="FP172" s="496"/>
      <c r="FQ172" s="496"/>
      <c r="FR172" s="496"/>
      <c r="FS172" s="496"/>
      <c r="FT172" s="496"/>
      <c r="FU172" s="496"/>
      <c r="FV172" s="496"/>
      <c r="FW172" s="496"/>
      <c r="FX172" s="496"/>
      <c r="FY172" s="496"/>
      <c r="FZ172" s="496"/>
      <c r="GA172" s="496"/>
      <c r="GB172" s="496"/>
      <c r="GC172" s="496"/>
      <c r="GD172" s="496"/>
      <c r="GE172" s="496"/>
      <c r="GF172" s="496"/>
      <c r="GG172" s="496"/>
      <c r="GH172" s="496"/>
      <c r="GI172" s="496"/>
      <c r="GJ172" s="496"/>
      <c r="GK172" s="496"/>
      <c r="GL172" s="496"/>
      <c r="GM172" s="496"/>
      <c r="GN172" s="496"/>
      <c r="GO172" s="496"/>
      <c r="GP172" s="496"/>
      <c r="GQ172" s="496"/>
      <c r="GR172" s="496"/>
      <c r="GS172" s="496"/>
      <c r="GT172" s="496"/>
      <c r="GU172" s="496"/>
      <c r="GV172" s="496"/>
      <c r="GW172" s="496"/>
      <c r="GX172" s="496"/>
      <c r="GY172" s="496"/>
      <c r="GZ172" s="496"/>
      <c r="HA172" s="496"/>
      <c r="HB172" s="496"/>
    </row>
    <row r="173" spans="1:210" ht="19.8">
      <c r="A173" s="164"/>
      <c r="B173" s="250"/>
      <c r="C173" s="507"/>
      <c r="D173" s="498" t="s">
        <v>638</v>
      </c>
      <c r="E173" s="508"/>
      <c r="F173" s="509"/>
      <c r="G173" s="501" t="s">
        <v>433</v>
      </c>
      <c r="H173" s="383"/>
      <c r="I173" s="310"/>
      <c r="J173" s="311"/>
      <c r="K173" s="315"/>
      <c r="L173" s="310"/>
      <c r="M173" s="310"/>
      <c r="N173" s="310"/>
      <c r="O173" s="250"/>
      <c r="P173" s="251"/>
      <c r="Q173" s="200"/>
      <c r="R173" s="251"/>
      <c r="S173" s="251"/>
      <c r="T173" s="251"/>
      <c r="U173" s="200"/>
      <c r="V173" s="251"/>
      <c r="W173" s="251"/>
      <c r="X173" s="251"/>
      <c r="Y173" s="200"/>
      <c r="Z173" s="251"/>
      <c r="AA173" s="251"/>
      <c r="AB173" s="251"/>
      <c r="AC173" s="200"/>
      <c r="AD173" s="251"/>
      <c r="AE173" s="251"/>
      <c r="AF173" s="251"/>
      <c r="AG173" s="251"/>
      <c r="AH173" s="251"/>
      <c r="AI173" s="251"/>
      <c r="AJ173" s="251"/>
      <c r="AK173" s="251"/>
      <c r="AL173" s="251"/>
      <c r="AM173" s="251"/>
      <c r="AN173" s="251"/>
      <c r="AO173" s="495"/>
      <c r="AP173" s="495"/>
      <c r="AQ173" s="249"/>
      <c r="AR173" s="249"/>
      <c r="AS173" s="249"/>
      <c r="AT173" s="249"/>
      <c r="AU173" s="249"/>
      <c r="AV173" s="249"/>
      <c r="AW173" s="251"/>
      <c r="AX173" s="251"/>
      <c r="AY173" s="251"/>
      <c r="AZ173" s="251"/>
      <c r="BA173" s="251"/>
      <c r="BB173" s="251"/>
      <c r="BC173" s="251"/>
      <c r="BD173" s="251"/>
      <c r="BE173" s="251"/>
      <c r="BF173" s="251"/>
      <c r="BG173" s="251"/>
      <c r="BH173" s="251"/>
      <c r="BI173" s="251"/>
      <c r="BJ173" s="251"/>
      <c r="BK173" s="251"/>
      <c r="BL173" s="251"/>
      <c r="BM173" s="251"/>
      <c r="BN173" s="251"/>
      <c r="BO173" s="251"/>
      <c r="BP173" s="251"/>
      <c r="BQ173" s="249"/>
      <c r="BR173" s="249"/>
      <c r="BS173" s="249"/>
      <c r="BT173" s="249"/>
      <c r="BU173" s="249"/>
      <c r="BV173" s="249"/>
      <c r="BW173" s="496"/>
      <c r="BX173" s="496"/>
      <c r="BY173" s="496"/>
      <c r="BZ173" s="496"/>
      <c r="CA173" s="496"/>
      <c r="CB173" s="496"/>
      <c r="CC173" s="496"/>
      <c r="CD173" s="496"/>
      <c r="CE173" s="496"/>
      <c r="CF173" s="496"/>
      <c r="CG173" s="496"/>
      <c r="CH173" s="496"/>
      <c r="CI173" s="496"/>
      <c r="CJ173" s="496"/>
      <c r="CK173" s="496"/>
      <c r="CL173" s="496"/>
      <c r="CM173" s="496"/>
      <c r="CN173" s="496"/>
      <c r="CO173" s="496"/>
      <c r="CP173" s="496"/>
      <c r="CQ173" s="496"/>
      <c r="CR173" s="496"/>
      <c r="CS173" s="496"/>
      <c r="CT173" s="496"/>
      <c r="CU173" s="496"/>
      <c r="CV173" s="496"/>
      <c r="CW173" s="496"/>
      <c r="CX173" s="496"/>
      <c r="CY173" s="496"/>
      <c r="CZ173" s="496"/>
      <c r="DA173" s="496"/>
      <c r="DB173" s="496"/>
      <c r="DC173" s="496"/>
      <c r="DD173" s="496"/>
      <c r="DE173" s="496"/>
      <c r="DF173" s="496"/>
      <c r="DG173" s="496"/>
      <c r="DH173" s="496"/>
      <c r="DI173" s="496"/>
      <c r="DJ173" s="496"/>
      <c r="DK173" s="496"/>
      <c r="DL173" s="496"/>
      <c r="DM173" s="496"/>
      <c r="DN173" s="496"/>
      <c r="DO173" s="496"/>
      <c r="DP173" s="496"/>
      <c r="DQ173" s="496"/>
      <c r="DR173" s="496"/>
      <c r="DS173" s="496"/>
      <c r="DT173" s="496"/>
      <c r="DU173" s="496"/>
      <c r="DV173" s="496"/>
      <c r="DW173" s="496"/>
      <c r="DX173" s="496"/>
      <c r="DY173" s="496"/>
      <c r="DZ173" s="496"/>
      <c r="EA173" s="496"/>
      <c r="EB173" s="496"/>
      <c r="EC173" s="496"/>
      <c r="ED173" s="496"/>
      <c r="EE173" s="496"/>
      <c r="EF173" s="496"/>
      <c r="EG173" s="496"/>
      <c r="EH173" s="496"/>
      <c r="EI173" s="496"/>
      <c r="EJ173" s="496"/>
      <c r="EK173" s="496"/>
      <c r="EL173" s="496"/>
      <c r="EM173" s="496"/>
      <c r="EN173" s="496"/>
      <c r="EO173" s="496"/>
      <c r="EP173" s="496"/>
      <c r="EQ173" s="496"/>
      <c r="ER173" s="496"/>
      <c r="ES173" s="496"/>
      <c r="ET173" s="496"/>
      <c r="EU173" s="496"/>
      <c r="EV173" s="496"/>
      <c r="EW173" s="496"/>
      <c r="EX173" s="496"/>
      <c r="EY173" s="496"/>
      <c r="EZ173" s="496"/>
      <c r="FA173" s="496"/>
      <c r="FB173" s="496"/>
      <c r="FC173" s="496"/>
      <c r="FD173" s="496"/>
      <c r="FE173" s="496"/>
      <c r="FF173" s="496"/>
      <c r="FG173" s="496"/>
      <c r="FH173" s="496"/>
      <c r="FI173" s="496"/>
      <c r="FJ173" s="496"/>
      <c r="FK173" s="496"/>
      <c r="FL173" s="496"/>
      <c r="FM173" s="496"/>
      <c r="FN173" s="496"/>
      <c r="FO173" s="496"/>
      <c r="FP173" s="496"/>
      <c r="FQ173" s="496"/>
      <c r="FR173" s="496"/>
      <c r="FS173" s="496"/>
      <c r="FT173" s="496"/>
      <c r="FU173" s="496"/>
      <c r="FV173" s="496"/>
      <c r="FW173" s="496"/>
      <c r="FX173" s="496"/>
      <c r="FY173" s="496"/>
      <c r="FZ173" s="496"/>
      <c r="GA173" s="496"/>
      <c r="GB173" s="496"/>
      <c r="GC173" s="496"/>
      <c r="GD173" s="496"/>
      <c r="GE173" s="496"/>
      <c r="GF173" s="496"/>
      <c r="GG173" s="496"/>
      <c r="GH173" s="496"/>
      <c r="GI173" s="496"/>
      <c r="GJ173" s="496"/>
      <c r="GK173" s="496"/>
      <c r="GL173" s="496"/>
      <c r="GM173" s="496"/>
      <c r="GN173" s="496"/>
      <c r="GO173" s="496"/>
      <c r="GP173" s="496"/>
      <c r="GQ173" s="496"/>
      <c r="GR173" s="496"/>
      <c r="GS173" s="496"/>
      <c r="GT173" s="496"/>
      <c r="GU173" s="496"/>
      <c r="GV173" s="496"/>
      <c r="GW173" s="496"/>
      <c r="GX173" s="496"/>
      <c r="GY173" s="496"/>
      <c r="GZ173" s="496"/>
      <c r="HA173" s="496"/>
      <c r="HB173" s="496"/>
    </row>
    <row r="174" spans="1:210" ht="20.399999999999999" thickBot="1">
      <c r="A174" s="164"/>
      <c r="B174" s="250"/>
      <c r="C174" s="498" t="s">
        <v>1457</v>
      </c>
      <c r="D174" s="499"/>
      <c r="E174" s="510"/>
      <c r="F174" s="511"/>
      <c r="G174" s="501" t="s">
        <v>433</v>
      </c>
      <c r="H174" s="383"/>
      <c r="I174" s="310"/>
      <c r="J174" s="311"/>
      <c r="K174" s="315"/>
      <c r="L174" s="310"/>
      <c r="M174" s="310"/>
      <c r="N174" s="310"/>
      <c r="O174" s="512"/>
      <c r="P174" s="278"/>
      <c r="Q174" s="200"/>
      <c r="R174" s="251"/>
      <c r="S174" s="251"/>
      <c r="T174" s="251"/>
      <c r="U174" s="200"/>
      <c r="V174" s="251"/>
      <c r="W174" s="251"/>
      <c r="X174" s="251"/>
      <c r="Y174" s="200"/>
      <c r="Z174" s="251"/>
      <c r="AA174" s="251"/>
      <c r="AB174" s="251"/>
      <c r="AC174" s="200"/>
      <c r="AD174" s="251"/>
      <c r="AE174" s="251"/>
      <c r="AF174" s="251"/>
      <c r="AG174" s="251"/>
      <c r="AH174" s="251"/>
      <c r="AI174" s="251"/>
      <c r="AJ174" s="251"/>
      <c r="AK174" s="251"/>
      <c r="AL174" s="251"/>
      <c r="AM174" s="251"/>
      <c r="AN174" s="251"/>
      <c r="AO174" s="495"/>
      <c r="AP174" s="495"/>
      <c r="AQ174" s="249"/>
      <c r="AR174" s="249"/>
      <c r="AS174" s="249"/>
      <c r="AT174" s="249"/>
      <c r="AU174" s="249"/>
      <c r="AV174" s="249"/>
      <c r="AW174" s="251"/>
      <c r="AX174" s="251"/>
      <c r="AY174" s="251"/>
      <c r="AZ174" s="251"/>
      <c r="BA174" s="251"/>
      <c r="BB174" s="251"/>
      <c r="BC174" s="251"/>
      <c r="BD174" s="251"/>
      <c r="BE174" s="251"/>
      <c r="BF174" s="251"/>
      <c r="BG174" s="251"/>
      <c r="BH174" s="251"/>
      <c r="BI174" s="251"/>
      <c r="BJ174" s="251"/>
      <c r="BK174" s="251"/>
      <c r="BL174" s="251"/>
      <c r="BM174" s="251"/>
      <c r="BN174" s="251"/>
      <c r="BO174" s="251"/>
      <c r="BP174" s="251"/>
      <c r="BQ174" s="249"/>
      <c r="BR174" s="249"/>
      <c r="BS174" s="249"/>
      <c r="BT174" s="249"/>
      <c r="BU174" s="249"/>
      <c r="BV174" s="249"/>
      <c r="BW174" s="496"/>
      <c r="BX174" s="496"/>
      <c r="BY174" s="496"/>
      <c r="BZ174" s="496"/>
      <c r="CA174" s="496"/>
      <c r="CB174" s="496"/>
      <c r="CC174" s="496"/>
      <c r="CD174" s="496"/>
      <c r="CE174" s="496"/>
      <c r="CF174" s="496"/>
      <c r="CG174" s="496"/>
      <c r="CH174" s="496"/>
      <c r="CI174" s="496"/>
      <c r="CJ174" s="496"/>
      <c r="CK174" s="496"/>
      <c r="CL174" s="496"/>
      <c r="CM174" s="496"/>
      <c r="CN174" s="496"/>
      <c r="CO174" s="496"/>
      <c r="CP174" s="496"/>
      <c r="CQ174" s="496"/>
      <c r="CR174" s="496"/>
      <c r="CS174" s="496"/>
      <c r="CT174" s="496"/>
      <c r="CU174" s="496"/>
      <c r="CV174" s="496"/>
      <c r="CW174" s="496"/>
      <c r="CX174" s="496"/>
      <c r="CY174" s="496"/>
      <c r="CZ174" s="496"/>
      <c r="DA174" s="496"/>
      <c r="DB174" s="496"/>
      <c r="DC174" s="496"/>
      <c r="DD174" s="496"/>
      <c r="DE174" s="496"/>
      <c r="DF174" s="496"/>
      <c r="DG174" s="496"/>
      <c r="DH174" s="496"/>
      <c r="DI174" s="496"/>
      <c r="DJ174" s="496"/>
      <c r="DK174" s="496"/>
      <c r="DL174" s="496"/>
      <c r="DM174" s="496"/>
      <c r="DN174" s="496"/>
      <c r="DO174" s="496"/>
      <c r="DP174" s="496"/>
      <c r="DQ174" s="496"/>
      <c r="DR174" s="496"/>
      <c r="DS174" s="496"/>
      <c r="DT174" s="496"/>
      <c r="DU174" s="496"/>
      <c r="DV174" s="496"/>
      <c r="DW174" s="496"/>
      <c r="DX174" s="496"/>
      <c r="DY174" s="496"/>
      <c r="DZ174" s="496"/>
      <c r="EA174" s="496"/>
      <c r="EB174" s="496"/>
      <c r="EC174" s="496"/>
      <c r="ED174" s="496"/>
      <c r="EE174" s="496"/>
      <c r="EF174" s="496"/>
      <c r="EG174" s="496"/>
      <c r="EH174" s="496"/>
      <c r="EI174" s="496"/>
      <c r="EJ174" s="496"/>
      <c r="EK174" s="496"/>
      <c r="EL174" s="496"/>
      <c r="EM174" s="496"/>
      <c r="EN174" s="496"/>
      <c r="EO174" s="496"/>
      <c r="EP174" s="496"/>
      <c r="EQ174" s="496"/>
      <c r="ER174" s="496"/>
      <c r="ES174" s="496"/>
      <c r="ET174" s="496"/>
      <c r="EU174" s="496"/>
      <c r="EV174" s="496"/>
      <c r="EW174" s="496"/>
      <c r="EX174" s="496"/>
      <c r="EY174" s="496"/>
      <c r="EZ174" s="496"/>
      <c r="FA174" s="496"/>
      <c r="FB174" s="496"/>
      <c r="FC174" s="496"/>
      <c r="FD174" s="496"/>
      <c r="FE174" s="496"/>
      <c r="FF174" s="496"/>
      <c r="FG174" s="496"/>
      <c r="FH174" s="496"/>
      <c r="FI174" s="496"/>
      <c r="FJ174" s="496"/>
      <c r="FK174" s="496"/>
      <c r="FL174" s="496"/>
      <c r="FM174" s="496"/>
      <c r="FN174" s="496"/>
      <c r="FO174" s="496"/>
      <c r="FP174" s="496"/>
      <c r="FQ174" s="496"/>
      <c r="FR174" s="496"/>
      <c r="FS174" s="496"/>
      <c r="FT174" s="496"/>
      <c r="FU174" s="496"/>
      <c r="FV174" s="496"/>
      <c r="FW174" s="496"/>
      <c r="FX174" s="496"/>
      <c r="FY174" s="496"/>
      <c r="FZ174" s="496"/>
      <c r="GA174" s="496"/>
      <c r="GB174" s="496"/>
      <c r="GC174" s="496"/>
      <c r="GD174" s="496"/>
      <c r="GE174" s="496"/>
      <c r="GF174" s="496"/>
      <c r="GG174" s="496"/>
      <c r="GH174" s="496"/>
      <c r="GI174" s="496"/>
      <c r="GJ174" s="496"/>
      <c r="GK174" s="496"/>
      <c r="GL174" s="496"/>
      <c r="GM174" s="496"/>
      <c r="GN174" s="496"/>
      <c r="GO174" s="496"/>
      <c r="GP174" s="496"/>
      <c r="GQ174" s="496"/>
      <c r="GR174" s="496"/>
      <c r="GS174" s="496"/>
      <c r="GT174" s="496"/>
      <c r="GU174" s="496"/>
      <c r="GV174" s="496"/>
      <c r="GW174" s="496"/>
      <c r="GX174" s="496"/>
      <c r="GY174" s="496"/>
      <c r="GZ174" s="496"/>
      <c r="HA174" s="496"/>
      <c r="HB174" s="496"/>
    </row>
    <row r="175" spans="1:210" ht="19.8">
      <c r="A175" s="164"/>
      <c r="B175" s="250"/>
      <c r="C175" s="505" t="s">
        <v>639</v>
      </c>
      <c r="D175" s="505" t="s">
        <v>473</v>
      </c>
      <c r="E175" s="513"/>
      <c r="F175" s="500"/>
      <c r="G175" s="501" t="s">
        <v>436</v>
      </c>
      <c r="H175" s="383"/>
      <c r="I175" s="310"/>
      <c r="J175" s="311"/>
      <c r="K175" s="315"/>
      <c r="L175" s="310"/>
      <c r="M175" s="310"/>
      <c r="N175" s="310"/>
      <c r="O175" s="492" t="s">
        <v>640</v>
      </c>
      <c r="P175" s="514"/>
      <c r="Q175" s="200"/>
      <c r="R175" s="251"/>
      <c r="S175" s="251"/>
      <c r="T175" s="251"/>
      <c r="U175" s="200"/>
      <c r="V175" s="251"/>
      <c r="W175" s="251"/>
      <c r="X175" s="251"/>
      <c r="Y175" s="200"/>
      <c r="Z175" s="251"/>
      <c r="AA175" s="251"/>
      <c r="AB175" s="251"/>
      <c r="AC175" s="200"/>
      <c r="AD175" s="251"/>
      <c r="AE175" s="251"/>
      <c r="AF175" s="251"/>
      <c r="AG175" s="251"/>
      <c r="AH175" s="251"/>
      <c r="AI175" s="251"/>
      <c r="AJ175" s="251"/>
      <c r="AK175" s="251"/>
      <c r="AL175" s="251"/>
      <c r="AM175" s="251"/>
      <c r="AN175" s="251"/>
      <c r="AO175" s="495"/>
      <c r="AP175" s="495"/>
      <c r="AQ175" s="249"/>
      <c r="AR175" s="249"/>
      <c r="AS175" s="249"/>
      <c r="AT175" s="249"/>
      <c r="AU175" s="249"/>
      <c r="AV175" s="249"/>
      <c r="AW175" s="251"/>
      <c r="AX175" s="251"/>
      <c r="AY175" s="251"/>
      <c r="AZ175" s="251"/>
      <c r="BA175" s="251"/>
      <c r="BB175" s="251"/>
      <c r="BC175" s="251"/>
      <c r="BD175" s="251"/>
      <c r="BE175" s="251"/>
      <c r="BF175" s="251"/>
      <c r="BG175" s="251"/>
      <c r="BH175" s="251"/>
      <c r="BI175" s="251"/>
      <c r="BJ175" s="251"/>
      <c r="BK175" s="251"/>
      <c r="BL175" s="251"/>
      <c r="BM175" s="251"/>
      <c r="BN175" s="251"/>
      <c r="BO175" s="251"/>
      <c r="BP175" s="251"/>
      <c r="BQ175" s="249"/>
      <c r="BR175" s="249"/>
      <c r="BS175" s="249"/>
      <c r="BT175" s="249"/>
      <c r="BU175" s="249"/>
      <c r="BV175" s="249"/>
      <c r="BW175" s="496"/>
      <c r="BX175" s="496"/>
      <c r="BY175" s="496"/>
      <c r="BZ175" s="496"/>
      <c r="CA175" s="496"/>
      <c r="CB175" s="496"/>
      <c r="CC175" s="496"/>
      <c r="CD175" s="496"/>
      <c r="CE175" s="496"/>
      <c r="CF175" s="496"/>
      <c r="CG175" s="496"/>
      <c r="CH175" s="496"/>
      <c r="CI175" s="496"/>
      <c r="CJ175" s="496"/>
      <c r="CK175" s="496"/>
      <c r="CL175" s="496"/>
      <c r="CM175" s="496"/>
      <c r="CN175" s="496"/>
      <c r="CO175" s="496"/>
      <c r="CP175" s="496"/>
      <c r="CQ175" s="496"/>
      <c r="CR175" s="496"/>
      <c r="CS175" s="496"/>
      <c r="CT175" s="496"/>
      <c r="CU175" s="496"/>
      <c r="CV175" s="496"/>
      <c r="CW175" s="496"/>
      <c r="CX175" s="496"/>
      <c r="CY175" s="496"/>
      <c r="CZ175" s="496"/>
      <c r="DA175" s="496"/>
      <c r="DB175" s="496"/>
      <c r="DC175" s="496"/>
      <c r="DD175" s="496"/>
      <c r="DE175" s="496"/>
      <c r="DF175" s="496"/>
      <c r="DG175" s="496"/>
      <c r="DH175" s="496"/>
      <c r="DI175" s="496"/>
      <c r="DJ175" s="496"/>
      <c r="DK175" s="496"/>
      <c r="DL175" s="496"/>
      <c r="DM175" s="496"/>
      <c r="DN175" s="496"/>
      <c r="DO175" s="496"/>
      <c r="DP175" s="496"/>
      <c r="DQ175" s="496"/>
      <c r="DR175" s="496"/>
      <c r="DS175" s="496"/>
      <c r="DT175" s="496"/>
      <c r="DU175" s="496"/>
      <c r="DV175" s="496"/>
      <c r="DW175" s="496"/>
      <c r="DX175" s="496"/>
      <c r="DY175" s="496"/>
      <c r="DZ175" s="496"/>
      <c r="EA175" s="496"/>
      <c r="EB175" s="496"/>
      <c r="EC175" s="496"/>
      <c r="ED175" s="496"/>
      <c r="EE175" s="496"/>
      <c r="EF175" s="496"/>
      <c r="EG175" s="496"/>
      <c r="EH175" s="496"/>
      <c r="EI175" s="496"/>
      <c r="EJ175" s="496"/>
      <c r="EK175" s="496"/>
      <c r="EL175" s="496"/>
      <c r="EM175" s="496"/>
      <c r="EN175" s="496"/>
      <c r="EO175" s="496"/>
      <c r="EP175" s="496"/>
      <c r="EQ175" s="496"/>
      <c r="ER175" s="496"/>
      <c r="ES175" s="496"/>
      <c r="ET175" s="496"/>
      <c r="EU175" s="496"/>
      <c r="EV175" s="496"/>
      <c r="EW175" s="496"/>
      <c r="EX175" s="496"/>
      <c r="EY175" s="496"/>
      <c r="EZ175" s="496"/>
      <c r="FA175" s="496"/>
      <c r="FB175" s="496"/>
      <c r="FC175" s="496"/>
      <c r="FD175" s="496"/>
      <c r="FE175" s="496"/>
      <c r="FF175" s="496"/>
      <c r="FG175" s="496"/>
      <c r="FH175" s="496"/>
      <c r="FI175" s="496"/>
      <c r="FJ175" s="496"/>
      <c r="FK175" s="496"/>
      <c r="FL175" s="496"/>
      <c r="FM175" s="496"/>
      <c r="FN175" s="496"/>
      <c r="FO175" s="496"/>
      <c r="FP175" s="496"/>
      <c r="FQ175" s="496"/>
      <c r="FR175" s="496"/>
      <c r="FS175" s="496"/>
      <c r="FT175" s="496"/>
      <c r="FU175" s="496"/>
      <c r="FV175" s="496"/>
      <c r="FW175" s="496"/>
      <c r="FX175" s="496"/>
      <c r="FY175" s="496"/>
      <c r="FZ175" s="496"/>
      <c r="GA175" s="496"/>
      <c r="GB175" s="496"/>
      <c r="GC175" s="496"/>
      <c r="GD175" s="496"/>
      <c r="GE175" s="496"/>
      <c r="GF175" s="496"/>
      <c r="GG175" s="496"/>
      <c r="GH175" s="496"/>
      <c r="GI175" s="496"/>
      <c r="GJ175" s="496"/>
      <c r="GK175" s="496"/>
      <c r="GL175" s="496"/>
      <c r="GM175" s="496"/>
      <c r="GN175" s="496"/>
      <c r="GO175" s="496"/>
      <c r="GP175" s="496"/>
      <c r="GQ175" s="496"/>
      <c r="GR175" s="496"/>
      <c r="GS175" s="496"/>
      <c r="GT175" s="496"/>
      <c r="GU175" s="496"/>
      <c r="GV175" s="496"/>
      <c r="GW175" s="496"/>
      <c r="GX175" s="496"/>
      <c r="GY175" s="496"/>
      <c r="GZ175" s="496"/>
      <c r="HA175" s="496"/>
      <c r="HB175" s="496"/>
    </row>
    <row r="176" spans="1:210" ht="19.8">
      <c r="A176" s="164"/>
      <c r="B176" s="250"/>
      <c r="C176" s="505"/>
      <c r="D176" s="504" t="s">
        <v>474</v>
      </c>
      <c r="E176" s="515"/>
      <c r="F176" s="383"/>
      <c r="G176" s="501" t="s">
        <v>436</v>
      </c>
      <c r="H176" s="383"/>
      <c r="I176" s="310"/>
      <c r="J176" s="311"/>
      <c r="K176" s="315"/>
      <c r="L176" s="336"/>
      <c r="M176" s="336"/>
      <c r="N176" s="336"/>
      <c r="O176" s="516" t="s">
        <v>1458</v>
      </c>
      <c r="P176" s="517"/>
      <c r="Q176" s="200"/>
      <c r="R176" s="251"/>
      <c r="S176" s="251"/>
      <c r="T176" s="251"/>
      <c r="U176" s="200"/>
      <c r="V176" s="251"/>
      <c r="W176" s="251"/>
      <c r="X176" s="251"/>
      <c r="Y176" s="200"/>
      <c r="Z176" s="251"/>
      <c r="AA176" s="251"/>
      <c r="AB176" s="251"/>
      <c r="AC176" s="200"/>
      <c r="AD176" s="251"/>
      <c r="AE176" s="251"/>
      <c r="AF176" s="251"/>
      <c r="AG176" s="251"/>
      <c r="AH176" s="251"/>
      <c r="AI176" s="251"/>
      <c r="AJ176" s="251"/>
      <c r="AK176" s="251"/>
      <c r="AL176" s="251"/>
      <c r="AM176" s="251"/>
      <c r="AN176" s="251"/>
      <c r="AO176" s="495"/>
      <c r="AP176" s="495"/>
      <c r="AQ176" s="249"/>
      <c r="AR176" s="249"/>
      <c r="AS176" s="249"/>
      <c r="AT176" s="249"/>
      <c r="AU176" s="249"/>
      <c r="AV176" s="249"/>
      <c r="AW176" s="251"/>
      <c r="AX176" s="251"/>
      <c r="AY176" s="251"/>
      <c r="AZ176" s="251"/>
      <c r="BA176" s="251"/>
      <c r="BB176" s="251"/>
      <c r="BC176" s="251"/>
      <c r="BD176" s="251"/>
      <c r="BE176" s="251"/>
      <c r="BF176" s="251"/>
      <c r="BG176" s="251"/>
      <c r="BH176" s="251"/>
      <c r="BI176" s="251"/>
      <c r="BJ176" s="251"/>
      <c r="BK176" s="251"/>
      <c r="BL176" s="251"/>
      <c r="BM176" s="251"/>
      <c r="BN176" s="251"/>
      <c r="BO176" s="251"/>
      <c r="BP176" s="251"/>
      <c r="BQ176" s="249"/>
      <c r="BR176" s="249"/>
      <c r="BS176" s="249"/>
      <c r="BT176" s="249"/>
      <c r="BU176" s="249"/>
      <c r="BV176" s="249"/>
      <c r="BW176" s="496"/>
      <c r="BX176" s="496"/>
      <c r="BY176" s="496"/>
      <c r="BZ176" s="496"/>
      <c r="CA176" s="496"/>
      <c r="CB176" s="496"/>
      <c r="CC176" s="496"/>
      <c r="CD176" s="496"/>
      <c r="CE176" s="496"/>
      <c r="CF176" s="496"/>
      <c r="CG176" s="496"/>
      <c r="CH176" s="496"/>
      <c r="CI176" s="496"/>
      <c r="CJ176" s="496"/>
      <c r="CK176" s="496"/>
      <c r="CL176" s="496"/>
      <c r="CM176" s="496"/>
      <c r="CN176" s="496"/>
      <c r="CO176" s="496"/>
      <c r="CP176" s="496"/>
      <c r="CQ176" s="496"/>
      <c r="CR176" s="496"/>
      <c r="CS176" s="496"/>
      <c r="CT176" s="496"/>
      <c r="CU176" s="496"/>
      <c r="CV176" s="496"/>
      <c r="CW176" s="496"/>
      <c r="CX176" s="496"/>
      <c r="CY176" s="496"/>
      <c r="CZ176" s="496"/>
      <c r="DA176" s="496"/>
      <c r="DB176" s="496"/>
      <c r="DC176" s="496"/>
      <c r="DD176" s="496"/>
      <c r="DE176" s="496"/>
      <c r="DF176" s="496"/>
      <c r="DG176" s="496"/>
      <c r="DH176" s="496"/>
      <c r="DI176" s="496"/>
      <c r="DJ176" s="496"/>
      <c r="DK176" s="496"/>
      <c r="DL176" s="496"/>
      <c r="DM176" s="496"/>
      <c r="DN176" s="496"/>
      <c r="DO176" s="496"/>
      <c r="DP176" s="496"/>
      <c r="DQ176" s="496"/>
      <c r="DR176" s="496"/>
      <c r="DS176" s="496"/>
      <c r="DT176" s="496"/>
      <c r="DU176" s="496"/>
      <c r="DV176" s="496"/>
      <c r="DW176" s="496"/>
      <c r="DX176" s="496"/>
      <c r="DY176" s="496"/>
      <c r="DZ176" s="496"/>
      <c r="EA176" s="496"/>
      <c r="EB176" s="496"/>
      <c r="EC176" s="496"/>
      <c r="ED176" s="496"/>
      <c r="EE176" s="496"/>
      <c r="EF176" s="496"/>
      <c r="EG176" s="496"/>
      <c r="EH176" s="496"/>
      <c r="EI176" s="496"/>
      <c r="EJ176" s="496"/>
      <c r="EK176" s="496"/>
      <c r="EL176" s="496"/>
      <c r="EM176" s="496"/>
      <c r="EN176" s="496"/>
      <c r="EO176" s="496"/>
      <c r="EP176" s="496"/>
      <c r="EQ176" s="496"/>
      <c r="ER176" s="496"/>
      <c r="ES176" s="496"/>
      <c r="ET176" s="496"/>
      <c r="EU176" s="496"/>
      <c r="EV176" s="496"/>
      <c r="EW176" s="496"/>
      <c r="EX176" s="496"/>
      <c r="EY176" s="496"/>
      <c r="EZ176" s="496"/>
      <c r="FA176" s="496"/>
      <c r="FB176" s="496"/>
      <c r="FC176" s="496"/>
      <c r="FD176" s="496"/>
      <c r="FE176" s="496"/>
      <c r="FF176" s="496"/>
      <c r="FG176" s="496"/>
      <c r="FH176" s="496"/>
      <c r="FI176" s="496"/>
      <c r="FJ176" s="496"/>
      <c r="FK176" s="496"/>
      <c r="FL176" s="496"/>
      <c r="FM176" s="496"/>
      <c r="FN176" s="496"/>
      <c r="FO176" s="496"/>
      <c r="FP176" s="496"/>
      <c r="FQ176" s="496"/>
      <c r="FR176" s="496"/>
      <c r="FS176" s="496"/>
      <c r="FT176" s="496"/>
      <c r="FU176" s="496"/>
      <c r="FV176" s="496"/>
      <c r="FW176" s="496"/>
      <c r="FX176" s="496"/>
      <c r="FY176" s="496"/>
      <c r="FZ176" s="496"/>
      <c r="GA176" s="496"/>
      <c r="GB176" s="496"/>
      <c r="GC176" s="496"/>
      <c r="GD176" s="496"/>
      <c r="GE176" s="496"/>
      <c r="GF176" s="496"/>
      <c r="GG176" s="496"/>
      <c r="GH176" s="496"/>
      <c r="GI176" s="496"/>
      <c r="GJ176" s="496"/>
      <c r="GK176" s="496"/>
      <c r="GL176" s="496"/>
      <c r="GM176" s="496"/>
      <c r="GN176" s="496"/>
      <c r="GO176" s="496"/>
      <c r="GP176" s="496"/>
      <c r="GQ176" s="496"/>
      <c r="GR176" s="496"/>
      <c r="GS176" s="496"/>
      <c r="GT176" s="496"/>
      <c r="GU176" s="496"/>
      <c r="GV176" s="496"/>
      <c r="GW176" s="496"/>
      <c r="GX176" s="496"/>
      <c r="GY176" s="496"/>
      <c r="GZ176" s="496"/>
      <c r="HA176" s="496"/>
      <c r="HB176" s="496"/>
    </row>
    <row r="177" spans="1:210" ht="20.399999999999999" thickBot="1">
      <c r="A177" s="164"/>
      <c r="B177" s="512"/>
      <c r="C177" s="518"/>
      <c r="D177" s="519" t="s">
        <v>475</v>
      </c>
      <c r="E177" s="520"/>
      <c r="F177" s="521"/>
      <c r="G177" s="522" t="s">
        <v>436</v>
      </c>
      <c r="H177" s="383"/>
      <c r="I177" s="366"/>
      <c r="J177" s="368"/>
      <c r="K177" s="365"/>
      <c r="L177" s="336"/>
      <c r="M177" s="336"/>
      <c r="N177" s="336"/>
      <c r="O177" s="523" t="s">
        <v>1459</v>
      </c>
      <c r="P177" s="524"/>
      <c r="Q177" s="525"/>
      <c r="R177" s="278"/>
      <c r="S177" s="278"/>
      <c r="T177" s="278"/>
      <c r="U177" s="525"/>
      <c r="V177" s="278"/>
      <c r="W177" s="278"/>
      <c r="X177" s="278"/>
      <c r="Y177" s="525"/>
      <c r="Z177" s="278"/>
      <c r="AA177" s="278"/>
      <c r="AB177" s="278"/>
      <c r="AC177" s="525"/>
      <c r="AD177" s="278"/>
      <c r="AE177" s="278"/>
      <c r="AF177" s="278"/>
      <c r="AG177" s="251"/>
      <c r="AH177" s="251"/>
      <c r="AI177" s="251"/>
      <c r="AJ177" s="251"/>
      <c r="AK177" s="251"/>
      <c r="AL177" s="251"/>
      <c r="AM177" s="251"/>
      <c r="AN177" s="251"/>
      <c r="AO177" s="495"/>
      <c r="AP177" s="495"/>
      <c r="AQ177" s="249"/>
      <c r="AR177" s="249"/>
      <c r="AS177" s="249"/>
      <c r="AT177" s="249"/>
      <c r="AU177" s="249"/>
      <c r="AV177" s="249"/>
      <c r="AW177" s="251"/>
      <c r="AX177" s="251"/>
      <c r="AY177" s="251"/>
      <c r="AZ177" s="251"/>
      <c r="BA177" s="251"/>
      <c r="BB177" s="251"/>
      <c r="BC177" s="251"/>
      <c r="BD177" s="251"/>
      <c r="BE177" s="251"/>
      <c r="BF177" s="251"/>
      <c r="BG177" s="251"/>
      <c r="BH177" s="251"/>
      <c r="BI177" s="251"/>
      <c r="BJ177" s="251"/>
      <c r="BK177" s="251"/>
      <c r="BL177" s="251"/>
      <c r="BM177" s="251"/>
      <c r="BN177" s="251"/>
      <c r="BO177" s="251"/>
      <c r="BP177" s="251"/>
      <c r="BQ177" s="249"/>
      <c r="BR177" s="249"/>
      <c r="BS177" s="249"/>
      <c r="BT177" s="249"/>
      <c r="BU177" s="249"/>
      <c r="BV177" s="249"/>
      <c r="BW177" s="496"/>
      <c r="BX177" s="496"/>
      <c r="BY177" s="496"/>
      <c r="BZ177" s="496"/>
      <c r="CA177" s="496"/>
      <c r="CB177" s="496"/>
      <c r="CC177" s="496"/>
      <c r="CD177" s="496"/>
      <c r="CE177" s="496"/>
      <c r="CF177" s="496"/>
      <c r="CG177" s="496"/>
      <c r="CH177" s="496"/>
      <c r="CI177" s="496"/>
      <c r="CJ177" s="496"/>
      <c r="CK177" s="496"/>
      <c r="CL177" s="496"/>
      <c r="CM177" s="496"/>
      <c r="CN177" s="496"/>
      <c r="CO177" s="496"/>
      <c r="CP177" s="496"/>
      <c r="CQ177" s="496"/>
      <c r="CR177" s="496"/>
      <c r="CS177" s="496"/>
      <c r="CT177" s="496"/>
      <c r="CU177" s="496"/>
      <c r="CV177" s="496"/>
      <c r="CW177" s="496"/>
      <c r="CX177" s="496"/>
      <c r="CY177" s="496"/>
      <c r="CZ177" s="496"/>
      <c r="DA177" s="496"/>
      <c r="DB177" s="496"/>
      <c r="DC177" s="496"/>
      <c r="DD177" s="496"/>
      <c r="DE177" s="496"/>
      <c r="DF177" s="496"/>
      <c r="DG177" s="496"/>
      <c r="DH177" s="496"/>
      <c r="DI177" s="496"/>
      <c r="DJ177" s="496"/>
      <c r="DK177" s="496"/>
      <c r="DL177" s="496"/>
      <c r="DM177" s="496"/>
      <c r="DN177" s="496"/>
      <c r="DO177" s="496"/>
      <c r="DP177" s="496"/>
      <c r="DQ177" s="496"/>
      <c r="DR177" s="496"/>
      <c r="DS177" s="496"/>
      <c r="DT177" s="496"/>
      <c r="DU177" s="496"/>
      <c r="DV177" s="496"/>
      <c r="DW177" s="496"/>
      <c r="DX177" s="496"/>
      <c r="DY177" s="496"/>
      <c r="DZ177" s="496"/>
      <c r="EA177" s="496"/>
      <c r="EB177" s="496"/>
      <c r="EC177" s="496"/>
      <c r="ED177" s="496"/>
      <c r="EE177" s="496"/>
      <c r="EF177" s="496"/>
      <c r="EG177" s="496"/>
      <c r="EH177" s="496"/>
      <c r="EI177" s="496"/>
      <c r="EJ177" s="496"/>
      <c r="EK177" s="496"/>
      <c r="EL177" s="496"/>
      <c r="EM177" s="496"/>
      <c r="EN177" s="496"/>
      <c r="EO177" s="496"/>
      <c r="EP177" s="496"/>
      <c r="EQ177" s="496"/>
      <c r="ER177" s="496"/>
      <c r="ES177" s="496"/>
      <c r="ET177" s="496"/>
      <c r="EU177" s="496"/>
      <c r="EV177" s="496"/>
      <c r="EW177" s="496"/>
      <c r="EX177" s="496"/>
      <c r="EY177" s="496"/>
      <c r="EZ177" s="496"/>
      <c r="FA177" s="496"/>
      <c r="FB177" s="496"/>
      <c r="FC177" s="496"/>
      <c r="FD177" s="496"/>
      <c r="FE177" s="496"/>
      <c r="FF177" s="496"/>
      <c r="FG177" s="496"/>
      <c r="FH177" s="496"/>
      <c r="FI177" s="496"/>
      <c r="FJ177" s="496"/>
      <c r="FK177" s="496"/>
      <c r="FL177" s="496"/>
      <c r="FM177" s="496"/>
      <c r="FN177" s="496"/>
      <c r="FO177" s="496"/>
      <c r="FP177" s="496"/>
      <c r="FQ177" s="496"/>
      <c r="FR177" s="496"/>
      <c r="FS177" s="496"/>
      <c r="FT177" s="496"/>
      <c r="FU177" s="496"/>
      <c r="FV177" s="496"/>
      <c r="FW177" s="496"/>
      <c r="FX177" s="496"/>
      <c r="FY177" s="496"/>
      <c r="FZ177" s="496"/>
      <c r="GA177" s="496"/>
      <c r="GB177" s="496"/>
      <c r="GC177" s="496"/>
      <c r="GD177" s="496"/>
      <c r="GE177" s="496"/>
      <c r="GF177" s="496"/>
      <c r="GG177" s="496"/>
      <c r="GH177" s="496"/>
      <c r="GI177" s="496"/>
      <c r="GJ177" s="496"/>
      <c r="GK177" s="496"/>
      <c r="GL177" s="496"/>
      <c r="GM177" s="496"/>
      <c r="GN177" s="496"/>
      <c r="GO177" s="496"/>
      <c r="GP177" s="496"/>
      <c r="GQ177" s="496"/>
      <c r="GR177" s="496"/>
      <c r="GS177" s="496"/>
      <c r="GT177" s="496"/>
      <c r="GU177" s="496"/>
      <c r="GV177" s="496"/>
      <c r="GW177" s="496"/>
      <c r="GX177" s="496"/>
      <c r="GY177" s="496"/>
      <c r="GZ177" s="496"/>
      <c r="HA177" s="496"/>
      <c r="HB177" s="496"/>
    </row>
    <row r="178" spans="1:210" ht="19.8">
      <c r="A178" s="164"/>
      <c r="B178" s="293" t="s">
        <v>1460</v>
      </c>
      <c r="C178" s="526"/>
      <c r="D178" s="526"/>
      <c r="E178" s="526"/>
      <c r="F178" s="526"/>
      <c r="G178" s="399"/>
      <c r="H178" s="399"/>
      <c r="I178" s="399"/>
      <c r="J178" s="399"/>
      <c r="K178" s="399"/>
      <c r="L178" s="399"/>
      <c r="M178" s="399"/>
      <c r="N178" s="399"/>
      <c r="O178" s="399"/>
      <c r="P178" s="399"/>
      <c r="Q178" s="399"/>
      <c r="R178" s="399"/>
      <c r="S178" s="399"/>
      <c r="T178" s="399"/>
      <c r="U178" s="399"/>
      <c r="V178" s="399"/>
      <c r="W178" s="399"/>
      <c r="X178" s="399"/>
      <c r="Y178" s="399"/>
      <c r="Z178" s="399"/>
      <c r="AA178" s="399"/>
      <c r="AB178" s="399"/>
      <c r="AC178" s="399"/>
      <c r="AD178" s="399"/>
      <c r="AE178" s="399"/>
      <c r="AF178" s="399"/>
      <c r="AG178" s="399"/>
      <c r="AH178" s="399"/>
      <c r="AI178" s="399"/>
      <c r="AJ178" s="399"/>
      <c r="AK178" s="399"/>
      <c r="AL178" s="399"/>
      <c r="AM178" s="399"/>
      <c r="AN178" s="399"/>
      <c r="AO178" s="527"/>
      <c r="AP178" s="527"/>
      <c r="AQ178" s="528"/>
      <c r="AR178" s="528"/>
      <c r="AS178" s="528"/>
      <c r="AT178" s="528"/>
      <c r="AU178" s="528"/>
      <c r="AV178" s="528"/>
      <c r="AW178" s="399"/>
      <c r="AX178" s="399"/>
      <c r="AY178" s="399"/>
      <c r="AZ178" s="399"/>
      <c r="BA178" s="399"/>
      <c r="BB178" s="399"/>
      <c r="BC178" s="399"/>
      <c r="BD178" s="399"/>
      <c r="BE178" s="399"/>
      <c r="BF178" s="399"/>
      <c r="BG178" s="399"/>
      <c r="BH178" s="399"/>
      <c r="BI178" s="399"/>
      <c r="BJ178" s="399"/>
      <c r="BK178" s="399"/>
      <c r="BL178" s="399"/>
      <c r="BM178" s="399"/>
      <c r="BN178" s="399"/>
      <c r="BO178" s="399"/>
      <c r="BP178" s="399"/>
      <c r="BQ178" s="528"/>
      <c r="BR178" s="528"/>
      <c r="BS178" s="528"/>
      <c r="BT178" s="528"/>
      <c r="BU178" s="528"/>
      <c r="BV178" s="528"/>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29"/>
      <c r="GT178" s="529"/>
      <c r="GU178" s="529"/>
      <c r="GV178" s="529"/>
      <c r="GW178" s="529"/>
      <c r="GX178" s="529"/>
      <c r="GY178" s="529"/>
      <c r="GZ178" s="529"/>
      <c r="HA178" s="529"/>
      <c r="HB178" s="530"/>
    </row>
    <row r="179" spans="1:210" ht="19.8">
      <c r="A179" s="164"/>
      <c r="B179" s="306" t="s">
        <v>1461</v>
      </c>
      <c r="C179" s="503"/>
      <c r="D179" s="503"/>
      <c r="E179" s="503"/>
      <c r="F179" s="503"/>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6"/>
      <c r="AD179" s="326"/>
      <c r="AE179" s="326"/>
      <c r="AF179" s="326"/>
      <c r="AG179" s="326"/>
      <c r="AH179" s="326"/>
      <c r="AI179" s="326"/>
      <c r="AJ179" s="326"/>
      <c r="AK179" s="326"/>
      <c r="AL179" s="326"/>
      <c r="AM179" s="326"/>
      <c r="AN179" s="326"/>
      <c r="AO179" s="531"/>
      <c r="AP179" s="531"/>
      <c r="AQ179" s="532"/>
      <c r="AR179" s="532"/>
      <c r="AS179" s="532"/>
      <c r="AT179" s="532"/>
      <c r="AU179" s="532"/>
      <c r="AV179" s="532"/>
      <c r="AW179" s="326"/>
      <c r="AX179" s="326"/>
      <c r="AY179" s="326"/>
      <c r="AZ179" s="326"/>
      <c r="BA179" s="326"/>
      <c r="BB179" s="326"/>
      <c r="BC179" s="326"/>
      <c r="BD179" s="326"/>
      <c r="BE179" s="326"/>
      <c r="BF179" s="326"/>
      <c r="BG179" s="326"/>
      <c r="BH179" s="326"/>
      <c r="BI179" s="326"/>
      <c r="BJ179" s="326"/>
      <c r="BK179" s="326"/>
      <c r="BL179" s="326"/>
      <c r="BM179" s="326"/>
      <c r="BN179" s="326"/>
      <c r="BO179" s="326"/>
      <c r="BP179" s="326"/>
      <c r="BQ179" s="532"/>
      <c r="BR179" s="532"/>
      <c r="BS179" s="532"/>
      <c r="BT179" s="532"/>
      <c r="BU179" s="532"/>
      <c r="BV179" s="532"/>
      <c r="BW179" s="533"/>
      <c r="BX179" s="533"/>
      <c r="BY179" s="533"/>
      <c r="BZ179" s="533"/>
      <c r="CA179" s="533"/>
      <c r="CB179" s="533"/>
      <c r="CC179" s="533"/>
      <c r="CD179" s="533"/>
      <c r="CE179" s="533"/>
      <c r="CF179" s="533"/>
      <c r="CG179" s="533"/>
      <c r="CH179" s="533"/>
      <c r="CI179" s="533"/>
      <c r="CJ179" s="533"/>
      <c r="CK179" s="533"/>
      <c r="CL179" s="533"/>
      <c r="CM179" s="533"/>
      <c r="CN179" s="533"/>
      <c r="CO179" s="533"/>
      <c r="CP179" s="533"/>
      <c r="CQ179" s="533"/>
      <c r="CR179" s="533"/>
      <c r="CS179" s="533"/>
      <c r="CT179" s="533"/>
      <c r="CU179" s="533"/>
      <c r="CV179" s="533"/>
      <c r="CW179" s="533"/>
      <c r="CX179" s="533"/>
      <c r="CY179" s="533"/>
      <c r="CZ179" s="533"/>
      <c r="DA179" s="533"/>
      <c r="DB179" s="533"/>
      <c r="DC179" s="533"/>
      <c r="DD179" s="533"/>
      <c r="DE179" s="533"/>
      <c r="DF179" s="533"/>
      <c r="DG179" s="533"/>
      <c r="DH179" s="533"/>
      <c r="DI179" s="533"/>
      <c r="DJ179" s="533"/>
      <c r="DK179" s="533"/>
      <c r="DL179" s="533"/>
      <c r="DM179" s="533"/>
      <c r="DN179" s="533"/>
      <c r="DO179" s="533"/>
      <c r="DP179" s="533"/>
      <c r="DQ179" s="533"/>
      <c r="DR179" s="533"/>
      <c r="DS179" s="533"/>
      <c r="DT179" s="533"/>
      <c r="DU179" s="533"/>
      <c r="DV179" s="533"/>
      <c r="DW179" s="533"/>
      <c r="DX179" s="533"/>
      <c r="DY179" s="533"/>
      <c r="DZ179" s="533"/>
      <c r="EA179" s="533"/>
      <c r="EB179" s="533"/>
      <c r="EC179" s="533"/>
      <c r="ED179" s="533"/>
      <c r="EE179" s="533"/>
      <c r="EF179" s="533"/>
      <c r="EG179" s="533"/>
      <c r="EH179" s="533"/>
      <c r="EI179" s="533"/>
      <c r="EJ179" s="533"/>
      <c r="EK179" s="533"/>
      <c r="EL179" s="533"/>
      <c r="EM179" s="533"/>
      <c r="EN179" s="533"/>
      <c r="EO179" s="533"/>
      <c r="EP179" s="533"/>
      <c r="EQ179" s="533"/>
      <c r="ER179" s="533"/>
      <c r="ES179" s="533"/>
      <c r="ET179" s="533"/>
      <c r="EU179" s="533"/>
      <c r="EV179" s="533"/>
      <c r="EW179" s="533"/>
      <c r="EX179" s="533"/>
      <c r="EY179" s="533"/>
      <c r="EZ179" s="533"/>
      <c r="FA179" s="533"/>
      <c r="FB179" s="533"/>
      <c r="FC179" s="533"/>
      <c r="FD179" s="533"/>
      <c r="FE179" s="533"/>
      <c r="FF179" s="533"/>
      <c r="FG179" s="533"/>
      <c r="FH179" s="533"/>
      <c r="FI179" s="533"/>
      <c r="FJ179" s="533"/>
      <c r="FK179" s="533"/>
      <c r="FL179" s="533"/>
      <c r="FM179" s="533"/>
      <c r="FN179" s="533"/>
      <c r="FO179" s="533"/>
      <c r="FP179" s="533"/>
      <c r="FQ179" s="533"/>
      <c r="FR179" s="533"/>
      <c r="FS179" s="533"/>
      <c r="FT179" s="533"/>
      <c r="FU179" s="533"/>
      <c r="FV179" s="533"/>
      <c r="FW179" s="533"/>
      <c r="FX179" s="533"/>
      <c r="FY179" s="533"/>
      <c r="FZ179" s="533"/>
      <c r="GA179" s="533"/>
      <c r="GB179" s="533"/>
      <c r="GC179" s="533"/>
      <c r="GD179" s="533"/>
      <c r="GE179" s="533"/>
      <c r="GF179" s="533"/>
      <c r="GG179" s="533"/>
      <c r="GH179" s="533"/>
      <c r="GI179" s="533"/>
      <c r="GJ179" s="533"/>
      <c r="GK179" s="533"/>
      <c r="GL179" s="533"/>
      <c r="GM179" s="533"/>
      <c r="GN179" s="533"/>
      <c r="GO179" s="533"/>
      <c r="GP179" s="533"/>
      <c r="GQ179" s="533"/>
      <c r="GR179" s="533"/>
      <c r="GS179" s="533"/>
      <c r="GT179" s="533"/>
      <c r="GU179" s="533"/>
      <c r="GV179" s="533"/>
      <c r="GW179" s="533"/>
      <c r="GX179" s="533"/>
      <c r="GY179" s="533"/>
      <c r="GZ179" s="533"/>
      <c r="HA179" s="533"/>
      <c r="HB179" s="534"/>
    </row>
    <row r="180" spans="1:210" ht="19.8">
      <c r="A180" s="164"/>
      <c r="B180" s="306" t="s">
        <v>1462</v>
      </c>
      <c r="C180" s="503"/>
      <c r="D180" s="503"/>
      <c r="E180" s="503"/>
      <c r="F180" s="503"/>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c r="AF180" s="326"/>
      <c r="AG180" s="326"/>
      <c r="AH180" s="326"/>
      <c r="AI180" s="326"/>
      <c r="AJ180" s="326"/>
      <c r="AK180" s="326"/>
      <c r="AL180" s="326"/>
      <c r="AM180" s="326"/>
      <c r="AN180" s="326"/>
      <c r="AO180" s="531"/>
      <c r="AP180" s="531"/>
      <c r="AQ180" s="532"/>
      <c r="AR180" s="532"/>
      <c r="AS180" s="532"/>
      <c r="AT180" s="532"/>
      <c r="AU180" s="532"/>
      <c r="AV180" s="532"/>
      <c r="AW180" s="326"/>
      <c r="AX180" s="326"/>
      <c r="AY180" s="326"/>
      <c r="AZ180" s="326"/>
      <c r="BA180" s="326"/>
      <c r="BB180" s="326"/>
      <c r="BC180" s="326"/>
      <c r="BD180" s="326"/>
      <c r="BE180" s="326"/>
      <c r="BF180" s="326"/>
      <c r="BG180" s="326"/>
      <c r="BH180" s="326"/>
      <c r="BI180" s="326"/>
      <c r="BJ180" s="326"/>
      <c r="BK180" s="326"/>
      <c r="BL180" s="326"/>
      <c r="BM180" s="326"/>
      <c r="BN180" s="326"/>
      <c r="BO180" s="326"/>
      <c r="BP180" s="326"/>
      <c r="BQ180" s="532"/>
      <c r="BR180" s="532"/>
      <c r="BS180" s="532"/>
      <c r="BT180" s="532"/>
      <c r="BU180" s="532"/>
      <c r="BV180" s="532"/>
      <c r="BW180" s="533"/>
      <c r="BX180" s="533"/>
      <c r="BY180" s="533"/>
      <c r="BZ180" s="533"/>
      <c r="CA180" s="533"/>
      <c r="CB180" s="533"/>
      <c r="CC180" s="533"/>
      <c r="CD180" s="533"/>
      <c r="CE180" s="533"/>
      <c r="CF180" s="533"/>
      <c r="CG180" s="533"/>
      <c r="CH180" s="533"/>
      <c r="CI180" s="533"/>
      <c r="CJ180" s="533"/>
      <c r="CK180" s="533"/>
      <c r="CL180" s="533"/>
      <c r="CM180" s="533"/>
      <c r="CN180" s="533"/>
      <c r="CO180" s="533"/>
      <c r="CP180" s="533"/>
      <c r="CQ180" s="533"/>
      <c r="CR180" s="533"/>
      <c r="CS180" s="533"/>
      <c r="CT180" s="533"/>
      <c r="CU180" s="533"/>
      <c r="CV180" s="533"/>
      <c r="CW180" s="533"/>
      <c r="CX180" s="533"/>
      <c r="CY180" s="533"/>
      <c r="CZ180" s="533"/>
      <c r="DA180" s="533"/>
      <c r="DB180" s="533"/>
      <c r="DC180" s="533"/>
      <c r="DD180" s="533"/>
      <c r="DE180" s="533"/>
      <c r="DF180" s="533"/>
      <c r="DG180" s="533"/>
      <c r="DH180" s="533"/>
      <c r="DI180" s="533"/>
      <c r="DJ180" s="533"/>
      <c r="DK180" s="533"/>
      <c r="DL180" s="533"/>
      <c r="DM180" s="533"/>
      <c r="DN180" s="533"/>
      <c r="DO180" s="533"/>
      <c r="DP180" s="533"/>
      <c r="DQ180" s="533"/>
      <c r="DR180" s="533"/>
      <c r="DS180" s="533"/>
      <c r="DT180" s="533"/>
      <c r="DU180" s="533"/>
      <c r="DV180" s="533"/>
      <c r="DW180" s="533"/>
      <c r="DX180" s="533"/>
      <c r="DY180" s="533"/>
      <c r="DZ180" s="533"/>
      <c r="EA180" s="533"/>
      <c r="EB180" s="533"/>
      <c r="EC180" s="533"/>
      <c r="ED180" s="533"/>
      <c r="EE180" s="533"/>
      <c r="EF180" s="533"/>
      <c r="EG180" s="533"/>
      <c r="EH180" s="533"/>
      <c r="EI180" s="533"/>
      <c r="EJ180" s="533"/>
      <c r="EK180" s="533"/>
      <c r="EL180" s="533"/>
      <c r="EM180" s="533"/>
      <c r="EN180" s="533"/>
      <c r="EO180" s="533"/>
      <c r="EP180" s="533"/>
      <c r="EQ180" s="533"/>
      <c r="ER180" s="533"/>
      <c r="ES180" s="533"/>
      <c r="ET180" s="533"/>
      <c r="EU180" s="533"/>
      <c r="EV180" s="533"/>
      <c r="EW180" s="533"/>
      <c r="EX180" s="533"/>
      <c r="EY180" s="533"/>
      <c r="EZ180" s="533"/>
      <c r="FA180" s="533"/>
      <c r="FB180" s="533"/>
      <c r="FC180" s="533"/>
      <c r="FD180" s="533"/>
      <c r="FE180" s="533"/>
      <c r="FF180" s="533"/>
      <c r="FG180" s="533"/>
      <c r="FH180" s="533"/>
      <c r="FI180" s="533"/>
      <c r="FJ180" s="533"/>
      <c r="FK180" s="533"/>
      <c r="FL180" s="533"/>
      <c r="FM180" s="533"/>
      <c r="FN180" s="533"/>
      <c r="FO180" s="533"/>
      <c r="FP180" s="533"/>
      <c r="FQ180" s="533"/>
      <c r="FR180" s="533"/>
      <c r="FS180" s="533"/>
      <c r="FT180" s="533"/>
      <c r="FU180" s="533"/>
      <c r="FV180" s="533"/>
      <c r="FW180" s="533"/>
      <c r="FX180" s="533"/>
      <c r="FY180" s="533"/>
      <c r="FZ180" s="533"/>
      <c r="GA180" s="533"/>
      <c r="GB180" s="533"/>
      <c r="GC180" s="533"/>
      <c r="GD180" s="533"/>
      <c r="GE180" s="533"/>
      <c r="GF180" s="533"/>
      <c r="GG180" s="533"/>
      <c r="GH180" s="533"/>
      <c r="GI180" s="533"/>
      <c r="GJ180" s="533"/>
      <c r="GK180" s="533"/>
      <c r="GL180" s="533"/>
      <c r="GM180" s="533"/>
      <c r="GN180" s="533"/>
      <c r="GO180" s="533"/>
      <c r="GP180" s="533"/>
      <c r="GQ180" s="533"/>
      <c r="GR180" s="533"/>
      <c r="GS180" s="533"/>
      <c r="GT180" s="533"/>
      <c r="GU180" s="533"/>
      <c r="GV180" s="533"/>
      <c r="GW180" s="533"/>
      <c r="GX180" s="533"/>
      <c r="GY180" s="533"/>
      <c r="GZ180" s="533"/>
      <c r="HA180" s="533"/>
      <c r="HB180" s="534"/>
    </row>
    <row r="181" spans="1:210" ht="19.8">
      <c r="A181" s="164"/>
      <c r="B181" s="306" t="s">
        <v>1463</v>
      </c>
      <c r="C181" s="503"/>
      <c r="D181" s="503"/>
      <c r="E181" s="503"/>
      <c r="F181" s="503"/>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6"/>
      <c r="AD181" s="326"/>
      <c r="AE181" s="326"/>
      <c r="AF181" s="326"/>
      <c r="AG181" s="326"/>
      <c r="AH181" s="326"/>
      <c r="AI181" s="326"/>
      <c r="AJ181" s="326"/>
      <c r="AK181" s="326"/>
      <c r="AL181" s="326"/>
      <c r="AM181" s="326"/>
      <c r="AN181" s="326"/>
      <c r="AO181" s="531"/>
      <c r="AP181" s="531"/>
      <c r="AQ181" s="532"/>
      <c r="AR181" s="532"/>
      <c r="AS181" s="532"/>
      <c r="AT181" s="532"/>
      <c r="AU181" s="532"/>
      <c r="AV181" s="532"/>
      <c r="AW181" s="326"/>
      <c r="AX181" s="326"/>
      <c r="AY181" s="326"/>
      <c r="AZ181" s="326"/>
      <c r="BA181" s="326"/>
      <c r="BB181" s="326"/>
      <c r="BC181" s="326"/>
      <c r="BD181" s="326"/>
      <c r="BE181" s="326"/>
      <c r="BF181" s="326"/>
      <c r="BG181" s="326"/>
      <c r="BH181" s="326"/>
      <c r="BI181" s="326"/>
      <c r="BJ181" s="326"/>
      <c r="BK181" s="326"/>
      <c r="BL181" s="326"/>
      <c r="BM181" s="326"/>
      <c r="BN181" s="326"/>
      <c r="BO181" s="326"/>
      <c r="BP181" s="326"/>
      <c r="BQ181" s="532"/>
      <c r="BR181" s="532"/>
      <c r="BS181" s="532"/>
      <c r="BT181" s="532"/>
      <c r="BU181" s="532"/>
      <c r="BV181" s="532"/>
      <c r="BW181" s="533"/>
      <c r="BX181" s="533"/>
      <c r="BY181" s="533"/>
      <c r="BZ181" s="533"/>
      <c r="CA181" s="533"/>
      <c r="CB181" s="533"/>
      <c r="CC181" s="533"/>
      <c r="CD181" s="533"/>
      <c r="CE181" s="533"/>
      <c r="CF181" s="533"/>
      <c r="CG181" s="533"/>
      <c r="CH181" s="533"/>
      <c r="CI181" s="533"/>
      <c r="CJ181" s="533"/>
      <c r="CK181" s="533"/>
      <c r="CL181" s="533"/>
      <c r="CM181" s="533"/>
      <c r="CN181" s="533"/>
      <c r="CO181" s="533"/>
      <c r="CP181" s="533"/>
      <c r="CQ181" s="533"/>
      <c r="CR181" s="533"/>
      <c r="CS181" s="533"/>
      <c r="CT181" s="533"/>
      <c r="CU181" s="533"/>
      <c r="CV181" s="533"/>
      <c r="CW181" s="533"/>
      <c r="CX181" s="533"/>
      <c r="CY181" s="533"/>
      <c r="CZ181" s="533"/>
      <c r="DA181" s="533"/>
      <c r="DB181" s="533"/>
      <c r="DC181" s="533"/>
      <c r="DD181" s="533"/>
      <c r="DE181" s="533"/>
      <c r="DF181" s="533"/>
      <c r="DG181" s="533"/>
      <c r="DH181" s="533"/>
      <c r="DI181" s="533"/>
      <c r="DJ181" s="533"/>
      <c r="DK181" s="533"/>
      <c r="DL181" s="533"/>
      <c r="DM181" s="533"/>
      <c r="DN181" s="533"/>
      <c r="DO181" s="533"/>
      <c r="DP181" s="533"/>
      <c r="DQ181" s="533"/>
      <c r="DR181" s="533"/>
      <c r="DS181" s="533"/>
      <c r="DT181" s="533"/>
      <c r="DU181" s="533"/>
      <c r="DV181" s="533"/>
      <c r="DW181" s="533"/>
      <c r="DX181" s="533"/>
      <c r="DY181" s="533"/>
      <c r="DZ181" s="533"/>
      <c r="EA181" s="533"/>
      <c r="EB181" s="533"/>
      <c r="EC181" s="533"/>
      <c r="ED181" s="533"/>
      <c r="EE181" s="533"/>
      <c r="EF181" s="533"/>
      <c r="EG181" s="533"/>
      <c r="EH181" s="533"/>
      <c r="EI181" s="533"/>
      <c r="EJ181" s="533"/>
      <c r="EK181" s="533"/>
      <c r="EL181" s="533"/>
      <c r="EM181" s="533"/>
      <c r="EN181" s="533"/>
      <c r="EO181" s="533"/>
      <c r="EP181" s="533"/>
      <c r="EQ181" s="533"/>
      <c r="ER181" s="533"/>
      <c r="ES181" s="533"/>
      <c r="ET181" s="533"/>
      <c r="EU181" s="533"/>
      <c r="EV181" s="533"/>
      <c r="EW181" s="533"/>
      <c r="EX181" s="533"/>
      <c r="EY181" s="533"/>
      <c r="EZ181" s="533"/>
      <c r="FA181" s="533"/>
      <c r="FB181" s="533"/>
      <c r="FC181" s="533"/>
      <c r="FD181" s="533"/>
      <c r="FE181" s="533"/>
      <c r="FF181" s="533"/>
      <c r="FG181" s="533"/>
      <c r="FH181" s="533"/>
      <c r="FI181" s="533"/>
      <c r="FJ181" s="533"/>
      <c r="FK181" s="533"/>
      <c r="FL181" s="533"/>
      <c r="FM181" s="533"/>
      <c r="FN181" s="533"/>
      <c r="FO181" s="533"/>
      <c r="FP181" s="533"/>
      <c r="FQ181" s="533"/>
      <c r="FR181" s="533"/>
      <c r="FS181" s="533"/>
      <c r="FT181" s="533"/>
      <c r="FU181" s="533"/>
      <c r="FV181" s="533"/>
      <c r="FW181" s="533"/>
      <c r="FX181" s="533"/>
      <c r="FY181" s="533"/>
      <c r="FZ181" s="533"/>
      <c r="GA181" s="533"/>
      <c r="GB181" s="533"/>
      <c r="GC181" s="533"/>
      <c r="GD181" s="533"/>
      <c r="GE181" s="533"/>
      <c r="GF181" s="533"/>
      <c r="GG181" s="533"/>
      <c r="GH181" s="533"/>
      <c r="GI181" s="533"/>
      <c r="GJ181" s="533"/>
      <c r="GK181" s="533"/>
      <c r="GL181" s="533"/>
      <c r="GM181" s="533"/>
      <c r="GN181" s="533"/>
      <c r="GO181" s="533"/>
      <c r="GP181" s="533"/>
      <c r="GQ181" s="533"/>
      <c r="GR181" s="533"/>
      <c r="GS181" s="533"/>
      <c r="GT181" s="533"/>
      <c r="GU181" s="533"/>
      <c r="GV181" s="533"/>
      <c r="GW181" s="533"/>
      <c r="GX181" s="533"/>
      <c r="GY181" s="533"/>
      <c r="GZ181" s="533"/>
      <c r="HA181" s="533"/>
      <c r="HB181" s="534"/>
    </row>
    <row r="182" spans="1:210" ht="19.8">
      <c r="A182" s="164"/>
      <c r="B182" s="306" t="s">
        <v>1464</v>
      </c>
      <c r="C182" s="503"/>
      <c r="D182" s="503"/>
      <c r="E182" s="503"/>
      <c r="F182" s="503"/>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6"/>
      <c r="AD182" s="326"/>
      <c r="AE182" s="326"/>
      <c r="AF182" s="326"/>
      <c r="AG182" s="326"/>
      <c r="AH182" s="326"/>
      <c r="AI182" s="326"/>
      <c r="AJ182" s="326"/>
      <c r="AK182" s="326"/>
      <c r="AL182" s="326"/>
      <c r="AM182" s="326"/>
      <c r="AN182" s="326"/>
      <c r="AO182" s="531"/>
      <c r="AP182" s="531"/>
      <c r="AQ182" s="532"/>
      <c r="AR182" s="532"/>
      <c r="AS182" s="532"/>
      <c r="AT182" s="532"/>
      <c r="AU182" s="532"/>
      <c r="AV182" s="532"/>
      <c r="AW182" s="326"/>
      <c r="AX182" s="326"/>
      <c r="AY182" s="326"/>
      <c r="AZ182" s="326"/>
      <c r="BA182" s="326"/>
      <c r="BB182" s="326"/>
      <c r="BC182" s="326"/>
      <c r="BD182" s="326"/>
      <c r="BE182" s="326"/>
      <c r="BF182" s="326"/>
      <c r="BG182" s="326"/>
      <c r="BH182" s="326"/>
      <c r="BI182" s="326"/>
      <c r="BJ182" s="326"/>
      <c r="BK182" s="326"/>
      <c r="BL182" s="326"/>
      <c r="BM182" s="326"/>
      <c r="BN182" s="326"/>
      <c r="BO182" s="326"/>
      <c r="BP182" s="326"/>
      <c r="BQ182" s="532"/>
      <c r="BR182" s="532"/>
      <c r="BS182" s="532"/>
      <c r="BT182" s="532"/>
      <c r="BU182" s="532"/>
      <c r="BV182" s="532"/>
      <c r="BW182" s="533"/>
      <c r="BX182" s="533"/>
      <c r="BY182" s="533"/>
      <c r="BZ182" s="533"/>
      <c r="CA182" s="533"/>
      <c r="CB182" s="533"/>
      <c r="CC182" s="533"/>
      <c r="CD182" s="533"/>
      <c r="CE182" s="533"/>
      <c r="CF182" s="533"/>
      <c r="CG182" s="533"/>
      <c r="CH182" s="533"/>
      <c r="CI182" s="533"/>
      <c r="CJ182" s="533"/>
      <c r="CK182" s="533"/>
      <c r="CL182" s="533"/>
      <c r="CM182" s="533"/>
      <c r="CN182" s="533"/>
      <c r="CO182" s="533"/>
      <c r="CP182" s="533"/>
      <c r="CQ182" s="533"/>
      <c r="CR182" s="533"/>
      <c r="CS182" s="533"/>
      <c r="CT182" s="533"/>
      <c r="CU182" s="533"/>
      <c r="CV182" s="533"/>
      <c r="CW182" s="533"/>
      <c r="CX182" s="533"/>
      <c r="CY182" s="533"/>
      <c r="CZ182" s="533"/>
      <c r="DA182" s="533"/>
      <c r="DB182" s="533"/>
      <c r="DC182" s="533"/>
      <c r="DD182" s="533"/>
      <c r="DE182" s="533"/>
      <c r="DF182" s="533"/>
      <c r="DG182" s="533"/>
      <c r="DH182" s="533"/>
      <c r="DI182" s="533"/>
      <c r="DJ182" s="533"/>
      <c r="DK182" s="533"/>
      <c r="DL182" s="533"/>
      <c r="DM182" s="533"/>
      <c r="DN182" s="533"/>
      <c r="DO182" s="533"/>
      <c r="DP182" s="533"/>
      <c r="DQ182" s="533"/>
      <c r="DR182" s="533"/>
      <c r="DS182" s="533"/>
      <c r="DT182" s="533"/>
      <c r="DU182" s="533"/>
      <c r="DV182" s="533"/>
      <c r="DW182" s="533"/>
      <c r="DX182" s="533"/>
      <c r="DY182" s="533"/>
      <c r="DZ182" s="533"/>
      <c r="EA182" s="533"/>
      <c r="EB182" s="533"/>
      <c r="EC182" s="533"/>
      <c r="ED182" s="533"/>
      <c r="EE182" s="533"/>
      <c r="EF182" s="533"/>
      <c r="EG182" s="533"/>
      <c r="EH182" s="533"/>
      <c r="EI182" s="533"/>
      <c r="EJ182" s="533"/>
      <c r="EK182" s="533"/>
      <c r="EL182" s="533"/>
      <c r="EM182" s="533"/>
      <c r="EN182" s="533"/>
      <c r="EO182" s="533"/>
      <c r="EP182" s="533"/>
      <c r="EQ182" s="533"/>
      <c r="ER182" s="533"/>
      <c r="ES182" s="533"/>
      <c r="ET182" s="533"/>
      <c r="EU182" s="533"/>
      <c r="EV182" s="533"/>
      <c r="EW182" s="533"/>
      <c r="EX182" s="533"/>
      <c r="EY182" s="533"/>
      <c r="EZ182" s="533"/>
      <c r="FA182" s="533"/>
      <c r="FB182" s="533"/>
      <c r="FC182" s="533"/>
      <c r="FD182" s="533"/>
      <c r="FE182" s="533"/>
      <c r="FF182" s="533"/>
      <c r="FG182" s="533"/>
      <c r="FH182" s="533"/>
      <c r="FI182" s="533"/>
      <c r="FJ182" s="533"/>
      <c r="FK182" s="533"/>
      <c r="FL182" s="533"/>
      <c r="FM182" s="533"/>
      <c r="FN182" s="533"/>
      <c r="FO182" s="533"/>
      <c r="FP182" s="533"/>
      <c r="FQ182" s="533"/>
      <c r="FR182" s="533"/>
      <c r="FS182" s="533"/>
      <c r="FT182" s="533"/>
      <c r="FU182" s="533"/>
      <c r="FV182" s="533"/>
      <c r="FW182" s="533"/>
      <c r="FX182" s="533"/>
      <c r="FY182" s="533"/>
      <c r="FZ182" s="533"/>
      <c r="GA182" s="533"/>
      <c r="GB182" s="533"/>
      <c r="GC182" s="533"/>
      <c r="GD182" s="533"/>
      <c r="GE182" s="533"/>
      <c r="GF182" s="533"/>
      <c r="GG182" s="533"/>
      <c r="GH182" s="533"/>
      <c r="GI182" s="533"/>
      <c r="GJ182" s="533"/>
      <c r="GK182" s="533"/>
      <c r="GL182" s="533"/>
      <c r="GM182" s="533"/>
      <c r="GN182" s="533"/>
      <c r="GO182" s="533"/>
      <c r="GP182" s="533"/>
      <c r="GQ182" s="533"/>
      <c r="GR182" s="533"/>
      <c r="GS182" s="533"/>
      <c r="GT182" s="533"/>
      <c r="GU182" s="533"/>
      <c r="GV182" s="533"/>
      <c r="GW182" s="533"/>
      <c r="GX182" s="533"/>
      <c r="GY182" s="533"/>
      <c r="GZ182" s="533"/>
      <c r="HA182" s="533"/>
      <c r="HB182" s="534"/>
    </row>
    <row r="183" spans="1:210" ht="19.8">
      <c r="A183" s="164"/>
      <c r="B183" s="306" t="s">
        <v>1465</v>
      </c>
      <c r="C183" s="503"/>
      <c r="D183" s="503"/>
      <c r="E183" s="503"/>
      <c r="F183" s="503"/>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6"/>
      <c r="AD183" s="326"/>
      <c r="AE183" s="326"/>
      <c r="AF183" s="326"/>
      <c r="AG183" s="326"/>
      <c r="AH183" s="326"/>
      <c r="AI183" s="326"/>
      <c r="AJ183" s="326"/>
      <c r="AK183" s="326"/>
      <c r="AL183" s="326"/>
      <c r="AM183" s="326"/>
      <c r="AN183" s="326"/>
      <c r="AO183" s="531"/>
      <c r="AP183" s="531"/>
      <c r="AQ183" s="532"/>
      <c r="AR183" s="532"/>
      <c r="AS183" s="532"/>
      <c r="AT183" s="532"/>
      <c r="AU183" s="532"/>
      <c r="AV183" s="532"/>
      <c r="AW183" s="326"/>
      <c r="AX183" s="326"/>
      <c r="AY183" s="326"/>
      <c r="AZ183" s="326"/>
      <c r="BA183" s="326"/>
      <c r="BB183" s="326"/>
      <c r="BC183" s="326"/>
      <c r="BD183" s="326"/>
      <c r="BE183" s="326"/>
      <c r="BF183" s="326"/>
      <c r="BG183" s="326"/>
      <c r="BH183" s="326"/>
      <c r="BI183" s="326"/>
      <c r="BJ183" s="326"/>
      <c r="BK183" s="326"/>
      <c r="BL183" s="326"/>
      <c r="BM183" s="326"/>
      <c r="BN183" s="326"/>
      <c r="BO183" s="326"/>
      <c r="BP183" s="326"/>
      <c r="BQ183" s="532"/>
      <c r="BR183" s="532"/>
      <c r="BS183" s="532"/>
      <c r="BT183" s="532"/>
      <c r="BU183" s="532"/>
      <c r="BV183" s="532"/>
      <c r="BW183" s="533"/>
      <c r="BX183" s="533"/>
      <c r="BY183" s="533"/>
      <c r="BZ183" s="533"/>
      <c r="CA183" s="533"/>
      <c r="CB183" s="533"/>
      <c r="CC183" s="533"/>
      <c r="CD183" s="533"/>
      <c r="CE183" s="533"/>
      <c r="CF183" s="533"/>
      <c r="CG183" s="533"/>
      <c r="CH183" s="533"/>
      <c r="CI183" s="533"/>
      <c r="CJ183" s="533"/>
      <c r="CK183" s="533"/>
      <c r="CL183" s="533"/>
      <c r="CM183" s="533"/>
      <c r="CN183" s="533"/>
      <c r="CO183" s="533"/>
      <c r="CP183" s="533"/>
      <c r="CQ183" s="533"/>
      <c r="CR183" s="533"/>
      <c r="CS183" s="533"/>
      <c r="CT183" s="533"/>
      <c r="CU183" s="533"/>
      <c r="CV183" s="533"/>
      <c r="CW183" s="533"/>
      <c r="CX183" s="533"/>
      <c r="CY183" s="533"/>
      <c r="CZ183" s="533"/>
      <c r="DA183" s="533"/>
      <c r="DB183" s="533"/>
      <c r="DC183" s="533"/>
      <c r="DD183" s="533"/>
      <c r="DE183" s="533"/>
      <c r="DF183" s="533"/>
      <c r="DG183" s="533"/>
      <c r="DH183" s="533"/>
      <c r="DI183" s="533"/>
      <c r="DJ183" s="533"/>
      <c r="DK183" s="533"/>
      <c r="DL183" s="533"/>
      <c r="DM183" s="533"/>
      <c r="DN183" s="533"/>
      <c r="DO183" s="533"/>
      <c r="DP183" s="533"/>
      <c r="DQ183" s="533"/>
      <c r="DR183" s="533"/>
      <c r="DS183" s="533"/>
      <c r="DT183" s="533"/>
      <c r="DU183" s="533"/>
      <c r="DV183" s="533"/>
      <c r="DW183" s="533"/>
      <c r="DX183" s="533"/>
      <c r="DY183" s="533"/>
      <c r="DZ183" s="533"/>
      <c r="EA183" s="533"/>
      <c r="EB183" s="533"/>
      <c r="EC183" s="533"/>
      <c r="ED183" s="533"/>
      <c r="EE183" s="533"/>
      <c r="EF183" s="533"/>
      <c r="EG183" s="533"/>
      <c r="EH183" s="533"/>
      <c r="EI183" s="533"/>
      <c r="EJ183" s="533"/>
      <c r="EK183" s="533"/>
      <c r="EL183" s="533"/>
      <c r="EM183" s="533"/>
      <c r="EN183" s="533"/>
      <c r="EO183" s="533"/>
      <c r="EP183" s="533"/>
      <c r="EQ183" s="533"/>
      <c r="ER183" s="533"/>
      <c r="ES183" s="533"/>
      <c r="ET183" s="533"/>
      <c r="EU183" s="533"/>
      <c r="EV183" s="533"/>
      <c r="EW183" s="533"/>
      <c r="EX183" s="533"/>
      <c r="EY183" s="533"/>
      <c r="EZ183" s="533"/>
      <c r="FA183" s="533"/>
      <c r="FB183" s="533"/>
      <c r="FC183" s="533"/>
      <c r="FD183" s="533"/>
      <c r="FE183" s="533"/>
      <c r="FF183" s="533"/>
      <c r="FG183" s="533"/>
      <c r="FH183" s="533"/>
      <c r="FI183" s="533"/>
      <c r="FJ183" s="533"/>
      <c r="FK183" s="533"/>
      <c r="FL183" s="533"/>
      <c r="FM183" s="533"/>
      <c r="FN183" s="533"/>
      <c r="FO183" s="533"/>
      <c r="FP183" s="533"/>
      <c r="FQ183" s="533"/>
      <c r="FR183" s="533"/>
      <c r="FS183" s="533"/>
      <c r="FT183" s="533"/>
      <c r="FU183" s="533"/>
      <c r="FV183" s="533"/>
      <c r="FW183" s="533"/>
      <c r="FX183" s="533"/>
      <c r="FY183" s="533"/>
      <c r="FZ183" s="533"/>
      <c r="GA183" s="533"/>
      <c r="GB183" s="533"/>
      <c r="GC183" s="533"/>
      <c r="GD183" s="533"/>
      <c r="GE183" s="533"/>
      <c r="GF183" s="533"/>
      <c r="GG183" s="533"/>
      <c r="GH183" s="533"/>
      <c r="GI183" s="533"/>
      <c r="GJ183" s="533"/>
      <c r="GK183" s="533"/>
      <c r="GL183" s="533"/>
      <c r="GM183" s="533"/>
      <c r="GN183" s="533"/>
      <c r="GO183" s="533"/>
      <c r="GP183" s="533"/>
      <c r="GQ183" s="533"/>
      <c r="GR183" s="533"/>
      <c r="GS183" s="533"/>
      <c r="GT183" s="533"/>
      <c r="GU183" s="533"/>
      <c r="GV183" s="533"/>
      <c r="GW183" s="533"/>
      <c r="GX183" s="533"/>
      <c r="GY183" s="533"/>
      <c r="GZ183" s="533"/>
      <c r="HA183" s="533"/>
      <c r="HB183" s="534"/>
    </row>
    <row r="184" spans="1:210" ht="19.8">
      <c r="A184" s="164"/>
      <c r="B184" s="306" t="s">
        <v>1466</v>
      </c>
      <c r="C184" s="503"/>
      <c r="D184" s="503"/>
      <c r="E184" s="503"/>
      <c r="F184" s="503"/>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6"/>
      <c r="AD184" s="326"/>
      <c r="AE184" s="326"/>
      <c r="AF184" s="326"/>
      <c r="AG184" s="326"/>
      <c r="AH184" s="326"/>
      <c r="AI184" s="326"/>
      <c r="AJ184" s="326"/>
      <c r="AK184" s="326"/>
      <c r="AL184" s="326"/>
      <c r="AM184" s="326"/>
      <c r="AN184" s="326"/>
      <c r="AO184" s="531"/>
      <c r="AP184" s="531"/>
      <c r="AQ184" s="532"/>
      <c r="AR184" s="532"/>
      <c r="AS184" s="532"/>
      <c r="AT184" s="532"/>
      <c r="AU184" s="532"/>
      <c r="AV184" s="532"/>
      <c r="AW184" s="326"/>
      <c r="AX184" s="326"/>
      <c r="AY184" s="326"/>
      <c r="AZ184" s="326"/>
      <c r="BA184" s="326"/>
      <c r="BB184" s="326"/>
      <c r="BC184" s="326"/>
      <c r="BD184" s="326"/>
      <c r="BE184" s="326"/>
      <c r="BF184" s="326"/>
      <c r="BG184" s="326"/>
      <c r="BH184" s="326"/>
      <c r="BI184" s="326"/>
      <c r="BJ184" s="326"/>
      <c r="BK184" s="326"/>
      <c r="BL184" s="326"/>
      <c r="BM184" s="326"/>
      <c r="BN184" s="326"/>
      <c r="BO184" s="326"/>
      <c r="BP184" s="326"/>
      <c r="BQ184" s="532"/>
      <c r="BR184" s="532"/>
      <c r="BS184" s="532"/>
      <c r="BT184" s="532"/>
      <c r="BU184" s="532"/>
      <c r="BV184" s="532"/>
      <c r="BW184" s="533"/>
      <c r="BX184" s="533"/>
      <c r="BY184" s="533"/>
      <c r="BZ184" s="533"/>
      <c r="CA184" s="533"/>
      <c r="CB184" s="533"/>
      <c r="CC184" s="533"/>
      <c r="CD184" s="533"/>
      <c r="CE184" s="533"/>
      <c r="CF184" s="533"/>
      <c r="CG184" s="533"/>
      <c r="CH184" s="533"/>
      <c r="CI184" s="533"/>
      <c r="CJ184" s="533"/>
      <c r="CK184" s="533"/>
      <c r="CL184" s="533"/>
      <c r="CM184" s="533"/>
      <c r="CN184" s="533"/>
      <c r="CO184" s="533"/>
      <c r="CP184" s="533"/>
      <c r="CQ184" s="533"/>
      <c r="CR184" s="533"/>
      <c r="CS184" s="533"/>
      <c r="CT184" s="533"/>
      <c r="CU184" s="533"/>
      <c r="CV184" s="533"/>
      <c r="CW184" s="533"/>
      <c r="CX184" s="533"/>
      <c r="CY184" s="533"/>
      <c r="CZ184" s="533"/>
      <c r="DA184" s="533"/>
      <c r="DB184" s="533"/>
      <c r="DC184" s="533"/>
      <c r="DD184" s="533"/>
      <c r="DE184" s="533"/>
      <c r="DF184" s="533"/>
      <c r="DG184" s="533"/>
      <c r="DH184" s="533"/>
      <c r="DI184" s="533"/>
      <c r="DJ184" s="533"/>
      <c r="DK184" s="533"/>
      <c r="DL184" s="533"/>
      <c r="DM184" s="533"/>
      <c r="DN184" s="533"/>
      <c r="DO184" s="533"/>
      <c r="DP184" s="533"/>
      <c r="DQ184" s="533"/>
      <c r="DR184" s="533"/>
      <c r="DS184" s="533"/>
      <c r="DT184" s="533"/>
      <c r="DU184" s="533"/>
      <c r="DV184" s="533"/>
      <c r="DW184" s="533"/>
      <c r="DX184" s="533"/>
      <c r="DY184" s="533"/>
      <c r="DZ184" s="533"/>
      <c r="EA184" s="533"/>
      <c r="EB184" s="533"/>
      <c r="EC184" s="533"/>
      <c r="ED184" s="533"/>
      <c r="EE184" s="533"/>
      <c r="EF184" s="533"/>
      <c r="EG184" s="533"/>
      <c r="EH184" s="533"/>
      <c r="EI184" s="533"/>
      <c r="EJ184" s="533"/>
      <c r="EK184" s="533"/>
      <c r="EL184" s="533"/>
      <c r="EM184" s="533"/>
      <c r="EN184" s="533"/>
      <c r="EO184" s="533"/>
      <c r="EP184" s="533"/>
      <c r="EQ184" s="533"/>
      <c r="ER184" s="533"/>
      <c r="ES184" s="533"/>
      <c r="ET184" s="533"/>
      <c r="EU184" s="533"/>
      <c r="EV184" s="533"/>
      <c r="EW184" s="533"/>
      <c r="EX184" s="533"/>
      <c r="EY184" s="533"/>
      <c r="EZ184" s="533"/>
      <c r="FA184" s="533"/>
      <c r="FB184" s="533"/>
      <c r="FC184" s="533"/>
      <c r="FD184" s="533"/>
      <c r="FE184" s="533"/>
      <c r="FF184" s="533"/>
      <c r="FG184" s="533"/>
      <c r="FH184" s="533"/>
      <c r="FI184" s="533"/>
      <c r="FJ184" s="533"/>
      <c r="FK184" s="533"/>
      <c r="FL184" s="533"/>
      <c r="FM184" s="533"/>
      <c r="FN184" s="533"/>
      <c r="FO184" s="533"/>
      <c r="FP184" s="533"/>
      <c r="FQ184" s="533"/>
      <c r="FR184" s="533"/>
      <c r="FS184" s="533"/>
      <c r="FT184" s="533"/>
      <c r="FU184" s="533"/>
      <c r="FV184" s="533"/>
      <c r="FW184" s="533"/>
      <c r="FX184" s="533"/>
      <c r="FY184" s="533"/>
      <c r="FZ184" s="533"/>
      <c r="GA184" s="533"/>
      <c r="GB184" s="533"/>
      <c r="GC184" s="533"/>
      <c r="GD184" s="533"/>
      <c r="GE184" s="533"/>
      <c r="GF184" s="533"/>
      <c r="GG184" s="533"/>
      <c r="GH184" s="533"/>
      <c r="GI184" s="533"/>
      <c r="GJ184" s="533"/>
      <c r="GK184" s="533"/>
      <c r="GL184" s="533"/>
      <c r="GM184" s="533"/>
      <c r="GN184" s="533"/>
      <c r="GO184" s="533"/>
      <c r="GP184" s="533"/>
      <c r="GQ184" s="533"/>
      <c r="GR184" s="533"/>
      <c r="GS184" s="533"/>
      <c r="GT184" s="533"/>
      <c r="GU184" s="533"/>
      <c r="GV184" s="533"/>
      <c r="GW184" s="533"/>
      <c r="GX184" s="533"/>
      <c r="GY184" s="533"/>
      <c r="GZ184" s="533"/>
      <c r="HA184" s="533"/>
      <c r="HB184" s="534"/>
    </row>
    <row r="185" spans="1:210" ht="19.8">
      <c r="A185" s="164"/>
      <c r="B185" s="306" t="s">
        <v>1467</v>
      </c>
      <c r="C185" s="503"/>
      <c r="D185" s="503"/>
      <c r="E185" s="503"/>
      <c r="F185" s="503"/>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c r="AF185" s="326"/>
      <c r="AG185" s="326"/>
      <c r="AH185" s="326"/>
      <c r="AI185" s="326"/>
      <c r="AJ185" s="326"/>
      <c r="AK185" s="326"/>
      <c r="AL185" s="326"/>
      <c r="AM185" s="326"/>
      <c r="AN185" s="326"/>
      <c r="AO185" s="531"/>
      <c r="AP185" s="531"/>
      <c r="AQ185" s="532"/>
      <c r="AR185" s="532"/>
      <c r="AS185" s="532"/>
      <c r="AT185" s="532"/>
      <c r="AU185" s="532"/>
      <c r="AV185" s="532"/>
      <c r="AW185" s="326"/>
      <c r="AX185" s="326"/>
      <c r="AY185" s="326"/>
      <c r="AZ185" s="326"/>
      <c r="BA185" s="326"/>
      <c r="BB185" s="326"/>
      <c r="BC185" s="326"/>
      <c r="BD185" s="326"/>
      <c r="BE185" s="326"/>
      <c r="BF185" s="326"/>
      <c r="BG185" s="326"/>
      <c r="BH185" s="326"/>
      <c r="BI185" s="326"/>
      <c r="BJ185" s="326"/>
      <c r="BK185" s="326"/>
      <c r="BL185" s="326"/>
      <c r="BM185" s="326"/>
      <c r="BN185" s="326"/>
      <c r="BO185" s="326"/>
      <c r="BP185" s="326"/>
      <c r="BQ185" s="532"/>
      <c r="BR185" s="532"/>
      <c r="BS185" s="532"/>
      <c r="BT185" s="532"/>
      <c r="BU185" s="532"/>
      <c r="BV185" s="532"/>
      <c r="BW185" s="533"/>
      <c r="BX185" s="533"/>
      <c r="BY185" s="533"/>
      <c r="BZ185" s="533"/>
      <c r="CA185" s="533"/>
      <c r="CB185" s="533"/>
      <c r="CC185" s="533"/>
      <c r="CD185" s="533"/>
      <c r="CE185" s="533"/>
      <c r="CF185" s="533"/>
      <c r="CG185" s="533"/>
      <c r="CH185" s="533"/>
      <c r="CI185" s="533"/>
      <c r="CJ185" s="533"/>
      <c r="CK185" s="533"/>
      <c r="CL185" s="533"/>
      <c r="CM185" s="533"/>
      <c r="CN185" s="533"/>
      <c r="CO185" s="533"/>
      <c r="CP185" s="533"/>
      <c r="CQ185" s="533"/>
      <c r="CR185" s="533"/>
      <c r="CS185" s="533"/>
      <c r="CT185" s="533"/>
      <c r="CU185" s="533"/>
      <c r="CV185" s="533"/>
      <c r="CW185" s="533"/>
      <c r="CX185" s="533"/>
      <c r="CY185" s="533"/>
      <c r="CZ185" s="533"/>
      <c r="DA185" s="533"/>
      <c r="DB185" s="533"/>
      <c r="DC185" s="533"/>
      <c r="DD185" s="533"/>
      <c r="DE185" s="533"/>
      <c r="DF185" s="533"/>
      <c r="DG185" s="533"/>
      <c r="DH185" s="533"/>
      <c r="DI185" s="533"/>
      <c r="DJ185" s="533"/>
      <c r="DK185" s="533"/>
      <c r="DL185" s="533"/>
      <c r="DM185" s="533"/>
      <c r="DN185" s="533"/>
      <c r="DO185" s="533"/>
      <c r="DP185" s="533"/>
      <c r="DQ185" s="533"/>
      <c r="DR185" s="533"/>
      <c r="DS185" s="533"/>
      <c r="DT185" s="533"/>
      <c r="DU185" s="533"/>
      <c r="DV185" s="533"/>
      <c r="DW185" s="533"/>
      <c r="DX185" s="533"/>
      <c r="DY185" s="533"/>
      <c r="DZ185" s="533"/>
      <c r="EA185" s="533"/>
      <c r="EB185" s="533"/>
      <c r="EC185" s="533"/>
      <c r="ED185" s="533"/>
      <c r="EE185" s="533"/>
      <c r="EF185" s="533"/>
      <c r="EG185" s="533"/>
      <c r="EH185" s="533"/>
      <c r="EI185" s="533"/>
      <c r="EJ185" s="533"/>
      <c r="EK185" s="533"/>
      <c r="EL185" s="533"/>
      <c r="EM185" s="533"/>
      <c r="EN185" s="533"/>
      <c r="EO185" s="533"/>
      <c r="EP185" s="533"/>
      <c r="EQ185" s="533"/>
      <c r="ER185" s="533"/>
      <c r="ES185" s="533"/>
      <c r="ET185" s="533"/>
      <c r="EU185" s="533"/>
      <c r="EV185" s="533"/>
      <c r="EW185" s="533"/>
      <c r="EX185" s="533"/>
      <c r="EY185" s="533"/>
      <c r="EZ185" s="533"/>
      <c r="FA185" s="533"/>
      <c r="FB185" s="533"/>
      <c r="FC185" s="533"/>
      <c r="FD185" s="533"/>
      <c r="FE185" s="533"/>
      <c r="FF185" s="533"/>
      <c r="FG185" s="533"/>
      <c r="FH185" s="533"/>
      <c r="FI185" s="533"/>
      <c r="FJ185" s="533"/>
      <c r="FK185" s="533"/>
      <c r="FL185" s="533"/>
      <c r="FM185" s="533"/>
      <c r="FN185" s="533"/>
      <c r="FO185" s="533"/>
      <c r="FP185" s="533"/>
      <c r="FQ185" s="533"/>
      <c r="FR185" s="533"/>
      <c r="FS185" s="533"/>
      <c r="FT185" s="533"/>
      <c r="FU185" s="533"/>
      <c r="FV185" s="533"/>
      <c r="FW185" s="533"/>
      <c r="FX185" s="533"/>
      <c r="FY185" s="533"/>
      <c r="FZ185" s="533"/>
      <c r="GA185" s="533"/>
      <c r="GB185" s="533"/>
      <c r="GC185" s="533"/>
      <c r="GD185" s="533"/>
      <c r="GE185" s="533"/>
      <c r="GF185" s="533"/>
      <c r="GG185" s="533"/>
      <c r="GH185" s="533"/>
      <c r="GI185" s="533"/>
      <c r="GJ185" s="533"/>
      <c r="GK185" s="533"/>
      <c r="GL185" s="533"/>
      <c r="GM185" s="533"/>
      <c r="GN185" s="533"/>
      <c r="GO185" s="533"/>
      <c r="GP185" s="533"/>
      <c r="GQ185" s="533"/>
      <c r="GR185" s="533"/>
      <c r="GS185" s="533"/>
      <c r="GT185" s="533"/>
      <c r="GU185" s="533"/>
      <c r="GV185" s="533"/>
      <c r="GW185" s="533"/>
      <c r="GX185" s="533"/>
      <c r="GY185" s="533"/>
      <c r="GZ185" s="533"/>
      <c r="HA185" s="533"/>
      <c r="HB185" s="534"/>
    </row>
    <row r="186" spans="1:210" ht="19.8">
      <c r="A186" s="164"/>
      <c r="B186" s="306" t="s">
        <v>1468</v>
      </c>
      <c r="C186" s="503"/>
      <c r="D186" s="503"/>
      <c r="E186" s="503"/>
      <c r="F186" s="503"/>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6"/>
      <c r="AM186" s="326"/>
      <c r="AN186" s="326"/>
      <c r="AO186" s="531"/>
      <c r="AP186" s="531"/>
      <c r="AQ186" s="532"/>
      <c r="AR186" s="532"/>
      <c r="AS186" s="532"/>
      <c r="AT186" s="532"/>
      <c r="AU186" s="532"/>
      <c r="AV186" s="532"/>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532"/>
      <c r="BR186" s="532"/>
      <c r="BS186" s="532"/>
      <c r="BT186" s="532"/>
      <c r="BU186" s="532"/>
      <c r="BV186" s="532"/>
      <c r="BW186" s="533"/>
      <c r="BX186" s="533"/>
      <c r="BY186" s="533"/>
      <c r="BZ186" s="533"/>
      <c r="CA186" s="533"/>
      <c r="CB186" s="533"/>
      <c r="CC186" s="533"/>
      <c r="CD186" s="533"/>
      <c r="CE186" s="533"/>
      <c r="CF186" s="533"/>
      <c r="CG186" s="533"/>
      <c r="CH186" s="533"/>
      <c r="CI186" s="533"/>
      <c r="CJ186" s="533"/>
      <c r="CK186" s="533"/>
      <c r="CL186" s="533"/>
      <c r="CM186" s="533"/>
      <c r="CN186" s="533"/>
      <c r="CO186" s="533"/>
      <c r="CP186" s="533"/>
      <c r="CQ186" s="533"/>
      <c r="CR186" s="533"/>
      <c r="CS186" s="533"/>
      <c r="CT186" s="533"/>
      <c r="CU186" s="533"/>
      <c r="CV186" s="533"/>
      <c r="CW186" s="533"/>
      <c r="CX186" s="533"/>
      <c r="CY186" s="533"/>
      <c r="CZ186" s="533"/>
      <c r="DA186" s="533"/>
      <c r="DB186" s="533"/>
      <c r="DC186" s="533"/>
      <c r="DD186" s="533"/>
      <c r="DE186" s="533"/>
      <c r="DF186" s="533"/>
      <c r="DG186" s="533"/>
      <c r="DH186" s="533"/>
      <c r="DI186" s="533"/>
      <c r="DJ186" s="533"/>
      <c r="DK186" s="533"/>
      <c r="DL186" s="533"/>
      <c r="DM186" s="533"/>
      <c r="DN186" s="533"/>
      <c r="DO186" s="533"/>
      <c r="DP186" s="533"/>
      <c r="DQ186" s="533"/>
      <c r="DR186" s="533"/>
      <c r="DS186" s="533"/>
      <c r="DT186" s="533"/>
      <c r="DU186" s="533"/>
      <c r="DV186" s="533"/>
      <c r="DW186" s="533"/>
      <c r="DX186" s="533"/>
      <c r="DY186" s="533"/>
      <c r="DZ186" s="533"/>
      <c r="EA186" s="533"/>
      <c r="EB186" s="533"/>
      <c r="EC186" s="533"/>
      <c r="ED186" s="533"/>
      <c r="EE186" s="533"/>
      <c r="EF186" s="533"/>
      <c r="EG186" s="533"/>
      <c r="EH186" s="533"/>
      <c r="EI186" s="533"/>
      <c r="EJ186" s="533"/>
      <c r="EK186" s="533"/>
      <c r="EL186" s="533"/>
      <c r="EM186" s="533"/>
      <c r="EN186" s="533"/>
      <c r="EO186" s="533"/>
      <c r="EP186" s="533"/>
      <c r="EQ186" s="533"/>
      <c r="ER186" s="533"/>
      <c r="ES186" s="533"/>
      <c r="ET186" s="533"/>
      <c r="EU186" s="533"/>
      <c r="EV186" s="533"/>
      <c r="EW186" s="533"/>
      <c r="EX186" s="533"/>
      <c r="EY186" s="533"/>
      <c r="EZ186" s="533"/>
      <c r="FA186" s="533"/>
      <c r="FB186" s="533"/>
      <c r="FC186" s="533"/>
      <c r="FD186" s="533"/>
      <c r="FE186" s="533"/>
      <c r="FF186" s="533"/>
      <c r="FG186" s="533"/>
      <c r="FH186" s="533"/>
      <c r="FI186" s="533"/>
      <c r="FJ186" s="533"/>
      <c r="FK186" s="533"/>
      <c r="FL186" s="533"/>
      <c r="FM186" s="533"/>
      <c r="FN186" s="533"/>
      <c r="FO186" s="533"/>
      <c r="FP186" s="533"/>
      <c r="FQ186" s="533"/>
      <c r="FR186" s="533"/>
      <c r="FS186" s="533"/>
      <c r="FT186" s="533"/>
      <c r="FU186" s="533"/>
      <c r="FV186" s="533"/>
      <c r="FW186" s="533"/>
      <c r="FX186" s="533"/>
      <c r="FY186" s="533"/>
      <c r="FZ186" s="533"/>
      <c r="GA186" s="533"/>
      <c r="GB186" s="533"/>
      <c r="GC186" s="533"/>
      <c r="GD186" s="533"/>
      <c r="GE186" s="533"/>
      <c r="GF186" s="533"/>
      <c r="GG186" s="533"/>
      <c r="GH186" s="533"/>
      <c r="GI186" s="533"/>
      <c r="GJ186" s="533"/>
      <c r="GK186" s="533"/>
      <c r="GL186" s="533"/>
      <c r="GM186" s="533"/>
      <c r="GN186" s="533"/>
      <c r="GO186" s="533"/>
      <c r="GP186" s="533"/>
      <c r="GQ186" s="533"/>
      <c r="GR186" s="533"/>
      <c r="GS186" s="533"/>
      <c r="GT186" s="533"/>
      <c r="GU186" s="533"/>
      <c r="GV186" s="533"/>
      <c r="GW186" s="533"/>
      <c r="GX186" s="533"/>
      <c r="GY186" s="533"/>
      <c r="GZ186" s="533"/>
      <c r="HA186" s="533"/>
      <c r="HB186" s="534"/>
    </row>
    <row r="187" spans="1:210" ht="19.8">
      <c r="A187" s="164"/>
      <c r="B187" s="306" t="s">
        <v>1469</v>
      </c>
      <c r="C187" s="503"/>
      <c r="D187" s="503"/>
      <c r="E187" s="503"/>
      <c r="F187" s="503"/>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6"/>
      <c r="AD187" s="326"/>
      <c r="AE187" s="326"/>
      <c r="AF187" s="326"/>
      <c r="AG187" s="326"/>
      <c r="AH187" s="326"/>
      <c r="AI187" s="326"/>
      <c r="AJ187" s="326"/>
      <c r="AK187" s="326"/>
      <c r="AL187" s="326"/>
      <c r="AM187" s="326"/>
      <c r="AN187" s="326"/>
      <c r="AO187" s="531"/>
      <c r="AP187" s="531"/>
      <c r="AQ187" s="532"/>
      <c r="AR187" s="532"/>
      <c r="AS187" s="532"/>
      <c r="AT187" s="532"/>
      <c r="AU187" s="532"/>
      <c r="AV187" s="532"/>
      <c r="AW187" s="326"/>
      <c r="AX187" s="326"/>
      <c r="AY187" s="326"/>
      <c r="AZ187" s="326"/>
      <c r="BA187" s="326"/>
      <c r="BB187" s="326"/>
      <c r="BC187" s="326"/>
      <c r="BD187" s="326"/>
      <c r="BE187" s="326"/>
      <c r="BF187" s="326"/>
      <c r="BG187" s="326"/>
      <c r="BH187" s="326"/>
      <c r="BI187" s="326"/>
      <c r="BJ187" s="326"/>
      <c r="BK187" s="326"/>
      <c r="BL187" s="326"/>
      <c r="BM187" s="326"/>
      <c r="BN187" s="326"/>
      <c r="BO187" s="326"/>
      <c r="BP187" s="326"/>
      <c r="BQ187" s="532"/>
      <c r="BR187" s="532"/>
      <c r="BS187" s="532"/>
      <c r="BT187" s="532"/>
      <c r="BU187" s="532"/>
      <c r="BV187" s="532"/>
      <c r="BW187" s="533"/>
      <c r="BX187" s="533"/>
      <c r="BY187" s="533"/>
      <c r="BZ187" s="533"/>
      <c r="CA187" s="533"/>
      <c r="CB187" s="533"/>
      <c r="CC187" s="533"/>
      <c r="CD187" s="533"/>
      <c r="CE187" s="533"/>
      <c r="CF187" s="533"/>
      <c r="CG187" s="533"/>
      <c r="CH187" s="533"/>
      <c r="CI187" s="533"/>
      <c r="CJ187" s="533"/>
      <c r="CK187" s="533"/>
      <c r="CL187" s="533"/>
      <c r="CM187" s="533"/>
      <c r="CN187" s="533"/>
      <c r="CO187" s="533"/>
      <c r="CP187" s="533"/>
      <c r="CQ187" s="533"/>
      <c r="CR187" s="533"/>
      <c r="CS187" s="533"/>
      <c r="CT187" s="533"/>
      <c r="CU187" s="533"/>
      <c r="CV187" s="533"/>
      <c r="CW187" s="533"/>
      <c r="CX187" s="533"/>
      <c r="CY187" s="533"/>
      <c r="CZ187" s="533"/>
      <c r="DA187" s="533"/>
      <c r="DB187" s="533"/>
      <c r="DC187" s="533"/>
      <c r="DD187" s="533"/>
      <c r="DE187" s="533"/>
      <c r="DF187" s="533"/>
      <c r="DG187" s="533"/>
      <c r="DH187" s="533"/>
      <c r="DI187" s="533"/>
      <c r="DJ187" s="533"/>
      <c r="DK187" s="533"/>
      <c r="DL187" s="533"/>
      <c r="DM187" s="533"/>
      <c r="DN187" s="533"/>
      <c r="DO187" s="533"/>
      <c r="DP187" s="533"/>
      <c r="DQ187" s="533"/>
      <c r="DR187" s="533"/>
      <c r="DS187" s="533"/>
      <c r="DT187" s="533"/>
      <c r="DU187" s="533"/>
      <c r="DV187" s="533"/>
      <c r="DW187" s="533"/>
      <c r="DX187" s="533"/>
      <c r="DY187" s="533"/>
      <c r="DZ187" s="533"/>
      <c r="EA187" s="533"/>
      <c r="EB187" s="533"/>
      <c r="EC187" s="533"/>
      <c r="ED187" s="533"/>
      <c r="EE187" s="533"/>
      <c r="EF187" s="533"/>
      <c r="EG187" s="533"/>
      <c r="EH187" s="533"/>
      <c r="EI187" s="533"/>
      <c r="EJ187" s="533"/>
      <c r="EK187" s="533"/>
      <c r="EL187" s="533"/>
      <c r="EM187" s="533"/>
      <c r="EN187" s="533"/>
      <c r="EO187" s="533"/>
      <c r="EP187" s="533"/>
      <c r="EQ187" s="533"/>
      <c r="ER187" s="533"/>
      <c r="ES187" s="533"/>
      <c r="ET187" s="533"/>
      <c r="EU187" s="533"/>
      <c r="EV187" s="533"/>
      <c r="EW187" s="533"/>
      <c r="EX187" s="533"/>
      <c r="EY187" s="533"/>
      <c r="EZ187" s="533"/>
      <c r="FA187" s="533"/>
      <c r="FB187" s="533"/>
      <c r="FC187" s="533"/>
      <c r="FD187" s="533"/>
      <c r="FE187" s="533"/>
      <c r="FF187" s="533"/>
      <c r="FG187" s="533"/>
      <c r="FH187" s="533"/>
      <c r="FI187" s="533"/>
      <c r="FJ187" s="533"/>
      <c r="FK187" s="533"/>
      <c r="FL187" s="533"/>
      <c r="FM187" s="533"/>
      <c r="FN187" s="533"/>
      <c r="FO187" s="533"/>
      <c r="FP187" s="533"/>
      <c r="FQ187" s="533"/>
      <c r="FR187" s="533"/>
      <c r="FS187" s="533"/>
      <c r="FT187" s="533"/>
      <c r="FU187" s="533"/>
      <c r="FV187" s="533"/>
      <c r="FW187" s="533"/>
      <c r="FX187" s="533"/>
      <c r="FY187" s="533"/>
      <c r="FZ187" s="533"/>
      <c r="GA187" s="533"/>
      <c r="GB187" s="533"/>
      <c r="GC187" s="533"/>
      <c r="GD187" s="533"/>
      <c r="GE187" s="533"/>
      <c r="GF187" s="533"/>
      <c r="GG187" s="533"/>
      <c r="GH187" s="533"/>
      <c r="GI187" s="533"/>
      <c r="GJ187" s="533"/>
      <c r="GK187" s="533"/>
      <c r="GL187" s="533"/>
      <c r="GM187" s="533"/>
      <c r="GN187" s="533"/>
      <c r="GO187" s="533"/>
      <c r="GP187" s="533"/>
      <c r="GQ187" s="533"/>
      <c r="GR187" s="533"/>
      <c r="GS187" s="533"/>
      <c r="GT187" s="533"/>
      <c r="GU187" s="533"/>
      <c r="GV187" s="533"/>
      <c r="GW187" s="533"/>
      <c r="GX187" s="533"/>
      <c r="GY187" s="533"/>
      <c r="GZ187" s="533"/>
      <c r="HA187" s="533"/>
      <c r="HB187" s="534"/>
    </row>
    <row r="188" spans="1:210" ht="19.8">
      <c r="A188" s="164"/>
      <c r="B188" s="306" t="s">
        <v>1470</v>
      </c>
      <c r="C188" s="503"/>
      <c r="D188" s="503"/>
      <c r="E188" s="503"/>
      <c r="F188" s="503"/>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531"/>
      <c r="AP188" s="531"/>
      <c r="AQ188" s="532"/>
      <c r="AR188" s="532"/>
      <c r="AS188" s="532"/>
      <c r="AT188" s="532"/>
      <c r="AU188" s="532"/>
      <c r="AV188" s="532"/>
      <c r="AW188" s="326"/>
      <c r="AX188" s="326"/>
      <c r="AY188" s="326"/>
      <c r="AZ188" s="326"/>
      <c r="BA188" s="326"/>
      <c r="BB188" s="326"/>
      <c r="BC188" s="326"/>
      <c r="BD188" s="326"/>
      <c r="BE188" s="326"/>
      <c r="BF188" s="326"/>
      <c r="BG188" s="326"/>
      <c r="BH188" s="326"/>
      <c r="BI188" s="326"/>
      <c r="BJ188" s="326"/>
      <c r="BK188" s="326"/>
      <c r="BL188" s="326"/>
      <c r="BM188" s="326"/>
      <c r="BN188" s="326"/>
      <c r="BO188" s="326"/>
      <c r="BP188" s="326"/>
      <c r="BQ188" s="532"/>
      <c r="BR188" s="532"/>
      <c r="BS188" s="532"/>
      <c r="BT188" s="532"/>
      <c r="BU188" s="532"/>
      <c r="BV188" s="532"/>
      <c r="BW188" s="533"/>
      <c r="BX188" s="533"/>
      <c r="BY188" s="533"/>
      <c r="BZ188" s="533"/>
      <c r="CA188" s="533"/>
      <c r="CB188" s="533"/>
      <c r="CC188" s="533"/>
      <c r="CD188" s="533"/>
      <c r="CE188" s="533"/>
      <c r="CF188" s="533"/>
      <c r="CG188" s="533"/>
      <c r="CH188" s="533"/>
      <c r="CI188" s="533"/>
      <c r="CJ188" s="533"/>
      <c r="CK188" s="533"/>
      <c r="CL188" s="533"/>
      <c r="CM188" s="533"/>
      <c r="CN188" s="533"/>
      <c r="CO188" s="533"/>
      <c r="CP188" s="533"/>
      <c r="CQ188" s="533"/>
      <c r="CR188" s="533"/>
      <c r="CS188" s="533"/>
      <c r="CT188" s="533"/>
      <c r="CU188" s="533"/>
      <c r="CV188" s="533"/>
      <c r="CW188" s="533"/>
      <c r="CX188" s="533"/>
      <c r="CY188" s="533"/>
      <c r="CZ188" s="533"/>
      <c r="DA188" s="533"/>
      <c r="DB188" s="533"/>
      <c r="DC188" s="533"/>
      <c r="DD188" s="533"/>
      <c r="DE188" s="533"/>
      <c r="DF188" s="533"/>
      <c r="DG188" s="533"/>
      <c r="DH188" s="533"/>
      <c r="DI188" s="533"/>
      <c r="DJ188" s="533"/>
      <c r="DK188" s="533"/>
      <c r="DL188" s="533"/>
      <c r="DM188" s="533"/>
      <c r="DN188" s="533"/>
      <c r="DO188" s="533"/>
      <c r="DP188" s="533"/>
      <c r="DQ188" s="533"/>
      <c r="DR188" s="533"/>
      <c r="DS188" s="533"/>
      <c r="DT188" s="533"/>
      <c r="DU188" s="533"/>
      <c r="DV188" s="533"/>
      <c r="DW188" s="533"/>
      <c r="DX188" s="533"/>
      <c r="DY188" s="533"/>
      <c r="DZ188" s="533"/>
      <c r="EA188" s="533"/>
      <c r="EB188" s="533"/>
      <c r="EC188" s="533"/>
      <c r="ED188" s="533"/>
      <c r="EE188" s="533"/>
      <c r="EF188" s="533"/>
      <c r="EG188" s="533"/>
      <c r="EH188" s="533"/>
      <c r="EI188" s="533"/>
      <c r="EJ188" s="533"/>
      <c r="EK188" s="533"/>
      <c r="EL188" s="533"/>
      <c r="EM188" s="533"/>
      <c r="EN188" s="533"/>
      <c r="EO188" s="533"/>
      <c r="EP188" s="533"/>
      <c r="EQ188" s="533"/>
      <c r="ER188" s="533"/>
      <c r="ES188" s="533"/>
      <c r="ET188" s="533"/>
      <c r="EU188" s="533"/>
      <c r="EV188" s="533"/>
      <c r="EW188" s="533"/>
      <c r="EX188" s="533"/>
      <c r="EY188" s="533"/>
      <c r="EZ188" s="533"/>
      <c r="FA188" s="533"/>
      <c r="FB188" s="533"/>
      <c r="FC188" s="533"/>
      <c r="FD188" s="533"/>
      <c r="FE188" s="533"/>
      <c r="FF188" s="533"/>
      <c r="FG188" s="533"/>
      <c r="FH188" s="533"/>
      <c r="FI188" s="533"/>
      <c r="FJ188" s="533"/>
      <c r="FK188" s="533"/>
      <c r="FL188" s="533"/>
      <c r="FM188" s="533"/>
      <c r="FN188" s="533"/>
      <c r="FO188" s="533"/>
      <c r="FP188" s="533"/>
      <c r="FQ188" s="533"/>
      <c r="FR188" s="533"/>
      <c r="FS188" s="533"/>
      <c r="FT188" s="533"/>
      <c r="FU188" s="533"/>
      <c r="FV188" s="533"/>
      <c r="FW188" s="533"/>
      <c r="FX188" s="533"/>
      <c r="FY188" s="533"/>
      <c r="FZ188" s="533"/>
      <c r="GA188" s="533"/>
      <c r="GB188" s="533"/>
      <c r="GC188" s="533"/>
      <c r="GD188" s="533"/>
      <c r="GE188" s="533"/>
      <c r="GF188" s="533"/>
      <c r="GG188" s="533"/>
      <c r="GH188" s="533"/>
      <c r="GI188" s="533"/>
      <c r="GJ188" s="533"/>
      <c r="GK188" s="533"/>
      <c r="GL188" s="533"/>
      <c r="GM188" s="533"/>
      <c r="GN188" s="533"/>
      <c r="GO188" s="533"/>
      <c r="GP188" s="533"/>
      <c r="GQ188" s="533"/>
      <c r="GR188" s="533"/>
      <c r="GS188" s="533"/>
      <c r="GT188" s="533"/>
      <c r="GU188" s="533"/>
      <c r="GV188" s="533"/>
      <c r="GW188" s="533"/>
      <c r="GX188" s="533"/>
      <c r="GY188" s="533"/>
      <c r="GZ188" s="533"/>
      <c r="HA188" s="533"/>
      <c r="HB188" s="534"/>
    </row>
    <row r="189" spans="1:210" ht="19.8">
      <c r="A189" s="164"/>
      <c r="B189" s="306" t="s">
        <v>1471</v>
      </c>
      <c r="C189" s="503"/>
      <c r="D189" s="503"/>
      <c r="E189" s="503"/>
      <c r="F189" s="503"/>
      <c r="G189" s="326"/>
      <c r="H189" s="326"/>
      <c r="I189" s="326"/>
      <c r="J189" s="326"/>
      <c r="K189" s="326"/>
      <c r="L189" s="326"/>
      <c r="M189" s="326"/>
      <c r="N189" s="326"/>
      <c r="O189" s="326"/>
      <c r="P189" s="326"/>
      <c r="Q189" s="326"/>
      <c r="R189" s="326"/>
      <c r="S189" s="326"/>
      <c r="T189" s="326"/>
      <c r="U189" s="326"/>
      <c r="V189" s="326"/>
      <c r="W189" s="326"/>
      <c r="X189" s="326"/>
      <c r="Y189" s="326"/>
      <c r="Z189" s="326"/>
      <c r="AA189" s="326"/>
      <c r="AB189" s="326"/>
      <c r="AC189" s="326"/>
      <c r="AD189" s="326"/>
      <c r="AE189" s="326"/>
      <c r="AF189" s="326"/>
      <c r="AG189" s="326"/>
      <c r="AH189" s="326"/>
      <c r="AI189" s="326"/>
      <c r="AJ189" s="326"/>
      <c r="AK189" s="326"/>
      <c r="AL189" s="326"/>
      <c r="AM189" s="326"/>
      <c r="AN189" s="326"/>
      <c r="AO189" s="531"/>
      <c r="AP189" s="531"/>
      <c r="AQ189" s="532"/>
      <c r="AR189" s="532"/>
      <c r="AS189" s="532"/>
      <c r="AT189" s="532"/>
      <c r="AU189" s="532"/>
      <c r="AV189" s="532"/>
      <c r="AW189" s="326"/>
      <c r="AX189" s="326"/>
      <c r="AY189" s="326"/>
      <c r="AZ189" s="326"/>
      <c r="BA189" s="326"/>
      <c r="BB189" s="326"/>
      <c r="BC189" s="326"/>
      <c r="BD189" s="326"/>
      <c r="BE189" s="326"/>
      <c r="BF189" s="326"/>
      <c r="BG189" s="326"/>
      <c r="BH189" s="326"/>
      <c r="BI189" s="326"/>
      <c r="BJ189" s="326"/>
      <c r="BK189" s="326"/>
      <c r="BL189" s="326"/>
      <c r="BM189" s="326"/>
      <c r="BN189" s="326"/>
      <c r="BO189" s="326"/>
      <c r="BP189" s="326"/>
      <c r="BQ189" s="532"/>
      <c r="BR189" s="532"/>
      <c r="BS189" s="532"/>
      <c r="BT189" s="532"/>
      <c r="BU189" s="532"/>
      <c r="BV189" s="532"/>
      <c r="BW189" s="533"/>
      <c r="BX189" s="533"/>
      <c r="BY189" s="533"/>
      <c r="BZ189" s="533"/>
      <c r="CA189" s="533"/>
      <c r="CB189" s="533"/>
      <c r="CC189" s="533"/>
      <c r="CD189" s="533"/>
      <c r="CE189" s="533"/>
      <c r="CF189" s="533"/>
      <c r="CG189" s="533"/>
      <c r="CH189" s="533"/>
      <c r="CI189" s="533"/>
      <c r="CJ189" s="533"/>
      <c r="CK189" s="533"/>
      <c r="CL189" s="533"/>
      <c r="CM189" s="533"/>
      <c r="CN189" s="533"/>
      <c r="CO189" s="533"/>
      <c r="CP189" s="533"/>
      <c r="CQ189" s="533"/>
      <c r="CR189" s="533"/>
      <c r="CS189" s="533"/>
      <c r="CT189" s="533"/>
      <c r="CU189" s="533"/>
      <c r="CV189" s="533"/>
      <c r="CW189" s="533"/>
      <c r="CX189" s="533"/>
      <c r="CY189" s="533"/>
      <c r="CZ189" s="533"/>
      <c r="DA189" s="533"/>
      <c r="DB189" s="533"/>
      <c r="DC189" s="533"/>
      <c r="DD189" s="533"/>
      <c r="DE189" s="533"/>
      <c r="DF189" s="533"/>
      <c r="DG189" s="533"/>
      <c r="DH189" s="533"/>
      <c r="DI189" s="533"/>
      <c r="DJ189" s="533"/>
      <c r="DK189" s="533"/>
      <c r="DL189" s="533"/>
      <c r="DM189" s="533"/>
      <c r="DN189" s="533"/>
      <c r="DO189" s="533"/>
      <c r="DP189" s="533"/>
      <c r="DQ189" s="533"/>
      <c r="DR189" s="533"/>
      <c r="DS189" s="533"/>
      <c r="DT189" s="533"/>
      <c r="DU189" s="533"/>
      <c r="DV189" s="533"/>
      <c r="DW189" s="533"/>
      <c r="DX189" s="533"/>
      <c r="DY189" s="533"/>
      <c r="DZ189" s="533"/>
      <c r="EA189" s="533"/>
      <c r="EB189" s="533"/>
      <c r="EC189" s="533"/>
      <c r="ED189" s="533"/>
      <c r="EE189" s="533"/>
      <c r="EF189" s="533"/>
      <c r="EG189" s="533"/>
      <c r="EH189" s="533"/>
      <c r="EI189" s="533"/>
      <c r="EJ189" s="533"/>
      <c r="EK189" s="533"/>
      <c r="EL189" s="533"/>
      <c r="EM189" s="533"/>
      <c r="EN189" s="533"/>
      <c r="EO189" s="533"/>
      <c r="EP189" s="533"/>
      <c r="EQ189" s="533"/>
      <c r="ER189" s="533"/>
      <c r="ES189" s="533"/>
      <c r="ET189" s="533"/>
      <c r="EU189" s="533"/>
      <c r="EV189" s="533"/>
      <c r="EW189" s="533"/>
      <c r="EX189" s="533"/>
      <c r="EY189" s="533"/>
      <c r="EZ189" s="533"/>
      <c r="FA189" s="533"/>
      <c r="FB189" s="533"/>
      <c r="FC189" s="533"/>
      <c r="FD189" s="533"/>
      <c r="FE189" s="533"/>
      <c r="FF189" s="533"/>
      <c r="FG189" s="533"/>
      <c r="FH189" s="533"/>
      <c r="FI189" s="533"/>
      <c r="FJ189" s="533"/>
      <c r="FK189" s="533"/>
      <c r="FL189" s="533"/>
      <c r="FM189" s="533"/>
      <c r="FN189" s="533"/>
      <c r="FO189" s="533"/>
      <c r="FP189" s="533"/>
      <c r="FQ189" s="533"/>
      <c r="FR189" s="533"/>
      <c r="FS189" s="533"/>
      <c r="FT189" s="533"/>
      <c r="FU189" s="533"/>
      <c r="FV189" s="533"/>
      <c r="FW189" s="533"/>
      <c r="FX189" s="533"/>
      <c r="FY189" s="533"/>
      <c r="FZ189" s="533"/>
      <c r="GA189" s="533"/>
      <c r="GB189" s="533"/>
      <c r="GC189" s="533"/>
      <c r="GD189" s="533"/>
      <c r="GE189" s="533"/>
      <c r="GF189" s="533"/>
      <c r="GG189" s="533"/>
      <c r="GH189" s="533"/>
      <c r="GI189" s="533"/>
      <c r="GJ189" s="533"/>
      <c r="GK189" s="533"/>
      <c r="GL189" s="533"/>
      <c r="GM189" s="533"/>
      <c r="GN189" s="533"/>
      <c r="GO189" s="533"/>
      <c r="GP189" s="533"/>
      <c r="GQ189" s="533"/>
      <c r="GR189" s="533"/>
      <c r="GS189" s="533"/>
      <c r="GT189" s="533"/>
      <c r="GU189" s="533"/>
      <c r="GV189" s="533"/>
      <c r="GW189" s="533"/>
      <c r="GX189" s="533"/>
      <c r="GY189" s="533"/>
      <c r="GZ189" s="533"/>
      <c r="HA189" s="533"/>
      <c r="HB189" s="534"/>
    </row>
    <row r="190" spans="1:210" ht="19.8">
      <c r="A190" s="164"/>
      <c r="B190" s="306" t="s">
        <v>1472</v>
      </c>
      <c r="C190" s="503"/>
      <c r="D190" s="503"/>
      <c r="E190" s="503"/>
      <c r="F190" s="503"/>
      <c r="G190" s="326"/>
      <c r="H190" s="326"/>
      <c r="I190" s="326"/>
      <c r="J190" s="326"/>
      <c r="K190" s="326"/>
      <c r="L190" s="326"/>
      <c r="M190" s="326"/>
      <c r="N190" s="326"/>
      <c r="O190" s="326"/>
      <c r="P190" s="326"/>
      <c r="Q190" s="326"/>
      <c r="R190" s="326"/>
      <c r="S190" s="326"/>
      <c r="T190" s="326"/>
      <c r="U190" s="326"/>
      <c r="V190" s="326"/>
      <c r="W190" s="326"/>
      <c r="X190" s="326"/>
      <c r="Y190" s="326"/>
      <c r="Z190" s="326"/>
      <c r="AA190" s="326"/>
      <c r="AB190" s="326"/>
      <c r="AC190" s="326"/>
      <c r="AD190" s="326"/>
      <c r="AE190" s="326"/>
      <c r="AF190" s="326"/>
      <c r="AG190" s="326"/>
      <c r="AH190" s="326"/>
      <c r="AI190" s="326"/>
      <c r="AJ190" s="326"/>
      <c r="AK190" s="326"/>
      <c r="AL190" s="326"/>
      <c r="AM190" s="326"/>
      <c r="AN190" s="326"/>
      <c r="AO190" s="531"/>
      <c r="AP190" s="531"/>
      <c r="AQ190" s="532"/>
      <c r="AR190" s="532"/>
      <c r="AS190" s="532"/>
      <c r="AT190" s="532"/>
      <c r="AU190" s="532"/>
      <c r="AV190" s="532"/>
      <c r="AW190" s="326"/>
      <c r="AX190" s="326"/>
      <c r="AY190" s="326"/>
      <c r="AZ190" s="326"/>
      <c r="BA190" s="326"/>
      <c r="BB190" s="326"/>
      <c r="BC190" s="326"/>
      <c r="BD190" s="326"/>
      <c r="BE190" s="326"/>
      <c r="BF190" s="326"/>
      <c r="BG190" s="326"/>
      <c r="BH190" s="326"/>
      <c r="BI190" s="326"/>
      <c r="BJ190" s="326"/>
      <c r="BK190" s="326"/>
      <c r="BL190" s="326"/>
      <c r="BM190" s="326"/>
      <c r="BN190" s="326"/>
      <c r="BO190" s="326"/>
      <c r="BP190" s="326"/>
      <c r="BQ190" s="532"/>
      <c r="BR190" s="532"/>
      <c r="BS190" s="532"/>
      <c r="BT190" s="532"/>
      <c r="BU190" s="532"/>
      <c r="BV190" s="532"/>
      <c r="BW190" s="533"/>
      <c r="BX190" s="533"/>
      <c r="BY190" s="533"/>
      <c r="BZ190" s="533"/>
      <c r="CA190" s="533"/>
      <c r="CB190" s="533"/>
      <c r="CC190" s="533"/>
      <c r="CD190" s="533"/>
      <c r="CE190" s="533"/>
      <c r="CF190" s="533"/>
      <c r="CG190" s="533"/>
      <c r="CH190" s="533"/>
      <c r="CI190" s="533"/>
      <c r="CJ190" s="533"/>
      <c r="CK190" s="533"/>
      <c r="CL190" s="533"/>
      <c r="CM190" s="533"/>
      <c r="CN190" s="533"/>
      <c r="CO190" s="533"/>
      <c r="CP190" s="533"/>
      <c r="CQ190" s="533"/>
      <c r="CR190" s="533"/>
      <c r="CS190" s="533"/>
      <c r="CT190" s="533"/>
      <c r="CU190" s="533"/>
      <c r="CV190" s="533"/>
      <c r="CW190" s="533"/>
      <c r="CX190" s="533"/>
      <c r="CY190" s="533"/>
      <c r="CZ190" s="533"/>
      <c r="DA190" s="533"/>
      <c r="DB190" s="533"/>
      <c r="DC190" s="533"/>
      <c r="DD190" s="533"/>
      <c r="DE190" s="533"/>
      <c r="DF190" s="533"/>
      <c r="DG190" s="533"/>
      <c r="DH190" s="533"/>
      <c r="DI190" s="533"/>
      <c r="DJ190" s="533"/>
      <c r="DK190" s="533"/>
      <c r="DL190" s="533"/>
      <c r="DM190" s="533"/>
      <c r="DN190" s="533"/>
      <c r="DO190" s="533"/>
      <c r="DP190" s="533"/>
      <c r="DQ190" s="533"/>
      <c r="DR190" s="533"/>
      <c r="DS190" s="533"/>
      <c r="DT190" s="533"/>
      <c r="DU190" s="533"/>
      <c r="DV190" s="533"/>
      <c r="DW190" s="533"/>
      <c r="DX190" s="533"/>
      <c r="DY190" s="533"/>
      <c r="DZ190" s="533"/>
      <c r="EA190" s="533"/>
      <c r="EB190" s="533"/>
      <c r="EC190" s="533"/>
      <c r="ED190" s="533"/>
      <c r="EE190" s="533"/>
      <c r="EF190" s="533"/>
      <c r="EG190" s="533"/>
      <c r="EH190" s="533"/>
      <c r="EI190" s="533"/>
      <c r="EJ190" s="533"/>
      <c r="EK190" s="533"/>
      <c r="EL190" s="533"/>
      <c r="EM190" s="533"/>
      <c r="EN190" s="533"/>
      <c r="EO190" s="533"/>
      <c r="EP190" s="533"/>
      <c r="EQ190" s="533"/>
      <c r="ER190" s="533"/>
      <c r="ES190" s="533"/>
      <c r="ET190" s="533"/>
      <c r="EU190" s="533"/>
      <c r="EV190" s="533"/>
      <c r="EW190" s="533"/>
      <c r="EX190" s="533"/>
      <c r="EY190" s="533"/>
      <c r="EZ190" s="533"/>
      <c r="FA190" s="533"/>
      <c r="FB190" s="533"/>
      <c r="FC190" s="533"/>
      <c r="FD190" s="533"/>
      <c r="FE190" s="533"/>
      <c r="FF190" s="533"/>
      <c r="FG190" s="533"/>
      <c r="FH190" s="533"/>
      <c r="FI190" s="533"/>
      <c r="FJ190" s="533"/>
      <c r="FK190" s="533"/>
      <c r="FL190" s="533"/>
      <c r="FM190" s="533"/>
      <c r="FN190" s="533"/>
      <c r="FO190" s="533"/>
      <c r="FP190" s="533"/>
      <c r="FQ190" s="533"/>
      <c r="FR190" s="533"/>
      <c r="FS190" s="533"/>
      <c r="FT190" s="533"/>
      <c r="FU190" s="533"/>
      <c r="FV190" s="533"/>
      <c r="FW190" s="533"/>
      <c r="FX190" s="533"/>
      <c r="FY190" s="533"/>
      <c r="FZ190" s="533"/>
      <c r="GA190" s="533"/>
      <c r="GB190" s="533"/>
      <c r="GC190" s="533"/>
      <c r="GD190" s="533"/>
      <c r="GE190" s="533"/>
      <c r="GF190" s="533"/>
      <c r="GG190" s="533"/>
      <c r="GH190" s="533"/>
      <c r="GI190" s="533"/>
      <c r="GJ190" s="533"/>
      <c r="GK190" s="533"/>
      <c r="GL190" s="533"/>
      <c r="GM190" s="533"/>
      <c r="GN190" s="533"/>
      <c r="GO190" s="533"/>
      <c r="GP190" s="533"/>
      <c r="GQ190" s="533"/>
      <c r="GR190" s="533"/>
      <c r="GS190" s="533"/>
      <c r="GT190" s="533"/>
      <c r="GU190" s="533"/>
      <c r="GV190" s="533"/>
      <c r="GW190" s="533"/>
      <c r="GX190" s="533"/>
      <c r="GY190" s="533"/>
      <c r="GZ190" s="533"/>
      <c r="HA190" s="533"/>
      <c r="HB190" s="534"/>
    </row>
    <row r="191" spans="1:210" ht="19.8">
      <c r="A191" s="164"/>
      <c r="B191" s="306" t="s">
        <v>1473</v>
      </c>
      <c r="C191" s="503"/>
      <c r="D191" s="503"/>
      <c r="E191" s="503"/>
      <c r="F191" s="503"/>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26"/>
      <c r="AI191" s="326"/>
      <c r="AJ191" s="326"/>
      <c r="AK191" s="326"/>
      <c r="AL191" s="326"/>
      <c r="AM191" s="326"/>
      <c r="AN191" s="326"/>
      <c r="AO191" s="531"/>
      <c r="AP191" s="531"/>
      <c r="AQ191" s="532"/>
      <c r="AR191" s="532"/>
      <c r="AS191" s="532"/>
      <c r="AT191" s="532"/>
      <c r="AU191" s="532"/>
      <c r="AV191" s="532"/>
      <c r="AW191" s="326"/>
      <c r="AX191" s="326"/>
      <c r="AY191" s="326"/>
      <c r="AZ191" s="326"/>
      <c r="BA191" s="326"/>
      <c r="BB191" s="326"/>
      <c r="BC191" s="326"/>
      <c r="BD191" s="326"/>
      <c r="BE191" s="326"/>
      <c r="BF191" s="326"/>
      <c r="BG191" s="326"/>
      <c r="BH191" s="326"/>
      <c r="BI191" s="326"/>
      <c r="BJ191" s="326"/>
      <c r="BK191" s="326"/>
      <c r="BL191" s="326"/>
      <c r="BM191" s="326"/>
      <c r="BN191" s="326"/>
      <c r="BO191" s="326"/>
      <c r="BP191" s="326"/>
      <c r="BQ191" s="532"/>
      <c r="BR191" s="532"/>
      <c r="BS191" s="532"/>
      <c r="BT191" s="532"/>
      <c r="BU191" s="532"/>
      <c r="BV191" s="532"/>
      <c r="BW191" s="533"/>
      <c r="BX191" s="533"/>
      <c r="BY191" s="533"/>
      <c r="BZ191" s="533"/>
      <c r="CA191" s="533"/>
      <c r="CB191" s="533"/>
      <c r="CC191" s="533"/>
      <c r="CD191" s="533"/>
      <c r="CE191" s="533"/>
      <c r="CF191" s="533"/>
      <c r="CG191" s="533"/>
      <c r="CH191" s="533"/>
      <c r="CI191" s="533"/>
      <c r="CJ191" s="533"/>
      <c r="CK191" s="533"/>
      <c r="CL191" s="533"/>
      <c r="CM191" s="533"/>
      <c r="CN191" s="533"/>
      <c r="CO191" s="533"/>
      <c r="CP191" s="533"/>
      <c r="CQ191" s="533"/>
      <c r="CR191" s="533"/>
      <c r="CS191" s="533"/>
      <c r="CT191" s="533"/>
      <c r="CU191" s="533"/>
      <c r="CV191" s="533"/>
      <c r="CW191" s="533"/>
      <c r="CX191" s="533"/>
      <c r="CY191" s="533"/>
      <c r="CZ191" s="533"/>
      <c r="DA191" s="533"/>
      <c r="DB191" s="533"/>
      <c r="DC191" s="533"/>
      <c r="DD191" s="533"/>
      <c r="DE191" s="533"/>
      <c r="DF191" s="533"/>
      <c r="DG191" s="533"/>
      <c r="DH191" s="533"/>
      <c r="DI191" s="533"/>
      <c r="DJ191" s="533"/>
      <c r="DK191" s="533"/>
      <c r="DL191" s="533"/>
      <c r="DM191" s="533"/>
      <c r="DN191" s="533"/>
      <c r="DO191" s="533"/>
      <c r="DP191" s="533"/>
      <c r="DQ191" s="533"/>
      <c r="DR191" s="533"/>
      <c r="DS191" s="533"/>
      <c r="DT191" s="533"/>
      <c r="DU191" s="533"/>
      <c r="DV191" s="533"/>
      <c r="DW191" s="533"/>
      <c r="DX191" s="533"/>
      <c r="DY191" s="533"/>
      <c r="DZ191" s="533"/>
      <c r="EA191" s="533"/>
      <c r="EB191" s="533"/>
      <c r="EC191" s="533"/>
      <c r="ED191" s="533"/>
      <c r="EE191" s="533"/>
      <c r="EF191" s="533"/>
      <c r="EG191" s="533"/>
      <c r="EH191" s="533"/>
      <c r="EI191" s="533"/>
      <c r="EJ191" s="533"/>
      <c r="EK191" s="533"/>
      <c r="EL191" s="533"/>
      <c r="EM191" s="533"/>
      <c r="EN191" s="533"/>
      <c r="EO191" s="533"/>
      <c r="EP191" s="533"/>
      <c r="EQ191" s="533"/>
      <c r="ER191" s="533"/>
      <c r="ES191" s="533"/>
      <c r="ET191" s="533"/>
      <c r="EU191" s="533"/>
      <c r="EV191" s="533"/>
      <c r="EW191" s="533"/>
      <c r="EX191" s="533"/>
      <c r="EY191" s="533"/>
      <c r="EZ191" s="533"/>
      <c r="FA191" s="533"/>
      <c r="FB191" s="533"/>
      <c r="FC191" s="533"/>
      <c r="FD191" s="533"/>
      <c r="FE191" s="533"/>
      <c r="FF191" s="533"/>
      <c r="FG191" s="533"/>
      <c r="FH191" s="533"/>
      <c r="FI191" s="533"/>
      <c r="FJ191" s="533"/>
      <c r="FK191" s="533"/>
      <c r="FL191" s="533"/>
      <c r="FM191" s="533"/>
      <c r="FN191" s="533"/>
      <c r="FO191" s="533"/>
      <c r="FP191" s="533"/>
      <c r="FQ191" s="533"/>
      <c r="FR191" s="533"/>
      <c r="FS191" s="533"/>
      <c r="FT191" s="533"/>
      <c r="FU191" s="533"/>
      <c r="FV191" s="533"/>
      <c r="FW191" s="533"/>
      <c r="FX191" s="533"/>
      <c r="FY191" s="533"/>
      <c r="FZ191" s="533"/>
      <c r="GA191" s="533"/>
      <c r="GB191" s="533"/>
      <c r="GC191" s="533"/>
      <c r="GD191" s="533"/>
      <c r="GE191" s="533"/>
      <c r="GF191" s="533"/>
      <c r="GG191" s="533"/>
      <c r="GH191" s="533"/>
      <c r="GI191" s="533"/>
      <c r="GJ191" s="533"/>
      <c r="GK191" s="533"/>
      <c r="GL191" s="533"/>
      <c r="GM191" s="533"/>
      <c r="GN191" s="533"/>
      <c r="GO191" s="533"/>
      <c r="GP191" s="533"/>
      <c r="GQ191" s="533"/>
      <c r="GR191" s="533"/>
      <c r="GS191" s="533"/>
      <c r="GT191" s="533"/>
      <c r="GU191" s="533"/>
      <c r="GV191" s="533"/>
      <c r="GW191" s="533"/>
      <c r="GX191" s="533"/>
      <c r="GY191" s="533"/>
      <c r="GZ191" s="533"/>
      <c r="HA191" s="533"/>
      <c r="HB191" s="534"/>
    </row>
    <row r="192" spans="1:210" ht="19.8">
      <c r="A192" s="164"/>
      <c r="B192" s="306" t="s">
        <v>1474</v>
      </c>
      <c r="C192" s="503"/>
      <c r="D192" s="503"/>
      <c r="E192" s="503"/>
      <c r="F192" s="503"/>
      <c r="G192" s="326"/>
      <c r="H192" s="326"/>
      <c r="I192" s="326"/>
      <c r="J192" s="326"/>
      <c r="K192" s="326"/>
      <c r="L192" s="326"/>
      <c r="M192" s="326"/>
      <c r="N192" s="326"/>
      <c r="O192" s="326"/>
      <c r="P192" s="326"/>
      <c r="Q192" s="326"/>
      <c r="R192" s="326"/>
      <c r="S192" s="326"/>
      <c r="T192" s="326"/>
      <c r="U192" s="326"/>
      <c r="V192" s="326"/>
      <c r="W192" s="326"/>
      <c r="X192" s="326"/>
      <c r="Y192" s="326"/>
      <c r="Z192" s="326"/>
      <c r="AA192" s="326"/>
      <c r="AB192" s="326"/>
      <c r="AC192" s="326"/>
      <c r="AD192" s="326"/>
      <c r="AE192" s="326"/>
      <c r="AF192" s="326"/>
      <c r="AG192" s="326"/>
      <c r="AH192" s="326"/>
      <c r="AI192" s="326"/>
      <c r="AJ192" s="326"/>
      <c r="AK192" s="326"/>
      <c r="AL192" s="326"/>
      <c r="AM192" s="326"/>
      <c r="AN192" s="326"/>
      <c r="AO192" s="531"/>
      <c r="AP192" s="531"/>
      <c r="AQ192" s="532"/>
      <c r="AR192" s="532"/>
      <c r="AS192" s="532"/>
      <c r="AT192" s="532"/>
      <c r="AU192" s="532"/>
      <c r="AV192" s="532"/>
      <c r="AW192" s="326"/>
      <c r="AX192" s="326"/>
      <c r="AY192" s="326"/>
      <c r="AZ192" s="326"/>
      <c r="BA192" s="326"/>
      <c r="BB192" s="326"/>
      <c r="BC192" s="326"/>
      <c r="BD192" s="326"/>
      <c r="BE192" s="326"/>
      <c r="BF192" s="326"/>
      <c r="BG192" s="326"/>
      <c r="BH192" s="326"/>
      <c r="BI192" s="326"/>
      <c r="BJ192" s="326"/>
      <c r="BK192" s="326"/>
      <c r="BL192" s="326"/>
      <c r="BM192" s="326"/>
      <c r="BN192" s="326"/>
      <c r="BO192" s="326"/>
      <c r="BP192" s="326"/>
      <c r="BQ192" s="532"/>
      <c r="BR192" s="532"/>
      <c r="BS192" s="532"/>
      <c r="BT192" s="532"/>
      <c r="BU192" s="532"/>
      <c r="BV192" s="532"/>
      <c r="BW192" s="533"/>
      <c r="BX192" s="533"/>
      <c r="BY192" s="533"/>
      <c r="BZ192" s="533"/>
      <c r="CA192" s="533"/>
      <c r="CB192" s="533"/>
      <c r="CC192" s="533"/>
      <c r="CD192" s="533"/>
      <c r="CE192" s="533"/>
      <c r="CF192" s="533"/>
      <c r="CG192" s="533"/>
      <c r="CH192" s="533"/>
      <c r="CI192" s="533"/>
      <c r="CJ192" s="533"/>
      <c r="CK192" s="533"/>
      <c r="CL192" s="533"/>
      <c r="CM192" s="533"/>
      <c r="CN192" s="533"/>
      <c r="CO192" s="533"/>
      <c r="CP192" s="533"/>
      <c r="CQ192" s="533"/>
      <c r="CR192" s="533"/>
      <c r="CS192" s="533"/>
      <c r="CT192" s="533"/>
      <c r="CU192" s="533"/>
      <c r="CV192" s="533"/>
      <c r="CW192" s="533"/>
      <c r="CX192" s="533"/>
      <c r="CY192" s="533"/>
      <c r="CZ192" s="533"/>
      <c r="DA192" s="533"/>
      <c r="DB192" s="533"/>
      <c r="DC192" s="533"/>
      <c r="DD192" s="533"/>
      <c r="DE192" s="533"/>
      <c r="DF192" s="533"/>
      <c r="DG192" s="533"/>
      <c r="DH192" s="533"/>
      <c r="DI192" s="533"/>
      <c r="DJ192" s="533"/>
      <c r="DK192" s="533"/>
      <c r="DL192" s="533"/>
      <c r="DM192" s="533"/>
      <c r="DN192" s="533"/>
      <c r="DO192" s="533"/>
      <c r="DP192" s="533"/>
      <c r="DQ192" s="533"/>
      <c r="DR192" s="533"/>
      <c r="DS192" s="533"/>
      <c r="DT192" s="533"/>
      <c r="DU192" s="533"/>
      <c r="DV192" s="533"/>
      <c r="DW192" s="533"/>
      <c r="DX192" s="533"/>
      <c r="DY192" s="533"/>
      <c r="DZ192" s="533"/>
      <c r="EA192" s="533"/>
      <c r="EB192" s="533"/>
      <c r="EC192" s="533"/>
      <c r="ED192" s="533"/>
      <c r="EE192" s="533"/>
      <c r="EF192" s="533"/>
      <c r="EG192" s="533"/>
      <c r="EH192" s="533"/>
      <c r="EI192" s="533"/>
      <c r="EJ192" s="533"/>
      <c r="EK192" s="533"/>
      <c r="EL192" s="533"/>
      <c r="EM192" s="533"/>
      <c r="EN192" s="533"/>
      <c r="EO192" s="533"/>
      <c r="EP192" s="533"/>
      <c r="EQ192" s="533"/>
      <c r="ER192" s="533"/>
      <c r="ES192" s="533"/>
      <c r="ET192" s="533"/>
      <c r="EU192" s="533"/>
      <c r="EV192" s="533"/>
      <c r="EW192" s="533"/>
      <c r="EX192" s="533"/>
      <c r="EY192" s="533"/>
      <c r="EZ192" s="533"/>
      <c r="FA192" s="533"/>
      <c r="FB192" s="533"/>
      <c r="FC192" s="533"/>
      <c r="FD192" s="533"/>
      <c r="FE192" s="533"/>
      <c r="FF192" s="533"/>
      <c r="FG192" s="533"/>
      <c r="FH192" s="533"/>
      <c r="FI192" s="533"/>
      <c r="FJ192" s="533"/>
      <c r="FK192" s="533"/>
      <c r="FL192" s="533"/>
      <c r="FM192" s="533"/>
      <c r="FN192" s="533"/>
      <c r="FO192" s="533"/>
      <c r="FP192" s="533"/>
      <c r="FQ192" s="533"/>
      <c r="FR192" s="533"/>
      <c r="FS192" s="533"/>
      <c r="FT192" s="533"/>
      <c r="FU192" s="533"/>
      <c r="FV192" s="533"/>
      <c r="FW192" s="533"/>
      <c r="FX192" s="533"/>
      <c r="FY192" s="533"/>
      <c r="FZ192" s="533"/>
      <c r="GA192" s="533"/>
      <c r="GB192" s="533"/>
      <c r="GC192" s="533"/>
      <c r="GD192" s="533"/>
      <c r="GE192" s="533"/>
      <c r="GF192" s="533"/>
      <c r="GG192" s="533"/>
      <c r="GH192" s="533"/>
      <c r="GI192" s="533"/>
      <c r="GJ192" s="533"/>
      <c r="GK192" s="533"/>
      <c r="GL192" s="533"/>
      <c r="GM192" s="533"/>
      <c r="GN192" s="533"/>
      <c r="GO192" s="533"/>
      <c r="GP192" s="533"/>
      <c r="GQ192" s="533"/>
      <c r="GR192" s="533"/>
      <c r="GS192" s="533"/>
      <c r="GT192" s="533"/>
      <c r="GU192" s="533"/>
      <c r="GV192" s="533"/>
      <c r="GW192" s="533"/>
      <c r="GX192" s="533"/>
      <c r="GY192" s="533"/>
      <c r="GZ192" s="533"/>
      <c r="HA192" s="533"/>
      <c r="HB192" s="534"/>
    </row>
    <row r="193" spans="1:210" ht="19.8">
      <c r="A193" s="164"/>
      <c r="B193" s="306" t="s">
        <v>1475</v>
      </c>
      <c r="C193" s="503"/>
      <c r="D193" s="503"/>
      <c r="E193" s="503"/>
      <c r="F193" s="503"/>
      <c r="G193" s="326"/>
      <c r="H193" s="326"/>
      <c r="I193" s="326"/>
      <c r="J193" s="326"/>
      <c r="K193" s="326"/>
      <c r="L193" s="326"/>
      <c r="M193" s="326"/>
      <c r="N193" s="326"/>
      <c r="O193" s="326"/>
      <c r="P193" s="326"/>
      <c r="Q193" s="326"/>
      <c r="R193" s="326"/>
      <c r="S193" s="326"/>
      <c r="T193" s="326"/>
      <c r="U193" s="326"/>
      <c r="V193" s="326"/>
      <c r="W193" s="326"/>
      <c r="X193" s="326"/>
      <c r="Y193" s="326"/>
      <c r="Z193" s="326"/>
      <c r="AA193" s="326"/>
      <c r="AB193" s="326"/>
      <c r="AC193" s="326"/>
      <c r="AD193" s="326"/>
      <c r="AE193" s="326"/>
      <c r="AF193" s="326"/>
      <c r="AG193" s="326"/>
      <c r="AH193" s="326"/>
      <c r="AI193" s="326"/>
      <c r="AJ193" s="326"/>
      <c r="AK193" s="326"/>
      <c r="AL193" s="326"/>
      <c r="AM193" s="326"/>
      <c r="AN193" s="326"/>
      <c r="AO193" s="531"/>
      <c r="AP193" s="531"/>
      <c r="AQ193" s="532"/>
      <c r="AR193" s="532"/>
      <c r="AS193" s="532"/>
      <c r="AT193" s="532"/>
      <c r="AU193" s="532"/>
      <c r="AV193" s="532"/>
      <c r="AW193" s="326"/>
      <c r="AX193" s="326"/>
      <c r="AY193" s="326"/>
      <c r="AZ193" s="326"/>
      <c r="BA193" s="326"/>
      <c r="BB193" s="326"/>
      <c r="BC193" s="326"/>
      <c r="BD193" s="326"/>
      <c r="BE193" s="326"/>
      <c r="BF193" s="326"/>
      <c r="BG193" s="326"/>
      <c r="BH193" s="326"/>
      <c r="BI193" s="326"/>
      <c r="BJ193" s="326"/>
      <c r="BK193" s="326"/>
      <c r="BL193" s="326"/>
      <c r="BM193" s="326"/>
      <c r="BN193" s="326"/>
      <c r="BO193" s="326"/>
      <c r="BP193" s="326"/>
      <c r="BQ193" s="532"/>
      <c r="BR193" s="532"/>
      <c r="BS193" s="532"/>
      <c r="BT193" s="532"/>
      <c r="BU193" s="532"/>
      <c r="BV193" s="532"/>
      <c r="BW193" s="533"/>
      <c r="BX193" s="533"/>
      <c r="BY193" s="533"/>
      <c r="BZ193" s="533"/>
      <c r="CA193" s="533"/>
      <c r="CB193" s="533"/>
      <c r="CC193" s="533"/>
      <c r="CD193" s="533"/>
      <c r="CE193" s="533"/>
      <c r="CF193" s="533"/>
      <c r="CG193" s="533"/>
      <c r="CH193" s="533"/>
      <c r="CI193" s="533"/>
      <c r="CJ193" s="533"/>
      <c r="CK193" s="533"/>
      <c r="CL193" s="533"/>
      <c r="CM193" s="533"/>
      <c r="CN193" s="533"/>
      <c r="CO193" s="533"/>
      <c r="CP193" s="533"/>
      <c r="CQ193" s="533"/>
      <c r="CR193" s="533"/>
      <c r="CS193" s="533"/>
      <c r="CT193" s="533"/>
      <c r="CU193" s="533"/>
      <c r="CV193" s="533"/>
      <c r="CW193" s="533"/>
      <c r="CX193" s="533"/>
      <c r="CY193" s="533"/>
      <c r="CZ193" s="533"/>
      <c r="DA193" s="533"/>
      <c r="DB193" s="533"/>
      <c r="DC193" s="533"/>
      <c r="DD193" s="533"/>
      <c r="DE193" s="533"/>
      <c r="DF193" s="533"/>
      <c r="DG193" s="533"/>
      <c r="DH193" s="533"/>
      <c r="DI193" s="533"/>
      <c r="DJ193" s="533"/>
      <c r="DK193" s="533"/>
      <c r="DL193" s="533"/>
      <c r="DM193" s="533"/>
      <c r="DN193" s="533"/>
      <c r="DO193" s="533"/>
      <c r="DP193" s="533"/>
      <c r="DQ193" s="533"/>
      <c r="DR193" s="533"/>
      <c r="DS193" s="533"/>
      <c r="DT193" s="533"/>
      <c r="DU193" s="533"/>
      <c r="DV193" s="533"/>
      <c r="DW193" s="533"/>
      <c r="DX193" s="533"/>
      <c r="DY193" s="533"/>
      <c r="DZ193" s="533"/>
      <c r="EA193" s="533"/>
      <c r="EB193" s="533"/>
      <c r="EC193" s="533"/>
      <c r="ED193" s="533"/>
      <c r="EE193" s="533"/>
      <c r="EF193" s="533"/>
      <c r="EG193" s="533"/>
      <c r="EH193" s="533"/>
      <c r="EI193" s="533"/>
      <c r="EJ193" s="533"/>
      <c r="EK193" s="533"/>
      <c r="EL193" s="533"/>
      <c r="EM193" s="533"/>
      <c r="EN193" s="533"/>
      <c r="EO193" s="533"/>
      <c r="EP193" s="533"/>
      <c r="EQ193" s="533"/>
      <c r="ER193" s="533"/>
      <c r="ES193" s="533"/>
      <c r="ET193" s="533"/>
      <c r="EU193" s="533"/>
      <c r="EV193" s="533"/>
      <c r="EW193" s="533"/>
      <c r="EX193" s="533"/>
      <c r="EY193" s="533"/>
      <c r="EZ193" s="533"/>
      <c r="FA193" s="533"/>
      <c r="FB193" s="533"/>
      <c r="FC193" s="533"/>
      <c r="FD193" s="533"/>
      <c r="FE193" s="533"/>
      <c r="FF193" s="533"/>
      <c r="FG193" s="533"/>
      <c r="FH193" s="533"/>
      <c r="FI193" s="533"/>
      <c r="FJ193" s="533"/>
      <c r="FK193" s="533"/>
      <c r="FL193" s="533"/>
      <c r="FM193" s="533"/>
      <c r="FN193" s="533"/>
      <c r="FO193" s="533"/>
      <c r="FP193" s="533"/>
      <c r="FQ193" s="533"/>
      <c r="FR193" s="533"/>
      <c r="FS193" s="533"/>
      <c r="FT193" s="533"/>
      <c r="FU193" s="533"/>
      <c r="FV193" s="533"/>
      <c r="FW193" s="533"/>
      <c r="FX193" s="533"/>
      <c r="FY193" s="533"/>
      <c r="FZ193" s="533"/>
      <c r="GA193" s="533"/>
      <c r="GB193" s="533"/>
      <c r="GC193" s="533"/>
      <c r="GD193" s="533"/>
      <c r="GE193" s="533"/>
      <c r="GF193" s="533"/>
      <c r="GG193" s="533"/>
      <c r="GH193" s="533"/>
      <c r="GI193" s="533"/>
      <c r="GJ193" s="533"/>
      <c r="GK193" s="533"/>
      <c r="GL193" s="533"/>
      <c r="GM193" s="533"/>
      <c r="GN193" s="533"/>
      <c r="GO193" s="533"/>
      <c r="GP193" s="533"/>
      <c r="GQ193" s="533"/>
      <c r="GR193" s="533"/>
      <c r="GS193" s="533"/>
      <c r="GT193" s="533"/>
      <c r="GU193" s="533"/>
      <c r="GV193" s="533"/>
      <c r="GW193" s="533"/>
      <c r="GX193" s="533"/>
      <c r="GY193" s="533"/>
      <c r="GZ193" s="533"/>
      <c r="HA193" s="533"/>
      <c r="HB193" s="534"/>
    </row>
    <row r="194" spans="1:210" ht="19.8">
      <c r="A194" s="164"/>
      <c r="B194" s="306" t="s">
        <v>1476</v>
      </c>
      <c r="C194" s="503"/>
      <c r="D194" s="503"/>
      <c r="E194" s="503"/>
      <c r="F194" s="503"/>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c r="AF194" s="326"/>
      <c r="AG194" s="326"/>
      <c r="AH194" s="326"/>
      <c r="AI194" s="326"/>
      <c r="AJ194" s="326"/>
      <c r="AK194" s="326"/>
      <c r="AL194" s="326"/>
      <c r="AM194" s="326"/>
      <c r="AN194" s="326"/>
      <c r="AO194" s="531"/>
      <c r="AP194" s="531"/>
      <c r="AQ194" s="532"/>
      <c r="AR194" s="532"/>
      <c r="AS194" s="532"/>
      <c r="AT194" s="532"/>
      <c r="AU194" s="532"/>
      <c r="AV194" s="532"/>
      <c r="AW194" s="326"/>
      <c r="AX194" s="326"/>
      <c r="AY194" s="326"/>
      <c r="AZ194" s="326"/>
      <c r="BA194" s="326"/>
      <c r="BB194" s="326"/>
      <c r="BC194" s="326"/>
      <c r="BD194" s="326"/>
      <c r="BE194" s="326"/>
      <c r="BF194" s="326"/>
      <c r="BG194" s="326"/>
      <c r="BH194" s="326"/>
      <c r="BI194" s="326"/>
      <c r="BJ194" s="326"/>
      <c r="BK194" s="326"/>
      <c r="BL194" s="326"/>
      <c r="BM194" s="326"/>
      <c r="BN194" s="326"/>
      <c r="BO194" s="326"/>
      <c r="BP194" s="326"/>
      <c r="BQ194" s="532"/>
      <c r="BR194" s="532"/>
      <c r="BS194" s="532"/>
      <c r="BT194" s="532"/>
      <c r="BU194" s="532"/>
      <c r="BV194" s="532"/>
      <c r="BW194" s="533"/>
      <c r="BX194" s="533"/>
      <c r="BY194" s="533"/>
      <c r="BZ194" s="533"/>
      <c r="CA194" s="533"/>
      <c r="CB194" s="533"/>
      <c r="CC194" s="533"/>
      <c r="CD194" s="533"/>
      <c r="CE194" s="533"/>
      <c r="CF194" s="533"/>
      <c r="CG194" s="533"/>
      <c r="CH194" s="533"/>
      <c r="CI194" s="533"/>
      <c r="CJ194" s="533"/>
      <c r="CK194" s="533"/>
      <c r="CL194" s="533"/>
      <c r="CM194" s="533"/>
      <c r="CN194" s="533"/>
      <c r="CO194" s="533"/>
      <c r="CP194" s="533"/>
      <c r="CQ194" s="533"/>
      <c r="CR194" s="533"/>
      <c r="CS194" s="533"/>
      <c r="CT194" s="533"/>
      <c r="CU194" s="533"/>
      <c r="CV194" s="533"/>
      <c r="CW194" s="533"/>
      <c r="CX194" s="533"/>
      <c r="CY194" s="533"/>
      <c r="CZ194" s="533"/>
      <c r="DA194" s="533"/>
      <c r="DB194" s="533"/>
      <c r="DC194" s="533"/>
      <c r="DD194" s="533"/>
      <c r="DE194" s="533"/>
      <c r="DF194" s="533"/>
      <c r="DG194" s="533"/>
      <c r="DH194" s="533"/>
      <c r="DI194" s="533"/>
      <c r="DJ194" s="533"/>
      <c r="DK194" s="533"/>
      <c r="DL194" s="533"/>
      <c r="DM194" s="533"/>
      <c r="DN194" s="533"/>
      <c r="DO194" s="533"/>
      <c r="DP194" s="533"/>
      <c r="DQ194" s="533"/>
      <c r="DR194" s="533"/>
      <c r="DS194" s="533"/>
      <c r="DT194" s="533"/>
      <c r="DU194" s="533"/>
      <c r="DV194" s="533"/>
      <c r="DW194" s="533"/>
      <c r="DX194" s="533"/>
      <c r="DY194" s="533"/>
      <c r="DZ194" s="533"/>
      <c r="EA194" s="533"/>
      <c r="EB194" s="533"/>
      <c r="EC194" s="533"/>
      <c r="ED194" s="533"/>
      <c r="EE194" s="533"/>
      <c r="EF194" s="533"/>
      <c r="EG194" s="533"/>
      <c r="EH194" s="533"/>
      <c r="EI194" s="533"/>
      <c r="EJ194" s="533"/>
      <c r="EK194" s="533"/>
      <c r="EL194" s="533"/>
      <c r="EM194" s="533"/>
      <c r="EN194" s="533"/>
      <c r="EO194" s="533"/>
      <c r="EP194" s="533"/>
      <c r="EQ194" s="533"/>
      <c r="ER194" s="533"/>
      <c r="ES194" s="533"/>
      <c r="ET194" s="533"/>
      <c r="EU194" s="533"/>
      <c r="EV194" s="533"/>
      <c r="EW194" s="533"/>
      <c r="EX194" s="533"/>
      <c r="EY194" s="533"/>
      <c r="EZ194" s="533"/>
      <c r="FA194" s="533"/>
      <c r="FB194" s="533"/>
      <c r="FC194" s="533"/>
      <c r="FD194" s="533"/>
      <c r="FE194" s="533"/>
      <c r="FF194" s="533"/>
      <c r="FG194" s="533"/>
      <c r="FH194" s="533"/>
      <c r="FI194" s="533"/>
      <c r="FJ194" s="533"/>
      <c r="FK194" s="533"/>
      <c r="FL194" s="533"/>
      <c r="FM194" s="533"/>
      <c r="FN194" s="533"/>
      <c r="FO194" s="533"/>
      <c r="FP194" s="533"/>
      <c r="FQ194" s="533"/>
      <c r="FR194" s="533"/>
      <c r="FS194" s="533"/>
      <c r="FT194" s="533"/>
      <c r="FU194" s="533"/>
      <c r="FV194" s="533"/>
      <c r="FW194" s="533"/>
      <c r="FX194" s="533"/>
      <c r="FY194" s="533"/>
      <c r="FZ194" s="533"/>
      <c r="GA194" s="533"/>
      <c r="GB194" s="533"/>
      <c r="GC194" s="533"/>
      <c r="GD194" s="533"/>
      <c r="GE194" s="533"/>
      <c r="GF194" s="533"/>
      <c r="GG194" s="533"/>
      <c r="GH194" s="533"/>
      <c r="GI194" s="533"/>
      <c r="GJ194" s="533"/>
      <c r="GK194" s="533"/>
      <c r="GL194" s="533"/>
      <c r="GM194" s="533"/>
      <c r="GN194" s="533"/>
      <c r="GO194" s="533"/>
      <c r="GP194" s="533"/>
      <c r="GQ194" s="533"/>
      <c r="GR194" s="533"/>
      <c r="GS194" s="533"/>
      <c r="GT194" s="533"/>
      <c r="GU194" s="533"/>
      <c r="GV194" s="533"/>
      <c r="GW194" s="533"/>
      <c r="GX194" s="533"/>
      <c r="GY194" s="533"/>
      <c r="GZ194" s="533"/>
      <c r="HA194" s="533"/>
      <c r="HB194" s="534"/>
    </row>
    <row r="195" spans="1:210" ht="19.8">
      <c r="A195" s="164"/>
      <c r="B195" s="306" t="s">
        <v>1477</v>
      </c>
      <c r="C195" s="503"/>
      <c r="D195" s="503"/>
      <c r="E195" s="503"/>
      <c r="F195" s="503"/>
      <c r="G195" s="326"/>
      <c r="H195" s="326"/>
      <c r="I195" s="326"/>
      <c r="J195" s="326"/>
      <c r="K195" s="326"/>
      <c r="L195" s="326"/>
      <c r="M195" s="326"/>
      <c r="N195" s="326"/>
      <c r="O195" s="326"/>
      <c r="P195" s="326"/>
      <c r="Q195" s="326"/>
      <c r="R195" s="326"/>
      <c r="S195" s="326"/>
      <c r="T195" s="326"/>
      <c r="U195" s="326"/>
      <c r="V195" s="326"/>
      <c r="W195" s="326"/>
      <c r="X195" s="326"/>
      <c r="Y195" s="326"/>
      <c r="Z195" s="326"/>
      <c r="AA195" s="326"/>
      <c r="AB195" s="326"/>
      <c r="AC195" s="326"/>
      <c r="AD195" s="326"/>
      <c r="AE195" s="326"/>
      <c r="AF195" s="326"/>
      <c r="AG195" s="326"/>
      <c r="AH195" s="326"/>
      <c r="AI195" s="326"/>
      <c r="AJ195" s="326"/>
      <c r="AK195" s="326"/>
      <c r="AL195" s="326"/>
      <c r="AM195" s="326"/>
      <c r="AN195" s="326"/>
      <c r="AO195" s="531"/>
      <c r="AP195" s="531"/>
      <c r="AQ195" s="532"/>
      <c r="AR195" s="532"/>
      <c r="AS195" s="532"/>
      <c r="AT195" s="532"/>
      <c r="AU195" s="532"/>
      <c r="AV195" s="532"/>
      <c r="AW195" s="326"/>
      <c r="AX195" s="326"/>
      <c r="AY195" s="326"/>
      <c r="AZ195" s="326"/>
      <c r="BA195" s="326"/>
      <c r="BB195" s="326"/>
      <c r="BC195" s="326"/>
      <c r="BD195" s="326"/>
      <c r="BE195" s="326"/>
      <c r="BF195" s="326"/>
      <c r="BG195" s="326"/>
      <c r="BH195" s="326"/>
      <c r="BI195" s="326"/>
      <c r="BJ195" s="326"/>
      <c r="BK195" s="326"/>
      <c r="BL195" s="326"/>
      <c r="BM195" s="326"/>
      <c r="BN195" s="326"/>
      <c r="BO195" s="326"/>
      <c r="BP195" s="326"/>
      <c r="BQ195" s="532"/>
      <c r="BR195" s="532"/>
      <c r="BS195" s="532"/>
      <c r="BT195" s="532"/>
      <c r="BU195" s="532"/>
      <c r="BV195" s="532"/>
      <c r="BW195" s="533"/>
      <c r="BX195" s="533"/>
      <c r="BY195" s="533"/>
      <c r="BZ195" s="533"/>
      <c r="CA195" s="533"/>
      <c r="CB195" s="533"/>
      <c r="CC195" s="533"/>
      <c r="CD195" s="533"/>
      <c r="CE195" s="533"/>
      <c r="CF195" s="533"/>
      <c r="CG195" s="533"/>
      <c r="CH195" s="533"/>
      <c r="CI195" s="533"/>
      <c r="CJ195" s="533"/>
      <c r="CK195" s="533"/>
      <c r="CL195" s="533"/>
      <c r="CM195" s="533"/>
      <c r="CN195" s="533"/>
      <c r="CO195" s="533"/>
      <c r="CP195" s="533"/>
      <c r="CQ195" s="533"/>
      <c r="CR195" s="533"/>
      <c r="CS195" s="533"/>
      <c r="CT195" s="533"/>
      <c r="CU195" s="533"/>
      <c r="CV195" s="533"/>
      <c r="CW195" s="533"/>
      <c r="CX195" s="533"/>
      <c r="CY195" s="533"/>
      <c r="CZ195" s="533"/>
      <c r="DA195" s="533"/>
      <c r="DB195" s="533"/>
      <c r="DC195" s="533"/>
      <c r="DD195" s="533"/>
      <c r="DE195" s="533"/>
      <c r="DF195" s="533"/>
      <c r="DG195" s="533"/>
      <c r="DH195" s="533"/>
      <c r="DI195" s="533"/>
      <c r="DJ195" s="533"/>
      <c r="DK195" s="533"/>
      <c r="DL195" s="533"/>
      <c r="DM195" s="533"/>
      <c r="DN195" s="533"/>
      <c r="DO195" s="533"/>
      <c r="DP195" s="533"/>
      <c r="DQ195" s="533"/>
      <c r="DR195" s="533"/>
      <c r="DS195" s="533"/>
      <c r="DT195" s="533"/>
      <c r="DU195" s="533"/>
      <c r="DV195" s="533"/>
      <c r="DW195" s="533"/>
      <c r="DX195" s="533"/>
      <c r="DY195" s="533"/>
      <c r="DZ195" s="533"/>
      <c r="EA195" s="533"/>
      <c r="EB195" s="533"/>
      <c r="EC195" s="533"/>
      <c r="ED195" s="533"/>
      <c r="EE195" s="533"/>
      <c r="EF195" s="533"/>
      <c r="EG195" s="533"/>
      <c r="EH195" s="533"/>
      <c r="EI195" s="533"/>
      <c r="EJ195" s="533"/>
      <c r="EK195" s="533"/>
      <c r="EL195" s="533"/>
      <c r="EM195" s="533"/>
      <c r="EN195" s="533"/>
      <c r="EO195" s="533"/>
      <c r="EP195" s="533"/>
      <c r="EQ195" s="533"/>
      <c r="ER195" s="533"/>
      <c r="ES195" s="533"/>
      <c r="ET195" s="533"/>
      <c r="EU195" s="533"/>
      <c r="EV195" s="533"/>
      <c r="EW195" s="533"/>
      <c r="EX195" s="533"/>
      <c r="EY195" s="533"/>
      <c r="EZ195" s="533"/>
      <c r="FA195" s="533"/>
      <c r="FB195" s="533"/>
      <c r="FC195" s="533"/>
      <c r="FD195" s="533"/>
      <c r="FE195" s="533"/>
      <c r="FF195" s="533"/>
      <c r="FG195" s="533"/>
      <c r="FH195" s="533"/>
      <c r="FI195" s="533"/>
      <c r="FJ195" s="533"/>
      <c r="FK195" s="533"/>
      <c r="FL195" s="533"/>
      <c r="FM195" s="533"/>
      <c r="FN195" s="533"/>
      <c r="FO195" s="533"/>
      <c r="FP195" s="533"/>
      <c r="FQ195" s="533"/>
      <c r="FR195" s="533"/>
      <c r="FS195" s="533"/>
      <c r="FT195" s="533"/>
      <c r="FU195" s="533"/>
      <c r="FV195" s="533"/>
      <c r="FW195" s="533"/>
      <c r="FX195" s="533"/>
      <c r="FY195" s="533"/>
      <c r="FZ195" s="533"/>
      <c r="GA195" s="533"/>
      <c r="GB195" s="533"/>
      <c r="GC195" s="533"/>
      <c r="GD195" s="533"/>
      <c r="GE195" s="533"/>
      <c r="GF195" s="533"/>
      <c r="GG195" s="533"/>
      <c r="GH195" s="533"/>
      <c r="GI195" s="533"/>
      <c r="GJ195" s="533"/>
      <c r="GK195" s="533"/>
      <c r="GL195" s="533"/>
      <c r="GM195" s="533"/>
      <c r="GN195" s="533"/>
      <c r="GO195" s="533"/>
      <c r="GP195" s="533"/>
      <c r="GQ195" s="533"/>
      <c r="GR195" s="533"/>
      <c r="GS195" s="533"/>
      <c r="GT195" s="533"/>
      <c r="GU195" s="533"/>
      <c r="GV195" s="533"/>
      <c r="GW195" s="533"/>
      <c r="GX195" s="533"/>
      <c r="GY195" s="533"/>
      <c r="GZ195" s="533"/>
      <c r="HA195" s="533"/>
      <c r="HB195" s="534"/>
    </row>
    <row r="196" spans="1:210" ht="19.8">
      <c r="A196" s="164"/>
      <c r="B196" s="306" t="s">
        <v>1478</v>
      </c>
      <c r="C196" s="503"/>
      <c r="D196" s="503"/>
      <c r="E196" s="503"/>
      <c r="F196" s="503"/>
      <c r="G196" s="326"/>
      <c r="H196" s="326"/>
      <c r="I196" s="326"/>
      <c r="J196" s="326"/>
      <c r="K196" s="326"/>
      <c r="L196" s="326"/>
      <c r="M196" s="326"/>
      <c r="N196" s="326"/>
      <c r="O196" s="326"/>
      <c r="P196" s="326"/>
      <c r="Q196" s="326"/>
      <c r="R196" s="326"/>
      <c r="S196" s="326"/>
      <c r="T196" s="326"/>
      <c r="U196" s="326"/>
      <c r="V196" s="326"/>
      <c r="W196" s="326"/>
      <c r="X196" s="326"/>
      <c r="Y196" s="326"/>
      <c r="Z196" s="326"/>
      <c r="AA196" s="326"/>
      <c r="AB196" s="326"/>
      <c r="AC196" s="326"/>
      <c r="AD196" s="326"/>
      <c r="AE196" s="326"/>
      <c r="AF196" s="326"/>
      <c r="AG196" s="326"/>
      <c r="AH196" s="326"/>
      <c r="AI196" s="326"/>
      <c r="AJ196" s="326"/>
      <c r="AK196" s="326"/>
      <c r="AL196" s="326"/>
      <c r="AM196" s="326"/>
      <c r="AN196" s="326"/>
      <c r="AO196" s="531"/>
      <c r="AP196" s="531"/>
      <c r="AQ196" s="532"/>
      <c r="AR196" s="532"/>
      <c r="AS196" s="532"/>
      <c r="AT196" s="532"/>
      <c r="AU196" s="532"/>
      <c r="AV196" s="532"/>
      <c r="AW196" s="326"/>
      <c r="AX196" s="326"/>
      <c r="AY196" s="326"/>
      <c r="AZ196" s="326"/>
      <c r="BA196" s="326"/>
      <c r="BB196" s="326"/>
      <c r="BC196" s="326"/>
      <c r="BD196" s="326"/>
      <c r="BE196" s="326"/>
      <c r="BF196" s="326"/>
      <c r="BG196" s="326"/>
      <c r="BH196" s="326"/>
      <c r="BI196" s="326"/>
      <c r="BJ196" s="326"/>
      <c r="BK196" s="326"/>
      <c r="BL196" s="326"/>
      <c r="BM196" s="326"/>
      <c r="BN196" s="326"/>
      <c r="BO196" s="326"/>
      <c r="BP196" s="326"/>
      <c r="BQ196" s="532"/>
      <c r="BR196" s="532"/>
      <c r="BS196" s="532"/>
      <c r="BT196" s="532"/>
      <c r="BU196" s="532"/>
      <c r="BV196" s="532"/>
      <c r="BW196" s="533"/>
      <c r="BX196" s="533"/>
      <c r="BY196" s="533"/>
      <c r="BZ196" s="533"/>
      <c r="CA196" s="533"/>
      <c r="CB196" s="533"/>
      <c r="CC196" s="533"/>
      <c r="CD196" s="533"/>
      <c r="CE196" s="533"/>
      <c r="CF196" s="533"/>
      <c r="CG196" s="533"/>
      <c r="CH196" s="533"/>
      <c r="CI196" s="533"/>
      <c r="CJ196" s="533"/>
      <c r="CK196" s="533"/>
      <c r="CL196" s="533"/>
      <c r="CM196" s="533"/>
      <c r="CN196" s="533"/>
      <c r="CO196" s="533"/>
      <c r="CP196" s="533"/>
      <c r="CQ196" s="533"/>
      <c r="CR196" s="533"/>
      <c r="CS196" s="533"/>
      <c r="CT196" s="533"/>
      <c r="CU196" s="533"/>
      <c r="CV196" s="533"/>
      <c r="CW196" s="533"/>
      <c r="CX196" s="533"/>
      <c r="CY196" s="533"/>
      <c r="CZ196" s="533"/>
      <c r="DA196" s="533"/>
      <c r="DB196" s="533"/>
      <c r="DC196" s="533"/>
      <c r="DD196" s="533"/>
      <c r="DE196" s="533"/>
      <c r="DF196" s="533"/>
      <c r="DG196" s="533"/>
      <c r="DH196" s="533"/>
      <c r="DI196" s="533"/>
      <c r="DJ196" s="533"/>
      <c r="DK196" s="533"/>
      <c r="DL196" s="533"/>
      <c r="DM196" s="533"/>
      <c r="DN196" s="533"/>
      <c r="DO196" s="533"/>
      <c r="DP196" s="533"/>
      <c r="DQ196" s="533"/>
      <c r="DR196" s="533"/>
      <c r="DS196" s="533"/>
      <c r="DT196" s="533"/>
      <c r="DU196" s="533"/>
      <c r="DV196" s="533"/>
      <c r="DW196" s="533"/>
      <c r="DX196" s="533"/>
      <c r="DY196" s="533"/>
      <c r="DZ196" s="533"/>
      <c r="EA196" s="533"/>
      <c r="EB196" s="533"/>
      <c r="EC196" s="533"/>
      <c r="ED196" s="533"/>
      <c r="EE196" s="533"/>
      <c r="EF196" s="533"/>
      <c r="EG196" s="533"/>
      <c r="EH196" s="533"/>
      <c r="EI196" s="533"/>
      <c r="EJ196" s="533"/>
      <c r="EK196" s="533"/>
      <c r="EL196" s="533"/>
      <c r="EM196" s="533"/>
      <c r="EN196" s="533"/>
      <c r="EO196" s="533"/>
      <c r="EP196" s="533"/>
      <c r="EQ196" s="533"/>
      <c r="ER196" s="533"/>
      <c r="ES196" s="533"/>
      <c r="ET196" s="533"/>
      <c r="EU196" s="533"/>
      <c r="EV196" s="533"/>
      <c r="EW196" s="533"/>
      <c r="EX196" s="533"/>
      <c r="EY196" s="533"/>
      <c r="EZ196" s="533"/>
      <c r="FA196" s="533"/>
      <c r="FB196" s="533"/>
      <c r="FC196" s="533"/>
      <c r="FD196" s="533"/>
      <c r="FE196" s="533"/>
      <c r="FF196" s="533"/>
      <c r="FG196" s="533"/>
      <c r="FH196" s="533"/>
      <c r="FI196" s="533"/>
      <c r="FJ196" s="533"/>
      <c r="FK196" s="533"/>
      <c r="FL196" s="533"/>
      <c r="FM196" s="533"/>
      <c r="FN196" s="533"/>
      <c r="FO196" s="533"/>
      <c r="FP196" s="533"/>
      <c r="FQ196" s="533"/>
      <c r="FR196" s="533"/>
      <c r="FS196" s="533"/>
      <c r="FT196" s="533"/>
      <c r="FU196" s="533"/>
      <c r="FV196" s="533"/>
      <c r="FW196" s="533"/>
      <c r="FX196" s="533"/>
      <c r="FY196" s="533"/>
      <c r="FZ196" s="533"/>
      <c r="GA196" s="533"/>
      <c r="GB196" s="533"/>
      <c r="GC196" s="533"/>
      <c r="GD196" s="533"/>
      <c r="GE196" s="533"/>
      <c r="GF196" s="533"/>
      <c r="GG196" s="533"/>
      <c r="GH196" s="533"/>
      <c r="GI196" s="533"/>
      <c r="GJ196" s="533"/>
      <c r="GK196" s="533"/>
      <c r="GL196" s="533"/>
      <c r="GM196" s="533"/>
      <c r="GN196" s="533"/>
      <c r="GO196" s="533"/>
      <c r="GP196" s="533"/>
      <c r="GQ196" s="533"/>
      <c r="GR196" s="533"/>
      <c r="GS196" s="533"/>
      <c r="GT196" s="533"/>
      <c r="GU196" s="533"/>
      <c r="GV196" s="533"/>
      <c r="GW196" s="533"/>
      <c r="GX196" s="533"/>
      <c r="GY196" s="533"/>
      <c r="GZ196" s="533"/>
      <c r="HA196" s="533"/>
      <c r="HB196" s="534"/>
    </row>
    <row r="197" spans="1:210" ht="19.8">
      <c r="A197" s="164"/>
      <c r="B197" s="306" t="s">
        <v>1479</v>
      </c>
      <c r="C197" s="503"/>
      <c r="D197" s="503"/>
      <c r="E197" s="503"/>
      <c r="F197" s="503"/>
      <c r="G197" s="326"/>
      <c r="H197" s="326"/>
      <c r="I197" s="326"/>
      <c r="J197" s="326"/>
      <c r="K197" s="326"/>
      <c r="L197" s="326"/>
      <c r="M197" s="326"/>
      <c r="N197" s="326"/>
      <c r="O197" s="326"/>
      <c r="P197" s="326"/>
      <c r="Q197" s="326"/>
      <c r="R197" s="326"/>
      <c r="S197" s="326"/>
      <c r="T197" s="326"/>
      <c r="U197" s="326"/>
      <c r="V197" s="326"/>
      <c r="W197" s="326"/>
      <c r="X197" s="326"/>
      <c r="Y197" s="326"/>
      <c r="Z197" s="326"/>
      <c r="AA197" s="326"/>
      <c r="AB197" s="326"/>
      <c r="AC197" s="326"/>
      <c r="AD197" s="326"/>
      <c r="AE197" s="326"/>
      <c r="AF197" s="326"/>
      <c r="AG197" s="326"/>
      <c r="AH197" s="326"/>
      <c r="AI197" s="326"/>
      <c r="AJ197" s="326"/>
      <c r="AK197" s="326"/>
      <c r="AL197" s="326"/>
      <c r="AM197" s="326"/>
      <c r="AN197" s="326"/>
      <c r="AO197" s="531"/>
      <c r="AP197" s="531"/>
      <c r="AQ197" s="532"/>
      <c r="AR197" s="532"/>
      <c r="AS197" s="532"/>
      <c r="AT197" s="532"/>
      <c r="AU197" s="532"/>
      <c r="AV197" s="532"/>
      <c r="AW197" s="326"/>
      <c r="AX197" s="326"/>
      <c r="AY197" s="326"/>
      <c r="AZ197" s="326"/>
      <c r="BA197" s="326"/>
      <c r="BB197" s="326"/>
      <c r="BC197" s="326"/>
      <c r="BD197" s="326"/>
      <c r="BE197" s="326"/>
      <c r="BF197" s="326"/>
      <c r="BG197" s="326"/>
      <c r="BH197" s="326"/>
      <c r="BI197" s="326"/>
      <c r="BJ197" s="326"/>
      <c r="BK197" s="326"/>
      <c r="BL197" s="326"/>
      <c r="BM197" s="326"/>
      <c r="BN197" s="326"/>
      <c r="BO197" s="326"/>
      <c r="BP197" s="326"/>
      <c r="BQ197" s="532"/>
      <c r="BR197" s="532"/>
      <c r="BS197" s="532"/>
      <c r="BT197" s="532"/>
      <c r="BU197" s="532"/>
      <c r="BV197" s="532"/>
      <c r="BW197" s="533"/>
      <c r="BX197" s="533"/>
      <c r="BY197" s="533"/>
      <c r="BZ197" s="533"/>
      <c r="CA197" s="533"/>
      <c r="CB197" s="533"/>
      <c r="CC197" s="533"/>
      <c r="CD197" s="533"/>
      <c r="CE197" s="533"/>
      <c r="CF197" s="533"/>
      <c r="CG197" s="533"/>
      <c r="CH197" s="533"/>
      <c r="CI197" s="533"/>
      <c r="CJ197" s="533"/>
      <c r="CK197" s="533"/>
      <c r="CL197" s="533"/>
      <c r="CM197" s="533"/>
      <c r="CN197" s="533"/>
      <c r="CO197" s="533"/>
      <c r="CP197" s="533"/>
      <c r="CQ197" s="533"/>
      <c r="CR197" s="533"/>
      <c r="CS197" s="533"/>
      <c r="CT197" s="533"/>
      <c r="CU197" s="533"/>
      <c r="CV197" s="533"/>
      <c r="CW197" s="533"/>
      <c r="CX197" s="533"/>
      <c r="CY197" s="533"/>
      <c r="CZ197" s="533"/>
      <c r="DA197" s="533"/>
      <c r="DB197" s="533"/>
      <c r="DC197" s="533"/>
      <c r="DD197" s="533"/>
      <c r="DE197" s="533"/>
      <c r="DF197" s="533"/>
      <c r="DG197" s="533"/>
      <c r="DH197" s="533"/>
      <c r="DI197" s="533"/>
      <c r="DJ197" s="533"/>
      <c r="DK197" s="533"/>
      <c r="DL197" s="533"/>
      <c r="DM197" s="533"/>
      <c r="DN197" s="533"/>
      <c r="DO197" s="533"/>
      <c r="DP197" s="533"/>
      <c r="DQ197" s="533"/>
      <c r="DR197" s="533"/>
      <c r="DS197" s="533"/>
      <c r="DT197" s="533"/>
      <c r="DU197" s="533"/>
      <c r="DV197" s="533"/>
      <c r="DW197" s="533"/>
      <c r="DX197" s="533"/>
      <c r="DY197" s="533"/>
      <c r="DZ197" s="533"/>
      <c r="EA197" s="533"/>
      <c r="EB197" s="533"/>
      <c r="EC197" s="533"/>
      <c r="ED197" s="533"/>
      <c r="EE197" s="533"/>
      <c r="EF197" s="533"/>
      <c r="EG197" s="533"/>
      <c r="EH197" s="533"/>
      <c r="EI197" s="533"/>
      <c r="EJ197" s="533"/>
      <c r="EK197" s="533"/>
      <c r="EL197" s="533"/>
      <c r="EM197" s="533"/>
      <c r="EN197" s="533"/>
      <c r="EO197" s="533"/>
      <c r="EP197" s="533"/>
      <c r="EQ197" s="533"/>
      <c r="ER197" s="533"/>
      <c r="ES197" s="533"/>
      <c r="ET197" s="533"/>
      <c r="EU197" s="533"/>
      <c r="EV197" s="533"/>
      <c r="EW197" s="533"/>
      <c r="EX197" s="533"/>
      <c r="EY197" s="533"/>
      <c r="EZ197" s="533"/>
      <c r="FA197" s="533"/>
      <c r="FB197" s="533"/>
      <c r="FC197" s="533"/>
      <c r="FD197" s="533"/>
      <c r="FE197" s="533"/>
      <c r="FF197" s="533"/>
      <c r="FG197" s="533"/>
      <c r="FH197" s="533"/>
      <c r="FI197" s="533"/>
      <c r="FJ197" s="533"/>
      <c r="FK197" s="533"/>
      <c r="FL197" s="533"/>
      <c r="FM197" s="533"/>
      <c r="FN197" s="533"/>
      <c r="FO197" s="533"/>
      <c r="FP197" s="533"/>
      <c r="FQ197" s="533"/>
      <c r="FR197" s="533"/>
      <c r="FS197" s="533"/>
      <c r="FT197" s="533"/>
      <c r="FU197" s="533"/>
      <c r="FV197" s="533"/>
      <c r="FW197" s="533"/>
      <c r="FX197" s="533"/>
      <c r="FY197" s="533"/>
      <c r="FZ197" s="533"/>
      <c r="GA197" s="533"/>
      <c r="GB197" s="533"/>
      <c r="GC197" s="533"/>
      <c r="GD197" s="533"/>
      <c r="GE197" s="533"/>
      <c r="GF197" s="533"/>
      <c r="GG197" s="533"/>
      <c r="GH197" s="533"/>
      <c r="GI197" s="533"/>
      <c r="GJ197" s="533"/>
      <c r="GK197" s="533"/>
      <c r="GL197" s="533"/>
      <c r="GM197" s="533"/>
      <c r="GN197" s="533"/>
      <c r="GO197" s="533"/>
      <c r="GP197" s="533"/>
      <c r="GQ197" s="533"/>
      <c r="GR197" s="533"/>
      <c r="GS197" s="533"/>
      <c r="GT197" s="533"/>
      <c r="GU197" s="533"/>
      <c r="GV197" s="533"/>
      <c r="GW197" s="533"/>
      <c r="GX197" s="533"/>
      <c r="GY197" s="533"/>
      <c r="GZ197" s="533"/>
      <c r="HA197" s="533"/>
      <c r="HB197" s="534"/>
    </row>
    <row r="198" spans="1:210" ht="19.8">
      <c r="A198" s="164"/>
      <c r="B198" s="306" t="s">
        <v>1480</v>
      </c>
      <c r="C198" s="503"/>
      <c r="D198" s="503"/>
      <c r="E198" s="503"/>
      <c r="F198" s="503"/>
      <c r="G198" s="326"/>
      <c r="H198" s="326"/>
      <c r="I198" s="326"/>
      <c r="J198" s="326"/>
      <c r="K198" s="326"/>
      <c r="L198" s="326"/>
      <c r="M198" s="326"/>
      <c r="N198" s="326"/>
      <c r="O198" s="326"/>
      <c r="P198" s="326"/>
      <c r="Q198" s="326"/>
      <c r="R198" s="326"/>
      <c r="S198" s="326"/>
      <c r="T198" s="326"/>
      <c r="U198" s="326"/>
      <c r="V198" s="326"/>
      <c r="W198" s="326"/>
      <c r="X198" s="326"/>
      <c r="Y198" s="326"/>
      <c r="Z198" s="326"/>
      <c r="AA198" s="326"/>
      <c r="AB198" s="326"/>
      <c r="AC198" s="326"/>
      <c r="AD198" s="326"/>
      <c r="AE198" s="326"/>
      <c r="AF198" s="326"/>
      <c r="AG198" s="326"/>
      <c r="AH198" s="326"/>
      <c r="AI198" s="326"/>
      <c r="AJ198" s="326"/>
      <c r="AK198" s="326"/>
      <c r="AL198" s="326"/>
      <c r="AM198" s="326"/>
      <c r="AN198" s="326"/>
      <c r="AO198" s="531"/>
      <c r="AP198" s="531"/>
      <c r="AQ198" s="532"/>
      <c r="AR198" s="532"/>
      <c r="AS198" s="532"/>
      <c r="AT198" s="532"/>
      <c r="AU198" s="532"/>
      <c r="AV198" s="532"/>
      <c r="AW198" s="326"/>
      <c r="AX198" s="326"/>
      <c r="AY198" s="326"/>
      <c r="AZ198" s="326"/>
      <c r="BA198" s="326"/>
      <c r="BB198" s="326"/>
      <c r="BC198" s="326"/>
      <c r="BD198" s="326"/>
      <c r="BE198" s="326"/>
      <c r="BF198" s="326"/>
      <c r="BG198" s="326"/>
      <c r="BH198" s="326"/>
      <c r="BI198" s="326"/>
      <c r="BJ198" s="326"/>
      <c r="BK198" s="326"/>
      <c r="BL198" s="326"/>
      <c r="BM198" s="326"/>
      <c r="BN198" s="326"/>
      <c r="BO198" s="326"/>
      <c r="BP198" s="326"/>
      <c r="BQ198" s="532"/>
      <c r="BR198" s="532"/>
      <c r="BS198" s="532"/>
      <c r="BT198" s="532"/>
      <c r="BU198" s="532"/>
      <c r="BV198" s="532"/>
      <c r="BW198" s="533"/>
      <c r="BX198" s="533"/>
      <c r="BY198" s="533"/>
      <c r="BZ198" s="533"/>
      <c r="CA198" s="533"/>
      <c r="CB198" s="533"/>
      <c r="CC198" s="533"/>
      <c r="CD198" s="533"/>
      <c r="CE198" s="533"/>
      <c r="CF198" s="533"/>
      <c r="CG198" s="533"/>
      <c r="CH198" s="533"/>
      <c r="CI198" s="533"/>
      <c r="CJ198" s="533"/>
      <c r="CK198" s="533"/>
      <c r="CL198" s="533"/>
      <c r="CM198" s="533"/>
      <c r="CN198" s="533"/>
      <c r="CO198" s="533"/>
      <c r="CP198" s="533"/>
      <c r="CQ198" s="533"/>
      <c r="CR198" s="533"/>
      <c r="CS198" s="533"/>
      <c r="CT198" s="533"/>
      <c r="CU198" s="533"/>
      <c r="CV198" s="533"/>
      <c r="CW198" s="533"/>
      <c r="CX198" s="533"/>
      <c r="CY198" s="533"/>
      <c r="CZ198" s="533"/>
      <c r="DA198" s="533"/>
      <c r="DB198" s="533"/>
      <c r="DC198" s="533"/>
      <c r="DD198" s="533"/>
      <c r="DE198" s="533"/>
      <c r="DF198" s="533"/>
      <c r="DG198" s="533"/>
      <c r="DH198" s="533"/>
      <c r="DI198" s="533"/>
      <c r="DJ198" s="533"/>
      <c r="DK198" s="533"/>
      <c r="DL198" s="533"/>
      <c r="DM198" s="533"/>
      <c r="DN198" s="533"/>
      <c r="DO198" s="533"/>
      <c r="DP198" s="533"/>
      <c r="DQ198" s="533"/>
      <c r="DR198" s="533"/>
      <c r="DS198" s="533"/>
      <c r="DT198" s="533"/>
      <c r="DU198" s="533"/>
      <c r="DV198" s="533"/>
      <c r="DW198" s="533"/>
      <c r="DX198" s="533"/>
      <c r="DY198" s="533"/>
      <c r="DZ198" s="533"/>
      <c r="EA198" s="533"/>
      <c r="EB198" s="533"/>
      <c r="EC198" s="533"/>
      <c r="ED198" s="533"/>
      <c r="EE198" s="533"/>
      <c r="EF198" s="533"/>
      <c r="EG198" s="533"/>
      <c r="EH198" s="533"/>
      <c r="EI198" s="533"/>
      <c r="EJ198" s="533"/>
      <c r="EK198" s="533"/>
      <c r="EL198" s="533"/>
      <c r="EM198" s="533"/>
      <c r="EN198" s="533"/>
      <c r="EO198" s="533"/>
      <c r="EP198" s="533"/>
      <c r="EQ198" s="533"/>
      <c r="ER198" s="533"/>
      <c r="ES198" s="533"/>
      <c r="ET198" s="533"/>
      <c r="EU198" s="533"/>
      <c r="EV198" s="533"/>
      <c r="EW198" s="533"/>
      <c r="EX198" s="533"/>
      <c r="EY198" s="533"/>
      <c r="EZ198" s="533"/>
      <c r="FA198" s="533"/>
      <c r="FB198" s="533"/>
      <c r="FC198" s="533"/>
      <c r="FD198" s="533"/>
      <c r="FE198" s="533"/>
      <c r="FF198" s="533"/>
      <c r="FG198" s="533"/>
      <c r="FH198" s="533"/>
      <c r="FI198" s="533"/>
      <c r="FJ198" s="533"/>
      <c r="FK198" s="533"/>
      <c r="FL198" s="533"/>
      <c r="FM198" s="533"/>
      <c r="FN198" s="533"/>
      <c r="FO198" s="533"/>
      <c r="FP198" s="533"/>
      <c r="FQ198" s="533"/>
      <c r="FR198" s="533"/>
      <c r="FS198" s="533"/>
      <c r="FT198" s="533"/>
      <c r="FU198" s="533"/>
      <c r="FV198" s="533"/>
      <c r="FW198" s="533"/>
      <c r="FX198" s="533"/>
      <c r="FY198" s="533"/>
      <c r="FZ198" s="533"/>
      <c r="GA198" s="533"/>
      <c r="GB198" s="533"/>
      <c r="GC198" s="533"/>
      <c r="GD198" s="533"/>
      <c r="GE198" s="533"/>
      <c r="GF198" s="533"/>
      <c r="GG198" s="533"/>
      <c r="GH198" s="533"/>
      <c r="GI198" s="533"/>
      <c r="GJ198" s="533"/>
      <c r="GK198" s="533"/>
      <c r="GL198" s="533"/>
      <c r="GM198" s="533"/>
      <c r="GN198" s="533"/>
      <c r="GO198" s="533"/>
      <c r="GP198" s="533"/>
      <c r="GQ198" s="533"/>
      <c r="GR198" s="533"/>
      <c r="GS198" s="533"/>
      <c r="GT198" s="533"/>
      <c r="GU198" s="533"/>
      <c r="GV198" s="533"/>
      <c r="GW198" s="533"/>
      <c r="GX198" s="533"/>
      <c r="GY198" s="533"/>
      <c r="GZ198" s="533"/>
      <c r="HA198" s="533"/>
      <c r="HB198" s="534"/>
    </row>
    <row r="199" spans="1:210" ht="19.8">
      <c r="A199" s="164"/>
      <c r="B199" s="306" t="s">
        <v>1481</v>
      </c>
      <c r="C199" s="503"/>
      <c r="D199" s="503"/>
      <c r="E199" s="503"/>
      <c r="F199" s="503"/>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26"/>
      <c r="AG199" s="326"/>
      <c r="AH199" s="326"/>
      <c r="AI199" s="326"/>
      <c r="AJ199" s="326"/>
      <c r="AK199" s="326"/>
      <c r="AL199" s="326"/>
      <c r="AM199" s="326"/>
      <c r="AN199" s="326"/>
      <c r="AO199" s="531"/>
      <c r="AP199" s="531"/>
      <c r="AQ199" s="532"/>
      <c r="AR199" s="532"/>
      <c r="AS199" s="532"/>
      <c r="AT199" s="532"/>
      <c r="AU199" s="532"/>
      <c r="AV199" s="532"/>
      <c r="AW199" s="326"/>
      <c r="AX199" s="326"/>
      <c r="AY199" s="326"/>
      <c r="AZ199" s="326"/>
      <c r="BA199" s="326"/>
      <c r="BB199" s="326"/>
      <c r="BC199" s="326"/>
      <c r="BD199" s="326"/>
      <c r="BE199" s="326"/>
      <c r="BF199" s="326"/>
      <c r="BG199" s="326"/>
      <c r="BH199" s="326"/>
      <c r="BI199" s="326"/>
      <c r="BJ199" s="326"/>
      <c r="BK199" s="326"/>
      <c r="BL199" s="326"/>
      <c r="BM199" s="326"/>
      <c r="BN199" s="326"/>
      <c r="BO199" s="326"/>
      <c r="BP199" s="326"/>
      <c r="BQ199" s="532"/>
      <c r="BR199" s="532"/>
      <c r="BS199" s="532"/>
      <c r="BT199" s="532"/>
      <c r="BU199" s="532"/>
      <c r="BV199" s="532"/>
      <c r="BW199" s="533"/>
      <c r="BX199" s="533"/>
      <c r="BY199" s="533"/>
      <c r="BZ199" s="533"/>
      <c r="CA199" s="533"/>
      <c r="CB199" s="533"/>
      <c r="CC199" s="533"/>
      <c r="CD199" s="533"/>
      <c r="CE199" s="533"/>
      <c r="CF199" s="533"/>
      <c r="CG199" s="533"/>
      <c r="CH199" s="533"/>
      <c r="CI199" s="533"/>
      <c r="CJ199" s="533"/>
      <c r="CK199" s="533"/>
      <c r="CL199" s="533"/>
      <c r="CM199" s="533"/>
      <c r="CN199" s="533"/>
      <c r="CO199" s="533"/>
      <c r="CP199" s="533"/>
      <c r="CQ199" s="533"/>
      <c r="CR199" s="533"/>
      <c r="CS199" s="533"/>
      <c r="CT199" s="533"/>
      <c r="CU199" s="533"/>
      <c r="CV199" s="533"/>
      <c r="CW199" s="533"/>
      <c r="CX199" s="533"/>
      <c r="CY199" s="533"/>
      <c r="CZ199" s="533"/>
      <c r="DA199" s="533"/>
      <c r="DB199" s="533"/>
      <c r="DC199" s="533"/>
      <c r="DD199" s="533"/>
      <c r="DE199" s="533"/>
      <c r="DF199" s="533"/>
      <c r="DG199" s="533"/>
      <c r="DH199" s="533"/>
      <c r="DI199" s="533"/>
      <c r="DJ199" s="533"/>
      <c r="DK199" s="533"/>
      <c r="DL199" s="533"/>
      <c r="DM199" s="533"/>
      <c r="DN199" s="533"/>
      <c r="DO199" s="533"/>
      <c r="DP199" s="533"/>
      <c r="DQ199" s="533"/>
      <c r="DR199" s="533"/>
      <c r="DS199" s="533"/>
      <c r="DT199" s="533"/>
      <c r="DU199" s="533"/>
      <c r="DV199" s="533"/>
      <c r="DW199" s="533"/>
      <c r="DX199" s="533"/>
      <c r="DY199" s="533"/>
      <c r="DZ199" s="533"/>
      <c r="EA199" s="533"/>
      <c r="EB199" s="533"/>
      <c r="EC199" s="533"/>
      <c r="ED199" s="533"/>
      <c r="EE199" s="533"/>
      <c r="EF199" s="533"/>
      <c r="EG199" s="533"/>
      <c r="EH199" s="533"/>
      <c r="EI199" s="533"/>
      <c r="EJ199" s="533"/>
      <c r="EK199" s="533"/>
      <c r="EL199" s="533"/>
      <c r="EM199" s="533"/>
      <c r="EN199" s="533"/>
      <c r="EO199" s="533"/>
      <c r="EP199" s="533"/>
      <c r="EQ199" s="533"/>
      <c r="ER199" s="533"/>
      <c r="ES199" s="533"/>
      <c r="ET199" s="533"/>
      <c r="EU199" s="533"/>
      <c r="EV199" s="533"/>
      <c r="EW199" s="533"/>
      <c r="EX199" s="533"/>
      <c r="EY199" s="533"/>
      <c r="EZ199" s="533"/>
      <c r="FA199" s="533"/>
      <c r="FB199" s="533"/>
      <c r="FC199" s="533"/>
      <c r="FD199" s="533"/>
      <c r="FE199" s="533"/>
      <c r="FF199" s="533"/>
      <c r="FG199" s="533"/>
      <c r="FH199" s="533"/>
      <c r="FI199" s="533"/>
      <c r="FJ199" s="533"/>
      <c r="FK199" s="533"/>
      <c r="FL199" s="533"/>
      <c r="FM199" s="533"/>
      <c r="FN199" s="533"/>
      <c r="FO199" s="533"/>
      <c r="FP199" s="533"/>
      <c r="FQ199" s="533"/>
      <c r="FR199" s="533"/>
      <c r="FS199" s="533"/>
      <c r="FT199" s="533"/>
      <c r="FU199" s="533"/>
      <c r="FV199" s="533"/>
      <c r="FW199" s="533"/>
      <c r="FX199" s="533"/>
      <c r="FY199" s="533"/>
      <c r="FZ199" s="533"/>
      <c r="GA199" s="533"/>
      <c r="GB199" s="533"/>
      <c r="GC199" s="533"/>
      <c r="GD199" s="533"/>
      <c r="GE199" s="533"/>
      <c r="GF199" s="533"/>
      <c r="GG199" s="533"/>
      <c r="GH199" s="533"/>
      <c r="GI199" s="533"/>
      <c r="GJ199" s="533"/>
      <c r="GK199" s="533"/>
      <c r="GL199" s="533"/>
      <c r="GM199" s="533"/>
      <c r="GN199" s="533"/>
      <c r="GO199" s="533"/>
      <c r="GP199" s="533"/>
      <c r="GQ199" s="533"/>
      <c r="GR199" s="533"/>
      <c r="GS199" s="533"/>
      <c r="GT199" s="533"/>
      <c r="GU199" s="533"/>
      <c r="GV199" s="533"/>
      <c r="GW199" s="533"/>
      <c r="GX199" s="533"/>
      <c r="GY199" s="533"/>
      <c r="GZ199" s="533"/>
      <c r="HA199" s="533"/>
      <c r="HB199" s="534"/>
    </row>
    <row r="200" spans="1:210" ht="19.8">
      <c r="A200" s="164"/>
      <c r="B200" s="306" t="s">
        <v>1482</v>
      </c>
      <c r="C200" s="503"/>
      <c r="D200" s="503"/>
      <c r="E200" s="503"/>
      <c r="F200" s="503"/>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531"/>
      <c r="AP200" s="531"/>
      <c r="AQ200" s="532"/>
      <c r="AR200" s="532"/>
      <c r="AS200" s="532"/>
      <c r="AT200" s="532"/>
      <c r="AU200" s="532"/>
      <c r="AV200" s="532"/>
      <c r="AW200" s="326"/>
      <c r="AX200" s="326"/>
      <c r="AY200" s="326"/>
      <c r="AZ200" s="326"/>
      <c r="BA200" s="326"/>
      <c r="BB200" s="326"/>
      <c r="BC200" s="326"/>
      <c r="BD200" s="326"/>
      <c r="BE200" s="326"/>
      <c r="BF200" s="326"/>
      <c r="BG200" s="326"/>
      <c r="BH200" s="326"/>
      <c r="BI200" s="326"/>
      <c r="BJ200" s="326"/>
      <c r="BK200" s="326"/>
      <c r="BL200" s="326"/>
      <c r="BM200" s="326"/>
      <c r="BN200" s="326"/>
      <c r="BO200" s="326"/>
      <c r="BP200" s="326"/>
      <c r="BQ200" s="532"/>
      <c r="BR200" s="532"/>
      <c r="BS200" s="532"/>
      <c r="BT200" s="532"/>
      <c r="BU200" s="532"/>
      <c r="BV200" s="532"/>
      <c r="BW200" s="533"/>
      <c r="BX200" s="533"/>
      <c r="BY200" s="533"/>
      <c r="BZ200" s="533"/>
      <c r="CA200" s="533"/>
      <c r="CB200" s="533"/>
      <c r="CC200" s="533"/>
      <c r="CD200" s="533"/>
      <c r="CE200" s="533"/>
      <c r="CF200" s="533"/>
      <c r="CG200" s="533"/>
      <c r="CH200" s="533"/>
      <c r="CI200" s="533"/>
      <c r="CJ200" s="533"/>
      <c r="CK200" s="533"/>
      <c r="CL200" s="533"/>
      <c r="CM200" s="533"/>
      <c r="CN200" s="533"/>
      <c r="CO200" s="533"/>
      <c r="CP200" s="533"/>
      <c r="CQ200" s="533"/>
      <c r="CR200" s="533"/>
      <c r="CS200" s="533"/>
      <c r="CT200" s="533"/>
      <c r="CU200" s="533"/>
      <c r="CV200" s="533"/>
      <c r="CW200" s="533"/>
      <c r="CX200" s="533"/>
      <c r="CY200" s="533"/>
      <c r="CZ200" s="533"/>
      <c r="DA200" s="533"/>
      <c r="DB200" s="533"/>
      <c r="DC200" s="533"/>
      <c r="DD200" s="533"/>
      <c r="DE200" s="533"/>
      <c r="DF200" s="533"/>
      <c r="DG200" s="533"/>
      <c r="DH200" s="533"/>
      <c r="DI200" s="533"/>
      <c r="DJ200" s="533"/>
      <c r="DK200" s="533"/>
      <c r="DL200" s="533"/>
      <c r="DM200" s="533"/>
      <c r="DN200" s="533"/>
      <c r="DO200" s="533"/>
      <c r="DP200" s="533"/>
      <c r="DQ200" s="533"/>
      <c r="DR200" s="533"/>
      <c r="DS200" s="533"/>
      <c r="DT200" s="533"/>
      <c r="DU200" s="533"/>
      <c r="DV200" s="533"/>
      <c r="DW200" s="533"/>
      <c r="DX200" s="533"/>
      <c r="DY200" s="533"/>
      <c r="DZ200" s="533"/>
      <c r="EA200" s="533"/>
      <c r="EB200" s="533"/>
      <c r="EC200" s="533"/>
      <c r="ED200" s="533"/>
      <c r="EE200" s="533"/>
      <c r="EF200" s="533"/>
      <c r="EG200" s="533"/>
      <c r="EH200" s="533"/>
      <c r="EI200" s="533"/>
      <c r="EJ200" s="533"/>
      <c r="EK200" s="533"/>
      <c r="EL200" s="533"/>
      <c r="EM200" s="533"/>
      <c r="EN200" s="533"/>
      <c r="EO200" s="533"/>
      <c r="EP200" s="533"/>
      <c r="EQ200" s="533"/>
      <c r="ER200" s="533"/>
      <c r="ES200" s="533"/>
      <c r="ET200" s="533"/>
      <c r="EU200" s="533"/>
      <c r="EV200" s="533"/>
      <c r="EW200" s="533"/>
      <c r="EX200" s="533"/>
      <c r="EY200" s="533"/>
      <c r="EZ200" s="533"/>
      <c r="FA200" s="533"/>
      <c r="FB200" s="533"/>
      <c r="FC200" s="533"/>
      <c r="FD200" s="533"/>
      <c r="FE200" s="533"/>
      <c r="FF200" s="533"/>
      <c r="FG200" s="533"/>
      <c r="FH200" s="533"/>
      <c r="FI200" s="533"/>
      <c r="FJ200" s="533"/>
      <c r="FK200" s="533"/>
      <c r="FL200" s="533"/>
      <c r="FM200" s="533"/>
      <c r="FN200" s="533"/>
      <c r="FO200" s="533"/>
      <c r="FP200" s="533"/>
      <c r="FQ200" s="533"/>
      <c r="FR200" s="533"/>
      <c r="FS200" s="533"/>
      <c r="FT200" s="533"/>
      <c r="FU200" s="533"/>
      <c r="FV200" s="533"/>
      <c r="FW200" s="533"/>
      <c r="FX200" s="533"/>
      <c r="FY200" s="533"/>
      <c r="FZ200" s="533"/>
      <c r="GA200" s="533"/>
      <c r="GB200" s="533"/>
      <c r="GC200" s="533"/>
      <c r="GD200" s="533"/>
      <c r="GE200" s="533"/>
      <c r="GF200" s="533"/>
      <c r="GG200" s="533"/>
      <c r="GH200" s="533"/>
      <c r="GI200" s="533"/>
      <c r="GJ200" s="533"/>
      <c r="GK200" s="533"/>
      <c r="GL200" s="533"/>
      <c r="GM200" s="533"/>
      <c r="GN200" s="533"/>
      <c r="GO200" s="533"/>
      <c r="GP200" s="533"/>
      <c r="GQ200" s="533"/>
      <c r="GR200" s="533"/>
      <c r="GS200" s="533"/>
      <c r="GT200" s="533"/>
      <c r="GU200" s="533"/>
      <c r="GV200" s="533"/>
      <c r="GW200" s="533"/>
      <c r="GX200" s="533"/>
      <c r="GY200" s="533"/>
      <c r="GZ200" s="533"/>
      <c r="HA200" s="533"/>
      <c r="HB200" s="534"/>
    </row>
    <row r="201" spans="1:210" ht="19.8">
      <c r="A201" s="164"/>
      <c r="B201" s="306" t="s">
        <v>1483</v>
      </c>
      <c r="C201" s="503"/>
      <c r="D201" s="503"/>
      <c r="E201" s="503"/>
      <c r="F201" s="503"/>
      <c r="G201" s="326"/>
      <c r="H201" s="326"/>
      <c r="I201" s="326"/>
      <c r="J201" s="326"/>
      <c r="K201" s="326"/>
      <c r="L201" s="326"/>
      <c r="M201" s="326"/>
      <c r="N201" s="326"/>
      <c r="O201" s="326"/>
      <c r="P201" s="326"/>
      <c r="Q201" s="326"/>
      <c r="R201" s="326"/>
      <c r="S201" s="326"/>
      <c r="T201" s="326"/>
      <c r="U201" s="326"/>
      <c r="V201" s="326"/>
      <c r="W201" s="326"/>
      <c r="X201" s="326"/>
      <c r="Y201" s="326"/>
      <c r="Z201" s="326"/>
      <c r="AA201" s="326"/>
      <c r="AB201" s="326"/>
      <c r="AC201" s="326"/>
      <c r="AD201" s="326"/>
      <c r="AE201" s="326"/>
      <c r="AF201" s="326"/>
      <c r="AG201" s="326"/>
      <c r="AH201" s="326"/>
      <c r="AI201" s="326"/>
      <c r="AJ201" s="326"/>
      <c r="AK201" s="326"/>
      <c r="AL201" s="326"/>
      <c r="AM201" s="326"/>
      <c r="AN201" s="326"/>
      <c r="AO201" s="531"/>
      <c r="AP201" s="531"/>
      <c r="AQ201" s="532"/>
      <c r="AR201" s="532"/>
      <c r="AS201" s="532"/>
      <c r="AT201" s="532"/>
      <c r="AU201" s="532"/>
      <c r="AV201" s="532"/>
      <c r="AW201" s="326"/>
      <c r="AX201" s="326"/>
      <c r="AY201" s="326"/>
      <c r="AZ201" s="326"/>
      <c r="BA201" s="326"/>
      <c r="BB201" s="326"/>
      <c r="BC201" s="326"/>
      <c r="BD201" s="326"/>
      <c r="BE201" s="326"/>
      <c r="BF201" s="326"/>
      <c r="BG201" s="326"/>
      <c r="BH201" s="326"/>
      <c r="BI201" s="326"/>
      <c r="BJ201" s="326"/>
      <c r="BK201" s="326"/>
      <c r="BL201" s="326"/>
      <c r="BM201" s="326"/>
      <c r="BN201" s="326"/>
      <c r="BO201" s="326"/>
      <c r="BP201" s="326"/>
      <c r="BQ201" s="532"/>
      <c r="BR201" s="532"/>
      <c r="BS201" s="532"/>
      <c r="BT201" s="532"/>
      <c r="BU201" s="532"/>
      <c r="BV201" s="532"/>
      <c r="BW201" s="533"/>
      <c r="BX201" s="533"/>
      <c r="BY201" s="533"/>
      <c r="BZ201" s="533"/>
      <c r="CA201" s="533"/>
      <c r="CB201" s="533"/>
      <c r="CC201" s="533"/>
      <c r="CD201" s="533"/>
      <c r="CE201" s="533"/>
      <c r="CF201" s="533"/>
      <c r="CG201" s="533"/>
      <c r="CH201" s="533"/>
      <c r="CI201" s="533"/>
      <c r="CJ201" s="533"/>
      <c r="CK201" s="533"/>
      <c r="CL201" s="533"/>
      <c r="CM201" s="533"/>
      <c r="CN201" s="533"/>
      <c r="CO201" s="533"/>
      <c r="CP201" s="533"/>
      <c r="CQ201" s="533"/>
      <c r="CR201" s="533"/>
      <c r="CS201" s="533"/>
      <c r="CT201" s="533"/>
      <c r="CU201" s="533"/>
      <c r="CV201" s="533"/>
      <c r="CW201" s="533"/>
      <c r="CX201" s="533"/>
      <c r="CY201" s="533"/>
      <c r="CZ201" s="533"/>
      <c r="DA201" s="533"/>
      <c r="DB201" s="533"/>
      <c r="DC201" s="533"/>
      <c r="DD201" s="533"/>
      <c r="DE201" s="533"/>
      <c r="DF201" s="533"/>
      <c r="DG201" s="533"/>
      <c r="DH201" s="533"/>
      <c r="DI201" s="533"/>
      <c r="DJ201" s="533"/>
      <c r="DK201" s="533"/>
      <c r="DL201" s="533"/>
      <c r="DM201" s="533"/>
      <c r="DN201" s="533"/>
      <c r="DO201" s="533"/>
      <c r="DP201" s="533"/>
      <c r="DQ201" s="533"/>
      <c r="DR201" s="533"/>
      <c r="DS201" s="533"/>
      <c r="DT201" s="533"/>
      <c r="DU201" s="533"/>
      <c r="DV201" s="533"/>
      <c r="DW201" s="533"/>
      <c r="DX201" s="533"/>
      <c r="DY201" s="533"/>
      <c r="DZ201" s="533"/>
      <c r="EA201" s="533"/>
      <c r="EB201" s="533"/>
      <c r="EC201" s="533"/>
      <c r="ED201" s="533"/>
      <c r="EE201" s="533"/>
      <c r="EF201" s="533"/>
      <c r="EG201" s="533"/>
      <c r="EH201" s="533"/>
      <c r="EI201" s="533"/>
      <c r="EJ201" s="533"/>
      <c r="EK201" s="533"/>
      <c r="EL201" s="533"/>
      <c r="EM201" s="533"/>
      <c r="EN201" s="533"/>
      <c r="EO201" s="533"/>
      <c r="EP201" s="533"/>
      <c r="EQ201" s="533"/>
      <c r="ER201" s="533"/>
      <c r="ES201" s="533"/>
      <c r="ET201" s="533"/>
      <c r="EU201" s="533"/>
      <c r="EV201" s="533"/>
      <c r="EW201" s="533"/>
      <c r="EX201" s="533"/>
      <c r="EY201" s="533"/>
      <c r="EZ201" s="533"/>
      <c r="FA201" s="533"/>
      <c r="FB201" s="533"/>
      <c r="FC201" s="533"/>
      <c r="FD201" s="533"/>
      <c r="FE201" s="533"/>
      <c r="FF201" s="533"/>
      <c r="FG201" s="533"/>
      <c r="FH201" s="533"/>
      <c r="FI201" s="533"/>
      <c r="FJ201" s="533"/>
      <c r="FK201" s="533"/>
      <c r="FL201" s="533"/>
      <c r="FM201" s="533"/>
      <c r="FN201" s="533"/>
      <c r="FO201" s="533"/>
      <c r="FP201" s="533"/>
      <c r="FQ201" s="533"/>
      <c r="FR201" s="533"/>
      <c r="FS201" s="533"/>
      <c r="FT201" s="533"/>
      <c r="FU201" s="533"/>
      <c r="FV201" s="533"/>
      <c r="FW201" s="533"/>
      <c r="FX201" s="533"/>
      <c r="FY201" s="533"/>
      <c r="FZ201" s="533"/>
      <c r="GA201" s="533"/>
      <c r="GB201" s="533"/>
      <c r="GC201" s="533"/>
      <c r="GD201" s="533"/>
      <c r="GE201" s="533"/>
      <c r="GF201" s="533"/>
      <c r="GG201" s="533"/>
      <c r="GH201" s="533"/>
      <c r="GI201" s="533"/>
      <c r="GJ201" s="533"/>
      <c r="GK201" s="533"/>
      <c r="GL201" s="533"/>
      <c r="GM201" s="533"/>
      <c r="GN201" s="533"/>
      <c r="GO201" s="533"/>
      <c r="GP201" s="533"/>
      <c r="GQ201" s="533"/>
      <c r="GR201" s="533"/>
      <c r="GS201" s="533"/>
      <c r="GT201" s="533"/>
      <c r="GU201" s="533"/>
      <c r="GV201" s="533"/>
      <c r="GW201" s="533"/>
      <c r="GX201" s="533"/>
      <c r="GY201" s="533"/>
      <c r="GZ201" s="533"/>
      <c r="HA201" s="533"/>
      <c r="HB201" s="534"/>
    </row>
    <row r="202" spans="1:210" ht="19.8">
      <c r="A202" s="164"/>
      <c r="B202" s="306" t="s">
        <v>1484</v>
      </c>
      <c r="C202" s="503"/>
      <c r="D202" s="503"/>
      <c r="E202" s="503"/>
      <c r="F202" s="503"/>
      <c r="G202" s="326"/>
      <c r="H202" s="326"/>
      <c r="I202" s="326"/>
      <c r="J202" s="326"/>
      <c r="K202" s="326"/>
      <c r="L202" s="326"/>
      <c r="M202" s="326"/>
      <c r="N202" s="326"/>
      <c r="O202" s="326"/>
      <c r="P202" s="326"/>
      <c r="Q202" s="326"/>
      <c r="R202" s="326"/>
      <c r="S202" s="326"/>
      <c r="T202" s="326"/>
      <c r="U202" s="326"/>
      <c r="V202" s="326"/>
      <c r="W202" s="326"/>
      <c r="X202" s="326"/>
      <c r="Y202" s="326"/>
      <c r="Z202" s="326"/>
      <c r="AA202" s="326"/>
      <c r="AB202" s="326"/>
      <c r="AC202" s="326"/>
      <c r="AD202" s="326"/>
      <c r="AE202" s="326"/>
      <c r="AF202" s="326"/>
      <c r="AG202" s="326"/>
      <c r="AH202" s="326"/>
      <c r="AI202" s="326"/>
      <c r="AJ202" s="326"/>
      <c r="AK202" s="326"/>
      <c r="AL202" s="326"/>
      <c r="AM202" s="326"/>
      <c r="AN202" s="326"/>
      <c r="AO202" s="531"/>
      <c r="AP202" s="531"/>
      <c r="AQ202" s="532"/>
      <c r="AR202" s="532"/>
      <c r="AS202" s="532"/>
      <c r="AT202" s="532"/>
      <c r="AU202" s="532"/>
      <c r="AV202" s="532"/>
      <c r="AW202" s="326"/>
      <c r="AX202" s="326"/>
      <c r="AY202" s="326"/>
      <c r="AZ202" s="326"/>
      <c r="BA202" s="326"/>
      <c r="BB202" s="326"/>
      <c r="BC202" s="326"/>
      <c r="BD202" s="326"/>
      <c r="BE202" s="326"/>
      <c r="BF202" s="326"/>
      <c r="BG202" s="326"/>
      <c r="BH202" s="326"/>
      <c r="BI202" s="326"/>
      <c r="BJ202" s="326"/>
      <c r="BK202" s="326"/>
      <c r="BL202" s="326"/>
      <c r="BM202" s="326"/>
      <c r="BN202" s="326"/>
      <c r="BO202" s="326"/>
      <c r="BP202" s="326"/>
      <c r="BQ202" s="532"/>
      <c r="BR202" s="532"/>
      <c r="BS202" s="532"/>
      <c r="BT202" s="532"/>
      <c r="BU202" s="532"/>
      <c r="BV202" s="532"/>
      <c r="BW202" s="533"/>
      <c r="BX202" s="533"/>
      <c r="BY202" s="533"/>
      <c r="BZ202" s="533"/>
      <c r="CA202" s="533"/>
      <c r="CB202" s="533"/>
      <c r="CC202" s="533"/>
      <c r="CD202" s="533"/>
      <c r="CE202" s="533"/>
      <c r="CF202" s="533"/>
      <c r="CG202" s="533"/>
      <c r="CH202" s="533"/>
      <c r="CI202" s="533"/>
      <c r="CJ202" s="533"/>
      <c r="CK202" s="533"/>
      <c r="CL202" s="533"/>
      <c r="CM202" s="533"/>
      <c r="CN202" s="533"/>
      <c r="CO202" s="533"/>
      <c r="CP202" s="533"/>
      <c r="CQ202" s="533"/>
      <c r="CR202" s="533"/>
      <c r="CS202" s="533"/>
      <c r="CT202" s="533"/>
      <c r="CU202" s="533"/>
      <c r="CV202" s="533"/>
      <c r="CW202" s="533"/>
      <c r="CX202" s="533"/>
      <c r="CY202" s="533"/>
      <c r="CZ202" s="533"/>
      <c r="DA202" s="533"/>
      <c r="DB202" s="533"/>
      <c r="DC202" s="533"/>
      <c r="DD202" s="533"/>
      <c r="DE202" s="533"/>
      <c r="DF202" s="533"/>
      <c r="DG202" s="533"/>
      <c r="DH202" s="533"/>
      <c r="DI202" s="533"/>
      <c r="DJ202" s="533"/>
      <c r="DK202" s="533"/>
      <c r="DL202" s="533"/>
      <c r="DM202" s="533"/>
      <c r="DN202" s="533"/>
      <c r="DO202" s="533"/>
      <c r="DP202" s="533"/>
      <c r="DQ202" s="533"/>
      <c r="DR202" s="533"/>
      <c r="DS202" s="533"/>
      <c r="DT202" s="533"/>
      <c r="DU202" s="533"/>
      <c r="DV202" s="533"/>
      <c r="DW202" s="533"/>
      <c r="DX202" s="533"/>
      <c r="DY202" s="533"/>
      <c r="DZ202" s="533"/>
      <c r="EA202" s="533"/>
      <c r="EB202" s="533"/>
      <c r="EC202" s="533"/>
      <c r="ED202" s="533"/>
      <c r="EE202" s="533"/>
      <c r="EF202" s="533"/>
      <c r="EG202" s="533"/>
      <c r="EH202" s="533"/>
      <c r="EI202" s="533"/>
      <c r="EJ202" s="533"/>
      <c r="EK202" s="533"/>
      <c r="EL202" s="533"/>
      <c r="EM202" s="533"/>
      <c r="EN202" s="533"/>
      <c r="EO202" s="533"/>
      <c r="EP202" s="533"/>
      <c r="EQ202" s="533"/>
      <c r="ER202" s="533"/>
      <c r="ES202" s="533"/>
      <c r="ET202" s="533"/>
      <c r="EU202" s="533"/>
      <c r="EV202" s="533"/>
      <c r="EW202" s="533"/>
      <c r="EX202" s="533"/>
      <c r="EY202" s="533"/>
      <c r="EZ202" s="533"/>
      <c r="FA202" s="533"/>
      <c r="FB202" s="533"/>
      <c r="FC202" s="533"/>
      <c r="FD202" s="533"/>
      <c r="FE202" s="533"/>
      <c r="FF202" s="533"/>
      <c r="FG202" s="533"/>
      <c r="FH202" s="533"/>
      <c r="FI202" s="533"/>
      <c r="FJ202" s="533"/>
      <c r="FK202" s="533"/>
      <c r="FL202" s="533"/>
      <c r="FM202" s="533"/>
      <c r="FN202" s="533"/>
      <c r="FO202" s="533"/>
      <c r="FP202" s="533"/>
      <c r="FQ202" s="533"/>
      <c r="FR202" s="533"/>
      <c r="FS202" s="533"/>
      <c r="FT202" s="533"/>
      <c r="FU202" s="533"/>
      <c r="FV202" s="533"/>
      <c r="FW202" s="533"/>
      <c r="FX202" s="533"/>
      <c r="FY202" s="533"/>
      <c r="FZ202" s="533"/>
      <c r="GA202" s="533"/>
      <c r="GB202" s="533"/>
      <c r="GC202" s="533"/>
      <c r="GD202" s="533"/>
      <c r="GE202" s="533"/>
      <c r="GF202" s="533"/>
      <c r="GG202" s="533"/>
      <c r="GH202" s="533"/>
      <c r="GI202" s="533"/>
      <c r="GJ202" s="533"/>
      <c r="GK202" s="533"/>
      <c r="GL202" s="533"/>
      <c r="GM202" s="533"/>
      <c r="GN202" s="533"/>
      <c r="GO202" s="533"/>
      <c r="GP202" s="533"/>
      <c r="GQ202" s="533"/>
      <c r="GR202" s="533"/>
      <c r="GS202" s="533"/>
      <c r="GT202" s="533"/>
      <c r="GU202" s="533"/>
      <c r="GV202" s="533"/>
      <c r="GW202" s="533"/>
      <c r="GX202" s="533"/>
      <c r="GY202" s="533"/>
      <c r="GZ202" s="533"/>
      <c r="HA202" s="533"/>
      <c r="HB202" s="534"/>
    </row>
    <row r="203" spans="1:210" ht="19.8">
      <c r="A203" s="164"/>
      <c r="B203" s="306" t="s">
        <v>1485</v>
      </c>
      <c r="C203" s="503"/>
      <c r="D203" s="503"/>
      <c r="E203" s="503"/>
      <c r="F203" s="503"/>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26"/>
      <c r="AC203" s="326"/>
      <c r="AD203" s="326"/>
      <c r="AE203" s="326"/>
      <c r="AF203" s="326"/>
      <c r="AG203" s="326"/>
      <c r="AH203" s="326"/>
      <c r="AI203" s="326"/>
      <c r="AJ203" s="326"/>
      <c r="AK203" s="326"/>
      <c r="AL203" s="326"/>
      <c r="AM203" s="326"/>
      <c r="AN203" s="326"/>
      <c r="AO203" s="531"/>
      <c r="AP203" s="531"/>
      <c r="AQ203" s="532"/>
      <c r="AR203" s="532"/>
      <c r="AS203" s="532"/>
      <c r="AT203" s="532"/>
      <c r="AU203" s="532"/>
      <c r="AV203" s="532"/>
      <c r="AW203" s="326"/>
      <c r="AX203" s="326"/>
      <c r="AY203" s="326"/>
      <c r="AZ203" s="326"/>
      <c r="BA203" s="326"/>
      <c r="BB203" s="326"/>
      <c r="BC203" s="326"/>
      <c r="BD203" s="326"/>
      <c r="BE203" s="326"/>
      <c r="BF203" s="326"/>
      <c r="BG203" s="326"/>
      <c r="BH203" s="326"/>
      <c r="BI203" s="326"/>
      <c r="BJ203" s="326"/>
      <c r="BK203" s="326"/>
      <c r="BL203" s="326"/>
      <c r="BM203" s="326"/>
      <c r="BN203" s="326"/>
      <c r="BO203" s="326"/>
      <c r="BP203" s="326"/>
      <c r="BQ203" s="532"/>
      <c r="BR203" s="532"/>
      <c r="BS203" s="532"/>
      <c r="BT203" s="532"/>
      <c r="BU203" s="532"/>
      <c r="BV203" s="532"/>
      <c r="BW203" s="533"/>
      <c r="BX203" s="533"/>
      <c r="BY203" s="533"/>
      <c r="BZ203" s="533"/>
      <c r="CA203" s="533"/>
      <c r="CB203" s="533"/>
      <c r="CC203" s="533"/>
      <c r="CD203" s="533"/>
      <c r="CE203" s="533"/>
      <c r="CF203" s="533"/>
      <c r="CG203" s="533"/>
      <c r="CH203" s="533"/>
      <c r="CI203" s="533"/>
      <c r="CJ203" s="533"/>
      <c r="CK203" s="533"/>
      <c r="CL203" s="533"/>
      <c r="CM203" s="533"/>
      <c r="CN203" s="533"/>
      <c r="CO203" s="533"/>
      <c r="CP203" s="533"/>
      <c r="CQ203" s="533"/>
      <c r="CR203" s="533"/>
      <c r="CS203" s="533"/>
      <c r="CT203" s="533"/>
      <c r="CU203" s="533"/>
      <c r="CV203" s="533"/>
      <c r="CW203" s="533"/>
      <c r="CX203" s="533"/>
      <c r="CY203" s="533"/>
      <c r="CZ203" s="533"/>
      <c r="DA203" s="533"/>
      <c r="DB203" s="533"/>
      <c r="DC203" s="533"/>
      <c r="DD203" s="533"/>
      <c r="DE203" s="533"/>
      <c r="DF203" s="533"/>
      <c r="DG203" s="533"/>
      <c r="DH203" s="533"/>
      <c r="DI203" s="533"/>
      <c r="DJ203" s="533"/>
      <c r="DK203" s="533"/>
      <c r="DL203" s="533"/>
      <c r="DM203" s="533"/>
      <c r="DN203" s="533"/>
      <c r="DO203" s="533"/>
      <c r="DP203" s="533"/>
      <c r="DQ203" s="533"/>
      <c r="DR203" s="533"/>
      <c r="DS203" s="533"/>
      <c r="DT203" s="533"/>
      <c r="DU203" s="533"/>
      <c r="DV203" s="533"/>
      <c r="DW203" s="533"/>
      <c r="DX203" s="533"/>
      <c r="DY203" s="533"/>
      <c r="DZ203" s="533"/>
      <c r="EA203" s="533"/>
      <c r="EB203" s="533"/>
      <c r="EC203" s="533"/>
      <c r="ED203" s="533"/>
      <c r="EE203" s="533"/>
      <c r="EF203" s="533"/>
      <c r="EG203" s="533"/>
      <c r="EH203" s="533"/>
      <c r="EI203" s="533"/>
      <c r="EJ203" s="533"/>
      <c r="EK203" s="533"/>
      <c r="EL203" s="533"/>
      <c r="EM203" s="533"/>
      <c r="EN203" s="533"/>
      <c r="EO203" s="533"/>
      <c r="EP203" s="533"/>
      <c r="EQ203" s="533"/>
      <c r="ER203" s="533"/>
      <c r="ES203" s="533"/>
      <c r="ET203" s="533"/>
      <c r="EU203" s="533"/>
      <c r="EV203" s="533"/>
      <c r="EW203" s="533"/>
      <c r="EX203" s="533"/>
      <c r="EY203" s="533"/>
      <c r="EZ203" s="533"/>
      <c r="FA203" s="533"/>
      <c r="FB203" s="533"/>
      <c r="FC203" s="533"/>
      <c r="FD203" s="533"/>
      <c r="FE203" s="533"/>
      <c r="FF203" s="533"/>
      <c r="FG203" s="533"/>
      <c r="FH203" s="533"/>
      <c r="FI203" s="533"/>
      <c r="FJ203" s="533"/>
      <c r="FK203" s="533"/>
      <c r="FL203" s="533"/>
      <c r="FM203" s="533"/>
      <c r="FN203" s="533"/>
      <c r="FO203" s="533"/>
      <c r="FP203" s="533"/>
      <c r="FQ203" s="533"/>
      <c r="FR203" s="533"/>
      <c r="FS203" s="533"/>
      <c r="FT203" s="533"/>
      <c r="FU203" s="533"/>
      <c r="FV203" s="533"/>
      <c r="FW203" s="533"/>
      <c r="FX203" s="533"/>
      <c r="FY203" s="533"/>
      <c r="FZ203" s="533"/>
      <c r="GA203" s="533"/>
      <c r="GB203" s="533"/>
      <c r="GC203" s="533"/>
      <c r="GD203" s="533"/>
      <c r="GE203" s="533"/>
      <c r="GF203" s="533"/>
      <c r="GG203" s="533"/>
      <c r="GH203" s="533"/>
      <c r="GI203" s="533"/>
      <c r="GJ203" s="533"/>
      <c r="GK203" s="533"/>
      <c r="GL203" s="533"/>
      <c r="GM203" s="533"/>
      <c r="GN203" s="533"/>
      <c r="GO203" s="533"/>
      <c r="GP203" s="533"/>
      <c r="GQ203" s="533"/>
      <c r="GR203" s="533"/>
      <c r="GS203" s="533"/>
      <c r="GT203" s="533"/>
      <c r="GU203" s="533"/>
      <c r="GV203" s="533"/>
      <c r="GW203" s="533"/>
      <c r="GX203" s="533"/>
      <c r="GY203" s="533"/>
      <c r="GZ203" s="533"/>
      <c r="HA203" s="533"/>
      <c r="HB203" s="534"/>
    </row>
    <row r="204" spans="1:210" ht="19.8">
      <c r="A204" s="164"/>
      <c r="B204" s="306" t="s">
        <v>1486</v>
      </c>
      <c r="C204" s="503"/>
      <c r="D204" s="503"/>
      <c r="E204" s="503"/>
      <c r="F204" s="503"/>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26"/>
      <c r="AC204" s="326"/>
      <c r="AD204" s="326"/>
      <c r="AE204" s="326"/>
      <c r="AF204" s="326"/>
      <c r="AG204" s="326"/>
      <c r="AH204" s="326"/>
      <c r="AI204" s="326"/>
      <c r="AJ204" s="326"/>
      <c r="AK204" s="326"/>
      <c r="AL204" s="326"/>
      <c r="AM204" s="326"/>
      <c r="AN204" s="326"/>
      <c r="AO204" s="531"/>
      <c r="AP204" s="531"/>
      <c r="AQ204" s="532"/>
      <c r="AR204" s="532"/>
      <c r="AS204" s="532"/>
      <c r="AT204" s="532"/>
      <c r="AU204" s="532"/>
      <c r="AV204" s="532"/>
      <c r="AW204" s="326"/>
      <c r="AX204" s="326"/>
      <c r="AY204" s="326"/>
      <c r="AZ204" s="326"/>
      <c r="BA204" s="326"/>
      <c r="BB204" s="326"/>
      <c r="BC204" s="326"/>
      <c r="BD204" s="326"/>
      <c r="BE204" s="326"/>
      <c r="BF204" s="326"/>
      <c r="BG204" s="326"/>
      <c r="BH204" s="326"/>
      <c r="BI204" s="326"/>
      <c r="BJ204" s="326"/>
      <c r="BK204" s="326"/>
      <c r="BL204" s="326"/>
      <c r="BM204" s="326"/>
      <c r="BN204" s="326"/>
      <c r="BO204" s="326"/>
      <c r="BP204" s="326"/>
      <c r="BQ204" s="532"/>
      <c r="BR204" s="532"/>
      <c r="BS204" s="532"/>
      <c r="BT204" s="532"/>
      <c r="BU204" s="532"/>
      <c r="BV204" s="532"/>
      <c r="BW204" s="533"/>
      <c r="BX204" s="533"/>
      <c r="BY204" s="533"/>
      <c r="BZ204" s="533"/>
      <c r="CA204" s="533"/>
      <c r="CB204" s="533"/>
      <c r="CC204" s="533"/>
      <c r="CD204" s="533"/>
      <c r="CE204" s="533"/>
      <c r="CF204" s="533"/>
      <c r="CG204" s="533"/>
      <c r="CH204" s="533"/>
      <c r="CI204" s="533"/>
      <c r="CJ204" s="533"/>
      <c r="CK204" s="533"/>
      <c r="CL204" s="533"/>
      <c r="CM204" s="533"/>
      <c r="CN204" s="533"/>
      <c r="CO204" s="533"/>
      <c r="CP204" s="533"/>
      <c r="CQ204" s="533"/>
      <c r="CR204" s="533"/>
      <c r="CS204" s="533"/>
      <c r="CT204" s="533"/>
      <c r="CU204" s="533"/>
      <c r="CV204" s="533"/>
      <c r="CW204" s="533"/>
      <c r="CX204" s="533"/>
      <c r="CY204" s="533"/>
      <c r="CZ204" s="533"/>
      <c r="DA204" s="533"/>
      <c r="DB204" s="533"/>
      <c r="DC204" s="533"/>
      <c r="DD204" s="533"/>
      <c r="DE204" s="533"/>
      <c r="DF204" s="533"/>
      <c r="DG204" s="533"/>
      <c r="DH204" s="533"/>
      <c r="DI204" s="533"/>
      <c r="DJ204" s="533"/>
      <c r="DK204" s="533"/>
      <c r="DL204" s="533"/>
      <c r="DM204" s="533"/>
      <c r="DN204" s="533"/>
      <c r="DO204" s="533"/>
      <c r="DP204" s="533"/>
      <c r="DQ204" s="533"/>
      <c r="DR204" s="533"/>
      <c r="DS204" s="533"/>
      <c r="DT204" s="533"/>
      <c r="DU204" s="533"/>
      <c r="DV204" s="533"/>
      <c r="DW204" s="533"/>
      <c r="DX204" s="533"/>
      <c r="DY204" s="533"/>
      <c r="DZ204" s="533"/>
      <c r="EA204" s="533"/>
      <c r="EB204" s="533"/>
      <c r="EC204" s="533"/>
      <c r="ED204" s="533"/>
      <c r="EE204" s="533"/>
      <c r="EF204" s="533"/>
      <c r="EG204" s="533"/>
      <c r="EH204" s="533"/>
      <c r="EI204" s="533"/>
      <c r="EJ204" s="533"/>
      <c r="EK204" s="533"/>
      <c r="EL204" s="533"/>
      <c r="EM204" s="533"/>
      <c r="EN204" s="533"/>
      <c r="EO204" s="533"/>
      <c r="EP204" s="533"/>
      <c r="EQ204" s="533"/>
      <c r="ER204" s="533"/>
      <c r="ES204" s="533"/>
      <c r="ET204" s="533"/>
      <c r="EU204" s="533"/>
      <c r="EV204" s="533"/>
      <c r="EW204" s="533"/>
      <c r="EX204" s="533"/>
      <c r="EY204" s="533"/>
      <c r="EZ204" s="533"/>
      <c r="FA204" s="533"/>
      <c r="FB204" s="533"/>
      <c r="FC204" s="533"/>
      <c r="FD204" s="533"/>
      <c r="FE204" s="533"/>
      <c r="FF204" s="533"/>
      <c r="FG204" s="533"/>
      <c r="FH204" s="533"/>
      <c r="FI204" s="533"/>
      <c r="FJ204" s="533"/>
      <c r="FK204" s="533"/>
      <c r="FL204" s="533"/>
      <c r="FM204" s="533"/>
      <c r="FN204" s="533"/>
      <c r="FO204" s="533"/>
      <c r="FP204" s="533"/>
      <c r="FQ204" s="533"/>
      <c r="FR204" s="533"/>
      <c r="FS204" s="533"/>
      <c r="FT204" s="533"/>
      <c r="FU204" s="533"/>
      <c r="FV204" s="533"/>
      <c r="FW204" s="533"/>
      <c r="FX204" s="533"/>
      <c r="FY204" s="533"/>
      <c r="FZ204" s="533"/>
      <c r="GA204" s="533"/>
      <c r="GB204" s="533"/>
      <c r="GC204" s="533"/>
      <c r="GD204" s="533"/>
      <c r="GE204" s="533"/>
      <c r="GF204" s="533"/>
      <c r="GG204" s="533"/>
      <c r="GH204" s="533"/>
      <c r="GI204" s="533"/>
      <c r="GJ204" s="533"/>
      <c r="GK204" s="533"/>
      <c r="GL204" s="533"/>
      <c r="GM204" s="533"/>
      <c r="GN204" s="533"/>
      <c r="GO204" s="533"/>
      <c r="GP204" s="533"/>
      <c r="GQ204" s="533"/>
      <c r="GR204" s="533"/>
      <c r="GS204" s="533"/>
      <c r="GT204" s="533"/>
      <c r="GU204" s="533"/>
      <c r="GV204" s="533"/>
      <c r="GW204" s="533"/>
      <c r="GX204" s="533"/>
      <c r="GY204" s="533"/>
      <c r="GZ204" s="533"/>
      <c r="HA204" s="533"/>
      <c r="HB204" s="534"/>
    </row>
    <row r="205" spans="1:210" ht="19.8">
      <c r="A205" s="164"/>
      <c r="B205" s="306" t="s">
        <v>1487</v>
      </c>
      <c r="C205" s="503"/>
      <c r="D205" s="503"/>
      <c r="E205" s="503"/>
      <c r="F205" s="503"/>
      <c r="G205" s="326"/>
      <c r="H205" s="326"/>
      <c r="I205" s="326"/>
      <c r="J205" s="326"/>
      <c r="K205" s="326"/>
      <c r="L205" s="326"/>
      <c r="M205" s="326"/>
      <c r="N205" s="326"/>
      <c r="O205" s="326"/>
      <c r="P205" s="326"/>
      <c r="Q205" s="326"/>
      <c r="R205" s="326"/>
      <c r="S205" s="326"/>
      <c r="T205" s="326"/>
      <c r="U205" s="326"/>
      <c r="V205" s="326"/>
      <c r="W205" s="326"/>
      <c r="X205" s="326"/>
      <c r="Y205" s="326"/>
      <c r="Z205" s="326"/>
      <c r="AA205" s="326"/>
      <c r="AB205" s="326"/>
      <c r="AC205" s="326"/>
      <c r="AD205" s="326"/>
      <c r="AE205" s="326"/>
      <c r="AF205" s="326"/>
      <c r="AG205" s="326"/>
      <c r="AH205" s="326"/>
      <c r="AI205" s="326"/>
      <c r="AJ205" s="326"/>
      <c r="AK205" s="326"/>
      <c r="AL205" s="326"/>
      <c r="AM205" s="326"/>
      <c r="AN205" s="326"/>
      <c r="AO205" s="531"/>
      <c r="AP205" s="531"/>
      <c r="AQ205" s="532"/>
      <c r="AR205" s="532"/>
      <c r="AS205" s="532"/>
      <c r="AT205" s="532"/>
      <c r="AU205" s="532"/>
      <c r="AV205" s="532"/>
      <c r="AW205" s="326"/>
      <c r="AX205" s="326"/>
      <c r="AY205" s="326"/>
      <c r="AZ205" s="326"/>
      <c r="BA205" s="326"/>
      <c r="BB205" s="326"/>
      <c r="BC205" s="326"/>
      <c r="BD205" s="326"/>
      <c r="BE205" s="326"/>
      <c r="BF205" s="326"/>
      <c r="BG205" s="326"/>
      <c r="BH205" s="326"/>
      <c r="BI205" s="326"/>
      <c r="BJ205" s="326"/>
      <c r="BK205" s="326"/>
      <c r="BL205" s="326"/>
      <c r="BM205" s="326"/>
      <c r="BN205" s="326"/>
      <c r="BO205" s="326"/>
      <c r="BP205" s="326"/>
      <c r="BQ205" s="532"/>
      <c r="BR205" s="532"/>
      <c r="BS205" s="532"/>
      <c r="BT205" s="532"/>
      <c r="BU205" s="532"/>
      <c r="BV205" s="532"/>
      <c r="BW205" s="533"/>
      <c r="BX205" s="533"/>
      <c r="BY205" s="533"/>
      <c r="BZ205" s="533"/>
      <c r="CA205" s="533"/>
      <c r="CB205" s="533"/>
      <c r="CC205" s="533"/>
      <c r="CD205" s="533"/>
      <c r="CE205" s="533"/>
      <c r="CF205" s="533"/>
      <c r="CG205" s="533"/>
      <c r="CH205" s="533"/>
      <c r="CI205" s="533"/>
      <c r="CJ205" s="533"/>
      <c r="CK205" s="533"/>
      <c r="CL205" s="533"/>
      <c r="CM205" s="533"/>
      <c r="CN205" s="533"/>
      <c r="CO205" s="533"/>
      <c r="CP205" s="533"/>
      <c r="CQ205" s="533"/>
      <c r="CR205" s="533"/>
      <c r="CS205" s="533"/>
      <c r="CT205" s="533"/>
      <c r="CU205" s="533"/>
      <c r="CV205" s="533"/>
      <c r="CW205" s="533"/>
      <c r="CX205" s="533"/>
      <c r="CY205" s="533"/>
      <c r="CZ205" s="533"/>
      <c r="DA205" s="533"/>
      <c r="DB205" s="533"/>
      <c r="DC205" s="533"/>
      <c r="DD205" s="533"/>
      <c r="DE205" s="533"/>
      <c r="DF205" s="533"/>
      <c r="DG205" s="533"/>
      <c r="DH205" s="533"/>
      <c r="DI205" s="533"/>
      <c r="DJ205" s="533"/>
      <c r="DK205" s="533"/>
      <c r="DL205" s="533"/>
      <c r="DM205" s="533"/>
      <c r="DN205" s="533"/>
      <c r="DO205" s="533"/>
      <c r="DP205" s="533"/>
      <c r="DQ205" s="533"/>
      <c r="DR205" s="533"/>
      <c r="DS205" s="533"/>
      <c r="DT205" s="533"/>
      <c r="DU205" s="533"/>
      <c r="DV205" s="533"/>
      <c r="DW205" s="533"/>
      <c r="DX205" s="533"/>
      <c r="DY205" s="533"/>
      <c r="DZ205" s="533"/>
      <c r="EA205" s="533"/>
      <c r="EB205" s="533"/>
      <c r="EC205" s="533"/>
      <c r="ED205" s="533"/>
      <c r="EE205" s="533"/>
      <c r="EF205" s="533"/>
      <c r="EG205" s="533"/>
      <c r="EH205" s="533"/>
      <c r="EI205" s="533"/>
      <c r="EJ205" s="533"/>
      <c r="EK205" s="533"/>
      <c r="EL205" s="533"/>
      <c r="EM205" s="533"/>
      <c r="EN205" s="533"/>
      <c r="EO205" s="533"/>
      <c r="EP205" s="533"/>
      <c r="EQ205" s="533"/>
      <c r="ER205" s="533"/>
      <c r="ES205" s="533"/>
      <c r="ET205" s="533"/>
      <c r="EU205" s="533"/>
      <c r="EV205" s="533"/>
      <c r="EW205" s="533"/>
      <c r="EX205" s="533"/>
      <c r="EY205" s="533"/>
      <c r="EZ205" s="533"/>
      <c r="FA205" s="533"/>
      <c r="FB205" s="533"/>
      <c r="FC205" s="533"/>
      <c r="FD205" s="533"/>
      <c r="FE205" s="533"/>
      <c r="FF205" s="533"/>
      <c r="FG205" s="533"/>
      <c r="FH205" s="533"/>
      <c r="FI205" s="533"/>
      <c r="FJ205" s="533"/>
      <c r="FK205" s="533"/>
      <c r="FL205" s="533"/>
      <c r="FM205" s="533"/>
      <c r="FN205" s="533"/>
      <c r="FO205" s="533"/>
      <c r="FP205" s="533"/>
      <c r="FQ205" s="533"/>
      <c r="FR205" s="533"/>
      <c r="FS205" s="533"/>
      <c r="FT205" s="533"/>
      <c r="FU205" s="533"/>
      <c r="FV205" s="533"/>
      <c r="FW205" s="533"/>
      <c r="FX205" s="533"/>
      <c r="FY205" s="533"/>
      <c r="FZ205" s="533"/>
      <c r="GA205" s="533"/>
      <c r="GB205" s="533"/>
      <c r="GC205" s="533"/>
      <c r="GD205" s="533"/>
      <c r="GE205" s="533"/>
      <c r="GF205" s="533"/>
      <c r="GG205" s="533"/>
      <c r="GH205" s="533"/>
      <c r="GI205" s="533"/>
      <c r="GJ205" s="533"/>
      <c r="GK205" s="533"/>
      <c r="GL205" s="533"/>
      <c r="GM205" s="533"/>
      <c r="GN205" s="533"/>
      <c r="GO205" s="533"/>
      <c r="GP205" s="533"/>
      <c r="GQ205" s="533"/>
      <c r="GR205" s="533"/>
      <c r="GS205" s="533"/>
      <c r="GT205" s="533"/>
      <c r="GU205" s="533"/>
      <c r="GV205" s="533"/>
      <c r="GW205" s="533"/>
      <c r="GX205" s="533"/>
      <c r="GY205" s="533"/>
      <c r="GZ205" s="533"/>
      <c r="HA205" s="533"/>
      <c r="HB205" s="534"/>
    </row>
    <row r="206" spans="1:210" ht="19.8">
      <c r="A206" s="164"/>
      <c r="B206" s="306" t="s">
        <v>1488</v>
      </c>
      <c r="C206" s="503"/>
      <c r="D206" s="503"/>
      <c r="E206" s="503"/>
      <c r="F206" s="503"/>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26"/>
      <c r="AI206" s="326"/>
      <c r="AJ206" s="326"/>
      <c r="AK206" s="326"/>
      <c r="AL206" s="326"/>
      <c r="AM206" s="326"/>
      <c r="AN206" s="326"/>
      <c r="AO206" s="531"/>
      <c r="AP206" s="531"/>
      <c r="AQ206" s="532"/>
      <c r="AR206" s="532"/>
      <c r="AS206" s="532"/>
      <c r="AT206" s="532"/>
      <c r="AU206" s="532"/>
      <c r="AV206" s="532"/>
      <c r="AW206" s="326"/>
      <c r="AX206" s="326"/>
      <c r="AY206" s="326"/>
      <c r="AZ206" s="326"/>
      <c r="BA206" s="326"/>
      <c r="BB206" s="326"/>
      <c r="BC206" s="326"/>
      <c r="BD206" s="326"/>
      <c r="BE206" s="326"/>
      <c r="BF206" s="326"/>
      <c r="BG206" s="326"/>
      <c r="BH206" s="326"/>
      <c r="BI206" s="326"/>
      <c r="BJ206" s="326"/>
      <c r="BK206" s="326"/>
      <c r="BL206" s="326"/>
      <c r="BM206" s="326"/>
      <c r="BN206" s="326"/>
      <c r="BO206" s="326"/>
      <c r="BP206" s="326"/>
      <c r="BQ206" s="532"/>
      <c r="BR206" s="532"/>
      <c r="BS206" s="532"/>
      <c r="BT206" s="532"/>
      <c r="BU206" s="532"/>
      <c r="BV206" s="532"/>
      <c r="BW206" s="533"/>
      <c r="BX206" s="533"/>
      <c r="BY206" s="533"/>
      <c r="BZ206" s="533"/>
      <c r="CA206" s="533"/>
      <c r="CB206" s="533"/>
      <c r="CC206" s="533"/>
      <c r="CD206" s="533"/>
      <c r="CE206" s="533"/>
      <c r="CF206" s="533"/>
      <c r="CG206" s="533"/>
      <c r="CH206" s="533"/>
      <c r="CI206" s="533"/>
      <c r="CJ206" s="533"/>
      <c r="CK206" s="533"/>
      <c r="CL206" s="533"/>
      <c r="CM206" s="533"/>
      <c r="CN206" s="533"/>
      <c r="CO206" s="533"/>
      <c r="CP206" s="533"/>
      <c r="CQ206" s="533"/>
      <c r="CR206" s="533"/>
      <c r="CS206" s="533"/>
      <c r="CT206" s="533"/>
      <c r="CU206" s="533"/>
      <c r="CV206" s="533"/>
      <c r="CW206" s="533"/>
      <c r="CX206" s="533"/>
      <c r="CY206" s="533"/>
      <c r="CZ206" s="533"/>
      <c r="DA206" s="533"/>
      <c r="DB206" s="533"/>
      <c r="DC206" s="533"/>
      <c r="DD206" s="533"/>
      <c r="DE206" s="533"/>
      <c r="DF206" s="533"/>
      <c r="DG206" s="533"/>
      <c r="DH206" s="533"/>
      <c r="DI206" s="533"/>
      <c r="DJ206" s="533"/>
      <c r="DK206" s="533"/>
      <c r="DL206" s="533"/>
      <c r="DM206" s="533"/>
      <c r="DN206" s="533"/>
      <c r="DO206" s="533"/>
      <c r="DP206" s="533"/>
      <c r="DQ206" s="533"/>
      <c r="DR206" s="533"/>
      <c r="DS206" s="533"/>
      <c r="DT206" s="533"/>
      <c r="DU206" s="533"/>
      <c r="DV206" s="533"/>
      <c r="DW206" s="533"/>
      <c r="DX206" s="533"/>
      <c r="DY206" s="533"/>
      <c r="DZ206" s="533"/>
      <c r="EA206" s="533"/>
      <c r="EB206" s="533"/>
      <c r="EC206" s="533"/>
      <c r="ED206" s="533"/>
      <c r="EE206" s="533"/>
      <c r="EF206" s="533"/>
      <c r="EG206" s="533"/>
      <c r="EH206" s="533"/>
      <c r="EI206" s="533"/>
      <c r="EJ206" s="533"/>
      <c r="EK206" s="533"/>
      <c r="EL206" s="533"/>
      <c r="EM206" s="533"/>
      <c r="EN206" s="533"/>
      <c r="EO206" s="533"/>
      <c r="EP206" s="533"/>
      <c r="EQ206" s="533"/>
      <c r="ER206" s="533"/>
      <c r="ES206" s="533"/>
      <c r="ET206" s="533"/>
      <c r="EU206" s="533"/>
      <c r="EV206" s="533"/>
      <c r="EW206" s="533"/>
      <c r="EX206" s="533"/>
      <c r="EY206" s="533"/>
      <c r="EZ206" s="533"/>
      <c r="FA206" s="533"/>
      <c r="FB206" s="533"/>
      <c r="FC206" s="533"/>
      <c r="FD206" s="533"/>
      <c r="FE206" s="533"/>
      <c r="FF206" s="533"/>
      <c r="FG206" s="533"/>
      <c r="FH206" s="533"/>
      <c r="FI206" s="533"/>
      <c r="FJ206" s="533"/>
      <c r="FK206" s="533"/>
      <c r="FL206" s="533"/>
      <c r="FM206" s="533"/>
      <c r="FN206" s="533"/>
      <c r="FO206" s="533"/>
      <c r="FP206" s="533"/>
      <c r="FQ206" s="533"/>
      <c r="FR206" s="533"/>
      <c r="FS206" s="533"/>
      <c r="FT206" s="533"/>
      <c r="FU206" s="533"/>
      <c r="FV206" s="533"/>
      <c r="FW206" s="533"/>
      <c r="FX206" s="533"/>
      <c r="FY206" s="533"/>
      <c r="FZ206" s="533"/>
      <c r="GA206" s="533"/>
      <c r="GB206" s="533"/>
      <c r="GC206" s="533"/>
      <c r="GD206" s="533"/>
      <c r="GE206" s="533"/>
      <c r="GF206" s="533"/>
      <c r="GG206" s="533"/>
      <c r="GH206" s="533"/>
      <c r="GI206" s="533"/>
      <c r="GJ206" s="533"/>
      <c r="GK206" s="533"/>
      <c r="GL206" s="533"/>
      <c r="GM206" s="533"/>
      <c r="GN206" s="533"/>
      <c r="GO206" s="533"/>
      <c r="GP206" s="533"/>
      <c r="GQ206" s="533"/>
      <c r="GR206" s="533"/>
      <c r="GS206" s="533"/>
      <c r="GT206" s="533"/>
      <c r="GU206" s="533"/>
      <c r="GV206" s="533"/>
      <c r="GW206" s="533"/>
      <c r="GX206" s="533"/>
      <c r="GY206" s="533"/>
      <c r="GZ206" s="533"/>
      <c r="HA206" s="533"/>
      <c r="HB206" s="534"/>
    </row>
    <row r="207" spans="1:210" ht="20.399999999999999" thickBot="1">
      <c r="A207" s="164"/>
      <c r="B207" s="364" t="s">
        <v>1489</v>
      </c>
      <c r="C207" s="535"/>
      <c r="D207" s="535"/>
      <c r="E207" s="535"/>
      <c r="F207" s="535"/>
      <c r="G207" s="536"/>
      <c r="H207" s="536"/>
      <c r="I207" s="536"/>
      <c r="J207" s="536"/>
      <c r="K207" s="536"/>
      <c r="L207" s="536"/>
      <c r="M207" s="536"/>
      <c r="N207" s="536"/>
      <c r="O207" s="536"/>
      <c r="P207" s="536"/>
      <c r="Q207" s="536"/>
      <c r="R207" s="536"/>
      <c r="S207" s="536"/>
      <c r="T207" s="536"/>
      <c r="U207" s="536"/>
      <c r="V207" s="536"/>
      <c r="W207" s="536"/>
      <c r="X207" s="536"/>
      <c r="Y207" s="536"/>
      <c r="Z207" s="536"/>
      <c r="AA207" s="536"/>
      <c r="AB207" s="536"/>
      <c r="AC207" s="536"/>
      <c r="AD207" s="536"/>
      <c r="AE207" s="536"/>
      <c r="AF207" s="536"/>
      <c r="AG207" s="536"/>
      <c r="AH207" s="536"/>
      <c r="AI207" s="536"/>
      <c r="AJ207" s="536"/>
      <c r="AK207" s="536"/>
      <c r="AL207" s="536"/>
      <c r="AM207" s="536"/>
      <c r="AN207" s="536"/>
      <c r="AO207" s="537"/>
      <c r="AP207" s="537"/>
      <c r="AQ207" s="538"/>
      <c r="AR207" s="538"/>
      <c r="AS207" s="538"/>
      <c r="AT207" s="538"/>
      <c r="AU207" s="538"/>
      <c r="AV207" s="538"/>
      <c r="AW207" s="536"/>
      <c r="AX207" s="536"/>
      <c r="AY207" s="536"/>
      <c r="AZ207" s="536"/>
      <c r="BA207" s="536"/>
      <c r="BB207" s="536"/>
      <c r="BC207" s="536"/>
      <c r="BD207" s="536"/>
      <c r="BE207" s="536"/>
      <c r="BF207" s="536"/>
      <c r="BG207" s="536"/>
      <c r="BH207" s="536"/>
      <c r="BI207" s="536"/>
      <c r="BJ207" s="536"/>
      <c r="BK207" s="536"/>
      <c r="BL207" s="536"/>
      <c r="BM207" s="536"/>
      <c r="BN207" s="536"/>
      <c r="BO207" s="536"/>
      <c r="BP207" s="536"/>
      <c r="BQ207" s="538"/>
      <c r="BR207" s="538"/>
      <c r="BS207" s="538"/>
      <c r="BT207" s="538"/>
      <c r="BU207" s="538"/>
      <c r="BV207" s="538"/>
      <c r="BW207" s="539"/>
      <c r="BX207" s="539"/>
      <c r="BY207" s="539"/>
      <c r="BZ207" s="539"/>
      <c r="CA207" s="539"/>
      <c r="CB207" s="539"/>
      <c r="CC207" s="539"/>
      <c r="CD207" s="539"/>
      <c r="CE207" s="539"/>
      <c r="CF207" s="539"/>
      <c r="CG207" s="539"/>
      <c r="CH207" s="539"/>
      <c r="CI207" s="539"/>
      <c r="CJ207" s="539"/>
      <c r="CK207" s="539"/>
      <c r="CL207" s="539"/>
      <c r="CM207" s="539"/>
      <c r="CN207" s="539"/>
      <c r="CO207" s="539"/>
      <c r="CP207" s="539"/>
      <c r="CQ207" s="539"/>
      <c r="CR207" s="539"/>
      <c r="CS207" s="539"/>
      <c r="CT207" s="539"/>
      <c r="CU207" s="539"/>
      <c r="CV207" s="539"/>
      <c r="CW207" s="539"/>
      <c r="CX207" s="539"/>
      <c r="CY207" s="539"/>
      <c r="CZ207" s="539"/>
      <c r="DA207" s="539"/>
      <c r="DB207" s="539"/>
      <c r="DC207" s="539"/>
      <c r="DD207" s="539"/>
      <c r="DE207" s="539"/>
      <c r="DF207" s="539"/>
      <c r="DG207" s="539"/>
      <c r="DH207" s="539"/>
      <c r="DI207" s="539"/>
      <c r="DJ207" s="539"/>
      <c r="DK207" s="539"/>
      <c r="DL207" s="539"/>
      <c r="DM207" s="539"/>
      <c r="DN207" s="539"/>
      <c r="DO207" s="539"/>
      <c r="DP207" s="539"/>
      <c r="DQ207" s="539"/>
      <c r="DR207" s="539"/>
      <c r="DS207" s="539"/>
      <c r="DT207" s="539"/>
      <c r="DU207" s="539"/>
      <c r="DV207" s="539"/>
      <c r="DW207" s="539"/>
      <c r="DX207" s="539"/>
      <c r="DY207" s="539"/>
      <c r="DZ207" s="539"/>
      <c r="EA207" s="539"/>
      <c r="EB207" s="539"/>
      <c r="EC207" s="539"/>
      <c r="ED207" s="539"/>
      <c r="EE207" s="539"/>
      <c r="EF207" s="539"/>
      <c r="EG207" s="539"/>
      <c r="EH207" s="539"/>
      <c r="EI207" s="539"/>
      <c r="EJ207" s="539"/>
      <c r="EK207" s="539"/>
      <c r="EL207" s="539"/>
      <c r="EM207" s="539"/>
      <c r="EN207" s="539"/>
      <c r="EO207" s="539"/>
      <c r="EP207" s="539"/>
      <c r="EQ207" s="539"/>
      <c r="ER207" s="539"/>
      <c r="ES207" s="539"/>
      <c r="ET207" s="539"/>
      <c r="EU207" s="539"/>
      <c r="EV207" s="539"/>
      <c r="EW207" s="539"/>
      <c r="EX207" s="539"/>
      <c r="EY207" s="539"/>
      <c r="EZ207" s="539"/>
      <c r="FA207" s="539"/>
      <c r="FB207" s="539"/>
      <c r="FC207" s="539"/>
      <c r="FD207" s="539"/>
      <c r="FE207" s="539"/>
      <c r="FF207" s="539"/>
      <c r="FG207" s="539"/>
      <c r="FH207" s="539"/>
      <c r="FI207" s="539"/>
      <c r="FJ207" s="539"/>
      <c r="FK207" s="539"/>
      <c r="FL207" s="539"/>
      <c r="FM207" s="539"/>
      <c r="FN207" s="539"/>
      <c r="FO207" s="539"/>
      <c r="FP207" s="539"/>
      <c r="FQ207" s="539"/>
      <c r="FR207" s="539"/>
      <c r="FS207" s="539"/>
      <c r="FT207" s="539"/>
      <c r="FU207" s="539"/>
      <c r="FV207" s="539"/>
      <c r="FW207" s="539"/>
      <c r="FX207" s="539"/>
      <c r="FY207" s="539"/>
      <c r="FZ207" s="539"/>
      <c r="GA207" s="539"/>
      <c r="GB207" s="539"/>
      <c r="GC207" s="539"/>
      <c r="GD207" s="539"/>
      <c r="GE207" s="539"/>
      <c r="GF207" s="539"/>
      <c r="GG207" s="539"/>
      <c r="GH207" s="539"/>
      <c r="GI207" s="539"/>
      <c r="GJ207" s="539"/>
      <c r="GK207" s="539"/>
      <c r="GL207" s="539"/>
      <c r="GM207" s="539"/>
      <c r="GN207" s="539"/>
      <c r="GO207" s="539"/>
      <c r="GP207" s="539"/>
      <c r="GQ207" s="539"/>
      <c r="GR207" s="539"/>
      <c r="GS207" s="539"/>
      <c r="GT207" s="539"/>
      <c r="GU207" s="539"/>
      <c r="GV207" s="539"/>
      <c r="GW207" s="539"/>
      <c r="GX207" s="539"/>
      <c r="GY207" s="539"/>
      <c r="GZ207" s="539"/>
      <c r="HA207" s="539"/>
      <c r="HB207" s="540"/>
    </row>
    <row r="208" spans="1:210" ht="39.6">
      <c r="A208" s="164"/>
      <c r="B208" s="541" t="s">
        <v>1490</v>
      </c>
      <c r="C208" s="318" t="s">
        <v>628</v>
      </c>
      <c r="D208" s="318" t="s">
        <v>464</v>
      </c>
      <c r="E208" s="318" t="s">
        <v>1391</v>
      </c>
      <c r="F208" s="332" t="s">
        <v>1392</v>
      </c>
      <c r="G208" s="542" t="s">
        <v>465</v>
      </c>
      <c r="H208" s="543" t="s">
        <v>629</v>
      </c>
      <c r="I208" s="544" t="s">
        <v>641</v>
      </c>
      <c r="J208" s="545" t="s">
        <v>642</v>
      </c>
      <c r="K208" s="546" t="s">
        <v>1491</v>
      </c>
      <c r="L208" s="547" t="s">
        <v>1492</v>
      </c>
      <c r="M208" s="548" t="s">
        <v>1493</v>
      </c>
      <c r="N208" s="546" t="s">
        <v>1494</v>
      </c>
      <c r="O208" s="547" t="s">
        <v>1495</v>
      </c>
      <c r="P208" s="318" t="s">
        <v>1496</v>
      </c>
      <c r="Q208" s="547" t="s">
        <v>1497</v>
      </c>
      <c r="R208" s="318" t="s">
        <v>1498</v>
      </c>
      <c r="S208" s="318" t="s">
        <v>1499</v>
      </c>
      <c r="T208" s="318" t="s">
        <v>1492</v>
      </c>
      <c r="U208" s="494" t="s">
        <v>1493</v>
      </c>
      <c r="V208" s="200"/>
      <c r="W208" s="200"/>
      <c r="X208" s="251"/>
      <c r="Y208" s="251"/>
      <c r="Z208" s="251"/>
      <c r="AA208" s="251"/>
      <c r="AB208" s="251"/>
      <c r="AC208" s="251"/>
      <c r="AD208" s="251"/>
      <c r="AE208" s="251"/>
      <c r="AF208" s="251"/>
      <c r="AG208" s="251"/>
      <c r="AH208" s="251"/>
      <c r="AI208" s="251"/>
      <c r="AJ208" s="251"/>
      <c r="AK208" s="251"/>
      <c r="AL208" s="251"/>
      <c r="AM208" s="251"/>
      <c r="AN208" s="251"/>
      <c r="AO208" s="495"/>
      <c r="AP208" s="495"/>
      <c r="AQ208" s="249"/>
      <c r="AR208" s="249"/>
      <c r="AS208" s="249"/>
      <c r="AT208" s="249"/>
      <c r="AU208" s="249"/>
      <c r="AV208" s="249"/>
      <c r="AW208" s="251"/>
      <c r="AX208" s="251"/>
      <c r="AY208" s="251"/>
      <c r="AZ208" s="251"/>
      <c r="BA208" s="251"/>
      <c r="BB208" s="251"/>
      <c r="BC208" s="251"/>
      <c r="BD208" s="251"/>
      <c r="BE208" s="251"/>
      <c r="BF208" s="251"/>
      <c r="BG208" s="251"/>
      <c r="BH208" s="251"/>
      <c r="BI208" s="251"/>
      <c r="BJ208" s="251"/>
      <c r="BK208" s="251"/>
      <c r="BL208" s="251"/>
      <c r="BM208" s="251"/>
      <c r="BN208" s="251"/>
      <c r="BO208" s="251"/>
      <c r="BP208" s="251"/>
      <c r="BQ208" s="249"/>
      <c r="BR208" s="249"/>
      <c r="BS208" s="249"/>
      <c r="BT208" s="249"/>
      <c r="BU208" s="249"/>
      <c r="BV208" s="249"/>
      <c r="BW208" s="496"/>
      <c r="BX208" s="496"/>
      <c r="BY208" s="496"/>
      <c r="BZ208" s="496"/>
      <c r="CA208" s="496"/>
      <c r="CB208" s="496"/>
      <c r="CC208" s="496"/>
      <c r="CD208" s="496"/>
      <c r="CE208" s="496"/>
      <c r="CF208" s="496"/>
      <c r="CG208" s="496"/>
      <c r="CH208" s="496"/>
      <c r="CI208" s="496"/>
      <c r="CJ208" s="496"/>
      <c r="CK208" s="496"/>
      <c r="CL208" s="496"/>
      <c r="CM208" s="496"/>
      <c r="CN208" s="496"/>
      <c r="CO208" s="496"/>
      <c r="CP208" s="496"/>
      <c r="CQ208" s="496"/>
      <c r="CR208" s="496"/>
      <c r="CS208" s="496"/>
      <c r="CT208" s="496"/>
      <c r="CU208" s="496"/>
      <c r="CV208" s="496"/>
      <c r="CW208" s="496"/>
      <c r="CX208" s="496"/>
      <c r="CY208" s="496"/>
      <c r="CZ208" s="496"/>
      <c r="DA208" s="496"/>
      <c r="DB208" s="496"/>
      <c r="DC208" s="496"/>
      <c r="DD208" s="496"/>
      <c r="DE208" s="496"/>
      <c r="DF208" s="496"/>
      <c r="DG208" s="496"/>
      <c r="DH208" s="496"/>
      <c r="DI208" s="496"/>
      <c r="DJ208" s="496"/>
      <c r="DK208" s="496"/>
      <c r="DL208" s="496"/>
      <c r="DM208" s="496"/>
      <c r="DN208" s="496"/>
      <c r="DO208" s="496"/>
      <c r="DP208" s="496"/>
      <c r="DQ208" s="496"/>
      <c r="DR208" s="496"/>
      <c r="DS208" s="496"/>
      <c r="DT208" s="496"/>
      <c r="DU208" s="496"/>
      <c r="DV208" s="496"/>
      <c r="DW208" s="496"/>
      <c r="DX208" s="496"/>
      <c r="DY208" s="496"/>
      <c r="DZ208" s="496"/>
      <c r="EA208" s="496"/>
      <c r="EB208" s="496"/>
      <c r="EC208" s="496"/>
      <c r="ED208" s="496"/>
      <c r="EE208" s="496"/>
      <c r="EF208" s="496"/>
      <c r="EG208" s="496"/>
      <c r="EH208" s="496"/>
      <c r="EI208" s="496"/>
      <c r="EJ208" s="496"/>
      <c r="EK208" s="496"/>
      <c r="EL208" s="496"/>
      <c r="EM208" s="496"/>
      <c r="EN208" s="496"/>
      <c r="EO208" s="496"/>
      <c r="EP208" s="496"/>
      <c r="EQ208" s="496"/>
      <c r="ER208" s="496"/>
      <c r="ES208" s="496"/>
      <c r="ET208" s="496"/>
      <c r="EU208" s="496"/>
      <c r="EV208" s="496"/>
      <c r="EW208" s="496"/>
      <c r="EX208" s="496"/>
      <c r="EY208" s="496"/>
      <c r="EZ208" s="496"/>
      <c r="FA208" s="496"/>
      <c r="FB208" s="496"/>
      <c r="FC208" s="496"/>
      <c r="FD208" s="496"/>
      <c r="FE208" s="496"/>
      <c r="FF208" s="496"/>
      <c r="FG208" s="496"/>
      <c r="FH208" s="496"/>
      <c r="FI208" s="496"/>
      <c r="FJ208" s="496"/>
      <c r="FK208" s="496"/>
      <c r="FL208" s="496"/>
      <c r="FM208" s="496"/>
      <c r="FN208" s="496"/>
      <c r="FO208" s="496"/>
      <c r="FP208" s="496"/>
      <c r="FQ208" s="496"/>
      <c r="FR208" s="496"/>
      <c r="FS208" s="496"/>
      <c r="FT208" s="496"/>
      <c r="FU208" s="496"/>
      <c r="FV208" s="496"/>
      <c r="FW208" s="496"/>
      <c r="FX208" s="496"/>
      <c r="FY208" s="496"/>
      <c r="FZ208" s="496"/>
      <c r="GA208" s="496"/>
      <c r="GB208" s="496"/>
      <c r="GC208" s="496"/>
      <c r="GD208" s="496"/>
      <c r="GE208" s="496"/>
      <c r="GF208" s="496"/>
      <c r="GG208" s="496"/>
      <c r="GH208" s="496"/>
      <c r="GI208" s="496"/>
      <c r="GJ208" s="496"/>
      <c r="GK208" s="496"/>
      <c r="GL208" s="496"/>
      <c r="GM208" s="496"/>
      <c r="GN208" s="496"/>
      <c r="GO208" s="496"/>
      <c r="GP208" s="496"/>
      <c r="GQ208" s="496"/>
      <c r="GR208" s="496"/>
      <c r="GS208" s="496"/>
      <c r="GT208" s="496"/>
      <c r="GU208" s="496"/>
      <c r="GV208" s="496"/>
      <c r="GW208" s="496"/>
      <c r="GX208" s="496"/>
      <c r="GY208" s="496"/>
      <c r="GZ208" s="496"/>
      <c r="HA208" s="496"/>
      <c r="HB208" s="496"/>
    </row>
    <row r="209" spans="1:210" ht="19.8">
      <c r="A209" s="164"/>
      <c r="B209" s="410" t="s">
        <v>1500</v>
      </c>
      <c r="C209" s="411"/>
      <c r="D209" s="411"/>
      <c r="E209" s="411"/>
      <c r="F209" s="411"/>
      <c r="G209" s="412"/>
      <c r="H209" s="549"/>
      <c r="I209" s="412"/>
      <c r="J209" s="413"/>
      <c r="K209" s="550" t="s">
        <v>1501</v>
      </c>
      <c r="L209" s="551"/>
      <c r="M209" s="552"/>
      <c r="N209" s="306" t="s">
        <v>376</v>
      </c>
      <c r="O209" s="551"/>
      <c r="P209" s="311"/>
      <c r="Q209" s="551"/>
      <c r="R209" s="311"/>
      <c r="S209" s="311"/>
      <c r="T209" s="311"/>
      <c r="U209" s="315"/>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c r="BZ209" s="200"/>
      <c r="CA209" s="200"/>
      <c r="CB209" s="200"/>
      <c r="CC209" s="200"/>
      <c r="CD209" s="200"/>
      <c r="CE209" s="200"/>
      <c r="CF209" s="200"/>
      <c r="CG209" s="200"/>
      <c r="CH209" s="200"/>
      <c r="CI209" s="200"/>
      <c r="CJ209" s="200"/>
      <c r="CK209" s="200"/>
      <c r="CL209" s="200"/>
      <c r="CM209" s="200"/>
      <c r="CN209" s="200"/>
      <c r="CO209" s="200"/>
      <c r="CP209" s="200"/>
      <c r="CQ209" s="200"/>
      <c r="CR209" s="200"/>
      <c r="CS209" s="200"/>
      <c r="CT209" s="200"/>
      <c r="CU209" s="200"/>
      <c r="CV209" s="200"/>
      <c r="CW209" s="200"/>
      <c r="CX209" s="200"/>
      <c r="CY209" s="200"/>
      <c r="CZ209" s="200"/>
      <c r="DA209" s="200"/>
      <c r="DB209" s="200"/>
      <c r="DC209" s="200"/>
      <c r="DD209" s="200"/>
      <c r="DE209" s="200"/>
      <c r="DF209" s="200"/>
      <c r="DG209" s="200"/>
      <c r="DH209" s="200"/>
      <c r="DI209" s="200"/>
      <c r="DJ209" s="200"/>
      <c r="DK209" s="200"/>
      <c r="DL209" s="200"/>
      <c r="DM209" s="200"/>
      <c r="DN209" s="200"/>
      <c r="DO209" s="200"/>
      <c r="DP209" s="200"/>
      <c r="DQ209" s="200"/>
      <c r="DR209" s="200"/>
      <c r="DS209" s="200"/>
      <c r="DT209" s="200"/>
      <c r="DU209" s="200"/>
      <c r="DV209" s="200"/>
      <c r="DW209" s="200"/>
      <c r="DX209" s="200"/>
      <c r="DY209" s="200"/>
      <c r="DZ209" s="200"/>
      <c r="EA209" s="200"/>
      <c r="EB209" s="200"/>
      <c r="EC209" s="200"/>
      <c r="ED209" s="200"/>
      <c r="EE209" s="200"/>
      <c r="EF209" s="200"/>
      <c r="EG209" s="200"/>
      <c r="EH209" s="200"/>
      <c r="EI209" s="200"/>
      <c r="EJ209" s="200"/>
      <c r="EK209" s="200"/>
      <c r="EL209" s="200"/>
      <c r="EM209" s="200"/>
      <c r="EN209" s="200"/>
      <c r="EO209" s="200"/>
      <c r="EP209" s="200"/>
      <c r="EQ209" s="200"/>
      <c r="ER209" s="200"/>
      <c r="ES209" s="200"/>
      <c r="ET209" s="200"/>
      <c r="EU209" s="200"/>
      <c r="EV209" s="200"/>
      <c r="EW209" s="200"/>
      <c r="EX209" s="200"/>
      <c r="EY209" s="200"/>
      <c r="EZ209" s="200"/>
      <c r="FA209" s="200"/>
      <c r="FB209" s="200"/>
      <c r="FC209" s="200"/>
      <c r="FD209" s="200"/>
      <c r="FE209" s="200"/>
      <c r="FF209" s="200"/>
      <c r="FG209" s="200"/>
      <c r="FH209" s="200"/>
      <c r="FI209" s="200"/>
      <c r="FJ209" s="200"/>
      <c r="FK209" s="200"/>
      <c r="FL209" s="200"/>
      <c r="FM209" s="200"/>
      <c r="FN209" s="200"/>
      <c r="FO209" s="200"/>
      <c r="FP209" s="200"/>
      <c r="FQ209" s="200"/>
      <c r="FR209" s="200"/>
      <c r="FS209" s="200"/>
      <c r="FT209" s="200"/>
      <c r="FU209" s="200"/>
      <c r="FV209" s="200"/>
      <c r="FW209" s="200"/>
      <c r="FX209" s="200"/>
      <c r="FY209" s="200"/>
      <c r="FZ209" s="200"/>
      <c r="GA209" s="200"/>
      <c r="GB209" s="200"/>
      <c r="GC209" s="200"/>
      <c r="GD209" s="200"/>
      <c r="GE209" s="200"/>
      <c r="GF209" s="200"/>
      <c r="GG209" s="200"/>
      <c r="GH209" s="200"/>
      <c r="GI209" s="200"/>
      <c r="GJ209" s="200"/>
      <c r="GK209" s="200"/>
      <c r="GL209" s="200"/>
      <c r="GM209" s="200"/>
      <c r="GN209" s="200"/>
      <c r="GO209" s="200"/>
      <c r="GP209" s="200"/>
      <c r="GQ209" s="200"/>
      <c r="GR209" s="200"/>
      <c r="GS209" s="200"/>
      <c r="GT209" s="200"/>
      <c r="GU209" s="200"/>
      <c r="GV209" s="200"/>
      <c r="GW209" s="200"/>
      <c r="GX209" s="200"/>
      <c r="GY209" s="200"/>
      <c r="GZ209" s="200"/>
      <c r="HA209" s="200"/>
      <c r="HB209" s="200"/>
    </row>
    <row r="210" spans="1:210" ht="19.8">
      <c r="A210" s="164"/>
      <c r="B210" s="421" t="s">
        <v>1502</v>
      </c>
      <c r="C210" s="422"/>
      <c r="D210" s="422"/>
      <c r="E210" s="422"/>
      <c r="F210" s="422"/>
      <c r="G210" s="423"/>
      <c r="H210" s="553"/>
      <c r="I210" s="423"/>
      <c r="J210" s="424"/>
      <c r="K210" s="554" t="s">
        <v>1503</v>
      </c>
      <c r="L210" s="551"/>
      <c r="M210" s="552"/>
      <c r="N210" s="550" t="s">
        <v>395</v>
      </c>
      <c r="O210" s="551"/>
      <c r="P210" s="311"/>
      <c r="Q210" s="551"/>
      <c r="R210" s="311"/>
      <c r="S210" s="311"/>
      <c r="T210" s="311"/>
      <c r="U210" s="315"/>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c r="BZ210" s="200"/>
      <c r="CA210" s="200"/>
      <c r="CB210" s="200"/>
      <c r="CC210" s="200"/>
      <c r="CD210" s="200"/>
      <c r="CE210" s="200"/>
      <c r="CF210" s="200"/>
      <c r="CG210" s="200"/>
      <c r="CH210" s="200"/>
      <c r="CI210" s="200"/>
      <c r="CJ210" s="200"/>
      <c r="CK210" s="200"/>
      <c r="CL210" s="200"/>
      <c r="CM210" s="200"/>
      <c r="CN210" s="200"/>
      <c r="CO210" s="200"/>
      <c r="CP210" s="200"/>
      <c r="CQ210" s="200"/>
      <c r="CR210" s="200"/>
      <c r="CS210" s="200"/>
      <c r="CT210" s="200"/>
      <c r="CU210" s="200"/>
      <c r="CV210" s="200"/>
      <c r="CW210" s="200"/>
      <c r="CX210" s="200"/>
      <c r="CY210" s="200"/>
      <c r="CZ210" s="200"/>
      <c r="DA210" s="200"/>
      <c r="DB210" s="200"/>
      <c r="DC210" s="200"/>
      <c r="DD210" s="200"/>
      <c r="DE210" s="200"/>
      <c r="DF210" s="200"/>
      <c r="DG210" s="200"/>
      <c r="DH210" s="200"/>
      <c r="DI210" s="200"/>
      <c r="DJ210" s="200"/>
      <c r="DK210" s="200"/>
      <c r="DL210" s="200"/>
      <c r="DM210" s="200"/>
      <c r="DN210" s="200"/>
      <c r="DO210" s="200"/>
      <c r="DP210" s="200"/>
      <c r="DQ210" s="200"/>
      <c r="DR210" s="200"/>
      <c r="DS210" s="200"/>
      <c r="DT210" s="200"/>
      <c r="DU210" s="200"/>
      <c r="DV210" s="200"/>
      <c r="DW210" s="200"/>
      <c r="DX210" s="200"/>
      <c r="DY210" s="200"/>
      <c r="DZ210" s="200"/>
      <c r="EA210" s="200"/>
      <c r="EB210" s="200"/>
      <c r="EC210" s="200"/>
      <c r="ED210" s="200"/>
      <c r="EE210" s="200"/>
      <c r="EF210" s="200"/>
      <c r="EG210" s="200"/>
      <c r="EH210" s="200"/>
      <c r="EI210" s="200"/>
      <c r="EJ210" s="200"/>
      <c r="EK210" s="200"/>
      <c r="EL210" s="200"/>
      <c r="EM210" s="200"/>
      <c r="EN210" s="200"/>
      <c r="EO210" s="200"/>
      <c r="EP210" s="200"/>
      <c r="EQ210" s="200"/>
      <c r="ER210" s="200"/>
      <c r="ES210" s="200"/>
      <c r="ET210" s="200"/>
      <c r="EU210" s="200"/>
      <c r="EV210" s="200"/>
      <c r="EW210" s="200"/>
      <c r="EX210" s="200"/>
      <c r="EY210" s="200"/>
      <c r="EZ210" s="200"/>
      <c r="FA210" s="200"/>
      <c r="FB210" s="200"/>
      <c r="FC210" s="200"/>
      <c r="FD210" s="200"/>
      <c r="FE210" s="200"/>
      <c r="FF210" s="200"/>
      <c r="FG210" s="200"/>
      <c r="FH210" s="200"/>
      <c r="FI210" s="200"/>
      <c r="FJ210" s="200"/>
      <c r="FK210" s="200"/>
      <c r="FL210" s="200"/>
      <c r="FM210" s="200"/>
      <c r="FN210" s="200"/>
      <c r="FO210" s="200"/>
      <c r="FP210" s="200"/>
      <c r="FQ210" s="200"/>
      <c r="FR210" s="200"/>
      <c r="FS210" s="200"/>
      <c r="FT210" s="200"/>
      <c r="FU210" s="200"/>
      <c r="FV210" s="200"/>
      <c r="FW210" s="200"/>
      <c r="FX210" s="200"/>
      <c r="FY210" s="200"/>
      <c r="FZ210" s="200"/>
      <c r="GA210" s="200"/>
      <c r="GB210" s="200"/>
      <c r="GC210" s="200"/>
      <c r="GD210" s="200"/>
      <c r="GE210" s="200"/>
      <c r="GF210" s="200"/>
      <c r="GG210" s="200"/>
      <c r="GH210" s="200"/>
      <c r="GI210" s="200"/>
      <c r="GJ210" s="200"/>
      <c r="GK210" s="200"/>
      <c r="GL210" s="200"/>
      <c r="GM210" s="200"/>
      <c r="GN210" s="200"/>
      <c r="GO210" s="200"/>
      <c r="GP210" s="200"/>
      <c r="GQ210" s="200"/>
      <c r="GR210" s="200"/>
      <c r="GS210" s="200"/>
      <c r="GT210" s="200"/>
      <c r="GU210" s="200"/>
      <c r="GV210" s="200"/>
      <c r="GW210" s="200"/>
      <c r="GX210" s="200"/>
      <c r="GY210" s="200"/>
      <c r="GZ210" s="200"/>
      <c r="HA210" s="200"/>
      <c r="HB210" s="200"/>
    </row>
    <row r="211" spans="1:210" ht="19.8">
      <c r="A211" s="164"/>
      <c r="B211" s="421" t="s">
        <v>1504</v>
      </c>
      <c r="C211" s="422"/>
      <c r="D211" s="422"/>
      <c r="E211" s="422"/>
      <c r="F211" s="422"/>
      <c r="G211" s="423"/>
      <c r="H211" s="553"/>
      <c r="I211" s="423"/>
      <c r="J211" s="424"/>
      <c r="K211" s="550" t="s">
        <v>1505</v>
      </c>
      <c r="L211" s="551"/>
      <c r="M211" s="552"/>
      <c r="N211" s="550" t="s">
        <v>409</v>
      </c>
      <c r="O211" s="551"/>
      <c r="P211" s="551"/>
      <c r="Q211" s="311"/>
      <c r="R211" s="311"/>
      <c r="S211" s="311"/>
      <c r="T211" s="311"/>
      <c r="U211" s="315"/>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row>
    <row r="212" spans="1:210" ht="19.8">
      <c r="A212" s="164"/>
      <c r="B212" s="421" t="s">
        <v>1506</v>
      </c>
      <c r="C212" s="422"/>
      <c r="D212" s="422"/>
      <c r="E212" s="422"/>
      <c r="F212" s="422"/>
      <c r="G212" s="423"/>
      <c r="H212" s="553"/>
      <c r="I212" s="423"/>
      <c r="J212" s="424"/>
      <c r="K212" s="554" t="s">
        <v>1503</v>
      </c>
      <c r="L212" s="551"/>
      <c r="M212" s="552"/>
      <c r="N212" s="550" t="s">
        <v>410</v>
      </c>
      <c r="O212" s="551"/>
      <c r="P212" s="551"/>
      <c r="Q212" s="311"/>
      <c r="R212" s="311"/>
      <c r="S212" s="311"/>
      <c r="T212" s="311"/>
      <c r="U212" s="315"/>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c r="CD212" s="200"/>
      <c r="CE212" s="200"/>
      <c r="CF212" s="200"/>
      <c r="CG212" s="200"/>
      <c r="CH212" s="200"/>
      <c r="CI212" s="200"/>
      <c r="CJ212" s="200"/>
      <c r="CK212" s="200"/>
      <c r="CL212" s="200"/>
      <c r="CM212" s="200"/>
      <c r="CN212" s="200"/>
      <c r="CO212" s="200"/>
      <c r="CP212" s="200"/>
      <c r="CQ212" s="200"/>
      <c r="CR212" s="200"/>
      <c r="CS212" s="200"/>
      <c r="CT212" s="200"/>
      <c r="CU212" s="200"/>
      <c r="CV212" s="200"/>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200"/>
      <c r="DS212" s="200"/>
      <c r="DT212" s="200"/>
      <c r="DU212" s="200"/>
      <c r="DV212" s="200"/>
      <c r="DW212" s="200"/>
      <c r="DX212" s="200"/>
      <c r="DY212" s="200"/>
      <c r="DZ212" s="200"/>
      <c r="EA212" s="200"/>
      <c r="EB212" s="200"/>
      <c r="EC212" s="200"/>
      <c r="ED212" s="200"/>
      <c r="EE212" s="200"/>
      <c r="EF212" s="200"/>
      <c r="EG212" s="200"/>
      <c r="EH212" s="200"/>
      <c r="EI212" s="200"/>
      <c r="EJ212" s="200"/>
      <c r="EK212" s="200"/>
      <c r="EL212" s="200"/>
      <c r="EM212" s="200"/>
      <c r="EN212" s="200"/>
      <c r="EO212" s="200"/>
      <c r="EP212" s="200"/>
      <c r="EQ212" s="200"/>
      <c r="ER212" s="200"/>
      <c r="ES212" s="200"/>
      <c r="ET212" s="200"/>
      <c r="EU212" s="200"/>
      <c r="EV212" s="200"/>
      <c r="EW212" s="200"/>
      <c r="EX212" s="200"/>
      <c r="EY212" s="200"/>
      <c r="EZ212" s="200"/>
      <c r="FA212" s="200"/>
      <c r="FB212" s="200"/>
      <c r="FC212" s="200"/>
      <c r="FD212" s="200"/>
      <c r="FE212" s="200"/>
      <c r="FF212" s="200"/>
      <c r="FG212" s="200"/>
      <c r="FH212" s="200"/>
      <c r="FI212" s="200"/>
      <c r="FJ212" s="200"/>
      <c r="FK212" s="200"/>
      <c r="FL212" s="200"/>
      <c r="FM212" s="200"/>
      <c r="FN212" s="200"/>
      <c r="FO212" s="200"/>
      <c r="FP212" s="200"/>
      <c r="FQ212" s="200"/>
      <c r="FR212" s="200"/>
      <c r="FS212" s="200"/>
      <c r="FT212" s="200"/>
      <c r="FU212" s="200"/>
      <c r="FV212" s="200"/>
      <c r="FW212" s="200"/>
      <c r="FX212" s="200"/>
      <c r="FY212" s="200"/>
      <c r="FZ212" s="200"/>
      <c r="GA212" s="200"/>
      <c r="GB212" s="200"/>
      <c r="GC212" s="200"/>
      <c r="GD212" s="200"/>
      <c r="GE212" s="200"/>
      <c r="GF212" s="200"/>
      <c r="GG212" s="200"/>
      <c r="GH212" s="200"/>
      <c r="GI212" s="200"/>
      <c r="GJ212" s="200"/>
      <c r="GK212" s="200"/>
      <c r="GL212" s="200"/>
      <c r="GM212" s="200"/>
      <c r="GN212" s="200"/>
      <c r="GO212" s="200"/>
      <c r="GP212" s="200"/>
      <c r="GQ212" s="200"/>
      <c r="GR212" s="200"/>
      <c r="GS212" s="200"/>
      <c r="GT212" s="200"/>
      <c r="GU212" s="200"/>
      <c r="GV212" s="200"/>
      <c r="GW212" s="200"/>
      <c r="GX212" s="200"/>
      <c r="GY212" s="200"/>
      <c r="GZ212" s="200"/>
      <c r="HA212" s="200"/>
      <c r="HB212" s="200"/>
    </row>
    <row r="213" spans="1:210" ht="19.8">
      <c r="A213" s="164"/>
      <c r="B213" s="421" t="s">
        <v>1507</v>
      </c>
      <c r="C213" s="422"/>
      <c r="D213" s="422"/>
      <c r="E213" s="422"/>
      <c r="F213" s="422"/>
      <c r="G213" s="423"/>
      <c r="H213" s="553"/>
      <c r="I213" s="445"/>
      <c r="J213" s="555"/>
      <c r="K213" s="550" t="s">
        <v>1508</v>
      </c>
      <c r="L213" s="551"/>
      <c r="M213" s="552"/>
      <c r="N213" s="550" t="s">
        <v>643</v>
      </c>
      <c r="O213" s="551"/>
      <c r="P213" s="551"/>
      <c r="Q213" s="311"/>
      <c r="R213" s="311"/>
      <c r="S213" s="311"/>
      <c r="T213" s="311"/>
      <c r="U213" s="315"/>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00"/>
      <c r="CA213" s="200"/>
      <c r="CB213" s="200"/>
      <c r="CC213" s="200"/>
      <c r="CD213" s="200"/>
      <c r="CE213" s="200"/>
      <c r="CF213" s="200"/>
      <c r="CG213" s="200"/>
      <c r="CH213" s="200"/>
      <c r="CI213" s="200"/>
      <c r="CJ213" s="200"/>
      <c r="CK213" s="200"/>
      <c r="CL213" s="200"/>
      <c r="CM213" s="200"/>
      <c r="CN213" s="200"/>
      <c r="CO213" s="200"/>
      <c r="CP213" s="200"/>
      <c r="CQ213" s="200"/>
      <c r="CR213" s="200"/>
      <c r="CS213" s="200"/>
      <c r="CT213" s="200"/>
      <c r="CU213" s="200"/>
      <c r="CV213" s="200"/>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200"/>
      <c r="DS213" s="200"/>
      <c r="DT213" s="200"/>
      <c r="DU213" s="200"/>
      <c r="DV213" s="200"/>
      <c r="DW213" s="200"/>
      <c r="DX213" s="200"/>
      <c r="DY213" s="200"/>
      <c r="DZ213" s="200"/>
      <c r="EA213" s="200"/>
      <c r="EB213" s="200"/>
      <c r="EC213" s="200"/>
      <c r="ED213" s="200"/>
      <c r="EE213" s="200"/>
      <c r="EF213" s="200"/>
      <c r="EG213" s="200"/>
      <c r="EH213" s="200"/>
      <c r="EI213" s="200"/>
      <c r="EJ213" s="200"/>
      <c r="EK213" s="200"/>
      <c r="EL213" s="200"/>
      <c r="EM213" s="200"/>
      <c r="EN213" s="200"/>
      <c r="EO213" s="200"/>
      <c r="EP213" s="200"/>
      <c r="EQ213" s="200"/>
      <c r="ER213" s="200"/>
      <c r="ES213" s="200"/>
      <c r="ET213" s="200"/>
      <c r="EU213" s="200"/>
      <c r="EV213" s="200"/>
      <c r="EW213" s="200"/>
      <c r="EX213" s="200"/>
      <c r="EY213" s="200"/>
      <c r="EZ213" s="200"/>
      <c r="FA213" s="200"/>
      <c r="FB213" s="200"/>
      <c r="FC213" s="200"/>
      <c r="FD213" s="200"/>
      <c r="FE213" s="200"/>
      <c r="FF213" s="200"/>
      <c r="FG213" s="200"/>
      <c r="FH213" s="200"/>
      <c r="FI213" s="200"/>
      <c r="FJ213" s="200"/>
      <c r="FK213" s="200"/>
      <c r="FL213" s="200"/>
      <c r="FM213" s="200"/>
      <c r="FN213" s="200"/>
      <c r="FO213" s="200"/>
      <c r="FP213" s="200"/>
      <c r="FQ213" s="200"/>
      <c r="FR213" s="200"/>
      <c r="FS213" s="200"/>
      <c r="FT213" s="200"/>
      <c r="FU213" s="200"/>
      <c r="FV213" s="200"/>
      <c r="FW213" s="200"/>
      <c r="FX213" s="200"/>
      <c r="FY213" s="200"/>
      <c r="FZ213" s="200"/>
      <c r="GA213" s="200"/>
      <c r="GB213" s="200"/>
      <c r="GC213" s="200"/>
      <c r="GD213" s="200"/>
      <c r="GE213" s="200"/>
      <c r="GF213" s="200"/>
      <c r="GG213" s="200"/>
      <c r="GH213" s="200"/>
      <c r="GI213" s="200"/>
      <c r="GJ213" s="200"/>
      <c r="GK213" s="200"/>
      <c r="GL213" s="200"/>
      <c r="GM213" s="200"/>
      <c r="GN213" s="200"/>
      <c r="GO213" s="200"/>
      <c r="GP213" s="200"/>
      <c r="GQ213" s="200"/>
      <c r="GR213" s="200"/>
      <c r="GS213" s="200"/>
      <c r="GT213" s="200"/>
      <c r="GU213" s="200"/>
      <c r="GV213" s="200"/>
      <c r="GW213" s="200"/>
      <c r="GX213" s="200"/>
      <c r="GY213" s="200"/>
      <c r="GZ213" s="200"/>
      <c r="HA213" s="200"/>
      <c r="HB213" s="200"/>
    </row>
    <row r="214" spans="1:210" ht="19.8">
      <c r="A214" s="164"/>
      <c r="B214" s="410" t="s">
        <v>1509</v>
      </c>
      <c r="C214" s="411"/>
      <c r="D214" s="411"/>
      <c r="E214" s="411"/>
      <c r="F214" s="411"/>
      <c r="G214" s="411"/>
      <c r="H214" s="556"/>
      <c r="I214" s="412"/>
      <c r="J214" s="413"/>
      <c r="K214" s="550" t="s">
        <v>1510</v>
      </c>
      <c r="L214" s="551"/>
      <c r="M214" s="552"/>
      <c r="N214" s="550" t="s">
        <v>643</v>
      </c>
      <c r="O214" s="551"/>
      <c r="P214" s="551"/>
      <c r="Q214" s="311"/>
      <c r="R214" s="311"/>
      <c r="S214" s="311"/>
      <c r="T214" s="311"/>
      <c r="U214" s="315"/>
      <c r="V214" s="200"/>
      <c r="W214" s="200"/>
      <c r="X214" s="496"/>
      <c r="Y214" s="496"/>
      <c r="Z214" s="496"/>
      <c r="AA214" s="496"/>
      <c r="AB214" s="496"/>
      <c r="AC214" s="496"/>
      <c r="AD214" s="496"/>
      <c r="AE214" s="496"/>
      <c r="AF214" s="496"/>
      <c r="AG214" s="496"/>
      <c r="AH214" s="496"/>
      <c r="AI214" s="496"/>
      <c r="AJ214" s="496"/>
      <c r="AK214" s="496"/>
      <c r="AL214" s="496"/>
      <c r="AM214" s="496"/>
      <c r="AN214" s="496"/>
      <c r="AO214" s="496"/>
      <c r="AP214" s="496"/>
      <c r="AQ214" s="496"/>
      <c r="AR214" s="496"/>
      <c r="AS214" s="496"/>
      <c r="AT214" s="496"/>
      <c r="AU214" s="496"/>
      <c r="AV214" s="496"/>
      <c r="AW214" s="496"/>
      <c r="AX214" s="496"/>
      <c r="AY214" s="496"/>
      <c r="AZ214" s="496"/>
      <c r="BA214" s="496"/>
      <c r="BB214" s="496"/>
      <c r="BC214" s="496"/>
      <c r="BD214" s="496"/>
      <c r="BE214" s="496"/>
      <c r="BF214" s="496"/>
      <c r="BG214" s="496"/>
      <c r="BH214" s="496"/>
      <c r="BI214" s="496"/>
      <c r="BJ214" s="496"/>
      <c r="BK214" s="496"/>
      <c r="BL214" s="496"/>
      <c r="BM214" s="496"/>
      <c r="BN214" s="496"/>
      <c r="BO214" s="496"/>
      <c r="BP214" s="496"/>
      <c r="BQ214" s="496"/>
      <c r="BR214" s="496"/>
      <c r="BS214" s="496"/>
      <c r="BT214" s="496"/>
      <c r="BU214" s="496"/>
      <c r="BV214" s="496"/>
      <c r="BW214" s="496"/>
      <c r="BX214" s="496"/>
      <c r="BY214" s="496"/>
      <c r="BZ214" s="496"/>
      <c r="CA214" s="496"/>
      <c r="CB214" s="496"/>
      <c r="CC214" s="496"/>
      <c r="CD214" s="496"/>
      <c r="CE214" s="496"/>
      <c r="CF214" s="496"/>
      <c r="CG214" s="496"/>
      <c r="CH214" s="496"/>
      <c r="CI214" s="496"/>
      <c r="CJ214" s="496"/>
      <c r="CK214" s="496"/>
      <c r="CL214" s="496"/>
      <c r="CM214" s="496"/>
      <c r="CN214" s="496"/>
      <c r="CO214" s="496"/>
      <c r="CP214" s="496"/>
      <c r="CQ214" s="496"/>
      <c r="CR214" s="496"/>
      <c r="CS214" s="496"/>
      <c r="CT214" s="496"/>
      <c r="CU214" s="496"/>
      <c r="CV214" s="496"/>
      <c r="CW214" s="496"/>
      <c r="CX214" s="496"/>
      <c r="CY214" s="496"/>
      <c r="CZ214" s="496"/>
      <c r="DA214" s="496"/>
      <c r="DB214" s="496"/>
      <c r="DC214" s="496"/>
      <c r="DD214" s="496"/>
      <c r="DE214" s="496"/>
      <c r="DF214" s="496"/>
      <c r="DG214" s="496"/>
      <c r="DH214" s="496"/>
      <c r="DI214" s="496"/>
      <c r="DJ214" s="496"/>
      <c r="DK214" s="496"/>
      <c r="DL214" s="496"/>
      <c r="DM214" s="496"/>
      <c r="DN214" s="496"/>
      <c r="DO214" s="496"/>
      <c r="DP214" s="496"/>
      <c r="DQ214" s="496"/>
      <c r="DR214" s="496"/>
      <c r="DS214" s="496"/>
      <c r="DT214" s="496"/>
      <c r="DU214" s="496"/>
      <c r="DV214" s="496"/>
      <c r="DW214" s="496"/>
      <c r="DX214" s="496"/>
      <c r="DY214" s="496"/>
      <c r="DZ214" s="496"/>
      <c r="EA214" s="496"/>
      <c r="EB214" s="496"/>
      <c r="EC214" s="496"/>
      <c r="ED214" s="496"/>
      <c r="EE214" s="496"/>
      <c r="EF214" s="496"/>
      <c r="EG214" s="496"/>
      <c r="EH214" s="496"/>
      <c r="EI214" s="496"/>
      <c r="EJ214" s="496"/>
      <c r="EK214" s="496"/>
      <c r="EL214" s="496"/>
      <c r="EM214" s="496"/>
      <c r="EN214" s="496"/>
      <c r="EO214" s="496"/>
      <c r="EP214" s="496"/>
      <c r="EQ214" s="496"/>
      <c r="ER214" s="496"/>
      <c r="ES214" s="496"/>
      <c r="ET214" s="496"/>
      <c r="EU214" s="496"/>
      <c r="EV214" s="496"/>
      <c r="EW214" s="496"/>
      <c r="EX214" s="496"/>
      <c r="EY214" s="496"/>
      <c r="EZ214" s="496"/>
      <c r="FA214" s="496"/>
      <c r="FB214" s="496"/>
      <c r="FC214" s="496"/>
      <c r="FD214" s="496"/>
      <c r="FE214" s="496"/>
      <c r="FF214" s="496"/>
      <c r="FG214" s="496"/>
      <c r="FH214" s="496"/>
      <c r="FI214" s="496"/>
      <c r="FJ214" s="496"/>
      <c r="FK214" s="496"/>
      <c r="FL214" s="496"/>
      <c r="FM214" s="496"/>
      <c r="FN214" s="496"/>
      <c r="FO214" s="496"/>
      <c r="FP214" s="496"/>
      <c r="FQ214" s="496"/>
      <c r="FR214" s="496"/>
      <c r="FS214" s="496"/>
      <c r="FT214" s="496"/>
      <c r="FU214" s="496"/>
      <c r="FV214" s="496"/>
      <c r="FW214" s="496"/>
      <c r="FX214" s="496"/>
      <c r="FY214" s="496"/>
      <c r="FZ214" s="496"/>
      <c r="GA214" s="496"/>
      <c r="GB214" s="496"/>
      <c r="GC214" s="496"/>
      <c r="GD214" s="496"/>
      <c r="GE214" s="496"/>
      <c r="GF214" s="496"/>
      <c r="GG214" s="496"/>
      <c r="GH214" s="496"/>
      <c r="GI214" s="496"/>
      <c r="GJ214" s="496"/>
      <c r="GK214" s="496"/>
      <c r="GL214" s="496"/>
      <c r="GM214" s="496"/>
      <c r="GN214" s="496"/>
      <c r="GO214" s="496"/>
      <c r="GP214" s="496"/>
      <c r="GQ214" s="496"/>
      <c r="GR214" s="496"/>
      <c r="GS214" s="496"/>
      <c r="GT214" s="496"/>
      <c r="GU214" s="496"/>
      <c r="GV214" s="496"/>
      <c r="GW214" s="496"/>
      <c r="GX214" s="496"/>
      <c r="GY214" s="496"/>
      <c r="GZ214" s="496"/>
      <c r="HA214" s="496"/>
      <c r="HB214" s="496"/>
    </row>
    <row r="215" spans="1:210" ht="19.8">
      <c r="A215" s="164"/>
      <c r="B215" s="421" t="s">
        <v>1511</v>
      </c>
      <c r="C215" s="422"/>
      <c r="D215" s="422"/>
      <c r="E215" s="422"/>
      <c r="F215" s="422"/>
      <c r="G215" s="422"/>
      <c r="H215" s="557"/>
      <c r="I215" s="423"/>
      <c r="J215" s="424"/>
      <c r="K215" s="550" t="s">
        <v>1512</v>
      </c>
      <c r="L215" s="551"/>
      <c r="M215" s="552"/>
      <c r="N215" s="550" t="s">
        <v>477</v>
      </c>
      <c r="O215" s="551"/>
      <c r="P215" s="551"/>
      <c r="Q215" s="311"/>
      <c r="R215" s="311"/>
      <c r="S215" s="311"/>
      <c r="T215" s="311"/>
      <c r="U215" s="315"/>
      <c r="V215" s="200"/>
      <c r="W215" s="200"/>
      <c r="X215" s="496"/>
      <c r="Y215" s="496"/>
      <c r="Z215" s="496"/>
      <c r="AA215" s="496"/>
      <c r="AB215" s="496"/>
      <c r="AC215" s="496"/>
      <c r="AD215" s="496"/>
      <c r="AE215" s="496"/>
      <c r="AF215" s="496"/>
      <c r="AG215" s="496"/>
      <c r="AH215" s="496"/>
      <c r="AI215" s="496"/>
      <c r="AJ215" s="496"/>
      <c r="AK215" s="496"/>
      <c r="AL215" s="496"/>
      <c r="AM215" s="496"/>
      <c r="AN215" s="496"/>
      <c r="AO215" s="496"/>
      <c r="AP215" s="496"/>
      <c r="AQ215" s="496"/>
      <c r="AR215" s="496"/>
      <c r="AS215" s="496"/>
      <c r="AT215" s="496"/>
      <c r="AU215" s="496"/>
      <c r="AV215" s="496"/>
      <c r="AW215" s="496"/>
      <c r="AX215" s="496"/>
      <c r="AY215" s="496"/>
      <c r="AZ215" s="496"/>
      <c r="BA215" s="496"/>
      <c r="BB215" s="496"/>
      <c r="BC215" s="496"/>
      <c r="BD215" s="496"/>
      <c r="BE215" s="496"/>
      <c r="BF215" s="496"/>
      <c r="BG215" s="496"/>
      <c r="BH215" s="496"/>
      <c r="BI215" s="496"/>
      <c r="BJ215" s="496"/>
      <c r="BK215" s="496"/>
      <c r="BL215" s="496"/>
      <c r="BM215" s="496"/>
      <c r="BN215" s="496"/>
      <c r="BO215" s="496"/>
      <c r="BP215" s="496"/>
      <c r="BQ215" s="496"/>
      <c r="BR215" s="496"/>
      <c r="BS215" s="496"/>
      <c r="BT215" s="496"/>
      <c r="BU215" s="496"/>
      <c r="BV215" s="496"/>
      <c r="BW215" s="496"/>
      <c r="BX215" s="496"/>
      <c r="BY215" s="496"/>
      <c r="BZ215" s="496"/>
      <c r="CA215" s="496"/>
      <c r="CB215" s="496"/>
      <c r="CC215" s="496"/>
      <c r="CD215" s="496"/>
      <c r="CE215" s="496"/>
      <c r="CF215" s="496"/>
      <c r="CG215" s="496"/>
      <c r="CH215" s="496"/>
      <c r="CI215" s="496"/>
      <c r="CJ215" s="496"/>
      <c r="CK215" s="496"/>
      <c r="CL215" s="496"/>
      <c r="CM215" s="496"/>
      <c r="CN215" s="496"/>
      <c r="CO215" s="496"/>
      <c r="CP215" s="496"/>
      <c r="CQ215" s="496"/>
      <c r="CR215" s="496"/>
      <c r="CS215" s="496"/>
      <c r="CT215" s="496"/>
      <c r="CU215" s="496"/>
      <c r="CV215" s="496"/>
      <c r="CW215" s="496"/>
      <c r="CX215" s="496"/>
      <c r="CY215" s="496"/>
      <c r="CZ215" s="496"/>
      <c r="DA215" s="496"/>
      <c r="DB215" s="496"/>
      <c r="DC215" s="496"/>
      <c r="DD215" s="496"/>
      <c r="DE215" s="496"/>
      <c r="DF215" s="496"/>
      <c r="DG215" s="496"/>
      <c r="DH215" s="496"/>
      <c r="DI215" s="496"/>
      <c r="DJ215" s="496"/>
      <c r="DK215" s="496"/>
      <c r="DL215" s="496"/>
      <c r="DM215" s="496"/>
      <c r="DN215" s="496"/>
      <c r="DO215" s="496"/>
      <c r="DP215" s="496"/>
      <c r="DQ215" s="496"/>
      <c r="DR215" s="496"/>
      <c r="DS215" s="496"/>
      <c r="DT215" s="496"/>
      <c r="DU215" s="496"/>
      <c r="DV215" s="496"/>
      <c r="DW215" s="496"/>
      <c r="DX215" s="496"/>
      <c r="DY215" s="496"/>
      <c r="DZ215" s="496"/>
      <c r="EA215" s="496"/>
      <c r="EB215" s="496"/>
      <c r="EC215" s="496"/>
      <c r="ED215" s="496"/>
      <c r="EE215" s="496"/>
      <c r="EF215" s="496"/>
      <c r="EG215" s="496"/>
      <c r="EH215" s="496"/>
      <c r="EI215" s="496"/>
      <c r="EJ215" s="496"/>
      <c r="EK215" s="496"/>
      <c r="EL215" s="496"/>
      <c r="EM215" s="496"/>
      <c r="EN215" s="496"/>
      <c r="EO215" s="496"/>
      <c r="EP215" s="496"/>
      <c r="EQ215" s="496"/>
      <c r="ER215" s="496"/>
      <c r="ES215" s="496"/>
      <c r="ET215" s="496"/>
      <c r="EU215" s="496"/>
      <c r="EV215" s="496"/>
      <c r="EW215" s="496"/>
      <c r="EX215" s="496"/>
      <c r="EY215" s="496"/>
      <c r="EZ215" s="496"/>
      <c r="FA215" s="496"/>
      <c r="FB215" s="496"/>
      <c r="FC215" s="496"/>
      <c r="FD215" s="496"/>
      <c r="FE215" s="496"/>
      <c r="FF215" s="496"/>
      <c r="FG215" s="496"/>
      <c r="FH215" s="496"/>
      <c r="FI215" s="496"/>
      <c r="FJ215" s="496"/>
      <c r="FK215" s="496"/>
      <c r="FL215" s="496"/>
      <c r="FM215" s="496"/>
      <c r="FN215" s="496"/>
      <c r="FO215" s="496"/>
      <c r="FP215" s="496"/>
      <c r="FQ215" s="496"/>
      <c r="FR215" s="496"/>
      <c r="FS215" s="496"/>
      <c r="FT215" s="496"/>
      <c r="FU215" s="496"/>
      <c r="FV215" s="496"/>
      <c r="FW215" s="496"/>
      <c r="FX215" s="496"/>
      <c r="FY215" s="496"/>
      <c r="FZ215" s="496"/>
      <c r="GA215" s="496"/>
      <c r="GB215" s="496"/>
      <c r="GC215" s="496"/>
      <c r="GD215" s="496"/>
      <c r="GE215" s="496"/>
      <c r="GF215" s="496"/>
      <c r="GG215" s="496"/>
      <c r="GH215" s="496"/>
      <c r="GI215" s="496"/>
      <c r="GJ215" s="496"/>
      <c r="GK215" s="496"/>
      <c r="GL215" s="496"/>
      <c r="GM215" s="496"/>
      <c r="GN215" s="496"/>
      <c r="GO215" s="496"/>
      <c r="GP215" s="496"/>
      <c r="GQ215" s="496"/>
      <c r="GR215" s="496"/>
      <c r="GS215" s="496"/>
      <c r="GT215" s="496"/>
      <c r="GU215" s="496"/>
      <c r="GV215" s="496"/>
      <c r="GW215" s="496"/>
      <c r="GX215" s="496"/>
      <c r="GY215" s="496"/>
      <c r="GZ215" s="496"/>
      <c r="HA215" s="496"/>
      <c r="HB215" s="496"/>
    </row>
    <row r="216" spans="1:210" ht="19.8">
      <c r="A216" s="164"/>
      <c r="B216" s="421" t="s">
        <v>1513</v>
      </c>
      <c r="C216" s="422"/>
      <c r="D216" s="422"/>
      <c r="E216" s="422"/>
      <c r="F216" s="422"/>
      <c r="G216" s="422"/>
      <c r="H216" s="557"/>
      <c r="I216" s="423"/>
      <c r="J216" s="424"/>
      <c r="K216" s="550" t="s">
        <v>1514</v>
      </c>
      <c r="L216" s="551"/>
      <c r="M216" s="552"/>
      <c r="N216" s="550" t="s">
        <v>477</v>
      </c>
      <c r="O216" s="551"/>
      <c r="P216" s="551"/>
      <c r="Q216" s="311"/>
      <c r="R216" s="311"/>
      <c r="S216" s="311"/>
      <c r="T216" s="311"/>
      <c r="U216" s="315"/>
      <c r="V216" s="200"/>
      <c r="W216" s="200"/>
      <c r="X216" s="496"/>
      <c r="Y216" s="496"/>
      <c r="Z216" s="496"/>
      <c r="AA216" s="496"/>
      <c r="AB216" s="496"/>
      <c r="AC216" s="496"/>
      <c r="AD216" s="496"/>
      <c r="AE216" s="496"/>
      <c r="AF216" s="496"/>
      <c r="AG216" s="496"/>
      <c r="AH216" s="496"/>
      <c r="AI216" s="496"/>
      <c r="AJ216" s="496"/>
      <c r="AK216" s="496"/>
      <c r="AL216" s="496"/>
      <c r="AM216" s="496"/>
      <c r="AN216" s="496"/>
      <c r="AO216" s="496"/>
      <c r="AP216" s="496"/>
      <c r="AQ216" s="496"/>
      <c r="AR216" s="496"/>
      <c r="AS216" s="496"/>
      <c r="AT216" s="496"/>
      <c r="AU216" s="496"/>
      <c r="AV216" s="496"/>
      <c r="AW216" s="496"/>
      <c r="AX216" s="496"/>
      <c r="AY216" s="496"/>
      <c r="AZ216" s="496"/>
      <c r="BA216" s="496"/>
      <c r="BB216" s="496"/>
      <c r="BC216" s="496"/>
      <c r="BD216" s="496"/>
      <c r="BE216" s="496"/>
      <c r="BF216" s="496"/>
      <c r="BG216" s="496"/>
      <c r="BH216" s="496"/>
      <c r="BI216" s="496"/>
      <c r="BJ216" s="496"/>
      <c r="BK216" s="496"/>
      <c r="BL216" s="496"/>
      <c r="BM216" s="496"/>
      <c r="BN216" s="496"/>
      <c r="BO216" s="496"/>
      <c r="BP216" s="496"/>
      <c r="BQ216" s="496"/>
      <c r="BR216" s="496"/>
      <c r="BS216" s="496"/>
      <c r="BT216" s="496"/>
      <c r="BU216" s="496"/>
      <c r="BV216" s="496"/>
      <c r="BW216" s="496"/>
      <c r="BX216" s="496"/>
      <c r="BY216" s="496"/>
      <c r="BZ216" s="496"/>
      <c r="CA216" s="496"/>
      <c r="CB216" s="496"/>
      <c r="CC216" s="496"/>
      <c r="CD216" s="496"/>
      <c r="CE216" s="496"/>
      <c r="CF216" s="496"/>
      <c r="CG216" s="496"/>
      <c r="CH216" s="496"/>
      <c r="CI216" s="496"/>
      <c r="CJ216" s="496"/>
      <c r="CK216" s="496"/>
      <c r="CL216" s="496"/>
      <c r="CM216" s="496"/>
      <c r="CN216" s="496"/>
      <c r="CO216" s="496"/>
      <c r="CP216" s="496"/>
      <c r="CQ216" s="496"/>
      <c r="CR216" s="496"/>
      <c r="CS216" s="496"/>
      <c r="CT216" s="496"/>
      <c r="CU216" s="496"/>
      <c r="CV216" s="496"/>
      <c r="CW216" s="496"/>
      <c r="CX216" s="496"/>
      <c r="CY216" s="496"/>
      <c r="CZ216" s="496"/>
      <c r="DA216" s="496"/>
      <c r="DB216" s="496"/>
      <c r="DC216" s="496"/>
      <c r="DD216" s="496"/>
      <c r="DE216" s="496"/>
      <c r="DF216" s="496"/>
      <c r="DG216" s="496"/>
      <c r="DH216" s="496"/>
      <c r="DI216" s="496"/>
      <c r="DJ216" s="496"/>
      <c r="DK216" s="496"/>
      <c r="DL216" s="496"/>
      <c r="DM216" s="496"/>
      <c r="DN216" s="496"/>
      <c r="DO216" s="496"/>
      <c r="DP216" s="496"/>
      <c r="DQ216" s="496"/>
      <c r="DR216" s="496"/>
      <c r="DS216" s="496"/>
      <c r="DT216" s="496"/>
      <c r="DU216" s="496"/>
      <c r="DV216" s="496"/>
      <c r="DW216" s="496"/>
      <c r="DX216" s="496"/>
      <c r="DY216" s="496"/>
      <c r="DZ216" s="496"/>
      <c r="EA216" s="496"/>
      <c r="EB216" s="496"/>
      <c r="EC216" s="496"/>
      <c r="ED216" s="496"/>
      <c r="EE216" s="496"/>
      <c r="EF216" s="496"/>
      <c r="EG216" s="496"/>
      <c r="EH216" s="496"/>
      <c r="EI216" s="496"/>
      <c r="EJ216" s="496"/>
      <c r="EK216" s="496"/>
      <c r="EL216" s="496"/>
      <c r="EM216" s="496"/>
      <c r="EN216" s="496"/>
      <c r="EO216" s="496"/>
      <c r="EP216" s="496"/>
      <c r="EQ216" s="496"/>
      <c r="ER216" s="496"/>
      <c r="ES216" s="496"/>
      <c r="ET216" s="496"/>
      <c r="EU216" s="496"/>
      <c r="EV216" s="496"/>
      <c r="EW216" s="496"/>
      <c r="EX216" s="496"/>
      <c r="EY216" s="496"/>
      <c r="EZ216" s="496"/>
      <c r="FA216" s="496"/>
      <c r="FB216" s="496"/>
      <c r="FC216" s="496"/>
      <c r="FD216" s="496"/>
      <c r="FE216" s="496"/>
      <c r="FF216" s="496"/>
      <c r="FG216" s="496"/>
      <c r="FH216" s="496"/>
      <c r="FI216" s="496"/>
      <c r="FJ216" s="496"/>
      <c r="FK216" s="496"/>
      <c r="FL216" s="496"/>
      <c r="FM216" s="496"/>
      <c r="FN216" s="496"/>
      <c r="FO216" s="496"/>
      <c r="FP216" s="496"/>
      <c r="FQ216" s="496"/>
      <c r="FR216" s="496"/>
      <c r="FS216" s="496"/>
      <c r="FT216" s="496"/>
      <c r="FU216" s="496"/>
      <c r="FV216" s="496"/>
      <c r="FW216" s="496"/>
      <c r="FX216" s="496"/>
      <c r="FY216" s="496"/>
      <c r="FZ216" s="496"/>
      <c r="GA216" s="496"/>
      <c r="GB216" s="496"/>
      <c r="GC216" s="496"/>
      <c r="GD216" s="496"/>
      <c r="GE216" s="496"/>
      <c r="GF216" s="496"/>
      <c r="GG216" s="496"/>
      <c r="GH216" s="496"/>
      <c r="GI216" s="496"/>
      <c r="GJ216" s="496"/>
      <c r="GK216" s="496"/>
      <c r="GL216" s="496"/>
      <c r="GM216" s="496"/>
      <c r="GN216" s="496"/>
      <c r="GO216" s="496"/>
      <c r="GP216" s="496"/>
      <c r="GQ216" s="496"/>
      <c r="GR216" s="496"/>
      <c r="GS216" s="496"/>
      <c r="GT216" s="496"/>
      <c r="GU216" s="496"/>
      <c r="GV216" s="496"/>
      <c r="GW216" s="496"/>
      <c r="GX216" s="496"/>
      <c r="GY216" s="496"/>
      <c r="GZ216" s="496"/>
      <c r="HA216" s="496"/>
      <c r="HB216" s="496"/>
    </row>
    <row r="217" spans="1:210" ht="19.8">
      <c r="A217" s="164"/>
      <c r="B217" s="421" t="s">
        <v>1515</v>
      </c>
      <c r="C217" s="422"/>
      <c r="D217" s="422"/>
      <c r="E217" s="422"/>
      <c r="F217" s="422"/>
      <c r="G217" s="422"/>
      <c r="H217" s="557"/>
      <c r="I217" s="423"/>
      <c r="J217" s="424"/>
      <c r="K217" s="550" t="s">
        <v>1516</v>
      </c>
      <c r="L217" s="551"/>
      <c r="M217" s="552"/>
      <c r="N217" s="550" t="s">
        <v>412</v>
      </c>
      <c r="O217" s="551"/>
      <c r="P217" s="551"/>
      <c r="Q217" s="311"/>
      <c r="R217" s="311"/>
      <c r="S217" s="311"/>
      <c r="T217" s="311"/>
      <c r="U217" s="315"/>
      <c r="V217" s="200"/>
      <c r="W217" s="200"/>
      <c r="X217" s="496"/>
      <c r="Y217" s="496"/>
      <c r="Z217" s="496"/>
      <c r="AA217" s="496"/>
      <c r="AB217" s="496"/>
      <c r="AC217" s="496"/>
      <c r="AD217" s="496"/>
      <c r="AE217" s="496"/>
      <c r="AF217" s="496"/>
      <c r="AG217" s="496"/>
      <c r="AH217" s="496"/>
      <c r="AI217" s="496"/>
      <c r="AJ217" s="496"/>
      <c r="AK217" s="496"/>
      <c r="AL217" s="496"/>
      <c r="AM217" s="496"/>
      <c r="AN217" s="496"/>
      <c r="AO217" s="496"/>
      <c r="AP217" s="496"/>
      <c r="AQ217" s="496"/>
      <c r="AR217" s="496"/>
      <c r="AS217" s="496"/>
      <c r="AT217" s="496"/>
      <c r="AU217" s="496"/>
      <c r="AV217" s="496"/>
      <c r="AW217" s="496"/>
      <c r="AX217" s="496"/>
      <c r="AY217" s="496"/>
      <c r="AZ217" s="496"/>
      <c r="BA217" s="496"/>
      <c r="BB217" s="496"/>
      <c r="BC217" s="496"/>
      <c r="BD217" s="496"/>
      <c r="BE217" s="496"/>
      <c r="BF217" s="496"/>
      <c r="BG217" s="496"/>
      <c r="BH217" s="496"/>
      <c r="BI217" s="496"/>
      <c r="BJ217" s="496"/>
      <c r="BK217" s="496"/>
      <c r="BL217" s="496"/>
      <c r="BM217" s="496"/>
      <c r="BN217" s="496"/>
      <c r="BO217" s="496"/>
      <c r="BP217" s="496"/>
      <c r="BQ217" s="496"/>
      <c r="BR217" s="496"/>
      <c r="BS217" s="496"/>
      <c r="BT217" s="496"/>
      <c r="BU217" s="496"/>
      <c r="BV217" s="496"/>
      <c r="BW217" s="496"/>
      <c r="BX217" s="496"/>
      <c r="BY217" s="496"/>
      <c r="BZ217" s="496"/>
      <c r="CA217" s="496"/>
      <c r="CB217" s="496"/>
      <c r="CC217" s="496"/>
      <c r="CD217" s="496"/>
      <c r="CE217" s="496"/>
      <c r="CF217" s="496"/>
      <c r="CG217" s="496"/>
      <c r="CH217" s="496"/>
      <c r="CI217" s="496"/>
      <c r="CJ217" s="496"/>
      <c r="CK217" s="496"/>
      <c r="CL217" s="496"/>
      <c r="CM217" s="496"/>
      <c r="CN217" s="496"/>
      <c r="CO217" s="496"/>
      <c r="CP217" s="496"/>
      <c r="CQ217" s="496"/>
      <c r="CR217" s="496"/>
      <c r="CS217" s="496"/>
      <c r="CT217" s="496"/>
      <c r="CU217" s="496"/>
      <c r="CV217" s="496"/>
      <c r="CW217" s="496"/>
      <c r="CX217" s="496"/>
      <c r="CY217" s="496"/>
      <c r="CZ217" s="496"/>
      <c r="DA217" s="496"/>
      <c r="DB217" s="496"/>
      <c r="DC217" s="496"/>
      <c r="DD217" s="496"/>
      <c r="DE217" s="496"/>
      <c r="DF217" s="496"/>
      <c r="DG217" s="496"/>
      <c r="DH217" s="496"/>
      <c r="DI217" s="496"/>
      <c r="DJ217" s="496"/>
      <c r="DK217" s="496"/>
      <c r="DL217" s="496"/>
      <c r="DM217" s="496"/>
      <c r="DN217" s="496"/>
      <c r="DO217" s="496"/>
      <c r="DP217" s="496"/>
      <c r="DQ217" s="496"/>
      <c r="DR217" s="496"/>
      <c r="DS217" s="496"/>
      <c r="DT217" s="496"/>
      <c r="DU217" s="496"/>
      <c r="DV217" s="496"/>
      <c r="DW217" s="496"/>
      <c r="DX217" s="496"/>
      <c r="DY217" s="496"/>
      <c r="DZ217" s="496"/>
      <c r="EA217" s="496"/>
      <c r="EB217" s="496"/>
      <c r="EC217" s="496"/>
      <c r="ED217" s="496"/>
      <c r="EE217" s="496"/>
      <c r="EF217" s="496"/>
      <c r="EG217" s="496"/>
      <c r="EH217" s="496"/>
      <c r="EI217" s="496"/>
      <c r="EJ217" s="496"/>
      <c r="EK217" s="496"/>
      <c r="EL217" s="496"/>
      <c r="EM217" s="496"/>
      <c r="EN217" s="496"/>
      <c r="EO217" s="496"/>
      <c r="EP217" s="496"/>
      <c r="EQ217" s="496"/>
      <c r="ER217" s="496"/>
      <c r="ES217" s="496"/>
      <c r="ET217" s="496"/>
      <c r="EU217" s="496"/>
      <c r="EV217" s="496"/>
      <c r="EW217" s="496"/>
      <c r="EX217" s="496"/>
      <c r="EY217" s="496"/>
      <c r="EZ217" s="496"/>
      <c r="FA217" s="496"/>
      <c r="FB217" s="496"/>
      <c r="FC217" s="496"/>
      <c r="FD217" s="496"/>
      <c r="FE217" s="496"/>
      <c r="FF217" s="496"/>
      <c r="FG217" s="496"/>
      <c r="FH217" s="496"/>
      <c r="FI217" s="496"/>
      <c r="FJ217" s="496"/>
      <c r="FK217" s="496"/>
      <c r="FL217" s="496"/>
      <c r="FM217" s="496"/>
      <c r="FN217" s="496"/>
      <c r="FO217" s="496"/>
      <c r="FP217" s="496"/>
      <c r="FQ217" s="496"/>
      <c r="FR217" s="496"/>
      <c r="FS217" s="496"/>
      <c r="FT217" s="496"/>
      <c r="FU217" s="496"/>
      <c r="FV217" s="496"/>
      <c r="FW217" s="496"/>
      <c r="FX217" s="496"/>
      <c r="FY217" s="496"/>
      <c r="FZ217" s="496"/>
      <c r="GA217" s="496"/>
      <c r="GB217" s="496"/>
      <c r="GC217" s="496"/>
      <c r="GD217" s="496"/>
      <c r="GE217" s="496"/>
      <c r="GF217" s="496"/>
      <c r="GG217" s="496"/>
      <c r="GH217" s="496"/>
      <c r="GI217" s="496"/>
      <c r="GJ217" s="496"/>
      <c r="GK217" s="496"/>
      <c r="GL217" s="496"/>
      <c r="GM217" s="496"/>
      <c r="GN217" s="496"/>
      <c r="GO217" s="496"/>
      <c r="GP217" s="496"/>
      <c r="GQ217" s="496"/>
      <c r="GR217" s="496"/>
      <c r="GS217" s="496"/>
      <c r="GT217" s="496"/>
      <c r="GU217" s="496"/>
      <c r="GV217" s="496"/>
      <c r="GW217" s="496"/>
      <c r="GX217" s="496"/>
      <c r="GY217" s="496"/>
      <c r="GZ217" s="496"/>
      <c r="HA217" s="496"/>
      <c r="HB217" s="496"/>
    </row>
    <row r="218" spans="1:210" ht="19.8">
      <c r="A218" s="164"/>
      <c r="B218" s="421" t="s">
        <v>1517</v>
      </c>
      <c r="C218" s="422"/>
      <c r="D218" s="422"/>
      <c r="E218" s="422"/>
      <c r="F218" s="422"/>
      <c r="G218" s="422"/>
      <c r="H218" s="557"/>
      <c r="I218" s="423"/>
      <c r="J218" s="424"/>
      <c r="K218" s="550" t="s">
        <v>1518</v>
      </c>
      <c r="L218" s="551"/>
      <c r="M218" s="552"/>
      <c r="N218" s="550" t="s">
        <v>414</v>
      </c>
      <c r="O218" s="551"/>
      <c r="P218" s="551"/>
      <c r="Q218" s="311"/>
      <c r="R218" s="311"/>
      <c r="S218" s="311"/>
      <c r="T218" s="311"/>
      <c r="U218" s="315"/>
      <c r="V218" s="200"/>
      <c r="W218" s="200"/>
      <c r="X218" s="496"/>
      <c r="Y218" s="496"/>
      <c r="Z218" s="496"/>
      <c r="AA218" s="496"/>
      <c r="AB218" s="496"/>
      <c r="AC218" s="496"/>
      <c r="AD218" s="496"/>
      <c r="AE218" s="496"/>
      <c r="AF218" s="496"/>
      <c r="AG218" s="496"/>
      <c r="AH218" s="496"/>
      <c r="AI218" s="496"/>
      <c r="AJ218" s="496"/>
      <c r="AK218" s="496"/>
      <c r="AL218" s="496"/>
      <c r="AM218" s="496"/>
      <c r="AN218" s="496"/>
      <c r="AO218" s="496"/>
      <c r="AP218" s="496"/>
      <c r="AQ218" s="496"/>
      <c r="AR218" s="496"/>
      <c r="AS218" s="496"/>
      <c r="AT218" s="496"/>
      <c r="AU218" s="496"/>
      <c r="AV218" s="496"/>
      <c r="AW218" s="496"/>
      <c r="AX218" s="496"/>
      <c r="AY218" s="496"/>
      <c r="AZ218" s="496"/>
      <c r="BA218" s="496"/>
      <c r="BB218" s="496"/>
      <c r="BC218" s="496"/>
      <c r="BD218" s="496"/>
      <c r="BE218" s="496"/>
      <c r="BF218" s="496"/>
      <c r="BG218" s="496"/>
      <c r="BH218" s="496"/>
      <c r="BI218" s="496"/>
      <c r="BJ218" s="496"/>
      <c r="BK218" s="496"/>
      <c r="BL218" s="496"/>
      <c r="BM218" s="496"/>
      <c r="BN218" s="496"/>
      <c r="BO218" s="496"/>
      <c r="BP218" s="496"/>
      <c r="BQ218" s="496"/>
      <c r="BR218" s="496"/>
      <c r="BS218" s="496"/>
      <c r="BT218" s="496"/>
      <c r="BU218" s="496"/>
      <c r="BV218" s="496"/>
      <c r="BW218" s="496"/>
      <c r="BX218" s="496"/>
      <c r="BY218" s="496"/>
      <c r="BZ218" s="496"/>
      <c r="CA218" s="496"/>
      <c r="CB218" s="496"/>
      <c r="CC218" s="496"/>
      <c r="CD218" s="496"/>
      <c r="CE218" s="496"/>
      <c r="CF218" s="496"/>
      <c r="CG218" s="496"/>
      <c r="CH218" s="496"/>
      <c r="CI218" s="496"/>
      <c r="CJ218" s="496"/>
      <c r="CK218" s="496"/>
      <c r="CL218" s="496"/>
      <c r="CM218" s="496"/>
      <c r="CN218" s="496"/>
      <c r="CO218" s="496"/>
      <c r="CP218" s="496"/>
      <c r="CQ218" s="496"/>
      <c r="CR218" s="496"/>
      <c r="CS218" s="496"/>
      <c r="CT218" s="496"/>
      <c r="CU218" s="496"/>
      <c r="CV218" s="496"/>
      <c r="CW218" s="496"/>
      <c r="CX218" s="496"/>
      <c r="CY218" s="496"/>
      <c r="CZ218" s="496"/>
      <c r="DA218" s="496"/>
      <c r="DB218" s="496"/>
      <c r="DC218" s="496"/>
      <c r="DD218" s="496"/>
      <c r="DE218" s="496"/>
      <c r="DF218" s="496"/>
      <c r="DG218" s="496"/>
      <c r="DH218" s="496"/>
      <c r="DI218" s="496"/>
      <c r="DJ218" s="496"/>
      <c r="DK218" s="496"/>
      <c r="DL218" s="496"/>
      <c r="DM218" s="496"/>
      <c r="DN218" s="496"/>
      <c r="DO218" s="496"/>
      <c r="DP218" s="496"/>
      <c r="DQ218" s="496"/>
      <c r="DR218" s="496"/>
      <c r="DS218" s="496"/>
      <c r="DT218" s="496"/>
      <c r="DU218" s="496"/>
      <c r="DV218" s="496"/>
      <c r="DW218" s="496"/>
      <c r="DX218" s="496"/>
      <c r="DY218" s="496"/>
      <c r="DZ218" s="496"/>
      <c r="EA218" s="496"/>
      <c r="EB218" s="496"/>
      <c r="EC218" s="496"/>
      <c r="ED218" s="496"/>
      <c r="EE218" s="496"/>
      <c r="EF218" s="496"/>
      <c r="EG218" s="496"/>
      <c r="EH218" s="496"/>
      <c r="EI218" s="496"/>
      <c r="EJ218" s="496"/>
      <c r="EK218" s="496"/>
      <c r="EL218" s="496"/>
      <c r="EM218" s="496"/>
      <c r="EN218" s="496"/>
      <c r="EO218" s="496"/>
      <c r="EP218" s="496"/>
      <c r="EQ218" s="496"/>
      <c r="ER218" s="496"/>
      <c r="ES218" s="496"/>
      <c r="ET218" s="496"/>
      <c r="EU218" s="496"/>
      <c r="EV218" s="496"/>
      <c r="EW218" s="496"/>
      <c r="EX218" s="496"/>
      <c r="EY218" s="496"/>
      <c r="EZ218" s="496"/>
      <c r="FA218" s="496"/>
      <c r="FB218" s="496"/>
      <c r="FC218" s="496"/>
      <c r="FD218" s="496"/>
      <c r="FE218" s="496"/>
      <c r="FF218" s="496"/>
      <c r="FG218" s="496"/>
      <c r="FH218" s="496"/>
      <c r="FI218" s="496"/>
      <c r="FJ218" s="496"/>
      <c r="FK218" s="496"/>
      <c r="FL218" s="496"/>
      <c r="FM218" s="496"/>
      <c r="FN218" s="496"/>
      <c r="FO218" s="496"/>
      <c r="FP218" s="496"/>
      <c r="FQ218" s="496"/>
      <c r="FR218" s="496"/>
      <c r="FS218" s="496"/>
      <c r="FT218" s="496"/>
      <c r="FU218" s="496"/>
      <c r="FV218" s="496"/>
      <c r="FW218" s="496"/>
      <c r="FX218" s="496"/>
      <c r="FY218" s="496"/>
      <c r="FZ218" s="496"/>
      <c r="GA218" s="496"/>
      <c r="GB218" s="496"/>
      <c r="GC218" s="496"/>
      <c r="GD218" s="496"/>
      <c r="GE218" s="496"/>
      <c r="GF218" s="496"/>
      <c r="GG218" s="496"/>
      <c r="GH218" s="496"/>
      <c r="GI218" s="496"/>
      <c r="GJ218" s="496"/>
      <c r="GK218" s="496"/>
      <c r="GL218" s="496"/>
      <c r="GM218" s="496"/>
      <c r="GN218" s="496"/>
      <c r="GO218" s="496"/>
      <c r="GP218" s="496"/>
      <c r="GQ218" s="496"/>
      <c r="GR218" s="496"/>
      <c r="GS218" s="496"/>
      <c r="GT218" s="496"/>
      <c r="GU218" s="496"/>
      <c r="GV218" s="496"/>
      <c r="GW218" s="496"/>
      <c r="GX218" s="496"/>
      <c r="GY218" s="496"/>
      <c r="GZ218" s="496"/>
      <c r="HA218" s="496"/>
      <c r="HB218" s="496"/>
    </row>
    <row r="219" spans="1:210" ht="19.8">
      <c r="A219" s="164"/>
      <c r="B219" s="421" t="s">
        <v>1519</v>
      </c>
      <c r="C219" s="422"/>
      <c r="D219" s="422"/>
      <c r="E219" s="422"/>
      <c r="F219" s="422"/>
      <c r="G219" s="422"/>
      <c r="H219" s="557"/>
      <c r="I219" s="423"/>
      <c r="J219" s="424"/>
      <c r="K219" s="550" t="s">
        <v>1520</v>
      </c>
      <c r="L219" s="551"/>
      <c r="M219" s="552"/>
      <c r="N219" s="550" t="s">
        <v>416</v>
      </c>
      <c r="O219" s="551"/>
      <c r="P219" s="551"/>
      <c r="Q219" s="311"/>
      <c r="R219" s="311"/>
      <c r="S219" s="311"/>
      <c r="T219" s="311"/>
      <c r="U219" s="315"/>
      <c r="V219" s="200"/>
      <c r="W219" s="200"/>
      <c r="X219" s="496"/>
      <c r="Y219" s="496"/>
      <c r="Z219" s="496"/>
      <c r="AA219" s="496"/>
      <c r="AB219" s="496"/>
      <c r="AC219" s="496"/>
      <c r="AD219" s="496"/>
      <c r="AE219" s="496"/>
      <c r="AF219" s="496"/>
      <c r="AG219" s="496"/>
      <c r="AH219" s="496"/>
      <c r="AI219" s="496"/>
      <c r="AJ219" s="496"/>
      <c r="AK219" s="496"/>
      <c r="AL219" s="496"/>
      <c r="AM219" s="496"/>
      <c r="AN219" s="496"/>
      <c r="AO219" s="496"/>
      <c r="AP219" s="496"/>
      <c r="AQ219" s="496"/>
      <c r="AR219" s="496"/>
      <c r="AS219" s="496"/>
      <c r="AT219" s="496"/>
      <c r="AU219" s="496"/>
      <c r="AV219" s="496"/>
      <c r="AW219" s="496"/>
      <c r="AX219" s="496"/>
      <c r="AY219" s="496"/>
      <c r="AZ219" s="496"/>
      <c r="BA219" s="496"/>
      <c r="BB219" s="496"/>
      <c r="BC219" s="496"/>
      <c r="BD219" s="496"/>
      <c r="BE219" s="496"/>
      <c r="BF219" s="496"/>
      <c r="BG219" s="496"/>
      <c r="BH219" s="496"/>
      <c r="BI219" s="496"/>
      <c r="BJ219" s="496"/>
      <c r="BK219" s="496"/>
      <c r="BL219" s="496"/>
      <c r="BM219" s="496"/>
      <c r="BN219" s="496"/>
      <c r="BO219" s="496"/>
      <c r="BP219" s="496"/>
      <c r="BQ219" s="496"/>
      <c r="BR219" s="496"/>
      <c r="BS219" s="496"/>
      <c r="BT219" s="496"/>
      <c r="BU219" s="496"/>
      <c r="BV219" s="496"/>
      <c r="BW219" s="496"/>
      <c r="BX219" s="496"/>
      <c r="BY219" s="496"/>
      <c r="BZ219" s="496"/>
      <c r="CA219" s="496"/>
      <c r="CB219" s="496"/>
      <c r="CC219" s="496"/>
      <c r="CD219" s="496"/>
      <c r="CE219" s="496"/>
      <c r="CF219" s="496"/>
      <c r="CG219" s="496"/>
      <c r="CH219" s="496"/>
      <c r="CI219" s="496"/>
      <c r="CJ219" s="496"/>
      <c r="CK219" s="496"/>
      <c r="CL219" s="496"/>
      <c r="CM219" s="496"/>
      <c r="CN219" s="496"/>
      <c r="CO219" s="496"/>
      <c r="CP219" s="496"/>
      <c r="CQ219" s="496"/>
      <c r="CR219" s="496"/>
      <c r="CS219" s="496"/>
      <c r="CT219" s="496"/>
      <c r="CU219" s="496"/>
      <c r="CV219" s="496"/>
      <c r="CW219" s="496"/>
      <c r="CX219" s="496"/>
      <c r="CY219" s="496"/>
      <c r="CZ219" s="496"/>
      <c r="DA219" s="496"/>
      <c r="DB219" s="496"/>
      <c r="DC219" s="496"/>
      <c r="DD219" s="496"/>
      <c r="DE219" s="496"/>
      <c r="DF219" s="496"/>
      <c r="DG219" s="496"/>
      <c r="DH219" s="496"/>
      <c r="DI219" s="496"/>
      <c r="DJ219" s="496"/>
      <c r="DK219" s="496"/>
      <c r="DL219" s="496"/>
      <c r="DM219" s="496"/>
      <c r="DN219" s="496"/>
      <c r="DO219" s="496"/>
      <c r="DP219" s="496"/>
      <c r="DQ219" s="496"/>
      <c r="DR219" s="496"/>
      <c r="DS219" s="496"/>
      <c r="DT219" s="496"/>
      <c r="DU219" s="496"/>
      <c r="DV219" s="496"/>
      <c r="DW219" s="496"/>
      <c r="DX219" s="496"/>
      <c r="DY219" s="496"/>
      <c r="DZ219" s="496"/>
      <c r="EA219" s="496"/>
      <c r="EB219" s="496"/>
      <c r="EC219" s="496"/>
      <c r="ED219" s="496"/>
      <c r="EE219" s="496"/>
      <c r="EF219" s="496"/>
      <c r="EG219" s="496"/>
      <c r="EH219" s="496"/>
      <c r="EI219" s="496"/>
      <c r="EJ219" s="496"/>
      <c r="EK219" s="496"/>
      <c r="EL219" s="496"/>
      <c r="EM219" s="496"/>
      <c r="EN219" s="496"/>
      <c r="EO219" s="496"/>
      <c r="EP219" s="496"/>
      <c r="EQ219" s="496"/>
      <c r="ER219" s="496"/>
      <c r="ES219" s="496"/>
      <c r="ET219" s="496"/>
      <c r="EU219" s="496"/>
      <c r="EV219" s="496"/>
      <c r="EW219" s="496"/>
      <c r="EX219" s="496"/>
      <c r="EY219" s="496"/>
      <c r="EZ219" s="496"/>
      <c r="FA219" s="496"/>
      <c r="FB219" s="496"/>
      <c r="FC219" s="496"/>
      <c r="FD219" s="496"/>
      <c r="FE219" s="496"/>
      <c r="FF219" s="496"/>
      <c r="FG219" s="496"/>
      <c r="FH219" s="496"/>
      <c r="FI219" s="496"/>
      <c r="FJ219" s="496"/>
      <c r="FK219" s="496"/>
      <c r="FL219" s="496"/>
      <c r="FM219" s="496"/>
      <c r="FN219" s="496"/>
      <c r="FO219" s="496"/>
      <c r="FP219" s="496"/>
      <c r="FQ219" s="496"/>
      <c r="FR219" s="496"/>
      <c r="FS219" s="496"/>
      <c r="FT219" s="496"/>
      <c r="FU219" s="496"/>
      <c r="FV219" s="496"/>
      <c r="FW219" s="496"/>
      <c r="FX219" s="496"/>
      <c r="FY219" s="496"/>
      <c r="FZ219" s="496"/>
      <c r="GA219" s="496"/>
      <c r="GB219" s="496"/>
      <c r="GC219" s="496"/>
      <c r="GD219" s="496"/>
      <c r="GE219" s="496"/>
      <c r="GF219" s="496"/>
      <c r="GG219" s="496"/>
      <c r="GH219" s="496"/>
      <c r="GI219" s="496"/>
      <c r="GJ219" s="496"/>
      <c r="GK219" s="496"/>
      <c r="GL219" s="496"/>
      <c r="GM219" s="496"/>
      <c r="GN219" s="496"/>
      <c r="GO219" s="496"/>
      <c r="GP219" s="496"/>
      <c r="GQ219" s="496"/>
      <c r="GR219" s="496"/>
      <c r="GS219" s="496"/>
      <c r="GT219" s="496"/>
      <c r="GU219" s="496"/>
      <c r="GV219" s="496"/>
      <c r="GW219" s="496"/>
      <c r="GX219" s="496"/>
      <c r="GY219" s="496"/>
      <c r="GZ219" s="496"/>
      <c r="HA219" s="496"/>
      <c r="HB219" s="496"/>
    </row>
    <row r="220" spans="1:210" ht="20.399999999999999" thickBot="1">
      <c r="A220" s="164"/>
      <c r="B220" s="421" t="s">
        <v>1521</v>
      </c>
      <c r="C220" s="422"/>
      <c r="D220" s="422"/>
      <c r="E220" s="422"/>
      <c r="F220" s="422"/>
      <c r="G220" s="422"/>
      <c r="H220" s="557"/>
      <c r="I220" s="423"/>
      <c r="J220" s="424"/>
      <c r="K220" s="550" t="s">
        <v>1522</v>
      </c>
      <c r="L220" s="551"/>
      <c r="M220" s="552"/>
      <c r="N220" s="558" t="s">
        <v>418</v>
      </c>
      <c r="O220" s="559"/>
      <c r="P220" s="559"/>
      <c r="Q220" s="368"/>
      <c r="R220" s="368"/>
      <c r="S220" s="368"/>
      <c r="T220" s="368"/>
      <c r="U220" s="365"/>
      <c r="V220" s="200"/>
      <c r="W220" s="200"/>
      <c r="X220" s="496"/>
      <c r="Y220" s="496"/>
      <c r="Z220" s="496"/>
      <c r="AA220" s="496"/>
      <c r="AB220" s="496"/>
      <c r="AC220" s="496"/>
      <c r="AD220" s="496"/>
      <c r="AE220" s="496"/>
      <c r="AF220" s="496"/>
      <c r="AG220" s="496"/>
      <c r="AH220" s="496"/>
      <c r="AI220" s="496"/>
      <c r="AJ220" s="496"/>
      <c r="AK220" s="496"/>
      <c r="AL220" s="496"/>
      <c r="AM220" s="496"/>
      <c r="AN220" s="496"/>
      <c r="AO220" s="496"/>
      <c r="AP220" s="496"/>
      <c r="AQ220" s="496"/>
      <c r="AR220" s="496"/>
      <c r="AS220" s="496"/>
      <c r="AT220" s="496"/>
      <c r="AU220" s="496"/>
      <c r="AV220" s="496"/>
      <c r="AW220" s="496"/>
      <c r="AX220" s="496"/>
      <c r="AY220" s="496"/>
      <c r="AZ220" s="496"/>
      <c r="BA220" s="496"/>
      <c r="BB220" s="496"/>
      <c r="BC220" s="496"/>
      <c r="BD220" s="496"/>
      <c r="BE220" s="496"/>
      <c r="BF220" s="496"/>
      <c r="BG220" s="496"/>
      <c r="BH220" s="496"/>
      <c r="BI220" s="496"/>
      <c r="BJ220" s="496"/>
      <c r="BK220" s="496"/>
      <c r="BL220" s="496"/>
      <c r="BM220" s="496"/>
      <c r="BN220" s="496"/>
      <c r="BO220" s="496"/>
      <c r="BP220" s="496"/>
      <c r="BQ220" s="496"/>
      <c r="BR220" s="496"/>
      <c r="BS220" s="496"/>
      <c r="BT220" s="496"/>
      <c r="BU220" s="496"/>
      <c r="BV220" s="496"/>
      <c r="BW220" s="496"/>
      <c r="BX220" s="496"/>
      <c r="BY220" s="496"/>
      <c r="BZ220" s="496"/>
      <c r="CA220" s="496"/>
      <c r="CB220" s="496"/>
      <c r="CC220" s="496"/>
      <c r="CD220" s="496"/>
      <c r="CE220" s="496"/>
      <c r="CF220" s="496"/>
      <c r="CG220" s="496"/>
      <c r="CH220" s="496"/>
      <c r="CI220" s="496"/>
      <c r="CJ220" s="496"/>
      <c r="CK220" s="496"/>
      <c r="CL220" s="496"/>
      <c r="CM220" s="496"/>
      <c r="CN220" s="496"/>
      <c r="CO220" s="496"/>
      <c r="CP220" s="496"/>
      <c r="CQ220" s="496"/>
      <c r="CR220" s="496"/>
      <c r="CS220" s="496"/>
      <c r="CT220" s="496"/>
      <c r="CU220" s="496"/>
      <c r="CV220" s="496"/>
      <c r="CW220" s="496"/>
      <c r="CX220" s="496"/>
      <c r="CY220" s="496"/>
      <c r="CZ220" s="496"/>
      <c r="DA220" s="496"/>
      <c r="DB220" s="496"/>
      <c r="DC220" s="496"/>
      <c r="DD220" s="496"/>
      <c r="DE220" s="496"/>
      <c r="DF220" s="496"/>
      <c r="DG220" s="496"/>
      <c r="DH220" s="496"/>
      <c r="DI220" s="496"/>
      <c r="DJ220" s="496"/>
      <c r="DK220" s="496"/>
      <c r="DL220" s="496"/>
      <c r="DM220" s="496"/>
      <c r="DN220" s="496"/>
      <c r="DO220" s="496"/>
      <c r="DP220" s="496"/>
      <c r="DQ220" s="496"/>
      <c r="DR220" s="496"/>
      <c r="DS220" s="496"/>
      <c r="DT220" s="496"/>
      <c r="DU220" s="496"/>
      <c r="DV220" s="496"/>
      <c r="DW220" s="496"/>
      <c r="DX220" s="496"/>
      <c r="DY220" s="496"/>
      <c r="DZ220" s="496"/>
      <c r="EA220" s="496"/>
      <c r="EB220" s="496"/>
      <c r="EC220" s="496"/>
      <c r="ED220" s="496"/>
      <c r="EE220" s="496"/>
      <c r="EF220" s="496"/>
      <c r="EG220" s="496"/>
      <c r="EH220" s="496"/>
      <c r="EI220" s="496"/>
      <c r="EJ220" s="496"/>
      <c r="EK220" s="496"/>
      <c r="EL220" s="496"/>
      <c r="EM220" s="496"/>
      <c r="EN220" s="496"/>
      <c r="EO220" s="496"/>
      <c r="EP220" s="496"/>
      <c r="EQ220" s="496"/>
      <c r="ER220" s="496"/>
      <c r="ES220" s="496"/>
      <c r="ET220" s="496"/>
      <c r="EU220" s="496"/>
      <c r="EV220" s="496"/>
      <c r="EW220" s="496"/>
      <c r="EX220" s="496"/>
      <c r="EY220" s="496"/>
      <c r="EZ220" s="496"/>
      <c r="FA220" s="496"/>
      <c r="FB220" s="496"/>
      <c r="FC220" s="496"/>
      <c r="FD220" s="496"/>
      <c r="FE220" s="496"/>
      <c r="FF220" s="496"/>
      <c r="FG220" s="496"/>
      <c r="FH220" s="496"/>
      <c r="FI220" s="496"/>
      <c r="FJ220" s="496"/>
      <c r="FK220" s="496"/>
      <c r="FL220" s="496"/>
      <c r="FM220" s="496"/>
      <c r="FN220" s="496"/>
      <c r="FO220" s="496"/>
      <c r="FP220" s="496"/>
      <c r="FQ220" s="496"/>
      <c r="FR220" s="496"/>
      <c r="FS220" s="496"/>
      <c r="FT220" s="496"/>
      <c r="FU220" s="496"/>
      <c r="FV220" s="496"/>
      <c r="FW220" s="496"/>
      <c r="FX220" s="496"/>
      <c r="FY220" s="496"/>
      <c r="FZ220" s="496"/>
      <c r="GA220" s="496"/>
      <c r="GB220" s="496"/>
      <c r="GC220" s="496"/>
      <c r="GD220" s="496"/>
      <c r="GE220" s="496"/>
      <c r="GF220" s="496"/>
      <c r="GG220" s="496"/>
      <c r="GH220" s="496"/>
      <c r="GI220" s="496"/>
      <c r="GJ220" s="496"/>
      <c r="GK220" s="496"/>
      <c r="GL220" s="496"/>
      <c r="GM220" s="496"/>
      <c r="GN220" s="496"/>
      <c r="GO220" s="496"/>
      <c r="GP220" s="496"/>
      <c r="GQ220" s="496"/>
      <c r="GR220" s="496"/>
      <c r="GS220" s="496"/>
      <c r="GT220" s="496"/>
      <c r="GU220" s="496"/>
      <c r="GV220" s="496"/>
      <c r="GW220" s="496"/>
      <c r="GX220" s="496"/>
      <c r="GY220" s="496"/>
      <c r="GZ220" s="496"/>
      <c r="HA220" s="496"/>
      <c r="HB220" s="496"/>
    </row>
    <row r="221" spans="1:210" ht="19.8">
      <c r="A221" s="164"/>
      <c r="B221" s="421" t="s">
        <v>1523</v>
      </c>
      <c r="C221" s="422"/>
      <c r="D221" s="422"/>
      <c r="E221" s="422"/>
      <c r="F221" s="422"/>
      <c r="G221" s="422"/>
      <c r="H221" s="557"/>
      <c r="I221" s="423"/>
      <c r="J221" s="424"/>
      <c r="K221" s="550" t="s">
        <v>1524</v>
      </c>
      <c r="L221" s="551"/>
      <c r="M221" s="552"/>
      <c r="N221" s="560"/>
      <c r="O221" s="560"/>
      <c r="P221" s="560"/>
      <c r="Q221" s="251"/>
      <c r="R221" s="251"/>
      <c r="S221" s="251"/>
      <c r="T221" s="251"/>
      <c r="U221" s="251"/>
      <c r="V221" s="200"/>
      <c r="W221" s="200"/>
      <c r="X221" s="496"/>
      <c r="Y221" s="496"/>
      <c r="Z221" s="496"/>
      <c r="AA221" s="496"/>
      <c r="AB221" s="496"/>
      <c r="AC221" s="496"/>
      <c r="AD221" s="496"/>
      <c r="AE221" s="496"/>
      <c r="AF221" s="496"/>
      <c r="AG221" s="496"/>
      <c r="AH221" s="496"/>
      <c r="AI221" s="496"/>
      <c r="AJ221" s="496"/>
      <c r="AK221" s="496"/>
      <c r="AL221" s="496"/>
      <c r="AM221" s="496"/>
      <c r="AN221" s="496"/>
      <c r="AO221" s="496"/>
      <c r="AP221" s="496"/>
      <c r="AQ221" s="496"/>
      <c r="AR221" s="496"/>
      <c r="AS221" s="496"/>
      <c r="AT221" s="496"/>
      <c r="AU221" s="496"/>
      <c r="AV221" s="496"/>
      <c r="AW221" s="496"/>
      <c r="AX221" s="496"/>
      <c r="AY221" s="496"/>
      <c r="AZ221" s="496"/>
      <c r="BA221" s="496"/>
      <c r="BB221" s="496"/>
      <c r="BC221" s="496"/>
      <c r="BD221" s="496"/>
      <c r="BE221" s="496"/>
      <c r="BF221" s="496"/>
      <c r="BG221" s="496"/>
      <c r="BH221" s="496"/>
      <c r="BI221" s="496"/>
      <c r="BJ221" s="496"/>
      <c r="BK221" s="496"/>
      <c r="BL221" s="496"/>
      <c r="BM221" s="496"/>
      <c r="BN221" s="496"/>
      <c r="BO221" s="496"/>
      <c r="BP221" s="496"/>
      <c r="BQ221" s="496"/>
      <c r="BR221" s="496"/>
      <c r="BS221" s="496"/>
      <c r="BT221" s="496"/>
      <c r="BU221" s="496"/>
      <c r="BV221" s="496"/>
      <c r="BW221" s="496"/>
      <c r="BX221" s="496"/>
      <c r="BY221" s="496"/>
      <c r="BZ221" s="496"/>
      <c r="CA221" s="496"/>
      <c r="CB221" s="496"/>
      <c r="CC221" s="496"/>
      <c r="CD221" s="496"/>
      <c r="CE221" s="496"/>
      <c r="CF221" s="496"/>
      <c r="CG221" s="496"/>
      <c r="CH221" s="496"/>
      <c r="CI221" s="496"/>
      <c r="CJ221" s="496"/>
      <c r="CK221" s="496"/>
      <c r="CL221" s="496"/>
      <c r="CM221" s="496"/>
      <c r="CN221" s="496"/>
      <c r="CO221" s="496"/>
      <c r="CP221" s="496"/>
      <c r="CQ221" s="496"/>
      <c r="CR221" s="496"/>
      <c r="CS221" s="496"/>
      <c r="CT221" s="496"/>
      <c r="CU221" s="496"/>
      <c r="CV221" s="496"/>
      <c r="CW221" s="496"/>
      <c r="CX221" s="496"/>
      <c r="CY221" s="496"/>
      <c r="CZ221" s="496"/>
      <c r="DA221" s="496"/>
      <c r="DB221" s="496"/>
      <c r="DC221" s="496"/>
      <c r="DD221" s="496"/>
      <c r="DE221" s="496"/>
      <c r="DF221" s="496"/>
      <c r="DG221" s="496"/>
      <c r="DH221" s="496"/>
      <c r="DI221" s="496"/>
      <c r="DJ221" s="496"/>
      <c r="DK221" s="496"/>
      <c r="DL221" s="496"/>
      <c r="DM221" s="496"/>
      <c r="DN221" s="496"/>
      <c r="DO221" s="496"/>
      <c r="DP221" s="496"/>
      <c r="DQ221" s="496"/>
      <c r="DR221" s="496"/>
      <c r="DS221" s="496"/>
      <c r="DT221" s="496"/>
      <c r="DU221" s="496"/>
      <c r="DV221" s="496"/>
      <c r="DW221" s="496"/>
      <c r="DX221" s="496"/>
      <c r="DY221" s="496"/>
      <c r="DZ221" s="496"/>
      <c r="EA221" s="496"/>
      <c r="EB221" s="496"/>
      <c r="EC221" s="496"/>
      <c r="ED221" s="496"/>
      <c r="EE221" s="496"/>
      <c r="EF221" s="496"/>
      <c r="EG221" s="496"/>
      <c r="EH221" s="496"/>
      <c r="EI221" s="496"/>
      <c r="EJ221" s="496"/>
      <c r="EK221" s="496"/>
      <c r="EL221" s="496"/>
      <c r="EM221" s="496"/>
      <c r="EN221" s="496"/>
      <c r="EO221" s="496"/>
      <c r="EP221" s="496"/>
      <c r="EQ221" s="496"/>
      <c r="ER221" s="496"/>
      <c r="ES221" s="496"/>
      <c r="ET221" s="496"/>
      <c r="EU221" s="496"/>
      <c r="EV221" s="496"/>
      <c r="EW221" s="496"/>
      <c r="EX221" s="496"/>
      <c r="EY221" s="496"/>
      <c r="EZ221" s="496"/>
      <c r="FA221" s="496"/>
      <c r="FB221" s="496"/>
      <c r="FC221" s="496"/>
      <c r="FD221" s="496"/>
      <c r="FE221" s="496"/>
      <c r="FF221" s="496"/>
      <c r="FG221" s="496"/>
      <c r="FH221" s="496"/>
      <c r="FI221" s="496"/>
      <c r="FJ221" s="496"/>
      <c r="FK221" s="496"/>
      <c r="FL221" s="496"/>
      <c r="FM221" s="496"/>
      <c r="FN221" s="496"/>
      <c r="FO221" s="496"/>
      <c r="FP221" s="496"/>
      <c r="FQ221" s="496"/>
      <c r="FR221" s="496"/>
      <c r="FS221" s="496"/>
      <c r="FT221" s="496"/>
      <c r="FU221" s="496"/>
      <c r="FV221" s="496"/>
      <c r="FW221" s="496"/>
      <c r="FX221" s="496"/>
      <c r="FY221" s="496"/>
      <c r="FZ221" s="496"/>
      <c r="GA221" s="496"/>
      <c r="GB221" s="496"/>
      <c r="GC221" s="496"/>
      <c r="GD221" s="496"/>
      <c r="GE221" s="496"/>
      <c r="GF221" s="496"/>
      <c r="GG221" s="496"/>
      <c r="GH221" s="496"/>
      <c r="GI221" s="496"/>
      <c r="GJ221" s="496"/>
      <c r="GK221" s="496"/>
      <c r="GL221" s="496"/>
      <c r="GM221" s="496"/>
      <c r="GN221" s="496"/>
      <c r="GO221" s="496"/>
      <c r="GP221" s="496"/>
      <c r="GQ221" s="496"/>
      <c r="GR221" s="496"/>
      <c r="GS221" s="496"/>
      <c r="GT221" s="496"/>
      <c r="GU221" s="496"/>
      <c r="GV221" s="496"/>
      <c r="GW221" s="496"/>
      <c r="GX221" s="496"/>
      <c r="GY221" s="496"/>
      <c r="GZ221" s="496"/>
      <c r="HA221" s="496"/>
      <c r="HB221" s="496"/>
    </row>
    <row r="222" spans="1:210" ht="19.8">
      <c r="A222" s="164"/>
      <c r="B222" s="421" t="s">
        <v>1525</v>
      </c>
      <c r="C222" s="422"/>
      <c r="D222" s="422"/>
      <c r="E222" s="422"/>
      <c r="F222" s="422"/>
      <c r="G222" s="422"/>
      <c r="H222" s="557"/>
      <c r="I222" s="423"/>
      <c r="J222" s="424"/>
      <c r="K222" s="550" t="s">
        <v>1526</v>
      </c>
      <c r="L222" s="551"/>
      <c r="M222" s="552"/>
      <c r="N222" s="560"/>
      <c r="O222" s="560"/>
      <c r="P222" s="560"/>
      <c r="Q222" s="251"/>
      <c r="R222" s="251"/>
      <c r="S222" s="251"/>
      <c r="T222" s="251"/>
      <c r="U222" s="251"/>
      <c r="V222" s="200"/>
      <c r="W222" s="200"/>
      <c r="X222" s="496"/>
      <c r="Y222" s="496"/>
      <c r="Z222" s="496"/>
      <c r="AA222" s="496"/>
      <c r="AB222" s="496"/>
      <c r="AC222" s="496"/>
      <c r="AD222" s="496"/>
      <c r="AE222" s="496"/>
      <c r="AF222" s="496"/>
      <c r="AG222" s="496"/>
      <c r="AH222" s="496"/>
      <c r="AI222" s="496"/>
      <c r="AJ222" s="496"/>
      <c r="AK222" s="496"/>
      <c r="AL222" s="496"/>
      <c r="AM222" s="496"/>
      <c r="AN222" s="496"/>
      <c r="AO222" s="496"/>
      <c r="AP222" s="496"/>
      <c r="AQ222" s="496"/>
      <c r="AR222" s="496"/>
      <c r="AS222" s="496"/>
      <c r="AT222" s="496"/>
      <c r="AU222" s="496"/>
      <c r="AV222" s="496"/>
      <c r="AW222" s="496"/>
      <c r="AX222" s="496"/>
      <c r="AY222" s="496"/>
      <c r="AZ222" s="496"/>
      <c r="BA222" s="496"/>
      <c r="BB222" s="496"/>
      <c r="BC222" s="496"/>
      <c r="BD222" s="496"/>
      <c r="BE222" s="496"/>
      <c r="BF222" s="496"/>
      <c r="BG222" s="496"/>
      <c r="BH222" s="496"/>
      <c r="BI222" s="496"/>
      <c r="BJ222" s="496"/>
      <c r="BK222" s="496"/>
      <c r="BL222" s="496"/>
      <c r="BM222" s="496"/>
      <c r="BN222" s="496"/>
      <c r="BO222" s="496"/>
      <c r="BP222" s="496"/>
      <c r="BQ222" s="496"/>
      <c r="BR222" s="496"/>
      <c r="BS222" s="496"/>
      <c r="BT222" s="496"/>
      <c r="BU222" s="496"/>
      <c r="BV222" s="496"/>
      <c r="BW222" s="496"/>
      <c r="BX222" s="496"/>
      <c r="BY222" s="496"/>
      <c r="BZ222" s="496"/>
      <c r="CA222" s="496"/>
      <c r="CB222" s="496"/>
      <c r="CC222" s="496"/>
      <c r="CD222" s="496"/>
      <c r="CE222" s="496"/>
      <c r="CF222" s="496"/>
      <c r="CG222" s="496"/>
      <c r="CH222" s="496"/>
      <c r="CI222" s="496"/>
      <c r="CJ222" s="496"/>
      <c r="CK222" s="496"/>
      <c r="CL222" s="496"/>
      <c r="CM222" s="496"/>
      <c r="CN222" s="496"/>
      <c r="CO222" s="496"/>
      <c r="CP222" s="496"/>
      <c r="CQ222" s="496"/>
      <c r="CR222" s="496"/>
      <c r="CS222" s="496"/>
      <c r="CT222" s="496"/>
      <c r="CU222" s="496"/>
      <c r="CV222" s="496"/>
      <c r="CW222" s="496"/>
      <c r="CX222" s="496"/>
      <c r="CY222" s="496"/>
      <c r="CZ222" s="496"/>
      <c r="DA222" s="496"/>
      <c r="DB222" s="496"/>
      <c r="DC222" s="496"/>
      <c r="DD222" s="496"/>
      <c r="DE222" s="496"/>
      <c r="DF222" s="496"/>
      <c r="DG222" s="496"/>
      <c r="DH222" s="496"/>
      <c r="DI222" s="496"/>
      <c r="DJ222" s="496"/>
      <c r="DK222" s="496"/>
      <c r="DL222" s="496"/>
      <c r="DM222" s="496"/>
      <c r="DN222" s="496"/>
      <c r="DO222" s="496"/>
      <c r="DP222" s="496"/>
      <c r="DQ222" s="496"/>
      <c r="DR222" s="496"/>
      <c r="DS222" s="496"/>
      <c r="DT222" s="496"/>
      <c r="DU222" s="496"/>
      <c r="DV222" s="496"/>
      <c r="DW222" s="496"/>
      <c r="DX222" s="496"/>
      <c r="DY222" s="496"/>
      <c r="DZ222" s="496"/>
      <c r="EA222" s="496"/>
      <c r="EB222" s="496"/>
      <c r="EC222" s="496"/>
      <c r="ED222" s="496"/>
      <c r="EE222" s="496"/>
      <c r="EF222" s="496"/>
      <c r="EG222" s="496"/>
      <c r="EH222" s="496"/>
      <c r="EI222" s="496"/>
      <c r="EJ222" s="496"/>
      <c r="EK222" s="496"/>
      <c r="EL222" s="496"/>
      <c r="EM222" s="496"/>
      <c r="EN222" s="496"/>
      <c r="EO222" s="496"/>
      <c r="EP222" s="496"/>
      <c r="EQ222" s="496"/>
      <c r="ER222" s="496"/>
      <c r="ES222" s="496"/>
      <c r="ET222" s="496"/>
      <c r="EU222" s="496"/>
      <c r="EV222" s="496"/>
      <c r="EW222" s="496"/>
      <c r="EX222" s="496"/>
      <c r="EY222" s="496"/>
      <c r="EZ222" s="496"/>
      <c r="FA222" s="496"/>
      <c r="FB222" s="496"/>
      <c r="FC222" s="496"/>
      <c r="FD222" s="496"/>
      <c r="FE222" s="496"/>
      <c r="FF222" s="496"/>
      <c r="FG222" s="496"/>
      <c r="FH222" s="496"/>
      <c r="FI222" s="496"/>
      <c r="FJ222" s="496"/>
      <c r="FK222" s="496"/>
      <c r="FL222" s="496"/>
      <c r="FM222" s="496"/>
      <c r="FN222" s="496"/>
      <c r="FO222" s="496"/>
      <c r="FP222" s="496"/>
      <c r="FQ222" s="496"/>
      <c r="FR222" s="496"/>
      <c r="FS222" s="496"/>
      <c r="FT222" s="496"/>
      <c r="FU222" s="496"/>
      <c r="FV222" s="496"/>
      <c r="FW222" s="496"/>
      <c r="FX222" s="496"/>
      <c r="FY222" s="496"/>
      <c r="FZ222" s="496"/>
      <c r="GA222" s="496"/>
      <c r="GB222" s="496"/>
      <c r="GC222" s="496"/>
      <c r="GD222" s="496"/>
      <c r="GE222" s="496"/>
      <c r="GF222" s="496"/>
      <c r="GG222" s="496"/>
      <c r="GH222" s="496"/>
      <c r="GI222" s="496"/>
      <c r="GJ222" s="496"/>
      <c r="GK222" s="496"/>
      <c r="GL222" s="496"/>
      <c r="GM222" s="496"/>
      <c r="GN222" s="496"/>
      <c r="GO222" s="496"/>
      <c r="GP222" s="496"/>
      <c r="GQ222" s="496"/>
      <c r="GR222" s="496"/>
      <c r="GS222" s="496"/>
      <c r="GT222" s="496"/>
      <c r="GU222" s="496"/>
      <c r="GV222" s="496"/>
      <c r="GW222" s="496"/>
      <c r="GX222" s="496"/>
      <c r="GY222" s="496"/>
      <c r="GZ222" s="496"/>
      <c r="HA222" s="496"/>
      <c r="HB222" s="496"/>
    </row>
    <row r="223" spans="1:210" ht="20.399999999999999" thickBot="1">
      <c r="A223" s="164"/>
      <c r="B223" s="561" t="s">
        <v>1527</v>
      </c>
      <c r="C223" s="562"/>
      <c r="D223" s="562"/>
      <c r="E223" s="562"/>
      <c r="F223" s="562"/>
      <c r="G223" s="562"/>
      <c r="H223" s="563"/>
      <c r="I223" s="564"/>
      <c r="J223" s="565"/>
      <c r="K223" s="558" t="s">
        <v>1528</v>
      </c>
      <c r="L223" s="559"/>
      <c r="M223" s="566"/>
      <c r="N223" s="560"/>
      <c r="O223" s="560"/>
      <c r="P223" s="560"/>
      <c r="Q223" s="251"/>
      <c r="R223" s="251"/>
      <c r="S223" s="251"/>
      <c r="T223" s="251"/>
      <c r="U223" s="251"/>
      <c r="V223" s="200"/>
      <c r="W223" s="200"/>
      <c r="X223" s="496"/>
      <c r="Y223" s="496"/>
      <c r="Z223" s="496"/>
      <c r="AA223" s="496"/>
      <c r="AB223" s="496"/>
      <c r="AC223" s="496"/>
      <c r="AD223" s="496"/>
      <c r="AE223" s="496"/>
      <c r="AF223" s="496"/>
      <c r="AG223" s="496"/>
      <c r="AH223" s="496"/>
      <c r="AI223" s="496"/>
      <c r="AJ223" s="496"/>
      <c r="AK223" s="496"/>
      <c r="AL223" s="496"/>
      <c r="AM223" s="496"/>
      <c r="AN223" s="496"/>
      <c r="AO223" s="496"/>
      <c r="AP223" s="496"/>
      <c r="AQ223" s="496"/>
      <c r="AR223" s="496"/>
      <c r="AS223" s="496"/>
      <c r="AT223" s="496"/>
      <c r="AU223" s="496"/>
      <c r="AV223" s="496"/>
      <c r="AW223" s="496"/>
      <c r="AX223" s="496"/>
      <c r="AY223" s="496"/>
      <c r="AZ223" s="496"/>
      <c r="BA223" s="496"/>
      <c r="BB223" s="496"/>
      <c r="BC223" s="496"/>
      <c r="BD223" s="496"/>
      <c r="BE223" s="496"/>
      <c r="BF223" s="496"/>
      <c r="BG223" s="496"/>
      <c r="BH223" s="496"/>
      <c r="BI223" s="496"/>
      <c r="BJ223" s="496"/>
      <c r="BK223" s="496"/>
      <c r="BL223" s="496"/>
      <c r="BM223" s="496"/>
      <c r="BN223" s="496"/>
      <c r="BO223" s="496"/>
      <c r="BP223" s="496"/>
      <c r="BQ223" s="496"/>
      <c r="BR223" s="496"/>
      <c r="BS223" s="496"/>
      <c r="BT223" s="496"/>
      <c r="BU223" s="496"/>
      <c r="BV223" s="496"/>
      <c r="BW223" s="496"/>
      <c r="BX223" s="496"/>
      <c r="BY223" s="496"/>
      <c r="BZ223" s="496"/>
      <c r="CA223" s="496"/>
      <c r="CB223" s="496"/>
      <c r="CC223" s="496"/>
      <c r="CD223" s="496"/>
      <c r="CE223" s="496"/>
      <c r="CF223" s="496"/>
      <c r="CG223" s="496"/>
      <c r="CH223" s="496"/>
      <c r="CI223" s="496"/>
      <c r="CJ223" s="496"/>
      <c r="CK223" s="496"/>
      <c r="CL223" s="496"/>
      <c r="CM223" s="496"/>
      <c r="CN223" s="496"/>
      <c r="CO223" s="496"/>
      <c r="CP223" s="496"/>
      <c r="CQ223" s="496"/>
      <c r="CR223" s="496"/>
      <c r="CS223" s="496"/>
      <c r="CT223" s="496"/>
      <c r="CU223" s="496"/>
      <c r="CV223" s="496"/>
      <c r="CW223" s="496"/>
      <c r="CX223" s="496"/>
      <c r="CY223" s="496"/>
      <c r="CZ223" s="496"/>
      <c r="DA223" s="496"/>
      <c r="DB223" s="496"/>
      <c r="DC223" s="496"/>
      <c r="DD223" s="496"/>
      <c r="DE223" s="496"/>
      <c r="DF223" s="496"/>
      <c r="DG223" s="496"/>
      <c r="DH223" s="496"/>
      <c r="DI223" s="496"/>
      <c r="DJ223" s="496"/>
      <c r="DK223" s="496"/>
      <c r="DL223" s="496"/>
      <c r="DM223" s="496"/>
      <c r="DN223" s="496"/>
      <c r="DO223" s="496"/>
      <c r="DP223" s="496"/>
      <c r="DQ223" s="496"/>
      <c r="DR223" s="496"/>
      <c r="DS223" s="496"/>
      <c r="DT223" s="496"/>
      <c r="DU223" s="496"/>
      <c r="DV223" s="496"/>
      <c r="DW223" s="496"/>
      <c r="DX223" s="496"/>
      <c r="DY223" s="496"/>
      <c r="DZ223" s="496"/>
      <c r="EA223" s="496"/>
      <c r="EB223" s="496"/>
      <c r="EC223" s="496"/>
      <c r="ED223" s="496"/>
      <c r="EE223" s="496"/>
      <c r="EF223" s="496"/>
      <c r="EG223" s="496"/>
      <c r="EH223" s="496"/>
      <c r="EI223" s="496"/>
      <c r="EJ223" s="496"/>
      <c r="EK223" s="496"/>
      <c r="EL223" s="496"/>
      <c r="EM223" s="496"/>
      <c r="EN223" s="496"/>
      <c r="EO223" s="496"/>
      <c r="EP223" s="496"/>
      <c r="EQ223" s="496"/>
      <c r="ER223" s="496"/>
      <c r="ES223" s="496"/>
      <c r="ET223" s="496"/>
      <c r="EU223" s="496"/>
      <c r="EV223" s="496"/>
      <c r="EW223" s="496"/>
      <c r="EX223" s="496"/>
      <c r="EY223" s="496"/>
      <c r="EZ223" s="496"/>
      <c r="FA223" s="496"/>
      <c r="FB223" s="496"/>
      <c r="FC223" s="496"/>
      <c r="FD223" s="496"/>
      <c r="FE223" s="496"/>
      <c r="FF223" s="496"/>
      <c r="FG223" s="496"/>
      <c r="FH223" s="496"/>
      <c r="FI223" s="496"/>
      <c r="FJ223" s="496"/>
      <c r="FK223" s="496"/>
      <c r="FL223" s="496"/>
      <c r="FM223" s="496"/>
      <c r="FN223" s="496"/>
      <c r="FO223" s="496"/>
      <c r="FP223" s="496"/>
      <c r="FQ223" s="496"/>
      <c r="FR223" s="496"/>
      <c r="FS223" s="496"/>
      <c r="FT223" s="496"/>
      <c r="FU223" s="496"/>
      <c r="FV223" s="496"/>
      <c r="FW223" s="496"/>
      <c r="FX223" s="496"/>
      <c r="FY223" s="496"/>
      <c r="FZ223" s="496"/>
      <c r="GA223" s="496"/>
      <c r="GB223" s="496"/>
      <c r="GC223" s="496"/>
      <c r="GD223" s="496"/>
      <c r="GE223" s="496"/>
      <c r="GF223" s="496"/>
      <c r="GG223" s="496"/>
      <c r="GH223" s="496"/>
      <c r="GI223" s="496"/>
      <c r="GJ223" s="496"/>
      <c r="GK223" s="496"/>
      <c r="GL223" s="496"/>
      <c r="GM223" s="496"/>
      <c r="GN223" s="496"/>
      <c r="GO223" s="496"/>
      <c r="GP223" s="496"/>
      <c r="GQ223" s="496"/>
      <c r="GR223" s="496"/>
      <c r="GS223" s="496"/>
      <c r="GT223" s="496"/>
      <c r="GU223" s="496"/>
      <c r="GV223" s="496"/>
      <c r="GW223" s="496"/>
      <c r="GX223" s="496"/>
      <c r="GY223" s="496"/>
      <c r="GZ223" s="496"/>
      <c r="HA223" s="496"/>
      <c r="HB223" s="496"/>
    </row>
    <row r="224" spans="1:210" ht="19.8">
      <c r="B224" s="567"/>
      <c r="C224" s="568"/>
      <c r="D224" s="568"/>
      <c r="E224" s="568"/>
      <c r="F224" s="568"/>
      <c r="G224" s="568"/>
      <c r="H224" s="568"/>
      <c r="I224" s="568"/>
      <c r="J224" s="568"/>
      <c r="K224" s="568"/>
      <c r="L224" s="567"/>
      <c r="M224" s="567"/>
      <c r="N224" s="567"/>
      <c r="O224" s="567"/>
      <c r="P224" s="567"/>
      <c r="Q224" s="567"/>
      <c r="R224" s="567"/>
      <c r="S224" s="567"/>
      <c r="T224" s="567"/>
      <c r="U224" s="567"/>
      <c r="V224" s="567"/>
      <c r="W224" s="567"/>
      <c r="X224" s="567"/>
      <c r="Y224" s="567"/>
      <c r="Z224" s="567"/>
      <c r="AA224" s="567"/>
      <c r="AB224" s="567"/>
      <c r="AC224" s="567"/>
      <c r="AD224" s="567"/>
      <c r="AE224" s="567"/>
      <c r="AF224" s="567"/>
      <c r="AG224" s="567"/>
      <c r="AH224" s="567"/>
      <c r="AI224" s="567"/>
      <c r="AJ224" s="567"/>
      <c r="AK224" s="567"/>
      <c r="AL224" s="567"/>
      <c r="AM224" s="567"/>
      <c r="AN224" s="567"/>
      <c r="AO224" s="569"/>
      <c r="AP224" s="569"/>
      <c r="AQ224" s="570"/>
      <c r="AR224" s="570"/>
      <c r="AS224" s="570"/>
      <c r="AT224" s="570"/>
      <c r="AU224" s="570"/>
      <c r="AV224" s="570"/>
      <c r="AW224" s="567"/>
      <c r="AX224" s="567"/>
      <c r="AY224" s="567"/>
      <c r="AZ224" s="567"/>
      <c r="BA224" s="567"/>
      <c r="BB224" s="567"/>
      <c r="BC224" s="567"/>
      <c r="BD224" s="567"/>
      <c r="BE224" s="567"/>
      <c r="BF224" s="567"/>
      <c r="BG224" s="567"/>
      <c r="BH224" s="567"/>
      <c r="BI224" s="567"/>
      <c r="BJ224" s="567"/>
      <c r="BK224" s="567"/>
      <c r="BL224" s="567"/>
      <c r="BM224" s="567"/>
      <c r="BN224" s="567"/>
      <c r="BO224" s="567"/>
      <c r="BP224" s="567"/>
      <c r="BQ224" s="570"/>
      <c r="BR224" s="570"/>
      <c r="BS224" s="570"/>
      <c r="BT224" s="570"/>
      <c r="BU224" s="570"/>
      <c r="BV224" s="570"/>
    </row>
    <row r="225" spans="1:242" s="154" customFormat="1" ht="20.100000000000001" hidden="1" customHeight="1">
      <c r="A225" s="173" t="s">
        <v>644</v>
      </c>
      <c r="B225" s="173"/>
      <c r="C225" s="179"/>
      <c r="D225" s="180"/>
      <c r="E225" s="181"/>
      <c r="F225" s="180"/>
      <c r="G225" s="180"/>
      <c r="H225" s="181"/>
      <c r="I225" s="180"/>
      <c r="J225" s="180"/>
      <c r="K225" s="181"/>
      <c r="L225" s="180"/>
      <c r="M225" s="180"/>
      <c r="N225" s="181"/>
      <c r="O225" s="180"/>
      <c r="P225" s="180"/>
      <c r="Q225" s="181"/>
      <c r="R225" s="180"/>
      <c r="S225" s="180"/>
      <c r="T225" s="181"/>
      <c r="U225" s="180"/>
      <c r="V225" s="180"/>
      <c r="W225" s="181"/>
      <c r="X225" s="180"/>
      <c r="Y225" s="180"/>
      <c r="Z225" s="181"/>
      <c r="AA225" s="180"/>
      <c r="AB225" s="180"/>
      <c r="AC225" s="181"/>
      <c r="AD225" s="180"/>
      <c r="AE225" s="180"/>
      <c r="AF225" s="181"/>
      <c r="AG225" s="180"/>
      <c r="AH225" s="180"/>
      <c r="AI225" s="181"/>
      <c r="AJ225" s="180"/>
      <c r="AK225" s="180"/>
      <c r="AL225" s="181"/>
      <c r="AM225" s="180"/>
      <c r="AN225" s="180"/>
      <c r="IE225" s="571"/>
      <c r="IF225" s="571"/>
      <c r="IG225" s="571"/>
      <c r="IH225" s="571"/>
    </row>
    <row r="226" spans="1:242" s="164" customFormat="1" ht="20.100000000000001" hidden="1" customHeight="1">
      <c r="A226" s="572"/>
      <c r="B226" s="573" t="s">
        <v>645</v>
      </c>
      <c r="E226" s="156"/>
      <c r="F226" s="1046" t="s">
        <v>646</v>
      </c>
      <c r="G226" s="1047" t="s">
        <v>647</v>
      </c>
      <c r="H226" s="1047"/>
      <c r="I226" s="574" t="s">
        <v>648</v>
      </c>
      <c r="J226" s="575"/>
      <c r="K226" s="576" t="str">
        <f ca="1">OFFSET(貼付け_2024実績,4,SUM(COLUMN()-COLUMN(貼付け_2024実績)))</f>
        <v>横浜1</v>
      </c>
      <c r="L226" s="577"/>
      <c r="M226" s="577"/>
      <c r="N226" s="578"/>
      <c r="O226" s="576" t="str">
        <f ca="1">OFFSET(貼付け_2024実績,4,SUM(COLUMN()-COLUMN(貼付け_2024実績)))</f>
        <v>横浜2</v>
      </c>
      <c r="P226" s="577"/>
      <c r="Q226" s="577"/>
      <c r="R226" s="578"/>
      <c r="S226" s="576" t="str">
        <f ca="1">OFFSET(貼付け_2024実績,4,SUM(COLUMN()-COLUMN(貼付け_2024実績)))</f>
        <v>横浜3</v>
      </c>
      <c r="T226" s="577"/>
      <c r="U226" s="577"/>
      <c r="V226" s="578"/>
      <c r="W226" s="576" t="str">
        <f ca="1">OFFSET(貼付け_2024実績,4,SUM(COLUMN()-COLUMN(貼付け_2024実績)))</f>
        <v>県域1</v>
      </c>
      <c r="X226" s="577"/>
      <c r="Y226" s="577"/>
      <c r="Z226" s="578"/>
      <c r="AA226" s="576" t="str">
        <f ca="1">OFFSET(貼付け_2024実績,4,SUM(COLUMN()-COLUMN(貼付け_2024実績)))</f>
        <v>県域2</v>
      </c>
      <c r="AB226" s="577"/>
      <c r="AC226" s="577"/>
      <c r="AD226" s="578"/>
      <c r="AE226" s="576" t="str">
        <f ca="1">OFFSET(貼付け_2024実績,4,SUM(COLUMN()-COLUMN(貼付け_2024実績)))</f>
        <v>県域3</v>
      </c>
      <c r="AF226" s="577"/>
      <c r="AG226" s="577"/>
      <c r="AH226" s="578"/>
      <c r="AI226" s="576" t="str">
        <f ca="1">OFFSET(貼付け_2024実績,4,SUM(COLUMN()-COLUMN(貼付け_2024実績)))</f>
        <v>エネルギー管理指定工場等1</v>
      </c>
      <c r="AJ226" s="577"/>
      <c r="AK226" s="577"/>
      <c r="AL226" s="578"/>
      <c r="AM226" s="576" t="str">
        <f ca="1">OFFSET(貼付け_2024実績,4,SUM(COLUMN()-COLUMN(貼付け_2024実績)))</f>
        <v>エネルギー管理指定工場等2</v>
      </c>
      <c r="AN226" s="577"/>
      <c r="AO226" s="577"/>
      <c r="AP226" s="578"/>
      <c r="AQ226" s="576" t="str">
        <f ca="1">OFFSET(貼付け_2024実績,4,SUM(COLUMN()-COLUMN(貼付け_2024実績)))</f>
        <v>エネルギー管理指定工場等3</v>
      </c>
      <c r="AR226" s="577"/>
      <c r="AS226" s="577"/>
      <c r="AT226" s="578"/>
      <c r="AU226" s="576" t="str">
        <f ca="1">OFFSET(貼付け_2024実績,4,SUM(COLUMN()-COLUMN(貼付け_2024実績)))</f>
        <v>エネルギー管理指定工場等4</v>
      </c>
      <c r="AV226" s="577"/>
      <c r="AW226" s="577"/>
      <c r="AX226" s="578"/>
      <c r="AY226" s="576" t="str">
        <f ca="1">OFFSET(貼付け_2024実績,4,SUM(COLUMN()-COLUMN(貼付け_2024実績)))</f>
        <v>エネルギー管理指定工場等5</v>
      </c>
      <c r="AZ226" s="577"/>
      <c r="BA226" s="577"/>
      <c r="BB226" s="578"/>
      <c r="BC226" s="576" t="str">
        <f ca="1">OFFSET(貼付け_2024実績,4,SUM(COLUMN()-COLUMN(貼付け_2024実績)))</f>
        <v>エネルギー管理指定工場等6</v>
      </c>
      <c r="BD226" s="577"/>
      <c r="BE226" s="577"/>
      <c r="BF226" s="578"/>
      <c r="BG226" s="576" t="str">
        <f ca="1">OFFSET(貼付け_2024実績,4,SUM(COLUMN()-COLUMN(貼付け_2024実績)))</f>
        <v>エネルギー管理指定工場等7</v>
      </c>
      <c r="BH226" s="577"/>
      <c r="BI226" s="577"/>
      <c r="BJ226" s="578"/>
      <c r="BK226" s="576" t="str">
        <f ca="1">OFFSET(貼付け_2024実績,4,SUM(COLUMN()-COLUMN(貼付け_2024実績)))</f>
        <v>エネルギー管理指定工場等8</v>
      </c>
      <c r="BL226" s="577"/>
      <c r="BM226" s="577"/>
      <c r="BN226" s="578"/>
      <c r="BO226" s="576" t="str">
        <f ca="1">OFFSET(貼付け_2024実績,4,SUM(COLUMN()-COLUMN(貼付け_2024実績)))</f>
        <v>エネルギー管理指定工場等9</v>
      </c>
      <c r="BP226" s="577"/>
      <c r="BQ226" s="577"/>
      <c r="BR226" s="578"/>
      <c r="BS226" s="576" t="str">
        <f ca="1">OFFSET(貼付け_2024実績,4,SUM(COLUMN()-COLUMN(貼付け_2024実績)))</f>
        <v>エネルギー管理指定工場等10</v>
      </c>
      <c r="BT226" s="577"/>
      <c r="BU226" s="577"/>
      <c r="BV226" s="578"/>
      <c r="BW226" s="576">
        <f ca="1">OFFSET(貼付け_2024実績,4,SUM(COLUMN()-COLUMN(貼付け_2024実績)))</f>
        <v>0</v>
      </c>
      <c r="BX226" s="577"/>
      <c r="BY226" s="577"/>
      <c r="BZ226" s="578"/>
      <c r="CA226" s="576" t="str">
        <f ca="1">OFFSET(貼付け_2024実績,4,SUM(COLUMN()-COLUMN(貼付け_2024実績)))</f>
        <v>県域4</v>
      </c>
      <c r="CB226" s="577"/>
      <c r="CC226" s="577"/>
      <c r="CD226" s="578"/>
      <c r="CE226" s="576" t="str">
        <f ca="1">OFFSET(貼付け_2024実績,4,SUM(COLUMN()-COLUMN(貼付け_2024実績)))</f>
        <v>県域5</v>
      </c>
      <c r="CF226" s="577"/>
      <c r="CG226" s="577"/>
      <c r="CH226" s="578"/>
      <c r="CI226" s="576" t="str">
        <f ca="1">OFFSET(貼付け_2024実績,4,SUM(COLUMN()-COLUMN(貼付け_2024実績)))</f>
        <v>県域6</v>
      </c>
      <c r="CJ226" s="577"/>
      <c r="CK226" s="577"/>
      <c r="CL226" s="578"/>
      <c r="CM226" s="576" t="str">
        <f ca="1">OFFSET(貼付け_2024実績,4,SUM(COLUMN()-COLUMN(貼付け_2024実績)))</f>
        <v>県域7</v>
      </c>
      <c r="CN226" s="577"/>
      <c r="CO226" s="577"/>
      <c r="CP226" s="578"/>
      <c r="CQ226" s="576" t="str">
        <f ca="1">OFFSET(貼付け_2024実績,4,SUM(COLUMN()-COLUMN(貼付け_2024実績)))</f>
        <v>県域8</v>
      </c>
      <c r="CR226" s="577"/>
      <c r="CS226" s="577"/>
      <c r="CT226" s="578"/>
      <c r="CU226" s="576" t="str">
        <f ca="1">OFFSET(貼付け_2024実績,4,SUM(COLUMN()-COLUMN(貼付け_2024実績)))</f>
        <v>県域9</v>
      </c>
      <c r="CV226" s="577"/>
      <c r="CW226" s="577"/>
      <c r="CX226" s="578"/>
      <c r="CY226" s="576" t="str">
        <f ca="1">OFFSET(貼付け_2024実績,4,SUM(COLUMN()-COLUMN(貼付け_2024実績)))</f>
        <v>県域10</v>
      </c>
      <c r="CZ226" s="577"/>
      <c r="DA226" s="577"/>
      <c r="DB226" s="578"/>
      <c r="DC226" s="576" t="str">
        <f ca="1">OFFSET(貼付け_2024実績,4,SUM(COLUMN()-COLUMN(貼付け_2024実績)))</f>
        <v>横浜3</v>
      </c>
      <c r="DD226" s="577"/>
      <c r="DE226" s="577"/>
      <c r="DF226" s="578"/>
      <c r="DG226" s="576" t="str">
        <f ca="1">OFFSET(貼付け_2024実績,4,SUM(COLUMN()-COLUMN(貼付け_2024実績)))</f>
        <v>横浜4</v>
      </c>
      <c r="DH226" s="577"/>
      <c r="DI226" s="577"/>
      <c r="DJ226" s="578"/>
      <c r="DK226" s="576" t="str">
        <f ca="1">OFFSET(貼付け_2024実績,4,SUM(COLUMN()-COLUMN(貼付け_2024実績)))</f>
        <v>横浜5</v>
      </c>
      <c r="DL226" s="577"/>
      <c r="DM226" s="577"/>
      <c r="DN226" s="578"/>
      <c r="DO226" s="576" t="str">
        <f ca="1">OFFSET(貼付け_2024実績,4,SUM(COLUMN()-COLUMN(貼付け_2024実績)))</f>
        <v>横浜6</v>
      </c>
      <c r="DP226" s="577"/>
      <c r="DQ226" s="577"/>
      <c r="DR226" s="578"/>
      <c r="DS226" s="576" t="str">
        <f ca="1">OFFSET(貼付け_2024実績,4,SUM(COLUMN()-COLUMN(貼付け_2024実績)))</f>
        <v>横浜7</v>
      </c>
      <c r="DT226" s="577"/>
      <c r="DU226" s="577"/>
      <c r="DV226" s="578"/>
      <c r="DW226" s="576" t="str">
        <f ca="1">OFFSET(貼付け_2024実績,4,SUM(COLUMN()-COLUMN(貼付け_2024実績)))</f>
        <v>横浜8</v>
      </c>
      <c r="DX226" s="577"/>
      <c r="DY226" s="577"/>
      <c r="DZ226" s="578"/>
      <c r="EA226" s="576" t="str">
        <f ca="1">OFFSET(貼付け_2024実績,4,SUM(COLUMN()-COLUMN(貼付け_2024実績)))</f>
        <v>横浜9</v>
      </c>
      <c r="EB226" s="577"/>
      <c r="EC226" s="577"/>
      <c r="ED226" s="578"/>
      <c r="EE226" s="576" t="str">
        <f ca="1">OFFSET(貼付け_2024実績,4,SUM(COLUMN()-COLUMN(貼付け_2024実績)))</f>
        <v>横浜10</v>
      </c>
      <c r="EF226" s="577"/>
      <c r="EG226" s="577"/>
      <c r="EH226" s="578"/>
      <c r="EI226" s="576" t="str">
        <f ca="1">OFFSET(貼付け_2024実績,4,SUM(COLUMN()-COLUMN(貼付け_2024実績)))</f>
        <v>川崎1</v>
      </c>
      <c r="EJ226" s="577"/>
      <c r="EK226" s="577"/>
      <c r="EL226" s="578"/>
      <c r="EM226" s="576" t="str">
        <f ca="1">OFFSET(貼付け_2024実績,4,SUM(COLUMN()-COLUMN(貼付け_2024実績)))</f>
        <v>川崎2</v>
      </c>
      <c r="EN226" s="577"/>
      <c r="EO226" s="577"/>
      <c r="EP226" s="578"/>
      <c r="EQ226" s="576" t="str">
        <f ca="1">OFFSET(貼付け_2024実績,4,SUM(COLUMN()-COLUMN(貼付け_2024実績)))</f>
        <v>川崎3</v>
      </c>
      <c r="ER226" s="577"/>
      <c r="ES226" s="577"/>
      <c r="ET226" s="578"/>
      <c r="EU226" s="576" t="str">
        <f ca="1">OFFSET(貼付け_2024実績,4,SUM(COLUMN()-COLUMN(貼付け_2024実績)))</f>
        <v>川崎6</v>
      </c>
      <c r="EV226" s="577"/>
      <c r="EW226" s="577"/>
      <c r="EX226" s="578"/>
      <c r="EY226" s="576" t="str">
        <f ca="1">OFFSET(貼付け_2024実績,4,SUM(COLUMN()-COLUMN(貼付け_2024実績)))</f>
        <v>川崎7</v>
      </c>
      <c r="EZ226" s="577"/>
      <c r="FA226" s="577"/>
      <c r="FB226" s="578"/>
      <c r="FC226" s="576" t="str">
        <f ca="1">OFFSET(貼付け_2024実績,4,SUM(COLUMN()-COLUMN(貼付け_2024実績)))</f>
        <v>川崎8</v>
      </c>
      <c r="FD226" s="577"/>
      <c r="FE226" s="577"/>
      <c r="FF226" s="578"/>
      <c r="FG226" s="576" t="str">
        <f ca="1">OFFSET(貼付け_2024実績,4,SUM(COLUMN()-COLUMN(貼付け_2024実績)))</f>
        <v>川崎9</v>
      </c>
      <c r="FH226" s="577"/>
      <c r="FI226" s="577"/>
      <c r="FJ226" s="578"/>
      <c r="FK226" s="576" t="str">
        <f ca="1">OFFSET(貼付け_2024実績,4,SUM(COLUMN()-COLUMN(貼付け_2024実績)))</f>
        <v>川崎10</v>
      </c>
      <c r="FL226" s="577"/>
      <c r="FM226" s="577"/>
      <c r="FN226" s="578"/>
      <c r="FO226" s="576" t="str">
        <f ca="1">OFFSET(貼付け_2024実績,4,SUM(COLUMN()-COLUMN(貼付け_2024実績)))</f>
        <v>川崎11</v>
      </c>
      <c r="FP226" s="577"/>
      <c r="FQ226" s="577"/>
      <c r="FR226" s="578"/>
      <c r="FS226" s="576" t="str">
        <f ca="1">OFFSET(貼付け_2024実績,4,SUM(COLUMN()-COLUMN(貼付け_2024実績)))</f>
        <v>川崎12</v>
      </c>
      <c r="FT226" s="577"/>
      <c r="FU226" s="577"/>
      <c r="FV226" s="578"/>
      <c r="FW226" s="576" t="str">
        <f ca="1">OFFSET(貼付け_2024実績,4,SUM(COLUMN()-COLUMN(貼付け_2024実績)))</f>
        <v>川崎13</v>
      </c>
      <c r="FX226" s="577"/>
      <c r="FY226" s="577"/>
      <c r="FZ226" s="578"/>
      <c r="GA226" s="576" t="str">
        <f ca="1">OFFSET(貼付け_2024実績,4,SUM(COLUMN()-COLUMN(貼付け_2024実績)))</f>
        <v>川崎14</v>
      </c>
      <c r="GB226" s="577"/>
      <c r="GC226" s="577"/>
      <c r="GD226" s="578"/>
      <c r="GE226" s="576" t="str">
        <f ca="1">OFFSET(貼付け_2024実績,4,SUM(COLUMN()-COLUMN(貼付け_2024実績)))</f>
        <v>川崎15</v>
      </c>
      <c r="GF226" s="577"/>
      <c r="GG226" s="577"/>
      <c r="GH226" s="578"/>
      <c r="GI226" s="576" t="str">
        <f ca="1">OFFSET(貼付け_2024実績,4,SUM(COLUMN()-COLUMN(貼付け_2024実績)))</f>
        <v>川崎16</v>
      </c>
      <c r="GJ226" s="577"/>
      <c r="GK226" s="577"/>
      <c r="GL226" s="578"/>
      <c r="GM226" s="576" t="str">
        <f ca="1">OFFSET(貼付け_2024実績,4,SUM(COLUMN()-COLUMN(貼付け_2024実績)))</f>
        <v>川崎17</v>
      </c>
      <c r="GN226" s="577"/>
      <c r="GO226" s="577"/>
      <c r="GP226" s="578"/>
      <c r="GQ226" s="576" t="str">
        <f ca="1">OFFSET(貼付け_2024実績,4,SUM(COLUMN()-COLUMN(貼付け_2024実績)))</f>
        <v>川崎18</v>
      </c>
      <c r="GR226" s="577"/>
      <c r="GS226" s="577"/>
      <c r="GT226" s="578"/>
      <c r="GU226" s="576" t="str">
        <f ca="1">OFFSET(貼付け_2024実績,4,SUM(COLUMN()-COLUMN(貼付け_2024実績)))</f>
        <v>川崎19</v>
      </c>
      <c r="GV226" s="577"/>
      <c r="GW226" s="577"/>
      <c r="GX226" s="578"/>
      <c r="GY226" s="576" t="str">
        <f ca="1">OFFSET(貼付け_2024実績,4,SUM(COLUMN()-COLUMN(貼付け_2024実績)))</f>
        <v>川崎20</v>
      </c>
      <c r="GZ226" s="577"/>
      <c r="HA226" s="577"/>
      <c r="HB226" s="578"/>
      <c r="IE226" s="579"/>
      <c r="IF226" s="579"/>
      <c r="IG226" s="579"/>
      <c r="IH226" s="579"/>
    </row>
    <row r="227" spans="1:242" s="164" customFormat="1" ht="19.8" hidden="1">
      <c r="A227" s="572"/>
      <c r="C227" s="156"/>
      <c r="D227" s="156"/>
      <c r="E227" s="156"/>
      <c r="F227" s="1046"/>
      <c r="G227" s="580" t="s">
        <v>649</v>
      </c>
      <c r="H227" s="580" t="s">
        <v>650</v>
      </c>
      <c r="I227" s="581" t="s">
        <v>651</v>
      </c>
      <c r="J227" s="581" t="s">
        <v>652</v>
      </c>
      <c r="K227" s="582" t="s">
        <v>449</v>
      </c>
      <c r="L227" s="583" t="s">
        <v>450</v>
      </c>
      <c r="M227" s="583" t="s">
        <v>451</v>
      </c>
      <c r="N227" s="583" t="s">
        <v>452</v>
      </c>
      <c r="O227" s="582" t="s">
        <v>449</v>
      </c>
      <c r="P227" s="583" t="s">
        <v>450</v>
      </c>
      <c r="Q227" s="583" t="s">
        <v>451</v>
      </c>
      <c r="R227" s="583" t="s">
        <v>452</v>
      </c>
      <c r="S227" s="582" t="s">
        <v>449</v>
      </c>
      <c r="T227" s="583" t="s">
        <v>450</v>
      </c>
      <c r="U227" s="583" t="s">
        <v>451</v>
      </c>
      <c r="V227" s="583" t="s">
        <v>452</v>
      </c>
      <c r="W227" s="582" t="s">
        <v>449</v>
      </c>
      <c r="X227" s="583" t="s">
        <v>450</v>
      </c>
      <c r="Y227" s="583" t="s">
        <v>451</v>
      </c>
      <c r="Z227" s="583" t="s">
        <v>452</v>
      </c>
      <c r="AA227" s="582" t="s">
        <v>449</v>
      </c>
      <c r="AB227" s="583" t="s">
        <v>450</v>
      </c>
      <c r="AC227" s="583" t="s">
        <v>451</v>
      </c>
      <c r="AD227" s="583" t="s">
        <v>452</v>
      </c>
      <c r="AE227" s="582" t="s">
        <v>449</v>
      </c>
      <c r="AF227" s="583" t="s">
        <v>450</v>
      </c>
      <c r="AG227" s="583" t="s">
        <v>451</v>
      </c>
      <c r="AH227" s="583" t="s">
        <v>452</v>
      </c>
      <c r="AI227" s="582" t="s">
        <v>449</v>
      </c>
      <c r="AJ227" s="583" t="s">
        <v>450</v>
      </c>
      <c r="AK227" s="583" t="s">
        <v>451</v>
      </c>
      <c r="AL227" s="583" t="s">
        <v>452</v>
      </c>
      <c r="AM227" s="582" t="s">
        <v>449</v>
      </c>
      <c r="AN227" s="583" t="s">
        <v>450</v>
      </c>
      <c r="AO227" s="583" t="s">
        <v>451</v>
      </c>
      <c r="AP227" s="583" t="s">
        <v>452</v>
      </c>
      <c r="AQ227" s="582" t="s">
        <v>449</v>
      </c>
      <c r="AR227" s="583" t="s">
        <v>450</v>
      </c>
      <c r="AS227" s="583" t="s">
        <v>451</v>
      </c>
      <c r="AT227" s="583" t="s">
        <v>452</v>
      </c>
      <c r="AU227" s="582" t="s">
        <v>449</v>
      </c>
      <c r="AV227" s="583" t="s">
        <v>450</v>
      </c>
      <c r="AW227" s="583" t="s">
        <v>451</v>
      </c>
      <c r="AX227" s="583" t="s">
        <v>452</v>
      </c>
      <c r="AY227" s="582" t="s">
        <v>449</v>
      </c>
      <c r="AZ227" s="583" t="s">
        <v>450</v>
      </c>
      <c r="BA227" s="583" t="s">
        <v>451</v>
      </c>
      <c r="BB227" s="583" t="s">
        <v>452</v>
      </c>
      <c r="BC227" s="582" t="s">
        <v>449</v>
      </c>
      <c r="BD227" s="583" t="s">
        <v>450</v>
      </c>
      <c r="BE227" s="583" t="s">
        <v>451</v>
      </c>
      <c r="BF227" s="583" t="s">
        <v>452</v>
      </c>
      <c r="BG227" s="582" t="s">
        <v>449</v>
      </c>
      <c r="BH227" s="583" t="s">
        <v>450</v>
      </c>
      <c r="BI227" s="583" t="s">
        <v>451</v>
      </c>
      <c r="BJ227" s="583" t="s">
        <v>452</v>
      </c>
      <c r="BK227" s="582" t="s">
        <v>449</v>
      </c>
      <c r="BL227" s="583" t="s">
        <v>450</v>
      </c>
      <c r="BM227" s="583" t="s">
        <v>451</v>
      </c>
      <c r="BN227" s="583" t="s">
        <v>452</v>
      </c>
      <c r="BO227" s="582" t="s">
        <v>449</v>
      </c>
      <c r="BP227" s="583" t="s">
        <v>450</v>
      </c>
      <c r="BQ227" s="583" t="s">
        <v>451</v>
      </c>
      <c r="BR227" s="583" t="s">
        <v>452</v>
      </c>
      <c r="BS227" s="582" t="s">
        <v>449</v>
      </c>
      <c r="BT227" s="583" t="s">
        <v>450</v>
      </c>
      <c r="BU227" s="583" t="s">
        <v>451</v>
      </c>
      <c r="BV227" s="583" t="s">
        <v>452</v>
      </c>
      <c r="BW227" s="582" t="s">
        <v>449</v>
      </c>
      <c r="BX227" s="583" t="s">
        <v>450</v>
      </c>
      <c r="BY227" s="583" t="s">
        <v>451</v>
      </c>
      <c r="BZ227" s="583" t="s">
        <v>452</v>
      </c>
      <c r="CA227" s="582" t="s">
        <v>449</v>
      </c>
      <c r="CB227" s="583" t="s">
        <v>450</v>
      </c>
      <c r="CC227" s="583" t="s">
        <v>451</v>
      </c>
      <c r="CD227" s="583" t="s">
        <v>452</v>
      </c>
      <c r="CE227" s="582" t="s">
        <v>449</v>
      </c>
      <c r="CF227" s="583" t="s">
        <v>450</v>
      </c>
      <c r="CG227" s="583" t="s">
        <v>451</v>
      </c>
      <c r="CH227" s="583" t="s">
        <v>452</v>
      </c>
      <c r="CI227" s="582" t="s">
        <v>449</v>
      </c>
      <c r="CJ227" s="583" t="s">
        <v>450</v>
      </c>
      <c r="CK227" s="583" t="s">
        <v>451</v>
      </c>
      <c r="CL227" s="583" t="s">
        <v>452</v>
      </c>
      <c r="CM227" s="582" t="s">
        <v>449</v>
      </c>
      <c r="CN227" s="583" t="s">
        <v>450</v>
      </c>
      <c r="CO227" s="583" t="s">
        <v>451</v>
      </c>
      <c r="CP227" s="583" t="s">
        <v>452</v>
      </c>
      <c r="CQ227" s="582" t="s">
        <v>449</v>
      </c>
      <c r="CR227" s="583" t="s">
        <v>450</v>
      </c>
      <c r="CS227" s="583" t="s">
        <v>451</v>
      </c>
      <c r="CT227" s="583" t="s">
        <v>452</v>
      </c>
      <c r="CU227" s="582" t="s">
        <v>449</v>
      </c>
      <c r="CV227" s="583" t="s">
        <v>450</v>
      </c>
      <c r="CW227" s="583" t="s">
        <v>451</v>
      </c>
      <c r="CX227" s="583" t="s">
        <v>452</v>
      </c>
      <c r="CY227" s="582" t="s">
        <v>449</v>
      </c>
      <c r="CZ227" s="583" t="s">
        <v>450</v>
      </c>
      <c r="DA227" s="583" t="s">
        <v>451</v>
      </c>
      <c r="DB227" s="583" t="s">
        <v>452</v>
      </c>
      <c r="DC227" s="582" t="s">
        <v>449</v>
      </c>
      <c r="DD227" s="583" t="s">
        <v>450</v>
      </c>
      <c r="DE227" s="583" t="s">
        <v>451</v>
      </c>
      <c r="DF227" s="583" t="s">
        <v>452</v>
      </c>
      <c r="DG227" s="582" t="s">
        <v>449</v>
      </c>
      <c r="DH227" s="583" t="s">
        <v>450</v>
      </c>
      <c r="DI227" s="583" t="s">
        <v>451</v>
      </c>
      <c r="DJ227" s="583" t="s">
        <v>452</v>
      </c>
      <c r="DK227" s="582" t="s">
        <v>449</v>
      </c>
      <c r="DL227" s="583" t="s">
        <v>450</v>
      </c>
      <c r="DM227" s="583" t="s">
        <v>451</v>
      </c>
      <c r="DN227" s="583" t="s">
        <v>452</v>
      </c>
      <c r="DO227" s="582" t="s">
        <v>449</v>
      </c>
      <c r="DP227" s="583" t="s">
        <v>450</v>
      </c>
      <c r="DQ227" s="583" t="s">
        <v>451</v>
      </c>
      <c r="DR227" s="583" t="s">
        <v>452</v>
      </c>
      <c r="DS227" s="582" t="s">
        <v>449</v>
      </c>
      <c r="DT227" s="583" t="s">
        <v>450</v>
      </c>
      <c r="DU227" s="583" t="s">
        <v>451</v>
      </c>
      <c r="DV227" s="583" t="s">
        <v>452</v>
      </c>
      <c r="DW227" s="582" t="s">
        <v>449</v>
      </c>
      <c r="DX227" s="583" t="s">
        <v>450</v>
      </c>
      <c r="DY227" s="583" t="s">
        <v>451</v>
      </c>
      <c r="DZ227" s="583" t="s">
        <v>452</v>
      </c>
      <c r="EA227" s="582" t="s">
        <v>449</v>
      </c>
      <c r="EB227" s="583" t="s">
        <v>450</v>
      </c>
      <c r="EC227" s="583" t="s">
        <v>451</v>
      </c>
      <c r="ED227" s="583" t="s">
        <v>452</v>
      </c>
      <c r="EE227" s="582" t="s">
        <v>449</v>
      </c>
      <c r="EF227" s="583" t="s">
        <v>450</v>
      </c>
      <c r="EG227" s="583" t="s">
        <v>451</v>
      </c>
      <c r="EH227" s="583" t="s">
        <v>452</v>
      </c>
      <c r="EI227" s="582" t="s">
        <v>449</v>
      </c>
      <c r="EJ227" s="583" t="s">
        <v>450</v>
      </c>
      <c r="EK227" s="583" t="s">
        <v>451</v>
      </c>
      <c r="EL227" s="583" t="s">
        <v>452</v>
      </c>
      <c r="EM227" s="582" t="s">
        <v>449</v>
      </c>
      <c r="EN227" s="583" t="s">
        <v>450</v>
      </c>
      <c r="EO227" s="583" t="s">
        <v>451</v>
      </c>
      <c r="EP227" s="583" t="s">
        <v>452</v>
      </c>
      <c r="EQ227" s="582" t="s">
        <v>449</v>
      </c>
      <c r="ER227" s="583" t="s">
        <v>450</v>
      </c>
      <c r="ES227" s="583" t="s">
        <v>451</v>
      </c>
      <c r="ET227" s="583" t="s">
        <v>452</v>
      </c>
      <c r="EU227" s="582" t="s">
        <v>449</v>
      </c>
      <c r="EV227" s="583" t="s">
        <v>450</v>
      </c>
      <c r="EW227" s="583" t="s">
        <v>451</v>
      </c>
      <c r="EX227" s="583" t="s">
        <v>452</v>
      </c>
      <c r="EY227" s="582" t="s">
        <v>449</v>
      </c>
      <c r="EZ227" s="583" t="s">
        <v>450</v>
      </c>
      <c r="FA227" s="583" t="s">
        <v>451</v>
      </c>
      <c r="FB227" s="583" t="s">
        <v>452</v>
      </c>
      <c r="FC227" s="582" t="s">
        <v>449</v>
      </c>
      <c r="FD227" s="583" t="s">
        <v>450</v>
      </c>
      <c r="FE227" s="583" t="s">
        <v>451</v>
      </c>
      <c r="FF227" s="583" t="s">
        <v>452</v>
      </c>
      <c r="FG227" s="582" t="s">
        <v>449</v>
      </c>
      <c r="FH227" s="583" t="s">
        <v>450</v>
      </c>
      <c r="FI227" s="583" t="s">
        <v>451</v>
      </c>
      <c r="FJ227" s="583" t="s">
        <v>452</v>
      </c>
      <c r="FK227" s="582" t="s">
        <v>449</v>
      </c>
      <c r="FL227" s="583" t="s">
        <v>450</v>
      </c>
      <c r="FM227" s="583" t="s">
        <v>451</v>
      </c>
      <c r="FN227" s="583" t="s">
        <v>452</v>
      </c>
      <c r="FO227" s="582" t="s">
        <v>449</v>
      </c>
      <c r="FP227" s="583" t="s">
        <v>450</v>
      </c>
      <c r="FQ227" s="583" t="s">
        <v>451</v>
      </c>
      <c r="FR227" s="583" t="s">
        <v>452</v>
      </c>
      <c r="FS227" s="582" t="s">
        <v>449</v>
      </c>
      <c r="FT227" s="583" t="s">
        <v>450</v>
      </c>
      <c r="FU227" s="583" t="s">
        <v>451</v>
      </c>
      <c r="FV227" s="583" t="s">
        <v>452</v>
      </c>
      <c r="FW227" s="582" t="s">
        <v>449</v>
      </c>
      <c r="FX227" s="583" t="s">
        <v>450</v>
      </c>
      <c r="FY227" s="583" t="s">
        <v>451</v>
      </c>
      <c r="FZ227" s="583" t="s">
        <v>452</v>
      </c>
      <c r="GA227" s="582" t="s">
        <v>449</v>
      </c>
      <c r="GB227" s="583" t="s">
        <v>450</v>
      </c>
      <c r="GC227" s="583" t="s">
        <v>451</v>
      </c>
      <c r="GD227" s="583" t="s">
        <v>452</v>
      </c>
      <c r="GE227" s="582" t="s">
        <v>449</v>
      </c>
      <c r="GF227" s="583" t="s">
        <v>450</v>
      </c>
      <c r="GG227" s="583" t="s">
        <v>451</v>
      </c>
      <c r="GH227" s="583" t="s">
        <v>452</v>
      </c>
      <c r="GI227" s="582" t="s">
        <v>449</v>
      </c>
      <c r="GJ227" s="583" t="s">
        <v>450</v>
      </c>
      <c r="GK227" s="583" t="s">
        <v>451</v>
      </c>
      <c r="GL227" s="583" t="s">
        <v>452</v>
      </c>
      <c r="GM227" s="582" t="s">
        <v>449</v>
      </c>
      <c r="GN227" s="583" t="s">
        <v>450</v>
      </c>
      <c r="GO227" s="583" t="s">
        <v>451</v>
      </c>
      <c r="GP227" s="583" t="s">
        <v>452</v>
      </c>
      <c r="GQ227" s="582" t="s">
        <v>449</v>
      </c>
      <c r="GR227" s="583" t="s">
        <v>450</v>
      </c>
      <c r="GS227" s="583" t="s">
        <v>451</v>
      </c>
      <c r="GT227" s="583" t="s">
        <v>452</v>
      </c>
      <c r="GU227" s="582" t="s">
        <v>449</v>
      </c>
      <c r="GV227" s="583" t="s">
        <v>450</v>
      </c>
      <c r="GW227" s="583" t="s">
        <v>451</v>
      </c>
      <c r="GX227" s="583" t="s">
        <v>452</v>
      </c>
      <c r="GY227" s="582" t="s">
        <v>449</v>
      </c>
      <c r="GZ227" s="583" t="s">
        <v>450</v>
      </c>
      <c r="HA227" s="583" t="s">
        <v>451</v>
      </c>
      <c r="HB227" s="583" t="s">
        <v>452</v>
      </c>
      <c r="IE227" s="579"/>
      <c r="IF227" s="579"/>
      <c r="IG227" s="579"/>
      <c r="IH227" s="579"/>
    </row>
    <row r="228" spans="1:242" s="164" customFormat="1" ht="19.8" hidden="1">
      <c r="A228" s="572"/>
      <c r="C228" s="584" t="s">
        <v>653</v>
      </c>
      <c r="D228" s="585"/>
      <c r="E228" s="586"/>
      <c r="F228" s="587">
        <v>200</v>
      </c>
      <c r="G228" s="587">
        <v>103</v>
      </c>
      <c r="H228" s="587">
        <v>169</v>
      </c>
      <c r="I228" s="587">
        <f ca="1">SUMPRODUCT(OFFSET(貼付け_2024実績,$F228,6,5,1),OFFSET(貼付け_2024実績,$F228,SUM(COLUMN()-COLUMN(貼付け_2024実績)),5,1))</f>
        <v>0</v>
      </c>
      <c r="J228" s="587">
        <f ca="1">SUMPRODUCT(OFFSET(貼付け_2024実績,$F228,6,5,1),OFFSET(貼付け_2024実績,$F228,SUM(COLUMN()-COLUMN(貼付け_2024実績)),5,1))</f>
        <v>0</v>
      </c>
      <c r="K228" s="587">
        <f t="shared" ref="K228:AP228" ca="1" si="77">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L228" s="587">
        <f t="shared" ca="1" si="77"/>
        <v>0</v>
      </c>
      <c r="M228" s="587">
        <f t="shared" ca="1" si="77"/>
        <v>0</v>
      </c>
      <c r="N228" s="587">
        <f t="shared" ca="1" si="77"/>
        <v>0</v>
      </c>
      <c r="O228" s="587">
        <f ca="1">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P228" s="587">
        <f t="shared" ca="1" si="77"/>
        <v>0</v>
      </c>
      <c r="Q228" s="587">
        <f t="shared" ca="1" si="77"/>
        <v>0</v>
      </c>
      <c r="R228" s="587">
        <f t="shared" ca="1" si="77"/>
        <v>0</v>
      </c>
      <c r="S228" s="587">
        <f t="shared" ca="1" si="77"/>
        <v>0</v>
      </c>
      <c r="T228" s="587">
        <f t="shared" ca="1" si="77"/>
        <v>0</v>
      </c>
      <c r="U228" s="587">
        <f t="shared" ca="1" si="77"/>
        <v>0</v>
      </c>
      <c r="V228" s="587">
        <f t="shared" ca="1" si="77"/>
        <v>0</v>
      </c>
      <c r="W228" s="587">
        <f t="shared" ca="1" si="77"/>
        <v>0</v>
      </c>
      <c r="X228" s="587">
        <f t="shared" ca="1" si="77"/>
        <v>0</v>
      </c>
      <c r="Y228" s="587">
        <f t="shared" ca="1" si="77"/>
        <v>0</v>
      </c>
      <c r="Z228" s="587">
        <f t="shared" ca="1" si="77"/>
        <v>0</v>
      </c>
      <c r="AA228" s="587">
        <f t="shared" ca="1" si="77"/>
        <v>0</v>
      </c>
      <c r="AB228" s="587">
        <f t="shared" ca="1" si="77"/>
        <v>0</v>
      </c>
      <c r="AC228" s="587">
        <f t="shared" ca="1" si="77"/>
        <v>0</v>
      </c>
      <c r="AD228" s="587">
        <f t="shared" ca="1" si="77"/>
        <v>0</v>
      </c>
      <c r="AE228" s="587">
        <f t="shared" ca="1" si="77"/>
        <v>0</v>
      </c>
      <c r="AF228" s="587">
        <f t="shared" ca="1" si="77"/>
        <v>0</v>
      </c>
      <c r="AG228" s="587">
        <f t="shared" ca="1" si="77"/>
        <v>0</v>
      </c>
      <c r="AH228" s="587">
        <f t="shared" ca="1" si="77"/>
        <v>0</v>
      </c>
      <c r="AI228" s="587">
        <f t="shared" ca="1" si="77"/>
        <v>0</v>
      </c>
      <c r="AJ228" s="587">
        <f t="shared" ca="1" si="77"/>
        <v>0</v>
      </c>
      <c r="AK228" s="587">
        <f t="shared" ca="1" si="77"/>
        <v>0</v>
      </c>
      <c r="AL228" s="587">
        <f t="shared" ca="1" si="77"/>
        <v>0</v>
      </c>
      <c r="AM228" s="587">
        <f t="shared" ca="1" si="77"/>
        <v>0</v>
      </c>
      <c r="AN228" s="587">
        <f t="shared" ca="1" si="77"/>
        <v>0</v>
      </c>
      <c r="AO228" s="587">
        <f t="shared" ca="1" si="77"/>
        <v>0</v>
      </c>
      <c r="AP228" s="587">
        <f t="shared" ca="1" si="77"/>
        <v>0</v>
      </c>
      <c r="AQ228" s="587">
        <f t="shared" ref="AQ228:BV228" ca="1" si="78">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AR228" s="587">
        <f t="shared" ca="1" si="78"/>
        <v>0</v>
      </c>
      <c r="AS228" s="587">
        <f t="shared" ca="1" si="78"/>
        <v>0</v>
      </c>
      <c r="AT228" s="587">
        <f t="shared" ca="1" si="78"/>
        <v>0</v>
      </c>
      <c r="AU228" s="587">
        <f t="shared" ca="1" si="78"/>
        <v>0</v>
      </c>
      <c r="AV228" s="587">
        <f t="shared" ca="1" si="78"/>
        <v>0</v>
      </c>
      <c r="AW228" s="587">
        <f t="shared" ca="1" si="78"/>
        <v>0</v>
      </c>
      <c r="AX228" s="587">
        <f t="shared" ca="1" si="78"/>
        <v>0</v>
      </c>
      <c r="AY228" s="587">
        <f t="shared" ca="1" si="78"/>
        <v>0</v>
      </c>
      <c r="AZ228" s="587">
        <f t="shared" ca="1" si="78"/>
        <v>0</v>
      </c>
      <c r="BA228" s="587">
        <f t="shared" ca="1" si="78"/>
        <v>0</v>
      </c>
      <c r="BB228" s="587">
        <f t="shared" ca="1" si="78"/>
        <v>0</v>
      </c>
      <c r="BC228" s="587">
        <f t="shared" ca="1" si="78"/>
        <v>0</v>
      </c>
      <c r="BD228" s="587">
        <f t="shared" ca="1" si="78"/>
        <v>0</v>
      </c>
      <c r="BE228" s="587">
        <f t="shared" ca="1" si="78"/>
        <v>0</v>
      </c>
      <c r="BF228" s="587">
        <f t="shared" ca="1" si="78"/>
        <v>0</v>
      </c>
      <c r="BG228" s="587">
        <f t="shared" ca="1" si="78"/>
        <v>0</v>
      </c>
      <c r="BH228" s="587">
        <f t="shared" ca="1" si="78"/>
        <v>0</v>
      </c>
      <c r="BI228" s="587">
        <f t="shared" ca="1" si="78"/>
        <v>0</v>
      </c>
      <c r="BJ228" s="587">
        <f t="shared" ca="1" si="78"/>
        <v>0</v>
      </c>
      <c r="BK228" s="587">
        <f t="shared" ca="1" si="78"/>
        <v>0</v>
      </c>
      <c r="BL228" s="587">
        <f t="shared" ca="1" si="78"/>
        <v>0</v>
      </c>
      <c r="BM228" s="587">
        <f t="shared" ca="1" si="78"/>
        <v>0</v>
      </c>
      <c r="BN228" s="587">
        <f t="shared" ca="1" si="78"/>
        <v>0</v>
      </c>
      <c r="BO228" s="587">
        <f t="shared" ca="1" si="78"/>
        <v>0</v>
      </c>
      <c r="BP228" s="587">
        <f t="shared" ca="1" si="78"/>
        <v>0</v>
      </c>
      <c r="BQ228" s="587">
        <f t="shared" ca="1" si="78"/>
        <v>0</v>
      </c>
      <c r="BR228" s="587">
        <f t="shared" ca="1" si="78"/>
        <v>0</v>
      </c>
      <c r="BS228" s="587">
        <f t="shared" ca="1" si="78"/>
        <v>0</v>
      </c>
      <c r="BT228" s="587">
        <f t="shared" ca="1" si="78"/>
        <v>0</v>
      </c>
      <c r="BU228" s="587">
        <f t="shared" ca="1" si="78"/>
        <v>0</v>
      </c>
      <c r="BV228" s="587">
        <f t="shared" ca="1" si="78"/>
        <v>0</v>
      </c>
      <c r="BW228" s="587">
        <f t="shared" ref="BW228:DB228" ca="1" si="79">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BX228" s="587">
        <f t="shared" ca="1" si="79"/>
        <v>0</v>
      </c>
      <c r="BY228" s="587">
        <f t="shared" ca="1" si="79"/>
        <v>0</v>
      </c>
      <c r="BZ228" s="587">
        <f t="shared" ca="1" si="79"/>
        <v>0</v>
      </c>
      <c r="CA228" s="587">
        <f t="shared" ca="1" si="79"/>
        <v>0</v>
      </c>
      <c r="CB228" s="587">
        <f t="shared" ca="1" si="79"/>
        <v>0</v>
      </c>
      <c r="CC228" s="587">
        <f t="shared" ca="1" si="79"/>
        <v>0</v>
      </c>
      <c r="CD228" s="587">
        <f t="shared" ca="1" si="79"/>
        <v>0</v>
      </c>
      <c r="CE228" s="587">
        <f t="shared" ca="1" si="79"/>
        <v>0</v>
      </c>
      <c r="CF228" s="587">
        <f t="shared" ca="1" si="79"/>
        <v>0</v>
      </c>
      <c r="CG228" s="587">
        <f t="shared" ca="1" si="79"/>
        <v>0</v>
      </c>
      <c r="CH228" s="587">
        <f t="shared" ca="1" si="79"/>
        <v>0</v>
      </c>
      <c r="CI228" s="587">
        <f t="shared" ca="1" si="79"/>
        <v>0</v>
      </c>
      <c r="CJ228" s="587">
        <f t="shared" ca="1" si="79"/>
        <v>0</v>
      </c>
      <c r="CK228" s="587">
        <f t="shared" ca="1" si="79"/>
        <v>0</v>
      </c>
      <c r="CL228" s="587">
        <f t="shared" ca="1" si="79"/>
        <v>0</v>
      </c>
      <c r="CM228" s="587">
        <f t="shared" ca="1" si="79"/>
        <v>0</v>
      </c>
      <c r="CN228" s="587">
        <f t="shared" ca="1" si="79"/>
        <v>0</v>
      </c>
      <c r="CO228" s="587">
        <f t="shared" ca="1" si="79"/>
        <v>0</v>
      </c>
      <c r="CP228" s="587">
        <f t="shared" ca="1" si="79"/>
        <v>0</v>
      </c>
      <c r="CQ228" s="587">
        <f t="shared" ca="1" si="79"/>
        <v>0</v>
      </c>
      <c r="CR228" s="587">
        <f t="shared" ca="1" si="79"/>
        <v>0</v>
      </c>
      <c r="CS228" s="587">
        <f t="shared" ca="1" si="79"/>
        <v>0</v>
      </c>
      <c r="CT228" s="587">
        <f t="shared" ca="1" si="79"/>
        <v>0</v>
      </c>
      <c r="CU228" s="587">
        <f t="shared" ca="1" si="79"/>
        <v>0</v>
      </c>
      <c r="CV228" s="587">
        <f t="shared" ca="1" si="79"/>
        <v>0</v>
      </c>
      <c r="CW228" s="587">
        <f t="shared" ca="1" si="79"/>
        <v>0</v>
      </c>
      <c r="CX228" s="587">
        <f t="shared" ca="1" si="79"/>
        <v>0</v>
      </c>
      <c r="CY228" s="587">
        <f t="shared" ca="1" si="79"/>
        <v>0</v>
      </c>
      <c r="CZ228" s="587">
        <f t="shared" ca="1" si="79"/>
        <v>0</v>
      </c>
      <c r="DA228" s="587">
        <f t="shared" ca="1" si="79"/>
        <v>0</v>
      </c>
      <c r="DB228" s="587">
        <f t="shared" ca="1" si="79"/>
        <v>0</v>
      </c>
      <c r="DC228" s="587">
        <f t="shared" ref="DC228:EH228" ca="1" si="80">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DD228" s="587">
        <f t="shared" ca="1" si="80"/>
        <v>0</v>
      </c>
      <c r="DE228" s="587">
        <f t="shared" ca="1" si="80"/>
        <v>0</v>
      </c>
      <c r="DF228" s="587">
        <f t="shared" ca="1" si="80"/>
        <v>0</v>
      </c>
      <c r="DG228" s="587">
        <f t="shared" ca="1" si="80"/>
        <v>0</v>
      </c>
      <c r="DH228" s="587">
        <f t="shared" ca="1" si="80"/>
        <v>0</v>
      </c>
      <c r="DI228" s="587">
        <f t="shared" ca="1" si="80"/>
        <v>0</v>
      </c>
      <c r="DJ228" s="587">
        <f t="shared" ca="1" si="80"/>
        <v>0</v>
      </c>
      <c r="DK228" s="587">
        <f t="shared" ca="1" si="80"/>
        <v>0</v>
      </c>
      <c r="DL228" s="587">
        <f t="shared" ca="1" si="80"/>
        <v>0</v>
      </c>
      <c r="DM228" s="587">
        <f t="shared" ca="1" si="80"/>
        <v>0</v>
      </c>
      <c r="DN228" s="587">
        <f t="shared" ca="1" si="80"/>
        <v>0</v>
      </c>
      <c r="DO228" s="587">
        <f t="shared" ca="1" si="80"/>
        <v>0</v>
      </c>
      <c r="DP228" s="587">
        <f t="shared" ca="1" si="80"/>
        <v>0</v>
      </c>
      <c r="DQ228" s="587">
        <f t="shared" ca="1" si="80"/>
        <v>0</v>
      </c>
      <c r="DR228" s="587">
        <f t="shared" ca="1" si="80"/>
        <v>0</v>
      </c>
      <c r="DS228" s="587">
        <f t="shared" ca="1" si="80"/>
        <v>0</v>
      </c>
      <c r="DT228" s="587">
        <f t="shared" ca="1" si="80"/>
        <v>0</v>
      </c>
      <c r="DU228" s="587">
        <f t="shared" ca="1" si="80"/>
        <v>0</v>
      </c>
      <c r="DV228" s="587">
        <f t="shared" ca="1" si="80"/>
        <v>0</v>
      </c>
      <c r="DW228" s="587">
        <f t="shared" ca="1" si="80"/>
        <v>0</v>
      </c>
      <c r="DX228" s="587">
        <f t="shared" ca="1" si="80"/>
        <v>0</v>
      </c>
      <c r="DY228" s="587">
        <f t="shared" ca="1" si="80"/>
        <v>0</v>
      </c>
      <c r="DZ228" s="587">
        <f t="shared" ca="1" si="80"/>
        <v>0</v>
      </c>
      <c r="EA228" s="587">
        <f t="shared" ca="1" si="80"/>
        <v>0</v>
      </c>
      <c r="EB228" s="587">
        <f t="shared" ca="1" si="80"/>
        <v>0</v>
      </c>
      <c r="EC228" s="587">
        <f t="shared" ca="1" si="80"/>
        <v>0</v>
      </c>
      <c r="ED228" s="587">
        <f t="shared" ca="1" si="80"/>
        <v>0</v>
      </c>
      <c r="EE228" s="587">
        <f t="shared" ca="1" si="80"/>
        <v>0</v>
      </c>
      <c r="EF228" s="587">
        <f t="shared" ca="1" si="80"/>
        <v>0</v>
      </c>
      <c r="EG228" s="587">
        <f t="shared" ca="1" si="80"/>
        <v>0</v>
      </c>
      <c r="EH228" s="587">
        <f t="shared" ca="1" si="80"/>
        <v>0</v>
      </c>
      <c r="EI228" s="587">
        <f t="shared" ref="EI228:FN228" ca="1" si="81">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EJ228" s="587">
        <f t="shared" ca="1" si="81"/>
        <v>0</v>
      </c>
      <c r="EK228" s="587">
        <f t="shared" ca="1" si="81"/>
        <v>0</v>
      </c>
      <c r="EL228" s="587">
        <f t="shared" ca="1" si="81"/>
        <v>0</v>
      </c>
      <c r="EM228" s="587">
        <f t="shared" ca="1" si="81"/>
        <v>0</v>
      </c>
      <c r="EN228" s="587">
        <f t="shared" ca="1" si="81"/>
        <v>0</v>
      </c>
      <c r="EO228" s="587">
        <f t="shared" ca="1" si="81"/>
        <v>0</v>
      </c>
      <c r="EP228" s="587">
        <f t="shared" ca="1" si="81"/>
        <v>0</v>
      </c>
      <c r="EQ228" s="587">
        <f t="shared" ca="1" si="81"/>
        <v>0</v>
      </c>
      <c r="ER228" s="587">
        <f t="shared" ca="1" si="81"/>
        <v>0</v>
      </c>
      <c r="ES228" s="587">
        <f t="shared" ca="1" si="81"/>
        <v>0</v>
      </c>
      <c r="ET228" s="587">
        <f t="shared" ca="1" si="81"/>
        <v>0</v>
      </c>
      <c r="EU228" s="587">
        <f t="shared" ca="1" si="81"/>
        <v>0</v>
      </c>
      <c r="EV228" s="587">
        <f t="shared" ca="1" si="81"/>
        <v>0</v>
      </c>
      <c r="EW228" s="587">
        <f t="shared" ca="1" si="81"/>
        <v>0</v>
      </c>
      <c r="EX228" s="587">
        <f t="shared" ca="1" si="81"/>
        <v>0</v>
      </c>
      <c r="EY228" s="587">
        <f t="shared" ca="1" si="81"/>
        <v>0</v>
      </c>
      <c r="EZ228" s="587">
        <f t="shared" ca="1" si="81"/>
        <v>0</v>
      </c>
      <c r="FA228" s="587">
        <f t="shared" ca="1" si="81"/>
        <v>0</v>
      </c>
      <c r="FB228" s="587">
        <f t="shared" ca="1" si="81"/>
        <v>0</v>
      </c>
      <c r="FC228" s="587">
        <f t="shared" ca="1" si="81"/>
        <v>0</v>
      </c>
      <c r="FD228" s="587">
        <f t="shared" ca="1" si="81"/>
        <v>0</v>
      </c>
      <c r="FE228" s="587">
        <f t="shared" ca="1" si="81"/>
        <v>0</v>
      </c>
      <c r="FF228" s="587">
        <f t="shared" ca="1" si="81"/>
        <v>0</v>
      </c>
      <c r="FG228" s="587">
        <f t="shared" ca="1" si="81"/>
        <v>0</v>
      </c>
      <c r="FH228" s="587">
        <f t="shared" ca="1" si="81"/>
        <v>0</v>
      </c>
      <c r="FI228" s="587">
        <f t="shared" ca="1" si="81"/>
        <v>0</v>
      </c>
      <c r="FJ228" s="587">
        <f t="shared" ca="1" si="81"/>
        <v>0</v>
      </c>
      <c r="FK228" s="587">
        <f t="shared" ca="1" si="81"/>
        <v>0</v>
      </c>
      <c r="FL228" s="587">
        <f t="shared" ca="1" si="81"/>
        <v>0</v>
      </c>
      <c r="FM228" s="587">
        <f t="shared" ca="1" si="81"/>
        <v>0</v>
      </c>
      <c r="FN228" s="587">
        <f t="shared" ca="1" si="81"/>
        <v>0</v>
      </c>
      <c r="FO228" s="587">
        <f t="shared" ref="FO228:GT228" ca="1" si="82">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FP228" s="587">
        <f t="shared" ca="1" si="82"/>
        <v>0</v>
      </c>
      <c r="FQ228" s="587">
        <f t="shared" ca="1" si="82"/>
        <v>0</v>
      </c>
      <c r="FR228" s="587">
        <f t="shared" ca="1" si="82"/>
        <v>0</v>
      </c>
      <c r="FS228" s="587">
        <f t="shared" ca="1" si="82"/>
        <v>0</v>
      </c>
      <c r="FT228" s="587">
        <f t="shared" ca="1" si="82"/>
        <v>0</v>
      </c>
      <c r="FU228" s="587">
        <f t="shared" ca="1" si="82"/>
        <v>0</v>
      </c>
      <c r="FV228" s="587">
        <f t="shared" ca="1" si="82"/>
        <v>0</v>
      </c>
      <c r="FW228" s="587">
        <f t="shared" ca="1" si="82"/>
        <v>0</v>
      </c>
      <c r="FX228" s="587">
        <f t="shared" ca="1" si="82"/>
        <v>0</v>
      </c>
      <c r="FY228" s="587">
        <f t="shared" ca="1" si="82"/>
        <v>0</v>
      </c>
      <c r="FZ228" s="587">
        <f t="shared" ca="1" si="82"/>
        <v>0</v>
      </c>
      <c r="GA228" s="587">
        <f t="shared" ca="1" si="82"/>
        <v>0</v>
      </c>
      <c r="GB228" s="587">
        <f t="shared" ca="1" si="82"/>
        <v>0</v>
      </c>
      <c r="GC228" s="587">
        <f t="shared" ca="1" si="82"/>
        <v>0</v>
      </c>
      <c r="GD228" s="587">
        <f t="shared" ca="1" si="82"/>
        <v>0</v>
      </c>
      <c r="GE228" s="587">
        <f t="shared" ca="1" si="82"/>
        <v>0</v>
      </c>
      <c r="GF228" s="587">
        <f t="shared" ca="1" si="82"/>
        <v>0</v>
      </c>
      <c r="GG228" s="587">
        <f t="shared" ca="1" si="82"/>
        <v>0</v>
      </c>
      <c r="GH228" s="587">
        <f t="shared" ca="1" si="82"/>
        <v>0</v>
      </c>
      <c r="GI228" s="587">
        <f t="shared" ca="1" si="82"/>
        <v>0</v>
      </c>
      <c r="GJ228" s="587">
        <f t="shared" ca="1" si="82"/>
        <v>0</v>
      </c>
      <c r="GK228" s="587">
        <f t="shared" ca="1" si="82"/>
        <v>0</v>
      </c>
      <c r="GL228" s="587">
        <f t="shared" ca="1" si="82"/>
        <v>0</v>
      </c>
      <c r="GM228" s="587">
        <f t="shared" ca="1" si="82"/>
        <v>0</v>
      </c>
      <c r="GN228" s="587">
        <f t="shared" ca="1" si="82"/>
        <v>0</v>
      </c>
      <c r="GO228" s="587">
        <f t="shared" ca="1" si="82"/>
        <v>0</v>
      </c>
      <c r="GP228" s="587">
        <f t="shared" ca="1" si="82"/>
        <v>0</v>
      </c>
      <c r="GQ228" s="587">
        <f t="shared" ca="1" si="82"/>
        <v>0</v>
      </c>
      <c r="GR228" s="587">
        <f t="shared" ca="1" si="82"/>
        <v>0</v>
      </c>
      <c r="GS228" s="587">
        <f t="shared" ca="1" si="82"/>
        <v>0</v>
      </c>
      <c r="GT228" s="587">
        <f t="shared" ca="1" si="82"/>
        <v>0</v>
      </c>
      <c r="GU228" s="587">
        <f t="shared" ref="GU228:HB228" ca="1" si="83">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GV228" s="587">
        <f t="shared" ca="1" si="83"/>
        <v>0</v>
      </c>
      <c r="GW228" s="587">
        <f t="shared" ca="1" si="83"/>
        <v>0</v>
      </c>
      <c r="GX228" s="587">
        <f t="shared" ca="1" si="83"/>
        <v>0</v>
      </c>
      <c r="GY228" s="587">
        <f t="shared" ca="1" si="83"/>
        <v>0</v>
      </c>
      <c r="GZ228" s="587">
        <f t="shared" ca="1" si="83"/>
        <v>0</v>
      </c>
      <c r="HA228" s="587">
        <f t="shared" ca="1" si="83"/>
        <v>0</v>
      </c>
      <c r="HB228" s="587">
        <f t="shared" ca="1" si="83"/>
        <v>0</v>
      </c>
      <c r="IE228" s="579"/>
      <c r="IF228" s="579"/>
      <c r="IG228" s="579"/>
      <c r="IH228" s="579"/>
    </row>
    <row r="229" spans="1:242" s="164" customFormat="1" ht="19.8" hidden="1">
      <c r="A229" s="572"/>
      <c r="C229" s="584" t="s">
        <v>654</v>
      </c>
      <c r="D229" s="586"/>
      <c r="E229" s="586"/>
      <c r="F229" s="587"/>
      <c r="G229" s="587">
        <v>8</v>
      </c>
      <c r="H229" s="587">
        <v>98</v>
      </c>
      <c r="I229" s="587"/>
      <c r="J229" s="587"/>
      <c r="K229" s="587">
        <f ca="1">(SUMPRODUCT($G$17:$G$65,K17:K65)+$G$67*K67+$G$69*K69+$G$71*K71+$G$73*K73+SUMPRODUCT($G$75:$G$81,K75:K81)+$G$83*K83+$G$85*K85+$G$86*K86+$G$89*K89+SUMPRODUCT($G$92:$G$103,K92:K103)+K228)*0.0258</f>
        <v>0</v>
      </c>
      <c r="L229" s="587">
        <f t="shared" ref="L229:BW229" ca="1" si="84">(SUMPRODUCT($G$17:$G$65,L17:L65)+$G$67*L67+$G$69*L69+$G$71*L71+$G$73*L73+SUMPRODUCT($G$75:$G$81,L75:L81)+$G$83*L83+$G$85*L85+$G$86*L86+$G$89*L89+SUMPRODUCT($G$92:$G$103,L92:L103)+L228)*0.0258</f>
        <v>0</v>
      </c>
      <c r="M229" s="587">
        <f t="shared" ca="1" si="84"/>
        <v>0</v>
      </c>
      <c r="N229" s="587">
        <f t="shared" ca="1" si="84"/>
        <v>0</v>
      </c>
      <c r="O229" s="587">
        <f t="shared" ca="1" si="84"/>
        <v>0</v>
      </c>
      <c r="P229" s="587">
        <f t="shared" ca="1" si="84"/>
        <v>0</v>
      </c>
      <c r="Q229" s="587">
        <f t="shared" ca="1" si="84"/>
        <v>0</v>
      </c>
      <c r="R229" s="587">
        <f t="shared" ca="1" si="84"/>
        <v>0</v>
      </c>
      <c r="S229" s="587">
        <f t="shared" ca="1" si="84"/>
        <v>0</v>
      </c>
      <c r="T229" s="587">
        <f t="shared" ca="1" si="84"/>
        <v>0</v>
      </c>
      <c r="U229" s="587">
        <f t="shared" ca="1" si="84"/>
        <v>0</v>
      </c>
      <c r="V229" s="587">
        <f t="shared" ca="1" si="84"/>
        <v>0</v>
      </c>
      <c r="W229" s="587">
        <f t="shared" ca="1" si="84"/>
        <v>0</v>
      </c>
      <c r="X229" s="587">
        <f t="shared" ca="1" si="84"/>
        <v>0</v>
      </c>
      <c r="Y229" s="587">
        <f t="shared" ca="1" si="84"/>
        <v>0</v>
      </c>
      <c r="Z229" s="587">
        <f t="shared" ca="1" si="84"/>
        <v>0</v>
      </c>
      <c r="AA229" s="587">
        <f t="shared" ca="1" si="84"/>
        <v>0</v>
      </c>
      <c r="AB229" s="587">
        <f t="shared" ca="1" si="84"/>
        <v>0</v>
      </c>
      <c r="AC229" s="587">
        <f t="shared" ca="1" si="84"/>
        <v>0</v>
      </c>
      <c r="AD229" s="587">
        <f t="shared" ca="1" si="84"/>
        <v>0</v>
      </c>
      <c r="AE229" s="587">
        <f t="shared" ca="1" si="84"/>
        <v>0</v>
      </c>
      <c r="AF229" s="587">
        <f t="shared" ca="1" si="84"/>
        <v>0</v>
      </c>
      <c r="AG229" s="587">
        <f t="shared" ca="1" si="84"/>
        <v>0</v>
      </c>
      <c r="AH229" s="587">
        <f t="shared" ca="1" si="84"/>
        <v>0</v>
      </c>
      <c r="AI229" s="587">
        <f t="shared" ca="1" si="84"/>
        <v>0</v>
      </c>
      <c r="AJ229" s="587">
        <f t="shared" ca="1" si="84"/>
        <v>0</v>
      </c>
      <c r="AK229" s="587">
        <f t="shared" ca="1" si="84"/>
        <v>0</v>
      </c>
      <c r="AL229" s="587">
        <f t="shared" ca="1" si="84"/>
        <v>0</v>
      </c>
      <c r="AM229" s="587">
        <f t="shared" ca="1" si="84"/>
        <v>0</v>
      </c>
      <c r="AN229" s="587">
        <f t="shared" ca="1" si="84"/>
        <v>0</v>
      </c>
      <c r="AO229" s="587">
        <f t="shared" ca="1" si="84"/>
        <v>0</v>
      </c>
      <c r="AP229" s="587">
        <f t="shared" ca="1" si="84"/>
        <v>0</v>
      </c>
      <c r="AQ229" s="587">
        <f t="shared" ca="1" si="84"/>
        <v>0</v>
      </c>
      <c r="AR229" s="587">
        <f t="shared" ca="1" si="84"/>
        <v>0</v>
      </c>
      <c r="AS229" s="587">
        <f t="shared" ca="1" si="84"/>
        <v>0</v>
      </c>
      <c r="AT229" s="587">
        <f t="shared" ca="1" si="84"/>
        <v>0</v>
      </c>
      <c r="AU229" s="587">
        <f t="shared" ca="1" si="84"/>
        <v>0</v>
      </c>
      <c r="AV229" s="587">
        <f t="shared" ca="1" si="84"/>
        <v>0</v>
      </c>
      <c r="AW229" s="587">
        <f t="shared" ca="1" si="84"/>
        <v>0</v>
      </c>
      <c r="AX229" s="587">
        <f t="shared" ca="1" si="84"/>
        <v>0</v>
      </c>
      <c r="AY229" s="587">
        <f t="shared" ca="1" si="84"/>
        <v>0</v>
      </c>
      <c r="AZ229" s="587">
        <f t="shared" ca="1" si="84"/>
        <v>0</v>
      </c>
      <c r="BA229" s="587">
        <f t="shared" ca="1" si="84"/>
        <v>0</v>
      </c>
      <c r="BB229" s="587">
        <f t="shared" ca="1" si="84"/>
        <v>0</v>
      </c>
      <c r="BC229" s="587">
        <f t="shared" ca="1" si="84"/>
        <v>0</v>
      </c>
      <c r="BD229" s="587">
        <f t="shared" ca="1" si="84"/>
        <v>0</v>
      </c>
      <c r="BE229" s="587">
        <f t="shared" ca="1" si="84"/>
        <v>0</v>
      </c>
      <c r="BF229" s="587">
        <f t="shared" ca="1" si="84"/>
        <v>0</v>
      </c>
      <c r="BG229" s="587">
        <f t="shared" ca="1" si="84"/>
        <v>0</v>
      </c>
      <c r="BH229" s="587">
        <f t="shared" ca="1" si="84"/>
        <v>0</v>
      </c>
      <c r="BI229" s="587">
        <f t="shared" ca="1" si="84"/>
        <v>0</v>
      </c>
      <c r="BJ229" s="587">
        <f t="shared" ca="1" si="84"/>
        <v>0</v>
      </c>
      <c r="BK229" s="587">
        <f t="shared" ca="1" si="84"/>
        <v>0</v>
      </c>
      <c r="BL229" s="587">
        <f t="shared" ca="1" si="84"/>
        <v>0</v>
      </c>
      <c r="BM229" s="587">
        <f t="shared" ca="1" si="84"/>
        <v>0</v>
      </c>
      <c r="BN229" s="587">
        <f t="shared" ca="1" si="84"/>
        <v>0</v>
      </c>
      <c r="BO229" s="587">
        <f t="shared" ca="1" si="84"/>
        <v>0</v>
      </c>
      <c r="BP229" s="587">
        <f t="shared" ca="1" si="84"/>
        <v>0</v>
      </c>
      <c r="BQ229" s="587">
        <f t="shared" ca="1" si="84"/>
        <v>0</v>
      </c>
      <c r="BR229" s="587">
        <f t="shared" ca="1" si="84"/>
        <v>0</v>
      </c>
      <c r="BS229" s="587">
        <f t="shared" ca="1" si="84"/>
        <v>0</v>
      </c>
      <c r="BT229" s="587">
        <f t="shared" ca="1" si="84"/>
        <v>0</v>
      </c>
      <c r="BU229" s="587">
        <f t="shared" ca="1" si="84"/>
        <v>0</v>
      </c>
      <c r="BV229" s="587">
        <f t="shared" ca="1" si="84"/>
        <v>0</v>
      </c>
      <c r="BW229" s="587">
        <f t="shared" ca="1" si="84"/>
        <v>0</v>
      </c>
      <c r="BX229" s="587">
        <f t="shared" ref="BX229:EI229" ca="1" si="85">(SUMPRODUCT($G$17:$G$65,BX17:BX65)+$G$67*BX67+$G$69*BX69+$G$71*BX71+$G$73*BX73+SUMPRODUCT($G$75:$G$81,BX75:BX81)+$G$83*BX83+$G$85*BX85+$G$86*BX86+$G$89*BX89+SUMPRODUCT($G$92:$G$103,BX92:BX103)+BX228)*0.0258</f>
        <v>0</v>
      </c>
      <c r="BY229" s="587">
        <f t="shared" ca="1" si="85"/>
        <v>0</v>
      </c>
      <c r="BZ229" s="587">
        <f t="shared" ca="1" si="85"/>
        <v>0</v>
      </c>
      <c r="CA229" s="587">
        <f t="shared" ca="1" si="85"/>
        <v>0</v>
      </c>
      <c r="CB229" s="587">
        <f t="shared" ca="1" si="85"/>
        <v>0</v>
      </c>
      <c r="CC229" s="587">
        <f t="shared" ca="1" si="85"/>
        <v>0</v>
      </c>
      <c r="CD229" s="587">
        <f t="shared" ca="1" si="85"/>
        <v>0</v>
      </c>
      <c r="CE229" s="587">
        <f t="shared" ca="1" si="85"/>
        <v>0</v>
      </c>
      <c r="CF229" s="587">
        <f t="shared" ca="1" si="85"/>
        <v>0</v>
      </c>
      <c r="CG229" s="587">
        <f t="shared" ca="1" si="85"/>
        <v>0</v>
      </c>
      <c r="CH229" s="587">
        <f t="shared" ca="1" si="85"/>
        <v>0</v>
      </c>
      <c r="CI229" s="587">
        <f t="shared" ca="1" si="85"/>
        <v>0</v>
      </c>
      <c r="CJ229" s="587">
        <f t="shared" ca="1" si="85"/>
        <v>0</v>
      </c>
      <c r="CK229" s="587">
        <f t="shared" ca="1" si="85"/>
        <v>0</v>
      </c>
      <c r="CL229" s="587">
        <f t="shared" ca="1" si="85"/>
        <v>0</v>
      </c>
      <c r="CM229" s="587">
        <f t="shared" ca="1" si="85"/>
        <v>0</v>
      </c>
      <c r="CN229" s="587">
        <f t="shared" ca="1" si="85"/>
        <v>0</v>
      </c>
      <c r="CO229" s="587">
        <f t="shared" ca="1" si="85"/>
        <v>0</v>
      </c>
      <c r="CP229" s="587">
        <f t="shared" ca="1" si="85"/>
        <v>0</v>
      </c>
      <c r="CQ229" s="587">
        <f t="shared" ca="1" si="85"/>
        <v>0</v>
      </c>
      <c r="CR229" s="587">
        <f t="shared" ca="1" si="85"/>
        <v>0</v>
      </c>
      <c r="CS229" s="587">
        <f t="shared" ca="1" si="85"/>
        <v>0</v>
      </c>
      <c r="CT229" s="587">
        <f t="shared" ca="1" si="85"/>
        <v>0</v>
      </c>
      <c r="CU229" s="587">
        <f t="shared" ca="1" si="85"/>
        <v>0</v>
      </c>
      <c r="CV229" s="587">
        <f t="shared" ca="1" si="85"/>
        <v>0</v>
      </c>
      <c r="CW229" s="587">
        <f t="shared" ca="1" si="85"/>
        <v>0</v>
      </c>
      <c r="CX229" s="587">
        <f t="shared" ca="1" si="85"/>
        <v>0</v>
      </c>
      <c r="CY229" s="587">
        <f t="shared" ca="1" si="85"/>
        <v>0</v>
      </c>
      <c r="CZ229" s="587">
        <f t="shared" ca="1" si="85"/>
        <v>0</v>
      </c>
      <c r="DA229" s="587">
        <f t="shared" ca="1" si="85"/>
        <v>0</v>
      </c>
      <c r="DB229" s="587">
        <f t="shared" ca="1" si="85"/>
        <v>0</v>
      </c>
      <c r="DC229" s="587">
        <f t="shared" ca="1" si="85"/>
        <v>0</v>
      </c>
      <c r="DD229" s="587">
        <f t="shared" ca="1" si="85"/>
        <v>0</v>
      </c>
      <c r="DE229" s="587">
        <f t="shared" ca="1" si="85"/>
        <v>0</v>
      </c>
      <c r="DF229" s="587">
        <f t="shared" ca="1" si="85"/>
        <v>0</v>
      </c>
      <c r="DG229" s="587">
        <f t="shared" ca="1" si="85"/>
        <v>0</v>
      </c>
      <c r="DH229" s="587">
        <f t="shared" ca="1" si="85"/>
        <v>0</v>
      </c>
      <c r="DI229" s="587">
        <f t="shared" ca="1" si="85"/>
        <v>0</v>
      </c>
      <c r="DJ229" s="587">
        <f t="shared" ca="1" si="85"/>
        <v>0</v>
      </c>
      <c r="DK229" s="587">
        <f t="shared" ca="1" si="85"/>
        <v>0</v>
      </c>
      <c r="DL229" s="587">
        <f t="shared" ca="1" si="85"/>
        <v>0</v>
      </c>
      <c r="DM229" s="587">
        <f t="shared" ca="1" si="85"/>
        <v>0</v>
      </c>
      <c r="DN229" s="587">
        <f t="shared" ca="1" si="85"/>
        <v>0</v>
      </c>
      <c r="DO229" s="587">
        <f t="shared" ca="1" si="85"/>
        <v>0</v>
      </c>
      <c r="DP229" s="587">
        <f t="shared" ca="1" si="85"/>
        <v>0</v>
      </c>
      <c r="DQ229" s="587">
        <f t="shared" ca="1" si="85"/>
        <v>0</v>
      </c>
      <c r="DR229" s="587">
        <f t="shared" ca="1" si="85"/>
        <v>0</v>
      </c>
      <c r="DS229" s="587">
        <f t="shared" ca="1" si="85"/>
        <v>0</v>
      </c>
      <c r="DT229" s="587">
        <f t="shared" ca="1" si="85"/>
        <v>0</v>
      </c>
      <c r="DU229" s="587">
        <f t="shared" ca="1" si="85"/>
        <v>0</v>
      </c>
      <c r="DV229" s="587">
        <f t="shared" ca="1" si="85"/>
        <v>0</v>
      </c>
      <c r="DW229" s="587">
        <f t="shared" ca="1" si="85"/>
        <v>0</v>
      </c>
      <c r="DX229" s="587">
        <f t="shared" ca="1" si="85"/>
        <v>0</v>
      </c>
      <c r="DY229" s="587">
        <f t="shared" ca="1" si="85"/>
        <v>0</v>
      </c>
      <c r="DZ229" s="587">
        <f t="shared" ca="1" si="85"/>
        <v>0</v>
      </c>
      <c r="EA229" s="587">
        <f t="shared" ca="1" si="85"/>
        <v>0</v>
      </c>
      <c r="EB229" s="587">
        <f t="shared" ca="1" si="85"/>
        <v>0</v>
      </c>
      <c r="EC229" s="587">
        <f t="shared" ca="1" si="85"/>
        <v>0</v>
      </c>
      <c r="ED229" s="587">
        <f t="shared" ca="1" si="85"/>
        <v>0</v>
      </c>
      <c r="EE229" s="587">
        <f t="shared" ca="1" si="85"/>
        <v>0</v>
      </c>
      <c r="EF229" s="587">
        <f t="shared" ca="1" si="85"/>
        <v>0</v>
      </c>
      <c r="EG229" s="587">
        <f t="shared" ca="1" si="85"/>
        <v>0</v>
      </c>
      <c r="EH229" s="587">
        <f t="shared" ca="1" si="85"/>
        <v>0</v>
      </c>
      <c r="EI229" s="587">
        <f t="shared" ca="1" si="85"/>
        <v>0</v>
      </c>
      <c r="EJ229" s="587">
        <f t="shared" ref="EJ229:GU229" ca="1" si="86">(SUMPRODUCT($G$17:$G$65,EJ17:EJ65)+$G$67*EJ67+$G$69*EJ69+$G$71*EJ71+$G$73*EJ73+SUMPRODUCT($G$75:$G$81,EJ75:EJ81)+$G$83*EJ83+$G$85*EJ85+$G$86*EJ86+$G$89*EJ89+SUMPRODUCT($G$92:$G$103,EJ92:EJ103)+EJ228)*0.0258</f>
        <v>0</v>
      </c>
      <c r="EK229" s="587">
        <f t="shared" ca="1" si="86"/>
        <v>0</v>
      </c>
      <c r="EL229" s="587">
        <f t="shared" ca="1" si="86"/>
        <v>0</v>
      </c>
      <c r="EM229" s="587">
        <f t="shared" ca="1" si="86"/>
        <v>0</v>
      </c>
      <c r="EN229" s="587">
        <f t="shared" ca="1" si="86"/>
        <v>0</v>
      </c>
      <c r="EO229" s="587">
        <f t="shared" ca="1" si="86"/>
        <v>0</v>
      </c>
      <c r="EP229" s="587">
        <f t="shared" ca="1" si="86"/>
        <v>0</v>
      </c>
      <c r="EQ229" s="587">
        <f t="shared" ca="1" si="86"/>
        <v>0</v>
      </c>
      <c r="ER229" s="587">
        <f t="shared" ca="1" si="86"/>
        <v>0</v>
      </c>
      <c r="ES229" s="587">
        <f t="shared" ca="1" si="86"/>
        <v>0</v>
      </c>
      <c r="ET229" s="587">
        <f t="shared" ca="1" si="86"/>
        <v>0</v>
      </c>
      <c r="EU229" s="587">
        <f t="shared" ca="1" si="86"/>
        <v>0</v>
      </c>
      <c r="EV229" s="587">
        <f t="shared" ca="1" si="86"/>
        <v>0</v>
      </c>
      <c r="EW229" s="587">
        <f t="shared" ca="1" si="86"/>
        <v>0</v>
      </c>
      <c r="EX229" s="587">
        <f t="shared" ca="1" si="86"/>
        <v>0</v>
      </c>
      <c r="EY229" s="587">
        <f t="shared" ca="1" si="86"/>
        <v>0</v>
      </c>
      <c r="EZ229" s="587">
        <f t="shared" ca="1" si="86"/>
        <v>0</v>
      </c>
      <c r="FA229" s="587">
        <f t="shared" ca="1" si="86"/>
        <v>0</v>
      </c>
      <c r="FB229" s="587">
        <f t="shared" ca="1" si="86"/>
        <v>0</v>
      </c>
      <c r="FC229" s="587">
        <f t="shared" ca="1" si="86"/>
        <v>0</v>
      </c>
      <c r="FD229" s="587">
        <f t="shared" ca="1" si="86"/>
        <v>0</v>
      </c>
      <c r="FE229" s="587">
        <f t="shared" ca="1" si="86"/>
        <v>0</v>
      </c>
      <c r="FF229" s="587">
        <f t="shared" ca="1" si="86"/>
        <v>0</v>
      </c>
      <c r="FG229" s="587">
        <f t="shared" ca="1" si="86"/>
        <v>0</v>
      </c>
      <c r="FH229" s="587">
        <f t="shared" ca="1" si="86"/>
        <v>0</v>
      </c>
      <c r="FI229" s="587">
        <f t="shared" ca="1" si="86"/>
        <v>0</v>
      </c>
      <c r="FJ229" s="587">
        <f t="shared" ca="1" si="86"/>
        <v>0</v>
      </c>
      <c r="FK229" s="587">
        <f t="shared" ca="1" si="86"/>
        <v>0</v>
      </c>
      <c r="FL229" s="587">
        <f t="shared" ca="1" si="86"/>
        <v>0</v>
      </c>
      <c r="FM229" s="587">
        <f t="shared" ca="1" si="86"/>
        <v>0</v>
      </c>
      <c r="FN229" s="587">
        <f t="shared" ca="1" si="86"/>
        <v>0</v>
      </c>
      <c r="FO229" s="587">
        <f t="shared" ca="1" si="86"/>
        <v>0</v>
      </c>
      <c r="FP229" s="587">
        <f t="shared" ca="1" si="86"/>
        <v>0</v>
      </c>
      <c r="FQ229" s="587">
        <f t="shared" ca="1" si="86"/>
        <v>0</v>
      </c>
      <c r="FR229" s="587">
        <f t="shared" ca="1" si="86"/>
        <v>0</v>
      </c>
      <c r="FS229" s="587">
        <f t="shared" ca="1" si="86"/>
        <v>0</v>
      </c>
      <c r="FT229" s="587">
        <f t="shared" ca="1" si="86"/>
        <v>0</v>
      </c>
      <c r="FU229" s="587">
        <f t="shared" ca="1" si="86"/>
        <v>0</v>
      </c>
      <c r="FV229" s="587">
        <f t="shared" ca="1" si="86"/>
        <v>0</v>
      </c>
      <c r="FW229" s="587">
        <f t="shared" ca="1" si="86"/>
        <v>0</v>
      </c>
      <c r="FX229" s="587">
        <f t="shared" ca="1" si="86"/>
        <v>0</v>
      </c>
      <c r="FY229" s="587">
        <f t="shared" ca="1" si="86"/>
        <v>0</v>
      </c>
      <c r="FZ229" s="587">
        <f t="shared" ca="1" si="86"/>
        <v>0</v>
      </c>
      <c r="GA229" s="587">
        <f t="shared" ca="1" si="86"/>
        <v>0</v>
      </c>
      <c r="GB229" s="587">
        <f t="shared" ca="1" si="86"/>
        <v>0</v>
      </c>
      <c r="GC229" s="587">
        <f t="shared" ca="1" si="86"/>
        <v>0</v>
      </c>
      <c r="GD229" s="587">
        <f t="shared" ca="1" si="86"/>
        <v>0</v>
      </c>
      <c r="GE229" s="587">
        <f t="shared" ca="1" si="86"/>
        <v>0</v>
      </c>
      <c r="GF229" s="587">
        <f t="shared" ca="1" si="86"/>
        <v>0</v>
      </c>
      <c r="GG229" s="587">
        <f t="shared" ca="1" si="86"/>
        <v>0</v>
      </c>
      <c r="GH229" s="587">
        <f t="shared" ca="1" si="86"/>
        <v>0</v>
      </c>
      <c r="GI229" s="587">
        <f t="shared" ca="1" si="86"/>
        <v>0</v>
      </c>
      <c r="GJ229" s="587">
        <f t="shared" ca="1" si="86"/>
        <v>0</v>
      </c>
      <c r="GK229" s="587">
        <f t="shared" ca="1" si="86"/>
        <v>0</v>
      </c>
      <c r="GL229" s="587">
        <f t="shared" ca="1" si="86"/>
        <v>0</v>
      </c>
      <c r="GM229" s="587">
        <f t="shared" ca="1" si="86"/>
        <v>0</v>
      </c>
      <c r="GN229" s="587">
        <f t="shared" ca="1" si="86"/>
        <v>0</v>
      </c>
      <c r="GO229" s="587">
        <f t="shared" ca="1" si="86"/>
        <v>0</v>
      </c>
      <c r="GP229" s="587">
        <f t="shared" ca="1" si="86"/>
        <v>0</v>
      </c>
      <c r="GQ229" s="587">
        <f t="shared" ca="1" si="86"/>
        <v>0</v>
      </c>
      <c r="GR229" s="587">
        <f t="shared" ca="1" si="86"/>
        <v>0</v>
      </c>
      <c r="GS229" s="587">
        <f t="shared" ca="1" si="86"/>
        <v>0</v>
      </c>
      <c r="GT229" s="587">
        <f t="shared" ca="1" si="86"/>
        <v>0</v>
      </c>
      <c r="GU229" s="587">
        <f t="shared" ca="1" si="86"/>
        <v>0</v>
      </c>
      <c r="GV229" s="587">
        <f t="shared" ref="GV229:HB229" ca="1" si="87">(SUMPRODUCT($G$17:$G$65,GV17:GV65)+$G$67*GV67+$G$69*GV69+$G$71*GV71+$G$73*GV73+SUMPRODUCT($G$75:$G$81,GV75:GV81)+$G$83*GV83+$G$85*GV85+$G$86*GV86+$G$89*GV89+SUMPRODUCT($G$92:$G$103,GV92:GV103)+GV228)*0.0258</f>
        <v>0</v>
      </c>
      <c r="GW229" s="587">
        <f t="shared" ca="1" si="87"/>
        <v>0</v>
      </c>
      <c r="GX229" s="587">
        <f t="shared" ca="1" si="87"/>
        <v>0</v>
      </c>
      <c r="GY229" s="587">
        <f t="shared" ca="1" si="87"/>
        <v>0</v>
      </c>
      <c r="GZ229" s="587">
        <f t="shared" ca="1" si="87"/>
        <v>0</v>
      </c>
      <c r="HA229" s="587">
        <f t="shared" ca="1" si="87"/>
        <v>0</v>
      </c>
      <c r="HB229" s="587">
        <f t="shared" ca="1" si="87"/>
        <v>0</v>
      </c>
      <c r="IE229" s="579"/>
      <c r="IF229" s="579"/>
      <c r="IG229" s="579"/>
      <c r="IH229" s="579"/>
    </row>
    <row r="230" spans="1:242" s="164" customFormat="1" ht="19.8" hidden="1">
      <c r="A230" s="572"/>
      <c r="C230" s="584" t="s">
        <v>655</v>
      </c>
      <c r="D230" s="586"/>
      <c r="E230" s="586"/>
      <c r="F230" s="587"/>
      <c r="G230" s="587">
        <v>37</v>
      </c>
      <c r="H230" s="587">
        <v>55</v>
      </c>
      <c r="I230" s="587"/>
      <c r="J230" s="587"/>
      <c r="K230" s="587">
        <f ca="1">SUMPRODUCT(OFFSET(貼付け_2024実績,$G230,5,($H230-$G230+1),1),OFFSET(貼付け_2024実績,$G230,SUM(COLUMN()-COLUMN(貼付け_2024実績)),($H230-$G230+1),1))*0.0258</f>
        <v>0</v>
      </c>
      <c r="L230" s="588"/>
      <c r="M230" s="588"/>
      <c r="N230" s="588"/>
      <c r="O230" s="587">
        <f ca="1">SUMPRODUCT(OFFSET(貼付け_2024実績,$G230,5,($H230-$G230+1),1),OFFSET(貼付け_2024実績,$G230,SUM(COLUMN()-COLUMN(貼付け_2024実績)),($H230-$G230+1),1))*0.0258</f>
        <v>0</v>
      </c>
      <c r="P230" s="588"/>
      <c r="Q230" s="588"/>
      <c r="R230" s="588"/>
      <c r="S230" s="587">
        <f ca="1">SUMPRODUCT(OFFSET(貼付け_2024実績,$G230,5,($H230-$G230+1),1),OFFSET(貼付け_2024実績,$G230,SUM(COLUMN()-COLUMN(貼付け_2024実績)),($H230-$G230+1),1))*0.0258</f>
        <v>0</v>
      </c>
      <c r="T230" s="588"/>
      <c r="U230" s="588"/>
      <c r="V230" s="588"/>
      <c r="W230" s="587">
        <f ca="1">SUMPRODUCT(OFFSET(貼付け_2024実績,$G230,5,($H230-$G230+1),1),OFFSET(貼付け_2024実績,$G230,SUM(COLUMN()-COLUMN(貼付け_2024実績)),($H230-$G230+1),1))*0.0258</f>
        <v>0</v>
      </c>
      <c r="X230" s="588"/>
      <c r="Y230" s="588"/>
      <c r="Z230" s="588"/>
      <c r="AA230" s="587">
        <f ca="1">SUMPRODUCT(OFFSET(貼付け_2024実績,$G230,5,($H230-$G230+1),1),OFFSET(貼付け_2024実績,$G230,SUM(COLUMN()-COLUMN(貼付け_2024実績)),($H230-$G230+1),1))*0.0258</f>
        <v>0</v>
      </c>
      <c r="AB230" s="588"/>
      <c r="AC230" s="588"/>
      <c r="AD230" s="588"/>
      <c r="AE230" s="587">
        <f ca="1">SUMPRODUCT(OFFSET(貼付け_2024実績,$G230,5,($H230-$G230+1),1),OFFSET(貼付け_2024実績,$G230,SUM(COLUMN()-COLUMN(貼付け_2024実績)),($H230-$G230+1),1))*0.0258</f>
        <v>0</v>
      </c>
      <c r="AF230" s="588"/>
      <c r="AG230" s="588"/>
      <c r="AH230" s="588"/>
      <c r="AI230" s="587">
        <f ca="1">SUMPRODUCT(OFFSET(貼付け_2024実績,$G230,5,($H230-$G230+1),1),OFFSET(貼付け_2024実績,$G230,SUM(COLUMN()-COLUMN(貼付け_2024実績)),($H230-$G230+1),1))*0.0258</f>
        <v>0</v>
      </c>
      <c r="AJ230" s="588"/>
      <c r="AK230" s="588"/>
      <c r="AL230" s="588"/>
      <c r="AM230" s="587">
        <f ca="1">SUMPRODUCT(OFFSET(貼付け_2024実績,$G230,5,($H230-$G230+1),1),OFFSET(貼付け_2024実績,$G230,SUM(COLUMN()-COLUMN(貼付け_2024実績)),($H230-$G230+1),1))*0.0258</f>
        <v>0</v>
      </c>
      <c r="AN230" s="588"/>
      <c r="AO230" s="588"/>
      <c r="AP230" s="588"/>
      <c r="AQ230" s="587">
        <f ca="1">SUMPRODUCT(OFFSET(貼付け_2024実績,$G230,5,($H230-$G230+1),1),OFFSET(貼付け_2024実績,$G230,SUM(COLUMN()-COLUMN(貼付け_2024実績)),($H230-$G230+1),1))*0.0258</f>
        <v>0</v>
      </c>
      <c r="AR230" s="588"/>
      <c r="AS230" s="588"/>
      <c r="AT230" s="588"/>
      <c r="AU230" s="587">
        <f ca="1">SUMPRODUCT(OFFSET(貼付け_2024実績,$G230,5,($H230-$G230+1),1),OFFSET(貼付け_2024実績,$G230,SUM(COLUMN()-COLUMN(貼付け_2024実績)),($H230-$G230+1),1))*0.0258</f>
        <v>0</v>
      </c>
      <c r="AV230" s="588"/>
      <c r="AW230" s="588"/>
      <c r="AX230" s="588"/>
      <c r="AY230" s="587">
        <f ca="1">SUMPRODUCT(OFFSET(貼付け_2024実績,$G230,5,($H230-$G230+1),1),OFFSET(貼付け_2024実績,$G230,SUM(COLUMN()-COLUMN(貼付け_2024実績)),($H230-$G230+1),1))*0.0258</f>
        <v>0</v>
      </c>
      <c r="AZ230" s="588"/>
      <c r="BA230" s="588"/>
      <c r="BB230" s="588"/>
      <c r="BC230" s="587">
        <f ca="1">SUMPRODUCT(OFFSET(貼付け_2024実績,$G230,5,($H230-$G230+1),1),OFFSET(貼付け_2024実績,$G230,SUM(COLUMN()-COLUMN(貼付け_2024実績)),($H230-$G230+1),1))*0.0258</f>
        <v>0</v>
      </c>
      <c r="BD230" s="588"/>
      <c r="BE230" s="588"/>
      <c r="BF230" s="588"/>
      <c r="BG230" s="587">
        <f ca="1">SUMPRODUCT(OFFSET(貼付け_2024実績,$G230,5,($H230-$G230+1),1),OFFSET(貼付け_2024実績,$G230,SUM(COLUMN()-COLUMN(貼付け_2024実績)),($H230-$G230+1),1))*0.0258</f>
        <v>0</v>
      </c>
      <c r="BH230" s="588"/>
      <c r="BI230" s="588"/>
      <c r="BJ230" s="588"/>
      <c r="BK230" s="587">
        <f ca="1">SUMPRODUCT(OFFSET(貼付け_2024実績,$G230,5,($H230-$G230+1),1),OFFSET(貼付け_2024実績,$G230,SUM(COLUMN()-COLUMN(貼付け_2024実績)),($H230-$G230+1),1))*0.0258</f>
        <v>0</v>
      </c>
      <c r="BL230" s="588"/>
      <c r="BM230" s="588"/>
      <c r="BN230" s="588"/>
      <c r="BO230" s="587">
        <f ca="1">SUMPRODUCT(OFFSET(貼付け_2024実績,$G230,5,($H230-$G230+1),1),OFFSET(貼付け_2024実績,$G230,SUM(COLUMN()-COLUMN(貼付け_2024実績)),($H230-$G230+1),1))*0.0258</f>
        <v>0</v>
      </c>
      <c r="BP230" s="588"/>
      <c r="BQ230" s="588"/>
      <c r="BR230" s="588"/>
      <c r="BS230" s="587">
        <f ca="1">SUMPRODUCT(OFFSET(貼付け_2024実績,$G230,5,($H230-$G230+1),1),OFFSET(貼付け_2024実績,$G230,SUM(COLUMN()-COLUMN(貼付け_2024実績)),($H230-$G230+1),1))*0.0258</f>
        <v>0</v>
      </c>
      <c r="BT230" s="588"/>
      <c r="BU230" s="588"/>
      <c r="BV230" s="588"/>
      <c r="BW230" s="587">
        <f ca="1">SUMPRODUCT(OFFSET(貼付け_2024実績,$G230,5,($H230-$G230+1),1),OFFSET(貼付け_2024実績,$G230,SUM(COLUMN()-COLUMN(貼付け_2024実績)),($H230-$G230+1),1))*0.0258</f>
        <v>0</v>
      </c>
      <c r="BX230" s="588"/>
      <c r="BY230" s="588"/>
      <c r="BZ230" s="588"/>
      <c r="CA230" s="587">
        <f ca="1">SUMPRODUCT(OFFSET(貼付け_2024実績,$G230,5,($H230-$G230+1),1),OFFSET(貼付け_2024実績,$G230,SUM(COLUMN()-COLUMN(貼付け_2024実績)),($H230-$G230+1),1))*0.0258</f>
        <v>0</v>
      </c>
      <c r="CB230" s="588"/>
      <c r="CC230" s="588"/>
      <c r="CD230" s="588"/>
      <c r="CE230" s="587">
        <f ca="1">SUMPRODUCT(OFFSET(貼付け_2024実績,$G230,5,($H230-$G230+1),1),OFFSET(貼付け_2024実績,$G230,SUM(COLUMN()-COLUMN(貼付け_2024実績)),($H230-$G230+1),1))*0.0258</f>
        <v>0</v>
      </c>
      <c r="CF230" s="588"/>
      <c r="CG230" s="588"/>
      <c r="CH230" s="588"/>
      <c r="CI230" s="587">
        <f ca="1">SUMPRODUCT(OFFSET(貼付け_2024実績,$G230,5,($H230-$G230+1),1),OFFSET(貼付け_2024実績,$G230,SUM(COLUMN()-COLUMN(貼付け_2024実績)),($H230-$G230+1),1))*0.0258</f>
        <v>0</v>
      </c>
      <c r="CJ230" s="588"/>
      <c r="CK230" s="588"/>
      <c r="CL230" s="588"/>
      <c r="CM230" s="587">
        <f ca="1">SUMPRODUCT(OFFSET(貼付け_2024実績,$G230,5,($H230-$G230+1),1),OFFSET(貼付け_2024実績,$G230,SUM(COLUMN()-COLUMN(貼付け_2024実績)),($H230-$G230+1),1))*0.0258</f>
        <v>0</v>
      </c>
      <c r="CN230" s="588"/>
      <c r="CO230" s="588"/>
      <c r="CP230" s="588"/>
      <c r="CQ230" s="587">
        <f ca="1">SUMPRODUCT(OFFSET(貼付け_2024実績,$G230,5,($H230-$G230+1),1),OFFSET(貼付け_2024実績,$G230,SUM(COLUMN()-COLUMN(貼付け_2024実績)),($H230-$G230+1),1))*0.0258</f>
        <v>0</v>
      </c>
      <c r="CR230" s="588"/>
      <c r="CS230" s="588"/>
      <c r="CT230" s="588"/>
      <c r="CU230" s="587">
        <f ca="1">SUMPRODUCT(OFFSET(貼付け_2024実績,$G230,5,($H230-$G230+1),1),OFFSET(貼付け_2024実績,$G230,SUM(COLUMN()-COLUMN(貼付け_2024実績)),($H230-$G230+1),1))*0.0258</f>
        <v>0</v>
      </c>
      <c r="CV230" s="588"/>
      <c r="CW230" s="588"/>
      <c r="CX230" s="588"/>
      <c r="CY230" s="587">
        <f ca="1">SUMPRODUCT(OFFSET(貼付け_2024実績,$G230,5,($H230-$G230+1),1),OFFSET(貼付け_2024実績,$G230,SUM(COLUMN()-COLUMN(貼付け_2024実績)),($H230-$G230+1),1))*0.0258</f>
        <v>0</v>
      </c>
      <c r="CZ230" s="588"/>
      <c r="DA230" s="588"/>
      <c r="DB230" s="588"/>
      <c r="DC230" s="587">
        <f ca="1">SUMPRODUCT(OFFSET(貼付け_2024実績,$G230,5,($H230-$G230+1),1),OFFSET(貼付け_2024実績,$G230,SUM(COLUMN()-COLUMN(貼付け_2024実績)),($H230-$G230+1),1))*0.0258</f>
        <v>0</v>
      </c>
      <c r="DD230" s="588"/>
      <c r="DE230" s="588"/>
      <c r="DF230" s="588"/>
      <c r="DG230" s="587">
        <f ca="1">SUMPRODUCT(OFFSET(貼付け_2024実績,$G230,5,($H230-$G230+1),1),OFFSET(貼付け_2024実績,$G230,SUM(COLUMN()-COLUMN(貼付け_2024実績)),($H230-$G230+1),1))*0.0258</f>
        <v>0</v>
      </c>
      <c r="DH230" s="588"/>
      <c r="DI230" s="588"/>
      <c r="DJ230" s="588"/>
      <c r="DK230" s="587">
        <f ca="1">SUMPRODUCT(OFFSET(貼付け_2024実績,$G230,5,($H230-$G230+1),1),OFFSET(貼付け_2024実績,$G230,SUM(COLUMN()-COLUMN(貼付け_2024実績)),($H230-$G230+1),1))*0.0258</f>
        <v>0</v>
      </c>
      <c r="DL230" s="588"/>
      <c r="DM230" s="588"/>
      <c r="DN230" s="588"/>
      <c r="DO230" s="587">
        <f ca="1">SUMPRODUCT(OFFSET(貼付け_2024実績,$G230,5,($H230-$G230+1),1),OFFSET(貼付け_2024実績,$G230,SUM(COLUMN()-COLUMN(貼付け_2024実績)),($H230-$G230+1),1))*0.0258</f>
        <v>0</v>
      </c>
      <c r="DP230" s="588"/>
      <c r="DQ230" s="588"/>
      <c r="DR230" s="588"/>
      <c r="DS230" s="587">
        <f ca="1">SUMPRODUCT(OFFSET(貼付け_2024実績,$G230,5,($H230-$G230+1),1),OFFSET(貼付け_2024実績,$G230,SUM(COLUMN()-COLUMN(貼付け_2024実績)),($H230-$G230+1),1))*0.0258</f>
        <v>0</v>
      </c>
      <c r="DT230" s="588"/>
      <c r="DU230" s="588"/>
      <c r="DV230" s="588"/>
      <c r="DW230" s="587">
        <f ca="1">SUMPRODUCT(OFFSET(貼付け_2024実績,$G230,5,($H230-$G230+1),1),OFFSET(貼付け_2024実績,$G230,SUM(COLUMN()-COLUMN(貼付け_2024実績)),($H230-$G230+1),1))*0.0258</f>
        <v>0</v>
      </c>
      <c r="DX230" s="588"/>
      <c r="DY230" s="588"/>
      <c r="DZ230" s="588"/>
      <c r="EA230" s="587">
        <f ca="1">SUMPRODUCT(OFFSET(貼付け_2024実績,$G230,5,($H230-$G230+1),1),OFFSET(貼付け_2024実績,$G230,SUM(COLUMN()-COLUMN(貼付け_2024実績)),($H230-$G230+1),1))*0.0258</f>
        <v>0</v>
      </c>
      <c r="EB230" s="588"/>
      <c r="EC230" s="588"/>
      <c r="ED230" s="588"/>
      <c r="EE230" s="587">
        <f ca="1">SUMPRODUCT(OFFSET(貼付け_2024実績,$G230,5,($H230-$G230+1),1),OFFSET(貼付け_2024実績,$G230,SUM(COLUMN()-COLUMN(貼付け_2024実績)),($H230-$G230+1),1))*0.0258</f>
        <v>0</v>
      </c>
      <c r="EF230" s="588"/>
      <c r="EG230" s="588"/>
      <c r="EH230" s="588"/>
      <c r="EI230" s="587">
        <f ca="1">SUMPRODUCT(OFFSET(貼付け_2024実績,$G230,5,($H230-$G230+1),1),OFFSET(貼付け_2024実績,$G230,SUM(COLUMN()-COLUMN(貼付け_2024実績)),($H230-$G230+1),1))*0.0258</f>
        <v>0</v>
      </c>
      <c r="EJ230" s="588"/>
      <c r="EK230" s="588"/>
      <c r="EL230" s="588"/>
      <c r="EM230" s="587">
        <f ca="1">SUMPRODUCT(OFFSET(貼付け_2024実績,$G230,5,($H230-$G230+1),1),OFFSET(貼付け_2024実績,$G230,SUM(COLUMN()-COLUMN(貼付け_2024実績)),($H230-$G230+1),1))*0.0258</f>
        <v>0</v>
      </c>
      <c r="EN230" s="588"/>
      <c r="EO230" s="588"/>
      <c r="EP230" s="588"/>
      <c r="EQ230" s="587">
        <f ca="1">SUMPRODUCT(OFFSET(貼付け_2024実績,$G230,5,($H230-$G230+1),1),OFFSET(貼付け_2024実績,$G230,SUM(COLUMN()-COLUMN(貼付け_2024実績)),($H230-$G230+1),1))*0.0258</f>
        <v>0</v>
      </c>
      <c r="ER230" s="588"/>
      <c r="ES230" s="588"/>
      <c r="ET230" s="588"/>
      <c r="EU230" s="587">
        <f ca="1">SUMPRODUCT(OFFSET(貼付け_2024実績,$G230,5,($H230-$G230+1),1),OFFSET(貼付け_2024実績,$G230,SUM(COLUMN()-COLUMN(貼付け_2024実績)),($H230-$G230+1),1))*0.0258</f>
        <v>0</v>
      </c>
      <c r="EV230" s="588"/>
      <c r="EW230" s="588"/>
      <c r="EX230" s="588"/>
      <c r="EY230" s="587">
        <f ca="1">SUMPRODUCT(OFFSET(貼付け_2024実績,$G230,5,($H230-$G230+1),1),OFFSET(貼付け_2024実績,$G230,SUM(COLUMN()-COLUMN(貼付け_2024実績)),($H230-$G230+1),1))*0.0258</f>
        <v>0</v>
      </c>
      <c r="EZ230" s="588"/>
      <c r="FA230" s="588"/>
      <c r="FB230" s="588"/>
      <c r="FC230" s="587">
        <f ca="1">SUMPRODUCT(OFFSET(貼付け_2024実績,$G230,5,($H230-$G230+1),1),OFFSET(貼付け_2024実績,$G230,SUM(COLUMN()-COLUMN(貼付け_2024実績)),($H230-$G230+1),1))*0.0258</f>
        <v>0</v>
      </c>
      <c r="FD230" s="588"/>
      <c r="FE230" s="588"/>
      <c r="FF230" s="588"/>
      <c r="FG230" s="587">
        <f ca="1">SUMPRODUCT(OFFSET(貼付け_2024実績,$G230,5,($H230-$G230+1),1),OFFSET(貼付け_2024実績,$G230,SUM(COLUMN()-COLUMN(貼付け_2024実績)),($H230-$G230+1),1))*0.0258</f>
        <v>0</v>
      </c>
      <c r="FH230" s="588"/>
      <c r="FI230" s="588"/>
      <c r="FJ230" s="588"/>
      <c r="FK230" s="587">
        <f ca="1">SUMPRODUCT(OFFSET(貼付け_2024実績,$G230,5,($H230-$G230+1),1),OFFSET(貼付け_2024実績,$G230,SUM(COLUMN()-COLUMN(貼付け_2024実績)),($H230-$G230+1),1))*0.0258</f>
        <v>0</v>
      </c>
      <c r="FL230" s="588"/>
      <c r="FM230" s="588"/>
      <c r="FN230" s="588"/>
      <c r="FO230" s="587">
        <f ca="1">SUMPRODUCT(OFFSET(貼付け_2024実績,$G230,5,($H230-$G230+1),1),OFFSET(貼付け_2024実績,$G230,SUM(COLUMN()-COLUMN(貼付け_2024実績)),($H230-$G230+1),1))*0.0258</f>
        <v>0</v>
      </c>
      <c r="FP230" s="588"/>
      <c r="FQ230" s="588"/>
      <c r="FR230" s="588"/>
      <c r="FS230" s="587">
        <f ca="1">SUMPRODUCT(OFFSET(貼付け_2024実績,$G230,5,($H230-$G230+1),1),OFFSET(貼付け_2024実績,$G230,SUM(COLUMN()-COLUMN(貼付け_2024実績)),($H230-$G230+1),1))*0.0258</f>
        <v>0</v>
      </c>
      <c r="FT230" s="588"/>
      <c r="FU230" s="588"/>
      <c r="FV230" s="588"/>
      <c r="FW230" s="587">
        <f ca="1">SUMPRODUCT(OFFSET(貼付け_2024実績,$G230,5,($H230-$G230+1),1),OFFSET(貼付け_2024実績,$G230,SUM(COLUMN()-COLUMN(貼付け_2024実績)),($H230-$G230+1),1))*0.0258</f>
        <v>0</v>
      </c>
      <c r="FX230" s="588"/>
      <c r="FY230" s="588"/>
      <c r="FZ230" s="588"/>
      <c r="GA230" s="587">
        <f ca="1">SUMPRODUCT(OFFSET(貼付け_2024実績,$G230,5,($H230-$G230+1),1),OFFSET(貼付け_2024実績,$G230,SUM(COLUMN()-COLUMN(貼付け_2024実績)),($H230-$G230+1),1))*0.0258</f>
        <v>0</v>
      </c>
      <c r="GB230" s="588"/>
      <c r="GC230" s="588"/>
      <c r="GD230" s="588"/>
      <c r="GE230" s="587">
        <f ca="1">SUMPRODUCT(OFFSET(貼付け_2024実績,$G230,5,($H230-$G230+1),1),OFFSET(貼付け_2024実績,$G230,SUM(COLUMN()-COLUMN(貼付け_2024実績)),($H230-$G230+1),1))*0.0258</f>
        <v>0</v>
      </c>
      <c r="GF230" s="588"/>
      <c r="GG230" s="588"/>
      <c r="GH230" s="588"/>
      <c r="GI230" s="587">
        <f ca="1">SUMPRODUCT(OFFSET(貼付け_2024実績,$G230,5,($H230-$G230+1),1),OFFSET(貼付け_2024実績,$G230,SUM(COLUMN()-COLUMN(貼付け_2024実績)),($H230-$G230+1),1))*0.0258</f>
        <v>0</v>
      </c>
      <c r="GJ230" s="588"/>
      <c r="GK230" s="588"/>
      <c r="GL230" s="588"/>
      <c r="GM230" s="587">
        <f ca="1">SUMPRODUCT(OFFSET(貼付け_2024実績,$G230,5,($H230-$G230+1),1),OFFSET(貼付け_2024実績,$G230,SUM(COLUMN()-COLUMN(貼付け_2024実績)),($H230-$G230+1),1))*0.0258</f>
        <v>0</v>
      </c>
      <c r="GN230" s="588"/>
      <c r="GO230" s="588"/>
      <c r="GP230" s="588"/>
      <c r="GQ230" s="587">
        <f ca="1">SUMPRODUCT(OFFSET(貼付け_2024実績,$G230,5,($H230-$G230+1),1),OFFSET(貼付け_2024実績,$G230,SUM(COLUMN()-COLUMN(貼付け_2024実績)),($H230-$G230+1),1))*0.0258</f>
        <v>0</v>
      </c>
      <c r="GR230" s="588"/>
      <c r="GS230" s="588"/>
      <c r="GT230" s="588"/>
      <c r="GU230" s="587">
        <f ca="1">SUMPRODUCT(OFFSET(貼付け_2024実績,$G230,5,($H230-$G230+1),1),OFFSET(貼付け_2024実績,$G230,SUM(COLUMN()-COLUMN(貼付け_2024実績)),($H230-$G230+1),1))*0.0258</f>
        <v>0</v>
      </c>
      <c r="GV230" s="588"/>
      <c r="GW230" s="588"/>
      <c r="GX230" s="588"/>
      <c r="GY230" s="587">
        <f ca="1">SUMPRODUCT(OFFSET(貼付け_2024実績,$G230,5,($H230-$G230+1),1),OFFSET(貼付け_2024実績,$G230,SUM(COLUMN()-COLUMN(貼付け_2024実績)),($H230-$G230+1),1))*0.0258</f>
        <v>0</v>
      </c>
      <c r="GZ230" s="588"/>
      <c r="HA230" s="588"/>
      <c r="HB230" s="588"/>
      <c r="IE230" s="579"/>
      <c r="IF230" s="579"/>
      <c r="IG230" s="579"/>
      <c r="IH230" s="579"/>
    </row>
    <row r="231" spans="1:242" s="164" customFormat="1" ht="19.8" hidden="1">
      <c r="A231" s="572"/>
      <c r="C231" s="584" t="s">
        <v>656</v>
      </c>
      <c r="D231" s="586"/>
      <c r="E231" s="586"/>
      <c r="F231" s="587"/>
      <c r="G231" s="587"/>
      <c r="H231" s="587"/>
      <c r="I231" s="587"/>
      <c r="J231" s="587"/>
      <c r="K231" s="587">
        <f ca="1">(K229-K230*0.2)</f>
        <v>0</v>
      </c>
      <c r="L231" s="588"/>
      <c r="M231" s="588"/>
      <c r="N231" s="588"/>
      <c r="O231" s="587">
        <f ca="1">(O229-O230*0.2)</f>
        <v>0</v>
      </c>
      <c r="P231" s="588"/>
      <c r="Q231" s="588"/>
      <c r="R231" s="588"/>
      <c r="S231" s="587">
        <f ca="1">(S229-S230*0.2)</f>
        <v>0</v>
      </c>
      <c r="T231" s="588"/>
      <c r="U231" s="588"/>
      <c r="V231" s="588"/>
      <c r="W231" s="587">
        <f ca="1">(W229-W230*0.2)</f>
        <v>0</v>
      </c>
      <c r="X231" s="588"/>
      <c r="Y231" s="588"/>
      <c r="Z231" s="588"/>
      <c r="AA231" s="587">
        <f ca="1">(AA229-AA230*0.2)</f>
        <v>0</v>
      </c>
      <c r="AB231" s="588"/>
      <c r="AC231" s="588"/>
      <c r="AD231" s="588"/>
      <c r="AE231" s="587">
        <f ca="1">(AE229-AE230*0.2)</f>
        <v>0</v>
      </c>
      <c r="AF231" s="588"/>
      <c r="AG231" s="588"/>
      <c r="AH231" s="588"/>
      <c r="AI231" s="587">
        <f ca="1">(AI229-AI230*0.2)</f>
        <v>0</v>
      </c>
      <c r="AJ231" s="588"/>
      <c r="AK231" s="588"/>
      <c r="AL231" s="588"/>
      <c r="AM231" s="587">
        <f ca="1">(AM229-AM230*0.2)</f>
        <v>0</v>
      </c>
      <c r="AN231" s="588"/>
      <c r="AO231" s="588"/>
      <c r="AP231" s="588"/>
      <c r="AQ231" s="587">
        <f ca="1">(AQ229-AQ230*0.2)</f>
        <v>0</v>
      </c>
      <c r="AR231" s="588"/>
      <c r="AS231" s="588"/>
      <c r="AT231" s="588"/>
      <c r="AU231" s="587">
        <f ca="1">(AU229-AU230*0.2)</f>
        <v>0</v>
      </c>
      <c r="AV231" s="588"/>
      <c r="AW231" s="588"/>
      <c r="AX231" s="588"/>
      <c r="AY231" s="587">
        <f ca="1">(AY229-AY230*0.2)</f>
        <v>0</v>
      </c>
      <c r="AZ231" s="588"/>
      <c r="BA231" s="588"/>
      <c r="BB231" s="588"/>
      <c r="BC231" s="587">
        <f ca="1">(BC229-BC230*0.2)</f>
        <v>0</v>
      </c>
      <c r="BD231" s="588"/>
      <c r="BE231" s="588"/>
      <c r="BF231" s="588"/>
      <c r="BG231" s="587">
        <f ca="1">(BG229-BG230*0.2)</f>
        <v>0</v>
      </c>
      <c r="BH231" s="588"/>
      <c r="BI231" s="588"/>
      <c r="BJ231" s="588"/>
      <c r="BK231" s="587">
        <f ca="1">(BK229-BK230*0.2)</f>
        <v>0</v>
      </c>
      <c r="BL231" s="588"/>
      <c r="BM231" s="588"/>
      <c r="BN231" s="588"/>
      <c r="BO231" s="587">
        <f ca="1">(BO229-BO230*0.2)</f>
        <v>0</v>
      </c>
      <c r="BP231" s="588"/>
      <c r="BQ231" s="588"/>
      <c r="BR231" s="588"/>
      <c r="BS231" s="587">
        <f ca="1">(BS229-BS230*0.2)</f>
        <v>0</v>
      </c>
      <c r="BT231" s="588"/>
      <c r="BU231" s="588"/>
      <c r="BV231" s="588"/>
      <c r="BW231" s="587">
        <f ca="1">(BW229-BW230*0.2)</f>
        <v>0</v>
      </c>
      <c r="BX231" s="588"/>
      <c r="BY231" s="588"/>
      <c r="BZ231" s="588"/>
      <c r="CA231" s="587">
        <f ca="1">(CA229-CA230*0.2)</f>
        <v>0</v>
      </c>
      <c r="CB231" s="588"/>
      <c r="CC231" s="588"/>
      <c r="CD231" s="588"/>
      <c r="CE231" s="587">
        <f ca="1">(CE229-CE230*0.2)</f>
        <v>0</v>
      </c>
      <c r="CF231" s="588"/>
      <c r="CG231" s="588"/>
      <c r="CH231" s="588"/>
      <c r="CI231" s="587">
        <f ca="1">(CI229-CI230*0.2)</f>
        <v>0</v>
      </c>
      <c r="CJ231" s="588"/>
      <c r="CK231" s="588"/>
      <c r="CL231" s="588"/>
      <c r="CM231" s="587">
        <f ca="1">(CM229-CM230*0.2)</f>
        <v>0</v>
      </c>
      <c r="CN231" s="588"/>
      <c r="CO231" s="588"/>
      <c r="CP231" s="588"/>
      <c r="CQ231" s="587">
        <f ca="1">(CQ229-CQ230*0.2)</f>
        <v>0</v>
      </c>
      <c r="CR231" s="588"/>
      <c r="CS231" s="588"/>
      <c r="CT231" s="588"/>
      <c r="CU231" s="587">
        <f ca="1">(CU229-CU230*0.2)</f>
        <v>0</v>
      </c>
      <c r="CV231" s="588"/>
      <c r="CW231" s="588"/>
      <c r="CX231" s="588"/>
      <c r="CY231" s="587">
        <f ca="1">(CY229-CY230*0.2)</f>
        <v>0</v>
      </c>
      <c r="CZ231" s="588"/>
      <c r="DA231" s="588"/>
      <c r="DB231" s="588"/>
      <c r="DC231" s="587">
        <f ca="1">(DC229-DC230*0.2)</f>
        <v>0</v>
      </c>
      <c r="DD231" s="588"/>
      <c r="DE231" s="588"/>
      <c r="DF231" s="588"/>
      <c r="DG231" s="587">
        <f ca="1">(DG229-DG230*0.2)</f>
        <v>0</v>
      </c>
      <c r="DH231" s="588"/>
      <c r="DI231" s="588"/>
      <c r="DJ231" s="588"/>
      <c r="DK231" s="587">
        <f ca="1">(DK229-DK230*0.2)</f>
        <v>0</v>
      </c>
      <c r="DL231" s="588"/>
      <c r="DM231" s="588"/>
      <c r="DN231" s="588"/>
      <c r="DO231" s="587">
        <f ca="1">(DO229-DO230*0.2)</f>
        <v>0</v>
      </c>
      <c r="DP231" s="588"/>
      <c r="DQ231" s="588"/>
      <c r="DR231" s="588"/>
      <c r="DS231" s="587">
        <f ca="1">(DS229-DS230*0.2)</f>
        <v>0</v>
      </c>
      <c r="DT231" s="588"/>
      <c r="DU231" s="588"/>
      <c r="DV231" s="588"/>
      <c r="DW231" s="587">
        <f ca="1">(DW229-DW230*0.2)</f>
        <v>0</v>
      </c>
      <c r="DX231" s="588"/>
      <c r="DY231" s="588"/>
      <c r="DZ231" s="588"/>
      <c r="EA231" s="587">
        <f ca="1">(EA229-EA230*0.2)</f>
        <v>0</v>
      </c>
      <c r="EB231" s="588"/>
      <c r="EC231" s="588"/>
      <c r="ED231" s="588"/>
      <c r="EE231" s="587">
        <f ca="1">(EE229-EE230*0.2)</f>
        <v>0</v>
      </c>
      <c r="EF231" s="588"/>
      <c r="EG231" s="588"/>
      <c r="EH231" s="588"/>
      <c r="EI231" s="587">
        <f ca="1">(EI229-EI230*0.2)</f>
        <v>0</v>
      </c>
      <c r="EJ231" s="588"/>
      <c r="EK231" s="588"/>
      <c r="EL231" s="588"/>
      <c r="EM231" s="587">
        <f ca="1">(EM229-EM230*0.2)</f>
        <v>0</v>
      </c>
      <c r="EN231" s="588"/>
      <c r="EO231" s="588"/>
      <c r="EP231" s="588"/>
      <c r="EQ231" s="587">
        <f ca="1">(EQ229-EQ230*0.2)</f>
        <v>0</v>
      </c>
      <c r="ER231" s="588"/>
      <c r="ES231" s="588"/>
      <c r="ET231" s="588"/>
      <c r="EU231" s="587">
        <f ca="1">(EU229-EU230*0.2)</f>
        <v>0</v>
      </c>
      <c r="EV231" s="588"/>
      <c r="EW231" s="588"/>
      <c r="EX231" s="588"/>
      <c r="EY231" s="587">
        <f ca="1">(EY229-EY230*0.2)</f>
        <v>0</v>
      </c>
      <c r="EZ231" s="588"/>
      <c r="FA231" s="588"/>
      <c r="FB231" s="588"/>
      <c r="FC231" s="587">
        <f ca="1">(FC229-FC230*0.2)</f>
        <v>0</v>
      </c>
      <c r="FD231" s="588"/>
      <c r="FE231" s="588"/>
      <c r="FF231" s="588"/>
      <c r="FG231" s="587">
        <f ca="1">(FG229-FG230*0.2)</f>
        <v>0</v>
      </c>
      <c r="FH231" s="588"/>
      <c r="FI231" s="588"/>
      <c r="FJ231" s="588"/>
      <c r="FK231" s="587">
        <f ca="1">(FK229-FK230*0.2)</f>
        <v>0</v>
      </c>
      <c r="FL231" s="588"/>
      <c r="FM231" s="588"/>
      <c r="FN231" s="588"/>
      <c r="FO231" s="587">
        <f ca="1">(FO229-FO230*0.2)</f>
        <v>0</v>
      </c>
      <c r="FP231" s="588"/>
      <c r="FQ231" s="588"/>
      <c r="FR231" s="588"/>
      <c r="FS231" s="587">
        <f ca="1">(FS229-FS230*0.2)</f>
        <v>0</v>
      </c>
      <c r="FT231" s="588"/>
      <c r="FU231" s="588"/>
      <c r="FV231" s="588"/>
      <c r="FW231" s="587">
        <f ca="1">(FW229-FW230*0.2)</f>
        <v>0</v>
      </c>
      <c r="FX231" s="588"/>
      <c r="FY231" s="588"/>
      <c r="FZ231" s="588"/>
      <c r="GA231" s="587">
        <f ca="1">(GA229-GA230*0.2)</f>
        <v>0</v>
      </c>
      <c r="GB231" s="588"/>
      <c r="GC231" s="588"/>
      <c r="GD231" s="588"/>
      <c r="GE231" s="587">
        <f ca="1">(GE229-GE230*0.2)</f>
        <v>0</v>
      </c>
      <c r="GF231" s="588"/>
      <c r="GG231" s="588"/>
      <c r="GH231" s="588"/>
      <c r="GI231" s="587">
        <f ca="1">(GI229-GI230*0.2)</f>
        <v>0</v>
      </c>
      <c r="GJ231" s="588"/>
      <c r="GK231" s="588"/>
      <c r="GL231" s="588"/>
      <c r="GM231" s="587">
        <f ca="1">(GM229-GM230*0.2)</f>
        <v>0</v>
      </c>
      <c r="GN231" s="588"/>
      <c r="GO231" s="588"/>
      <c r="GP231" s="588"/>
      <c r="GQ231" s="587">
        <f ca="1">(GQ229-GQ230*0.2)</f>
        <v>0</v>
      </c>
      <c r="GR231" s="588"/>
      <c r="GS231" s="588"/>
      <c r="GT231" s="588"/>
      <c r="GU231" s="587">
        <f ca="1">(GU229-GU230*0.2)</f>
        <v>0</v>
      </c>
      <c r="GV231" s="588"/>
      <c r="GW231" s="588"/>
      <c r="GX231" s="588"/>
      <c r="GY231" s="587">
        <f ca="1">(GY229-GY230*0.2)</f>
        <v>0</v>
      </c>
      <c r="GZ231" s="588"/>
      <c r="HA231" s="588"/>
      <c r="HB231" s="588"/>
      <c r="IE231" s="579"/>
      <c r="IF231" s="579"/>
      <c r="IG231" s="579"/>
      <c r="IH231" s="579"/>
    </row>
    <row r="232" spans="1:242" s="164" customFormat="1" ht="19.8" hidden="1">
      <c r="A232" s="572"/>
      <c r="C232" s="584" t="s">
        <v>657</v>
      </c>
      <c r="D232" s="586"/>
      <c r="E232" s="586"/>
      <c r="F232" s="587"/>
      <c r="G232" s="587">
        <v>101</v>
      </c>
      <c r="H232" s="587"/>
      <c r="I232" s="587"/>
      <c r="J232" s="587"/>
      <c r="K232" s="587">
        <f ca="1">K231-M229-N229</f>
        <v>0</v>
      </c>
      <c r="L232" s="587">
        <f ca="1">OFFSET(貼付け_2024実績,$G232,SUM(COLUMN()-COLUMN(貼付け_2024実績))-1)</f>
        <v>0</v>
      </c>
      <c r="M232" s="587" t="str">
        <f ca="1">IFERROR(K232/L232,"")</f>
        <v/>
      </c>
      <c r="N232" s="589"/>
      <c r="O232" s="587">
        <f ca="1">O231-Q229-R229</f>
        <v>0</v>
      </c>
      <c r="P232" s="587">
        <f ca="1">OFFSET(貼付け_2024実績,$G232,SUM(COLUMN()-COLUMN(貼付け_2024実績))-1)</f>
        <v>0</v>
      </c>
      <c r="Q232" s="587" t="str">
        <f ca="1">IFERROR(O232/P232,"")</f>
        <v/>
      </c>
      <c r="R232" s="589"/>
      <c r="S232" s="587">
        <f ca="1">S231-U229-V229</f>
        <v>0</v>
      </c>
      <c r="T232" s="587">
        <f ca="1">OFFSET(貼付け_2024実績,$G232,SUM(COLUMN()-COLUMN(貼付け_2024実績))-1)</f>
        <v>0</v>
      </c>
      <c r="U232" s="587" t="str">
        <f ca="1">IFERROR(S232/T232,"")</f>
        <v/>
      </c>
      <c r="V232" s="589"/>
      <c r="W232" s="587">
        <f ca="1">W231-Y229-Z229</f>
        <v>0</v>
      </c>
      <c r="X232" s="587">
        <f ca="1">OFFSET(貼付け_2024実績,$G232,SUM(COLUMN()-COLUMN(貼付け_2024実績))-1)</f>
        <v>0</v>
      </c>
      <c r="Y232" s="587" t="str">
        <f ca="1">IFERROR(W232/X232,"")</f>
        <v/>
      </c>
      <c r="Z232" s="589"/>
      <c r="AA232" s="587">
        <f ca="1">AA231-AC229-AD229</f>
        <v>0</v>
      </c>
      <c r="AB232" s="587">
        <f ca="1">OFFSET(貼付け_2024実績,$G232,SUM(COLUMN()-COLUMN(貼付け_2024実績))-1)</f>
        <v>0</v>
      </c>
      <c r="AC232" s="587" t="str">
        <f ca="1">IFERROR(AA232/AB232,"")</f>
        <v/>
      </c>
      <c r="AD232" s="589"/>
      <c r="AE232" s="587">
        <f ca="1">AE231-AG229-AH229</f>
        <v>0</v>
      </c>
      <c r="AF232" s="587">
        <f ca="1">OFFSET(貼付け_2024実績,$G232,SUM(COLUMN()-COLUMN(貼付け_2024実績))-1)</f>
        <v>0</v>
      </c>
      <c r="AG232" s="587" t="str">
        <f ca="1">IFERROR(AE232/AF232,"")</f>
        <v/>
      </c>
      <c r="AH232" s="589"/>
      <c r="AI232" s="587">
        <f ca="1">AI231-AK229-AL229</f>
        <v>0</v>
      </c>
      <c r="AJ232" s="587">
        <f ca="1">OFFSET(貼付け_2024実績,$G232,SUM(COLUMN()-COLUMN(貼付け_2024実績))-1)</f>
        <v>0</v>
      </c>
      <c r="AK232" s="587" t="str">
        <f ca="1">IFERROR(AI232/AJ232,"")</f>
        <v/>
      </c>
      <c r="AL232" s="589"/>
      <c r="AM232" s="587">
        <f ca="1">AM231-AO229-AP229</f>
        <v>0</v>
      </c>
      <c r="AN232" s="587">
        <f ca="1">OFFSET(貼付け_2024実績,$G232,SUM(COLUMN()-COLUMN(貼付け_2024実績))-1)</f>
        <v>0</v>
      </c>
      <c r="AO232" s="587" t="str">
        <f ca="1">IFERROR(AM232/AN232,"")</f>
        <v/>
      </c>
      <c r="AP232" s="589"/>
      <c r="AQ232" s="587">
        <f ca="1">AQ231-AS229-AT229</f>
        <v>0</v>
      </c>
      <c r="AR232" s="587">
        <f ca="1">OFFSET(貼付け_2024実績,$G232,SUM(COLUMN()-COLUMN(貼付け_2024実績))-1)</f>
        <v>0</v>
      </c>
      <c r="AS232" s="587" t="str">
        <f ca="1">IFERROR(AQ232/AR232,"")</f>
        <v/>
      </c>
      <c r="AT232" s="589"/>
      <c r="AU232" s="587">
        <f ca="1">AU231-AW229-AX229</f>
        <v>0</v>
      </c>
      <c r="AV232" s="587">
        <f ca="1">OFFSET(貼付け_2024実績,$G232,SUM(COLUMN()-COLUMN(貼付け_2024実績))-1)</f>
        <v>0</v>
      </c>
      <c r="AW232" s="587" t="str">
        <f ca="1">IFERROR(AU232/AV232,"")</f>
        <v/>
      </c>
      <c r="AX232" s="589"/>
      <c r="AY232" s="587">
        <f ca="1">AY231-BA229-BB229</f>
        <v>0</v>
      </c>
      <c r="AZ232" s="587">
        <f ca="1">OFFSET(貼付け_2024実績,$G232,SUM(COLUMN()-COLUMN(貼付け_2024実績))-1)</f>
        <v>0</v>
      </c>
      <c r="BA232" s="587" t="str">
        <f ca="1">IFERROR(AY232/AZ232,"")</f>
        <v/>
      </c>
      <c r="BB232" s="589"/>
      <c r="BC232" s="587">
        <f ca="1">BC231-BE229-BF229</f>
        <v>0</v>
      </c>
      <c r="BD232" s="587">
        <f ca="1">OFFSET(貼付け_2024実績,$G232,SUM(COLUMN()-COLUMN(貼付け_2024実績))-1)</f>
        <v>0</v>
      </c>
      <c r="BE232" s="587" t="str">
        <f ca="1">IFERROR(BC232/BD232,"")</f>
        <v/>
      </c>
      <c r="BF232" s="589"/>
      <c r="BG232" s="587">
        <f ca="1">BG231-BI229-BJ229</f>
        <v>0</v>
      </c>
      <c r="BH232" s="587">
        <f ca="1">OFFSET(貼付け_2024実績,$G232,SUM(COLUMN()-COLUMN(貼付け_2024実績))-1)</f>
        <v>0</v>
      </c>
      <c r="BI232" s="587" t="str">
        <f ca="1">IFERROR(BG232/BH232,"")</f>
        <v/>
      </c>
      <c r="BJ232" s="589"/>
      <c r="BK232" s="587">
        <f ca="1">BK231-BM229-BN229</f>
        <v>0</v>
      </c>
      <c r="BL232" s="587">
        <f ca="1">OFFSET(貼付け_2024実績,$G232,SUM(COLUMN()-COLUMN(貼付け_2024実績))-1)</f>
        <v>0</v>
      </c>
      <c r="BM232" s="587" t="str">
        <f ca="1">IFERROR(BK232/BL232,"")</f>
        <v/>
      </c>
      <c r="BN232" s="589"/>
      <c r="BO232" s="587">
        <f ca="1">BO231-BQ229-BR229</f>
        <v>0</v>
      </c>
      <c r="BP232" s="587">
        <f ca="1">OFFSET(貼付け_2024実績,$G232,SUM(COLUMN()-COLUMN(貼付け_2024実績))-1)</f>
        <v>0</v>
      </c>
      <c r="BQ232" s="587" t="str">
        <f ca="1">IFERROR(BO232/BP232,"")</f>
        <v/>
      </c>
      <c r="BR232" s="589"/>
      <c r="BS232" s="587">
        <f ca="1">BS231-BU229-BV229</f>
        <v>0</v>
      </c>
      <c r="BT232" s="587">
        <f ca="1">OFFSET(貼付け_2024実績,$G232,SUM(COLUMN()-COLUMN(貼付け_2024実績))-1)</f>
        <v>0</v>
      </c>
      <c r="BU232" s="587" t="str">
        <f ca="1">IFERROR(BS232/BT232,"")</f>
        <v/>
      </c>
      <c r="BV232" s="589"/>
      <c r="BW232" s="587">
        <f ca="1">BW231-BY229-BZ229</f>
        <v>0</v>
      </c>
      <c r="BX232" s="587">
        <f ca="1">OFFSET(貼付け_2024実績,$G232,SUM(COLUMN()-COLUMN(貼付け_2024実績))-1)</f>
        <v>0</v>
      </c>
      <c r="BY232" s="587" t="str">
        <f ca="1">IFERROR(BW232/BX232,"")</f>
        <v/>
      </c>
      <c r="BZ232" s="589"/>
      <c r="CA232" s="587">
        <f ca="1">CA231-CC229-CD229</f>
        <v>0</v>
      </c>
      <c r="CB232" s="587">
        <f ca="1">OFFSET(貼付け_2024実績,$G232,SUM(COLUMN()-COLUMN(貼付け_2024実績))-1)</f>
        <v>0</v>
      </c>
      <c r="CC232" s="587" t="str">
        <f ca="1">IFERROR(CA232/CB232,"")</f>
        <v/>
      </c>
      <c r="CD232" s="589"/>
      <c r="CE232" s="587">
        <f ca="1">CE231-CG229-CH229</f>
        <v>0</v>
      </c>
      <c r="CF232" s="587">
        <f ca="1">OFFSET(貼付け_2024実績,$G232,SUM(COLUMN()-COLUMN(貼付け_2024実績))-1)</f>
        <v>0</v>
      </c>
      <c r="CG232" s="587" t="str">
        <f ca="1">IFERROR(CE232/CF232,"")</f>
        <v/>
      </c>
      <c r="CH232" s="589"/>
      <c r="CI232" s="587">
        <f ca="1">CI231-CK229-CL229</f>
        <v>0</v>
      </c>
      <c r="CJ232" s="587">
        <f ca="1">OFFSET(貼付け_2024実績,$G232,SUM(COLUMN()-COLUMN(貼付け_2024実績))-1)</f>
        <v>0</v>
      </c>
      <c r="CK232" s="587" t="str">
        <f ca="1">IFERROR(CI232/CJ232,"")</f>
        <v/>
      </c>
      <c r="CL232" s="589"/>
      <c r="CM232" s="587">
        <f ca="1">CM231-CO229-CP229</f>
        <v>0</v>
      </c>
      <c r="CN232" s="587">
        <f ca="1">OFFSET(貼付け_2024実績,$G232,SUM(COLUMN()-COLUMN(貼付け_2024実績))-1)</f>
        <v>0</v>
      </c>
      <c r="CO232" s="587" t="str">
        <f ca="1">IFERROR(CM232/CN232,"")</f>
        <v/>
      </c>
      <c r="CP232" s="589"/>
      <c r="CQ232" s="587">
        <f ca="1">CQ231-CS229-CT229</f>
        <v>0</v>
      </c>
      <c r="CR232" s="587">
        <f ca="1">OFFSET(貼付け_2024実績,$G232,SUM(COLUMN()-COLUMN(貼付け_2024実績))-1)</f>
        <v>0</v>
      </c>
      <c r="CS232" s="587" t="str">
        <f ca="1">IFERROR(CQ232/CR232,"")</f>
        <v/>
      </c>
      <c r="CT232" s="589"/>
      <c r="CU232" s="587">
        <f ca="1">CU231-CW229-CX229</f>
        <v>0</v>
      </c>
      <c r="CV232" s="587">
        <f ca="1">OFFSET(貼付け_2024実績,$G232,SUM(COLUMN()-COLUMN(貼付け_2024実績))-1)</f>
        <v>0</v>
      </c>
      <c r="CW232" s="587" t="str">
        <f ca="1">IFERROR(CU232/CV232,"")</f>
        <v/>
      </c>
      <c r="CX232" s="589"/>
      <c r="CY232" s="587">
        <f ca="1">CY231-DA229-DB229</f>
        <v>0</v>
      </c>
      <c r="CZ232" s="587">
        <f ca="1">OFFSET(貼付け_2024実績,$G232,SUM(COLUMN()-COLUMN(貼付け_2024実績))-1)</f>
        <v>0</v>
      </c>
      <c r="DA232" s="587" t="str">
        <f ca="1">IFERROR(CY232/CZ232,"")</f>
        <v/>
      </c>
      <c r="DB232" s="589"/>
      <c r="DC232" s="587">
        <f ca="1">DC231-DE229-DF229</f>
        <v>0</v>
      </c>
      <c r="DD232" s="587">
        <f ca="1">OFFSET(貼付け_2024実績,$G232,SUM(COLUMN()-COLUMN(貼付け_2024実績))-1)</f>
        <v>0</v>
      </c>
      <c r="DE232" s="587" t="str">
        <f ca="1">IFERROR(DC232/DD232,"")</f>
        <v/>
      </c>
      <c r="DF232" s="589"/>
      <c r="DG232" s="587">
        <f ca="1">DG231-DI229-DJ229</f>
        <v>0</v>
      </c>
      <c r="DH232" s="587">
        <f ca="1">OFFSET(貼付け_2024実績,$G232,SUM(COLUMN()-COLUMN(貼付け_2024実績))-1)</f>
        <v>0</v>
      </c>
      <c r="DI232" s="587" t="str">
        <f ca="1">IFERROR(DG232/DH232,"")</f>
        <v/>
      </c>
      <c r="DJ232" s="589"/>
      <c r="DK232" s="587">
        <f ca="1">DK231-DM229-DN229</f>
        <v>0</v>
      </c>
      <c r="DL232" s="587">
        <f ca="1">OFFSET(貼付け_2024実績,$G232,SUM(COLUMN()-COLUMN(貼付け_2024実績))-1)</f>
        <v>0</v>
      </c>
      <c r="DM232" s="587" t="str">
        <f ca="1">IFERROR(DK232/DL232,"")</f>
        <v/>
      </c>
      <c r="DN232" s="589"/>
      <c r="DO232" s="587">
        <f ca="1">DO231-DQ229-DR229</f>
        <v>0</v>
      </c>
      <c r="DP232" s="587">
        <f ca="1">OFFSET(貼付け_2024実績,$G232,SUM(COLUMN()-COLUMN(貼付け_2024実績))-1)</f>
        <v>0</v>
      </c>
      <c r="DQ232" s="587" t="str">
        <f ca="1">IFERROR(DO232/DP232,"")</f>
        <v/>
      </c>
      <c r="DR232" s="589"/>
      <c r="DS232" s="587">
        <f ca="1">DS231-DU229-DV229</f>
        <v>0</v>
      </c>
      <c r="DT232" s="587">
        <f ca="1">OFFSET(貼付け_2024実績,$G232,SUM(COLUMN()-COLUMN(貼付け_2024実績))-1)</f>
        <v>0</v>
      </c>
      <c r="DU232" s="587" t="str">
        <f ca="1">IFERROR(DS232/DT232,"")</f>
        <v/>
      </c>
      <c r="DV232" s="589"/>
      <c r="DW232" s="587">
        <f ca="1">DW231-DY229-DZ229</f>
        <v>0</v>
      </c>
      <c r="DX232" s="587">
        <f ca="1">OFFSET(貼付け_2024実績,$G232,SUM(COLUMN()-COLUMN(貼付け_2024実績))-1)</f>
        <v>0</v>
      </c>
      <c r="DY232" s="587" t="str">
        <f ca="1">IFERROR(DW232/DX232,"")</f>
        <v/>
      </c>
      <c r="DZ232" s="589"/>
      <c r="EA232" s="587">
        <f ca="1">EA231-EC229-ED229</f>
        <v>0</v>
      </c>
      <c r="EB232" s="587">
        <f ca="1">OFFSET(貼付け_2024実績,$G232,SUM(COLUMN()-COLUMN(貼付け_2024実績))-1)</f>
        <v>0</v>
      </c>
      <c r="EC232" s="587" t="str">
        <f ca="1">IFERROR(EA232/EB232,"")</f>
        <v/>
      </c>
      <c r="ED232" s="589"/>
      <c r="EE232" s="587">
        <f ca="1">EE231-EG229-EH229</f>
        <v>0</v>
      </c>
      <c r="EF232" s="587">
        <f ca="1">OFFSET(貼付け_2024実績,$G232,SUM(COLUMN()-COLUMN(貼付け_2024実績))-1)</f>
        <v>0</v>
      </c>
      <c r="EG232" s="587" t="str">
        <f ca="1">IFERROR(EE232/EF232,"")</f>
        <v/>
      </c>
      <c r="EH232" s="589"/>
      <c r="EI232" s="587">
        <f ca="1">EI231-EK229-EL229</f>
        <v>0</v>
      </c>
      <c r="EJ232" s="587">
        <f ca="1">OFFSET(貼付け_2024実績,$G232,SUM(COLUMN()-COLUMN(貼付け_2024実績))-1)</f>
        <v>0</v>
      </c>
      <c r="EK232" s="587" t="str">
        <f ca="1">IFERROR(EI232/EJ232,"")</f>
        <v/>
      </c>
      <c r="EL232" s="589"/>
      <c r="EM232" s="587">
        <f ca="1">EM231-EO229-EP229</f>
        <v>0</v>
      </c>
      <c r="EN232" s="587">
        <f ca="1">OFFSET(貼付け_2024実績,$G232,SUM(COLUMN()-COLUMN(貼付け_2024実績))-1)</f>
        <v>0</v>
      </c>
      <c r="EO232" s="587" t="str">
        <f ca="1">IFERROR(EM232/EN232,"")</f>
        <v/>
      </c>
      <c r="EP232" s="589"/>
      <c r="EQ232" s="587">
        <f ca="1">EQ231-ES229-ET229</f>
        <v>0</v>
      </c>
      <c r="ER232" s="587">
        <f ca="1">OFFSET(貼付け_2024実績,$G232,SUM(COLUMN()-COLUMN(貼付け_2024実績))-1)</f>
        <v>0</v>
      </c>
      <c r="ES232" s="587" t="str">
        <f ca="1">IFERROR(EQ232/ER232,"")</f>
        <v/>
      </c>
      <c r="ET232" s="589"/>
      <c r="EU232" s="587">
        <f ca="1">EU231-EW229-EX229</f>
        <v>0</v>
      </c>
      <c r="EV232" s="587">
        <f ca="1">OFFSET(貼付け_2024実績,$G232,SUM(COLUMN()-COLUMN(貼付け_2024実績))-1)</f>
        <v>0</v>
      </c>
      <c r="EW232" s="587" t="str">
        <f ca="1">IFERROR(EU232/EV232,"")</f>
        <v/>
      </c>
      <c r="EX232" s="589"/>
      <c r="EY232" s="587">
        <f ca="1">EY231-FA229-FB229</f>
        <v>0</v>
      </c>
      <c r="EZ232" s="587">
        <f ca="1">OFFSET(貼付け_2024実績,$G232,SUM(COLUMN()-COLUMN(貼付け_2024実績))-1)</f>
        <v>0</v>
      </c>
      <c r="FA232" s="587" t="str">
        <f ca="1">IFERROR(EY232/EZ232,"")</f>
        <v/>
      </c>
      <c r="FB232" s="589"/>
      <c r="FC232" s="587">
        <f ca="1">FC231-FE229-FF229</f>
        <v>0</v>
      </c>
      <c r="FD232" s="587">
        <f ca="1">OFFSET(貼付け_2024実績,$G232,SUM(COLUMN()-COLUMN(貼付け_2024実績))-1)</f>
        <v>0</v>
      </c>
      <c r="FE232" s="587" t="str">
        <f ca="1">IFERROR(FC232/FD232,"")</f>
        <v/>
      </c>
      <c r="FF232" s="589"/>
      <c r="FG232" s="587">
        <f ca="1">FG231-FI229-FJ229</f>
        <v>0</v>
      </c>
      <c r="FH232" s="587">
        <f ca="1">OFFSET(貼付け_2024実績,$G232,SUM(COLUMN()-COLUMN(貼付け_2024実績))-1)</f>
        <v>0</v>
      </c>
      <c r="FI232" s="587" t="str">
        <f ca="1">IFERROR(FG232/FH232,"")</f>
        <v/>
      </c>
      <c r="FJ232" s="589"/>
      <c r="FK232" s="587">
        <f ca="1">FK231-FM229-FN229</f>
        <v>0</v>
      </c>
      <c r="FL232" s="587">
        <f ca="1">OFFSET(貼付け_2024実績,$G232,SUM(COLUMN()-COLUMN(貼付け_2024実績))-1)</f>
        <v>0</v>
      </c>
      <c r="FM232" s="587" t="str">
        <f ca="1">IFERROR(FK232/FL232,"")</f>
        <v/>
      </c>
      <c r="FN232" s="589"/>
      <c r="FO232" s="587">
        <f ca="1">FO231-FQ229-FR229</f>
        <v>0</v>
      </c>
      <c r="FP232" s="587">
        <f ca="1">OFFSET(貼付け_2024実績,$G232,SUM(COLUMN()-COLUMN(貼付け_2024実績))-1)</f>
        <v>0</v>
      </c>
      <c r="FQ232" s="587" t="str">
        <f ca="1">IFERROR(FO232/FP232,"")</f>
        <v/>
      </c>
      <c r="FR232" s="589"/>
      <c r="FS232" s="587">
        <f ca="1">FS231-FU229-FV229</f>
        <v>0</v>
      </c>
      <c r="FT232" s="587">
        <f ca="1">OFFSET(貼付け_2024実績,$G232,SUM(COLUMN()-COLUMN(貼付け_2024実績))-1)</f>
        <v>0</v>
      </c>
      <c r="FU232" s="587" t="str">
        <f ca="1">IFERROR(FS232/FT232,"")</f>
        <v/>
      </c>
      <c r="FV232" s="589"/>
      <c r="FW232" s="587">
        <f ca="1">FW231-FY229-FZ229</f>
        <v>0</v>
      </c>
      <c r="FX232" s="587">
        <f ca="1">OFFSET(貼付け_2024実績,$G232,SUM(COLUMN()-COLUMN(貼付け_2024実績))-1)</f>
        <v>0</v>
      </c>
      <c r="FY232" s="587" t="str">
        <f ca="1">IFERROR(FW232/FX232,"")</f>
        <v/>
      </c>
      <c r="FZ232" s="589"/>
      <c r="GA232" s="587">
        <f ca="1">GA231-GC229-GD229</f>
        <v>0</v>
      </c>
      <c r="GB232" s="587">
        <f ca="1">OFFSET(貼付け_2024実績,$G232,SUM(COLUMN()-COLUMN(貼付け_2024実績))-1)</f>
        <v>0</v>
      </c>
      <c r="GC232" s="587" t="str">
        <f ca="1">IFERROR(GA232/GB232,"")</f>
        <v/>
      </c>
      <c r="GD232" s="589"/>
      <c r="GE232" s="587">
        <f ca="1">GE231-GG229-GH229</f>
        <v>0</v>
      </c>
      <c r="GF232" s="587">
        <f ca="1">OFFSET(貼付け_2024実績,$G232,SUM(COLUMN()-COLUMN(貼付け_2024実績))-1)</f>
        <v>0</v>
      </c>
      <c r="GG232" s="587" t="str">
        <f ca="1">IFERROR(GE232/GF232,"")</f>
        <v/>
      </c>
      <c r="GH232" s="589"/>
      <c r="GI232" s="587">
        <f ca="1">GI231-GK229-GL229</f>
        <v>0</v>
      </c>
      <c r="GJ232" s="587">
        <f ca="1">OFFSET(貼付け_2024実績,$G232,SUM(COLUMN()-COLUMN(貼付け_2024実績))-1)</f>
        <v>0</v>
      </c>
      <c r="GK232" s="587" t="str">
        <f ca="1">IFERROR(GI232/GJ232,"")</f>
        <v/>
      </c>
      <c r="GL232" s="589"/>
      <c r="GM232" s="587">
        <f ca="1">GM231-GO229-GP229</f>
        <v>0</v>
      </c>
      <c r="GN232" s="587">
        <f ca="1">OFFSET(貼付け_2024実績,$G232,SUM(COLUMN()-COLUMN(貼付け_2024実績))-1)</f>
        <v>0</v>
      </c>
      <c r="GO232" s="587" t="str">
        <f ca="1">IFERROR(GM232/GN232,"")</f>
        <v/>
      </c>
      <c r="GP232" s="589"/>
      <c r="GQ232" s="587">
        <f ca="1">GQ231-GS229-GT229</f>
        <v>0</v>
      </c>
      <c r="GR232" s="587">
        <f ca="1">OFFSET(貼付け_2024実績,$G232,SUM(COLUMN()-COLUMN(貼付け_2024実績))-1)</f>
        <v>0</v>
      </c>
      <c r="GS232" s="587" t="str">
        <f ca="1">IFERROR(GQ232/GR232,"")</f>
        <v/>
      </c>
      <c r="GT232" s="589"/>
      <c r="GU232" s="587">
        <f ca="1">GU231-GW229-GX229</f>
        <v>0</v>
      </c>
      <c r="GV232" s="587">
        <f ca="1">OFFSET(貼付け_2024実績,$G232,SUM(COLUMN()-COLUMN(貼付け_2024実績))-1)</f>
        <v>0</v>
      </c>
      <c r="GW232" s="587" t="str">
        <f ca="1">IFERROR(GU232/GV232,"")</f>
        <v/>
      </c>
      <c r="GX232" s="589"/>
      <c r="GY232" s="587">
        <f ca="1">GY231-HA229-HB229</f>
        <v>0</v>
      </c>
      <c r="GZ232" s="587">
        <f ca="1">OFFSET(貼付け_2024実績,$G232,SUM(COLUMN()-COLUMN(貼付け_2024実績))-1)</f>
        <v>0</v>
      </c>
      <c r="HA232" s="587" t="str">
        <f ca="1">IFERROR(GY232/GZ232,"")</f>
        <v/>
      </c>
      <c r="HB232" s="589"/>
      <c r="IE232" s="579"/>
      <c r="IF232" s="579"/>
      <c r="IG232" s="579"/>
      <c r="IH232" s="579"/>
    </row>
    <row r="233" spans="1:242" s="164" customFormat="1" ht="19.8" hidden="1">
      <c r="A233" s="572"/>
      <c r="C233" s="584" t="s">
        <v>658</v>
      </c>
      <c r="D233" s="586"/>
      <c r="E233" s="586"/>
      <c r="F233" s="587">
        <v>200</v>
      </c>
      <c r="G233" s="587">
        <v>103</v>
      </c>
      <c r="H233" s="587">
        <v>169</v>
      </c>
      <c r="I233" s="587">
        <f ca="1">SUMPRODUCT(OFFSET(貼付け_2024実績,$F233,4,5,1),OFFSET(貼付け_2024実績,$F233,SUM(COLUMN()-COLUMN(貼付け_2024実績)),5,1))</f>
        <v>0</v>
      </c>
      <c r="J233" s="587">
        <f ca="1">SUMPRODUCT(OFFSET(貼付け_2024実績,$F233,4,5,1),OFFSET(貼付け_2024実績,$F233,SUM(COLUMN()-COLUMN(貼付け_2024実績)),5,1))</f>
        <v>0</v>
      </c>
      <c r="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L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N233" s="589"/>
      <c r="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P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R233" s="589"/>
      <c r="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T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V233" s="589"/>
      <c r="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X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Z233" s="589"/>
      <c r="A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B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C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D233" s="589"/>
      <c r="AE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F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G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H233" s="589"/>
      <c r="AI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J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L233" s="589"/>
      <c r="A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N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P233" s="589"/>
      <c r="A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R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T233" s="589"/>
      <c r="A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V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X233" s="589"/>
      <c r="A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Z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B233" s="589"/>
      <c r="BC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D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E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F233" s="589"/>
      <c r="BG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H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I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J233" s="589"/>
      <c r="B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L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N233" s="589"/>
      <c r="B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P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R233" s="589"/>
      <c r="B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T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V233" s="589"/>
      <c r="B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X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Z233" s="589"/>
      <c r="C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B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C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D233" s="589"/>
      <c r="CE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F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G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H233" s="589"/>
      <c r="CI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J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L233" s="589"/>
      <c r="C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N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P233" s="589"/>
      <c r="C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R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T233" s="589"/>
      <c r="C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V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X233" s="589"/>
      <c r="C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Z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B233" s="589"/>
      <c r="DC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D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E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F233" s="589"/>
      <c r="DG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H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I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J233" s="589"/>
      <c r="D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L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N233" s="589"/>
      <c r="D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P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R233" s="589"/>
      <c r="D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T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V233" s="589"/>
      <c r="D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X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Z233" s="589"/>
      <c r="E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B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C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D233" s="589"/>
      <c r="EE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F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G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H233" s="589"/>
      <c r="EI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J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L233" s="589"/>
      <c r="E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N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P233" s="589"/>
      <c r="E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R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T233" s="589"/>
      <c r="E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V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X233" s="589"/>
      <c r="E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Z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B233" s="589"/>
      <c r="FC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D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E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F233" s="589"/>
      <c r="FG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H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I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J233" s="589"/>
      <c r="F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L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N233" s="589"/>
      <c r="F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P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R233" s="589"/>
      <c r="F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T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V233" s="589"/>
      <c r="F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X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Z233" s="589"/>
      <c r="G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B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C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D233" s="589"/>
      <c r="GE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F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G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H233" s="589"/>
      <c r="GI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J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K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L233" s="589"/>
      <c r="GM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N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O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P233" s="589"/>
      <c r="GQ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R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S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T233" s="589"/>
      <c r="GU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V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W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X233" s="589"/>
      <c r="GY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Z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HA233" s="587">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HB233" s="589"/>
      <c r="IE233" s="579"/>
      <c r="IF233" s="579"/>
      <c r="IG233" s="579"/>
      <c r="IH233" s="579"/>
    </row>
    <row r="234" spans="1:242" s="164" customFormat="1" ht="19.8" hidden="1">
      <c r="A234" s="572"/>
      <c r="C234" s="584" t="s">
        <v>659</v>
      </c>
      <c r="D234" s="586"/>
      <c r="E234" s="586"/>
      <c r="F234" s="587">
        <v>200</v>
      </c>
      <c r="G234" s="587">
        <v>103</v>
      </c>
      <c r="H234" s="587">
        <v>169</v>
      </c>
      <c r="I234" s="587">
        <f ca="1">SUMPRODUCT(OFFSET(貼付け_2024実績,$F234,5,5,1),OFFSET(貼付け_2024実績,$F234,SUM(COLUMN()-COLUMN(貼付け_2024実績)),5,1))</f>
        <v>0</v>
      </c>
      <c r="J234" s="587">
        <f ca="1">SUMPRODUCT(OFFSET(貼付け_2024実績,$F234,5,5,1),OFFSET(貼付け_2024実績,$F234,SUM(COLUMN()-COLUMN(貼付け_2024実績)),5,1))</f>
        <v>0</v>
      </c>
      <c r="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L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N234" s="589"/>
      <c r="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P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R234" s="589"/>
      <c r="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T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V234" s="589"/>
      <c r="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X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Z234" s="589"/>
      <c r="A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B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C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D234" s="589"/>
      <c r="AE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F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G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H234" s="589"/>
      <c r="AI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J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L234" s="589"/>
      <c r="A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N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P234" s="589"/>
      <c r="A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R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T234" s="589"/>
      <c r="A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V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X234" s="589"/>
      <c r="A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Z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B234" s="589"/>
      <c r="BC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D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E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F234" s="589"/>
      <c r="BG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H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I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J234" s="589"/>
      <c r="B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L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N234" s="589"/>
      <c r="B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P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R234" s="589"/>
      <c r="B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T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V234" s="589"/>
      <c r="B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X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Z234" s="589"/>
      <c r="C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B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C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D234" s="589"/>
      <c r="CE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F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G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H234" s="589"/>
      <c r="CI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J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L234" s="589"/>
      <c r="C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N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P234" s="589"/>
      <c r="C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R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T234" s="589"/>
      <c r="C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V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X234" s="589"/>
      <c r="C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Z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B234" s="589"/>
      <c r="DC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D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E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F234" s="589"/>
      <c r="DG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H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I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J234" s="589"/>
      <c r="D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L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N234" s="589"/>
      <c r="D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P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R234" s="589"/>
      <c r="D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T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V234" s="589"/>
      <c r="D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X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Z234" s="589"/>
      <c r="E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B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C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D234" s="589"/>
      <c r="EE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F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G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H234" s="589"/>
      <c r="EI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J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L234" s="589"/>
      <c r="E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N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P234" s="589"/>
      <c r="E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R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T234" s="589"/>
      <c r="E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V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X234" s="589"/>
      <c r="E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Z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B234" s="589"/>
      <c r="FC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D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E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F234" s="589"/>
      <c r="FG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H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I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J234" s="589"/>
      <c r="F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L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N234" s="589"/>
      <c r="F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P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R234" s="589"/>
      <c r="F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T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V234" s="589"/>
      <c r="F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X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Z234" s="589"/>
      <c r="G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B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C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D234" s="589"/>
      <c r="GE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F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G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H234" s="589"/>
      <c r="GI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J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K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L234" s="589"/>
      <c r="GM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N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O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P234" s="589"/>
      <c r="GQ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R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S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T234" s="589"/>
      <c r="GU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V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W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X234" s="589"/>
      <c r="GY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Z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HA234" s="587">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HB234" s="589"/>
      <c r="IE234" s="579"/>
      <c r="IF234" s="579"/>
      <c r="IG234" s="579"/>
      <c r="IH234" s="579"/>
    </row>
    <row r="235" spans="1:242" s="164" customFormat="1" ht="19.8" hidden="1">
      <c r="A235" s="572"/>
      <c r="C235" s="584" t="s">
        <v>660</v>
      </c>
      <c r="D235" s="586"/>
      <c r="E235" s="586"/>
      <c r="F235" s="587"/>
      <c r="G235" s="587">
        <v>113</v>
      </c>
      <c r="H235" s="587">
        <v>169</v>
      </c>
      <c r="I235" s="589"/>
      <c r="J235" s="589"/>
      <c r="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L235" s="589"/>
      <c r="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N235" s="589"/>
      <c r="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P235" s="589"/>
      <c r="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R235" s="589"/>
      <c r="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T235" s="589"/>
      <c r="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V235" s="589"/>
      <c r="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X235" s="589"/>
      <c r="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Z235" s="589"/>
      <c r="A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B235" s="589"/>
      <c r="AC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D235" s="589"/>
      <c r="AE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F235" s="589"/>
      <c r="AG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H235" s="589"/>
      <c r="AI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J235" s="589"/>
      <c r="A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L235" s="589"/>
      <c r="A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N235" s="589"/>
      <c r="A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P235" s="589"/>
      <c r="A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R235" s="589"/>
      <c r="A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T235" s="589"/>
      <c r="A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V235" s="589"/>
      <c r="A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X235" s="589"/>
      <c r="A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Z235" s="589"/>
      <c r="B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B235" s="589"/>
      <c r="BC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D235" s="589"/>
      <c r="BE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F235" s="589"/>
      <c r="BG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H235" s="589"/>
      <c r="BI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J235" s="589"/>
      <c r="B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L235" s="589"/>
      <c r="B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N235" s="589"/>
      <c r="B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P235" s="589"/>
      <c r="B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R235" s="589"/>
      <c r="B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T235" s="589"/>
      <c r="B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V235" s="589"/>
      <c r="B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X235" s="589"/>
      <c r="B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Z235" s="589"/>
      <c r="C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B235" s="589"/>
      <c r="CC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D235" s="589"/>
      <c r="CE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F235" s="589"/>
      <c r="CG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H235" s="589"/>
      <c r="CI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J235" s="589"/>
      <c r="C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L235" s="589"/>
      <c r="C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N235" s="589"/>
      <c r="C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P235" s="589"/>
      <c r="C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R235" s="589"/>
      <c r="C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T235" s="589"/>
      <c r="C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V235" s="589"/>
      <c r="C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X235" s="589"/>
      <c r="C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Z235" s="589"/>
      <c r="D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B235" s="589"/>
      <c r="DC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D235" s="589"/>
      <c r="DE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F235" s="589"/>
      <c r="DG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H235" s="589"/>
      <c r="DI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J235" s="589"/>
      <c r="D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L235" s="589"/>
      <c r="D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N235" s="589"/>
      <c r="D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P235" s="589"/>
      <c r="D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R235" s="589"/>
      <c r="D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T235" s="589"/>
      <c r="D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V235" s="589"/>
      <c r="D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X235" s="589"/>
      <c r="D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Z235" s="589"/>
      <c r="E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B235" s="589"/>
      <c r="EC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D235" s="589"/>
      <c r="EE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F235" s="589"/>
      <c r="EG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H235" s="589"/>
      <c r="EI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J235" s="589"/>
      <c r="E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L235" s="589"/>
      <c r="E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N235" s="589"/>
      <c r="E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P235" s="589"/>
      <c r="E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R235" s="589"/>
      <c r="E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T235" s="589"/>
      <c r="E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V235" s="589"/>
      <c r="E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X235" s="589"/>
      <c r="E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Z235" s="589"/>
      <c r="F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B235" s="589"/>
      <c r="FC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D235" s="589"/>
      <c r="FE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F235" s="589"/>
      <c r="FG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H235" s="589"/>
      <c r="FI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J235" s="589"/>
      <c r="F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L235" s="589"/>
      <c r="F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N235" s="589"/>
      <c r="F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P235" s="589"/>
      <c r="F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R235" s="589"/>
      <c r="F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T235" s="589"/>
      <c r="F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V235" s="589"/>
      <c r="F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X235" s="589"/>
      <c r="F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Z235" s="589"/>
      <c r="G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B235" s="589"/>
      <c r="GC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D235" s="589"/>
      <c r="GE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F235" s="589"/>
      <c r="GG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H235" s="589"/>
      <c r="GI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J235" s="589"/>
      <c r="GK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L235" s="589"/>
      <c r="GM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N235" s="589"/>
      <c r="GO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P235" s="589"/>
      <c r="GQ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R235" s="589"/>
      <c r="GS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T235" s="589"/>
      <c r="GU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V235" s="589"/>
      <c r="GW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X235" s="589"/>
      <c r="GY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Z235" s="589"/>
      <c r="HA235" s="587">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HB235" s="589"/>
      <c r="IE235" s="579"/>
      <c r="IF235" s="579"/>
      <c r="IG235" s="579"/>
      <c r="IH235" s="579"/>
    </row>
    <row r="236" spans="1:242" s="164" customFormat="1" ht="19.8" hidden="1">
      <c r="A236" s="572"/>
      <c r="C236" s="584" t="s">
        <v>661</v>
      </c>
      <c r="D236" s="586"/>
      <c r="E236" s="586"/>
      <c r="F236" s="587"/>
      <c r="G236" s="587">
        <v>113</v>
      </c>
      <c r="H236" s="587">
        <v>169</v>
      </c>
      <c r="I236" s="589"/>
      <c r="J236" s="589"/>
      <c r="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L236" s="589"/>
      <c r="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N236" s="589"/>
      <c r="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P236" s="589"/>
      <c r="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R236" s="589"/>
      <c r="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T236" s="589"/>
      <c r="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V236" s="589"/>
      <c r="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X236" s="589"/>
      <c r="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Z236" s="589"/>
      <c r="A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B236" s="589"/>
      <c r="AC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D236" s="589"/>
      <c r="AE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F236" s="589"/>
      <c r="AG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H236" s="589"/>
      <c r="AI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J236" s="589"/>
      <c r="A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L236" s="589"/>
      <c r="A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N236" s="589"/>
      <c r="A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P236" s="589"/>
      <c r="A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R236" s="589"/>
      <c r="A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T236" s="589"/>
      <c r="A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V236" s="589"/>
      <c r="A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X236" s="589"/>
      <c r="A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Z236" s="589"/>
      <c r="B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B236" s="589"/>
      <c r="BC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D236" s="589"/>
      <c r="BE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F236" s="589"/>
      <c r="BG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H236" s="589"/>
      <c r="BI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J236" s="589"/>
      <c r="B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L236" s="589"/>
      <c r="B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N236" s="589"/>
      <c r="B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P236" s="589"/>
      <c r="B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R236" s="589"/>
      <c r="B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T236" s="589"/>
      <c r="B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V236" s="589"/>
      <c r="B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X236" s="589"/>
      <c r="B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Z236" s="589"/>
      <c r="C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B236" s="589"/>
      <c r="CC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D236" s="589"/>
      <c r="CE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F236" s="589"/>
      <c r="CG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H236" s="589"/>
      <c r="CI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J236" s="589"/>
      <c r="C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L236" s="589"/>
      <c r="C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N236" s="589"/>
      <c r="C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P236" s="589"/>
      <c r="C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R236" s="589"/>
      <c r="C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T236" s="589"/>
      <c r="C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V236" s="589"/>
      <c r="C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X236" s="589"/>
      <c r="C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Z236" s="589"/>
      <c r="D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B236" s="589"/>
      <c r="DC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D236" s="589"/>
      <c r="DE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F236" s="589"/>
      <c r="DG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H236" s="589"/>
      <c r="DI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J236" s="589"/>
      <c r="D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L236" s="589"/>
      <c r="D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N236" s="589"/>
      <c r="D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P236" s="589"/>
      <c r="D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R236" s="589"/>
      <c r="D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T236" s="589"/>
      <c r="D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V236" s="589"/>
      <c r="D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X236" s="589"/>
      <c r="D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Z236" s="589"/>
      <c r="E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B236" s="589"/>
      <c r="EC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D236" s="589"/>
      <c r="EE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F236" s="589"/>
      <c r="EG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H236" s="589"/>
      <c r="EI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J236" s="589"/>
      <c r="E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L236" s="589"/>
      <c r="E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N236" s="589"/>
      <c r="E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P236" s="589"/>
      <c r="E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R236" s="589"/>
      <c r="E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T236" s="589"/>
      <c r="E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V236" s="589"/>
      <c r="E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X236" s="589"/>
      <c r="E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Z236" s="589"/>
      <c r="F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B236" s="589"/>
      <c r="FC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D236" s="589"/>
      <c r="FE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F236" s="589"/>
      <c r="FG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H236" s="589"/>
      <c r="FI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J236" s="589"/>
      <c r="F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L236" s="589"/>
      <c r="F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N236" s="589"/>
      <c r="F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P236" s="589"/>
      <c r="F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R236" s="589"/>
      <c r="F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T236" s="589"/>
      <c r="F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V236" s="589"/>
      <c r="F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X236" s="589"/>
      <c r="F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Z236" s="589"/>
      <c r="G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B236" s="589"/>
      <c r="GC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D236" s="589"/>
      <c r="GE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F236" s="589"/>
      <c r="GG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H236" s="589"/>
      <c r="GI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J236" s="589"/>
      <c r="GK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L236" s="589"/>
      <c r="GM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N236" s="589"/>
      <c r="GO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P236" s="589"/>
      <c r="GQ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R236" s="589"/>
      <c r="GS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T236" s="589"/>
      <c r="GU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V236" s="589"/>
      <c r="GW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X236" s="589"/>
      <c r="GY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Z236" s="589"/>
      <c r="HA236" s="587">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HB236" s="589"/>
      <c r="IE236" s="579"/>
      <c r="IF236" s="579"/>
      <c r="IG236" s="579"/>
      <c r="IH236" s="579"/>
    </row>
    <row r="237" spans="1:242" s="164" customFormat="1" ht="19.8" hidden="1">
      <c r="A237" s="572"/>
      <c r="C237" s="584" t="s">
        <v>662</v>
      </c>
      <c r="D237" s="586"/>
      <c r="E237" s="586"/>
      <c r="F237" s="587"/>
      <c r="G237" s="587">
        <v>116</v>
      </c>
      <c r="H237" s="587">
        <v>169</v>
      </c>
      <c r="I237" s="589"/>
      <c r="J237" s="589"/>
      <c r="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L237" s="589"/>
      <c r="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N237" s="589"/>
      <c r="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P237" s="589"/>
      <c r="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R237" s="589"/>
      <c r="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T237" s="589"/>
      <c r="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V237" s="589"/>
      <c r="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X237" s="589"/>
      <c r="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Z237" s="589"/>
      <c r="A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B237" s="589"/>
      <c r="AC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D237" s="589"/>
      <c r="AE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F237" s="589"/>
      <c r="AG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H237" s="589"/>
      <c r="AI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J237" s="589"/>
      <c r="A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L237" s="589"/>
      <c r="A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N237" s="589"/>
      <c r="A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P237" s="589"/>
      <c r="A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R237" s="589"/>
      <c r="A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T237" s="589"/>
      <c r="A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V237" s="589"/>
      <c r="A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X237" s="589"/>
      <c r="A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Z237" s="589"/>
      <c r="B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B237" s="589"/>
      <c r="BC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D237" s="589"/>
      <c r="BE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F237" s="589"/>
      <c r="BG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H237" s="589"/>
      <c r="BI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J237" s="589"/>
      <c r="B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L237" s="589"/>
      <c r="B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N237" s="589"/>
      <c r="B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P237" s="589"/>
      <c r="B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R237" s="589"/>
      <c r="B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T237" s="589"/>
      <c r="B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V237" s="589"/>
      <c r="B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X237" s="589"/>
      <c r="B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Z237" s="589"/>
      <c r="C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B237" s="589"/>
      <c r="CC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D237" s="589"/>
      <c r="CE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F237" s="589"/>
      <c r="CG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H237" s="589"/>
      <c r="CI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J237" s="589"/>
      <c r="C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L237" s="589"/>
      <c r="C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N237" s="589"/>
      <c r="C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P237" s="589"/>
      <c r="C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R237" s="589"/>
      <c r="C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T237" s="589"/>
      <c r="C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V237" s="589"/>
      <c r="C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X237" s="589"/>
      <c r="C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Z237" s="589"/>
      <c r="D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B237" s="589"/>
      <c r="DC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D237" s="589"/>
      <c r="DE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F237" s="589"/>
      <c r="DG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H237" s="589"/>
      <c r="DI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J237" s="589"/>
      <c r="D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L237" s="589"/>
      <c r="D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N237" s="589"/>
      <c r="D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P237" s="589"/>
      <c r="D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R237" s="589"/>
      <c r="D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T237" s="589"/>
      <c r="D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V237" s="589"/>
      <c r="D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X237" s="589"/>
      <c r="D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Z237" s="589"/>
      <c r="E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B237" s="589"/>
      <c r="EC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D237" s="589"/>
      <c r="EE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F237" s="589"/>
      <c r="EG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H237" s="589"/>
      <c r="EI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J237" s="589"/>
      <c r="E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L237" s="589"/>
      <c r="E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N237" s="589"/>
      <c r="E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P237" s="589"/>
      <c r="E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R237" s="589"/>
      <c r="E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T237" s="589"/>
      <c r="E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V237" s="589"/>
      <c r="E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X237" s="589"/>
      <c r="E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Z237" s="589"/>
      <c r="F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B237" s="589"/>
      <c r="FC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D237" s="589"/>
      <c r="FE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F237" s="589"/>
      <c r="FG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H237" s="589"/>
      <c r="FI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J237" s="589"/>
      <c r="F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L237" s="589"/>
      <c r="F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N237" s="589"/>
      <c r="F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P237" s="589"/>
      <c r="F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R237" s="589"/>
      <c r="F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T237" s="589"/>
      <c r="F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V237" s="589"/>
      <c r="F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X237" s="589"/>
      <c r="F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Z237" s="589"/>
      <c r="G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B237" s="589"/>
      <c r="GC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D237" s="589"/>
      <c r="GE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F237" s="589"/>
      <c r="GG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H237" s="589"/>
      <c r="GI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J237" s="589"/>
      <c r="GK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L237" s="589"/>
      <c r="GM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N237" s="589"/>
      <c r="GO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P237" s="589"/>
      <c r="GQ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R237" s="589"/>
      <c r="GS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T237" s="589"/>
      <c r="GU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V237" s="589"/>
      <c r="GW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X237" s="589"/>
      <c r="GY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Z237" s="589"/>
      <c r="HA237" s="587">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HB237" s="589"/>
      <c r="IE237" s="579"/>
      <c r="IF237" s="579"/>
      <c r="IG237" s="579"/>
      <c r="IH237" s="579"/>
    </row>
    <row r="238" spans="1:242" s="164" customFormat="1" ht="19.8" hidden="1">
      <c r="A238" s="572"/>
      <c r="C238" s="584" t="s">
        <v>663</v>
      </c>
      <c r="D238" s="586"/>
      <c r="E238" s="586"/>
      <c r="F238" s="587"/>
      <c r="G238" s="587">
        <v>116</v>
      </c>
      <c r="H238" s="587">
        <v>169</v>
      </c>
      <c r="I238" s="589"/>
      <c r="J238" s="589"/>
      <c r="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L238" s="589"/>
      <c r="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N238" s="589"/>
      <c r="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P238" s="589"/>
      <c r="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R238" s="589"/>
      <c r="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T238" s="589"/>
      <c r="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V238" s="589"/>
      <c r="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X238" s="589"/>
      <c r="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Z238" s="589"/>
      <c r="A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B238" s="589"/>
      <c r="AC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D238" s="589"/>
      <c r="AE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F238" s="589"/>
      <c r="AG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H238" s="589"/>
      <c r="AI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J238" s="589"/>
      <c r="A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L238" s="589"/>
      <c r="A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N238" s="589"/>
      <c r="A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P238" s="589"/>
      <c r="A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R238" s="589"/>
      <c r="A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T238" s="589"/>
      <c r="A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V238" s="589"/>
      <c r="A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X238" s="589"/>
      <c r="A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Z238" s="589"/>
      <c r="B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B238" s="589"/>
      <c r="BC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D238" s="589"/>
      <c r="BE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F238" s="589"/>
      <c r="BG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H238" s="589"/>
      <c r="BI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J238" s="589"/>
      <c r="B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L238" s="589"/>
      <c r="B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N238" s="589"/>
      <c r="B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P238" s="589"/>
      <c r="B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R238" s="589"/>
      <c r="B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T238" s="589"/>
      <c r="B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V238" s="589"/>
      <c r="B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X238" s="589"/>
      <c r="B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Z238" s="589"/>
      <c r="C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B238" s="589"/>
      <c r="CC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D238" s="589"/>
      <c r="CE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F238" s="589"/>
      <c r="CG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H238" s="589"/>
      <c r="CI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J238" s="589"/>
      <c r="C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L238" s="589"/>
      <c r="C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N238" s="589"/>
      <c r="C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P238" s="589"/>
      <c r="C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R238" s="589"/>
      <c r="C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T238" s="589"/>
      <c r="C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V238" s="589"/>
      <c r="C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X238" s="589"/>
      <c r="C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Z238" s="589"/>
      <c r="D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B238" s="589"/>
      <c r="DC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D238" s="589"/>
      <c r="DE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F238" s="589"/>
      <c r="DG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H238" s="589"/>
      <c r="DI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J238" s="589"/>
      <c r="D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L238" s="589"/>
      <c r="D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N238" s="589"/>
      <c r="D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P238" s="589"/>
      <c r="D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R238" s="589"/>
      <c r="D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T238" s="589"/>
      <c r="D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V238" s="589"/>
      <c r="D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X238" s="589"/>
      <c r="D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Z238" s="589"/>
      <c r="E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B238" s="589"/>
      <c r="EC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D238" s="589"/>
      <c r="EE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F238" s="589"/>
      <c r="EG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H238" s="589"/>
      <c r="EI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J238" s="589"/>
      <c r="E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L238" s="589"/>
      <c r="E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N238" s="589"/>
      <c r="E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P238" s="589"/>
      <c r="E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R238" s="589"/>
      <c r="E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T238" s="589"/>
      <c r="E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V238" s="589"/>
      <c r="E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X238" s="589"/>
      <c r="E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Z238" s="589"/>
      <c r="F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B238" s="589"/>
      <c r="FC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D238" s="589"/>
      <c r="FE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F238" s="589"/>
      <c r="FG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H238" s="589"/>
      <c r="FI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J238" s="589"/>
      <c r="F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L238" s="589"/>
      <c r="F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N238" s="589"/>
      <c r="F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P238" s="589"/>
      <c r="F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R238" s="589"/>
      <c r="F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T238" s="589"/>
      <c r="F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V238" s="589"/>
      <c r="F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X238" s="589"/>
      <c r="F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Z238" s="589"/>
      <c r="G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B238" s="589"/>
      <c r="GC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D238" s="589"/>
      <c r="GE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F238" s="589"/>
      <c r="GG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H238" s="589"/>
      <c r="GI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J238" s="589"/>
      <c r="GK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L238" s="589"/>
      <c r="GM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N238" s="589"/>
      <c r="GO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P238" s="589"/>
      <c r="GQ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R238" s="589"/>
      <c r="GS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T238" s="589"/>
      <c r="GU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V238" s="589"/>
      <c r="GW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X238" s="589"/>
      <c r="GY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Z238" s="589"/>
      <c r="HA238" s="587">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HB238" s="589"/>
      <c r="IE238" s="579"/>
      <c r="IF238" s="579"/>
      <c r="IG238" s="579"/>
      <c r="IH238" s="579"/>
    </row>
    <row r="239" spans="1:242" s="164" customFormat="1" ht="19.8" hidden="1">
      <c r="A239" s="572"/>
      <c r="C239" s="584" t="s">
        <v>664</v>
      </c>
      <c r="D239" s="586"/>
      <c r="E239" s="586"/>
      <c r="F239" s="587"/>
      <c r="G239" s="587">
        <v>119</v>
      </c>
      <c r="H239" s="587">
        <v>169</v>
      </c>
      <c r="I239" s="589"/>
      <c r="J239" s="589"/>
      <c r="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L239" s="589"/>
      <c r="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N239" s="589"/>
      <c r="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P239" s="589"/>
      <c r="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R239" s="589"/>
      <c r="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T239" s="589"/>
      <c r="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V239" s="589"/>
      <c r="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X239" s="589"/>
      <c r="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Z239" s="589"/>
      <c r="A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B239" s="589"/>
      <c r="AC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D239" s="589"/>
      <c r="AE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F239" s="589"/>
      <c r="AG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H239" s="589"/>
      <c r="AI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J239" s="589"/>
      <c r="A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L239" s="589"/>
      <c r="A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N239" s="589"/>
      <c r="A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P239" s="589"/>
      <c r="A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R239" s="589"/>
      <c r="A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T239" s="589"/>
      <c r="A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V239" s="589"/>
      <c r="A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X239" s="589"/>
      <c r="A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Z239" s="589"/>
      <c r="B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B239" s="589"/>
      <c r="BC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D239" s="589"/>
      <c r="BE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F239" s="589"/>
      <c r="BG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H239" s="589"/>
      <c r="BI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J239" s="589"/>
      <c r="B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L239" s="589"/>
      <c r="B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N239" s="589"/>
      <c r="B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P239" s="589"/>
      <c r="B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R239" s="589"/>
      <c r="B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T239" s="589"/>
      <c r="B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V239" s="589"/>
      <c r="B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X239" s="589"/>
      <c r="B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Z239" s="589"/>
      <c r="C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B239" s="589"/>
      <c r="CC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D239" s="589"/>
      <c r="CE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F239" s="589"/>
      <c r="CG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H239" s="589"/>
      <c r="CI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J239" s="589"/>
      <c r="C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L239" s="589"/>
      <c r="C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N239" s="589"/>
      <c r="C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P239" s="589"/>
      <c r="C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R239" s="589"/>
      <c r="C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T239" s="589"/>
      <c r="C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V239" s="589"/>
      <c r="C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X239" s="589"/>
      <c r="C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Z239" s="589"/>
      <c r="D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B239" s="589"/>
      <c r="DC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D239" s="589"/>
      <c r="DE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F239" s="589"/>
      <c r="DG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H239" s="589"/>
      <c r="DI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J239" s="589"/>
      <c r="D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L239" s="589"/>
      <c r="D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N239" s="589"/>
      <c r="D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P239" s="589"/>
      <c r="D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R239" s="589"/>
      <c r="D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T239" s="589"/>
      <c r="D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V239" s="589"/>
      <c r="D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X239" s="589"/>
      <c r="D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Z239" s="589"/>
      <c r="E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B239" s="589"/>
      <c r="EC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D239" s="589"/>
      <c r="EE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F239" s="589"/>
      <c r="EG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H239" s="589"/>
      <c r="EI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J239" s="589"/>
      <c r="E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L239" s="589"/>
      <c r="E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N239" s="589"/>
      <c r="E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P239" s="589"/>
      <c r="E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R239" s="589"/>
      <c r="E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T239" s="589"/>
      <c r="E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V239" s="589"/>
      <c r="E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X239" s="589"/>
      <c r="E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Z239" s="589"/>
      <c r="F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B239" s="589"/>
      <c r="FC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D239" s="589"/>
      <c r="FE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F239" s="589"/>
      <c r="FG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H239" s="589"/>
      <c r="FI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J239" s="589"/>
      <c r="F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L239" s="589"/>
      <c r="F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N239" s="589"/>
      <c r="F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P239" s="589"/>
      <c r="F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R239" s="589"/>
      <c r="F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T239" s="589"/>
      <c r="F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V239" s="589"/>
      <c r="F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X239" s="589"/>
      <c r="F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Z239" s="589"/>
      <c r="G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B239" s="589"/>
      <c r="GC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D239" s="589"/>
      <c r="GE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F239" s="589"/>
      <c r="GG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H239" s="589"/>
      <c r="GI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J239" s="589"/>
      <c r="GK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L239" s="589"/>
      <c r="GM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N239" s="589"/>
      <c r="GO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P239" s="589"/>
      <c r="GQ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R239" s="589"/>
      <c r="GS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T239" s="589"/>
      <c r="GU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V239" s="589"/>
      <c r="GW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X239" s="589"/>
      <c r="GY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Z239" s="589"/>
      <c r="HA239" s="587">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HB239" s="589"/>
      <c r="IE239" s="579"/>
      <c r="IF239" s="579"/>
      <c r="IG239" s="579"/>
      <c r="IH239" s="579"/>
    </row>
    <row r="240" spans="1:242" s="164" customFormat="1" ht="19.8" hidden="1">
      <c r="A240" s="572"/>
      <c r="C240" s="584" t="s">
        <v>665</v>
      </c>
      <c r="D240" s="586"/>
      <c r="E240" s="586"/>
      <c r="F240" s="587"/>
      <c r="G240" s="587">
        <v>119</v>
      </c>
      <c r="H240" s="587">
        <v>169</v>
      </c>
      <c r="I240" s="589"/>
      <c r="J240" s="589"/>
      <c r="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L240" s="589"/>
      <c r="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N240" s="589"/>
      <c r="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P240" s="589"/>
      <c r="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R240" s="589"/>
      <c r="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T240" s="589"/>
      <c r="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V240" s="589"/>
      <c r="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X240" s="589"/>
      <c r="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Z240" s="589"/>
      <c r="A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B240" s="589"/>
      <c r="AC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D240" s="589"/>
      <c r="AE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F240" s="589"/>
      <c r="AG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H240" s="589"/>
      <c r="AI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J240" s="589"/>
      <c r="A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L240" s="589"/>
      <c r="A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N240" s="589"/>
      <c r="A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P240" s="589"/>
      <c r="A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R240" s="589"/>
      <c r="A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T240" s="589"/>
      <c r="A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V240" s="589"/>
      <c r="A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X240" s="589"/>
      <c r="A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Z240" s="589"/>
      <c r="B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B240" s="589"/>
      <c r="BC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D240" s="589"/>
      <c r="BE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F240" s="589"/>
      <c r="BG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H240" s="589"/>
      <c r="BI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J240" s="589"/>
      <c r="B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L240" s="589"/>
      <c r="B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N240" s="589"/>
      <c r="B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P240" s="589"/>
      <c r="B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R240" s="589"/>
      <c r="B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T240" s="589"/>
      <c r="B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V240" s="589"/>
      <c r="B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X240" s="589"/>
      <c r="B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Z240" s="589"/>
      <c r="C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B240" s="589"/>
      <c r="CC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D240" s="589"/>
      <c r="CE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F240" s="589"/>
      <c r="CG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H240" s="589"/>
      <c r="CI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J240" s="589"/>
      <c r="C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L240" s="589"/>
      <c r="C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N240" s="589"/>
      <c r="C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P240" s="589"/>
      <c r="C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R240" s="589"/>
      <c r="C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T240" s="589"/>
      <c r="C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V240" s="589"/>
      <c r="C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X240" s="589"/>
      <c r="C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Z240" s="589"/>
      <c r="D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B240" s="589"/>
      <c r="DC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D240" s="589"/>
      <c r="DE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F240" s="589"/>
      <c r="DG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H240" s="589"/>
      <c r="DI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J240" s="589"/>
      <c r="D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L240" s="589"/>
      <c r="D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N240" s="589"/>
      <c r="D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P240" s="589"/>
      <c r="D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R240" s="589"/>
      <c r="D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T240" s="589"/>
      <c r="D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V240" s="589"/>
      <c r="D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X240" s="589"/>
      <c r="D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Z240" s="589"/>
      <c r="E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B240" s="589"/>
      <c r="EC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D240" s="589"/>
      <c r="EE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F240" s="589"/>
      <c r="EG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H240" s="589"/>
      <c r="EI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J240" s="589"/>
      <c r="E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L240" s="589"/>
      <c r="E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N240" s="589"/>
      <c r="E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P240" s="589"/>
      <c r="E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R240" s="589"/>
      <c r="E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T240" s="589"/>
      <c r="E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V240" s="589"/>
      <c r="E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X240" s="589"/>
      <c r="E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Z240" s="589"/>
      <c r="F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B240" s="589"/>
      <c r="FC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D240" s="589"/>
      <c r="FE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F240" s="589"/>
      <c r="FG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H240" s="589"/>
      <c r="FI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J240" s="589"/>
      <c r="F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L240" s="589"/>
      <c r="F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N240" s="589"/>
      <c r="F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P240" s="589"/>
      <c r="F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R240" s="589"/>
      <c r="F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T240" s="589"/>
      <c r="F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V240" s="589"/>
      <c r="F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X240" s="589"/>
      <c r="F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Z240" s="589"/>
      <c r="G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B240" s="589"/>
      <c r="GC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D240" s="589"/>
      <c r="GE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F240" s="589"/>
      <c r="GG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H240" s="589"/>
      <c r="GI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J240" s="589"/>
      <c r="GK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L240" s="589"/>
      <c r="GM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N240" s="589"/>
      <c r="GO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P240" s="589"/>
      <c r="GQ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R240" s="589"/>
      <c r="GS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T240" s="589"/>
      <c r="GU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V240" s="589"/>
      <c r="GW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X240" s="589"/>
      <c r="GY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Z240" s="589"/>
      <c r="HA240" s="587">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HB240" s="589"/>
      <c r="IE240" s="579"/>
      <c r="IF240" s="579"/>
      <c r="IG240" s="579"/>
      <c r="IH240" s="579"/>
    </row>
    <row r="241" spans="1:242" s="164" customFormat="1" ht="19.8" hidden="1">
      <c r="A241" s="572"/>
      <c r="C241" s="584" t="s">
        <v>666</v>
      </c>
      <c r="D241" s="586"/>
      <c r="E241" s="586"/>
      <c r="F241" s="587">
        <v>205</v>
      </c>
      <c r="G241" s="587">
        <v>122</v>
      </c>
      <c r="H241" s="587">
        <v>169</v>
      </c>
      <c r="I241" s="587">
        <f ca="1">SUMPRODUCT(OFFSET(貼付け_2024実績,$F241,4,10,1),OFFSET(貼付け_2024実績,$F241,SUM(COLUMN()-COLUMN(貼付け_2024実績)),10,1))*1000</f>
        <v>0</v>
      </c>
      <c r="J241" s="587">
        <f ca="1">SUMPRODUCT(OFFSET(貼付け_2024実績,$F241,4,10,1),OFFSET(貼付け_2024実績,$F241,SUM(COLUMN()-COLUMN(貼付け_2024実績)),10,1))*1000</f>
        <v>0</v>
      </c>
      <c r="K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L241" s="589"/>
      <c r="M241" s="589"/>
      <c r="N241" s="589"/>
      <c r="O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P241" s="589"/>
      <c r="Q241" s="589"/>
      <c r="R241" s="589"/>
      <c r="S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T241" s="589"/>
      <c r="U241" s="589"/>
      <c r="V241" s="589"/>
      <c r="W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X241" s="589"/>
      <c r="Y241" s="589"/>
      <c r="Z241" s="589"/>
      <c r="AA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B241" s="589"/>
      <c r="AC241" s="589"/>
      <c r="AD241" s="589"/>
      <c r="AE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F241" s="589"/>
      <c r="AG241" s="589"/>
      <c r="AH241" s="589"/>
      <c r="AI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J241" s="589"/>
      <c r="AK241" s="589"/>
      <c r="AL241" s="589"/>
      <c r="AM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N241" s="589"/>
      <c r="AO241" s="589"/>
      <c r="AP241" s="589"/>
      <c r="AQ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R241" s="589"/>
      <c r="AS241" s="589"/>
      <c r="AT241" s="589"/>
      <c r="AU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V241" s="589"/>
      <c r="AW241" s="589"/>
      <c r="AX241" s="589"/>
      <c r="AY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Z241" s="589"/>
      <c r="BA241" s="589"/>
      <c r="BB241" s="589"/>
      <c r="BC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D241" s="589"/>
      <c r="BE241" s="589"/>
      <c r="BF241" s="589"/>
      <c r="BG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H241" s="589"/>
      <c r="BI241" s="589"/>
      <c r="BJ241" s="589"/>
      <c r="BK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L241" s="589"/>
      <c r="BM241" s="589"/>
      <c r="BN241" s="589"/>
      <c r="BO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P241" s="589"/>
      <c r="BQ241" s="589"/>
      <c r="BR241" s="589"/>
      <c r="BS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T241" s="589"/>
      <c r="BU241" s="589"/>
      <c r="BV241" s="589"/>
      <c r="BW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X241" s="589"/>
      <c r="BY241" s="589"/>
      <c r="BZ241" s="589"/>
      <c r="CA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B241" s="589"/>
      <c r="CC241" s="589"/>
      <c r="CD241" s="589"/>
      <c r="CE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F241" s="589"/>
      <c r="CG241" s="589"/>
      <c r="CH241" s="589"/>
      <c r="CI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J241" s="589"/>
      <c r="CK241" s="589"/>
      <c r="CL241" s="589"/>
      <c r="CM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N241" s="589"/>
      <c r="CO241" s="589"/>
      <c r="CP241" s="589"/>
      <c r="CQ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R241" s="589"/>
      <c r="CS241" s="589"/>
      <c r="CT241" s="589"/>
      <c r="CU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V241" s="589"/>
      <c r="CW241" s="589"/>
      <c r="CX241" s="589"/>
      <c r="CY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Z241" s="589"/>
      <c r="DA241" s="589"/>
      <c r="DB241" s="589"/>
      <c r="DC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D241" s="589"/>
      <c r="DE241" s="589"/>
      <c r="DF241" s="589"/>
      <c r="DG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H241" s="589"/>
      <c r="DI241" s="589"/>
      <c r="DJ241" s="589"/>
      <c r="DK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L241" s="589"/>
      <c r="DM241" s="589"/>
      <c r="DN241" s="589"/>
      <c r="DO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P241" s="589"/>
      <c r="DQ241" s="589"/>
      <c r="DR241" s="589"/>
      <c r="DS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T241" s="589"/>
      <c r="DU241" s="589"/>
      <c r="DV241" s="589"/>
      <c r="DW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X241" s="589"/>
      <c r="DY241" s="589"/>
      <c r="DZ241" s="589"/>
      <c r="EA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B241" s="589"/>
      <c r="EC241" s="589"/>
      <c r="ED241" s="589"/>
      <c r="EE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F241" s="589"/>
      <c r="EG241" s="589"/>
      <c r="EH241" s="589"/>
      <c r="EI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J241" s="589"/>
      <c r="EK241" s="589"/>
      <c r="EL241" s="589"/>
      <c r="EM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N241" s="589"/>
      <c r="EO241" s="589"/>
      <c r="EP241" s="589"/>
      <c r="EQ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R241" s="589"/>
      <c r="ES241" s="589"/>
      <c r="ET241" s="589"/>
      <c r="EU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V241" s="589"/>
      <c r="EW241" s="589"/>
      <c r="EX241" s="589"/>
      <c r="EY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Z241" s="589"/>
      <c r="FA241" s="589"/>
      <c r="FB241" s="589"/>
      <c r="FC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D241" s="589"/>
      <c r="FE241" s="589"/>
      <c r="FF241" s="589"/>
      <c r="FG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H241" s="589"/>
      <c r="FI241" s="589"/>
      <c r="FJ241" s="589"/>
      <c r="FK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L241" s="589"/>
      <c r="FM241" s="589"/>
      <c r="FN241" s="589"/>
      <c r="FO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P241" s="589"/>
      <c r="FQ241" s="589"/>
      <c r="FR241" s="589"/>
      <c r="FS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T241" s="589"/>
      <c r="FU241" s="589"/>
      <c r="FV241" s="589"/>
      <c r="FW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X241" s="589"/>
      <c r="FY241" s="589"/>
      <c r="FZ241" s="589"/>
      <c r="GA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B241" s="589"/>
      <c r="GC241" s="589"/>
      <c r="GD241" s="589"/>
      <c r="GE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F241" s="589"/>
      <c r="GG241" s="589"/>
      <c r="GH241" s="589"/>
      <c r="GI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J241" s="589"/>
      <c r="GK241" s="589"/>
      <c r="GL241" s="589"/>
      <c r="GM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N241" s="589"/>
      <c r="GO241" s="589"/>
      <c r="GP241" s="589"/>
      <c r="GQ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R241" s="589"/>
      <c r="GS241" s="589"/>
      <c r="GT241" s="589"/>
      <c r="GU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V241" s="589"/>
      <c r="GW241" s="589"/>
      <c r="GX241" s="589"/>
      <c r="GY241" s="587">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Z241" s="589"/>
      <c r="HA241" s="589"/>
      <c r="HB241" s="589"/>
      <c r="IE241" s="579"/>
      <c r="IF241" s="579"/>
      <c r="IG241" s="579"/>
      <c r="IH241" s="579"/>
    </row>
    <row r="242" spans="1:242" s="164" customFormat="1" ht="19.8" hidden="1">
      <c r="A242" s="572"/>
      <c r="C242" s="584" t="s">
        <v>667</v>
      </c>
      <c r="D242" s="586"/>
      <c r="E242" s="586"/>
      <c r="F242" s="587">
        <v>205</v>
      </c>
      <c r="G242" s="587">
        <v>122</v>
      </c>
      <c r="H242" s="587">
        <v>169</v>
      </c>
      <c r="I242" s="587">
        <f ca="1">SUMPRODUCT(OFFSET(貼付け_2024実績,$F242,5,10,1),OFFSET(貼付け_2024実績,$F242,SUM(COLUMN()-COLUMN(貼付け_2024実績)),10,1))*1000</f>
        <v>0</v>
      </c>
      <c r="J242" s="587">
        <f ca="1">SUMPRODUCT(OFFSET(貼付け_2024実績,$F242,5,10,1),OFFSET(貼付け_2024実績,$F242,SUM(COLUMN()-COLUMN(貼付け_2024実績)),10,1))*1000</f>
        <v>0</v>
      </c>
      <c r="K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L242" s="589"/>
      <c r="M242" s="589"/>
      <c r="N242" s="589"/>
      <c r="O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P242" s="589"/>
      <c r="Q242" s="589"/>
      <c r="R242" s="589"/>
      <c r="S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T242" s="589"/>
      <c r="U242" s="589"/>
      <c r="V242" s="589"/>
      <c r="W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X242" s="589"/>
      <c r="Y242" s="589"/>
      <c r="Z242" s="589"/>
      <c r="AA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B242" s="589"/>
      <c r="AC242" s="589"/>
      <c r="AD242" s="589"/>
      <c r="AE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F242" s="589"/>
      <c r="AG242" s="589"/>
      <c r="AH242" s="589"/>
      <c r="AI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J242" s="589"/>
      <c r="AK242" s="589"/>
      <c r="AL242" s="589"/>
      <c r="AM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N242" s="589"/>
      <c r="AO242" s="589"/>
      <c r="AP242" s="589"/>
      <c r="AQ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R242" s="589"/>
      <c r="AS242" s="589"/>
      <c r="AT242" s="589"/>
      <c r="AU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V242" s="589"/>
      <c r="AW242" s="589"/>
      <c r="AX242" s="589"/>
      <c r="AY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Z242" s="589"/>
      <c r="BA242" s="589"/>
      <c r="BB242" s="589"/>
      <c r="BC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D242" s="589"/>
      <c r="BE242" s="589"/>
      <c r="BF242" s="589"/>
      <c r="BG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H242" s="589"/>
      <c r="BI242" s="589"/>
      <c r="BJ242" s="589"/>
      <c r="BK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L242" s="589"/>
      <c r="BM242" s="589"/>
      <c r="BN242" s="589"/>
      <c r="BO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P242" s="589"/>
      <c r="BQ242" s="589"/>
      <c r="BR242" s="589"/>
      <c r="BS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T242" s="589"/>
      <c r="BU242" s="589"/>
      <c r="BV242" s="589"/>
      <c r="BW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X242" s="589"/>
      <c r="BY242" s="589"/>
      <c r="BZ242" s="589"/>
      <c r="CA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B242" s="589"/>
      <c r="CC242" s="589"/>
      <c r="CD242" s="589"/>
      <c r="CE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F242" s="589"/>
      <c r="CG242" s="589"/>
      <c r="CH242" s="589"/>
      <c r="CI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J242" s="589"/>
      <c r="CK242" s="589"/>
      <c r="CL242" s="589"/>
      <c r="CM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N242" s="589"/>
      <c r="CO242" s="589"/>
      <c r="CP242" s="589"/>
      <c r="CQ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R242" s="589"/>
      <c r="CS242" s="589"/>
      <c r="CT242" s="589"/>
      <c r="CU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V242" s="589"/>
      <c r="CW242" s="589"/>
      <c r="CX242" s="589"/>
      <c r="CY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Z242" s="589"/>
      <c r="DA242" s="589"/>
      <c r="DB242" s="589"/>
      <c r="DC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D242" s="589"/>
      <c r="DE242" s="589"/>
      <c r="DF242" s="589"/>
      <c r="DG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H242" s="589"/>
      <c r="DI242" s="589"/>
      <c r="DJ242" s="589"/>
      <c r="DK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L242" s="589"/>
      <c r="DM242" s="589"/>
      <c r="DN242" s="589"/>
      <c r="DO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P242" s="589"/>
      <c r="DQ242" s="589"/>
      <c r="DR242" s="589"/>
      <c r="DS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T242" s="589"/>
      <c r="DU242" s="589"/>
      <c r="DV242" s="589"/>
      <c r="DW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X242" s="589"/>
      <c r="DY242" s="589"/>
      <c r="DZ242" s="589"/>
      <c r="EA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B242" s="589"/>
      <c r="EC242" s="589"/>
      <c r="ED242" s="589"/>
      <c r="EE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F242" s="589"/>
      <c r="EG242" s="589"/>
      <c r="EH242" s="589"/>
      <c r="EI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J242" s="589"/>
      <c r="EK242" s="589"/>
      <c r="EL242" s="589"/>
      <c r="EM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N242" s="589"/>
      <c r="EO242" s="589"/>
      <c r="EP242" s="589"/>
      <c r="EQ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R242" s="589"/>
      <c r="ES242" s="589"/>
      <c r="ET242" s="589"/>
      <c r="EU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V242" s="589"/>
      <c r="EW242" s="589"/>
      <c r="EX242" s="589"/>
      <c r="EY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Z242" s="589"/>
      <c r="FA242" s="589"/>
      <c r="FB242" s="589"/>
      <c r="FC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D242" s="589"/>
      <c r="FE242" s="589"/>
      <c r="FF242" s="589"/>
      <c r="FG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H242" s="589"/>
      <c r="FI242" s="589"/>
      <c r="FJ242" s="589"/>
      <c r="FK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L242" s="589"/>
      <c r="FM242" s="589"/>
      <c r="FN242" s="589"/>
      <c r="FO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P242" s="589"/>
      <c r="FQ242" s="589"/>
      <c r="FR242" s="589"/>
      <c r="FS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T242" s="589"/>
      <c r="FU242" s="589"/>
      <c r="FV242" s="589"/>
      <c r="FW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X242" s="589"/>
      <c r="FY242" s="589"/>
      <c r="FZ242" s="589"/>
      <c r="GA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B242" s="589"/>
      <c r="GC242" s="589"/>
      <c r="GD242" s="589"/>
      <c r="GE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F242" s="589"/>
      <c r="GG242" s="589"/>
      <c r="GH242" s="589"/>
      <c r="GI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J242" s="589"/>
      <c r="GK242" s="589"/>
      <c r="GL242" s="589"/>
      <c r="GM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N242" s="589"/>
      <c r="GO242" s="589"/>
      <c r="GP242" s="589"/>
      <c r="GQ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R242" s="589"/>
      <c r="GS242" s="589"/>
      <c r="GT242" s="589"/>
      <c r="GU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V242" s="589"/>
      <c r="GW242" s="589"/>
      <c r="GX242" s="589"/>
      <c r="GY242" s="587">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Z242" s="589"/>
      <c r="HA242" s="589"/>
      <c r="HB242" s="589"/>
      <c r="IE242" s="579"/>
      <c r="IF242" s="579"/>
      <c r="IG242" s="579"/>
      <c r="IH242" s="579"/>
    </row>
    <row r="243" spans="1:242" s="164" customFormat="1" ht="19.8" hidden="1">
      <c r="A243" s="572"/>
      <c r="C243" s="584" t="s">
        <v>668</v>
      </c>
      <c r="D243" s="586"/>
      <c r="E243" s="586"/>
      <c r="F243" s="587"/>
      <c r="G243" s="587">
        <v>122</v>
      </c>
      <c r="H243" s="587">
        <v>169</v>
      </c>
      <c r="I243" s="589"/>
      <c r="J243" s="589"/>
      <c r="K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L243" s="589"/>
      <c r="M243" s="589"/>
      <c r="N243" s="589"/>
      <c r="O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P243" s="589"/>
      <c r="Q243" s="589"/>
      <c r="R243" s="589"/>
      <c r="S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T243" s="589"/>
      <c r="U243" s="589"/>
      <c r="V243" s="589"/>
      <c r="W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X243" s="589"/>
      <c r="Y243" s="589"/>
      <c r="Z243" s="589"/>
      <c r="AA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B243" s="589"/>
      <c r="AC243" s="589"/>
      <c r="AD243" s="589"/>
      <c r="AE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F243" s="589"/>
      <c r="AG243" s="589"/>
      <c r="AH243" s="589"/>
      <c r="AI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J243" s="589"/>
      <c r="AK243" s="589"/>
      <c r="AL243" s="589"/>
      <c r="AM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N243" s="589"/>
      <c r="AO243" s="589"/>
      <c r="AP243" s="589"/>
      <c r="AQ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R243" s="589"/>
      <c r="AS243" s="589"/>
      <c r="AT243" s="589"/>
      <c r="AU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V243" s="589"/>
      <c r="AW243" s="589"/>
      <c r="AX243" s="589"/>
      <c r="AY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Z243" s="589"/>
      <c r="BA243" s="589"/>
      <c r="BB243" s="589"/>
      <c r="BC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D243" s="589"/>
      <c r="BE243" s="589"/>
      <c r="BF243" s="589"/>
      <c r="BG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H243" s="589"/>
      <c r="BI243" s="589"/>
      <c r="BJ243" s="589"/>
      <c r="BK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L243" s="589"/>
      <c r="BM243" s="589"/>
      <c r="BN243" s="589"/>
      <c r="BO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P243" s="589"/>
      <c r="BQ243" s="589"/>
      <c r="BR243" s="589"/>
      <c r="BS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T243" s="589"/>
      <c r="BU243" s="589"/>
      <c r="BV243" s="589"/>
      <c r="BW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X243" s="589"/>
      <c r="BY243" s="589"/>
      <c r="BZ243" s="589"/>
      <c r="CA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B243" s="589"/>
      <c r="CC243" s="589"/>
      <c r="CD243" s="589"/>
      <c r="CE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F243" s="589"/>
      <c r="CG243" s="589"/>
      <c r="CH243" s="589"/>
      <c r="CI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J243" s="589"/>
      <c r="CK243" s="589"/>
      <c r="CL243" s="589"/>
      <c r="CM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N243" s="589"/>
      <c r="CO243" s="589"/>
      <c r="CP243" s="589"/>
      <c r="CQ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R243" s="589"/>
      <c r="CS243" s="589"/>
      <c r="CT243" s="589"/>
      <c r="CU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V243" s="589"/>
      <c r="CW243" s="589"/>
      <c r="CX243" s="589"/>
      <c r="CY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Z243" s="589"/>
      <c r="DA243" s="589"/>
      <c r="DB243" s="589"/>
      <c r="DC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D243" s="589"/>
      <c r="DE243" s="589"/>
      <c r="DF243" s="589"/>
      <c r="DG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H243" s="589"/>
      <c r="DI243" s="589"/>
      <c r="DJ243" s="589"/>
      <c r="DK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L243" s="589"/>
      <c r="DM243" s="589"/>
      <c r="DN243" s="589"/>
      <c r="DO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P243" s="589"/>
      <c r="DQ243" s="589"/>
      <c r="DR243" s="589"/>
      <c r="DS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T243" s="589"/>
      <c r="DU243" s="589"/>
      <c r="DV243" s="589"/>
      <c r="DW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X243" s="589"/>
      <c r="DY243" s="589"/>
      <c r="DZ243" s="589"/>
      <c r="EA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B243" s="589"/>
      <c r="EC243" s="589"/>
      <c r="ED243" s="589"/>
      <c r="EE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F243" s="589"/>
      <c r="EG243" s="589"/>
      <c r="EH243" s="589"/>
      <c r="EI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J243" s="589"/>
      <c r="EK243" s="589"/>
      <c r="EL243" s="589"/>
      <c r="EM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N243" s="589"/>
      <c r="EO243" s="589"/>
      <c r="EP243" s="589"/>
      <c r="EQ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R243" s="589"/>
      <c r="ES243" s="589"/>
      <c r="ET243" s="589"/>
      <c r="EU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V243" s="589"/>
      <c r="EW243" s="589"/>
      <c r="EX243" s="589"/>
      <c r="EY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Z243" s="589"/>
      <c r="FA243" s="589"/>
      <c r="FB243" s="589"/>
      <c r="FC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D243" s="589"/>
      <c r="FE243" s="589"/>
      <c r="FF243" s="589"/>
      <c r="FG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H243" s="589"/>
      <c r="FI243" s="589"/>
      <c r="FJ243" s="589"/>
      <c r="FK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L243" s="589"/>
      <c r="FM243" s="589"/>
      <c r="FN243" s="589"/>
      <c r="FO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P243" s="589"/>
      <c r="FQ243" s="589"/>
      <c r="FR243" s="589"/>
      <c r="FS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T243" s="589"/>
      <c r="FU243" s="589"/>
      <c r="FV243" s="589"/>
      <c r="FW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X243" s="589"/>
      <c r="FY243" s="589"/>
      <c r="FZ243" s="589"/>
      <c r="GA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B243" s="589"/>
      <c r="GC243" s="589"/>
      <c r="GD243" s="589"/>
      <c r="GE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F243" s="589"/>
      <c r="GG243" s="589"/>
      <c r="GH243" s="589"/>
      <c r="GI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J243" s="589"/>
      <c r="GK243" s="589"/>
      <c r="GL243" s="589"/>
      <c r="GM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N243" s="589"/>
      <c r="GO243" s="589"/>
      <c r="GP243" s="589"/>
      <c r="GQ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R243" s="589"/>
      <c r="GS243" s="589"/>
      <c r="GT243" s="589"/>
      <c r="GU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V243" s="589"/>
      <c r="GW243" s="589"/>
      <c r="GX243" s="589"/>
      <c r="GY243" s="587">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Z243" s="589"/>
      <c r="HA243" s="589"/>
      <c r="HB243" s="589"/>
      <c r="IE243" s="579"/>
      <c r="IF243" s="579"/>
      <c r="IG243" s="579"/>
      <c r="IH243" s="579"/>
    </row>
    <row r="244" spans="1:242" s="164" customFormat="1" ht="19.8" hidden="1">
      <c r="A244" s="572"/>
      <c r="IE244" s="579"/>
      <c r="IF244" s="579"/>
      <c r="IG244" s="579"/>
      <c r="IH244" s="579"/>
    </row>
    <row r="245" spans="1:242" s="154" customFormat="1" ht="20.100000000000001" hidden="1" customHeight="1">
      <c r="A245" s="173" t="s">
        <v>669</v>
      </c>
      <c r="B245" s="173"/>
      <c r="C245" s="179"/>
      <c r="D245" s="180"/>
      <c r="E245" s="181"/>
      <c r="F245" s="180"/>
      <c r="G245" s="180"/>
      <c r="H245" s="181"/>
      <c r="I245" s="180"/>
      <c r="J245" s="180"/>
      <c r="K245" s="181"/>
      <c r="L245" s="180"/>
      <c r="M245" s="180"/>
      <c r="N245" s="181"/>
      <c r="O245" s="180"/>
      <c r="P245" s="180"/>
      <c r="Q245" s="181"/>
      <c r="R245" s="180"/>
      <c r="S245" s="180"/>
      <c r="T245" s="181"/>
      <c r="U245" s="180"/>
      <c r="V245" s="180"/>
      <c r="W245" s="181"/>
      <c r="X245" s="180"/>
      <c r="Y245" s="180"/>
      <c r="Z245" s="181"/>
      <c r="AA245" s="180"/>
      <c r="AB245" s="180"/>
      <c r="AC245" s="181"/>
      <c r="AD245" s="180"/>
      <c r="AE245" s="180"/>
      <c r="AF245" s="181"/>
      <c r="AG245" s="180"/>
      <c r="AH245" s="180"/>
      <c r="AI245" s="181"/>
      <c r="AJ245" s="180"/>
      <c r="AK245" s="180"/>
      <c r="AL245" s="181"/>
      <c r="AM245" s="180"/>
      <c r="AN245" s="180"/>
      <c r="IE245" s="571"/>
      <c r="IF245" s="571"/>
      <c r="IG245" s="571"/>
      <c r="IH245" s="571"/>
    </row>
    <row r="246" spans="1:242" ht="20.100000000000001" hidden="1" customHeight="1" thickBot="1">
      <c r="B246" s="590" t="s">
        <v>670</v>
      </c>
      <c r="C246" s="591">
        <v>1</v>
      </c>
      <c r="D246" s="592">
        <v>2</v>
      </c>
      <c r="E246" s="591">
        <v>3</v>
      </c>
      <c r="F246" s="592">
        <v>4</v>
      </c>
      <c r="G246" s="591">
        <v>5</v>
      </c>
      <c r="H246" s="592">
        <v>6</v>
      </c>
      <c r="I246" s="591">
        <v>7</v>
      </c>
      <c r="J246" s="592">
        <v>8</v>
      </c>
      <c r="K246" s="591">
        <v>9</v>
      </c>
      <c r="L246" s="592">
        <v>10</v>
      </c>
      <c r="M246" s="591">
        <v>11</v>
      </c>
      <c r="N246" s="592">
        <v>12</v>
      </c>
      <c r="O246" s="591">
        <v>13</v>
      </c>
      <c r="P246" s="592">
        <v>14</v>
      </c>
      <c r="Q246" s="591">
        <v>15</v>
      </c>
      <c r="R246" s="592">
        <v>16</v>
      </c>
      <c r="S246" s="591">
        <v>17</v>
      </c>
      <c r="T246" s="592">
        <v>18</v>
      </c>
      <c r="U246" s="591">
        <v>19</v>
      </c>
      <c r="V246" s="592">
        <v>20</v>
      </c>
      <c r="W246" s="591">
        <v>21</v>
      </c>
      <c r="X246" s="592">
        <v>22</v>
      </c>
      <c r="Y246" s="591">
        <v>23</v>
      </c>
      <c r="Z246" s="592">
        <v>24</v>
      </c>
      <c r="AA246" s="591">
        <v>25</v>
      </c>
      <c r="AB246" s="592">
        <v>26</v>
      </c>
      <c r="AC246" s="591">
        <v>27</v>
      </c>
      <c r="AD246" s="592">
        <v>28</v>
      </c>
      <c r="AE246" s="591">
        <v>29</v>
      </c>
      <c r="AF246" s="592">
        <v>30</v>
      </c>
      <c r="AG246" s="591">
        <v>31</v>
      </c>
      <c r="AH246" s="592">
        <v>32</v>
      </c>
      <c r="AI246" s="591">
        <v>33</v>
      </c>
      <c r="AJ246" s="592">
        <v>34</v>
      </c>
      <c r="AK246" s="591">
        <v>35</v>
      </c>
      <c r="AL246" s="592">
        <v>36</v>
      </c>
      <c r="AM246" s="591">
        <v>37</v>
      </c>
      <c r="AN246" s="592">
        <v>38</v>
      </c>
      <c r="AO246" s="591">
        <v>39</v>
      </c>
      <c r="AP246" s="592">
        <v>40</v>
      </c>
      <c r="AQ246" s="591">
        <v>41</v>
      </c>
      <c r="AR246" s="592">
        <v>42</v>
      </c>
    </row>
    <row r="247" spans="1:242" ht="20.100000000000001" hidden="1" customHeight="1" thickBot="1">
      <c r="B247" s="1048" t="s">
        <v>671</v>
      </c>
      <c r="C247" s="1049"/>
      <c r="D247" s="1050"/>
      <c r="E247" s="593">
        <v>1</v>
      </c>
      <c r="F247" s="594">
        <v>2</v>
      </c>
      <c r="G247" s="594">
        <v>3</v>
      </c>
      <c r="H247" s="594">
        <v>4</v>
      </c>
      <c r="I247" s="594">
        <v>5</v>
      </c>
      <c r="J247" s="594">
        <v>6</v>
      </c>
      <c r="K247" s="594">
        <v>7</v>
      </c>
      <c r="L247" s="594">
        <v>8</v>
      </c>
      <c r="M247" s="594">
        <v>9</v>
      </c>
      <c r="N247" s="594">
        <v>10</v>
      </c>
      <c r="O247" s="594">
        <v>11</v>
      </c>
      <c r="P247" s="594">
        <v>12</v>
      </c>
      <c r="Q247" s="594">
        <v>13</v>
      </c>
      <c r="R247" s="593">
        <v>14</v>
      </c>
      <c r="S247" s="594">
        <v>15</v>
      </c>
      <c r="T247" s="594">
        <v>16</v>
      </c>
      <c r="U247" s="594">
        <v>17</v>
      </c>
      <c r="V247" s="594">
        <v>18</v>
      </c>
      <c r="W247" s="594">
        <v>19</v>
      </c>
      <c r="X247" s="594">
        <v>20</v>
      </c>
      <c r="Y247" s="594">
        <v>21</v>
      </c>
      <c r="Z247" s="594">
        <v>22</v>
      </c>
      <c r="AA247" s="594">
        <v>23</v>
      </c>
      <c r="AB247" s="594">
        <v>24</v>
      </c>
      <c r="AC247" s="594">
        <v>25</v>
      </c>
      <c r="AD247" s="594">
        <v>26</v>
      </c>
      <c r="AE247" s="593">
        <v>27</v>
      </c>
      <c r="AF247" s="594">
        <v>28</v>
      </c>
      <c r="AG247" s="594">
        <v>29</v>
      </c>
      <c r="AH247" s="594">
        <v>30</v>
      </c>
      <c r="AI247" s="594">
        <v>31</v>
      </c>
      <c r="AJ247" s="594">
        <v>32</v>
      </c>
      <c r="AK247" s="594">
        <v>33</v>
      </c>
      <c r="AL247" s="594">
        <v>34</v>
      </c>
      <c r="AM247" s="594">
        <v>35</v>
      </c>
      <c r="AN247" s="594">
        <v>36</v>
      </c>
      <c r="AO247" s="594">
        <v>37</v>
      </c>
      <c r="AP247" s="594">
        <v>38</v>
      </c>
      <c r="AQ247" s="594">
        <v>39</v>
      </c>
      <c r="AR247" s="594">
        <v>40</v>
      </c>
      <c r="AS247" s="594">
        <v>41</v>
      </c>
      <c r="AT247" s="594">
        <v>42</v>
      </c>
      <c r="AU247" s="594">
        <v>43</v>
      </c>
      <c r="AV247" s="594">
        <v>44</v>
      </c>
      <c r="AW247" s="594">
        <v>45</v>
      </c>
      <c r="AX247" s="594">
        <v>46</v>
      </c>
      <c r="AY247" s="594">
        <v>47</v>
      </c>
      <c r="AZ247" s="594">
        <v>48</v>
      </c>
      <c r="BA247" s="594">
        <v>49</v>
      </c>
      <c r="BB247" s="595">
        <v>50</v>
      </c>
      <c r="BC247" s="592"/>
    </row>
    <row r="248" spans="1:242" ht="19.5" hidden="1" customHeight="1">
      <c r="B248" s="1051" t="s">
        <v>672</v>
      </c>
      <c r="C248" s="596" t="s">
        <v>673</v>
      </c>
      <c r="D248" s="597">
        <v>2024</v>
      </c>
      <c r="E248" s="598">
        <f ca="1">IFERROR(MATCH($B248&amp;E$247,OFFSET(INDIRECT("貼付け_"&amp;$D248&amp;"実績"),4,0,1,209),0)-1,"")</f>
        <v>33</v>
      </c>
      <c r="F248" s="598">
        <f t="shared" ref="F248:BB248" ca="1" si="88">IFERROR(MATCH($B248&amp;F$247,OFFSET(INDIRECT("貼付け_"&amp;$D248&amp;"実績"),4,0,1,209),0)-1,"")</f>
        <v>37</v>
      </c>
      <c r="G248" s="598">
        <f t="shared" ca="1" si="88"/>
        <v>41</v>
      </c>
      <c r="H248" s="598">
        <f t="shared" ca="1" si="88"/>
        <v>45</v>
      </c>
      <c r="I248" s="598">
        <f t="shared" ca="1" si="88"/>
        <v>49</v>
      </c>
      <c r="J248" s="598">
        <f t="shared" ca="1" si="88"/>
        <v>53</v>
      </c>
      <c r="K248" s="598">
        <f t="shared" ca="1" si="88"/>
        <v>57</v>
      </c>
      <c r="L248" s="598">
        <f t="shared" ca="1" si="88"/>
        <v>61</v>
      </c>
      <c r="M248" s="598">
        <f t="shared" ca="1" si="88"/>
        <v>65</v>
      </c>
      <c r="N248" s="598">
        <f t="shared" ca="1" si="88"/>
        <v>69</v>
      </c>
      <c r="O248" s="598" t="str">
        <f ca="1">IFERROR(MATCH($B248&amp;O$247,OFFSET(INDIRECT("貼付け_"&amp;$D248&amp;"実績"),4,0,1,209),0)-1,"")</f>
        <v/>
      </c>
      <c r="P248" s="598" t="str">
        <f t="shared" ca="1" si="88"/>
        <v/>
      </c>
      <c r="Q248" s="598" t="str">
        <f t="shared" ca="1" si="88"/>
        <v/>
      </c>
      <c r="R248" s="598" t="str">
        <f t="shared" ca="1" si="88"/>
        <v/>
      </c>
      <c r="S248" s="598" t="str">
        <f t="shared" ca="1" si="88"/>
        <v/>
      </c>
      <c r="T248" s="598" t="str">
        <f t="shared" ca="1" si="88"/>
        <v/>
      </c>
      <c r="U248" s="598" t="str">
        <f t="shared" ca="1" si="88"/>
        <v/>
      </c>
      <c r="V248" s="598" t="str">
        <f t="shared" ca="1" si="88"/>
        <v/>
      </c>
      <c r="W248" s="598" t="str">
        <f t="shared" ca="1" si="88"/>
        <v/>
      </c>
      <c r="X248" s="598" t="str">
        <f t="shared" ca="1" si="88"/>
        <v/>
      </c>
      <c r="Y248" s="598" t="str">
        <f t="shared" ca="1" si="88"/>
        <v/>
      </c>
      <c r="Z248" s="598" t="str">
        <f t="shared" ca="1" si="88"/>
        <v/>
      </c>
      <c r="AA248" s="598" t="str">
        <f t="shared" ca="1" si="88"/>
        <v/>
      </c>
      <c r="AB248" s="598" t="str">
        <f t="shared" ca="1" si="88"/>
        <v/>
      </c>
      <c r="AC248" s="598" t="str">
        <f t="shared" ca="1" si="88"/>
        <v/>
      </c>
      <c r="AD248" s="598" t="str">
        <f t="shared" ca="1" si="88"/>
        <v/>
      </c>
      <c r="AE248" s="598" t="str">
        <f t="shared" ca="1" si="88"/>
        <v/>
      </c>
      <c r="AF248" s="598" t="str">
        <f t="shared" ca="1" si="88"/>
        <v/>
      </c>
      <c r="AG248" s="598" t="str">
        <f t="shared" ca="1" si="88"/>
        <v/>
      </c>
      <c r="AH248" s="598" t="str">
        <f t="shared" ca="1" si="88"/>
        <v/>
      </c>
      <c r="AI248" s="598" t="str">
        <f t="shared" ca="1" si="88"/>
        <v/>
      </c>
      <c r="AJ248" s="598" t="str">
        <f t="shared" ca="1" si="88"/>
        <v/>
      </c>
      <c r="AK248" s="598" t="str">
        <f t="shared" ca="1" si="88"/>
        <v/>
      </c>
      <c r="AL248" s="598" t="str">
        <f t="shared" ca="1" si="88"/>
        <v/>
      </c>
      <c r="AM248" s="598" t="str">
        <f t="shared" ca="1" si="88"/>
        <v/>
      </c>
      <c r="AN248" s="598" t="str">
        <f t="shared" ca="1" si="88"/>
        <v/>
      </c>
      <c r="AO248" s="598" t="str">
        <f t="shared" ca="1" si="88"/>
        <v/>
      </c>
      <c r="AP248" s="598" t="str">
        <f t="shared" ca="1" si="88"/>
        <v/>
      </c>
      <c r="AQ248" s="598" t="str">
        <f t="shared" ca="1" si="88"/>
        <v/>
      </c>
      <c r="AR248" s="598" t="str">
        <f t="shared" ca="1" si="88"/>
        <v/>
      </c>
      <c r="AS248" s="598" t="str">
        <f t="shared" ca="1" si="88"/>
        <v/>
      </c>
      <c r="AT248" s="598" t="str">
        <f t="shared" ca="1" si="88"/>
        <v/>
      </c>
      <c r="AU248" s="598" t="str">
        <f t="shared" ca="1" si="88"/>
        <v/>
      </c>
      <c r="AV248" s="598" t="str">
        <f t="shared" ca="1" si="88"/>
        <v/>
      </c>
      <c r="AW248" s="598" t="str">
        <f t="shared" ca="1" si="88"/>
        <v/>
      </c>
      <c r="AX248" s="598" t="str">
        <f t="shared" ca="1" si="88"/>
        <v/>
      </c>
      <c r="AY248" s="598" t="str">
        <f t="shared" ca="1" si="88"/>
        <v/>
      </c>
      <c r="AZ248" s="598" t="str">
        <f t="shared" ca="1" si="88"/>
        <v/>
      </c>
      <c r="BA248" s="598" t="str">
        <f t="shared" ca="1" si="88"/>
        <v/>
      </c>
      <c r="BB248" s="597" t="str">
        <f t="shared" ca="1" si="88"/>
        <v/>
      </c>
      <c r="BC248" s="156" t="str">
        <f>D248&amp;"年度"</f>
        <v>2024年度</v>
      </c>
      <c r="BD248" s="156">
        <v>1</v>
      </c>
      <c r="BE248" s="156">
        <v>2</v>
      </c>
      <c r="BF248" s="156">
        <v>3</v>
      </c>
      <c r="BG248" s="156">
        <v>4</v>
      </c>
      <c r="BH248" s="156">
        <v>5</v>
      </c>
      <c r="BI248" s="156">
        <v>6</v>
      </c>
      <c r="BJ248" s="156">
        <v>7</v>
      </c>
      <c r="BK248" s="156">
        <v>8</v>
      </c>
      <c r="BL248" s="156">
        <v>9</v>
      </c>
      <c r="BM248" s="156">
        <v>10</v>
      </c>
      <c r="BN248" s="156">
        <v>11</v>
      </c>
      <c r="BO248" s="156">
        <v>12</v>
      </c>
      <c r="BP248" s="156">
        <v>13</v>
      </c>
      <c r="BQ248" s="156">
        <v>14</v>
      </c>
      <c r="BR248" s="156">
        <v>15</v>
      </c>
      <c r="BS248" s="156">
        <v>16</v>
      </c>
      <c r="BT248" s="156">
        <v>17</v>
      </c>
      <c r="BU248" s="156">
        <v>18</v>
      </c>
      <c r="BV248" s="156">
        <v>19</v>
      </c>
      <c r="BW248" s="156">
        <v>20</v>
      </c>
      <c r="BX248" s="156">
        <v>21</v>
      </c>
      <c r="BY248" s="156">
        <v>22</v>
      </c>
      <c r="BZ248" s="156">
        <v>23</v>
      </c>
      <c r="CA248" s="156">
        <v>24</v>
      </c>
      <c r="CB248" s="156">
        <v>25</v>
      </c>
      <c r="CC248" s="156">
        <v>26</v>
      </c>
      <c r="CD248" s="156">
        <v>27</v>
      </c>
      <c r="CE248" s="156">
        <v>28</v>
      </c>
      <c r="CF248" s="156">
        <v>29</v>
      </c>
      <c r="CG248" s="156">
        <v>30</v>
      </c>
      <c r="CH248" s="156">
        <v>31</v>
      </c>
      <c r="CI248" s="156">
        <v>32</v>
      </c>
      <c r="CJ248" s="156">
        <v>33</v>
      </c>
      <c r="CK248" s="156">
        <v>34</v>
      </c>
      <c r="CL248" s="156">
        <v>35</v>
      </c>
      <c r="CM248" s="156">
        <v>36</v>
      </c>
      <c r="CN248" s="156">
        <v>37</v>
      </c>
      <c r="CO248" s="156">
        <v>38</v>
      </c>
      <c r="CP248" s="156">
        <v>39</v>
      </c>
      <c r="CQ248" s="156">
        <v>40</v>
      </c>
      <c r="CR248" s="156">
        <v>41</v>
      </c>
      <c r="CS248" s="156">
        <v>42</v>
      </c>
      <c r="CT248" s="156">
        <v>43</v>
      </c>
      <c r="CU248" s="156">
        <v>44</v>
      </c>
      <c r="CV248" s="156">
        <v>45</v>
      </c>
      <c r="CW248" s="156">
        <v>46</v>
      </c>
      <c r="CX248" s="156">
        <v>47</v>
      </c>
      <c r="CY248" s="156">
        <v>48</v>
      </c>
      <c r="CZ248" s="156">
        <v>49</v>
      </c>
      <c r="DA248" s="156">
        <v>50</v>
      </c>
    </row>
    <row r="249" spans="1:242" s="569" customFormat="1" ht="18.75" hidden="1" customHeight="1">
      <c r="B249" s="1052"/>
      <c r="C249" s="599" t="str">
        <f>D248-1&amp;"/"&amp;D248</f>
        <v>2023/2024</v>
      </c>
      <c r="D249" s="600" t="str">
        <f>""</f>
        <v/>
      </c>
      <c r="E249" s="601" t="str">
        <f>""</f>
        <v/>
      </c>
      <c r="F249" s="601" t="str">
        <f>""</f>
        <v/>
      </c>
      <c r="G249" s="601" t="str">
        <f>""</f>
        <v/>
      </c>
      <c r="H249" s="601" t="str">
        <f>""</f>
        <v/>
      </c>
      <c r="I249" s="601" t="str">
        <f>""</f>
        <v/>
      </c>
      <c r="J249" s="601" t="str">
        <f>""</f>
        <v/>
      </c>
      <c r="K249" s="601" t="str">
        <f>""</f>
        <v/>
      </c>
      <c r="L249" s="601" t="str">
        <f>""</f>
        <v/>
      </c>
      <c r="M249" s="601" t="str">
        <f>""</f>
        <v/>
      </c>
      <c r="N249" s="601" t="str">
        <f>""</f>
        <v/>
      </c>
      <c r="O249" s="601" t="str">
        <f>""</f>
        <v/>
      </c>
      <c r="P249" s="601" t="str">
        <f>""</f>
        <v/>
      </c>
      <c r="Q249" s="601" t="str">
        <f>""</f>
        <v/>
      </c>
      <c r="R249" s="601" t="str">
        <f>""</f>
        <v/>
      </c>
      <c r="S249" s="601" t="str">
        <f>""</f>
        <v/>
      </c>
      <c r="T249" s="601" t="str">
        <f>""</f>
        <v/>
      </c>
      <c r="U249" s="601" t="str">
        <f>""</f>
        <v/>
      </c>
      <c r="V249" s="601" t="str">
        <f>""</f>
        <v/>
      </c>
      <c r="W249" s="601" t="str">
        <f>""</f>
        <v/>
      </c>
      <c r="X249" s="601" t="str">
        <f>""</f>
        <v/>
      </c>
      <c r="Y249" s="601" t="str">
        <f>""</f>
        <v/>
      </c>
      <c r="Z249" s="601" t="str">
        <f>""</f>
        <v/>
      </c>
      <c r="AA249" s="601" t="str">
        <f>""</f>
        <v/>
      </c>
      <c r="AB249" s="601" t="str">
        <f>""</f>
        <v/>
      </c>
      <c r="AC249" s="601" t="str">
        <f>""</f>
        <v/>
      </c>
      <c r="AD249" s="601" t="str">
        <f>""</f>
        <v/>
      </c>
      <c r="AE249" s="601" t="str">
        <f>""</f>
        <v/>
      </c>
      <c r="AF249" s="601" t="str">
        <f>""</f>
        <v/>
      </c>
      <c r="AG249" s="601" t="str">
        <f>""</f>
        <v/>
      </c>
      <c r="AH249" s="601" t="str">
        <f>""</f>
        <v/>
      </c>
      <c r="AI249" s="601" t="str">
        <f>""</f>
        <v/>
      </c>
      <c r="AJ249" s="601" t="str">
        <f>""</f>
        <v/>
      </c>
      <c r="AK249" s="601" t="str">
        <f>""</f>
        <v/>
      </c>
      <c r="AL249" s="601" t="str">
        <f>""</f>
        <v/>
      </c>
      <c r="AM249" s="601" t="str">
        <f>""</f>
        <v/>
      </c>
      <c r="AN249" s="601" t="str">
        <f>""</f>
        <v/>
      </c>
      <c r="AO249" s="601" t="str">
        <f>""</f>
        <v/>
      </c>
      <c r="AP249" s="601" t="str">
        <f>""</f>
        <v/>
      </c>
      <c r="AQ249" s="601" t="str">
        <f>""</f>
        <v/>
      </c>
      <c r="AR249" s="601" t="str">
        <f>""</f>
        <v/>
      </c>
      <c r="AS249" s="601" t="str">
        <f>""</f>
        <v/>
      </c>
      <c r="AT249" s="601" t="str">
        <f>""</f>
        <v/>
      </c>
      <c r="AU249" s="601" t="str">
        <f>""</f>
        <v/>
      </c>
      <c r="AV249" s="601" t="str">
        <f>""</f>
        <v/>
      </c>
      <c r="AW249" s="601" t="str">
        <f>""</f>
        <v/>
      </c>
      <c r="AX249" s="601" t="str">
        <f>""</f>
        <v/>
      </c>
      <c r="AY249" s="601" t="str">
        <f>""</f>
        <v/>
      </c>
      <c r="AZ249" s="601" t="str">
        <f>""</f>
        <v/>
      </c>
      <c r="BA249" s="602" t="str">
        <f>""</f>
        <v/>
      </c>
      <c r="BB249" s="600" t="str">
        <f>""</f>
        <v/>
      </c>
      <c r="BC249" s="601" t="str">
        <f>""</f>
        <v/>
      </c>
      <c r="BD249" s="601" t="str">
        <f t="shared" ref="BD249:CI249" ca="1" si="89">IFERROR(OFFSET(貼付け_2024実績,5,E248+1),"")&amp;""</f>
        <v/>
      </c>
      <c r="BE249" s="601" t="str">
        <f t="shared" ca="1" si="89"/>
        <v/>
      </c>
      <c r="BF249" s="601" t="str">
        <f t="shared" ca="1" si="89"/>
        <v/>
      </c>
      <c r="BG249" s="601" t="str">
        <f t="shared" ca="1" si="89"/>
        <v/>
      </c>
      <c r="BH249" s="601" t="str">
        <f t="shared" ca="1" si="89"/>
        <v/>
      </c>
      <c r="BI249" s="601" t="str">
        <f t="shared" ca="1" si="89"/>
        <v/>
      </c>
      <c r="BJ249" s="601" t="str">
        <f t="shared" ca="1" si="89"/>
        <v/>
      </c>
      <c r="BK249" s="601" t="str">
        <f t="shared" ca="1" si="89"/>
        <v/>
      </c>
      <c r="BL249" s="601" t="str">
        <f t="shared" ca="1" si="89"/>
        <v/>
      </c>
      <c r="BM249" s="601" t="str">
        <f t="shared" ca="1" si="89"/>
        <v/>
      </c>
      <c r="BN249" s="601" t="str">
        <f ca="1">IFERROR(OFFSET(貼付け_2024実績,5,O248+1),"")&amp;""</f>
        <v/>
      </c>
      <c r="BO249" s="601" t="str">
        <f t="shared" ca="1" si="89"/>
        <v/>
      </c>
      <c r="BP249" s="601" t="str">
        <f t="shared" ca="1" si="89"/>
        <v/>
      </c>
      <c r="BQ249" s="601" t="str">
        <f t="shared" ca="1" si="89"/>
        <v/>
      </c>
      <c r="BR249" s="601" t="str">
        <f t="shared" ca="1" si="89"/>
        <v/>
      </c>
      <c r="BS249" s="601" t="str">
        <f t="shared" ca="1" si="89"/>
        <v/>
      </c>
      <c r="BT249" s="601" t="str">
        <f t="shared" ca="1" si="89"/>
        <v/>
      </c>
      <c r="BU249" s="601" t="str">
        <f t="shared" ca="1" si="89"/>
        <v/>
      </c>
      <c r="BV249" s="601" t="str">
        <f t="shared" ca="1" si="89"/>
        <v/>
      </c>
      <c r="BW249" s="601" t="str">
        <f t="shared" ca="1" si="89"/>
        <v/>
      </c>
      <c r="BX249" s="601" t="str">
        <f t="shared" ca="1" si="89"/>
        <v/>
      </c>
      <c r="BY249" s="601" t="str">
        <f t="shared" ca="1" si="89"/>
        <v/>
      </c>
      <c r="BZ249" s="601" t="str">
        <f t="shared" ca="1" si="89"/>
        <v/>
      </c>
      <c r="CA249" s="601" t="str">
        <f t="shared" ca="1" si="89"/>
        <v/>
      </c>
      <c r="CB249" s="601" t="str">
        <f t="shared" ca="1" si="89"/>
        <v/>
      </c>
      <c r="CC249" s="601" t="str">
        <f t="shared" ca="1" si="89"/>
        <v/>
      </c>
      <c r="CD249" s="601" t="str">
        <f t="shared" ca="1" si="89"/>
        <v/>
      </c>
      <c r="CE249" s="601" t="str">
        <f t="shared" ca="1" si="89"/>
        <v/>
      </c>
      <c r="CF249" s="601" t="str">
        <f t="shared" ca="1" si="89"/>
        <v/>
      </c>
      <c r="CG249" s="601" t="str">
        <f t="shared" ca="1" si="89"/>
        <v/>
      </c>
      <c r="CH249" s="601" t="str">
        <f t="shared" ca="1" si="89"/>
        <v/>
      </c>
      <c r="CI249" s="601" t="str">
        <f t="shared" ca="1" si="89"/>
        <v/>
      </c>
      <c r="CJ249" s="601" t="str">
        <f t="shared" ref="CJ249:DA249" ca="1" si="90">IFERROR(OFFSET(貼付け_2024実績,5,AK248+1),"")&amp;""</f>
        <v/>
      </c>
      <c r="CK249" s="601" t="str">
        <f t="shared" ca="1" si="90"/>
        <v/>
      </c>
      <c r="CL249" s="601" t="str">
        <f t="shared" ca="1" si="90"/>
        <v/>
      </c>
      <c r="CM249" s="601" t="str">
        <f t="shared" ca="1" si="90"/>
        <v/>
      </c>
      <c r="CN249" s="601" t="str">
        <f t="shared" ca="1" si="90"/>
        <v/>
      </c>
      <c r="CO249" s="601" t="str">
        <f t="shared" ca="1" si="90"/>
        <v/>
      </c>
      <c r="CP249" s="601" t="str">
        <f t="shared" ca="1" si="90"/>
        <v/>
      </c>
      <c r="CQ249" s="601" t="str">
        <f t="shared" ca="1" si="90"/>
        <v/>
      </c>
      <c r="CR249" s="601" t="str">
        <f t="shared" ca="1" si="90"/>
        <v/>
      </c>
      <c r="CS249" s="601" t="str">
        <f t="shared" ca="1" si="90"/>
        <v/>
      </c>
      <c r="CT249" s="601" t="str">
        <f t="shared" ca="1" si="90"/>
        <v/>
      </c>
      <c r="CU249" s="601" t="str">
        <f t="shared" ca="1" si="90"/>
        <v/>
      </c>
      <c r="CV249" s="601" t="str">
        <f t="shared" ca="1" si="90"/>
        <v/>
      </c>
      <c r="CW249" s="601" t="str">
        <f t="shared" ca="1" si="90"/>
        <v/>
      </c>
      <c r="CX249" s="601" t="str">
        <f t="shared" ca="1" si="90"/>
        <v/>
      </c>
      <c r="CY249" s="601" t="str">
        <f t="shared" ca="1" si="90"/>
        <v/>
      </c>
      <c r="CZ249" s="601" t="str">
        <f t="shared" ca="1" si="90"/>
        <v/>
      </c>
      <c r="DA249" s="601" t="str">
        <f t="shared" ca="1" si="90"/>
        <v/>
      </c>
      <c r="IE249" s="603"/>
      <c r="IF249" s="603"/>
      <c r="IG249" s="603"/>
      <c r="IH249" s="603"/>
    </row>
    <row r="250" spans="1:242" s="569" customFormat="1" ht="19.5" hidden="1" customHeight="1">
      <c r="B250" s="1052"/>
      <c r="C250" s="599" t="str">
        <f>D248-1&amp;"&amp;"&amp;D248</f>
        <v>2023&amp;2024</v>
      </c>
      <c r="D250" s="600" t="str">
        <f>""</f>
        <v/>
      </c>
      <c r="E250" s="601" t="str">
        <f t="array" aca="1" ref="E250" ca="1">IFERROR(INDEX($E249:$DA249,MATCH(0,COUNTIF($D250:D250,$E249:$DA249),0)),"")</f>
        <v/>
      </c>
      <c r="F250" s="601" t="str">
        <f t="array" aca="1" ref="F250" ca="1">IFERROR(INDEX($E249:$DA249,MATCH(0,COUNTIF($D250:E250,$E249:$DA249),0)),"")</f>
        <v/>
      </c>
      <c r="G250" s="601" t="str">
        <f t="array" aca="1" ref="G250" ca="1">IFERROR(INDEX($E249:$DA249,MATCH(0,COUNTIF($D250:F250,$E249:$DA249),0)),"")</f>
        <v/>
      </c>
      <c r="H250" s="601" t="str">
        <f t="array" aca="1" ref="H250" ca="1">IFERROR(INDEX($E249:$DA249,MATCH(0,COUNTIF($D250:G250,$E249:$DA249),0)),"")</f>
        <v/>
      </c>
      <c r="I250" s="601" t="str">
        <f t="array" aca="1" ref="I250" ca="1">IFERROR(INDEX($E249:$DA249,MATCH(0,COUNTIF($D250:H250,$E249:$DA249),0)),"")</f>
        <v/>
      </c>
      <c r="J250" s="601" t="str">
        <f t="array" aca="1" ref="J250" ca="1">IFERROR(INDEX($E249:$DA249,MATCH(0,COUNTIF($D250:I250,$E249:$DA249),0)),"")</f>
        <v/>
      </c>
      <c r="K250" s="601" t="str">
        <f t="array" aca="1" ref="K250" ca="1">IFERROR(INDEX($E249:$DA249,MATCH(0,COUNTIF($D250:J250,$E249:$DA249),0)),"")</f>
        <v/>
      </c>
      <c r="L250" s="601" t="str">
        <f t="array" aca="1" ref="L250" ca="1">IFERROR(INDEX($E249:$DA249,MATCH(0,COUNTIF($D250:K250,$E249:$DA249),0)),"")</f>
        <v/>
      </c>
      <c r="M250" s="601" t="str">
        <f t="array" aca="1" ref="M250" ca="1">IFERROR(INDEX($E249:$DA249,MATCH(0,COUNTIF($D250:L250,$E249:$DA249),0)),"")</f>
        <v/>
      </c>
      <c r="N250" s="601" t="str">
        <f t="array" aca="1" ref="N250" ca="1">IFERROR(INDEX($E249:$DA249,MATCH(0,COUNTIF($D250:M250,$E249:$DA249),0)),"")</f>
        <v/>
      </c>
      <c r="O250" s="601" t="str">
        <f t="array" aca="1" ref="O250" ca="1">IFERROR(INDEX($E249:$DA249,MATCH(0,COUNTIF($D250:N250,$E249:$DA249),0)),"")</f>
        <v/>
      </c>
      <c r="P250" s="601" t="str">
        <f t="array" aca="1" ref="P250" ca="1">IFERROR(INDEX($E249:$DA249,MATCH(0,COUNTIF($D250:O250,$E249:$DA249),0)),"")</f>
        <v/>
      </c>
      <c r="Q250" s="601" t="str">
        <f t="array" aca="1" ref="Q250" ca="1">IFERROR(INDEX($E249:$DA249,MATCH(0,COUNTIF($D250:P250,$E249:$DA249),0)),"")</f>
        <v/>
      </c>
      <c r="R250" s="601" t="str">
        <f t="array" aca="1" ref="R250" ca="1">IFERROR(INDEX($E249:$DA249,MATCH(0,COUNTIF($D250:Q250,$E249:$DA249),0)),"")</f>
        <v/>
      </c>
      <c r="S250" s="601" t="str">
        <f t="array" aca="1" ref="S250" ca="1">IFERROR(INDEX($E249:$DA249,MATCH(0,COUNTIF($D250:R250,$E249:$DA249),0)),"")</f>
        <v/>
      </c>
      <c r="T250" s="601" t="str">
        <f t="array" aca="1" ref="T250" ca="1">IFERROR(INDEX($E249:$DA249,MATCH(0,COUNTIF($D250:S250,$E249:$DA249),0)),"")</f>
        <v/>
      </c>
      <c r="U250" s="601" t="str">
        <f t="array" aca="1" ref="U250" ca="1">IFERROR(INDEX($E249:$DA249,MATCH(0,COUNTIF($D250:T250,$E249:$DA249),0)),"")</f>
        <v/>
      </c>
      <c r="V250" s="601" t="str">
        <f t="array" aca="1" ref="V250" ca="1">IFERROR(INDEX($E249:$DA249,MATCH(0,COUNTIF($D250:U250,$E249:$DA249),0)),"")</f>
        <v/>
      </c>
      <c r="W250" s="601" t="str">
        <f t="array" aca="1" ref="W250" ca="1">IFERROR(INDEX($E249:$DA249,MATCH(0,COUNTIF($D250:V250,$E249:$DA249),0)),"")</f>
        <v/>
      </c>
      <c r="X250" s="601" t="str">
        <f t="array" aca="1" ref="X250" ca="1">IFERROR(INDEX($E249:$DA249,MATCH(0,COUNTIF($D250:W250,$E249:$DA249),0)),"")</f>
        <v/>
      </c>
      <c r="Y250" s="601" t="str">
        <f t="array" aca="1" ref="Y250" ca="1">IFERROR(INDEX($E249:$DA249,MATCH(0,COUNTIF($D250:X250,$E249:$DA249),0)),"")</f>
        <v/>
      </c>
      <c r="Z250" s="601" t="str">
        <f t="array" aca="1" ref="Z250" ca="1">IFERROR(INDEX($E249:$DA249,MATCH(0,COUNTIF($D250:Y250,$E249:$DA249),0)),"")</f>
        <v/>
      </c>
      <c r="AA250" s="601" t="str">
        <f t="array" aca="1" ref="AA250" ca="1">IFERROR(INDEX($E249:$DA249,MATCH(0,COUNTIF($D250:Z250,$E249:$DA249),0)),"")</f>
        <v/>
      </c>
      <c r="AB250" s="601" t="str">
        <f t="array" aca="1" ref="AB250" ca="1">IFERROR(INDEX($E249:$DA249,MATCH(0,COUNTIF($D250:AA250,$E249:$DA249),0)),"")</f>
        <v/>
      </c>
      <c r="AC250" s="601" t="str">
        <f t="array" aca="1" ref="AC250" ca="1">IFERROR(INDEX($E249:$DA249,MATCH(0,COUNTIF($D250:AB250,$E249:$DA249),0)),"")</f>
        <v/>
      </c>
      <c r="AD250" s="601" t="str">
        <f t="array" aca="1" ref="AD250" ca="1">IFERROR(INDEX($E249:$DA249,MATCH(0,COUNTIF($D250:AC250,$E249:$DA249),0)),"")</f>
        <v/>
      </c>
      <c r="AE250" s="601" t="str">
        <f t="array" aca="1" ref="AE250" ca="1">IFERROR(INDEX($E249:$DA249,MATCH(0,COUNTIF($D250:AD250,$E249:$DA249),0)),"")</f>
        <v/>
      </c>
      <c r="AF250" s="601" t="str">
        <f t="array" aca="1" ref="AF250" ca="1">IFERROR(INDEX($E249:$DA249,MATCH(0,COUNTIF($D250:AE250,$E249:$DA249),0)),"")</f>
        <v/>
      </c>
      <c r="AG250" s="601" t="str">
        <f t="array" aca="1" ref="AG250" ca="1">IFERROR(INDEX($E249:$DA249,MATCH(0,COUNTIF($D250:AF250,$E249:$DA249),0)),"")</f>
        <v/>
      </c>
      <c r="AH250" s="601" t="str">
        <f t="array" aca="1" ref="AH250" ca="1">IFERROR(INDEX($E249:$DA249,MATCH(0,COUNTIF($D250:AG250,$E249:$DA249),0)),"")</f>
        <v/>
      </c>
      <c r="AI250" s="601" t="str">
        <f t="array" aca="1" ref="AI250" ca="1">IFERROR(INDEX($E249:$DA249,MATCH(0,COUNTIF($D250:AH250,$E249:$DA249),0)),"")</f>
        <v/>
      </c>
      <c r="AJ250" s="601" t="str">
        <f t="array" aca="1" ref="AJ250" ca="1">IFERROR(INDEX($E249:$DA249,MATCH(0,COUNTIF($D250:AI250,$E249:$DA249),0)),"")</f>
        <v/>
      </c>
      <c r="AK250" s="601" t="str">
        <f t="array" aca="1" ref="AK250" ca="1">IFERROR(INDEX($E249:$DA249,MATCH(0,COUNTIF($D250:AJ250,$E249:$DA249),0)),"")</f>
        <v/>
      </c>
      <c r="AL250" s="601" t="str">
        <f t="array" aca="1" ref="AL250" ca="1">IFERROR(INDEX($E249:$DA249,MATCH(0,COUNTIF($D250:AK250,$E249:$DA249),0)),"")</f>
        <v/>
      </c>
      <c r="AM250" s="601" t="str">
        <f t="array" aca="1" ref="AM250" ca="1">IFERROR(INDEX($E249:$DA249,MATCH(0,COUNTIF($D250:AL250,$E249:$DA249),0)),"")</f>
        <v/>
      </c>
      <c r="AN250" s="601" t="str">
        <f t="array" aca="1" ref="AN250" ca="1">IFERROR(INDEX($E249:$DA249,MATCH(0,COUNTIF($D250:AM250,$E249:$DA249),0)),"")</f>
        <v/>
      </c>
      <c r="AO250" s="601" t="str">
        <f t="array" aca="1" ref="AO250" ca="1">IFERROR(INDEX($E249:$DA249,MATCH(0,COUNTIF($D250:AN250,$E249:$DA249),0)),"")</f>
        <v/>
      </c>
      <c r="AP250" s="601" t="str">
        <f t="array" aca="1" ref="AP250" ca="1">IFERROR(INDEX($E249:$DA249,MATCH(0,COUNTIF($D250:AO250,$E249:$DA249),0)),"")</f>
        <v/>
      </c>
      <c r="AQ250" s="601" t="str">
        <f t="array" aca="1" ref="AQ250" ca="1">IFERROR(INDEX($E249:$DA249,MATCH(0,COUNTIF($D250:AP250,$E249:$DA249),0)),"")</f>
        <v/>
      </c>
      <c r="AR250" s="601" t="str">
        <f t="array" aca="1" ref="AR250" ca="1">IFERROR(INDEX($E249:$DA249,MATCH(0,COUNTIF($D250:AQ250,$E249:$DA249),0)),"")</f>
        <v/>
      </c>
      <c r="AS250" s="601" t="str">
        <f t="array" aca="1" ref="AS250" ca="1">IFERROR(INDEX($E249:$DA249,MATCH(0,COUNTIF($D250:AR250,$E249:$DA249),0)),"")</f>
        <v/>
      </c>
      <c r="AT250" s="601" t="str">
        <f t="array" aca="1" ref="AT250" ca="1">IFERROR(INDEX($E249:$DA249,MATCH(0,COUNTIF($D250:AS250,$E249:$DA249),0)),"")</f>
        <v/>
      </c>
      <c r="AU250" s="601" t="str">
        <f t="array" aca="1" ref="AU250" ca="1">IFERROR(INDEX($E249:$DA249,MATCH(0,COUNTIF($D250:AT250,$E249:$DA249),0)),"")</f>
        <v/>
      </c>
      <c r="AV250" s="601" t="str">
        <f t="array" aca="1" ref="AV250" ca="1">IFERROR(INDEX($E249:$DA249,MATCH(0,COUNTIF($D250:AU250,$E249:$DA249),0)),"")</f>
        <v/>
      </c>
      <c r="AW250" s="601" t="str">
        <f t="array" aca="1" ref="AW250" ca="1">IFERROR(INDEX($E249:$DA249,MATCH(0,COUNTIF($D250:AV250,$E249:$DA249),0)),"")</f>
        <v/>
      </c>
      <c r="AX250" s="601" t="str">
        <f t="array" aca="1" ref="AX250" ca="1">IFERROR(INDEX($E249:$DA249,MATCH(0,COUNTIF($D250:AW250,$E249:$DA249),0)),"")</f>
        <v/>
      </c>
      <c r="AY250" s="601" t="str">
        <f t="array" aca="1" ref="AY250" ca="1">IFERROR(INDEX($E249:$DA249,MATCH(0,COUNTIF($D250:AX250,$E249:$DA249),0)),"")</f>
        <v/>
      </c>
      <c r="AZ250" s="601" t="str">
        <f t="array" aca="1" ref="AZ250" ca="1">IFERROR(INDEX($E249:$DA249,MATCH(0,COUNTIF($D250:AY250,$E249:$DA249),0)),"")</f>
        <v/>
      </c>
      <c r="BA250" s="602" t="str">
        <f t="array" aca="1" ref="BA250" ca="1">IFERROR(INDEX($E249:$DA249,MATCH(0,COUNTIF($D250:AZ250,$E249:$DA249),0)),"")</f>
        <v/>
      </c>
      <c r="BB250" s="600" t="str">
        <f t="array" aca="1" ref="BB250" ca="1">IFERROR(INDEX($E249:$DA249,MATCH(0,COUNTIF($D250:BA250,$E249:$DA249),0)),"")</f>
        <v/>
      </c>
      <c r="BC250" s="604"/>
      <c r="BD250" s="604" t="str">
        <f>""</f>
        <v/>
      </c>
      <c r="BE250" s="604"/>
      <c r="BF250" s="604"/>
      <c r="BG250" s="604"/>
      <c r="BH250" s="604"/>
      <c r="BI250" s="604"/>
      <c r="BJ250" s="604"/>
      <c r="BK250" s="604"/>
      <c r="BL250" s="604"/>
      <c r="BM250" s="604"/>
      <c r="BN250" s="604"/>
      <c r="BO250" s="604"/>
      <c r="BP250" s="604"/>
      <c r="BQ250" s="604"/>
      <c r="BR250" s="604"/>
      <c r="BS250" s="604"/>
      <c r="BT250" s="604"/>
      <c r="BU250" s="604"/>
      <c r="BV250" s="604"/>
      <c r="BW250" s="604"/>
      <c r="IE250" s="603"/>
      <c r="IF250" s="603"/>
      <c r="IG250" s="603"/>
      <c r="IH250" s="603"/>
    </row>
    <row r="251" spans="1:242" s="569" customFormat="1" hidden="1">
      <c r="B251" s="1052"/>
      <c r="C251" s="599" t="s">
        <v>674</v>
      </c>
      <c r="D251" s="600" t="str">
        <f>""</f>
        <v/>
      </c>
      <c r="E251" s="601" t="str">
        <f t="shared" ref="E251:AJ251" ca="1" si="91">IF(OFFSET(貼付け_2024実績,2,12)="■",BD249,IFERROR(INDEX($BD249:$DA249,MATCH(E250,$BD249:$DA249,0)),""))</f>
        <v/>
      </c>
      <c r="F251" s="601" t="str">
        <f t="shared" ca="1" si="91"/>
        <v/>
      </c>
      <c r="G251" s="601" t="str">
        <f t="shared" ca="1" si="91"/>
        <v/>
      </c>
      <c r="H251" s="601" t="str">
        <f t="shared" ca="1" si="91"/>
        <v/>
      </c>
      <c r="I251" s="601" t="str">
        <f t="shared" ca="1" si="91"/>
        <v/>
      </c>
      <c r="J251" s="601" t="str">
        <f t="shared" ca="1" si="91"/>
        <v/>
      </c>
      <c r="K251" s="601" t="str">
        <f t="shared" ca="1" si="91"/>
        <v/>
      </c>
      <c r="L251" s="601" t="str">
        <f t="shared" ca="1" si="91"/>
        <v/>
      </c>
      <c r="M251" s="601" t="str">
        <f t="shared" ca="1" si="91"/>
        <v/>
      </c>
      <c r="N251" s="601" t="str">
        <f t="shared" ca="1" si="91"/>
        <v/>
      </c>
      <c r="O251" s="601" t="str">
        <f ca="1">IF(OFFSET(貼付け_2024実績,2,12)="■",BN249,IFERROR(INDEX($BD249:$DA249,MATCH(O250,$BD249:$DA249,0)),""))</f>
        <v/>
      </c>
      <c r="P251" s="601" t="str">
        <f t="shared" ca="1" si="91"/>
        <v/>
      </c>
      <c r="Q251" s="601" t="str">
        <f t="shared" ca="1" si="91"/>
        <v/>
      </c>
      <c r="R251" s="601" t="str">
        <f t="shared" ca="1" si="91"/>
        <v/>
      </c>
      <c r="S251" s="601" t="str">
        <f t="shared" ca="1" si="91"/>
        <v/>
      </c>
      <c r="T251" s="601" t="str">
        <f t="shared" ca="1" si="91"/>
        <v/>
      </c>
      <c r="U251" s="601" t="str">
        <f t="shared" ca="1" si="91"/>
        <v/>
      </c>
      <c r="V251" s="601" t="str">
        <f t="shared" ca="1" si="91"/>
        <v/>
      </c>
      <c r="W251" s="601" t="str">
        <f t="shared" ca="1" si="91"/>
        <v/>
      </c>
      <c r="X251" s="601" t="str">
        <f t="shared" ca="1" si="91"/>
        <v/>
      </c>
      <c r="Y251" s="601" t="str">
        <f t="shared" ca="1" si="91"/>
        <v/>
      </c>
      <c r="Z251" s="601" t="str">
        <f t="shared" ca="1" si="91"/>
        <v/>
      </c>
      <c r="AA251" s="601" t="str">
        <f t="shared" ca="1" si="91"/>
        <v/>
      </c>
      <c r="AB251" s="601" t="str">
        <f t="shared" ca="1" si="91"/>
        <v/>
      </c>
      <c r="AC251" s="601" t="str">
        <f t="shared" ca="1" si="91"/>
        <v/>
      </c>
      <c r="AD251" s="601" t="str">
        <f t="shared" ca="1" si="91"/>
        <v/>
      </c>
      <c r="AE251" s="601" t="str">
        <f t="shared" ca="1" si="91"/>
        <v/>
      </c>
      <c r="AF251" s="601" t="str">
        <f t="shared" ca="1" si="91"/>
        <v/>
      </c>
      <c r="AG251" s="601" t="str">
        <f t="shared" ca="1" si="91"/>
        <v/>
      </c>
      <c r="AH251" s="601" t="str">
        <f t="shared" ca="1" si="91"/>
        <v/>
      </c>
      <c r="AI251" s="601" t="str">
        <f t="shared" ca="1" si="91"/>
        <v/>
      </c>
      <c r="AJ251" s="601" t="str">
        <f t="shared" ca="1" si="91"/>
        <v/>
      </c>
      <c r="AK251" s="601" t="str">
        <f t="shared" ref="AK251:BB251" ca="1" si="92">IF(OFFSET(貼付け_2024実績,2,12)="■",CJ249,IFERROR(INDEX($BD249:$DA249,MATCH(AK250,$BD249:$DA249,0)),""))</f>
        <v/>
      </c>
      <c r="AL251" s="601" t="str">
        <f t="shared" ca="1" si="92"/>
        <v/>
      </c>
      <c r="AM251" s="601" t="str">
        <f t="shared" ca="1" si="92"/>
        <v/>
      </c>
      <c r="AN251" s="601" t="str">
        <f t="shared" ca="1" si="92"/>
        <v/>
      </c>
      <c r="AO251" s="601" t="str">
        <f t="shared" ca="1" si="92"/>
        <v/>
      </c>
      <c r="AP251" s="601" t="str">
        <f t="shared" ca="1" si="92"/>
        <v/>
      </c>
      <c r="AQ251" s="601" t="str">
        <f t="shared" ca="1" si="92"/>
        <v/>
      </c>
      <c r="AR251" s="601" t="str">
        <f t="shared" ca="1" si="92"/>
        <v/>
      </c>
      <c r="AS251" s="601" t="str">
        <f t="shared" ca="1" si="92"/>
        <v/>
      </c>
      <c r="AT251" s="601" t="str">
        <f t="shared" ca="1" si="92"/>
        <v/>
      </c>
      <c r="AU251" s="601" t="str">
        <f t="shared" ca="1" si="92"/>
        <v/>
      </c>
      <c r="AV251" s="601" t="str">
        <f t="shared" ca="1" si="92"/>
        <v/>
      </c>
      <c r="AW251" s="601" t="str">
        <f t="shared" ca="1" si="92"/>
        <v/>
      </c>
      <c r="AX251" s="601" t="str">
        <f t="shared" ca="1" si="92"/>
        <v/>
      </c>
      <c r="AY251" s="601" t="str">
        <f t="shared" ca="1" si="92"/>
        <v/>
      </c>
      <c r="AZ251" s="601" t="str">
        <f t="shared" ca="1" si="92"/>
        <v/>
      </c>
      <c r="BA251" s="602" t="str">
        <f t="shared" ca="1" si="92"/>
        <v/>
      </c>
      <c r="BB251" s="600" t="str">
        <f t="shared" ca="1" si="92"/>
        <v/>
      </c>
      <c r="BD251" s="569" t="str">
        <f>""</f>
        <v/>
      </c>
      <c r="IE251" s="603"/>
      <c r="IF251" s="603"/>
      <c r="IG251" s="603"/>
      <c r="IH251" s="603"/>
    </row>
    <row r="252" spans="1:242" s="569" customFormat="1" hidden="1">
      <c r="B252" s="1052"/>
      <c r="C252" s="605" t="s">
        <v>675</v>
      </c>
      <c r="D252" s="606">
        <v>2</v>
      </c>
      <c r="E252" s="607" t="str">
        <f t="shared" ref="E252:AJ252" ca="1" si="93">OFFSET(A1_名称2024,E$247+2,$D252)&amp;""</f>
        <v/>
      </c>
      <c r="F252" s="607" t="str">
        <f t="shared" ca="1" si="93"/>
        <v/>
      </c>
      <c r="G252" s="607" t="str">
        <f t="shared" ca="1" si="93"/>
        <v/>
      </c>
      <c r="H252" s="607" t="str">
        <f t="shared" ca="1" si="93"/>
        <v/>
      </c>
      <c r="I252" s="607" t="str">
        <f t="shared" ca="1" si="93"/>
        <v/>
      </c>
      <c r="J252" s="607" t="str">
        <f t="shared" ca="1" si="93"/>
        <v/>
      </c>
      <c r="K252" s="607" t="str">
        <f t="shared" ca="1" si="93"/>
        <v/>
      </c>
      <c r="L252" s="607" t="str">
        <f t="shared" ca="1" si="93"/>
        <v/>
      </c>
      <c r="M252" s="607" t="str">
        <f t="shared" ca="1" si="93"/>
        <v/>
      </c>
      <c r="N252" s="607" t="str">
        <f t="shared" ca="1" si="93"/>
        <v/>
      </c>
      <c r="O252" s="607" t="str">
        <f ca="1">OFFSET(A1_名称2024,O$247+2,$D252)&amp;""</f>
        <v/>
      </c>
      <c r="P252" s="607" t="str">
        <f t="shared" ca="1" si="93"/>
        <v/>
      </c>
      <c r="Q252" s="607" t="str">
        <f t="shared" ca="1" si="93"/>
        <v/>
      </c>
      <c r="R252" s="607" t="str">
        <f t="shared" ca="1" si="93"/>
        <v/>
      </c>
      <c r="S252" s="607" t="str">
        <f t="shared" ca="1" si="93"/>
        <v/>
      </c>
      <c r="T252" s="607" t="str">
        <f t="shared" ca="1" si="93"/>
        <v/>
      </c>
      <c r="U252" s="607" t="str">
        <f t="shared" ca="1" si="93"/>
        <v/>
      </c>
      <c r="V252" s="607" t="str">
        <f t="shared" ca="1" si="93"/>
        <v/>
      </c>
      <c r="W252" s="607" t="str">
        <f t="shared" ca="1" si="93"/>
        <v/>
      </c>
      <c r="X252" s="607" t="str">
        <f t="shared" ca="1" si="93"/>
        <v/>
      </c>
      <c r="Y252" s="607" t="str">
        <f t="shared" ca="1" si="93"/>
        <v/>
      </c>
      <c r="Z252" s="607" t="str">
        <f t="shared" ca="1" si="93"/>
        <v/>
      </c>
      <c r="AA252" s="607" t="str">
        <f t="shared" ca="1" si="93"/>
        <v/>
      </c>
      <c r="AB252" s="607" t="str">
        <f t="shared" ca="1" si="93"/>
        <v/>
      </c>
      <c r="AC252" s="607" t="str">
        <f t="shared" ca="1" si="93"/>
        <v/>
      </c>
      <c r="AD252" s="607" t="str">
        <f t="shared" ca="1" si="93"/>
        <v/>
      </c>
      <c r="AE252" s="607" t="str">
        <f t="shared" ca="1" si="93"/>
        <v/>
      </c>
      <c r="AF252" s="607" t="str">
        <f t="shared" ca="1" si="93"/>
        <v/>
      </c>
      <c r="AG252" s="607" t="str">
        <f t="shared" ca="1" si="93"/>
        <v/>
      </c>
      <c r="AH252" s="607" t="str">
        <f t="shared" ca="1" si="93"/>
        <v/>
      </c>
      <c r="AI252" s="607" t="str">
        <f t="shared" ca="1" si="93"/>
        <v/>
      </c>
      <c r="AJ252" s="607" t="str">
        <f t="shared" ca="1" si="93"/>
        <v/>
      </c>
      <c r="AK252" s="607" t="str">
        <f t="shared" ref="AK252:BB252" ca="1" si="94">OFFSET(A1_名称2024,AK$247+2,$D252)&amp;""</f>
        <v/>
      </c>
      <c r="AL252" s="607" t="str">
        <f t="shared" ca="1" si="94"/>
        <v/>
      </c>
      <c r="AM252" s="607" t="str">
        <f t="shared" ca="1" si="94"/>
        <v/>
      </c>
      <c r="AN252" s="607" t="str">
        <f t="shared" ca="1" si="94"/>
        <v/>
      </c>
      <c r="AO252" s="607" t="str">
        <f t="shared" ca="1" si="94"/>
        <v/>
      </c>
      <c r="AP252" s="607" t="str">
        <f t="shared" ca="1" si="94"/>
        <v/>
      </c>
      <c r="AQ252" s="607" t="str">
        <f t="shared" ca="1" si="94"/>
        <v/>
      </c>
      <c r="AR252" s="607" t="str">
        <f t="shared" ca="1" si="94"/>
        <v/>
      </c>
      <c r="AS252" s="607" t="str">
        <f t="shared" ca="1" si="94"/>
        <v/>
      </c>
      <c r="AT252" s="607" t="str">
        <f t="shared" ca="1" si="94"/>
        <v/>
      </c>
      <c r="AU252" s="607" t="str">
        <f t="shared" ca="1" si="94"/>
        <v/>
      </c>
      <c r="AV252" s="607" t="str">
        <f t="shared" ca="1" si="94"/>
        <v/>
      </c>
      <c r="AW252" s="607" t="str">
        <f t="shared" ca="1" si="94"/>
        <v/>
      </c>
      <c r="AX252" s="607" t="str">
        <f t="shared" ca="1" si="94"/>
        <v/>
      </c>
      <c r="AY252" s="607" t="str">
        <f t="shared" ca="1" si="94"/>
        <v/>
      </c>
      <c r="AZ252" s="607" t="str">
        <f t="shared" ca="1" si="94"/>
        <v/>
      </c>
      <c r="BA252" s="608" t="str">
        <f t="shared" ca="1" si="94"/>
        <v/>
      </c>
      <c r="BB252" s="606" t="str">
        <f t="shared" ca="1" si="94"/>
        <v/>
      </c>
      <c r="IE252" s="603"/>
      <c r="IF252" s="603"/>
      <c r="IG252" s="603"/>
      <c r="IH252" s="603"/>
    </row>
    <row r="253" spans="1:242" s="569" customFormat="1" hidden="1">
      <c r="B253" s="1052"/>
      <c r="C253" s="599" t="s">
        <v>676</v>
      </c>
      <c r="D253" s="600"/>
      <c r="E253" s="601" t="str">
        <f ca="1">IF(E252="","",IFERROR(INDEX($E248:$BB248,MATCH(E252,$BD249:$DA249,0)),""))</f>
        <v/>
      </c>
      <c r="F253" s="601" t="str">
        <f t="shared" ref="F253:BB253" ca="1" si="95">IF(F252="","",IFERROR(INDEX($E248:$BB248,MATCH(F252,$BD249:$DA249,0)),""))</f>
        <v/>
      </c>
      <c r="G253" s="601" t="str">
        <f t="shared" ca="1" si="95"/>
        <v/>
      </c>
      <c r="H253" s="601" t="str">
        <f t="shared" ca="1" si="95"/>
        <v/>
      </c>
      <c r="I253" s="601" t="str">
        <f t="shared" ca="1" si="95"/>
        <v/>
      </c>
      <c r="J253" s="601" t="str">
        <f t="shared" ca="1" si="95"/>
        <v/>
      </c>
      <c r="K253" s="601" t="str">
        <f t="shared" ca="1" si="95"/>
        <v/>
      </c>
      <c r="L253" s="601" t="str">
        <f t="shared" ca="1" si="95"/>
        <v/>
      </c>
      <c r="M253" s="601" t="str">
        <f t="shared" ca="1" si="95"/>
        <v/>
      </c>
      <c r="N253" s="601" t="str">
        <f t="shared" ca="1" si="95"/>
        <v/>
      </c>
      <c r="O253" s="601" t="str">
        <f ca="1">IF(O252="","",IFERROR(INDEX($E248:$BB248,MATCH(O252,$BD249:$DA249,0)),""))</f>
        <v/>
      </c>
      <c r="P253" s="601" t="str">
        <f t="shared" ca="1" si="95"/>
        <v/>
      </c>
      <c r="Q253" s="601" t="str">
        <f t="shared" ca="1" si="95"/>
        <v/>
      </c>
      <c r="R253" s="601" t="str">
        <f t="shared" ca="1" si="95"/>
        <v/>
      </c>
      <c r="S253" s="601" t="str">
        <f t="shared" ca="1" si="95"/>
        <v/>
      </c>
      <c r="T253" s="601" t="str">
        <f t="shared" ca="1" si="95"/>
        <v/>
      </c>
      <c r="U253" s="601" t="str">
        <f t="shared" ca="1" si="95"/>
        <v/>
      </c>
      <c r="V253" s="601" t="str">
        <f t="shared" ca="1" si="95"/>
        <v/>
      </c>
      <c r="W253" s="601" t="str">
        <f t="shared" ca="1" si="95"/>
        <v/>
      </c>
      <c r="X253" s="601" t="str">
        <f t="shared" ca="1" si="95"/>
        <v/>
      </c>
      <c r="Y253" s="601" t="str">
        <f t="shared" ca="1" si="95"/>
        <v/>
      </c>
      <c r="Z253" s="601" t="str">
        <f t="shared" ca="1" si="95"/>
        <v/>
      </c>
      <c r="AA253" s="601" t="str">
        <f t="shared" ca="1" si="95"/>
        <v/>
      </c>
      <c r="AB253" s="601" t="str">
        <f t="shared" ca="1" si="95"/>
        <v/>
      </c>
      <c r="AC253" s="601" t="str">
        <f t="shared" ca="1" si="95"/>
        <v/>
      </c>
      <c r="AD253" s="601" t="str">
        <f t="shared" ca="1" si="95"/>
        <v/>
      </c>
      <c r="AE253" s="601" t="str">
        <f t="shared" ca="1" si="95"/>
        <v/>
      </c>
      <c r="AF253" s="601" t="str">
        <f t="shared" ca="1" si="95"/>
        <v/>
      </c>
      <c r="AG253" s="601" t="str">
        <f t="shared" ca="1" si="95"/>
        <v/>
      </c>
      <c r="AH253" s="601" t="str">
        <f t="shared" ca="1" si="95"/>
        <v/>
      </c>
      <c r="AI253" s="601" t="str">
        <f t="shared" ca="1" si="95"/>
        <v/>
      </c>
      <c r="AJ253" s="601" t="str">
        <f t="shared" ca="1" si="95"/>
        <v/>
      </c>
      <c r="AK253" s="601" t="str">
        <f t="shared" ca="1" si="95"/>
        <v/>
      </c>
      <c r="AL253" s="601" t="str">
        <f t="shared" ca="1" si="95"/>
        <v/>
      </c>
      <c r="AM253" s="601" t="str">
        <f t="shared" ca="1" si="95"/>
        <v/>
      </c>
      <c r="AN253" s="601" t="str">
        <f t="shared" ca="1" si="95"/>
        <v/>
      </c>
      <c r="AO253" s="601" t="str">
        <f t="shared" ca="1" si="95"/>
        <v/>
      </c>
      <c r="AP253" s="601" t="str">
        <f t="shared" ca="1" si="95"/>
        <v/>
      </c>
      <c r="AQ253" s="601" t="str">
        <f t="shared" ca="1" si="95"/>
        <v/>
      </c>
      <c r="AR253" s="601" t="str">
        <f t="shared" ca="1" si="95"/>
        <v/>
      </c>
      <c r="AS253" s="601" t="str">
        <f t="shared" ca="1" si="95"/>
        <v/>
      </c>
      <c r="AT253" s="601" t="str">
        <f t="shared" ca="1" si="95"/>
        <v/>
      </c>
      <c r="AU253" s="601" t="str">
        <f t="shared" ca="1" si="95"/>
        <v/>
      </c>
      <c r="AV253" s="601" t="str">
        <f t="shared" ca="1" si="95"/>
        <v/>
      </c>
      <c r="AW253" s="601" t="str">
        <f t="shared" ca="1" si="95"/>
        <v/>
      </c>
      <c r="AX253" s="601" t="str">
        <f t="shared" ca="1" si="95"/>
        <v/>
      </c>
      <c r="AY253" s="601" t="str">
        <f t="shared" ca="1" si="95"/>
        <v/>
      </c>
      <c r="AZ253" s="601" t="str">
        <f t="shared" ca="1" si="95"/>
        <v/>
      </c>
      <c r="BA253" s="602" t="str">
        <f t="shared" ca="1" si="95"/>
        <v/>
      </c>
      <c r="BB253" s="600" t="str">
        <f t="shared" ca="1" si="95"/>
        <v/>
      </c>
      <c r="IE253" s="603"/>
      <c r="IF253" s="603"/>
      <c r="IG253" s="603"/>
      <c r="IH253" s="603"/>
    </row>
    <row r="254" spans="1:242" s="164" customFormat="1" ht="19.8" hidden="1">
      <c r="A254" s="569"/>
      <c r="B254" s="1052"/>
      <c r="C254" s="609" t="s">
        <v>677</v>
      </c>
      <c r="D254" s="610">
        <v>6</v>
      </c>
      <c r="E254" s="611" t="str">
        <f t="shared" ref="E254:AJ254" ca="1" si="96">IFERROR(OFFSET(貼付け_2024実績,$D254,E253+1)&amp;"","")</f>
        <v/>
      </c>
      <c r="F254" s="611" t="str">
        <f t="shared" ca="1" si="96"/>
        <v/>
      </c>
      <c r="G254" s="611" t="str">
        <f t="shared" ca="1" si="96"/>
        <v/>
      </c>
      <c r="H254" s="611" t="str">
        <f t="shared" ca="1" si="96"/>
        <v/>
      </c>
      <c r="I254" s="611" t="str">
        <f t="shared" ca="1" si="96"/>
        <v/>
      </c>
      <c r="J254" s="611" t="str">
        <f t="shared" ca="1" si="96"/>
        <v/>
      </c>
      <c r="K254" s="611" t="str">
        <f t="shared" ca="1" si="96"/>
        <v/>
      </c>
      <c r="L254" s="611" t="str">
        <f t="shared" ca="1" si="96"/>
        <v/>
      </c>
      <c r="M254" s="611" t="str">
        <f t="shared" ca="1" si="96"/>
        <v/>
      </c>
      <c r="N254" s="611" t="str">
        <f t="shared" ca="1" si="96"/>
        <v/>
      </c>
      <c r="O254" s="611" t="str">
        <f ca="1">IFERROR(OFFSET(貼付け_2024実績,$D254,O253+1)&amp;"","")</f>
        <v/>
      </c>
      <c r="P254" s="611" t="str">
        <f t="shared" ca="1" si="96"/>
        <v/>
      </c>
      <c r="Q254" s="611" t="str">
        <f t="shared" ca="1" si="96"/>
        <v/>
      </c>
      <c r="R254" s="611" t="str">
        <f t="shared" ca="1" si="96"/>
        <v/>
      </c>
      <c r="S254" s="611" t="str">
        <f t="shared" ca="1" si="96"/>
        <v/>
      </c>
      <c r="T254" s="611" t="str">
        <f t="shared" ca="1" si="96"/>
        <v/>
      </c>
      <c r="U254" s="611" t="str">
        <f t="shared" ca="1" si="96"/>
        <v/>
      </c>
      <c r="V254" s="611" t="str">
        <f t="shared" ca="1" si="96"/>
        <v/>
      </c>
      <c r="W254" s="611" t="str">
        <f t="shared" ca="1" si="96"/>
        <v/>
      </c>
      <c r="X254" s="611" t="str">
        <f t="shared" ca="1" si="96"/>
        <v/>
      </c>
      <c r="Y254" s="611" t="str">
        <f t="shared" ca="1" si="96"/>
        <v/>
      </c>
      <c r="Z254" s="611" t="str">
        <f t="shared" ca="1" si="96"/>
        <v/>
      </c>
      <c r="AA254" s="611" t="str">
        <f t="shared" ca="1" si="96"/>
        <v/>
      </c>
      <c r="AB254" s="611" t="str">
        <f t="shared" ca="1" si="96"/>
        <v/>
      </c>
      <c r="AC254" s="611" t="str">
        <f t="shared" ca="1" si="96"/>
        <v/>
      </c>
      <c r="AD254" s="611" t="str">
        <f t="shared" ca="1" si="96"/>
        <v/>
      </c>
      <c r="AE254" s="611" t="str">
        <f t="shared" ca="1" si="96"/>
        <v/>
      </c>
      <c r="AF254" s="611" t="str">
        <f t="shared" ca="1" si="96"/>
        <v/>
      </c>
      <c r="AG254" s="611" t="str">
        <f t="shared" ca="1" si="96"/>
        <v/>
      </c>
      <c r="AH254" s="611" t="str">
        <f t="shared" ca="1" si="96"/>
        <v/>
      </c>
      <c r="AI254" s="611" t="str">
        <f t="shared" ca="1" si="96"/>
        <v/>
      </c>
      <c r="AJ254" s="611" t="str">
        <f t="shared" ca="1" si="96"/>
        <v/>
      </c>
      <c r="AK254" s="611" t="str">
        <f t="shared" ref="AK254:BB254" ca="1" si="97">IFERROR(OFFSET(貼付け_2024実績,$D254,AK253+1)&amp;"","")</f>
        <v/>
      </c>
      <c r="AL254" s="611" t="str">
        <f t="shared" ca="1" si="97"/>
        <v/>
      </c>
      <c r="AM254" s="611" t="str">
        <f t="shared" ca="1" si="97"/>
        <v/>
      </c>
      <c r="AN254" s="611" t="str">
        <f t="shared" ca="1" si="97"/>
        <v/>
      </c>
      <c r="AO254" s="611" t="str">
        <f t="shared" ca="1" si="97"/>
        <v/>
      </c>
      <c r="AP254" s="611" t="str">
        <f t="shared" ca="1" si="97"/>
        <v/>
      </c>
      <c r="AQ254" s="611" t="str">
        <f t="shared" ca="1" si="97"/>
        <v/>
      </c>
      <c r="AR254" s="611" t="str">
        <f t="shared" ca="1" si="97"/>
        <v/>
      </c>
      <c r="AS254" s="611" t="str">
        <f t="shared" ca="1" si="97"/>
        <v/>
      </c>
      <c r="AT254" s="611" t="str">
        <f t="shared" ca="1" si="97"/>
        <v/>
      </c>
      <c r="AU254" s="611" t="str">
        <f t="shared" ca="1" si="97"/>
        <v/>
      </c>
      <c r="AV254" s="611" t="str">
        <f t="shared" ca="1" si="97"/>
        <v/>
      </c>
      <c r="AW254" s="611" t="str">
        <f t="shared" ca="1" si="97"/>
        <v/>
      </c>
      <c r="AX254" s="611" t="str">
        <f t="shared" ca="1" si="97"/>
        <v/>
      </c>
      <c r="AY254" s="611" t="str">
        <f t="shared" ca="1" si="97"/>
        <v/>
      </c>
      <c r="AZ254" s="611" t="str">
        <f t="shared" ca="1" si="97"/>
        <v/>
      </c>
      <c r="BA254" s="612" t="str">
        <f t="shared" ca="1" si="97"/>
        <v/>
      </c>
      <c r="BB254" s="610" t="str">
        <f t="shared" ca="1" si="97"/>
        <v/>
      </c>
      <c r="BC254" s="613"/>
      <c r="IE254" s="579"/>
      <c r="IF254" s="579"/>
      <c r="IG254" s="579"/>
      <c r="IH254" s="579"/>
    </row>
    <row r="255" spans="1:242" s="164" customFormat="1" ht="20.100000000000001" hidden="1" customHeight="1">
      <c r="A255" s="569"/>
      <c r="B255" s="1052"/>
      <c r="C255" s="614" t="s">
        <v>678</v>
      </c>
      <c r="D255" s="615">
        <v>99</v>
      </c>
      <c r="E255" s="616" t="str">
        <f t="shared" ref="E255:AJ255" ca="1" si="98">IFERROR(OFFSET(貼付け_2024実績,$D255,E253),"")&amp;""</f>
        <v/>
      </c>
      <c r="F255" s="616" t="str">
        <f t="shared" ca="1" si="98"/>
        <v/>
      </c>
      <c r="G255" s="616" t="str">
        <f t="shared" ca="1" si="98"/>
        <v/>
      </c>
      <c r="H255" s="616" t="str">
        <f t="shared" ca="1" si="98"/>
        <v/>
      </c>
      <c r="I255" s="616" t="str">
        <f t="shared" ca="1" si="98"/>
        <v/>
      </c>
      <c r="J255" s="616" t="str">
        <f t="shared" ca="1" si="98"/>
        <v/>
      </c>
      <c r="K255" s="616" t="str">
        <f t="shared" ca="1" si="98"/>
        <v/>
      </c>
      <c r="L255" s="616" t="str">
        <f t="shared" ca="1" si="98"/>
        <v/>
      </c>
      <c r="M255" s="616" t="str">
        <f t="shared" ca="1" si="98"/>
        <v/>
      </c>
      <c r="N255" s="616" t="str">
        <f t="shared" ca="1" si="98"/>
        <v/>
      </c>
      <c r="O255" s="616" t="str">
        <f ca="1">IFERROR(OFFSET(貼付け_2024実績,$D255,O253),"")&amp;""</f>
        <v/>
      </c>
      <c r="P255" s="616" t="str">
        <f t="shared" ca="1" si="98"/>
        <v/>
      </c>
      <c r="Q255" s="616" t="str">
        <f t="shared" ca="1" si="98"/>
        <v/>
      </c>
      <c r="R255" s="616" t="str">
        <f t="shared" ca="1" si="98"/>
        <v/>
      </c>
      <c r="S255" s="616" t="str">
        <f t="shared" ca="1" si="98"/>
        <v/>
      </c>
      <c r="T255" s="616" t="str">
        <f t="shared" ca="1" si="98"/>
        <v/>
      </c>
      <c r="U255" s="616" t="str">
        <f t="shared" ca="1" si="98"/>
        <v/>
      </c>
      <c r="V255" s="616" t="str">
        <f t="shared" ca="1" si="98"/>
        <v/>
      </c>
      <c r="W255" s="616" t="str">
        <f t="shared" ca="1" si="98"/>
        <v/>
      </c>
      <c r="X255" s="616" t="str">
        <f t="shared" ca="1" si="98"/>
        <v/>
      </c>
      <c r="Y255" s="616" t="str">
        <f t="shared" ca="1" si="98"/>
        <v/>
      </c>
      <c r="Z255" s="616" t="str">
        <f t="shared" ca="1" si="98"/>
        <v/>
      </c>
      <c r="AA255" s="616" t="str">
        <f t="shared" ca="1" si="98"/>
        <v/>
      </c>
      <c r="AB255" s="616" t="str">
        <f t="shared" ca="1" si="98"/>
        <v/>
      </c>
      <c r="AC255" s="616" t="str">
        <f t="shared" ca="1" si="98"/>
        <v/>
      </c>
      <c r="AD255" s="616" t="str">
        <f t="shared" ca="1" si="98"/>
        <v/>
      </c>
      <c r="AE255" s="616" t="str">
        <f t="shared" ca="1" si="98"/>
        <v/>
      </c>
      <c r="AF255" s="616" t="str">
        <f t="shared" ca="1" si="98"/>
        <v/>
      </c>
      <c r="AG255" s="616" t="str">
        <f t="shared" ca="1" si="98"/>
        <v/>
      </c>
      <c r="AH255" s="616" t="str">
        <f t="shared" ca="1" si="98"/>
        <v/>
      </c>
      <c r="AI255" s="616" t="str">
        <f t="shared" ca="1" si="98"/>
        <v/>
      </c>
      <c r="AJ255" s="616" t="str">
        <f t="shared" ca="1" si="98"/>
        <v/>
      </c>
      <c r="AK255" s="616" t="str">
        <f t="shared" ref="AK255:BB255" ca="1" si="99">IFERROR(OFFSET(貼付け_2024実績,$D255,AK253),"")&amp;""</f>
        <v/>
      </c>
      <c r="AL255" s="616" t="str">
        <f t="shared" ca="1" si="99"/>
        <v/>
      </c>
      <c r="AM255" s="616" t="str">
        <f t="shared" ca="1" si="99"/>
        <v/>
      </c>
      <c r="AN255" s="616" t="str">
        <f t="shared" ca="1" si="99"/>
        <v/>
      </c>
      <c r="AO255" s="616" t="str">
        <f t="shared" ca="1" si="99"/>
        <v/>
      </c>
      <c r="AP255" s="616" t="str">
        <f t="shared" ca="1" si="99"/>
        <v/>
      </c>
      <c r="AQ255" s="616" t="str">
        <f t="shared" ca="1" si="99"/>
        <v/>
      </c>
      <c r="AR255" s="616" t="str">
        <f t="shared" ca="1" si="99"/>
        <v/>
      </c>
      <c r="AS255" s="616" t="str">
        <f t="shared" ca="1" si="99"/>
        <v/>
      </c>
      <c r="AT255" s="616" t="str">
        <f t="shared" ca="1" si="99"/>
        <v/>
      </c>
      <c r="AU255" s="616" t="str">
        <f t="shared" ca="1" si="99"/>
        <v/>
      </c>
      <c r="AV255" s="616" t="str">
        <f t="shared" ca="1" si="99"/>
        <v/>
      </c>
      <c r="AW255" s="616" t="str">
        <f t="shared" ca="1" si="99"/>
        <v/>
      </c>
      <c r="AX255" s="616" t="str">
        <f t="shared" ca="1" si="99"/>
        <v/>
      </c>
      <c r="AY255" s="616" t="str">
        <f t="shared" ca="1" si="99"/>
        <v/>
      </c>
      <c r="AZ255" s="616" t="str">
        <f t="shared" ca="1" si="99"/>
        <v/>
      </c>
      <c r="BA255" s="616" t="str">
        <f t="shared" ca="1" si="99"/>
        <v/>
      </c>
      <c r="BB255" s="615" t="str">
        <f t="shared" ca="1" si="99"/>
        <v/>
      </c>
      <c r="IE255" s="579"/>
      <c r="IF255" s="579"/>
      <c r="IG255" s="579"/>
      <c r="IH255" s="579"/>
    </row>
    <row r="256" spans="1:242" s="164" customFormat="1" ht="20.100000000000001" hidden="1" customHeight="1">
      <c r="A256" s="569"/>
      <c r="B256" s="1052"/>
      <c r="C256" s="614" t="s">
        <v>679</v>
      </c>
      <c r="D256" s="615">
        <v>6</v>
      </c>
      <c r="E256" s="616" t="str">
        <f t="shared" ref="E256:AJ256" ca="1" si="100">IFERROR(OFFSET(A1_集計2024,$D256,E253),"")</f>
        <v/>
      </c>
      <c r="F256" s="616" t="str">
        <f t="shared" ca="1" si="100"/>
        <v/>
      </c>
      <c r="G256" s="616" t="str">
        <f t="shared" ca="1" si="100"/>
        <v/>
      </c>
      <c r="H256" s="616" t="str">
        <f t="shared" ca="1" si="100"/>
        <v/>
      </c>
      <c r="I256" s="616" t="str">
        <f t="shared" ca="1" si="100"/>
        <v/>
      </c>
      <c r="J256" s="616" t="str">
        <f t="shared" ca="1" si="100"/>
        <v/>
      </c>
      <c r="K256" s="616" t="str">
        <f t="shared" ca="1" si="100"/>
        <v/>
      </c>
      <c r="L256" s="616" t="str">
        <f t="shared" ca="1" si="100"/>
        <v/>
      </c>
      <c r="M256" s="616" t="str">
        <f t="shared" ca="1" si="100"/>
        <v/>
      </c>
      <c r="N256" s="616" t="str">
        <f t="shared" ca="1" si="100"/>
        <v/>
      </c>
      <c r="O256" s="616" t="str">
        <f ca="1">IFERROR(OFFSET(A1_集計2024,$D256,O253),"")</f>
        <v/>
      </c>
      <c r="P256" s="616" t="str">
        <f t="shared" ca="1" si="100"/>
        <v/>
      </c>
      <c r="Q256" s="616" t="str">
        <f t="shared" ca="1" si="100"/>
        <v/>
      </c>
      <c r="R256" s="616" t="str">
        <f t="shared" ca="1" si="100"/>
        <v/>
      </c>
      <c r="S256" s="616" t="str">
        <f t="shared" ca="1" si="100"/>
        <v/>
      </c>
      <c r="T256" s="616" t="str">
        <f t="shared" ca="1" si="100"/>
        <v/>
      </c>
      <c r="U256" s="616" t="str">
        <f t="shared" ca="1" si="100"/>
        <v/>
      </c>
      <c r="V256" s="616" t="str">
        <f t="shared" ca="1" si="100"/>
        <v/>
      </c>
      <c r="W256" s="616" t="str">
        <f t="shared" ca="1" si="100"/>
        <v/>
      </c>
      <c r="X256" s="616" t="str">
        <f t="shared" ca="1" si="100"/>
        <v/>
      </c>
      <c r="Y256" s="616" t="str">
        <f t="shared" ca="1" si="100"/>
        <v/>
      </c>
      <c r="Z256" s="616" t="str">
        <f t="shared" ca="1" si="100"/>
        <v/>
      </c>
      <c r="AA256" s="616" t="str">
        <f t="shared" ca="1" si="100"/>
        <v/>
      </c>
      <c r="AB256" s="616" t="str">
        <f t="shared" ca="1" si="100"/>
        <v/>
      </c>
      <c r="AC256" s="616" t="str">
        <f t="shared" ca="1" si="100"/>
        <v/>
      </c>
      <c r="AD256" s="616" t="str">
        <f t="shared" ca="1" si="100"/>
        <v/>
      </c>
      <c r="AE256" s="616" t="str">
        <f t="shared" ca="1" si="100"/>
        <v/>
      </c>
      <c r="AF256" s="616" t="str">
        <f t="shared" ca="1" si="100"/>
        <v/>
      </c>
      <c r="AG256" s="616" t="str">
        <f t="shared" ca="1" si="100"/>
        <v/>
      </c>
      <c r="AH256" s="616" t="str">
        <f t="shared" ca="1" si="100"/>
        <v/>
      </c>
      <c r="AI256" s="616" t="str">
        <f t="shared" ca="1" si="100"/>
        <v/>
      </c>
      <c r="AJ256" s="616" t="str">
        <f t="shared" ca="1" si="100"/>
        <v/>
      </c>
      <c r="AK256" s="616" t="str">
        <f t="shared" ref="AK256:BB256" ca="1" si="101">IFERROR(OFFSET(A1_集計2024,$D256,AK253),"")</f>
        <v/>
      </c>
      <c r="AL256" s="616" t="str">
        <f t="shared" ca="1" si="101"/>
        <v/>
      </c>
      <c r="AM256" s="616" t="str">
        <f t="shared" ca="1" si="101"/>
        <v/>
      </c>
      <c r="AN256" s="616" t="str">
        <f t="shared" ca="1" si="101"/>
        <v/>
      </c>
      <c r="AO256" s="616" t="str">
        <f t="shared" ca="1" si="101"/>
        <v/>
      </c>
      <c r="AP256" s="616" t="str">
        <f t="shared" ca="1" si="101"/>
        <v/>
      </c>
      <c r="AQ256" s="616" t="str">
        <f t="shared" ca="1" si="101"/>
        <v/>
      </c>
      <c r="AR256" s="616" t="str">
        <f t="shared" ca="1" si="101"/>
        <v/>
      </c>
      <c r="AS256" s="616" t="str">
        <f t="shared" ca="1" si="101"/>
        <v/>
      </c>
      <c r="AT256" s="616" t="str">
        <f t="shared" ca="1" si="101"/>
        <v/>
      </c>
      <c r="AU256" s="616" t="str">
        <f t="shared" ca="1" si="101"/>
        <v/>
      </c>
      <c r="AV256" s="616" t="str">
        <f t="shared" ca="1" si="101"/>
        <v/>
      </c>
      <c r="AW256" s="616" t="str">
        <f t="shared" ca="1" si="101"/>
        <v/>
      </c>
      <c r="AX256" s="616" t="str">
        <f t="shared" ca="1" si="101"/>
        <v/>
      </c>
      <c r="AY256" s="616" t="str">
        <f t="shared" ca="1" si="101"/>
        <v/>
      </c>
      <c r="AZ256" s="616" t="str">
        <f t="shared" ca="1" si="101"/>
        <v/>
      </c>
      <c r="BA256" s="587" t="str">
        <f t="shared" ca="1" si="101"/>
        <v/>
      </c>
      <c r="BB256" s="615" t="str">
        <f t="shared" ca="1" si="101"/>
        <v/>
      </c>
      <c r="IE256" s="579"/>
      <c r="IF256" s="579"/>
      <c r="IG256" s="579"/>
      <c r="IH256" s="579"/>
    </row>
    <row r="257" spans="1:242" s="164" customFormat="1" ht="20.100000000000001" hidden="1" customHeight="1">
      <c r="A257" s="569"/>
      <c r="B257" s="1052"/>
      <c r="C257" s="614" t="s">
        <v>680</v>
      </c>
      <c r="D257" s="615">
        <v>101</v>
      </c>
      <c r="E257" s="616" t="str">
        <f t="shared" ref="E257:AJ257" ca="1" si="102">IFERROR(OFFSET(貼付け_2024実績,$D257,E253),"")</f>
        <v/>
      </c>
      <c r="F257" s="616" t="str">
        <f t="shared" ca="1" si="102"/>
        <v/>
      </c>
      <c r="G257" s="616" t="str">
        <f t="shared" ca="1" si="102"/>
        <v/>
      </c>
      <c r="H257" s="616" t="str">
        <f t="shared" ca="1" si="102"/>
        <v/>
      </c>
      <c r="I257" s="616" t="str">
        <f t="shared" ca="1" si="102"/>
        <v/>
      </c>
      <c r="J257" s="616" t="str">
        <f t="shared" ca="1" si="102"/>
        <v/>
      </c>
      <c r="K257" s="616" t="str">
        <f t="shared" ca="1" si="102"/>
        <v/>
      </c>
      <c r="L257" s="616" t="str">
        <f t="shared" ca="1" si="102"/>
        <v/>
      </c>
      <c r="M257" s="616" t="str">
        <f t="shared" ca="1" si="102"/>
        <v/>
      </c>
      <c r="N257" s="616" t="str">
        <f t="shared" ca="1" si="102"/>
        <v/>
      </c>
      <c r="O257" s="616" t="str">
        <f ca="1">IFERROR(OFFSET(貼付け_2024実績,$D257,O253),"")</f>
        <v/>
      </c>
      <c r="P257" s="616" t="str">
        <f t="shared" ca="1" si="102"/>
        <v/>
      </c>
      <c r="Q257" s="616" t="str">
        <f t="shared" ca="1" si="102"/>
        <v/>
      </c>
      <c r="R257" s="616" t="str">
        <f t="shared" ca="1" si="102"/>
        <v/>
      </c>
      <c r="S257" s="616" t="str">
        <f t="shared" ca="1" si="102"/>
        <v/>
      </c>
      <c r="T257" s="616" t="str">
        <f t="shared" ca="1" si="102"/>
        <v/>
      </c>
      <c r="U257" s="616" t="str">
        <f t="shared" ca="1" si="102"/>
        <v/>
      </c>
      <c r="V257" s="616" t="str">
        <f t="shared" ca="1" si="102"/>
        <v/>
      </c>
      <c r="W257" s="616" t="str">
        <f t="shared" ca="1" si="102"/>
        <v/>
      </c>
      <c r="X257" s="616" t="str">
        <f t="shared" ca="1" si="102"/>
        <v/>
      </c>
      <c r="Y257" s="616" t="str">
        <f t="shared" ca="1" si="102"/>
        <v/>
      </c>
      <c r="Z257" s="616" t="str">
        <f t="shared" ca="1" si="102"/>
        <v/>
      </c>
      <c r="AA257" s="616" t="str">
        <f t="shared" ca="1" si="102"/>
        <v/>
      </c>
      <c r="AB257" s="616" t="str">
        <f t="shared" ca="1" si="102"/>
        <v/>
      </c>
      <c r="AC257" s="616" t="str">
        <f t="shared" ca="1" si="102"/>
        <v/>
      </c>
      <c r="AD257" s="616" t="str">
        <f t="shared" ca="1" si="102"/>
        <v/>
      </c>
      <c r="AE257" s="616" t="str">
        <f t="shared" ca="1" si="102"/>
        <v/>
      </c>
      <c r="AF257" s="616" t="str">
        <f t="shared" ca="1" si="102"/>
        <v/>
      </c>
      <c r="AG257" s="616" t="str">
        <f t="shared" ca="1" si="102"/>
        <v/>
      </c>
      <c r="AH257" s="616" t="str">
        <f t="shared" ca="1" si="102"/>
        <v/>
      </c>
      <c r="AI257" s="616" t="str">
        <f t="shared" ca="1" si="102"/>
        <v/>
      </c>
      <c r="AJ257" s="616" t="str">
        <f t="shared" ca="1" si="102"/>
        <v/>
      </c>
      <c r="AK257" s="616" t="str">
        <f t="shared" ref="AK257:BB257" ca="1" si="103">IFERROR(OFFSET(貼付け_2024実績,$D257,AK253),"")</f>
        <v/>
      </c>
      <c r="AL257" s="616" t="str">
        <f t="shared" ca="1" si="103"/>
        <v/>
      </c>
      <c r="AM257" s="616" t="str">
        <f t="shared" ca="1" si="103"/>
        <v/>
      </c>
      <c r="AN257" s="616" t="str">
        <f t="shared" ca="1" si="103"/>
        <v/>
      </c>
      <c r="AO257" s="616" t="str">
        <f t="shared" ca="1" si="103"/>
        <v/>
      </c>
      <c r="AP257" s="616" t="str">
        <f t="shared" ca="1" si="103"/>
        <v/>
      </c>
      <c r="AQ257" s="616" t="str">
        <f t="shared" ca="1" si="103"/>
        <v/>
      </c>
      <c r="AR257" s="616" t="str">
        <f t="shared" ca="1" si="103"/>
        <v/>
      </c>
      <c r="AS257" s="616" t="str">
        <f t="shared" ca="1" si="103"/>
        <v/>
      </c>
      <c r="AT257" s="616" t="str">
        <f t="shared" ca="1" si="103"/>
        <v/>
      </c>
      <c r="AU257" s="616" t="str">
        <f t="shared" ca="1" si="103"/>
        <v/>
      </c>
      <c r="AV257" s="616" t="str">
        <f t="shared" ca="1" si="103"/>
        <v/>
      </c>
      <c r="AW257" s="616" t="str">
        <f t="shared" ca="1" si="103"/>
        <v/>
      </c>
      <c r="AX257" s="616" t="str">
        <f t="shared" ca="1" si="103"/>
        <v/>
      </c>
      <c r="AY257" s="616" t="str">
        <f t="shared" ca="1" si="103"/>
        <v/>
      </c>
      <c r="AZ257" s="616" t="str">
        <f t="shared" ca="1" si="103"/>
        <v/>
      </c>
      <c r="BA257" s="587" t="str">
        <f t="shared" ca="1" si="103"/>
        <v/>
      </c>
      <c r="BB257" s="615" t="str">
        <f t="shared" ca="1" si="103"/>
        <v/>
      </c>
      <c r="IE257" s="579"/>
      <c r="IF257" s="579"/>
      <c r="IG257" s="579"/>
      <c r="IH257" s="579"/>
    </row>
    <row r="258" spans="1:242" s="164" customFormat="1" ht="20.100000000000001" hidden="1" customHeight="1">
      <c r="A258" s="569"/>
      <c r="B258" s="1052"/>
      <c r="C258" s="614" t="s">
        <v>681</v>
      </c>
      <c r="D258" s="615"/>
      <c r="E258" s="616" t="str">
        <f ca="1">IFERROR(E256/E257,"")</f>
        <v/>
      </c>
      <c r="F258" s="616" t="str">
        <f t="shared" ref="F258:BB258" ca="1" si="104">IFERROR(F256/F257,"")</f>
        <v/>
      </c>
      <c r="G258" s="616" t="str">
        <f t="shared" ca="1" si="104"/>
        <v/>
      </c>
      <c r="H258" s="616" t="str">
        <f t="shared" ca="1" si="104"/>
        <v/>
      </c>
      <c r="I258" s="616" t="str">
        <f t="shared" ca="1" si="104"/>
        <v/>
      </c>
      <c r="J258" s="616" t="str">
        <f t="shared" ca="1" si="104"/>
        <v/>
      </c>
      <c r="K258" s="616" t="str">
        <f t="shared" ca="1" si="104"/>
        <v/>
      </c>
      <c r="L258" s="616" t="str">
        <f t="shared" ca="1" si="104"/>
        <v/>
      </c>
      <c r="M258" s="616" t="str">
        <f t="shared" ca="1" si="104"/>
        <v/>
      </c>
      <c r="N258" s="616" t="str">
        <f t="shared" ca="1" si="104"/>
        <v/>
      </c>
      <c r="O258" s="616" t="str">
        <f t="shared" ca="1" si="104"/>
        <v/>
      </c>
      <c r="P258" s="616" t="str">
        <f t="shared" ca="1" si="104"/>
        <v/>
      </c>
      <c r="Q258" s="616" t="str">
        <f t="shared" ca="1" si="104"/>
        <v/>
      </c>
      <c r="R258" s="616" t="str">
        <f t="shared" ca="1" si="104"/>
        <v/>
      </c>
      <c r="S258" s="616" t="str">
        <f t="shared" ca="1" si="104"/>
        <v/>
      </c>
      <c r="T258" s="616" t="str">
        <f t="shared" ca="1" si="104"/>
        <v/>
      </c>
      <c r="U258" s="616" t="str">
        <f t="shared" ca="1" si="104"/>
        <v/>
      </c>
      <c r="V258" s="616" t="str">
        <f t="shared" ca="1" si="104"/>
        <v/>
      </c>
      <c r="W258" s="616" t="str">
        <f t="shared" ca="1" si="104"/>
        <v/>
      </c>
      <c r="X258" s="616" t="str">
        <f t="shared" ca="1" si="104"/>
        <v/>
      </c>
      <c r="Y258" s="616" t="str">
        <f t="shared" ca="1" si="104"/>
        <v/>
      </c>
      <c r="Z258" s="616" t="str">
        <f t="shared" ca="1" si="104"/>
        <v/>
      </c>
      <c r="AA258" s="616" t="str">
        <f t="shared" ca="1" si="104"/>
        <v/>
      </c>
      <c r="AB258" s="616" t="str">
        <f t="shared" ca="1" si="104"/>
        <v/>
      </c>
      <c r="AC258" s="616" t="str">
        <f t="shared" ca="1" si="104"/>
        <v/>
      </c>
      <c r="AD258" s="616" t="str">
        <f t="shared" ca="1" si="104"/>
        <v/>
      </c>
      <c r="AE258" s="616" t="str">
        <f t="shared" ca="1" si="104"/>
        <v/>
      </c>
      <c r="AF258" s="616" t="str">
        <f t="shared" ca="1" si="104"/>
        <v/>
      </c>
      <c r="AG258" s="616" t="str">
        <f t="shared" ca="1" si="104"/>
        <v/>
      </c>
      <c r="AH258" s="616" t="str">
        <f t="shared" ca="1" si="104"/>
        <v/>
      </c>
      <c r="AI258" s="616" t="str">
        <f t="shared" ca="1" si="104"/>
        <v/>
      </c>
      <c r="AJ258" s="616" t="str">
        <f t="shared" ca="1" si="104"/>
        <v/>
      </c>
      <c r="AK258" s="616" t="str">
        <f t="shared" ca="1" si="104"/>
        <v/>
      </c>
      <c r="AL258" s="616" t="str">
        <f t="shared" ca="1" si="104"/>
        <v/>
      </c>
      <c r="AM258" s="616" t="str">
        <f t="shared" ca="1" si="104"/>
        <v/>
      </c>
      <c r="AN258" s="616" t="str">
        <f t="shared" ca="1" si="104"/>
        <v/>
      </c>
      <c r="AO258" s="616" t="str">
        <f t="shared" ca="1" si="104"/>
        <v/>
      </c>
      <c r="AP258" s="616" t="str">
        <f t="shared" ca="1" si="104"/>
        <v/>
      </c>
      <c r="AQ258" s="616" t="str">
        <f t="shared" ca="1" si="104"/>
        <v/>
      </c>
      <c r="AR258" s="616" t="str">
        <f t="shared" ca="1" si="104"/>
        <v/>
      </c>
      <c r="AS258" s="616" t="str">
        <f t="shared" ca="1" si="104"/>
        <v/>
      </c>
      <c r="AT258" s="616" t="str">
        <f t="shared" ca="1" si="104"/>
        <v/>
      </c>
      <c r="AU258" s="616" t="str">
        <f t="shared" ca="1" si="104"/>
        <v/>
      </c>
      <c r="AV258" s="616" t="str">
        <f t="shared" ca="1" si="104"/>
        <v/>
      </c>
      <c r="AW258" s="616" t="str">
        <f t="shared" ca="1" si="104"/>
        <v/>
      </c>
      <c r="AX258" s="616" t="str">
        <f t="shared" ca="1" si="104"/>
        <v/>
      </c>
      <c r="AY258" s="616" t="str">
        <f t="shared" ca="1" si="104"/>
        <v/>
      </c>
      <c r="AZ258" s="616" t="str">
        <f t="shared" ca="1" si="104"/>
        <v/>
      </c>
      <c r="BA258" s="587" t="str">
        <f t="shared" ca="1" si="104"/>
        <v/>
      </c>
      <c r="BB258" s="615" t="str">
        <f t="shared" ca="1" si="104"/>
        <v/>
      </c>
      <c r="IE258" s="579"/>
      <c r="IF258" s="579"/>
      <c r="IG258" s="579"/>
      <c r="IH258" s="579"/>
    </row>
    <row r="259" spans="1:242" s="164" customFormat="1" ht="20.100000000000001" hidden="1" customHeight="1" thickBot="1">
      <c r="A259" s="569"/>
      <c r="B259" s="1053"/>
      <c r="C259" s="617" t="s">
        <v>682</v>
      </c>
      <c r="D259" s="618">
        <v>12</v>
      </c>
      <c r="E259" s="619"/>
      <c r="F259" s="620"/>
      <c r="G259" s="620"/>
      <c r="H259" s="620"/>
      <c r="I259" s="620"/>
      <c r="J259" s="620"/>
      <c r="K259" s="620"/>
      <c r="L259" s="620"/>
      <c r="M259" s="620"/>
      <c r="N259" s="620"/>
      <c r="O259" s="620"/>
      <c r="P259" s="620"/>
      <c r="Q259" s="620"/>
      <c r="R259" s="620"/>
      <c r="S259" s="620"/>
      <c r="T259" s="620"/>
      <c r="U259" s="620"/>
      <c r="V259" s="620"/>
      <c r="W259" s="620"/>
      <c r="X259" s="620"/>
      <c r="Y259" s="620"/>
      <c r="Z259" s="620"/>
      <c r="AA259" s="620"/>
      <c r="AB259" s="620"/>
      <c r="AC259" s="620"/>
      <c r="AD259" s="620"/>
      <c r="AE259" s="620"/>
      <c r="AF259" s="620"/>
      <c r="AG259" s="620"/>
      <c r="AH259" s="620"/>
      <c r="AI259" s="620"/>
      <c r="AJ259" s="620"/>
      <c r="AK259" s="620"/>
      <c r="AL259" s="620"/>
      <c r="AM259" s="620"/>
      <c r="AN259" s="620"/>
      <c r="AO259" s="620"/>
      <c r="AP259" s="620"/>
      <c r="AQ259" s="620"/>
      <c r="AR259" s="620"/>
      <c r="AS259" s="620"/>
      <c r="AT259" s="620"/>
      <c r="AU259" s="620"/>
      <c r="AV259" s="620"/>
      <c r="AW259" s="620"/>
      <c r="AX259" s="620"/>
      <c r="AY259" s="620"/>
      <c r="AZ259" s="620"/>
      <c r="BA259" s="620"/>
      <c r="BB259" s="618"/>
      <c r="IE259" s="579"/>
      <c r="IF259" s="579"/>
      <c r="IG259" s="579"/>
      <c r="IH259" s="579"/>
    </row>
    <row r="260" spans="1:242" ht="19.5" hidden="1" customHeight="1">
      <c r="A260" s="569"/>
      <c r="B260" s="1051" t="s">
        <v>652</v>
      </c>
      <c r="C260" s="596" t="s">
        <v>673</v>
      </c>
      <c r="D260" s="597">
        <v>2024</v>
      </c>
      <c r="E260" s="598">
        <f ca="1">IFERROR(MATCH($B260&amp;E$247,OFFSET(INDIRECT("貼付け_"&amp;$D260&amp;"実績"),4,0,1,209),0)-1,"")</f>
        <v>21</v>
      </c>
      <c r="F260" s="598">
        <f t="shared" ref="F260:BB260" ca="1" si="105">IFERROR(MATCH($B260&amp;F$247,OFFSET(INDIRECT("貼付け_"&amp;$D260&amp;"実績"),4,0,1,209),0)-1,"")</f>
        <v>25</v>
      </c>
      <c r="G260" s="598">
        <f t="shared" ca="1" si="105"/>
        <v>29</v>
      </c>
      <c r="H260" s="598">
        <f t="shared" ca="1" si="105"/>
        <v>77</v>
      </c>
      <c r="I260" s="598">
        <f t="shared" ca="1" si="105"/>
        <v>81</v>
      </c>
      <c r="J260" s="598">
        <f t="shared" ca="1" si="105"/>
        <v>85</v>
      </c>
      <c r="K260" s="598">
        <f t="shared" ca="1" si="105"/>
        <v>89</v>
      </c>
      <c r="L260" s="598">
        <f t="shared" ca="1" si="105"/>
        <v>93</v>
      </c>
      <c r="M260" s="598">
        <f t="shared" ca="1" si="105"/>
        <v>97</v>
      </c>
      <c r="N260" s="598">
        <f t="shared" ca="1" si="105"/>
        <v>101</v>
      </c>
      <c r="O260" s="598" t="str">
        <f ca="1">IFERROR(MATCH($B260&amp;O$247,OFFSET(INDIRECT("貼付け_"&amp;$D260&amp;"実績"),4,0,1,209),0)-1,"")</f>
        <v/>
      </c>
      <c r="P260" s="598" t="str">
        <f t="shared" ca="1" si="105"/>
        <v/>
      </c>
      <c r="Q260" s="598" t="str">
        <f t="shared" ca="1" si="105"/>
        <v/>
      </c>
      <c r="R260" s="598" t="str">
        <f t="shared" ca="1" si="105"/>
        <v/>
      </c>
      <c r="S260" s="598" t="str">
        <f t="shared" ca="1" si="105"/>
        <v/>
      </c>
      <c r="T260" s="598" t="str">
        <f t="shared" ca="1" si="105"/>
        <v/>
      </c>
      <c r="U260" s="598" t="str">
        <f t="shared" ca="1" si="105"/>
        <v/>
      </c>
      <c r="V260" s="598" t="str">
        <f t="shared" ca="1" si="105"/>
        <v/>
      </c>
      <c r="W260" s="598" t="str">
        <f t="shared" ca="1" si="105"/>
        <v/>
      </c>
      <c r="X260" s="598" t="str">
        <f t="shared" ca="1" si="105"/>
        <v/>
      </c>
      <c r="Y260" s="598" t="str">
        <f t="shared" ca="1" si="105"/>
        <v/>
      </c>
      <c r="Z260" s="598" t="str">
        <f t="shared" ca="1" si="105"/>
        <v/>
      </c>
      <c r="AA260" s="598" t="str">
        <f t="shared" ca="1" si="105"/>
        <v/>
      </c>
      <c r="AB260" s="598" t="str">
        <f t="shared" ca="1" si="105"/>
        <v/>
      </c>
      <c r="AC260" s="598" t="str">
        <f t="shared" ca="1" si="105"/>
        <v/>
      </c>
      <c r="AD260" s="598" t="str">
        <f t="shared" ca="1" si="105"/>
        <v/>
      </c>
      <c r="AE260" s="598" t="str">
        <f t="shared" ca="1" si="105"/>
        <v/>
      </c>
      <c r="AF260" s="598" t="str">
        <f t="shared" ca="1" si="105"/>
        <v/>
      </c>
      <c r="AG260" s="598" t="str">
        <f t="shared" ca="1" si="105"/>
        <v/>
      </c>
      <c r="AH260" s="598" t="str">
        <f t="shared" ca="1" si="105"/>
        <v/>
      </c>
      <c r="AI260" s="598" t="str">
        <f t="shared" ca="1" si="105"/>
        <v/>
      </c>
      <c r="AJ260" s="598" t="str">
        <f t="shared" ca="1" si="105"/>
        <v/>
      </c>
      <c r="AK260" s="598" t="str">
        <f t="shared" ca="1" si="105"/>
        <v/>
      </c>
      <c r="AL260" s="598" t="str">
        <f t="shared" ca="1" si="105"/>
        <v/>
      </c>
      <c r="AM260" s="598" t="str">
        <f t="shared" ca="1" si="105"/>
        <v/>
      </c>
      <c r="AN260" s="598" t="str">
        <f t="shared" ca="1" si="105"/>
        <v/>
      </c>
      <c r="AO260" s="598" t="str">
        <f t="shared" ca="1" si="105"/>
        <v/>
      </c>
      <c r="AP260" s="598" t="str">
        <f t="shared" ca="1" si="105"/>
        <v/>
      </c>
      <c r="AQ260" s="598" t="str">
        <f t="shared" ca="1" si="105"/>
        <v/>
      </c>
      <c r="AR260" s="598" t="str">
        <f t="shared" ca="1" si="105"/>
        <v/>
      </c>
      <c r="AS260" s="598" t="str">
        <f t="shared" ca="1" si="105"/>
        <v/>
      </c>
      <c r="AT260" s="598" t="str">
        <f t="shared" ca="1" si="105"/>
        <v/>
      </c>
      <c r="AU260" s="598" t="str">
        <f t="shared" ca="1" si="105"/>
        <v/>
      </c>
      <c r="AV260" s="598" t="str">
        <f t="shared" ca="1" si="105"/>
        <v/>
      </c>
      <c r="AW260" s="598" t="str">
        <f t="shared" ca="1" si="105"/>
        <v/>
      </c>
      <c r="AX260" s="598" t="str">
        <f t="shared" ca="1" si="105"/>
        <v/>
      </c>
      <c r="AY260" s="598" t="str">
        <f t="shared" ca="1" si="105"/>
        <v/>
      </c>
      <c r="AZ260" s="598" t="str">
        <f t="shared" ca="1" si="105"/>
        <v/>
      </c>
      <c r="BA260" s="598" t="str">
        <f t="shared" ca="1" si="105"/>
        <v/>
      </c>
      <c r="BB260" s="597" t="str">
        <f t="shared" ca="1" si="105"/>
        <v/>
      </c>
      <c r="BC260" s="156" t="str">
        <f>D260&amp;"年度"</f>
        <v>2024年度</v>
      </c>
      <c r="BD260" s="156">
        <v>1</v>
      </c>
      <c r="BE260" s="156">
        <v>2</v>
      </c>
      <c r="BF260" s="156">
        <v>3</v>
      </c>
      <c r="BG260" s="156">
        <v>4</v>
      </c>
      <c r="BH260" s="156">
        <v>5</v>
      </c>
      <c r="BI260" s="156">
        <v>6</v>
      </c>
      <c r="BJ260" s="156">
        <v>7</v>
      </c>
      <c r="BK260" s="156">
        <v>8</v>
      </c>
      <c r="BL260" s="156">
        <v>9</v>
      </c>
      <c r="BM260" s="156">
        <v>10</v>
      </c>
      <c r="BN260" s="156">
        <v>11</v>
      </c>
      <c r="BO260" s="156">
        <v>12</v>
      </c>
      <c r="BP260" s="156">
        <v>13</v>
      </c>
      <c r="BQ260" s="156">
        <v>14</v>
      </c>
      <c r="BR260" s="156">
        <v>15</v>
      </c>
      <c r="BS260" s="156">
        <v>16</v>
      </c>
      <c r="BT260" s="156">
        <v>17</v>
      </c>
      <c r="BU260" s="156">
        <v>18</v>
      </c>
      <c r="BV260" s="156">
        <v>19</v>
      </c>
      <c r="BW260" s="156">
        <v>20</v>
      </c>
      <c r="BX260" s="156">
        <v>21</v>
      </c>
      <c r="BY260" s="156">
        <v>22</v>
      </c>
      <c r="BZ260" s="156">
        <v>23</v>
      </c>
      <c r="CA260" s="156">
        <v>24</v>
      </c>
      <c r="CB260" s="156">
        <v>25</v>
      </c>
      <c r="CC260" s="156">
        <v>26</v>
      </c>
      <c r="CD260" s="156">
        <v>27</v>
      </c>
      <c r="CE260" s="156">
        <v>28</v>
      </c>
      <c r="CF260" s="156">
        <v>29</v>
      </c>
      <c r="CG260" s="156">
        <v>30</v>
      </c>
      <c r="CH260" s="156">
        <v>31</v>
      </c>
      <c r="CI260" s="156">
        <v>32</v>
      </c>
      <c r="CJ260" s="156">
        <v>33</v>
      </c>
      <c r="CK260" s="156">
        <v>34</v>
      </c>
      <c r="CL260" s="156">
        <v>35</v>
      </c>
      <c r="CM260" s="156">
        <v>36</v>
      </c>
      <c r="CN260" s="156">
        <v>37</v>
      </c>
      <c r="CO260" s="156">
        <v>38</v>
      </c>
      <c r="CP260" s="156">
        <v>39</v>
      </c>
      <c r="CQ260" s="156">
        <v>40</v>
      </c>
      <c r="CR260" s="156">
        <v>41</v>
      </c>
      <c r="CS260" s="156">
        <v>42</v>
      </c>
      <c r="CT260" s="156">
        <v>43</v>
      </c>
      <c r="CU260" s="156">
        <v>44</v>
      </c>
      <c r="CV260" s="156">
        <v>45</v>
      </c>
      <c r="CW260" s="156">
        <v>46</v>
      </c>
      <c r="CX260" s="156">
        <v>47</v>
      </c>
      <c r="CY260" s="156">
        <v>48</v>
      </c>
      <c r="CZ260" s="156">
        <v>49</v>
      </c>
      <c r="DA260" s="156">
        <v>50</v>
      </c>
    </row>
    <row r="261" spans="1:242" s="569" customFormat="1" ht="18.75" hidden="1" customHeight="1">
      <c r="B261" s="1052"/>
      <c r="C261" s="599" t="str">
        <f>D260-1&amp;"/"&amp;D260</f>
        <v>2023/2024</v>
      </c>
      <c r="D261" s="600" t="str">
        <f>""</f>
        <v/>
      </c>
      <c r="E261" s="601" t="str">
        <f>""</f>
        <v/>
      </c>
      <c r="F261" s="601" t="str">
        <f>""</f>
        <v/>
      </c>
      <c r="G261" s="601" t="str">
        <f>""</f>
        <v/>
      </c>
      <c r="H261" s="601" t="str">
        <f>""</f>
        <v/>
      </c>
      <c r="I261" s="601" t="str">
        <f>""</f>
        <v/>
      </c>
      <c r="J261" s="601" t="str">
        <f>""</f>
        <v/>
      </c>
      <c r="K261" s="601" t="str">
        <f>""</f>
        <v/>
      </c>
      <c r="L261" s="601" t="str">
        <f>""</f>
        <v/>
      </c>
      <c r="M261" s="601" t="str">
        <f>""</f>
        <v/>
      </c>
      <c r="N261" s="601" t="str">
        <f>""</f>
        <v/>
      </c>
      <c r="O261" s="601" t="str">
        <f>""</f>
        <v/>
      </c>
      <c r="P261" s="601" t="str">
        <f>""</f>
        <v/>
      </c>
      <c r="Q261" s="601" t="str">
        <f>""</f>
        <v/>
      </c>
      <c r="R261" s="601" t="str">
        <f>""</f>
        <v/>
      </c>
      <c r="S261" s="601" t="str">
        <f>""</f>
        <v/>
      </c>
      <c r="T261" s="601" t="str">
        <f>""</f>
        <v/>
      </c>
      <c r="U261" s="601" t="str">
        <f>""</f>
        <v/>
      </c>
      <c r="V261" s="601" t="str">
        <f>""</f>
        <v/>
      </c>
      <c r="W261" s="601" t="str">
        <f>""</f>
        <v/>
      </c>
      <c r="X261" s="601" t="str">
        <f>""</f>
        <v/>
      </c>
      <c r="Y261" s="601" t="str">
        <f>""</f>
        <v/>
      </c>
      <c r="Z261" s="601" t="str">
        <f>""</f>
        <v/>
      </c>
      <c r="AA261" s="601" t="str">
        <f>""</f>
        <v/>
      </c>
      <c r="AB261" s="601" t="str">
        <f>""</f>
        <v/>
      </c>
      <c r="AC261" s="601" t="str">
        <f>""</f>
        <v/>
      </c>
      <c r="AD261" s="601" t="str">
        <f>""</f>
        <v/>
      </c>
      <c r="AE261" s="601" t="str">
        <f>""</f>
        <v/>
      </c>
      <c r="AF261" s="601" t="str">
        <f>""</f>
        <v/>
      </c>
      <c r="AG261" s="601" t="str">
        <f>""</f>
        <v/>
      </c>
      <c r="AH261" s="601" t="str">
        <f>""</f>
        <v/>
      </c>
      <c r="AI261" s="601" t="str">
        <f>""</f>
        <v/>
      </c>
      <c r="AJ261" s="601" t="str">
        <f>""</f>
        <v/>
      </c>
      <c r="AK261" s="601" t="str">
        <f>""</f>
        <v/>
      </c>
      <c r="AL261" s="601" t="str">
        <f>""</f>
        <v/>
      </c>
      <c r="AM261" s="601" t="str">
        <f>""</f>
        <v/>
      </c>
      <c r="AN261" s="601" t="str">
        <f>""</f>
        <v/>
      </c>
      <c r="AO261" s="601" t="str">
        <f>""</f>
        <v/>
      </c>
      <c r="AP261" s="601" t="str">
        <f>""</f>
        <v/>
      </c>
      <c r="AQ261" s="601" t="str">
        <f>""</f>
        <v/>
      </c>
      <c r="AR261" s="601" t="str">
        <f>""</f>
        <v/>
      </c>
      <c r="AS261" s="601" t="str">
        <f>""</f>
        <v/>
      </c>
      <c r="AT261" s="601" t="str">
        <f>""</f>
        <v/>
      </c>
      <c r="AU261" s="601" t="str">
        <f>""</f>
        <v/>
      </c>
      <c r="AV261" s="601" t="str">
        <f>""</f>
        <v/>
      </c>
      <c r="AW261" s="601" t="str">
        <f>""</f>
        <v/>
      </c>
      <c r="AX261" s="601" t="str">
        <f>""</f>
        <v/>
      </c>
      <c r="AY261" s="601" t="str">
        <f>""</f>
        <v/>
      </c>
      <c r="AZ261" s="601" t="str">
        <f>""</f>
        <v/>
      </c>
      <c r="BA261" s="602" t="str">
        <f>""</f>
        <v/>
      </c>
      <c r="BB261" s="600" t="str">
        <f>""</f>
        <v/>
      </c>
      <c r="BC261" s="601" t="str">
        <f>""</f>
        <v/>
      </c>
      <c r="BD261" s="601" t="str">
        <f t="shared" ref="BD261:CI261" ca="1" si="106">IFERROR(OFFSET(貼付け_2024実績,5,E260+1),"")&amp;""</f>
        <v/>
      </c>
      <c r="BE261" s="601" t="str">
        <f t="shared" ca="1" si="106"/>
        <v/>
      </c>
      <c r="BF261" s="601" t="str">
        <f t="shared" ca="1" si="106"/>
        <v/>
      </c>
      <c r="BG261" s="601" t="str">
        <f t="shared" ca="1" si="106"/>
        <v/>
      </c>
      <c r="BH261" s="601" t="str">
        <f t="shared" ca="1" si="106"/>
        <v/>
      </c>
      <c r="BI261" s="601" t="str">
        <f t="shared" ca="1" si="106"/>
        <v/>
      </c>
      <c r="BJ261" s="601" t="str">
        <f t="shared" ca="1" si="106"/>
        <v/>
      </c>
      <c r="BK261" s="601" t="str">
        <f t="shared" ca="1" si="106"/>
        <v/>
      </c>
      <c r="BL261" s="601" t="str">
        <f t="shared" ca="1" si="106"/>
        <v/>
      </c>
      <c r="BM261" s="601" t="str">
        <f t="shared" ca="1" si="106"/>
        <v/>
      </c>
      <c r="BN261" s="601" t="str">
        <f ca="1">IFERROR(OFFSET(貼付け_2024実績,5,O260+1),"")&amp;""</f>
        <v/>
      </c>
      <c r="BO261" s="601" t="str">
        <f t="shared" ca="1" si="106"/>
        <v/>
      </c>
      <c r="BP261" s="601" t="str">
        <f t="shared" ca="1" si="106"/>
        <v/>
      </c>
      <c r="BQ261" s="601" t="str">
        <f t="shared" ca="1" si="106"/>
        <v/>
      </c>
      <c r="BR261" s="601" t="str">
        <f t="shared" ca="1" si="106"/>
        <v/>
      </c>
      <c r="BS261" s="601" t="str">
        <f t="shared" ca="1" si="106"/>
        <v/>
      </c>
      <c r="BT261" s="601" t="str">
        <f t="shared" ca="1" si="106"/>
        <v/>
      </c>
      <c r="BU261" s="601" t="str">
        <f t="shared" ca="1" si="106"/>
        <v/>
      </c>
      <c r="BV261" s="601" t="str">
        <f t="shared" ca="1" si="106"/>
        <v/>
      </c>
      <c r="BW261" s="601" t="str">
        <f t="shared" ca="1" si="106"/>
        <v/>
      </c>
      <c r="BX261" s="601" t="str">
        <f t="shared" ca="1" si="106"/>
        <v/>
      </c>
      <c r="BY261" s="601" t="str">
        <f t="shared" ca="1" si="106"/>
        <v/>
      </c>
      <c r="BZ261" s="601" t="str">
        <f t="shared" ca="1" si="106"/>
        <v/>
      </c>
      <c r="CA261" s="601" t="str">
        <f t="shared" ca="1" si="106"/>
        <v/>
      </c>
      <c r="CB261" s="601" t="str">
        <f t="shared" ca="1" si="106"/>
        <v/>
      </c>
      <c r="CC261" s="601" t="str">
        <f t="shared" ca="1" si="106"/>
        <v/>
      </c>
      <c r="CD261" s="601" t="str">
        <f t="shared" ca="1" si="106"/>
        <v/>
      </c>
      <c r="CE261" s="601" t="str">
        <f t="shared" ca="1" si="106"/>
        <v/>
      </c>
      <c r="CF261" s="601" t="str">
        <f t="shared" ca="1" si="106"/>
        <v/>
      </c>
      <c r="CG261" s="601" t="str">
        <f t="shared" ca="1" si="106"/>
        <v/>
      </c>
      <c r="CH261" s="601" t="str">
        <f t="shared" ca="1" si="106"/>
        <v/>
      </c>
      <c r="CI261" s="601" t="str">
        <f t="shared" ca="1" si="106"/>
        <v/>
      </c>
      <c r="CJ261" s="601" t="str">
        <f t="shared" ref="CJ261:DA261" ca="1" si="107">IFERROR(OFFSET(貼付け_2024実績,5,AK260+1),"")&amp;""</f>
        <v/>
      </c>
      <c r="CK261" s="601" t="str">
        <f t="shared" ca="1" si="107"/>
        <v/>
      </c>
      <c r="CL261" s="601" t="str">
        <f t="shared" ca="1" si="107"/>
        <v/>
      </c>
      <c r="CM261" s="601" t="str">
        <f t="shared" ca="1" si="107"/>
        <v/>
      </c>
      <c r="CN261" s="601" t="str">
        <f t="shared" ca="1" si="107"/>
        <v/>
      </c>
      <c r="CO261" s="601" t="str">
        <f t="shared" ca="1" si="107"/>
        <v/>
      </c>
      <c r="CP261" s="601" t="str">
        <f t="shared" ca="1" si="107"/>
        <v/>
      </c>
      <c r="CQ261" s="601" t="str">
        <f t="shared" ca="1" si="107"/>
        <v/>
      </c>
      <c r="CR261" s="601" t="str">
        <f t="shared" ca="1" si="107"/>
        <v/>
      </c>
      <c r="CS261" s="601" t="str">
        <f t="shared" ca="1" si="107"/>
        <v/>
      </c>
      <c r="CT261" s="601" t="str">
        <f t="shared" ca="1" si="107"/>
        <v/>
      </c>
      <c r="CU261" s="601" t="str">
        <f t="shared" ca="1" si="107"/>
        <v/>
      </c>
      <c r="CV261" s="601" t="str">
        <f t="shared" ca="1" si="107"/>
        <v/>
      </c>
      <c r="CW261" s="601" t="str">
        <f t="shared" ca="1" si="107"/>
        <v/>
      </c>
      <c r="CX261" s="601" t="str">
        <f t="shared" ca="1" si="107"/>
        <v/>
      </c>
      <c r="CY261" s="601" t="str">
        <f t="shared" ca="1" si="107"/>
        <v/>
      </c>
      <c r="CZ261" s="601" t="str">
        <f t="shared" ca="1" si="107"/>
        <v/>
      </c>
      <c r="DA261" s="601" t="str">
        <f t="shared" ca="1" si="107"/>
        <v/>
      </c>
      <c r="IE261" s="603"/>
      <c r="IF261" s="603"/>
      <c r="IG261" s="603"/>
      <c r="IH261" s="603"/>
    </row>
    <row r="262" spans="1:242" s="569" customFormat="1" ht="19.5" hidden="1" customHeight="1">
      <c r="B262" s="1052"/>
      <c r="C262" s="599" t="str">
        <f>D260-1&amp;"&amp;"&amp;D260</f>
        <v>2023&amp;2024</v>
      </c>
      <c r="D262" s="600" t="str">
        <f>""</f>
        <v/>
      </c>
      <c r="E262" s="601" t="str">
        <f t="array" aca="1" ref="E262" ca="1">IFERROR(INDEX($E261:$DA261,MATCH(0,COUNTIF($D262:D262,$E261:$DA261),0)),"")</f>
        <v/>
      </c>
      <c r="F262" s="601" t="str">
        <f t="array" aca="1" ref="F262" ca="1">IFERROR(INDEX($E261:$DA261,MATCH(0,COUNTIF($D262:E262,$E261:$DA261),0)),"")</f>
        <v/>
      </c>
      <c r="G262" s="601" t="str">
        <f t="array" aca="1" ref="G262" ca="1">IFERROR(INDEX($E261:$DA261,MATCH(0,COUNTIF($D262:F262,$E261:$DA261),0)),"")</f>
        <v/>
      </c>
      <c r="H262" s="601" t="str">
        <f t="array" aca="1" ref="H262" ca="1">IFERROR(INDEX($E261:$DA261,MATCH(0,COUNTIF($D262:G262,$E261:$DA261),0)),"")</f>
        <v/>
      </c>
      <c r="I262" s="601" t="str">
        <f t="array" aca="1" ref="I262" ca="1">IFERROR(INDEX($E261:$DA261,MATCH(0,COUNTIF($D262:H262,$E261:$DA261),0)),"")</f>
        <v/>
      </c>
      <c r="J262" s="601" t="str">
        <f t="array" aca="1" ref="J262" ca="1">IFERROR(INDEX($E261:$DA261,MATCH(0,COUNTIF($D262:I262,$E261:$DA261),0)),"")</f>
        <v/>
      </c>
      <c r="K262" s="601" t="str">
        <f t="array" aca="1" ref="K262" ca="1">IFERROR(INDEX($E261:$DA261,MATCH(0,COUNTIF($D262:J262,$E261:$DA261),0)),"")</f>
        <v/>
      </c>
      <c r="L262" s="601" t="str">
        <f t="array" aca="1" ref="L262" ca="1">IFERROR(INDEX($E261:$DA261,MATCH(0,COUNTIF($D262:K262,$E261:$DA261),0)),"")</f>
        <v/>
      </c>
      <c r="M262" s="601" t="str">
        <f t="array" aca="1" ref="M262" ca="1">IFERROR(INDEX($E261:$DA261,MATCH(0,COUNTIF($D262:L262,$E261:$DA261),0)),"")</f>
        <v/>
      </c>
      <c r="N262" s="601" t="str">
        <f t="array" aca="1" ref="N262" ca="1">IFERROR(INDEX($E261:$DA261,MATCH(0,COUNTIF($D262:M262,$E261:$DA261),0)),"")</f>
        <v/>
      </c>
      <c r="O262" s="601" t="str">
        <f t="array" aca="1" ref="O262" ca="1">IFERROR(INDEX($E261:$DA261,MATCH(0,COUNTIF($D262:N262,$E261:$DA261),0)),"")</f>
        <v/>
      </c>
      <c r="P262" s="601" t="str">
        <f t="array" aca="1" ref="P262" ca="1">IFERROR(INDEX($E261:$DA261,MATCH(0,COUNTIF($D262:O262,$E261:$DA261),0)),"")</f>
        <v/>
      </c>
      <c r="Q262" s="601" t="str">
        <f t="array" aca="1" ref="Q262" ca="1">IFERROR(INDEX($E261:$DA261,MATCH(0,COUNTIF($D262:P262,$E261:$DA261),0)),"")</f>
        <v/>
      </c>
      <c r="R262" s="601" t="str">
        <f t="array" aca="1" ref="R262" ca="1">IFERROR(INDEX($E261:$DA261,MATCH(0,COUNTIF($D262:Q262,$E261:$DA261),0)),"")</f>
        <v/>
      </c>
      <c r="S262" s="601" t="str">
        <f t="array" aca="1" ref="S262" ca="1">IFERROR(INDEX($E261:$DA261,MATCH(0,COUNTIF($D262:R262,$E261:$DA261),0)),"")</f>
        <v/>
      </c>
      <c r="T262" s="601" t="str">
        <f t="array" aca="1" ref="T262" ca="1">IFERROR(INDEX($E261:$DA261,MATCH(0,COUNTIF($D262:S262,$E261:$DA261),0)),"")</f>
        <v/>
      </c>
      <c r="U262" s="601" t="str">
        <f t="array" aca="1" ref="U262" ca="1">IFERROR(INDEX($E261:$DA261,MATCH(0,COUNTIF($D262:T262,$E261:$DA261),0)),"")</f>
        <v/>
      </c>
      <c r="V262" s="601" t="str">
        <f t="array" aca="1" ref="V262" ca="1">IFERROR(INDEX($E261:$DA261,MATCH(0,COUNTIF($D262:U262,$E261:$DA261),0)),"")</f>
        <v/>
      </c>
      <c r="W262" s="601" t="str">
        <f t="array" aca="1" ref="W262" ca="1">IFERROR(INDEX($E261:$DA261,MATCH(0,COUNTIF($D262:V262,$E261:$DA261),0)),"")</f>
        <v/>
      </c>
      <c r="X262" s="601" t="str">
        <f t="array" aca="1" ref="X262" ca="1">IFERROR(INDEX($E261:$DA261,MATCH(0,COUNTIF($D262:W262,$E261:$DA261),0)),"")</f>
        <v/>
      </c>
      <c r="Y262" s="601" t="str">
        <f t="array" aca="1" ref="Y262" ca="1">IFERROR(INDEX($E261:$DA261,MATCH(0,COUNTIF($D262:X262,$E261:$DA261),0)),"")</f>
        <v/>
      </c>
      <c r="Z262" s="601" t="str">
        <f t="array" aca="1" ref="Z262" ca="1">IFERROR(INDEX($E261:$DA261,MATCH(0,COUNTIF($D262:Y262,$E261:$DA261),0)),"")</f>
        <v/>
      </c>
      <c r="AA262" s="601" t="str">
        <f t="array" aca="1" ref="AA262" ca="1">IFERROR(INDEX($E261:$DA261,MATCH(0,COUNTIF($D262:Z262,$E261:$DA261),0)),"")</f>
        <v/>
      </c>
      <c r="AB262" s="601" t="str">
        <f t="array" aca="1" ref="AB262" ca="1">IFERROR(INDEX($E261:$DA261,MATCH(0,COUNTIF($D262:AA262,$E261:$DA261),0)),"")</f>
        <v/>
      </c>
      <c r="AC262" s="601" t="str">
        <f t="array" aca="1" ref="AC262" ca="1">IFERROR(INDEX($E261:$DA261,MATCH(0,COUNTIF($D262:AB262,$E261:$DA261),0)),"")</f>
        <v/>
      </c>
      <c r="AD262" s="601" t="str">
        <f t="array" aca="1" ref="AD262" ca="1">IFERROR(INDEX($E261:$DA261,MATCH(0,COUNTIF($D262:AC262,$E261:$DA261),0)),"")</f>
        <v/>
      </c>
      <c r="AE262" s="601" t="str">
        <f t="array" aca="1" ref="AE262" ca="1">IFERROR(INDEX($E261:$DA261,MATCH(0,COUNTIF($D262:AD262,$E261:$DA261),0)),"")</f>
        <v/>
      </c>
      <c r="AF262" s="601" t="str">
        <f t="array" aca="1" ref="AF262" ca="1">IFERROR(INDEX($E261:$DA261,MATCH(0,COUNTIF($D262:AE262,$E261:$DA261),0)),"")</f>
        <v/>
      </c>
      <c r="AG262" s="601" t="str">
        <f t="array" aca="1" ref="AG262" ca="1">IFERROR(INDEX($E261:$DA261,MATCH(0,COUNTIF($D262:AF262,$E261:$DA261),0)),"")</f>
        <v/>
      </c>
      <c r="AH262" s="601" t="str">
        <f t="array" aca="1" ref="AH262" ca="1">IFERROR(INDEX($E261:$DA261,MATCH(0,COUNTIF($D262:AG262,$E261:$DA261),0)),"")</f>
        <v/>
      </c>
      <c r="AI262" s="601" t="str">
        <f t="array" aca="1" ref="AI262" ca="1">IFERROR(INDEX($E261:$DA261,MATCH(0,COUNTIF($D262:AH262,$E261:$DA261),0)),"")</f>
        <v/>
      </c>
      <c r="AJ262" s="601" t="str">
        <f t="array" aca="1" ref="AJ262" ca="1">IFERROR(INDEX($E261:$DA261,MATCH(0,COUNTIF($D262:AI262,$E261:$DA261),0)),"")</f>
        <v/>
      </c>
      <c r="AK262" s="601" t="str">
        <f t="array" aca="1" ref="AK262" ca="1">IFERROR(INDEX($E261:$DA261,MATCH(0,COUNTIF($D262:AJ262,$E261:$DA261),0)),"")</f>
        <v/>
      </c>
      <c r="AL262" s="601" t="str">
        <f t="array" aca="1" ref="AL262" ca="1">IFERROR(INDEX($E261:$DA261,MATCH(0,COUNTIF($D262:AK262,$E261:$DA261),0)),"")</f>
        <v/>
      </c>
      <c r="AM262" s="601" t="str">
        <f t="array" aca="1" ref="AM262" ca="1">IFERROR(INDEX($E261:$DA261,MATCH(0,COUNTIF($D262:AL262,$E261:$DA261),0)),"")</f>
        <v/>
      </c>
      <c r="AN262" s="601" t="str">
        <f t="array" aca="1" ref="AN262" ca="1">IFERROR(INDEX($E261:$DA261,MATCH(0,COUNTIF($D262:AM262,$E261:$DA261),0)),"")</f>
        <v/>
      </c>
      <c r="AO262" s="601" t="str">
        <f t="array" aca="1" ref="AO262" ca="1">IFERROR(INDEX($E261:$DA261,MATCH(0,COUNTIF($D262:AN262,$E261:$DA261),0)),"")</f>
        <v/>
      </c>
      <c r="AP262" s="601" t="str">
        <f t="array" aca="1" ref="AP262" ca="1">IFERROR(INDEX($E261:$DA261,MATCH(0,COUNTIF($D262:AO262,$E261:$DA261),0)),"")</f>
        <v/>
      </c>
      <c r="AQ262" s="601" t="str">
        <f t="array" aca="1" ref="AQ262" ca="1">IFERROR(INDEX($E261:$DA261,MATCH(0,COUNTIF($D262:AP262,$E261:$DA261),0)),"")</f>
        <v/>
      </c>
      <c r="AR262" s="601" t="str">
        <f t="array" aca="1" ref="AR262" ca="1">IFERROR(INDEX($E261:$DA261,MATCH(0,COUNTIF($D262:AQ262,$E261:$DA261),0)),"")</f>
        <v/>
      </c>
      <c r="AS262" s="601" t="str">
        <f t="array" aca="1" ref="AS262" ca="1">IFERROR(INDEX($E261:$DA261,MATCH(0,COUNTIF($D262:AR262,$E261:$DA261),0)),"")</f>
        <v/>
      </c>
      <c r="AT262" s="601" t="str">
        <f t="array" aca="1" ref="AT262" ca="1">IFERROR(INDEX($E261:$DA261,MATCH(0,COUNTIF($D262:AS262,$E261:$DA261),0)),"")</f>
        <v/>
      </c>
      <c r="AU262" s="601" t="str">
        <f t="array" aca="1" ref="AU262" ca="1">IFERROR(INDEX($E261:$DA261,MATCH(0,COUNTIF($D262:AT262,$E261:$DA261),0)),"")</f>
        <v/>
      </c>
      <c r="AV262" s="601" t="str">
        <f t="array" aca="1" ref="AV262" ca="1">IFERROR(INDEX($E261:$DA261,MATCH(0,COUNTIF($D262:AU262,$E261:$DA261),0)),"")</f>
        <v/>
      </c>
      <c r="AW262" s="601" t="str">
        <f t="array" aca="1" ref="AW262" ca="1">IFERROR(INDEX($E261:$DA261,MATCH(0,COUNTIF($D262:AV262,$E261:$DA261),0)),"")</f>
        <v/>
      </c>
      <c r="AX262" s="601" t="str">
        <f t="array" aca="1" ref="AX262" ca="1">IFERROR(INDEX($E261:$DA261,MATCH(0,COUNTIF($D262:AW262,$E261:$DA261),0)),"")</f>
        <v/>
      </c>
      <c r="AY262" s="601" t="str">
        <f t="array" aca="1" ref="AY262" ca="1">IFERROR(INDEX($E261:$DA261,MATCH(0,COUNTIF($D262:AX262,$E261:$DA261),0)),"")</f>
        <v/>
      </c>
      <c r="AZ262" s="601" t="str">
        <f t="array" aca="1" ref="AZ262" ca="1">IFERROR(INDEX($E261:$DA261,MATCH(0,COUNTIF($D262:AY262,$E261:$DA261),0)),"")</f>
        <v/>
      </c>
      <c r="BA262" s="602" t="str">
        <f t="array" aca="1" ref="BA262" ca="1">IFERROR(INDEX($E261:$DA261,MATCH(0,COUNTIF($D262:AZ262,$E261:$DA261),0)),"")</f>
        <v/>
      </c>
      <c r="BB262" s="600" t="str">
        <f t="array" aca="1" ref="BB262" ca="1">IFERROR(INDEX($E261:$DA261,MATCH(0,COUNTIF($D262:BA262,$E261:$DA261),0)),"")</f>
        <v/>
      </c>
      <c r="BC262" s="604"/>
      <c r="BD262" s="604" t="str">
        <f>""</f>
        <v/>
      </c>
      <c r="BE262" s="604"/>
      <c r="BF262" s="604"/>
      <c r="BG262" s="604"/>
      <c r="BH262" s="604"/>
      <c r="BI262" s="604"/>
      <c r="BJ262" s="604"/>
      <c r="BK262" s="604"/>
      <c r="BL262" s="604"/>
      <c r="BM262" s="604"/>
      <c r="BN262" s="604"/>
      <c r="BO262" s="604"/>
      <c r="BP262" s="604"/>
      <c r="BQ262" s="604"/>
      <c r="BR262" s="604"/>
      <c r="BS262" s="604"/>
      <c r="BT262" s="604"/>
      <c r="BU262" s="604"/>
      <c r="BV262" s="604"/>
      <c r="BW262" s="604"/>
      <c r="IE262" s="603"/>
      <c r="IF262" s="603"/>
      <c r="IG262" s="603"/>
      <c r="IH262" s="603"/>
    </row>
    <row r="263" spans="1:242" s="569" customFormat="1" hidden="1">
      <c r="B263" s="1052"/>
      <c r="C263" s="599" t="s">
        <v>674</v>
      </c>
      <c r="D263" s="600" t="str">
        <f>""</f>
        <v/>
      </c>
      <c r="E263" s="601" t="str">
        <f t="shared" ref="E263:AJ263" ca="1" si="108">IF(OFFSET(貼付け_2024実績,2,12)="■",BD261,IFERROR(INDEX($BD261:$DA261,MATCH(E262,$BD261:$DA261,0)),""))</f>
        <v/>
      </c>
      <c r="F263" s="601" t="str">
        <f t="shared" ca="1" si="108"/>
        <v/>
      </c>
      <c r="G263" s="601" t="str">
        <f t="shared" ca="1" si="108"/>
        <v/>
      </c>
      <c r="H263" s="601" t="str">
        <f t="shared" ca="1" si="108"/>
        <v/>
      </c>
      <c r="I263" s="601" t="str">
        <f t="shared" ca="1" si="108"/>
        <v/>
      </c>
      <c r="J263" s="601" t="str">
        <f t="shared" ca="1" si="108"/>
        <v/>
      </c>
      <c r="K263" s="601" t="str">
        <f t="shared" ca="1" si="108"/>
        <v/>
      </c>
      <c r="L263" s="601" t="str">
        <f t="shared" ca="1" si="108"/>
        <v/>
      </c>
      <c r="M263" s="601" t="str">
        <f t="shared" ca="1" si="108"/>
        <v/>
      </c>
      <c r="N263" s="601" t="str">
        <f t="shared" ca="1" si="108"/>
        <v/>
      </c>
      <c r="O263" s="601" t="str">
        <f ca="1">IF(OFFSET(貼付け_2024実績,2,12)="■",BN261,IFERROR(INDEX($BD261:$DA261,MATCH(O262,$BD261:$DA261,0)),""))</f>
        <v/>
      </c>
      <c r="P263" s="601" t="str">
        <f t="shared" ca="1" si="108"/>
        <v/>
      </c>
      <c r="Q263" s="601" t="str">
        <f t="shared" ca="1" si="108"/>
        <v/>
      </c>
      <c r="R263" s="601" t="str">
        <f t="shared" ca="1" si="108"/>
        <v/>
      </c>
      <c r="S263" s="601" t="str">
        <f t="shared" ca="1" si="108"/>
        <v/>
      </c>
      <c r="T263" s="601" t="str">
        <f t="shared" ca="1" si="108"/>
        <v/>
      </c>
      <c r="U263" s="601" t="str">
        <f t="shared" ca="1" si="108"/>
        <v/>
      </c>
      <c r="V263" s="601" t="str">
        <f t="shared" ca="1" si="108"/>
        <v/>
      </c>
      <c r="W263" s="601" t="str">
        <f t="shared" ca="1" si="108"/>
        <v/>
      </c>
      <c r="X263" s="601" t="str">
        <f t="shared" ca="1" si="108"/>
        <v/>
      </c>
      <c r="Y263" s="601" t="str">
        <f t="shared" ca="1" si="108"/>
        <v/>
      </c>
      <c r="Z263" s="601" t="str">
        <f t="shared" ca="1" si="108"/>
        <v/>
      </c>
      <c r="AA263" s="601" t="str">
        <f t="shared" ca="1" si="108"/>
        <v/>
      </c>
      <c r="AB263" s="601" t="str">
        <f t="shared" ca="1" si="108"/>
        <v/>
      </c>
      <c r="AC263" s="601" t="str">
        <f t="shared" ca="1" si="108"/>
        <v/>
      </c>
      <c r="AD263" s="601" t="str">
        <f t="shared" ca="1" si="108"/>
        <v/>
      </c>
      <c r="AE263" s="601" t="str">
        <f t="shared" ca="1" si="108"/>
        <v/>
      </c>
      <c r="AF263" s="601" t="str">
        <f t="shared" ca="1" si="108"/>
        <v/>
      </c>
      <c r="AG263" s="601" t="str">
        <f t="shared" ca="1" si="108"/>
        <v/>
      </c>
      <c r="AH263" s="601" t="str">
        <f t="shared" ca="1" si="108"/>
        <v/>
      </c>
      <c r="AI263" s="601" t="str">
        <f t="shared" ca="1" si="108"/>
        <v/>
      </c>
      <c r="AJ263" s="601" t="str">
        <f t="shared" ca="1" si="108"/>
        <v/>
      </c>
      <c r="AK263" s="601" t="str">
        <f t="shared" ref="AK263:BB263" ca="1" si="109">IF(OFFSET(貼付け_2024実績,2,12)="■",CJ261,IFERROR(INDEX($BD261:$DA261,MATCH(AK262,$BD261:$DA261,0)),""))</f>
        <v/>
      </c>
      <c r="AL263" s="601" t="str">
        <f t="shared" ca="1" si="109"/>
        <v/>
      </c>
      <c r="AM263" s="601" t="str">
        <f t="shared" ca="1" si="109"/>
        <v/>
      </c>
      <c r="AN263" s="601" t="str">
        <f t="shared" ca="1" si="109"/>
        <v/>
      </c>
      <c r="AO263" s="601" t="str">
        <f t="shared" ca="1" si="109"/>
        <v/>
      </c>
      <c r="AP263" s="601" t="str">
        <f t="shared" ca="1" si="109"/>
        <v/>
      </c>
      <c r="AQ263" s="601" t="str">
        <f t="shared" ca="1" si="109"/>
        <v/>
      </c>
      <c r="AR263" s="601" t="str">
        <f t="shared" ca="1" si="109"/>
        <v/>
      </c>
      <c r="AS263" s="601" t="str">
        <f t="shared" ca="1" si="109"/>
        <v/>
      </c>
      <c r="AT263" s="601" t="str">
        <f t="shared" ca="1" si="109"/>
        <v/>
      </c>
      <c r="AU263" s="601" t="str">
        <f t="shared" ca="1" si="109"/>
        <v/>
      </c>
      <c r="AV263" s="601" t="str">
        <f t="shared" ca="1" si="109"/>
        <v/>
      </c>
      <c r="AW263" s="601" t="str">
        <f t="shared" ca="1" si="109"/>
        <v/>
      </c>
      <c r="AX263" s="601" t="str">
        <f t="shared" ca="1" si="109"/>
        <v/>
      </c>
      <c r="AY263" s="601" t="str">
        <f t="shared" ca="1" si="109"/>
        <v/>
      </c>
      <c r="AZ263" s="601" t="str">
        <f t="shared" ca="1" si="109"/>
        <v/>
      </c>
      <c r="BA263" s="602" t="str">
        <f t="shared" ca="1" si="109"/>
        <v/>
      </c>
      <c r="BB263" s="600" t="str">
        <f t="shared" ca="1" si="109"/>
        <v/>
      </c>
      <c r="BD263" s="569" t="str">
        <f>""</f>
        <v/>
      </c>
      <c r="IE263" s="603"/>
      <c r="IF263" s="603"/>
      <c r="IG263" s="603"/>
      <c r="IH263" s="603"/>
    </row>
    <row r="264" spans="1:242" s="569" customFormat="1" hidden="1">
      <c r="B264" s="1052"/>
      <c r="C264" s="605" t="s">
        <v>675</v>
      </c>
      <c r="D264" s="606">
        <v>6</v>
      </c>
      <c r="E264" s="607" t="str">
        <f t="shared" ref="E264:AJ264" ca="1" si="110">OFFSET(A1_名称2024,E$247+2,$D264)&amp;""</f>
        <v/>
      </c>
      <c r="F264" s="607" t="str">
        <f t="shared" ca="1" si="110"/>
        <v/>
      </c>
      <c r="G264" s="607" t="str">
        <f t="shared" ca="1" si="110"/>
        <v/>
      </c>
      <c r="H264" s="607" t="str">
        <f t="shared" ca="1" si="110"/>
        <v/>
      </c>
      <c r="I264" s="607" t="str">
        <f t="shared" ca="1" si="110"/>
        <v/>
      </c>
      <c r="J264" s="607" t="str">
        <f t="shared" ca="1" si="110"/>
        <v/>
      </c>
      <c r="K264" s="607" t="str">
        <f t="shared" ca="1" si="110"/>
        <v/>
      </c>
      <c r="L264" s="607" t="str">
        <f t="shared" ca="1" si="110"/>
        <v/>
      </c>
      <c r="M264" s="607" t="str">
        <f t="shared" ca="1" si="110"/>
        <v/>
      </c>
      <c r="N264" s="607" t="str">
        <f t="shared" ca="1" si="110"/>
        <v/>
      </c>
      <c r="O264" s="607" t="str">
        <f ca="1">OFFSET(A1_名称2024,O$247+2,$D264)&amp;""</f>
        <v/>
      </c>
      <c r="P264" s="607" t="str">
        <f t="shared" ca="1" si="110"/>
        <v/>
      </c>
      <c r="Q264" s="607" t="str">
        <f t="shared" ca="1" si="110"/>
        <v/>
      </c>
      <c r="R264" s="607" t="str">
        <f t="shared" ca="1" si="110"/>
        <v/>
      </c>
      <c r="S264" s="607" t="str">
        <f t="shared" ca="1" si="110"/>
        <v/>
      </c>
      <c r="T264" s="607" t="str">
        <f t="shared" ca="1" si="110"/>
        <v/>
      </c>
      <c r="U264" s="607" t="str">
        <f t="shared" ca="1" si="110"/>
        <v/>
      </c>
      <c r="V264" s="607" t="str">
        <f t="shared" ca="1" si="110"/>
        <v/>
      </c>
      <c r="W264" s="607" t="str">
        <f t="shared" ca="1" si="110"/>
        <v/>
      </c>
      <c r="X264" s="607" t="str">
        <f t="shared" ca="1" si="110"/>
        <v/>
      </c>
      <c r="Y264" s="607" t="str">
        <f t="shared" ca="1" si="110"/>
        <v/>
      </c>
      <c r="Z264" s="607" t="str">
        <f t="shared" ca="1" si="110"/>
        <v/>
      </c>
      <c r="AA264" s="607" t="str">
        <f t="shared" ca="1" si="110"/>
        <v/>
      </c>
      <c r="AB264" s="607" t="str">
        <f t="shared" ca="1" si="110"/>
        <v/>
      </c>
      <c r="AC264" s="607" t="str">
        <f t="shared" ca="1" si="110"/>
        <v/>
      </c>
      <c r="AD264" s="607" t="str">
        <f t="shared" ca="1" si="110"/>
        <v/>
      </c>
      <c r="AE264" s="607" t="str">
        <f t="shared" ca="1" si="110"/>
        <v/>
      </c>
      <c r="AF264" s="607" t="str">
        <f t="shared" ca="1" si="110"/>
        <v/>
      </c>
      <c r="AG264" s="607" t="str">
        <f t="shared" ca="1" si="110"/>
        <v/>
      </c>
      <c r="AH264" s="607" t="str">
        <f t="shared" ca="1" si="110"/>
        <v/>
      </c>
      <c r="AI264" s="607" t="str">
        <f t="shared" ca="1" si="110"/>
        <v/>
      </c>
      <c r="AJ264" s="607" t="str">
        <f t="shared" ca="1" si="110"/>
        <v/>
      </c>
      <c r="AK264" s="607" t="str">
        <f t="shared" ref="AK264:BB264" ca="1" si="111">OFFSET(A1_名称2024,AK$247+2,$D264)&amp;""</f>
        <v/>
      </c>
      <c r="AL264" s="607" t="str">
        <f t="shared" ca="1" si="111"/>
        <v/>
      </c>
      <c r="AM264" s="607" t="str">
        <f t="shared" ca="1" si="111"/>
        <v/>
      </c>
      <c r="AN264" s="607" t="str">
        <f t="shared" ca="1" si="111"/>
        <v/>
      </c>
      <c r="AO264" s="607" t="str">
        <f t="shared" ca="1" si="111"/>
        <v/>
      </c>
      <c r="AP264" s="607" t="str">
        <f t="shared" ca="1" si="111"/>
        <v/>
      </c>
      <c r="AQ264" s="607" t="str">
        <f t="shared" ca="1" si="111"/>
        <v/>
      </c>
      <c r="AR264" s="607" t="str">
        <f t="shared" ca="1" si="111"/>
        <v/>
      </c>
      <c r="AS264" s="607" t="str">
        <f t="shared" ca="1" si="111"/>
        <v/>
      </c>
      <c r="AT264" s="607" t="str">
        <f t="shared" ca="1" si="111"/>
        <v/>
      </c>
      <c r="AU264" s="607" t="str">
        <f t="shared" ca="1" si="111"/>
        <v/>
      </c>
      <c r="AV264" s="607" t="str">
        <f t="shared" ca="1" si="111"/>
        <v/>
      </c>
      <c r="AW264" s="607" t="str">
        <f t="shared" ca="1" si="111"/>
        <v/>
      </c>
      <c r="AX264" s="607" t="str">
        <f t="shared" ca="1" si="111"/>
        <v/>
      </c>
      <c r="AY264" s="607" t="str">
        <f t="shared" ca="1" si="111"/>
        <v/>
      </c>
      <c r="AZ264" s="607" t="str">
        <f t="shared" ca="1" si="111"/>
        <v/>
      </c>
      <c r="BA264" s="608" t="str">
        <f t="shared" ca="1" si="111"/>
        <v/>
      </c>
      <c r="BB264" s="606" t="str">
        <f t="shared" ca="1" si="111"/>
        <v/>
      </c>
      <c r="IE264" s="603"/>
      <c r="IF264" s="603"/>
      <c r="IG264" s="603"/>
      <c r="IH264" s="603"/>
    </row>
    <row r="265" spans="1:242" s="569" customFormat="1" hidden="1">
      <c r="B265" s="1052"/>
      <c r="C265" s="599" t="s">
        <v>676</v>
      </c>
      <c r="D265" s="600"/>
      <c r="E265" s="601" t="str">
        <f ca="1">IF(E264="","",IFERROR(INDEX($E260:$BB260,MATCH(E264,$BD261:$DA261,0)),""))</f>
        <v/>
      </c>
      <c r="F265" s="601" t="str">
        <f t="shared" ref="F265:N265" ca="1" si="112">IF(F264="","",IFERROR(INDEX($E260:$BB260,MATCH(F264,$BD261:$DA261,0)),""))</f>
        <v/>
      </c>
      <c r="G265" s="601" t="str">
        <f t="shared" ca="1" si="112"/>
        <v/>
      </c>
      <c r="H265" s="601" t="str">
        <f t="shared" ca="1" si="112"/>
        <v/>
      </c>
      <c r="I265" s="601" t="str">
        <f t="shared" ca="1" si="112"/>
        <v/>
      </c>
      <c r="J265" s="601" t="str">
        <f t="shared" ca="1" si="112"/>
        <v/>
      </c>
      <c r="K265" s="601" t="str">
        <f t="shared" ca="1" si="112"/>
        <v/>
      </c>
      <c r="L265" s="601" t="str">
        <f t="shared" ca="1" si="112"/>
        <v/>
      </c>
      <c r="M265" s="601" t="str">
        <f t="shared" ca="1" si="112"/>
        <v/>
      </c>
      <c r="N265" s="601" t="str">
        <f t="shared" ca="1" si="112"/>
        <v/>
      </c>
      <c r="O265" s="601" t="str">
        <f ca="1">IF(O264="","",IFERROR(INDEX($E260:$BB260,MATCH(O264,$BD261:$DA261,0)),""))</f>
        <v/>
      </c>
      <c r="P265" s="601" t="str">
        <f t="shared" ref="P265:BB265" ca="1" si="113">IF(P264="","",IFERROR(INDEX($E260:$BB260,MATCH(P264,$BD261:$DA261,0)),""))</f>
        <v/>
      </c>
      <c r="Q265" s="601" t="str">
        <f t="shared" ca="1" si="113"/>
        <v/>
      </c>
      <c r="R265" s="601" t="str">
        <f t="shared" ca="1" si="113"/>
        <v/>
      </c>
      <c r="S265" s="601" t="str">
        <f t="shared" ca="1" si="113"/>
        <v/>
      </c>
      <c r="T265" s="601" t="str">
        <f t="shared" ca="1" si="113"/>
        <v/>
      </c>
      <c r="U265" s="601" t="str">
        <f t="shared" ca="1" si="113"/>
        <v/>
      </c>
      <c r="V265" s="601" t="str">
        <f t="shared" ca="1" si="113"/>
        <v/>
      </c>
      <c r="W265" s="601" t="str">
        <f t="shared" ca="1" si="113"/>
        <v/>
      </c>
      <c r="X265" s="601" t="str">
        <f t="shared" ca="1" si="113"/>
        <v/>
      </c>
      <c r="Y265" s="601" t="str">
        <f t="shared" ca="1" si="113"/>
        <v/>
      </c>
      <c r="Z265" s="601" t="str">
        <f t="shared" ca="1" si="113"/>
        <v/>
      </c>
      <c r="AA265" s="601" t="str">
        <f t="shared" ca="1" si="113"/>
        <v/>
      </c>
      <c r="AB265" s="601" t="str">
        <f t="shared" ca="1" si="113"/>
        <v/>
      </c>
      <c r="AC265" s="601" t="str">
        <f t="shared" ca="1" si="113"/>
        <v/>
      </c>
      <c r="AD265" s="601" t="str">
        <f t="shared" ca="1" si="113"/>
        <v/>
      </c>
      <c r="AE265" s="601" t="str">
        <f t="shared" ca="1" si="113"/>
        <v/>
      </c>
      <c r="AF265" s="601" t="str">
        <f t="shared" ca="1" si="113"/>
        <v/>
      </c>
      <c r="AG265" s="601" t="str">
        <f t="shared" ca="1" si="113"/>
        <v/>
      </c>
      <c r="AH265" s="601" t="str">
        <f t="shared" ca="1" si="113"/>
        <v/>
      </c>
      <c r="AI265" s="601" t="str">
        <f t="shared" ca="1" si="113"/>
        <v/>
      </c>
      <c r="AJ265" s="601" t="str">
        <f t="shared" ca="1" si="113"/>
        <v/>
      </c>
      <c r="AK265" s="601" t="str">
        <f t="shared" ca="1" si="113"/>
        <v/>
      </c>
      <c r="AL265" s="601" t="str">
        <f t="shared" ca="1" si="113"/>
        <v/>
      </c>
      <c r="AM265" s="601" t="str">
        <f t="shared" ca="1" si="113"/>
        <v/>
      </c>
      <c r="AN265" s="601" t="str">
        <f t="shared" ca="1" si="113"/>
        <v/>
      </c>
      <c r="AO265" s="601" t="str">
        <f t="shared" ca="1" si="113"/>
        <v/>
      </c>
      <c r="AP265" s="601" t="str">
        <f t="shared" ca="1" si="113"/>
        <v/>
      </c>
      <c r="AQ265" s="601" t="str">
        <f t="shared" ca="1" si="113"/>
        <v/>
      </c>
      <c r="AR265" s="601" t="str">
        <f t="shared" ca="1" si="113"/>
        <v/>
      </c>
      <c r="AS265" s="601" t="str">
        <f t="shared" ca="1" si="113"/>
        <v/>
      </c>
      <c r="AT265" s="601" t="str">
        <f t="shared" ca="1" si="113"/>
        <v/>
      </c>
      <c r="AU265" s="601" t="str">
        <f t="shared" ca="1" si="113"/>
        <v/>
      </c>
      <c r="AV265" s="601" t="str">
        <f t="shared" ca="1" si="113"/>
        <v/>
      </c>
      <c r="AW265" s="601" t="str">
        <f t="shared" ca="1" si="113"/>
        <v/>
      </c>
      <c r="AX265" s="601" t="str">
        <f t="shared" ca="1" si="113"/>
        <v/>
      </c>
      <c r="AY265" s="601" t="str">
        <f t="shared" ca="1" si="113"/>
        <v/>
      </c>
      <c r="AZ265" s="601" t="str">
        <f t="shared" ca="1" si="113"/>
        <v/>
      </c>
      <c r="BA265" s="602" t="str">
        <f t="shared" ca="1" si="113"/>
        <v/>
      </c>
      <c r="BB265" s="600" t="str">
        <f t="shared" ca="1" si="113"/>
        <v/>
      </c>
      <c r="IE265" s="603"/>
      <c r="IF265" s="603"/>
      <c r="IG265" s="603"/>
      <c r="IH265" s="603"/>
    </row>
    <row r="266" spans="1:242" s="164" customFormat="1" ht="19.8" hidden="1">
      <c r="A266" s="569"/>
      <c r="B266" s="1052"/>
      <c r="C266" s="609" t="s">
        <v>677</v>
      </c>
      <c r="D266" s="610">
        <v>6</v>
      </c>
      <c r="E266" s="611" t="str">
        <f t="shared" ref="E266:AJ266" ca="1" si="114">IFERROR(OFFSET(貼付け_2024実績,$D266,E265+1)&amp;"","")</f>
        <v/>
      </c>
      <c r="F266" s="611" t="str">
        <f t="shared" ca="1" si="114"/>
        <v/>
      </c>
      <c r="G266" s="611" t="str">
        <f t="shared" ca="1" si="114"/>
        <v/>
      </c>
      <c r="H266" s="611" t="str">
        <f t="shared" ca="1" si="114"/>
        <v/>
      </c>
      <c r="I266" s="611" t="str">
        <f t="shared" ca="1" si="114"/>
        <v/>
      </c>
      <c r="J266" s="611" t="str">
        <f t="shared" ca="1" si="114"/>
        <v/>
      </c>
      <c r="K266" s="611" t="str">
        <f t="shared" ca="1" si="114"/>
        <v/>
      </c>
      <c r="L266" s="611" t="str">
        <f t="shared" ca="1" si="114"/>
        <v/>
      </c>
      <c r="M266" s="611" t="str">
        <f t="shared" ca="1" si="114"/>
        <v/>
      </c>
      <c r="N266" s="611" t="str">
        <f t="shared" ca="1" si="114"/>
        <v/>
      </c>
      <c r="O266" s="611" t="str">
        <f ca="1">IFERROR(OFFSET(貼付け_2024実績,$D266,O265+1)&amp;"","")</f>
        <v/>
      </c>
      <c r="P266" s="611" t="str">
        <f t="shared" ca="1" si="114"/>
        <v/>
      </c>
      <c r="Q266" s="611" t="str">
        <f t="shared" ca="1" si="114"/>
        <v/>
      </c>
      <c r="R266" s="611" t="str">
        <f t="shared" ca="1" si="114"/>
        <v/>
      </c>
      <c r="S266" s="611" t="str">
        <f t="shared" ca="1" si="114"/>
        <v/>
      </c>
      <c r="T266" s="611" t="str">
        <f t="shared" ca="1" si="114"/>
        <v/>
      </c>
      <c r="U266" s="611" t="str">
        <f t="shared" ca="1" si="114"/>
        <v/>
      </c>
      <c r="V266" s="611" t="str">
        <f t="shared" ca="1" si="114"/>
        <v/>
      </c>
      <c r="W266" s="611" t="str">
        <f t="shared" ca="1" si="114"/>
        <v/>
      </c>
      <c r="X266" s="611" t="str">
        <f t="shared" ca="1" si="114"/>
        <v/>
      </c>
      <c r="Y266" s="611" t="str">
        <f t="shared" ca="1" si="114"/>
        <v/>
      </c>
      <c r="Z266" s="611" t="str">
        <f t="shared" ca="1" si="114"/>
        <v/>
      </c>
      <c r="AA266" s="611" t="str">
        <f t="shared" ca="1" si="114"/>
        <v/>
      </c>
      <c r="AB266" s="611" t="str">
        <f t="shared" ca="1" si="114"/>
        <v/>
      </c>
      <c r="AC266" s="611" t="str">
        <f t="shared" ca="1" si="114"/>
        <v/>
      </c>
      <c r="AD266" s="611" t="str">
        <f t="shared" ca="1" si="114"/>
        <v/>
      </c>
      <c r="AE266" s="611" t="str">
        <f t="shared" ca="1" si="114"/>
        <v/>
      </c>
      <c r="AF266" s="611" t="str">
        <f t="shared" ca="1" si="114"/>
        <v/>
      </c>
      <c r="AG266" s="611" t="str">
        <f t="shared" ca="1" si="114"/>
        <v/>
      </c>
      <c r="AH266" s="611" t="str">
        <f t="shared" ca="1" si="114"/>
        <v/>
      </c>
      <c r="AI266" s="611" t="str">
        <f t="shared" ca="1" si="114"/>
        <v/>
      </c>
      <c r="AJ266" s="611" t="str">
        <f t="shared" ca="1" si="114"/>
        <v/>
      </c>
      <c r="AK266" s="611" t="str">
        <f t="shared" ref="AK266:BB266" ca="1" si="115">IFERROR(OFFSET(貼付け_2024実績,$D266,AK265+1)&amp;"","")</f>
        <v/>
      </c>
      <c r="AL266" s="611" t="str">
        <f t="shared" ca="1" si="115"/>
        <v/>
      </c>
      <c r="AM266" s="611" t="str">
        <f t="shared" ca="1" si="115"/>
        <v/>
      </c>
      <c r="AN266" s="611" t="str">
        <f t="shared" ca="1" si="115"/>
        <v/>
      </c>
      <c r="AO266" s="611" t="str">
        <f t="shared" ca="1" si="115"/>
        <v/>
      </c>
      <c r="AP266" s="611" t="str">
        <f t="shared" ca="1" si="115"/>
        <v/>
      </c>
      <c r="AQ266" s="611" t="str">
        <f t="shared" ca="1" si="115"/>
        <v/>
      </c>
      <c r="AR266" s="611" t="str">
        <f t="shared" ca="1" si="115"/>
        <v/>
      </c>
      <c r="AS266" s="611" t="str">
        <f t="shared" ca="1" si="115"/>
        <v/>
      </c>
      <c r="AT266" s="611" t="str">
        <f t="shared" ca="1" si="115"/>
        <v/>
      </c>
      <c r="AU266" s="611" t="str">
        <f t="shared" ca="1" si="115"/>
        <v/>
      </c>
      <c r="AV266" s="611" t="str">
        <f t="shared" ca="1" si="115"/>
        <v/>
      </c>
      <c r="AW266" s="611" t="str">
        <f t="shared" ca="1" si="115"/>
        <v/>
      </c>
      <c r="AX266" s="611" t="str">
        <f t="shared" ca="1" si="115"/>
        <v/>
      </c>
      <c r="AY266" s="611" t="str">
        <f t="shared" ca="1" si="115"/>
        <v/>
      </c>
      <c r="AZ266" s="611" t="str">
        <f t="shared" ca="1" si="115"/>
        <v/>
      </c>
      <c r="BA266" s="612" t="str">
        <f t="shared" ca="1" si="115"/>
        <v/>
      </c>
      <c r="BB266" s="610" t="str">
        <f t="shared" ca="1" si="115"/>
        <v/>
      </c>
      <c r="BC266" s="613"/>
      <c r="IE266" s="579"/>
      <c r="IF266" s="579"/>
      <c r="IG266" s="579"/>
      <c r="IH266" s="579"/>
    </row>
    <row r="267" spans="1:242" s="164" customFormat="1" ht="20.100000000000001" hidden="1" customHeight="1">
      <c r="A267" s="569"/>
      <c r="B267" s="1052"/>
      <c r="C267" s="614" t="s">
        <v>678</v>
      </c>
      <c r="D267" s="615">
        <v>99</v>
      </c>
      <c r="E267" s="616" t="str">
        <f t="shared" ref="E267:AJ267" ca="1" si="116">IFERROR(OFFSET(貼付け_2024実績,$D267,E265),"")&amp;""</f>
        <v/>
      </c>
      <c r="F267" s="616" t="str">
        <f t="shared" ca="1" si="116"/>
        <v/>
      </c>
      <c r="G267" s="616" t="str">
        <f t="shared" ca="1" si="116"/>
        <v/>
      </c>
      <c r="H267" s="616" t="str">
        <f t="shared" ca="1" si="116"/>
        <v/>
      </c>
      <c r="I267" s="616" t="str">
        <f t="shared" ca="1" si="116"/>
        <v/>
      </c>
      <c r="J267" s="616" t="str">
        <f t="shared" ca="1" si="116"/>
        <v/>
      </c>
      <c r="K267" s="616" t="str">
        <f t="shared" ca="1" si="116"/>
        <v/>
      </c>
      <c r="L267" s="616" t="str">
        <f t="shared" ca="1" si="116"/>
        <v/>
      </c>
      <c r="M267" s="616" t="str">
        <f t="shared" ca="1" si="116"/>
        <v/>
      </c>
      <c r="N267" s="616" t="str">
        <f t="shared" ca="1" si="116"/>
        <v/>
      </c>
      <c r="O267" s="616" t="str">
        <f ca="1">IFERROR(OFFSET(貼付け_2024実績,$D267,O265),"")&amp;""</f>
        <v/>
      </c>
      <c r="P267" s="616" t="str">
        <f t="shared" ca="1" si="116"/>
        <v/>
      </c>
      <c r="Q267" s="616" t="str">
        <f t="shared" ca="1" si="116"/>
        <v/>
      </c>
      <c r="R267" s="616" t="str">
        <f t="shared" ca="1" si="116"/>
        <v/>
      </c>
      <c r="S267" s="616" t="str">
        <f t="shared" ca="1" si="116"/>
        <v/>
      </c>
      <c r="T267" s="616" t="str">
        <f t="shared" ca="1" si="116"/>
        <v/>
      </c>
      <c r="U267" s="616" t="str">
        <f t="shared" ca="1" si="116"/>
        <v/>
      </c>
      <c r="V267" s="616" t="str">
        <f t="shared" ca="1" si="116"/>
        <v/>
      </c>
      <c r="W267" s="616" t="str">
        <f t="shared" ca="1" si="116"/>
        <v/>
      </c>
      <c r="X267" s="616" t="str">
        <f t="shared" ca="1" si="116"/>
        <v/>
      </c>
      <c r="Y267" s="616" t="str">
        <f t="shared" ca="1" si="116"/>
        <v/>
      </c>
      <c r="Z267" s="616" t="str">
        <f t="shared" ca="1" si="116"/>
        <v/>
      </c>
      <c r="AA267" s="616" t="str">
        <f t="shared" ca="1" si="116"/>
        <v/>
      </c>
      <c r="AB267" s="616" t="str">
        <f t="shared" ca="1" si="116"/>
        <v/>
      </c>
      <c r="AC267" s="616" t="str">
        <f t="shared" ca="1" si="116"/>
        <v/>
      </c>
      <c r="AD267" s="616" t="str">
        <f t="shared" ca="1" si="116"/>
        <v/>
      </c>
      <c r="AE267" s="616" t="str">
        <f t="shared" ca="1" si="116"/>
        <v/>
      </c>
      <c r="AF267" s="616" t="str">
        <f t="shared" ca="1" si="116"/>
        <v/>
      </c>
      <c r="AG267" s="616" t="str">
        <f t="shared" ca="1" si="116"/>
        <v/>
      </c>
      <c r="AH267" s="616" t="str">
        <f t="shared" ca="1" si="116"/>
        <v/>
      </c>
      <c r="AI267" s="616" t="str">
        <f t="shared" ca="1" si="116"/>
        <v/>
      </c>
      <c r="AJ267" s="616" t="str">
        <f t="shared" ca="1" si="116"/>
        <v/>
      </c>
      <c r="AK267" s="616" t="str">
        <f t="shared" ref="AK267:BB267" ca="1" si="117">IFERROR(OFFSET(貼付け_2024実績,$D267,AK265),"")&amp;""</f>
        <v/>
      </c>
      <c r="AL267" s="616" t="str">
        <f t="shared" ca="1" si="117"/>
        <v/>
      </c>
      <c r="AM267" s="616" t="str">
        <f t="shared" ca="1" si="117"/>
        <v/>
      </c>
      <c r="AN267" s="616" t="str">
        <f t="shared" ca="1" si="117"/>
        <v/>
      </c>
      <c r="AO267" s="616" t="str">
        <f t="shared" ca="1" si="117"/>
        <v/>
      </c>
      <c r="AP267" s="616" t="str">
        <f t="shared" ca="1" si="117"/>
        <v/>
      </c>
      <c r="AQ267" s="616" t="str">
        <f t="shared" ca="1" si="117"/>
        <v/>
      </c>
      <c r="AR267" s="616" t="str">
        <f t="shared" ca="1" si="117"/>
        <v/>
      </c>
      <c r="AS267" s="616" t="str">
        <f t="shared" ca="1" si="117"/>
        <v/>
      </c>
      <c r="AT267" s="616" t="str">
        <f t="shared" ca="1" si="117"/>
        <v/>
      </c>
      <c r="AU267" s="616" t="str">
        <f t="shared" ca="1" si="117"/>
        <v/>
      </c>
      <c r="AV267" s="616" t="str">
        <f t="shared" ca="1" si="117"/>
        <v/>
      </c>
      <c r="AW267" s="616" t="str">
        <f t="shared" ca="1" si="117"/>
        <v/>
      </c>
      <c r="AX267" s="616" t="str">
        <f t="shared" ca="1" si="117"/>
        <v/>
      </c>
      <c r="AY267" s="616" t="str">
        <f t="shared" ca="1" si="117"/>
        <v/>
      </c>
      <c r="AZ267" s="616" t="str">
        <f t="shared" ca="1" si="117"/>
        <v/>
      </c>
      <c r="BA267" s="616" t="str">
        <f t="shared" ca="1" si="117"/>
        <v/>
      </c>
      <c r="BB267" s="615" t="str">
        <f t="shared" ca="1" si="117"/>
        <v/>
      </c>
      <c r="IE267" s="579"/>
      <c r="IF267" s="579"/>
      <c r="IG267" s="579"/>
      <c r="IH267" s="579"/>
    </row>
    <row r="268" spans="1:242" s="164" customFormat="1" ht="20.100000000000001" hidden="1" customHeight="1">
      <c r="A268" s="569"/>
      <c r="B268" s="1052"/>
      <c r="C268" s="614" t="s">
        <v>679</v>
      </c>
      <c r="D268" s="615">
        <v>6</v>
      </c>
      <c r="E268" s="616" t="str">
        <f t="shared" ref="E268:AJ268" ca="1" si="118">IFERROR(OFFSET(A1_集計2024,$D268,E265),"")</f>
        <v/>
      </c>
      <c r="F268" s="616" t="str">
        <f t="shared" ca="1" si="118"/>
        <v/>
      </c>
      <c r="G268" s="616" t="str">
        <f t="shared" ca="1" si="118"/>
        <v/>
      </c>
      <c r="H268" s="616" t="str">
        <f t="shared" ca="1" si="118"/>
        <v/>
      </c>
      <c r="I268" s="616" t="str">
        <f t="shared" ca="1" si="118"/>
        <v/>
      </c>
      <c r="J268" s="616" t="str">
        <f t="shared" ca="1" si="118"/>
        <v/>
      </c>
      <c r="K268" s="616" t="str">
        <f t="shared" ca="1" si="118"/>
        <v/>
      </c>
      <c r="L268" s="616" t="str">
        <f t="shared" ca="1" si="118"/>
        <v/>
      </c>
      <c r="M268" s="616" t="str">
        <f t="shared" ca="1" si="118"/>
        <v/>
      </c>
      <c r="N268" s="616" t="str">
        <f t="shared" ca="1" si="118"/>
        <v/>
      </c>
      <c r="O268" s="616" t="str">
        <f ca="1">IFERROR(OFFSET(A1_集計2024,$D268,O265),"")</f>
        <v/>
      </c>
      <c r="P268" s="616" t="str">
        <f t="shared" ca="1" si="118"/>
        <v/>
      </c>
      <c r="Q268" s="616" t="str">
        <f t="shared" ca="1" si="118"/>
        <v/>
      </c>
      <c r="R268" s="616" t="str">
        <f t="shared" ca="1" si="118"/>
        <v/>
      </c>
      <c r="S268" s="616" t="str">
        <f t="shared" ca="1" si="118"/>
        <v/>
      </c>
      <c r="T268" s="616" t="str">
        <f t="shared" ca="1" si="118"/>
        <v/>
      </c>
      <c r="U268" s="616" t="str">
        <f t="shared" ca="1" si="118"/>
        <v/>
      </c>
      <c r="V268" s="616" t="str">
        <f t="shared" ca="1" si="118"/>
        <v/>
      </c>
      <c r="W268" s="616" t="str">
        <f t="shared" ca="1" si="118"/>
        <v/>
      </c>
      <c r="X268" s="616" t="str">
        <f t="shared" ca="1" si="118"/>
        <v/>
      </c>
      <c r="Y268" s="616" t="str">
        <f t="shared" ca="1" si="118"/>
        <v/>
      </c>
      <c r="Z268" s="616" t="str">
        <f t="shared" ca="1" si="118"/>
        <v/>
      </c>
      <c r="AA268" s="616" t="str">
        <f t="shared" ca="1" si="118"/>
        <v/>
      </c>
      <c r="AB268" s="616" t="str">
        <f t="shared" ca="1" si="118"/>
        <v/>
      </c>
      <c r="AC268" s="616" t="str">
        <f t="shared" ca="1" si="118"/>
        <v/>
      </c>
      <c r="AD268" s="616" t="str">
        <f t="shared" ca="1" si="118"/>
        <v/>
      </c>
      <c r="AE268" s="616" t="str">
        <f t="shared" ca="1" si="118"/>
        <v/>
      </c>
      <c r="AF268" s="616" t="str">
        <f t="shared" ca="1" si="118"/>
        <v/>
      </c>
      <c r="AG268" s="616" t="str">
        <f t="shared" ca="1" si="118"/>
        <v/>
      </c>
      <c r="AH268" s="616" t="str">
        <f t="shared" ca="1" si="118"/>
        <v/>
      </c>
      <c r="AI268" s="616" t="str">
        <f t="shared" ca="1" si="118"/>
        <v/>
      </c>
      <c r="AJ268" s="616" t="str">
        <f t="shared" ca="1" si="118"/>
        <v/>
      </c>
      <c r="AK268" s="616" t="str">
        <f t="shared" ref="AK268:BB268" ca="1" si="119">IFERROR(OFFSET(A1_集計2024,$D268,AK265),"")</f>
        <v/>
      </c>
      <c r="AL268" s="616" t="str">
        <f t="shared" ca="1" si="119"/>
        <v/>
      </c>
      <c r="AM268" s="616" t="str">
        <f t="shared" ca="1" si="119"/>
        <v/>
      </c>
      <c r="AN268" s="616" t="str">
        <f t="shared" ca="1" si="119"/>
        <v/>
      </c>
      <c r="AO268" s="616" t="str">
        <f t="shared" ca="1" si="119"/>
        <v/>
      </c>
      <c r="AP268" s="616" t="str">
        <f t="shared" ca="1" si="119"/>
        <v/>
      </c>
      <c r="AQ268" s="616" t="str">
        <f t="shared" ca="1" si="119"/>
        <v/>
      </c>
      <c r="AR268" s="616" t="str">
        <f t="shared" ca="1" si="119"/>
        <v/>
      </c>
      <c r="AS268" s="616" t="str">
        <f t="shared" ca="1" si="119"/>
        <v/>
      </c>
      <c r="AT268" s="616" t="str">
        <f t="shared" ca="1" si="119"/>
        <v/>
      </c>
      <c r="AU268" s="616" t="str">
        <f t="shared" ca="1" si="119"/>
        <v/>
      </c>
      <c r="AV268" s="616" t="str">
        <f t="shared" ca="1" si="119"/>
        <v/>
      </c>
      <c r="AW268" s="616" t="str">
        <f t="shared" ca="1" si="119"/>
        <v/>
      </c>
      <c r="AX268" s="616" t="str">
        <f t="shared" ca="1" si="119"/>
        <v/>
      </c>
      <c r="AY268" s="616" t="str">
        <f t="shared" ca="1" si="119"/>
        <v/>
      </c>
      <c r="AZ268" s="616" t="str">
        <f t="shared" ca="1" si="119"/>
        <v/>
      </c>
      <c r="BA268" s="587" t="str">
        <f t="shared" ca="1" si="119"/>
        <v/>
      </c>
      <c r="BB268" s="615" t="str">
        <f t="shared" ca="1" si="119"/>
        <v/>
      </c>
      <c r="IE268" s="579"/>
      <c r="IF268" s="579"/>
      <c r="IG268" s="579"/>
      <c r="IH268" s="579"/>
    </row>
    <row r="269" spans="1:242" s="164" customFormat="1" ht="20.100000000000001" hidden="1" customHeight="1">
      <c r="A269" s="569"/>
      <c r="B269" s="1052"/>
      <c r="C269" s="614" t="s">
        <v>680</v>
      </c>
      <c r="D269" s="615">
        <v>101</v>
      </c>
      <c r="E269" s="616" t="str">
        <f t="shared" ref="E269:AJ269" ca="1" si="120">IFERROR(OFFSET(貼付け_2024実績,$D269,E265),"")</f>
        <v/>
      </c>
      <c r="F269" s="616" t="str">
        <f t="shared" ca="1" si="120"/>
        <v/>
      </c>
      <c r="G269" s="616" t="str">
        <f t="shared" ca="1" si="120"/>
        <v/>
      </c>
      <c r="H269" s="616" t="str">
        <f t="shared" ca="1" si="120"/>
        <v/>
      </c>
      <c r="I269" s="616" t="str">
        <f t="shared" ca="1" si="120"/>
        <v/>
      </c>
      <c r="J269" s="616" t="str">
        <f t="shared" ca="1" si="120"/>
        <v/>
      </c>
      <c r="K269" s="616" t="str">
        <f t="shared" ca="1" si="120"/>
        <v/>
      </c>
      <c r="L269" s="616" t="str">
        <f t="shared" ca="1" si="120"/>
        <v/>
      </c>
      <c r="M269" s="616" t="str">
        <f t="shared" ca="1" si="120"/>
        <v/>
      </c>
      <c r="N269" s="616" t="str">
        <f t="shared" ca="1" si="120"/>
        <v/>
      </c>
      <c r="O269" s="616" t="str">
        <f ca="1">IFERROR(OFFSET(貼付け_2024実績,$D269,O265),"")</f>
        <v/>
      </c>
      <c r="P269" s="616" t="str">
        <f t="shared" ca="1" si="120"/>
        <v/>
      </c>
      <c r="Q269" s="616" t="str">
        <f t="shared" ca="1" si="120"/>
        <v/>
      </c>
      <c r="R269" s="616" t="str">
        <f t="shared" ca="1" si="120"/>
        <v/>
      </c>
      <c r="S269" s="616" t="str">
        <f t="shared" ca="1" si="120"/>
        <v/>
      </c>
      <c r="T269" s="616" t="str">
        <f t="shared" ca="1" si="120"/>
        <v/>
      </c>
      <c r="U269" s="616" t="str">
        <f t="shared" ca="1" si="120"/>
        <v/>
      </c>
      <c r="V269" s="616" t="str">
        <f t="shared" ca="1" si="120"/>
        <v/>
      </c>
      <c r="W269" s="616" t="str">
        <f t="shared" ca="1" si="120"/>
        <v/>
      </c>
      <c r="X269" s="616" t="str">
        <f t="shared" ca="1" si="120"/>
        <v/>
      </c>
      <c r="Y269" s="616" t="str">
        <f t="shared" ca="1" si="120"/>
        <v/>
      </c>
      <c r="Z269" s="616" t="str">
        <f t="shared" ca="1" si="120"/>
        <v/>
      </c>
      <c r="AA269" s="616" t="str">
        <f t="shared" ca="1" si="120"/>
        <v/>
      </c>
      <c r="AB269" s="616" t="str">
        <f t="shared" ca="1" si="120"/>
        <v/>
      </c>
      <c r="AC269" s="616" t="str">
        <f t="shared" ca="1" si="120"/>
        <v/>
      </c>
      <c r="AD269" s="616" t="str">
        <f t="shared" ca="1" si="120"/>
        <v/>
      </c>
      <c r="AE269" s="616" t="str">
        <f t="shared" ca="1" si="120"/>
        <v/>
      </c>
      <c r="AF269" s="616" t="str">
        <f t="shared" ca="1" si="120"/>
        <v/>
      </c>
      <c r="AG269" s="616" t="str">
        <f t="shared" ca="1" si="120"/>
        <v/>
      </c>
      <c r="AH269" s="616" t="str">
        <f t="shared" ca="1" si="120"/>
        <v/>
      </c>
      <c r="AI269" s="616" t="str">
        <f t="shared" ca="1" si="120"/>
        <v/>
      </c>
      <c r="AJ269" s="616" t="str">
        <f t="shared" ca="1" si="120"/>
        <v/>
      </c>
      <c r="AK269" s="616" t="str">
        <f t="shared" ref="AK269:BB269" ca="1" si="121">IFERROR(OFFSET(貼付け_2024実績,$D269,AK265),"")</f>
        <v/>
      </c>
      <c r="AL269" s="616" t="str">
        <f t="shared" ca="1" si="121"/>
        <v/>
      </c>
      <c r="AM269" s="616" t="str">
        <f t="shared" ca="1" si="121"/>
        <v/>
      </c>
      <c r="AN269" s="616" t="str">
        <f t="shared" ca="1" si="121"/>
        <v/>
      </c>
      <c r="AO269" s="616" t="str">
        <f t="shared" ca="1" si="121"/>
        <v/>
      </c>
      <c r="AP269" s="616" t="str">
        <f t="shared" ca="1" si="121"/>
        <v/>
      </c>
      <c r="AQ269" s="616" t="str">
        <f t="shared" ca="1" si="121"/>
        <v/>
      </c>
      <c r="AR269" s="616" t="str">
        <f t="shared" ca="1" si="121"/>
        <v/>
      </c>
      <c r="AS269" s="616" t="str">
        <f t="shared" ca="1" si="121"/>
        <v/>
      </c>
      <c r="AT269" s="616" t="str">
        <f t="shared" ca="1" si="121"/>
        <v/>
      </c>
      <c r="AU269" s="616" t="str">
        <f t="shared" ca="1" si="121"/>
        <v/>
      </c>
      <c r="AV269" s="616" t="str">
        <f t="shared" ca="1" si="121"/>
        <v/>
      </c>
      <c r="AW269" s="616" t="str">
        <f t="shared" ca="1" si="121"/>
        <v/>
      </c>
      <c r="AX269" s="616" t="str">
        <f t="shared" ca="1" si="121"/>
        <v/>
      </c>
      <c r="AY269" s="616" t="str">
        <f t="shared" ca="1" si="121"/>
        <v/>
      </c>
      <c r="AZ269" s="616" t="str">
        <f t="shared" ca="1" si="121"/>
        <v/>
      </c>
      <c r="BA269" s="587" t="str">
        <f t="shared" ca="1" si="121"/>
        <v/>
      </c>
      <c r="BB269" s="615" t="str">
        <f t="shared" ca="1" si="121"/>
        <v/>
      </c>
      <c r="IE269" s="579"/>
      <c r="IF269" s="579"/>
      <c r="IG269" s="579"/>
      <c r="IH269" s="579"/>
    </row>
    <row r="270" spans="1:242" s="164" customFormat="1" ht="20.100000000000001" hidden="1" customHeight="1">
      <c r="A270" s="569"/>
      <c r="B270" s="1052"/>
      <c r="C270" s="614" t="s">
        <v>681</v>
      </c>
      <c r="D270" s="615"/>
      <c r="E270" s="616" t="str">
        <f ca="1">IFERROR(E268/E269,"")</f>
        <v/>
      </c>
      <c r="F270" s="616" t="str">
        <f t="shared" ref="F270:BB270" ca="1" si="122">IFERROR(F268/F269,"")</f>
        <v/>
      </c>
      <c r="G270" s="616" t="str">
        <f t="shared" ca="1" si="122"/>
        <v/>
      </c>
      <c r="H270" s="616" t="str">
        <f t="shared" ca="1" si="122"/>
        <v/>
      </c>
      <c r="I270" s="616" t="str">
        <f t="shared" ca="1" si="122"/>
        <v/>
      </c>
      <c r="J270" s="616" t="str">
        <f t="shared" ca="1" si="122"/>
        <v/>
      </c>
      <c r="K270" s="616" t="str">
        <f t="shared" ca="1" si="122"/>
        <v/>
      </c>
      <c r="L270" s="616" t="str">
        <f t="shared" ca="1" si="122"/>
        <v/>
      </c>
      <c r="M270" s="616" t="str">
        <f t="shared" ca="1" si="122"/>
        <v/>
      </c>
      <c r="N270" s="616" t="str">
        <f t="shared" ca="1" si="122"/>
        <v/>
      </c>
      <c r="O270" s="616" t="str">
        <f t="shared" ca="1" si="122"/>
        <v/>
      </c>
      <c r="P270" s="616" t="str">
        <f t="shared" ca="1" si="122"/>
        <v/>
      </c>
      <c r="Q270" s="616" t="str">
        <f t="shared" ca="1" si="122"/>
        <v/>
      </c>
      <c r="R270" s="616" t="str">
        <f t="shared" ca="1" si="122"/>
        <v/>
      </c>
      <c r="S270" s="616" t="str">
        <f t="shared" ca="1" si="122"/>
        <v/>
      </c>
      <c r="T270" s="616" t="str">
        <f t="shared" ca="1" si="122"/>
        <v/>
      </c>
      <c r="U270" s="616" t="str">
        <f t="shared" ca="1" si="122"/>
        <v/>
      </c>
      <c r="V270" s="616" t="str">
        <f t="shared" ca="1" si="122"/>
        <v/>
      </c>
      <c r="W270" s="616" t="str">
        <f t="shared" ca="1" si="122"/>
        <v/>
      </c>
      <c r="X270" s="616" t="str">
        <f t="shared" ca="1" si="122"/>
        <v/>
      </c>
      <c r="Y270" s="616" t="str">
        <f t="shared" ca="1" si="122"/>
        <v/>
      </c>
      <c r="Z270" s="616" t="str">
        <f t="shared" ca="1" si="122"/>
        <v/>
      </c>
      <c r="AA270" s="616" t="str">
        <f t="shared" ca="1" si="122"/>
        <v/>
      </c>
      <c r="AB270" s="616" t="str">
        <f t="shared" ca="1" si="122"/>
        <v/>
      </c>
      <c r="AC270" s="616" t="str">
        <f t="shared" ca="1" si="122"/>
        <v/>
      </c>
      <c r="AD270" s="616" t="str">
        <f t="shared" ca="1" si="122"/>
        <v/>
      </c>
      <c r="AE270" s="616" t="str">
        <f t="shared" ca="1" si="122"/>
        <v/>
      </c>
      <c r="AF270" s="616" t="str">
        <f t="shared" ca="1" si="122"/>
        <v/>
      </c>
      <c r="AG270" s="616" t="str">
        <f t="shared" ca="1" si="122"/>
        <v/>
      </c>
      <c r="AH270" s="616" t="str">
        <f t="shared" ca="1" si="122"/>
        <v/>
      </c>
      <c r="AI270" s="616" t="str">
        <f t="shared" ca="1" si="122"/>
        <v/>
      </c>
      <c r="AJ270" s="616" t="str">
        <f t="shared" ca="1" si="122"/>
        <v/>
      </c>
      <c r="AK270" s="616" t="str">
        <f t="shared" ca="1" si="122"/>
        <v/>
      </c>
      <c r="AL270" s="616" t="str">
        <f t="shared" ca="1" si="122"/>
        <v/>
      </c>
      <c r="AM270" s="616" t="str">
        <f t="shared" ca="1" si="122"/>
        <v/>
      </c>
      <c r="AN270" s="616" t="str">
        <f t="shared" ca="1" si="122"/>
        <v/>
      </c>
      <c r="AO270" s="616" t="str">
        <f t="shared" ca="1" si="122"/>
        <v/>
      </c>
      <c r="AP270" s="616" t="str">
        <f t="shared" ca="1" si="122"/>
        <v/>
      </c>
      <c r="AQ270" s="616" t="str">
        <f t="shared" ca="1" si="122"/>
        <v/>
      </c>
      <c r="AR270" s="616" t="str">
        <f t="shared" ca="1" si="122"/>
        <v/>
      </c>
      <c r="AS270" s="616" t="str">
        <f t="shared" ca="1" si="122"/>
        <v/>
      </c>
      <c r="AT270" s="616" t="str">
        <f t="shared" ca="1" si="122"/>
        <v/>
      </c>
      <c r="AU270" s="616" t="str">
        <f t="shared" ca="1" si="122"/>
        <v/>
      </c>
      <c r="AV270" s="616" t="str">
        <f t="shared" ca="1" si="122"/>
        <v/>
      </c>
      <c r="AW270" s="616" t="str">
        <f t="shared" ca="1" si="122"/>
        <v/>
      </c>
      <c r="AX270" s="616" t="str">
        <f t="shared" ca="1" si="122"/>
        <v/>
      </c>
      <c r="AY270" s="616" t="str">
        <f t="shared" ca="1" si="122"/>
        <v/>
      </c>
      <c r="AZ270" s="616" t="str">
        <f t="shared" ca="1" si="122"/>
        <v/>
      </c>
      <c r="BA270" s="587" t="str">
        <f t="shared" ca="1" si="122"/>
        <v/>
      </c>
      <c r="BB270" s="615" t="str">
        <f t="shared" ca="1" si="122"/>
        <v/>
      </c>
      <c r="IE270" s="579"/>
      <c r="IF270" s="579"/>
      <c r="IG270" s="579"/>
      <c r="IH270" s="579"/>
    </row>
    <row r="271" spans="1:242" s="164" customFormat="1" ht="20.100000000000001" hidden="1" customHeight="1" thickBot="1">
      <c r="A271" s="569"/>
      <c r="B271" s="1053"/>
      <c r="C271" s="617" t="s">
        <v>682</v>
      </c>
      <c r="D271" s="618">
        <v>24</v>
      </c>
      <c r="E271" s="619"/>
      <c r="F271" s="620"/>
      <c r="G271" s="620"/>
      <c r="H271" s="620"/>
      <c r="I271" s="620"/>
      <c r="J271" s="620"/>
      <c r="K271" s="620"/>
      <c r="L271" s="620"/>
      <c r="M271" s="620"/>
      <c r="N271" s="620"/>
      <c r="O271" s="620"/>
      <c r="P271" s="620"/>
      <c r="Q271" s="620"/>
      <c r="R271" s="620"/>
      <c r="S271" s="620"/>
      <c r="T271" s="620"/>
      <c r="U271" s="620"/>
      <c r="V271" s="620"/>
      <c r="W271" s="620"/>
      <c r="X271" s="620"/>
      <c r="Y271" s="620"/>
      <c r="Z271" s="620"/>
      <c r="AA271" s="620"/>
      <c r="AB271" s="620"/>
      <c r="AC271" s="620"/>
      <c r="AD271" s="620"/>
      <c r="AE271" s="620"/>
      <c r="AF271" s="620"/>
      <c r="AG271" s="620"/>
      <c r="AH271" s="620"/>
      <c r="AI271" s="620"/>
      <c r="AJ271" s="620"/>
      <c r="AK271" s="620"/>
      <c r="AL271" s="620"/>
      <c r="AM271" s="620"/>
      <c r="AN271" s="620"/>
      <c r="AO271" s="620"/>
      <c r="AP271" s="620"/>
      <c r="AQ271" s="620"/>
      <c r="AR271" s="620"/>
      <c r="AS271" s="620"/>
      <c r="AT271" s="620"/>
      <c r="AU271" s="620"/>
      <c r="AV271" s="620"/>
      <c r="AW271" s="620"/>
      <c r="AX271" s="620"/>
      <c r="AY271" s="620"/>
      <c r="AZ271" s="620"/>
      <c r="BA271" s="620"/>
      <c r="BB271" s="618"/>
      <c r="IE271" s="579"/>
      <c r="IF271" s="579"/>
      <c r="IG271" s="579"/>
      <c r="IH271" s="579"/>
    </row>
    <row r="272" spans="1:242" ht="19.5" hidden="1" customHeight="1">
      <c r="A272" s="569"/>
      <c r="B272" s="1051" t="s">
        <v>683</v>
      </c>
      <c r="C272" s="596" t="s">
        <v>673</v>
      </c>
      <c r="D272" s="597">
        <v>2024</v>
      </c>
      <c r="E272" s="598">
        <f ca="1">IFERROR(MATCH($B272&amp;E$247,OFFSET(INDIRECT("貼付け_"&amp;$D272&amp;"実績"),4,0,1,209),0)-1,"")</f>
        <v>9</v>
      </c>
      <c r="F272" s="598">
        <f t="shared" ref="F272:BB272" ca="1" si="123">IFERROR(MATCH($B272&amp;F$247,OFFSET(INDIRECT("貼付け_"&amp;$D272&amp;"実績"),4,0,1,209),0)-1,"")</f>
        <v>13</v>
      </c>
      <c r="G272" s="598">
        <f t="shared" ca="1" si="123"/>
        <v>17</v>
      </c>
      <c r="H272" s="598">
        <f t="shared" ca="1" si="123"/>
        <v>109</v>
      </c>
      <c r="I272" s="598">
        <f t="shared" ca="1" si="123"/>
        <v>113</v>
      </c>
      <c r="J272" s="598">
        <f t="shared" ca="1" si="123"/>
        <v>117</v>
      </c>
      <c r="K272" s="598">
        <f t="shared" ca="1" si="123"/>
        <v>121</v>
      </c>
      <c r="L272" s="598">
        <f t="shared" ca="1" si="123"/>
        <v>125</v>
      </c>
      <c r="M272" s="598">
        <f t="shared" ca="1" si="123"/>
        <v>129</v>
      </c>
      <c r="N272" s="598">
        <f t="shared" ca="1" si="123"/>
        <v>133</v>
      </c>
      <c r="O272" s="598" t="str">
        <f ca="1">IFERROR(MATCH($B272&amp;O$247,OFFSET(INDIRECT("貼付け_"&amp;$D272&amp;"実績"),4,0,1,209),0)-1,"")</f>
        <v/>
      </c>
      <c r="P272" s="598" t="str">
        <f t="shared" ca="1" si="123"/>
        <v/>
      </c>
      <c r="Q272" s="598" t="str">
        <f t="shared" ca="1" si="123"/>
        <v/>
      </c>
      <c r="R272" s="598" t="str">
        <f t="shared" ca="1" si="123"/>
        <v/>
      </c>
      <c r="S272" s="598" t="str">
        <f t="shared" ca="1" si="123"/>
        <v/>
      </c>
      <c r="T272" s="598" t="str">
        <f t="shared" ca="1" si="123"/>
        <v/>
      </c>
      <c r="U272" s="598" t="str">
        <f t="shared" ca="1" si="123"/>
        <v/>
      </c>
      <c r="V272" s="598" t="str">
        <f t="shared" ca="1" si="123"/>
        <v/>
      </c>
      <c r="W272" s="598" t="str">
        <f t="shared" ca="1" si="123"/>
        <v/>
      </c>
      <c r="X272" s="598" t="str">
        <f t="shared" ca="1" si="123"/>
        <v/>
      </c>
      <c r="Y272" s="598" t="str">
        <f t="shared" ca="1" si="123"/>
        <v/>
      </c>
      <c r="Z272" s="598" t="str">
        <f t="shared" ca="1" si="123"/>
        <v/>
      </c>
      <c r="AA272" s="598" t="str">
        <f t="shared" ca="1" si="123"/>
        <v/>
      </c>
      <c r="AB272" s="598" t="str">
        <f t="shared" ca="1" si="123"/>
        <v/>
      </c>
      <c r="AC272" s="598" t="str">
        <f t="shared" ca="1" si="123"/>
        <v/>
      </c>
      <c r="AD272" s="598" t="str">
        <f t="shared" ca="1" si="123"/>
        <v/>
      </c>
      <c r="AE272" s="598" t="str">
        <f t="shared" ca="1" si="123"/>
        <v/>
      </c>
      <c r="AF272" s="598" t="str">
        <f t="shared" ca="1" si="123"/>
        <v/>
      </c>
      <c r="AG272" s="598" t="str">
        <f t="shared" ca="1" si="123"/>
        <v/>
      </c>
      <c r="AH272" s="598" t="str">
        <f t="shared" ca="1" si="123"/>
        <v/>
      </c>
      <c r="AI272" s="598" t="str">
        <f t="shared" ca="1" si="123"/>
        <v/>
      </c>
      <c r="AJ272" s="598" t="str">
        <f t="shared" ca="1" si="123"/>
        <v/>
      </c>
      <c r="AK272" s="598" t="str">
        <f t="shared" ca="1" si="123"/>
        <v/>
      </c>
      <c r="AL272" s="598" t="str">
        <f t="shared" ca="1" si="123"/>
        <v/>
      </c>
      <c r="AM272" s="598" t="str">
        <f t="shared" ca="1" si="123"/>
        <v/>
      </c>
      <c r="AN272" s="598" t="str">
        <f t="shared" ca="1" si="123"/>
        <v/>
      </c>
      <c r="AO272" s="598" t="str">
        <f t="shared" ca="1" si="123"/>
        <v/>
      </c>
      <c r="AP272" s="598" t="str">
        <f t="shared" ca="1" si="123"/>
        <v/>
      </c>
      <c r="AQ272" s="598" t="str">
        <f t="shared" ca="1" si="123"/>
        <v/>
      </c>
      <c r="AR272" s="598" t="str">
        <f t="shared" ca="1" si="123"/>
        <v/>
      </c>
      <c r="AS272" s="598" t="str">
        <f t="shared" ca="1" si="123"/>
        <v/>
      </c>
      <c r="AT272" s="598" t="str">
        <f t="shared" ca="1" si="123"/>
        <v/>
      </c>
      <c r="AU272" s="598" t="str">
        <f t="shared" ca="1" si="123"/>
        <v/>
      </c>
      <c r="AV272" s="598" t="str">
        <f t="shared" ca="1" si="123"/>
        <v/>
      </c>
      <c r="AW272" s="598" t="str">
        <f t="shared" ca="1" si="123"/>
        <v/>
      </c>
      <c r="AX272" s="598" t="str">
        <f t="shared" ca="1" si="123"/>
        <v/>
      </c>
      <c r="AY272" s="598" t="str">
        <f t="shared" ca="1" si="123"/>
        <v/>
      </c>
      <c r="AZ272" s="598" t="str">
        <f t="shared" ca="1" si="123"/>
        <v/>
      </c>
      <c r="BA272" s="598" t="str">
        <f t="shared" ca="1" si="123"/>
        <v/>
      </c>
      <c r="BB272" s="597" t="str">
        <f t="shared" ca="1" si="123"/>
        <v/>
      </c>
      <c r="BC272" s="156" t="str">
        <f>D272&amp;"年度"</f>
        <v>2024年度</v>
      </c>
      <c r="BD272" s="156">
        <v>1</v>
      </c>
      <c r="BE272" s="156">
        <v>2</v>
      </c>
      <c r="BF272" s="156">
        <v>3</v>
      </c>
      <c r="BG272" s="156">
        <v>4</v>
      </c>
      <c r="BH272" s="156">
        <v>5</v>
      </c>
      <c r="BI272" s="156">
        <v>6</v>
      </c>
      <c r="BJ272" s="156">
        <v>7</v>
      </c>
      <c r="BK272" s="156">
        <v>8</v>
      </c>
      <c r="BL272" s="156">
        <v>9</v>
      </c>
      <c r="BM272" s="156">
        <v>10</v>
      </c>
      <c r="BN272" s="156">
        <v>11</v>
      </c>
      <c r="BO272" s="156">
        <v>12</v>
      </c>
      <c r="BP272" s="156">
        <v>13</v>
      </c>
      <c r="BQ272" s="156">
        <v>14</v>
      </c>
      <c r="BR272" s="156">
        <v>15</v>
      </c>
      <c r="BS272" s="156">
        <v>16</v>
      </c>
      <c r="BT272" s="156">
        <v>17</v>
      </c>
      <c r="BU272" s="156">
        <v>18</v>
      </c>
      <c r="BV272" s="156">
        <v>19</v>
      </c>
      <c r="BW272" s="156">
        <v>20</v>
      </c>
      <c r="BX272" s="156">
        <v>21</v>
      </c>
      <c r="BY272" s="156">
        <v>22</v>
      </c>
      <c r="BZ272" s="156">
        <v>23</v>
      </c>
      <c r="CA272" s="156">
        <v>24</v>
      </c>
      <c r="CB272" s="156">
        <v>25</v>
      </c>
      <c r="CC272" s="156">
        <v>26</v>
      </c>
      <c r="CD272" s="156">
        <v>27</v>
      </c>
      <c r="CE272" s="156">
        <v>28</v>
      </c>
      <c r="CF272" s="156">
        <v>29</v>
      </c>
      <c r="CG272" s="156">
        <v>30</v>
      </c>
      <c r="CH272" s="156">
        <v>31</v>
      </c>
      <c r="CI272" s="156">
        <v>32</v>
      </c>
      <c r="CJ272" s="156">
        <v>33</v>
      </c>
      <c r="CK272" s="156">
        <v>34</v>
      </c>
      <c r="CL272" s="156">
        <v>35</v>
      </c>
      <c r="CM272" s="156">
        <v>36</v>
      </c>
      <c r="CN272" s="156">
        <v>37</v>
      </c>
      <c r="CO272" s="156">
        <v>38</v>
      </c>
      <c r="CP272" s="156">
        <v>39</v>
      </c>
      <c r="CQ272" s="156">
        <v>40</v>
      </c>
      <c r="CR272" s="156">
        <v>41</v>
      </c>
      <c r="CS272" s="156">
        <v>42</v>
      </c>
      <c r="CT272" s="156">
        <v>43</v>
      </c>
      <c r="CU272" s="156">
        <v>44</v>
      </c>
      <c r="CV272" s="156">
        <v>45</v>
      </c>
      <c r="CW272" s="156">
        <v>46</v>
      </c>
      <c r="CX272" s="156">
        <v>47</v>
      </c>
      <c r="CY272" s="156">
        <v>48</v>
      </c>
      <c r="CZ272" s="156">
        <v>49</v>
      </c>
      <c r="DA272" s="156">
        <v>50</v>
      </c>
    </row>
    <row r="273" spans="1:242" s="569" customFormat="1" ht="18.75" hidden="1" customHeight="1">
      <c r="B273" s="1052"/>
      <c r="C273" s="599" t="str">
        <f>D272-1&amp;"/"&amp;D272</f>
        <v>2023/2024</v>
      </c>
      <c r="D273" s="600" t="str">
        <f>""</f>
        <v/>
      </c>
      <c r="E273" s="601" t="str">
        <f>""</f>
        <v/>
      </c>
      <c r="F273" s="601" t="str">
        <f>""</f>
        <v/>
      </c>
      <c r="G273" s="601" t="str">
        <f>""</f>
        <v/>
      </c>
      <c r="H273" s="601" t="str">
        <f>""</f>
        <v/>
      </c>
      <c r="I273" s="601" t="str">
        <f>""</f>
        <v/>
      </c>
      <c r="J273" s="601" t="str">
        <f>""</f>
        <v/>
      </c>
      <c r="K273" s="601" t="str">
        <f>""</f>
        <v/>
      </c>
      <c r="L273" s="601" t="str">
        <f>""</f>
        <v/>
      </c>
      <c r="M273" s="601" t="str">
        <f>""</f>
        <v/>
      </c>
      <c r="N273" s="601" t="str">
        <f>""</f>
        <v/>
      </c>
      <c r="O273" s="601" t="str">
        <f>""</f>
        <v/>
      </c>
      <c r="P273" s="601" t="str">
        <f>""</f>
        <v/>
      </c>
      <c r="Q273" s="601" t="str">
        <f>""</f>
        <v/>
      </c>
      <c r="R273" s="601" t="str">
        <f>""</f>
        <v/>
      </c>
      <c r="S273" s="601" t="str">
        <f>""</f>
        <v/>
      </c>
      <c r="T273" s="601" t="str">
        <f>""</f>
        <v/>
      </c>
      <c r="U273" s="601" t="str">
        <f>""</f>
        <v/>
      </c>
      <c r="V273" s="601" t="str">
        <f>""</f>
        <v/>
      </c>
      <c r="W273" s="601" t="str">
        <f>""</f>
        <v/>
      </c>
      <c r="X273" s="601" t="str">
        <f>""</f>
        <v/>
      </c>
      <c r="Y273" s="601" t="str">
        <f>""</f>
        <v/>
      </c>
      <c r="Z273" s="601" t="str">
        <f>""</f>
        <v/>
      </c>
      <c r="AA273" s="601" t="str">
        <f>""</f>
        <v/>
      </c>
      <c r="AB273" s="601" t="str">
        <f>""</f>
        <v/>
      </c>
      <c r="AC273" s="601" t="str">
        <f>""</f>
        <v/>
      </c>
      <c r="AD273" s="601" t="str">
        <f>""</f>
        <v/>
      </c>
      <c r="AE273" s="601" t="str">
        <f>""</f>
        <v/>
      </c>
      <c r="AF273" s="601" t="str">
        <f>""</f>
        <v/>
      </c>
      <c r="AG273" s="601" t="str">
        <f>""</f>
        <v/>
      </c>
      <c r="AH273" s="601" t="str">
        <f>""</f>
        <v/>
      </c>
      <c r="AI273" s="601" t="str">
        <f>""</f>
        <v/>
      </c>
      <c r="AJ273" s="601" t="str">
        <f>""</f>
        <v/>
      </c>
      <c r="AK273" s="601" t="str">
        <f>""</f>
        <v/>
      </c>
      <c r="AL273" s="601" t="str">
        <f>""</f>
        <v/>
      </c>
      <c r="AM273" s="601" t="str">
        <f>""</f>
        <v/>
      </c>
      <c r="AN273" s="601" t="str">
        <f>""</f>
        <v/>
      </c>
      <c r="AO273" s="601" t="str">
        <f>""</f>
        <v/>
      </c>
      <c r="AP273" s="601" t="str">
        <f>""</f>
        <v/>
      </c>
      <c r="AQ273" s="601" t="str">
        <f>""</f>
        <v/>
      </c>
      <c r="AR273" s="601" t="str">
        <f>""</f>
        <v/>
      </c>
      <c r="AS273" s="601" t="str">
        <f>""</f>
        <v/>
      </c>
      <c r="AT273" s="601" t="str">
        <f>""</f>
        <v/>
      </c>
      <c r="AU273" s="601" t="str">
        <f>""</f>
        <v/>
      </c>
      <c r="AV273" s="601" t="str">
        <f>""</f>
        <v/>
      </c>
      <c r="AW273" s="601" t="str">
        <f>""</f>
        <v/>
      </c>
      <c r="AX273" s="601" t="str">
        <f>""</f>
        <v/>
      </c>
      <c r="AY273" s="601" t="str">
        <f>""</f>
        <v/>
      </c>
      <c r="AZ273" s="601" t="str">
        <f>""</f>
        <v/>
      </c>
      <c r="BA273" s="602" t="str">
        <f>""</f>
        <v/>
      </c>
      <c r="BB273" s="600" t="str">
        <f>""</f>
        <v/>
      </c>
      <c r="BC273" s="601" t="str">
        <f>""</f>
        <v/>
      </c>
      <c r="BD273" s="601" t="str">
        <f t="shared" ref="BD273:CI273" ca="1" si="124">IFERROR(OFFSET(貼付け_2024実績,5,E272+1),"")&amp;""</f>
        <v/>
      </c>
      <c r="BE273" s="601" t="str">
        <f t="shared" ca="1" si="124"/>
        <v/>
      </c>
      <c r="BF273" s="601" t="str">
        <f t="shared" ca="1" si="124"/>
        <v/>
      </c>
      <c r="BG273" s="601" t="str">
        <f t="shared" ca="1" si="124"/>
        <v/>
      </c>
      <c r="BH273" s="601" t="str">
        <f t="shared" ca="1" si="124"/>
        <v/>
      </c>
      <c r="BI273" s="601" t="str">
        <f t="shared" ca="1" si="124"/>
        <v/>
      </c>
      <c r="BJ273" s="601" t="str">
        <f t="shared" ca="1" si="124"/>
        <v/>
      </c>
      <c r="BK273" s="601" t="str">
        <f t="shared" ca="1" si="124"/>
        <v/>
      </c>
      <c r="BL273" s="601" t="str">
        <f t="shared" ca="1" si="124"/>
        <v/>
      </c>
      <c r="BM273" s="601" t="str">
        <f t="shared" ca="1" si="124"/>
        <v/>
      </c>
      <c r="BN273" s="601" t="str">
        <f ca="1">IFERROR(OFFSET(貼付け_2024実績,5,O272+1),"")&amp;""</f>
        <v/>
      </c>
      <c r="BO273" s="601" t="str">
        <f t="shared" ca="1" si="124"/>
        <v/>
      </c>
      <c r="BP273" s="601" t="str">
        <f t="shared" ca="1" si="124"/>
        <v/>
      </c>
      <c r="BQ273" s="601" t="str">
        <f t="shared" ca="1" si="124"/>
        <v/>
      </c>
      <c r="BR273" s="601" t="str">
        <f t="shared" ca="1" si="124"/>
        <v/>
      </c>
      <c r="BS273" s="601" t="str">
        <f t="shared" ca="1" si="124"/>
        <v/>
      </c>
      <c r="BT273" s="601" t="str">
        <f t="shared" ca="1" si="124"/>
        <v/>
      </c>
      <c r="BU273" s="601" t="str">
        <f t="shared" ca="1" si="124"/>
        <v/>
      </c>
      <c r="BV273" s="601" t="str">
        <f t="shared" ca="1" si="124"/>
        <v/>
      </c>
      <c r="BW273" s="601" t="str">
        <f t="shared" ca="1" si="124"/>
        <v/>
      </c>
      <c r="BX273" s="601" t="str">
        <f t="shared" ca="1" si="124"/>
        <v/>
      </c>
      <c r="BY273" s="601" t="str">
        <f t="shared" ca="1" si="124"/>
        <v/>
      </c>
      <c r="BZ273" s="601" t="str">
        <f t="shared" ca="1" si="124"/>
        <v/>
      </c>
      <c r="CA273" s="601" t="str">
        <f t="shared" ca="1" si="124"/>
        <v/>
      </c>
      <c r="CB273" s="601" t="str">
        <f t="shared" ca="1" si="124"/>
        <v/>
      </c>
      <c r="CC273" s="601" t="str">
        <f t="shared" ca="1" si="124"/>
        <v/>
      </c>
      <c r="CD273" s="601" t="str">
        <f t="shared" ca="1" si="124"/>
        <v/>
      </c>
      <c r="CE273" s="601" t="str">
        <f t="shared" ca="1" si="124"/>
        <v/>
      </c>
      <c r="CF273" s="601" t="str">
        <f t="shared" ca="1" si="124"/>
        <v/>
      </c>
      <c r="CG273" s="601" t="str">
        <f t="shared" ca="1" si="124"/>
        <v/>
      </c>
      <c r="CH273" s="601" t="str">
        <f t="shared" ca="1" si="124"/>
        <v/>
      </c>
      <c r="CI273" s="601" t="str">
        <f t="shared" ca="1" si="124"/>
        <v/>
      </c>
      <c r="CJ273" s="601" t="str">
        <f t="shared" ref="CJ273:DA273" ca="1" si="125">IFERROR(OFFSET(貼付け_2024実績,5,AK272+1),"")&amp;""</f>
        <v/>
      </c>
      <c r="CK273" s="601" t="str">
        <f t="shared" ca="1" si="125"/>
        <v/>
      </c>
      <c r="CL273" s="601" t="str">
        <f t="shared" ca="1" si="125"/>
        <v/>
      </c>
      <c r="CM273" s="601" t="str">
        <f t="shared" ca="1" si="125"/>
        <v/>
      </c>
      <c r="CN273" s="601" t="str">
        <f t="shared" ca="1" si="125"/>
        <v/>
      </c>
      <c r="CO273" s="601" t="str">
        <f t="shared" ca="1" si="125"/>
        <v/>
      </c>
      <c r="CP273" s="601" t="str">
        <f t="shared" ca="1" si="125"/>
        <v/>
      </c>
      <c r="CQ273" s="601" t="str">
        <f t="shared" ca="1" si="125"/>
        <v/>
      </c>
      <c r="CR273" s="601" t="str">
        <f t="shared" ca="1" si="125"/>
        <v/>
      </c>
      <c r="CS273" s="601" t="str">
        <f t="shared" ca="1" si="125"/>
        <v/>
      </c>
      <c r="CT273" s="601" t="str">
        <f t="shared" ca="1" si="125"/>
        <v/>
      </c>
      <c r="CU273" s="601" t="str">
        <f t="shared" ca="1" si="125"/>
        <v/>
      </c>
      <c r="CV273" s="601" t="str">
        <f t="shared" ca="1" si="125"/>
        <v/>
      </c>
      <c r="CW273" s="601" t="str">
        <f t="shared" ca="1" si="125"/>
        <v/>
      </c>
      <c r="CX273" s="601" t="str">
        <f t="shared" ca="1" si="125"/>
        <v/>
      </c>
      <c r="CY273" s="601" t="str">
        <f t="shared" ca="1" si="125"/>
        <v/>
      </c>
      <c r="CZ273" s="601" t="str">
        <f t="shared" ca="1" si="125"/>
        <v/>
      </c>
      <c r="DA273" s="601" t="str">
        <f t="shared" ca="1" si="125"/>
        <v/>
      </c>
      <c r="IE273" s="603"/>
      <c r="IF273" s="603"/>
      <c r="IG273" s="603"/>
      <c r="IH273" s="603"/>
    </row>
    <row r="274" spans="1:242" s="569" customFormat="1" ht="19.5" hidden="1" customHeight="1">
      <c r="B274" s="1052"/>
      <c r="C274" s="599" t="str">
        <f>D272-1&amp;"&amp;"&amp;D272</f>
        <v>2023&amp;2024</v>
      </c>
      <c r="D274" s="600" t="str">
        <f>""</f>
        <v/>
      </c>
      <c r="E274" s="601" t="str">
        <f t="array" aca="1" ref="E274" ca="1">IFERROR(INDEX($E273:$DA273,MATCH(0,COUNTIF($D274:D274,$E273:$DA273),0)),"")</f>
        <v/>
      </c>
      <c r="F274" s="601" t="str">
        <f t="array" aca="1" ref="F274" ca="1">IFERROR(INDEX($E273:$DA273,MATCH(0,COUNTIF($D274:E274,$E273:$DA273),0)),"")</f>
        <v/>
      </c>
      <c r="G274" s="601" t="str">
        <f t="array" aca="1" ref="G274" ca="1">IFERROR(INDEX($E273:$DA273,MATCH(0,COUNTIF($D274:F274,$E273:$DA273),0)),"")</f>
        <v/>
      </c>
      <c r="H274" s="601" t="str">
        <f t="array" aca="1" ref="H274" ca="1">IFERROR(INDEX($E273:$DA273,MATCH(0,COUNTIF($D274:G274,$E273:$DA273),0)),"")</f>
        <v/>
      </c>
      <c r="I274" s="601" t="str">
        <f t="array" aca="1" ref="I274" ca="1">IFERROR(INDEX($E273:$DA273,MATCH(0,COUNTIF($D274:H274,$E273:$DA273),0)),"")</f>
        <v/>
      </c>
      <c r="J274" s="601" t="str">
        <f t="array" aca="1" ref="J274" ca="1">IFERROR(INDEX($E273:$DA273,MATCH(0,COUNTIF($D274:I274,$E273:$DA273),0)),"")</f>
        <v/>
      </c>
      <c r="K274" s="601" t="str">
        <f t="array" aca="1" ref="K274" ca="1">IFERROR(INDEX($E273:$DA273,MATCH(0,COUNTIF($D274:J274,$E273:$DA273),0)),"")</f>
        <v/>
      </c>
      <c r="L274" s="601" t="str">
        <f t="array" aca="1" ref="L274" ca="1">IFERROR(INDEX($E273:$DA273,MATCH(0,COUNTIF($D274:K274,$E273:$DA273),0)),"")</f>
        <v/>
      </c>
      <c r="M274" s="601" t="str">
        <f t="array" aca="1" ref="M274" ca="1">IFERROR(INDEX($E273:$DA273,MATCH(0,COUNTIF($D274:L274,$E273:$DA273),0)),"")</f>
        <v/>
      </c>
      <c r="N274" s="601" t="str">
        <f t="array" aca="1" ref="N274" ca="1">IFERROR(INDEX($E273:$DA273,MATCH(0,COUNTIF($D274:M274,$E273:$DA273),0)),"")</f>
        <v/>
      </c>
      <c r="O274" s="601" t="str">
        <f t="array" aca="1" ref="O274" ca="1">IFERROR(INDEX($E273:$DA273,MATCH(0,COUNTIF($D274:N274,$E273:$DA273),0)),"")</f>
        <v/>
      </c>
      <c r="P274" s="601" t="str">
        <f t="array" aca="1" ref="P274" ca="1">IFERROR(INDEX($E273:$DA273,MATCH(0,COUNTIF($D274:O274,$E273:$DA273),0)),"")</f>
        <v/>
      </c>
      <c r="Q274" s="601" t="str">
        <f t="array" aca="1" ref="Q274" ca="1">IFERROR(INDEX($E273:$DA273,MATCH(0,COUNTIF($D274:P274,$E273:$DA273),0)),"")</f>
        <v/>
      </c>
      <c r="R274" s="601" t="str">
        <f t="array" aca="1" ref="R274" ca="1">IFERROR(INDEX($E273:$DA273,MATCH(0,COUNTIF($D274:Q274,$E273:$DA273),0)),"")</f>
        <v/>
      </c>
      <c r="S274" s="601" t="str">
        <f t="array" aca="1" ref="S274" ca="1">IFERROR(INDEX($E273:$DA273,MATCH(0,COUNTIF($D274:R274,$E273:$DA273),0)),"")</f>
        <v/>
      </c>
      <c r="T274" s="601" t="str">
        <f t="array" aca="1" ref="T274" ca="1">IFERROR(INDEX($E273:$DA273,MATCH(0,COUNTIF($D274:S274,$E273:$DA273),0)),"")</f>
        <v/>
      </c>
      <c r="U274" s="601" t="str">
        <f t="array" aca="1" ref="U274" ca="1">IFERROR(INDEX($E273:$DA273,MATCH(0,COUNTIF($D274:T274,$E273:$DA273),0)),"")</f>
        <v/>
      </c>
      <c r="V274" s="601" t="str">
        <f t="array" aca="1" ref="V274" ca="1">IFERROR(INDEX($E273:$DA273,MATCH(0,COUNTIF($D274:U274,$E273:$DA273),0)),"")</f>
        <v/>
      </c>
      <c r="W274" s="601" t="str">
        <f t="array" aca="1" ref="W274" ca="1">IFERROR(INDEX($E273:$DA273,MATCH(0,COUNTIF($D274:V274,$E273:$DA273),0)),"")</f>
        <v/>
      </c>
      <c r="X274" s="601" t="str">
        <f t="array" aca="1" ref="X274" ca="1">IFERROR(INDEX($E273:$DA273,MATCH(0,COUNTIF($D274:W274,$E273:$DA273),0)),"")</f>
        <v/>
      </c>
      <c r="Y274" s="601" t="str">
        <f t="array" aca="1" ref="Y274" ca="1">IFERROR(INDEX($E273:$DA273,MATCH(0,COUNTIF($D274:X274,$E273:$DA273),0)),"")</f>
        <v/>
      </c>
      <c r="Z274" s="601" t="str">
        <f t="array" aca="1" ref="Z274" ca="1">IFERROR(INDEX($E273:$DA273,MATCH(0,COUNTIF($D274:Y274,$E273:$DA273),0)),"")</f>
        <v/>
      </c>
      <c r="AA274" s="601" t="str">
        <f t="array" aca="1" ref="AA274" ca="1">IFERROR(INDEX($E273:$DA273,MATCH(0,COUNTIF($D274:Z274,$E273:$DA273),0)),"")</f>
        <v/>
      </c>
      <c r="AB274" s="601" t="str">
        <f t="array" aca="1" ref="AB274" ca="1">IFERROR(INDEX($E273:$DA273,MATCH(0,COUNTIF($D274:AA274,$E273:$DA273),0)),"")</f>
        <v/>
      </c>
      <c r="AC274" s="601" t="str">
        <f t="array" aca="1" ref="AC274" ca="1">IFERROR(INDEX($E273:$DA273,MATCH(0,COUNTIF($D274:AB274,$E273:$DA273),0)),"")</f>
        <v/>
      </c>
      <c r="AD274" s="601" t="str">
        <f t="array" aca="1" ref="AD274" ca="1">IFERROR(INDEX($E273:$DA273,MATCH(0,COUNTIF($D274:AC274,$E273:$DA273),0)),"")</f>
        <v/>
      </c>
      <c r="AE274" s="601" t="str">
        <f t="array" aca="1" ref="AE274" ca="1">IFERROR(INDEX($E273:$DA273,MATCH(0,COUNTIF($D274:AD274,$E273:$DA273),0)),"")</f>
        <v/>
      </c>
      <c r="AF274" s="601" t="str">
        <f t="array" aca="1" ref="AF274" ca="1">IFERROR(INDEX($E273:$DA273,MATCH(0,COUNTIF($D274:AE274,$E273:$DA273),0)),"")</f>
        <v/>
      </c>
      <c r="AG274" s="601" t="str">
        <f t="array" aca="1" ref="AG274" ca="1">IFERROR(INDEX($E273:$DA273,MATCH(0,COUNTIF($D274:AF274,$E273:$DA273),0)),"")</f>
        <v/>
      </c>
      <c r="AH274" s="601" t="str">
        <f t="array" aca="1" ref="AH274" ca="1">IFERROR(INDEX($E273:$DA273,MATCH(0,COUNTIF($D274:AG274,$E273:$DA273),0)),"")</f>
        <v/>
      </c>
      <c r="AI274" s="601" t="str">
        <f t="array" aca="1" ref="AI274" ca="1">IFERROR(INDEX($E273:$DA273,MATCH(0,COUNTIF($D274:AH274,$E273:$DA273),0)),"")</f>
        <v/>
      </c>
      <c r="AJ274" s="601" t="str">
        <f t="array" aca="1" ref="AJ274" ca="1">IFERROR(INDEX($E273:$DA273,MATCH(0,COUNTIF($D274:AI274,$E273:$DA273),0)),"")</f>
        <v/>
      </c>
      <c r="AK274" s="601" t="str">
        <f t="array" aca="1" ref="AK274" ca="1">IFERROR(INDEX($E273:$DA273,MATCH(0,COUNTIF($D274:AJ274,$E273:$DA273),0)),"")</f>
        <v/>
      </c>
      <c r="AL274" s="601" t="str">
        <f t="array" aca="1" ref="AL274" ca="1">IFERROR(INDEX($E273:$DA273,MATCH(0,COUNTIF($D274:AK274,$E273:$DA273),0)),"")</f>
        <v/>
      </c>
      <c r="AM274" s="601" t="str">
        <f t="array" aca="1" ref="AM274" ca="1">IFERROR(INDEX($E273:$DA273,MATCH(0,COUNTIF($D274:AL274,$E273:$DA273),0)),"")</f>
        <v/>
      </c>
      <c r="AN274" s="601" t="str">
        <f t="array" aca="1" ref="AN274" ca="1">IFERROR(INDEX($E273:$DA273,MATCH(0,COUNTIF($D274:AM274,$E273:$DA273),0)),"")</f>
        <v/>
      </c>
      <c r="AO274" s="601" t="str">
        <f t="array" aca="1" ref="AO274" ca="1">IFERROR(INDEX($E273:$DA273,MATCH(0,COUNTIF($D274:AN274,$E273:$DA273),0)),"")</f>
        <v/>
      </c>
      <c r="AP274" s="601" t="str">
        <f t="array" aca="1" ref="AP274" ca="1">IFERROR(INDEX($E273:$DA273,MATCH(0,COUNTIF($D274:AO274,$E273:$DA273),0)),"")</f>
        <v/>
      </c>
      <c r="AQ274" s="601" t="str">
        <f t="array" aca="1" ref="AQ274" ca="1">IFERROR(INDEX($E273:$DA273,MATCH(0,COUNTIF($D274:AP274,$E273:$DA273),0)),"")</f>
        <v/>
      </c>
      <c r="AR274" s="601" t="str">
        <f t="array" aca="1" ref="AR274" ca="1">IFERROR(INDEX($E273:$DA273,MATCH(0,COUNTIF($D274:AQ274,$E273:$DA273),0)),"")</f>
        <v/>
      </c>
      <c r="AS274" s="601" t="str">
        <f t="array" aca="1" ref="AS274" ca="1">IFERROR(INDEX($E273:$DA273,MATCH(0,COUNTIF($D274:AR274,$E273:$DA273),0)),"")</f>
        <v/>
      </c>
      <c r="AT274" s="601" t="str">
        <f t="array" aca="1" ref="AT274" ca="1">IFERROR(INDEX($E273:$DA273,MATCH(0,COUNTIF($D274:AS274,$E273:$DA273),0)),"")</f>
        <v/>
      </c>
      <c r="AU274" s="601" t="str">
        <f t="array" aca="1" ref="AU274" ca="1">IFERROR(INDEX($E273:$DA273,MATCH(0,COUNTIF($D274:AT274,$E273:$DA273),0)),"")</f>
        <v/>
      </c>
      <c r="AV274" s="601" t="str">
        <f t="array" aca="1" ref="AV274" ca="1">IFERROR(INDEX($E273:$DA273,MATCH(0,COUNTIF($D274:AU274,$E273:$DA273),0)),"")</f>
        <v/>
      </c>
      <c r="AW274" s="601" t="str">
        <f t="array" aca="1" ref="AW274" ca="1">IFERROR(INDEX($E273:$DA273,MATCH(0,COUNTIF($D274:AV274,$E273:$DA273),0)),"")</f>
        <v/>
      </c>
      <c r="AX274" s="601" t="str">
        <f t="array" aca="1" ref="AX274" ca="1">IFERROR(INDEX($E273:$DA273,MATCH(0,COUNTIF($D274:AW274,$E273:$DA273),0)),"")</f>
        <v/>
      </c>
      <c r="AY274" s="601" t="str">
        <f t="array" aca="1" ref="AY274" ca="1">IFERROR(INDEX($E273:$DA273,MATCH(0,COUNTIF($D274:AX274,$E273:$DA273),0)),"")</f>
        <v/>
      </c>
      <c r="AZ274" s="601" t="str">
        <f t="array" aca="1" ref="AZ274" ca="1">IFERROR(INDEX($E273:$DA273,MATCH(0,COUNTIF($D274:AY274,$E273:$DA273),0)),"")</f>
        <v/>
      </c>
      <c r="BA274" s="602" t="str">
        <f t="array" aca="1" ref="BA274" ca="1">IFERROR(INDEX($E273:$DA273,MATCH(0,COUNTIF($D274:AZ274,$E273:$DA273),0)),"")</f>
        <v/>
      </c>
      <c r="BB274" s="600" t="str">
        <f t="array" aca="1" ref="BB274" ca="1">IFERROR(INDEX($E273:$DA273,MATCH(0,COUNTIF($D274:BA274,$E273:$DA273),0)),"")</f>
        <v/>
      </c>
      <c r="BC274" s="604"/>
      <c r="BD274" s="604" t="str">
        <f>""</f>
        <v/>
      </c>
      <c r="BE274" s="604"/>
      <c r="BF274" s="604"/>
      <c r="BG274" s="604"/>
      <c r="BH274" s="604"/>
      <c r="BI274" s="604"/>
      <c r="BJ274" s="604"/>
      <c r="BK274" s="604"/>
      <c r="BL274" s="604"/>
      <c r="BM274" s="604"/>
      <c r="BN274" s="604"/>
      <c r="BO274" s="604"/>
      <c r="BP274" s="604"/>
      <c r="BQ274" s="604"/>
      <c r="BR274" s="604"/>
      <c r="BS274" s="604"/>
      <c r="BT274" s="604"/>
      <c r="BU274" s="604"/>
      <c r="BV274" s="604"/>
      <c r="BW274" s="604"/>
      <c r="IE274" s="603"/>
      <c r="IF274" s="603"/>
      <c r="IG274" s="603"/>
      <c r="IH274" s="603"/>
    </row>
    <row r="275" spans="1:242" s="569" customFormat="1" hidden="1">
      <c r="B275" s="1052"/>
      <c r="C275" s="599" t="s">
        <v>674</v>
      </c>
      <c r="D275" s="600" t="str">
        <f>""</f>
        <v/>
      </c>
      <c r="E275" s="601" t="str">
        <f t="shared" ref="E275:AJ275" ca="1" si="126">IF(OFFSET(貼付け_2024実績,2,12)="■",BD273,IFERROR(INDEX($BD273:$DA273,MATCH(E274,$BD273:$DA273,0)),""))</f>
        <v/>
      </c>
      <c r="F275" s="601" t="str">
        <f t="shared" ca="1" si="126"/>
        <v/>
      </c>
      <c r="G275" s="601" t="str">
        <f t="shared" ca="1" si="126"/>
        <v/>
      </c>
      <c r="H275" s="601" t="str">
        <f t="shared" ca="1" si="126"/>
        <v/>
      </c>
      <c r="I275" s="601" t="str">
        <f t="shared" ca="1" si="126"/>
        <v/>
      </c>
      <c r="J275" s="601" t="str">
        <f t="shared" ca="1" si="126"/>
        <v/>
      </c>
      <c r="K275" s="601" t="str">
        <f t="shared" ca="1" si="126"/>
        <v/>
      </c>
      <c r="L275" s="601" t="str">
        <f t="shared" ca="1" si="126"/>
        <v/>
      </c>
      <c r="M275" s="601" t="str">
        <f t="shared" ca="1" si="126"/>
        <v/>
      </c>
      <c r="N275" s="601" t="str">
        <f t="shared" ca="1" si="126"/>
        <v/>
      </c>
      <c r="O275" s="601" t="str">
        <f ca="1">IF(OFFSET(貼付け_2024実績,2,12)="■",BN273,IFERROR(INDEX($BD273:$DA273,MATCH(O274,$BD273:$DA273,0)),""))</f>
        <v/>
      </c>
      <c r="P275" s="601" t="str">
        <f t="shared" ca="1" si="126"/>
        <v/>
      </c>
      <c r="Q275" s="601" t="str">
        <f t="shared" ca="1" si="126"/>
        <v/>
      </c>
      <c r="R275" s="601" t="str">
        <f t="shared" ca="1" si="126"/>
        <v/>
      </c>
      <c r="S275" s="601" t="str">
        <f t="shared" ca="1" si="126"/>
        <v/>
      </c>
      <c r="T275" s="601" t="str">
        <f t="shared" ca="1" si="126"/>
        <v/>
      </c>
      <c r="U275" s="601" t="str">
        <f t="shared" ca="1" si="126"/>
        <v/>
      </c>
      <c r="V275" s="601" t="str">
        <f t="shared" ca="1" si="126"/>
        <v/>
      </c>
      <c r="W275" s="601" t="str">
        <f t="shared" ca="1" si="126"/>
        <v/>
      </c>
      <c r="X275" s="601" t="str">
        <f t="shared" ca="1" si="126"/>
        <v/>
      </c>
      <c r="Y275" s="601" t="str">
        <f t="shared" ca="1" si="126"/>
        <v/>
      </c>
      <c r="Z275" s="601" t="str">
        <f t="shared" ca="1" si="126"/>
        <v/>
      </c>
      <c r="AA275" s="601" t="str">
        <f t="shared" ca="1" si="126"/>
        <v/>
      </c>
      <c r="AB275" s="601" t="str">
        <f t="shared" ca="1" si="126"/>
        <v/>
      </c>
      <c r="AC275" s="601" t="str">
        <f t="shared" ca="1" si="126"/>
        <v/>
      </c>
      <c r="AD275" s="601" t="str">
        <f t="shared" ca="1" si="126"/>
        <v/>
      </c>
      <c r="AE275" s="601" t="str">
        <f t="shared" ca="1" si="126"/>
        <v/>
      </c>
      <c r="AF275" s="601" t="str">
        <f t="shared" ca="1" si="126"/>
        <v/>
      </c>
      <c r="AG275" s="601" t="str">
        <f t="shared" ca="1" si="126"/>
        <v/>
      </c>
      <c r="AH275" s="601" t="str">
        <f t="shared" ca="1" si="126"/>
        <v/>
      </c>
      <c r="AI275" s="601" t="str">
        <f t="shared" ca="1" si="126"/>
        <v/>
      </c>
      <c r="AJ275" s="601" t="str">
        <f t="shared" ca="1" si="126"/>
        <v/>
      </c>
      <c r="AK275" s="601" t="str">
        <f t="shared" ref="AK275:BB275" ca="1" si="127">IF(OFFSET(貼付け_2024実績,2,12)="■",CJ273,IFERROR(INDEX($BD273:$DA273,MATCH(AK274,$BD273:$DA273,0)),""))</f>
        <v/>
      </c>
      <c r="AL275" s="601" t="str">
        <f t="shared" ca="1" si="127"/>
        <v/>
      </c>
      <c r="AM275" s="601" t="str">
        <f t="shared" ca="1" si="127"/>
        <v/>
      </c>
      <c r="AN275" s="601" t="str">
        <f t="shared" ca="1" si="127"/>
        <v/>
      </c>
      <c r="AO275" s="601" t="str">
        <f t="shared" ca="1" si="127"/>
        <v/>
      </c>
      <c r="AP275" s="601" t="str">
        <f t="shared" ca="1" si="127"/>
        <v/>
      </c>
      <c r="AQ275" s="601" t="str">
        <f t="shared" ca="1" si="127"/>
        <v/>
      </c>
      <c r="AR275" s="601" t="str">
        <f t="shared" ca="1" si="127"/>
        <v/>
      </c>
      <c r="AS275" s="601" t="str">
        <f t="shared" ca="1" si="127"/>
        <v/>
      </c>
      <c r="AT275" s="601" t="str">
        <f t="shared" ca="1" si="127"/>
        <v/>
      </c>
      <c r="AU275" s="601" t="str">
        <f t="shared" ca="1" si="127"/>
        <v/>
      </c>
      <c r="AV275" s="601" t="str">
        <f t="shared" ca="1" si="127"/>
        <v/>
      </c>
      <c r="AW275" s="601" t="str">
        <f t="shared" ca="1" si="127"/>
        <v/>
      </c>
      <c r="AX275" s="601" t="str">
        <f t="shared" ca="1" si="127"/>
        <v/>
      </c>
      <c r="AY275" s="601" t="str">
        <f t="shared" ca="1" si="127"/>
        <v/>
      </c>
      <c r="AZ275" s="601" t="str">
        <f t="shared" ca="1" si="127"/>
        <v/>
      </c>
      <c r="BA275" s="602" t="str">
        <f t="shared" ca="1" si="127"/>
        <v/>
      </c>
      <c r="BB275" s="600" t="str">
        <f t="shared" ca="1" si="127"/>
        <v/>
      </c>
      <c r="BD275" s="569" t="str">
        <f>""</f>
        <v/>
      </c>
      <c r="IE275" s="603"/>
      <c r="IF275" s="603"/>
      <c r="IG275" s="603"/>
      <c r="IH275" s="603"/>
    </row>
    <row r="276" spans="1:242" s="569" customFormat="1" hidden="1">
      <c r="B276" s="1052"/>
      <c r="C276" s="605" t="s">
        <v>675</v>
      </c>
      <c r="D276" s="606">
        <v>10</v>
      </c>
      <c r="E276" s="607" t="str">
        <f t="shared" ref="E276:AJ276" ca="1" si="128">OFFSET(A1_名称2024,E$247+2,$D276)&amp;""</f>
        <v/>
      </c>
      <c r="F276" s="607" t="str">
        <f t="shared" ca="1" si="128"/>
        <v/>
      </c>
      <c r="G276" s="607" t="str">
        <f t="shared" ca="1" si="128"/>
        <v/>
      </c>
      <c r="H276" s="607" t="str">
        <f t="shared" ca="1" si="128"/>
        <v/>
      </c>
      <c r="I276" s="607" t="str">
        <f t="shared" ca="1" si="128"/>
        <v/>
      </c>
      <c r="J276" s="607" t="str">
        <f t="shared" ca="1" si="128"/>
        <v/>
      </c>
      <c r="K276" s="607" t="str">
        <f t="shared" ca="1" si="128"/>
        <v/>
      </c>
      <c r="L276" s="607" t="str">
        <f t="shared" ca="1" si="128"/>
        <v/>
      </c>
      <c r="M276" s="607" t="str">
        <f t="shared" ca="1" si="128"/>
        <v/>
      </c>
      <c r="N276" s="607" t="str">
        <f t="shared" ca="1" si="128"/>
        <v/>
      </c>
      <c r="O276" s="607" t="str">
        <f ca="1">OFFSET(A1_名称2024,O$247+2,$D276)&amp;""</f>
        <v/>
      </c>
      <c r="P276" s="607" t="str">
        <f t="shared" ca="1" si="128"/>
        <v/>
      </c>
      <c r="Q276" s="607" t="str">
        <f t="shared" ca="1" si="128"/>
        <v/>
      </c>
      <c r="R276" s="607" t="str">
        <f t="shared" ca="1" si="128"/>
        <v/>
      </c>
      <c r="S276" s="607" t="str">
        <f t="shared" ca="1" si="128"/>
        <v/>
      </c>
      <c r="T276" s="607" t="str">
        <f t="shared" ca="1" si="128"/>
        <v/>
      </c>
      <c r="U276" s="607" t="str">
        <f t="shared" ca="1" si="128"/>
        <v/>
      </c>
      <c r="V276" s="607" t="str">
        <f t="shared" ca="1" si="128"/>
        <v/>
      </c>
      <c r="W276" s="607" t="str">
        <f t="shared" ca="1" si="128"/>
        <v/>
      </c>
      <c r="X276" s="607" t="str">
        <f t="shared" ca="1" si="128"/>
        <v/>
      </c>
      <c r="Y276" s="607" t="str">
        <f t="shared" ca="1" si="128"/>
        <v/>
      </c>
      <c r="Z276" s="607" t="str">
        <f t="shared" ca="1" si="128"/>
        <v/>
      </c>
      <c r="AA276" s="607" t="str">
        <f t="shared" ca="1" si="128"/>
        <v/>
      </c>
      <c r="AB276" s="607" t="str">
        <f t="shared" ca="1" si="128"/>
        <v/>
      </c>
      <c r="AC276" s="607" t="str">
        <f t="shared" ca="1" si="128"/>
        <v/>
      </c>
      <c r="AD276" s="607" t="str">
        <f t="shared" ca="1" si="128"/>
        <v/>
      </c>
      <c r="AE276" s="607" t="str">
        <f t="shared" ca="1" si="128"/>
        <v/>
      </c>
      <c r="AF276" s="607" t="str">
        <f t="shared" ca="1" si="128"/>
        <v/>
      </c>
      <c r="AG276" s="607" t="str">
        <f t="shared" ca="1" si="128"/>
        <v/>
      </c>
      <c r="AH276" s="607" t="str">
        <f t="shared" ca="1" si="128"/>
        <v/>
      </c>
      <c r="AI276" s="607" t="str">
        <f t="shared" ca="1" si="128"/>
        <v/>
      </c>
      <c r="AJ276" s="607" t="str">
        <f t="shared" ca="1" si="128"/>
        <v/>
      </c>
      <c r="AK276" s="607" t="str">
        <f t="shared" ref="AK276:BB276" ca="1" si="129">OFFSET(A1_名称2024,AK$247+2,$D276)&amp;""</f>
        <v/>
      </c>
      <c r="AL276" s="607" t="str">
        <f t="shared" ca="1" si="129"/>
        <v/>
      </c>
      <c r="AM276" s="607" t="str">
        <f t="shared" ca="1" si="129"/>
        <v/>
      </c>
      <c r="AN276" s="607" t="str">
        <f t="shared" ca="1" si="129"/>
        <v/>
      </c>
      <c r="AO276" s="607" t="str">
        <f t="shared" ca="1" si="129"/>
        <v/>
      </c>
      <c r="AP276" s="607" t="str">
        <f t="shared" ca="1" si="129"/>
        <v/>
      </c>
      <c r="AQ276" s="607" t="str">
        <f t="shared" ca="1" si="129"/>
        <v/>
      </c>
      <c r="AR276" s="607" t="str">
        <f t="shared" ca="1" si="129"/>
        <v/>
      </c>
      <c r="AS276" s="607" t="str">
        <f t="shared" ca="1" si="129"/>
        <v/>
      </c>
      <c r="AT276" s="607" t="str">
        <f t="shared" ca="1" si="129"/>
        <v/>
      </c>
      <c r="AU276" s="607" t="str">
        <f t="shared" ca="1" si="129"/>
        <v/>
      </c>
      <c r="AV276" s="607" t="str">
        <f t="shared" ca="1" si="129"/>
        <v/>
      </c>
      <c r="AW276" s="607" t="str">
        <f t="shared" ca="1" si="129"/>
        <v/>
      </c>
      <c r="AX276" s="607" t="str">
        <f t="shared" ca="1" si="129"/>
        <v/>
      </c>
      <c r="AY276" s="607" t="str">
        <f t="shared" ca="1" si="129"/>
        <v/>
      </c>
      <c r="AZ276" s="607" t="str">
        <f t="shared" ca="1" si="129"/>
        <v/>
      </c>
      <c r="BA276" s="608" t="str">
        <f t="shared" ca="1" si="129"/>
        <v/>
      </c>
      <c r="BB276" s="606" t="str">
        <f t="shared" ca="1" si="129"/>
        <v/>
      </c>
      <c r="IE276" s="603"/>
      <c r="IF276" s="603"/>
      <c r="IG276" s="603"/>
      <c r="IH276" s="603"/>
    </row>
    <row r="277" spans="1:242" s="569" customFormat="1" hidden="1">
      <c r="B277" s="1052"/>
      <c r="C277" s="599" t="s">
        <v>676</v>
      </c>
      <c r="D277" s="600"/>
      <c r="E277" s="601" t="str">
        <f ca="1">IF(E276="","",IFERROR(INDEX($E272:$BB272,MATCH(E276,$BD273:$DA273,0)),""))</f>
        <v/>
      </c>
      <c r="F277" s="601" t="str">
        <f t="shared" ref="F277:N277" ca="1" si="130">IF(F276="","",IFERROR(INDEX($E272:$BB272,MATCH(F276,$BD273:$DA273,0)),""))</f>
        <v/>
      </c>
      <c r="G277" s="601" t="str">
        <f t="shared" ca="1" si="130"/>
        <v/>
      </c>
      <c r="H277" s="601" t="str">
        <f t="shared" ca="1" si="130"/>
        <v/>
      </c>
      <c r="I277" s="601" t="str">
        <f t="shared" ca="1" si="130"/>
        <v/>
      </c>
      <c r="J277" s="601" t="str">
        <f t="shared" ca="1" si="130"/>
        <v/>
      </c>
      <c r="K277" s="601" t="str">
        <f t="shared" ca="1" si="130"/>
        <v/>
      </c>
      <c r="L277" s="601" t="str">
        <f t="shared" ca="1" si="130"/>
        <v/>
      </c>
      <c r="M277" s="601" t="str">
        <f t="shared" ca="1" si="130"/>
        <v/>
      </c>
      <c r="N277" s="601" t="str">
        <f t="shared" ca="1" si="130"/>
        <v/>
      </c>
      <c r="O277" s="601" t="str">
        <f ca="1">IF(O276="","",IFERROR(INDEX($E272:$BB272,MATCH(O276,$BD273:$DA273,0)),""))</f>
        <v/>
      </c>
      <c r="P277" s="601" t="str">
        <f t="shared" ref="P277:BB277" ca="1" si="131">IF(P276="","",IFERROR(INDEX($E272:$BB272,MATCH(P276,$BD273:$DA273,0)),""))</f>
        <v/>
      </c>
      <c r="Q277" s="601" t="str">
        <f t="shared" ca="1" si="131"/>
        <v/>
      </c>
      <c r="R277" s="601" t="str">
        <f t="shared" ca="1" si="131"/>
        <v/>
      </c>
      <c r="S277" s="601" t="str">
        <f t="shared" ca="1" si="131"/>
        <v/>
      </c>
      <c r="T277" s="601" t="str">
        <f t="shared" ca="1" si="131"/>
        <v/>
      </c>
      <c r="U277" s="601" t="str">
        <f t="shared" ca="1" si="131"/>
        <v/>
      </c>
      <c r="V277" s="601" t="str">
        <f t="shared" ca="1" si="131"/>
        <v/>
      </c>
      <c r="W277" s="601" t="str">
        <f t="shared" ca="1" si="131"/>
        <v/>
      </c>
      <c r="X277" s="601" t="str">
        <f t="shared" ca="1" si="131"/>
        <v/>
      </c>
      <c r="Y277" s="601" t="str">
        <f t="shared" ca="1" si="131"/>
        <v/>
      </c>
      <c r="Z277" s="601" t="str">
        <f t="shared" ca="1" si="131"/>
        <v/>
      </c>
      <c r="AA277" s="601" t="str">
        <f t="shared" ca="1" si="131"/>
        <v/>
      </c>
      <c r="AB277" s="601" t="str">
        <f t="shared" ca="1" si="131"/>
        <v/>
      </c>
      <c r="AC277" s="601" t="str">
        <f t="shared" ca="1" si="131"/>
        <v/>
      </c>
      <c r="AD277" s="601" t="str">
        <f t="shared" ca="1" si="131"/>
        <v/>
      </c>
      <c r="AE277" s="601" t="str">
        <f t="shared" ca="1" si="131"/>
        <v/>
      </c>
      <c r="AF277" s="601" t="str">
        <f t="shared" ca="1" si="131"/>
        <v/>
      </c>
      <c r="AG277" s="601" t="str">
        <f t="shared" ca="1" si="131"/>
        <v/>
      </c>
      <c r="AH277" s="601" t="str">
        <f t="shared" ca="1" si="131"/>
        <v/>
      </c>
      <c r="AI277" s="601" t="str">
        <f t="shared" ca="1" si="131"/>
        <v/>
      </c>
      <c r="AJ277" s="601" t="str">
        <f t="shared" ca="1" si="131"/>
        <v/>
      </c>
      <c r="AK277" s="601" t="str">
        <f t="shared" ca="1" si="131"/>
        <v/>
      </c>
      <c r="AL277" s="601" t="str">
        <f t="shared" ca="1" si="131"/>
        <v/>
      </c>
      <c r="AM277" s="601" t="str">
        <f t="shared" ca="1" si="131"/>
        <v/>
      </c>
      <c r="AN277" s="601" t="str">
        <f t="shared" ca="1" si="131"/>
        <v/>
      </c>
      <c r="AO277" s="601" t="str">
        <f t="shared" ca="1" si="131"/>
        <v/>
      </c>
      <c r="AP277" s="601" t="str">
        <f t="shared" ca="1" si="131"/>
        <v/>
      </c>
      <c r="AQ277" s="601" t="str">
        <f t="shared" ca="1" si="131"/>
        <v/>
      </c>
      <c r="AR277" s="601" t="str">
        <f t="shared" ca="1" si="131"/>
        <v/>
      </c>
      <c r="AS277" s="601" t="str">
        <f t="shared" ca="1" si="131"/>
        <v/>
      </c>
      <c r="AT277" s="601" t="str">
        <f t="shared" ca="1" si="131"/>
        <v/>
      </c>
      <c r="AU277" s="601" t="str">
        <f t="shared" ca="1" si="131"/>
        <v/>
      </c>
      <c r="AV277" s="601" t="str">
        <f t="shared" ca="1" si="131"/>
        <v/>
      </c>
      <c r="AW277" s="601" t="str">
        <f t="shared" ca="1" si="131"/>
        <v/>
      </c>
      <c r="AX277" s="601" t="str">
        <f t="shared" ca="1" si="131"/>
        <v/>
      </c>
      <c r="AY277" s="601" t="str">
        <f t="shared" ca="1" si="131"/>
        <v/>
      </c>
      <c r="AZ277" s="601" t="str">
        <f t="shared" ca="1" si="131"/>
        <v/>
      </c>
      <c r="BA277" s="602" t="str">
        <f t="shared" ca="1" si="131"/>
        <v/>
      </c>
      <c r="BB277" s="600" t="str">
        <f t="shared" ca="1" si="131"/>
        <v/>
      </c>
      <c r="IE277" s="603"/>
      <c r="IF277" s="603"/>
      <c r="IG277" s="603"/>
      <c r="IH277" s="603"/>
    </row>
    <row r="278" spans="1:242" s="164" customFormat="1" ht="19.8" hidden="1">
      <c r="A278" s="569"/>
      <c r="B278" s="1052"/>
      <c r="C278" s="609" t="s">
        <v>677</v>
      </c>
      <c r="D278" s="610">
        <v>6</v>
      </c>
      <c r="E278" s="611" t="str">
        <f t="shared" ref="E278:AJ278" ca="1" si="132">IFERROR(OFFSET(貼付け_2024実績,$D278,E277+1)&amp;"","")</f>
        <v/>
      </c>
      <c r="F278" s="611" t="str">
        <f t="shared" ca="1" si="132"/>
        <v/>
      </c>
      <c r="G278" s="611" t="str">
        <f t="shared" ca="1" si="132"/>
        <v/>
      </c>
      <c r="H278" s="611" t="str">
        <f t="shared" ca="1" si="132"/>
        <v/>
      </c>
      <c r="I278" s="611" t="str">
        <f t="shared" ca="1" si="132"/>
        <v/>
      </c>
      <c r="J278" s="611" t="str">
        <f t="shared" ca="1" si="132"/>
        <v/>
      </c>
      <c r="K278" s="611" t="str">
        <f t="shared" ca="1" si="132"/>
        <v/>
      </c>
      <c r="L278" s="611" t="str">
        <f t="shared" ca="1" si="132"/>
        <v/>
      </c>
      <c r="M278" s="611" t="str">
        <f t="shared" ca="1" si="132"/>
        <v/>
      </c>
      <c r="N278" s="611" t="str">
        <f t="shared" ca="1" si="132"/>
        <v/>
      </c>
      <c r="O278" s="611" t="str">
        <f ca="1">IFERROR(OFFSET(貼付け_2024実績,$D278,O277+1)&amp;"","")</f>
        <v/>
      </c>
      <c r="P278" s="611" t="str">
        <f t="shared" ca="1" si="132"/>
        <v/>
      </c>
      <c r="Q278" s="611" t="str">
        <f t="shared" ca="1" si="132"/>
        <v/>
      </c>
      <c r="R278" s="611" t="str">
        <f t="shared" ca="1" si="132"/>
        <v/>
      </c>
      <c r="S278" s="611" t="str">
        <f t="shared" ca="1" si="132"/>
        <v/>
      </c>
      <c r="T278" s="611" t="str">
        <f t="shared" ca="1" si="132"/>
        <v/>
      </c>
      <c r="U278" s="611" t="str">
        <f t="shared" ca="1" si="132"/>
        <v/>
      </c>
      <c r="V278" s="611" t="str">
        <f t="shared" ca="1" si="132"/>
        <v/>
      </c>
      <c r="W278" s="611" t="str">
        <f t="shared" ca="1" si="132"/>
        <v/>
      </c>
      <c r="X278" s="611" t="str">
        <f t="shared" ca="1" si="132"/>
        <v/>
      </c>
      <c r="Y278" s="611" t="str">
        <f t="shared" ca="1" si="132"/>
        <v/>
      </c>
      <c r="Z278" s="611" t="str">
        <f t="shared" ca="1" si="132"/>
        <v/>
      </c>
      <c r="AA278" s="611" t="str">
        <f t="shared" ca="1" si="132"/>
        <v/>
      </c>
      <c r="AB278" s="611" t="str">
        <f t="shared" ca="1" si="132"/>
        <v/>
      </c>
      <c r="AC278" s="611" t="str">
        <f t="shared" ca="1" si="132"/>
        <v/>
      </c>
      <c r="AD278" s="611" t="str">
        <f t="shared" ca="1" si="132"/>
        <v/>
      </c>
      <c r="AE278" s="611" t="str">
        <f t="shared" ca="1" si="132"/>
        <v/>
      </c>
      <c r="AF278" s="611" t="str">
        <f t="shared" ca="1" si="132"/>
        <v/>
      </c>
      <c r="AG278" s="611" t="str">
        <f t="shared" ca="1" si="132"/>
        <v/>
      </c>
      <c r="AH278" s="611" t="str">
        <f t="shared" ca="1" si="132"/>
        <v/>
      </c>
      <c r="AI278" s="611" t="str">
        <f t="shared" ca="1" si="132"/>
        <v/>
      </c>
      <c r="AJ278" s="611" t="str">
        <f t="shared" ca="1" si="132"/>
        <v/>
      </c>
      <c r="AK278" s="611" t="str">
        <f t="shared" ref="AK278:BB278" ca="1" si="133">IFERROR(OFFSET(貼付け_2024実績,$D278,AK277+1)&amp;"","")</f>
        <v/>
      </c>
      <c r="AL278" s="611" t="str">
        <f t="shared" ca="1" si="133"/>
        <v/>
      </c>
      <c r="AM278" s="611" t="str">
        <f t="shared" ca="1" si="133"/>
        <v/>
      </c>
      <c r="AN278" s="611" t="str">
        <f t="shared" ca="1" si="133"/>
        <v/>
      </c>
      <c r="AO278" s="611" t="str">
        <f t="shared" ca="1" si="133"/>
        <v/>
      </c>
      <c r="AP278" s="611" t="str">
        <f t="shared" ca="1" si="133"/>
        <v/>
      </c>
      <c r="AQ278" s="611" t="str">
        <f t="shared" ca="1" si="133"/>
        <v/>
      </c>
      <c r="AR278" s="611" t="str">
        <f t="shared" ca="1" si="133"/>
        <v/>
      </c>
      <c r="AS278" s="611" t="str">
        <f t="shared" ca="1" si="133"/>
        <v/>
      </c>
      <c r="AT278" s="611" t="str">
        <f t="shared" ca="1" si="133"/>
        <v/>
      </c>
      <c r="AU278" s="611" t="str">
        <f t="shared" ca="1" si="133"/>
        <v/>
      </c>
      <c r="AV278" s="611" t="str">
        <f t="shared" ca="1" si="133"/>
        <v/>
      </c>
      <c r="AW278" s="611" t="str">
        <f t="shared" ca="1" si="133"/>
        <v/>
      </c>
      <c r="AX278" s="611" t="str">
        <f t="shared" ca="1" si="133"/>
        <v/>
      </c>
      <c r="AY278" s="611" t="str">
        <f t="shared" ca="1" si="133"/>
        <v/>
      </c>
      <c r="AZ278" s="611" t="str">
        <f t="shared" ca="1" si="133"/>
        <v/>
      </c>
      <c r="BA278" s="612" t="str">
        <f t="shared" ca="1" si="133"/>
        <v/>
      </c>
      <c r="BB278" s="610" t="str">
        <f t="shared" ca="1" si="133"/>
        <v/>
      </c>
      <c r="BC278" s="613"/>
      <c r="IE278" s="579"/>
      <c r="IF278" s="579"/>
      <c r="IG278" s="579"/>
      <c r="IH278" s="579"/>
    </row>
    <row r="279" spans="1:242" s="164" customFormat="1" ht="20.100000000000001" hidden="1" customHeight="1">
      <c r="A279" s="569"/>
      <c r="B279" s="1052"/>
      <c r="C279" s="614" t="s">
        <v>678</v>
      </c>
      <c r="D279" s="615">
        <v>99</v>
      </c>
      <c r="E279" s="616" t="str">
        <f t="shared" ref="E279:AJ279" ca="1" si="134">IFERROR(OFFSET(貼付け_2024実績,$D279,E277),"")&amp;""</f>
        <v/>
      </c>
      <c r="F279" s="616" t="str">
        <f t="shared" ca="1" si="134"/>
        <v/>
      </c>
      <c r="G279" s="616" t="str">
        <f t="shared" ca="1" si="134"/>
        <v/>
      </c>
      <c r="H279" s="616" t="str">
        <f t="shared" ca="1" si="134"/>
        <v/>
      </c>
      <c r="I279" s="616" t="str">
        <f t="shared" ca="1" si="134"/>
        <v/>
      </c>
      <c r="J279" s="616" t="str">
        <f t="shared" ca="1" si="134"/>
        <v/>
      </c>
      <c r="K279" s="616" t="str">
        <f t="shared" ca="1" si="134"/>
        <v/>
      </c>
      <c r="L279" s="616" t="str">
        <f t="shared" ca="1" si="134"/>
        <v/>
      </c>
      <c r="M279" s="616" t="str">
        <f t="shared" ca="1" si="134"/>
        <v/>
      </c>
      <c r="N279" s="616" t="str">
        <f t="shared" ca="1" si="134"/>
        <v/>
      </c>
      <c r="O279" s="616" t="str">
        <f ca="1">IFERROR(OFFSET(貼付け_2024実績,$D279,O277),"")&amp;""</f>
        <v/>
      </c>
      <c r="P279" s="616" t="str">
        <f t="shared" ca="1" si="134"/>
        <v/>
      </c>
      <c r="Q279" s="616" t="str">
        <f t="shared" ca="1" si="134"/>
        <v/>
      </c>
      <c r="R279" s="616" t="str">
        <f t="shared" ca="1" si="134"/>
        <v/>
      </c>
      <c r="S279" s="616" t="str">
        <f t="shared" ca="1" si="134"/>
        <v/>
      </c>
      <c r="T279" s="616" t="str">
        <f t="shared" ca="1" si="134"/>
        <v/>
      </c>
      <c r="U279" s="616" t="str">
        <f t="shared" ca="1" si="134"/>
        <v/>
      </c>
      <c r="V279" s="616" t="str">
        <f t="shared" ca="1" si="134"/>
        <v/>
      </c>
      <c r="W279" s="616" t="str">
        <f t="shared" ca="1" si="134"/>
        <v/>
      </c>
      <c r="X279" s="616" t="str">
        <f t="shared" ca="1" si="134"/>
        <v/>
      </c>
      <c r="Y279" s="616" t="str">
        <f t="shared" ca="1" si="134"/>
        <v/>
      </c>
      <c r="Z279" s="616" t="str">
        <f t="shared" ca="1" si="134"/>
        <v/>
      </c>
      <c r="AA279" s="616" t="str">
        <f t="shared" ca="1" si="134"/>
        <v/>
      </c>
      <c r="AB279" s="616" t="str">
        <f t="shared" ca="1" si="134"/>
        <v/>
      </c>
      <c r="AC279" s="616" t="str">
        <f t="shared" ca="1" si="134"/>
        <v/>
      </c>
      <c r="AD279" s="616" t="str">
        <f t="shared" ca="1" si="134"/>
        <v/>
      </c>
      <c r="AE279" s="616" t="str">
        <f t="shared" ca="1" si="134"/>
        <v/>
      </c>
      <c r="AF279" s="616" t="str">
        <f t="shared" ca="1" si="134"/>
        <v/>
      </c>
      <c r="AG279" s="616" t="str">
        <f t="shared" ca="1" si="134"/>
        <v/>
      </c>
      <c r="AH279" s="616" t="str">
        <f t="shared" ca="1" si="134"/>
        <v/>
      </c>
      <c r="AI279" s="616" t="str">
        <f t="shared" ca="1" si="134"/>
        <v/>
      </c>
      <c r="AJ279" s="616" t="str">
        <f t="shared" ca="1" si="134"/>
        <v/>
      </c>
      <c r="AK279" s="616" t="str">
        <f t="shared" ref="AK279:BB279" ca="1" si="135">IFERROR(OFFSET(貼付け_2024実績,$D279,AK277),"")&amp;""</f>
        <v/>
      </c>
      <c r="AL279" s="616" t="str">
        <f t="shared" ca="1" si="135"/>
        <v/>
      </c>
      <c r="AM279" s="616" t="str">
        <f t="shared" ca="1" si="135"/>
        <v/>
      </c>
      <c r="AN279" s="616" t="str">
        <f t="shared" ca="1" si="135"/>
        <v/>
      </c>
      <c r="AO279" s="616" t="str">
        <f t="shared" ca="1" si="135"/>
        <v/>
      </c>
      <c r="AP279" s="616" t="str">
        <f t="shared" ca="1" si="135"/>
        <v/>
      </c>
      <c r="AQ279" s="616" t="str">
        <f t="shared" ca="1" si="135"/>
        <v/>
      </c>
      <c r="AR279" s="616" t="str">
        <f t="shared" ca="1" si="135"/>
        <v/>
      </c>
      <c r="AS279" s="616" t="str">
        <f t="shared" ca="1" si="135"/>
        <v/>
      </c>
      <c r="AT279" s="616" t="str">
        <f t="shared" ca="1" si="135"/>
        <v/>
      </c>
      <c r="AU279" s="616" t="str">
        <f t="shared" ca="1" si="135"/>
        <v/>
      </c>
      <c r="AV279" s="616" t="str">
        <f t="shared" ca="1" si="135"/>
        <v/>
      </c>
      <c r="AW279" s="616" t="str">
        <f t="shared" ca="1" si="135"/>
        <v/>
      </c>
      <c r="AX279" s="616" t="str">
        <f t="shared" ca="1" si="135"/>
        <v/>
      </c>
      <c r="AY279" s="616" t="str">
        <f t="shared" ca="1" si="135"/>
        <v/>
      </c>
      <c r="AZ279" s="616" t="str">
        <f t="shared" ca="1" si="135"/>
        <v/>
      </c>
      <c r="BA279" s="616" t="str">
        <f t="shared" ca="1" si="135"/>
        <v/>
      </c>
      <c r="BB279" s="615" t="str">
        <f t="shared" ca="1" si="135"/>
        <v/>
      </c>
      <c r="IE279" s="579"/>
      <c r="IF279" s="579"/>
      <c r="IG279" s="579"/>
      <c r="IH279" s="579"/>
    </row>
    <row r="280" spans="1:242" s="164" customFormat="1" ht="20.100000000000001" hidden="1" customHeight="1">
      <c r="A280" s="569"/>
      <c r="B280" s="1052"/>
      <c r="C280" s="614" t="s">
        <v>679</v>
      </c>
      <c r="D280" s="615">
        <v>6</v>
      </c>
      <c r="E280" s="616" t="str">
        <f t="shared" ref="E280:AJ280" ca="1" si="136">IFERROR(OFFSET(A1_集計2024,$D280,E277),"")</f>
        <v/>
      </c>
      <c r="F280" s="616" t="str">
        <f t="shared" ca="1" si="136"/>
        <v/>
      </c>
      <c r="G280" s="616" t="str">
        <f t="shared" ca="1" si="136"/>
        <v/>
      </c>
      <c r="H280" s="616" t="str">
        <f t="shared" ca="1" si="136"/>
        <v/>
      </c>
      <c r="I280" s="616" t="str">
        <f t="shared" ca="1" si="136"/>
        <v/>
      </c>
      <c r="J280" s="616" t="str">
        <f t="shared" ca="1" si="136"/>
        <v/>
      </c>
      <c r="K280" s="616" t="str">
        <f t="shared" ca="1" si="136"/>
        <v/>
      </c>
      <c r="L280" s="616" t="str">
        <f t="shared" ca="1" si="136"/>
        <v/>
      </c>
      <c r="M280" s="616" t="str">
        <f t="shared" ca="1" si="136"/>
        <v/>
      </c>
      <c r="N280" s="616" t="str">
        <f t="shared" ca="1" si="136"/>
        <v/>
      </c>
      <c r="O280" s="616" t="str">
        <f ca="1">IFERROR(OFFSET(A1_集計2024,$D280,O277),"")</f>
        <v/>
      </c>
      <c r="P280" s="616" t="str">
        <f t="shared" ca="1" si="136"/>
        <v/>
      </c>
      <c r="Q280" s="616" t="str">
        <f t="shared" ca="1" si="136"/>
        <v/>
      </c>
      <c r="R280" s="616" t="str">
        <f t="shared" ca="1" si="136"/>
        <v/>
      </c>
      <c r="S280" s="616" t="str">
        <f t="shared" ca="1" si="136"/>
        <v/>
      </c>
      <c r="T280" s="616" t="str">
        <f t="shared" ca="1" si="136"/>
        <v/>
      </c>
      <c r="U280" s="616" t="str">
        <f t="shared" ca="1" si="136"/>
        <v/>
      </c>
      <c r="V280" s="616" t="str">
        <f t="shared" ca="1" si="136"/>
        <v/>
      </c>
      <c r="W280" s="616" t="str">
        <f t="shared" ca="1" si="136"/>
        <v/>
      </c>
      <c r="X280" s="616" t="str">
        <f t="shared" ca="1" si="136"/>
        <v/>
      </c>
      <c r="Y280" s="616" t="str">
        <f t="shared" ca="1" si="136"/>
        <v/>
      </c>
      <c r="Z280" s="616" t="str">
        <f t="shared" ca="1" si="136"/>
        <v/>
      </c>
      <c r="AA280" s="616" t="str">
        <f t="shared" ca="1" si="136"/>
        <v/>
      </c>
      <c r="AB280" s="616" t="str">
        <f t="shared" ca="1" si="136"/>
        <v/>
      </c>
      <c r="AC280" s="616" t="str">
        <f t="shared" ca="1" si="136"/>
        <v/>
      </c>
      <c r="AD280" s="616" t="str">
        <f t="shared" ca="1" si="136"/>
        <v/>
      </c>
      <c r="AE280" s="616" t="str">
        <f t="shared" ca="1" si="136"/>
        <v/>
      </c>
      <c r="AF280" s="616" t="str">
        <f t="shared" ca="1" si="136"/>
        <v/>
      </c>
      <c r="AG280" s="616" t="str">
        <f t="shared" ca="1" si="136"/>
        <v/>
      </c>
      <c r="AH280" s="616" t="str">
        <f t="shared" ca="1" si="136"/>
        <v/>
      </c>
      <c r="AI280" s="616" t="str">
        <f t="shared" ca="1" si="136"/>
        <v/>
      </c>
      <c r="AJ280" s="616" t="str">
        <f t="shared" ca="1" si="136"/>
        <v/>
      </c>
      <c r="AK280" s="616" t="str">
        <f t="shared" ref="AK280:BB280" ca="1" si="137">IFERROR(OFFSET(A1_集計2024,$D280,AK277),"")</f>
        <v/>
      </c>
      <c r="AL280" s="616" t="str">
        <f t="shared" ca="1" si="137"/>
        <v/>
      </c>
      <c r="AM280" s="616" t="str">
        <f t="shared" ca="1" si="137"/>
        <v/>
      </c>
      <c r="AN280" s="616" t="str">
        <f t="shared" ca="1" si="137"/>
        <v/>
      </c>
      <c r="AO280" s="616" t="str">
        <f t="shared" ca="1" si="137"/>
        <v/>
      </c>
      <c r="AP280" s="616" t="str">
        <f t="shared" ca="1" si="137"/>
        <v/>
      </c>
      <c r="AQ280" s="616" t="str">
        <f t="shared" ca="1" si="137"/>
        <v/>
      </c>
      <c r="AR280" s="616" t="str">
        <f t="shared" ca="1" si="137"/>
        <v/>
      </c>
      <c r="AS280" s="616" t="str">
        <f t="shared" ca="1" si="137"/>
        <v/>
      </c>
      <c r="AT280" s="616" t="str">
        <f t="shared" ca="1" si="137"/>
        <v/>
      </c>
      <c r="AU280" s="616" t="str">
        <f t="shared" ca="1" si="137"/>
        <v/>
      </c>
      <c r="AV280" s="616" t="str">
        <f t="shared" ca="1" si="137"/>
        <v/>
      </c>
      <c r="AW280" s="616" t="str">
        <f t="shared" ca="1" si="137"/>
        <v/>
      </c>
      <c r="AX280" s="616" t="str">
        <f t="shared" ca="1" si="137"/>
        <v/>
      </c>
      <c r="AY280" s="616" t="str">
        <f t="shared" ca="1" si="137"/>
        <v/>
      </c>
      <c r="AZ280" s="616" t="str">
        <f t="shared" ca="1" si="137"/>
        <v/>
      </c>
      <c r="BA280" s="587" t="str">
        <f t="shared" ca="1" si="137"/>
        <v/>
      </c>
      <c r="BB280" s="615" t="str">
        <f t="shared" ca="1" si="137"/>
        <v/>
      </c>
      <c r="IE280" s="579"/>
      <c r="IF280" s="579"/>
      <c r="IG280" s="579"/>
      <c r="IH280" s="579"/>
    </row>
    <row r="281" spans="1:242" s="164" customFormat="1" ht="20.100000000000001" hidden="1" customHeight="1">
      <c r="A281" s="569"/>
      <c r="B281" s="1052"/>
      <c r="C281" s="614" t="s">
        <v>680</v>
      </c>
      <c r="D281" s="615">
        <v>101</v>
      </c>
      <c r="E281" s="616" t="str">
        <f t="shared" ref="E281:AJ281" ca="1" si="138">IFERROR(OFFSET(貼付け_2024実績,$D281,E277),"")</f>
        <v/>
      </c>
      <c r="F281" s="616" t="str">
        <f t="shared" ca="1" si="138"/>
        <v/>
      </c>
      <c r="G281" s="616" t="str">
        <f t="shared" ca="1" si="138"/>
        <v/>
      </c>
      <c r="H281" s="616" t="str">
        <f t="shared" ca="1" si="138"/>
        <v/>
      </c>
      <c r="I281" s="616" t="str">
        <f t="shared" ca="1" si="138"/>
        <v/>
      </c>
      <c r="J281" s="616" t="str">
        <f t="shared" ca="1" si="138"/>
        <v/>
      </c>
      <c r="K281" s="616" t="str">
        <f t="shared" ca="1" si="138"/>
        <v/>
      </c>
      <c r="L281" s="616" t="str">
        <f t="shared" ca="1" si="138"/>
        <v/>
      </c>
      <c r="M281" s="616" t="str">
        <f t="shared" ca="1" si="138"/>
        <v/>
      </c>
      <c r="N281" s="616" t="str">
        <f t="shared" ca="1" si="138"/>
        <v/>
      </c>
      <c r="O281" s="616" t="str">
        <f ca="1">IFERROR(OFFSET(貼付け_2024実績,$D281,O277),"")</f>
        <v/>
      </c>
      <c r="P281" s="616" t="str">
        <f t="shared" ca="1" si="138"/>
        <v/>
      </c>
      <c r="Q281" s="616" t="str">
        <f t="shared" ca="1" si="138"/>
        <v/>
      </c>
      <c r="R281" s="616" t="str">
        <f t="shared" ca="1" si="138"/>
        <v/>
      </c>
      <c r="S281" s="616" t="str">
        <f t="shared" ca="1" si="138"/>
        <v/>
      </c>
      <c r="T281" s="616" t="str">
        <f t="shared" ca="1" si="138"/>
        <v/>
      </c>
      <c r="U281" s="616" t="str">
        <f t="shared" ca="1" si="138"/>
        <v/>
      </c>
      <c r="V281" s="616" t="str">
        <f t="shared" ca="1" si="138"/>
        <v/>
      </c>
      <c r="W281" s="616" t="str">
        <f t="shared" ca="1" si="138"/>
        <v/>
      </c>
      <c r="X281" s="616" t="str">
        <f t="shared" ca="1" si="138"/>
        <v/>
      </c>
      <c r="Y281" s="616" t="str">
        <f t="shared" ca="1" si="138"/>
        <v/>
      </c>
      <c r="Z281" s="616" t="str">
        <f t="shared" ca="1" si="138"/>
        <v/>
      </c>
      <c r="AA281" s="616" t="str">
        <f t="shared" ca="1" si="138"/>
        <v/>
      </c>
      <c r="AB281" s="616" t="str">
        <f t="shared" ca="1" si="138"/>
        <v/>
      </c>
      <c r="AC281" s="616" t="str">
        <f t="shared" ca="1" si="138"/>
        <v/>
      </c>
      <c r="AD281" s="616" t="str">
        <f t="shared" ca="1" si="138"/>
        <v/>
      </c>
      <c r="AE281" s="616" t="str">
        <f t="shared" ca="1" si="138"/>
        <v/>
      </c>
      <c r="AF281" s="616" t="str">
        <f t="shared" ca="1" si="138"/>
        <v/>
      </c>
      <c r="AG281" s="616" t="str">
        <f t="shared" ca="1" si="138"/>
        <v/>
      </c>
      <c r="AH281" s="616" t="str">
        <f t="shared" ca="1" si="138"/>
        <v/>
      </c>
      <c r="AI281" s="616" t="str">
        <f t="shared" ca="1" si="138"/>
        <v/>
      </c>
      <c r="AJ281" s="616" t="str">
        <f t="shared" ca="1" si="138"/>
        <v/>
      </c>
      <c r="AK281" s="616" t="str">
        <f t="shared" ref="AK281:BB281" ca="1" si="139">IFERROR(OFFSET(貼付け_2024実績,$D281,AK277),"")</f>
        <v/>
      </c>
      <c r="AL281" s="616" t="str">
        <f t="shared" ca="1" si="139"/>
        <v/>
      </c>
      <c r="AM281" s="616" t="str">
        <f t="shared" ca="1" si="139"/>
        <v/>
      </c>
      <c r="AN281" s="616" t="str">
        <f t="shared" ca="1" si="139"/>
        <v/>
      </c>
      <c r="AO281" s="616" t="str">
        <f t="shared" ca="1" si="139"/>
        <v/>
      </c>
      <c r="AP281" s="616" t="str">
        <f t="shared" ca="1" si="139"/>
        <v/>
      </c>
      <c r="AQ281" s="616" t="str">
        <f t="shared" ca="1" si="139"/>
        <v/>
      </c>
      <c r="AR281" s="616" t="str">
        <f t="shared" ca="1" si="139"/>
        <v/>
      </c>
      <c r="AS281" s="616" t="str">
        <f t="shared" ca="1" si="139"/>
        <v/>
      </c>
      <c r="AT281" s="616" t="str">
        <f t="shared" ca="1" si="139"/>
        <v/>
      </c>
      <c r="AU281" s="616" t="str">
        <f t="shared" ca="1" si="139"/>
        <v/>
      </c>
      <c r="AV281" s="616" t="str">
        <f t="shared" ca="1" si="139"/>
        <v/>
      </c>
      <c r="AW281" s="616" t="str">
        <f t="shared" ca="1" si="139"/>
        <v/>
      </c>
      <c r="AX281" s="616" t="str">
        <f t="shared" ca="1" si="139"/>
        <v/>
      </c>
      <c r="AY281" s="616" t="str">
        <f t="shared" ca="1" si="139"/>
        <v/>
      </c>
      <c r="AZ281" s="616" t="str">
        <f t="shared" ca="1" si="139"/>
        <v/>
      </c>
      <c r="BA281" s="587" t="str">
        <f t="shared" ca="1" si="139"/>
        <v/>
      </c>
      <c r="BB281" s="615" t="str">
        <f t="shared" ca="1" si="139"/>
        <v/>
      </c>
      <c r="IE281" s="579"/>
      <c r="IF281" s="579"/>
      <c r="IG281" s="579"/>
      <c r="IH281" s="579"/>
    </row>
    <row r="282" spans="1:242" s="164" customFormat="1" ht="20.100000000000001" hidden="1" customHeight="1">
      <c r="A282" s="569"/>
      <c r="B282" s="1052"/>
      <c r="C282" s="614" t="s">
        <v>681</v>
      </c>
      <c r="D282" s="615"/>
      <c r="E282" s="616" t="str">
        <f ca="1">IFERROR(E280/E281,"")</f>
        <v/>
      </c>
      <c r="F282" s="616" t="str">
        <f t="shared" ref="F282:BB282" ca="1" si="140">IFERROR(F280/F281,"")</f>
        <v/>
      </c>
      <c r="G282" s="616" t="str">
        <f t="shared" ca="1" si="140"/>
        <v/>
      </c>
      <c r="H282" s="616" t="str">
        <f t="shared" ca="1" si="140"/>
        <v/>
      </c>
      <c r="I282" s="616" t="str">
        <f t="shared" ca="1" si="140"/>
        <v/>
      </c>
      <c r="J282" s="616" t="str">
        <f t="shared" ca="1" si="140"/>
        <v/>
      </c>
      <c r="K282" s="616" t="str">
        <f t="shared" ca="1" si="140"/>
        <v/>
      </c>
      <c r="L282" s="616" t="str">
        <f t="shared" ca="1" si="140"/>
        <v/>
      </c>
      <c r="M282" s="616" t="str">
        <f t="shared" ca="1" si="140"/>
        <v/>
      </c>
      <c r="N282" s="616" t="str">
        <f t="shared" ca="1" si="140"/>
        <v/>
      </c>
      <c r="O282" s="616" t="str">
        <f t="shared" ca="1" si="140"/>
        <v/>
      </c>
      <c r="P282" s="616" t="str">
        <f t="shared" ca="1" si="140"/>
        <v/>
      </c>
      <c r="Q282" s="616" t="str">
        <f t="shared" ca="1" si="140"/>
        <v/>
      </c>
      <c r="R282" s="616" t="str">
        <f t="shared" ca="1" si="140"/>
        <v/>
      </c>
      <c r="S282" s="616" t="str">
        <f t="shared" ca="1" si="140"/>
        <v/>
      </c>
      <c r="T282" s="616" t="str">
        <f t="shared" ca="1" si="140"/>
        <v/>
      </c>
      <c r="U282" s="616" t="str">
        <f t="shared" ca="1" si="140"/>
        <v/>
      </c>
      <c r="V282" s="616" t="str">
        <f t="shared" ca="1" si="140"/>
        <v/>
      </c>
      <c r="W282" s="616" t="str">
        <f t="shared" ca="1" si="140"/>
        <v/>
      </c>
      <c r="X282" s="616" t="str">
        <f t="shared" ca="1" si="140"/>
        <v/>
      </c>
      <c r="Y282" s="616" t="str">
        <f t="shared" ca="1" si="140"/>
        <v/>
      </c>
      <c r="Z282" s="616" t="str">
        <f t="shared" ca="1" si="140"/>
        <v/>
      </c>
      <c r="AA282" s="616" t="str">
        <f t="shared" ca="1" si="140"/>
        <v/>
      </c>
      <c r="AB282" s="616" t="str">
        <f t="shared" ca="1" si="140"/>
        <v/>
      </c>
      <c r="AC282" s="616" t="str">
        <f t="shared" ca="1" si="140"/>
        <v/>
      </c>
      <c r="AD282" s="616" t="str">
        <f t="shared" ca="1" si="140"/>
        <v/>
      </c>
      <c r="AE282" s="616" t="str">
        <f t="shared" ca="1" si="140"/>
        <v/>
      </c>
      <c r="AF282" s="616" t="str">
        <f t="shared" ca="1" si="140"/>
        <v/>
      </c>
      <c r="AG282" s="616" t="str">
        <f t="shared" ca="1" si="140"/>
        <v/>
      </c>
      <c r="AH282" s="616" t="str">
        <f t="shared" ca="1" si="140"/>
        <v/>
      </c>
      <c r="AI282" s="616" t="str">
        <f t="shared" ca="1" si="140"/>
        <v/>
      </c>
      <c r="AJ282" s="616" t="str">
        <f t="shared" ca="1" si="140"/>
        <v/>
      </c>
      <c r="AK282" s="616" t="str">
        <f t="shared" ca="1" si="140"/>
        <v/>
      </c>
      <c r="AL282" s="616" t="str">
        <f t="shared" ca="1" si="140"/>
        <v/>
      </c>
      <c r="AM282" s="616" t="str">
        <f t="shared" ca="1" si="140"/>
        <v/>
      </c>
      <c r="AN282" s="616" t="str">
        <f t="shared" ca="1" si="140"/>
        <v/>
      </c>
      <c r="AO282" s="616" t="str">
        <f t="shared" ca="1" si="140"/>
        <v/>
      </c>
      <c r="AP282" s="616" t="str">
        <f t="shared" ca="1" si="140"/>
        <v/>
      </c>
      <c r="AQ282" s="616" t="str">
        <f t="shared" ca="1" si="140"/>
        <v/>
      </c>
      <c r="AR282" s="616" t="str">
        <f t="shared" ca="1" si="140"/>
        <v/>
      </c>
      <c r="AS282" s="616" t="str">
        <f t="shared" ca="1" si="140"/>
        <v/>
      </c>
      <c r="AT282" s="616" t="str">
        <f t="shared" ca="1" si="140"/>
        <v/>
      </c>
      <c r="AU282" s="616" t="str">
        <f t="shared" ca="1" si="140"/>
        <v/>
      </c>
      <c r="AV282" s="616" t="str">
        <f t="shared" ca="1" si="140"/>
        <v/>
      </c>
      <c r="AW282" s="616" t="str">
        <f t="shared" ca="1" si="140"/>
        <v/>
      </c>
      <c r="AX282" s="616" t="str">
        <f t="shared" ca="1" si="140"/>
        <v/>
      </c>
      <c r="AY282" s="616" t="str">
        <f t="shared" ca="1" si="140"/>
        <v/>
      </c>
      <c r="AZ282" s="616" t="str">
        <f t="shared" ca="1" si="140"/>
        <v/>
      </c>
      <c r="BA282" s="587" t="str">
        <f t="shared" ca="1" si="140"/>
        <v/>
      </c>
      <c r="BB282" s="615" t="str">
        <f t="shared" ca="1" si="140"/>
        <v/>
      </c>
      <c r="IE282" s="579"/>
      <c r="IF282" s="579"/>
      <c r="IG282" s="579"/>
      <c r="IH282" s="579"/>
    </row>
    <row r="283" spans="1:242" s="164" customFormat="1" ht="20.100000000000001" hidden="1" customHeight="1" thickBot="1">
      <c r="A283" s="569"/>
      <c r="B283" s="1053"/>
      <c r="C283" s="617" t="s">
        <v>682</v>
      </c>
      <c r="D283" s="618">
        <v>36</v>
      </c>
      <c r="E283" s="619"/>
      <c r="F283" s="620"/>
      <c r="G283" s="620"/>
      <c r="H283" s="620"/>
      <c r="I283" s="620"/>
      <c r="J283" s="620"/>
      <c r="K283" s="620"/>
      <c r="L283" s="620"/>
      <c r="M283" s="620"/>
      <c r="N283" s="620"/>
      <c r="O283" s="620"/>
      <c r="P283" s="620"/>
      <c r="Q283" s="620"/>
      <c r="R283" s="620"/>
      <c r="S283" s="620"/>
      <c r="T283" s="620"/>
      <c r="U283" s="620"/>
      <c r="V283" s="620"/>
      <c r="W283" s="620"/>
      <c r="X283" s="620"/>
      <c r="Y283" s="620"/>
      <c r="Z283" s="620"/>
      <c r="AA283" s="620"/>
      <c r="AB283" s="620"/>
      <c r="AC283" s="620"/>
      <c r="AD283" s="620"/>
      <c r="AE283" s="620"/>
      <c r="AF283" s="620"/>
      <c r="AG283" s="620"/>
      <c r="AH283" s="620"/>
      <c r="AI283" s="620"/>
      <c r="AJ283" s="620"/>
      <c r="AK283" s="620"/>
      <c r="AL283" s="620"/>
      <c r="AM283" s="620"/>
      <c r="AN283" s="620"/>
      <c r="AO283" s="620"/>
      <c r="AP283" s="620"/>
      <c r="AQ283" s="620"/>
      <c r="AR283" s="620"/>
      <c r="AS283" s="620"/>
      <c r="AT283" s="620"/>
      <c r="AU283" s="620"/>
      <c r="AV283" s="620"/>
      <c r="AW283" s="620"/>
      <c r="AX283" s="620"/>
      <c r="AY283" s="620"/>
      <c r="AZ283" s="620"/>
      <c r="BA283" s="620"/>
      <c r="BB283" s="618"/>
      <c r="IE283" s="579"/>
      <c r="IF283" s="579"/>
      <c r="IG283" s="579"/>
      <c r="IH283" s="579"/>
    </row>
    <row r="284" spans="1:242" ht="19.5" hidden="1" customHeight="1">
      <c r="A284" s="569"/>
      <c r="B284" s="1051" t="s">
        <v>684</v>
      </c>
      <c r="C284" s="596" t="s">
        <v>673</v>
      </c>
      <c r="D284" s="597">
        <v>2024</v>
      </c>
      <c r="E284" s="598">
        <f ca="1">IFERROR(MATCH($B284&amp;E$247,OFFSET(INDIRECT("貼付け_"&amp;$D284&amp;"実績"),4,0,1,209),0)-1,"")</f>
        <v>137</v>
      </c>
      <c r="F284" s="598">
        <f t="shared" ref="F284:BB284" ca="1" si="141">IFERROR(MATCH($B284&amp;F$247,OFFSET(INDIRECT("貼付け_"&amp;$D284&amp;"実績"),4,0,1,209),0)-1,"")</f>
        <v>141</v>
      </c>
      <c r="G284" s="598">
        <f t="shared" ca="1" si="141"/>
        <v>145</v>
      </c>
      <c r="H284" s="598" t="str">
        <f t="shared" ca="1" si="141"/>
        <v/>
      </c>
      <c r="I284" s="598" t="str">
        <f t="shared" ca="1" si="141"/>
        <v/>
      </c>
      <c r="J284" s="598">
        <f t="shared" ca="1" si="141"/>
        <v>149</v>
      </c>
      <c r="K284" s="598">
        <f t="shared" ca="1" si="141"/>
        <v>153</v>
      </c>
      <c r="L284" s="598">
        <f t="shared" ca="1" si="141"/>
        <v>157</v>
      </c>
      <c r="M284" s="598">
        <f t="shared" ca="1" si="141"/>
        <v>161</v>
      </c>
      <c r="N284" s="598">
        <f t="shared" ca="1" si="141"/>
        <v>165</v>
      </c>
      <c r="O284" s="598">
        <f ca="1">IFERROR(MATCH($B284&amp;O$247,OFFSET(INDIRECT("貼付け_"&amp;$D284&amp;"実績"),4,0,1,209),0)-1,"")</f>
        <v>169</v>
      </c>
      <c r="P284" s="598">
        <f t="shared" ca="1" si="141"/>
        <v>173</v>
      </c>
      <c r="Q284" s="598">
        <f t="shared" ca="1" si="141"/>
        <v>177</v>
      </c>
      <c r="R284" s="598">
        <f t="shared" ca="1" si="141"/>
        <v>181</v>
      </c>
      <c r="S284" s="598">
        <f t="shared" ca="1" si="141"/>
        <v>185</v>
      </c>
      <c r="T284" s="598">
        <f t="shared" ca="1" si="141"/>
        <v>189</v>
      </c>
      <c r="U284" s="598">
        <f t="shared" ca="1" si="141"/>
        <v>193</v>
      </c>
      <c r="V284" s="598">
        <f t="shared" ca="1" si="141"/>
        <v>197</v>
      </c>
      <c r="W284" s="598">
        <f t="shared" ca="1" si="141"/>
        <v>201</v>
      </c>
      <c r="X284" s="598">
        <f t="shared" ca="1" si="141"/>
        <v>205</v>
      </c>
      <c r="Y284" s="598" t="str">
        <f t="shared" ca="1" si="141"/>
        <v/>
      </c>
      <c r="Z284" s="598" t="str">
        <f t="shared" ca="1" si="141"/>
        <v/>
      </c>
      <c r="AA284" s="598" t="str">
        <f t="shared" ca="1" si="141"/>
        <v/>
      </c>
      <c r="AB284" s="598" t="str">
        <f t="shared" ca="1" si="141"/>
        <v/>
      </c>
      <c r="AC284" s="598" t="str">
        <f t="shared" ca="1" si="141"/>
        <v/>
      </c>
      <c r="AD284" s="598" t="str">
        <f t="shared" ca="1" si="141"/>
        <v/>
      </c>
      <c r="AE284" s="598" t="str">
        <f t="shared" ca="1" si="141"/>
        <v/>
      </c>
      <c r="AF284" s="598" t="str">
        <f t="shared" ca="1" si="141"/>
        <v/>
      </c>
      <c r="AG284" s="598" t="str">
        <f t="shared" ca="1" si="141"/>
        <v/>
      </c>
      <c r="AH284" s="598" t="str">
        <f t="shared" ca="1" si="141"/>
        <v/>
      </c>
      <c r="AI284" s="598" t="str">
        <f t="shared" ca="1" si="141"/>
        <v/>
      </c>
      <c r="AJ284" s="598" t="str">
        <f t="shared" ca="1" si="141"/>
        <v/>
      </c>
      <c r="AK284" s="598" t="str">
        <f t="shared" ca="1" si="141"/>
        <v/>
      </c>
      <c r="AL284" s="598" t="str">
        <f t="shared" ca="1" si="141"/>
        <v/>
      </c>
      <c r="AM284" s="598" t="str">
        <f t="shared" ca="1" si="141"/>
        <v/>
      </c>
      <c r="AN284" s="598" t="str">
        <f t="shared" ca="1" si="141"/>
        <v/>
      </c>
      <c r="AO284" s="598" t="str">
        <f t="shared" ca="1" si="141"/>
        <v/>
      </c>
      <c r="AP284" s="598" t="str">
        <f t="shared" ca="1" si="141"/>
        <v/>
      </c>
      <c r="AQ284" s="598" t="str">
        <f t="shared" ca="1" si="141"/>
        <v/>
      </c>
      <c r="AR284" s="598" t="str">
        <f t="shared" ca="1" si="141"/>
        <v/>
      </c>
      <c r="AS284" s="598" t="str">
        <f t="shared" ca="1" si="141"/>
        <v/>
      </c>
      <c r="AT284" s="598" t="str">
        <f t="shared" ca="1" si="141"/>
        <v/>
      </c>
      <c r="AU284" s="598" t="str">
        <f t="shared" ca="1" si="141"/>
        <v/>
      </c>
      <c r="AV284" s="598" t="str">
        <f t="shared" ca="1" si="141"/>
        <v/>
      </c>
      <c r="AW284" s="598" t="str">
        <f t="shared" ca="1" si="141"/>
        <v/>
      </c>
      <c r="AX284" s="598" t="str">
        <f t="shared" ca="1" si="141"/>
        <v/>
      </c>
      <c r="AY284" s="598" t="str">
        <f t="shared" ca="1" si="141"/>
        <v/>
      </c>
      <c r="AZ284" s="598" t="str">
        <f t="shared" ca="1" si="141"/>
        <v/>
      </c>
      <c r="BA284" s="598" t="str">
        <f t="shared" ca="1" si="141"/>
        <v/>
      </c>
      <c r="BB284" s="597" t="str">
        <f t="shared" ca="1" si="141"/>
        <v/>
      </c>
      <c r="BC284" s="156" t="str">
        <f>D284&amp;"年度"</f>
        <v>2024年度</v>
      </c>
      <c r="BD284" s="156">
        <v>1</v>
      </c>
      <c r="BE284" s="156">
        <v>2</v>
      </c>
      <c r="BF284" s="156">
        <v>3</v>
      </c>
      <c r="BG284" s="156">
        <v>4</v>
      </c>
      <c r="BH284" s="156">
        <v>5</v>
      </c>
      <c r="BI284" s="156">
        <v>6</v>
      </c>
      <c r="BJ284" s="156">
        <v>7</v>
      </c>
      <c r="BK284" s="156">
        <v>8</v>
      </c>
      <c r="BL284" s="156">
        <v>9</v>
      </c>
      <c r="BM284" s="156">
        <v>10</v>
      </c>
      <c r="BN284" s="156">
        <v>11</v>
      </c>
      <c r="BO284" s="156">
        <v>12</v>
      </c>
      <c r="BP284" s="156">
        <v>13</v>
      </c>
      <c r="BQ284" s="156">
        <v>14</v>
      </c>
      <c r="BR284" s="156">
        <v>15</v>
      </c>
      <c r="BS284" s="156">
        <v>16</v>
      </c>
      <c r="BT284" s="156">
        <v>17</v>
      </c>
      <c r="BU284" s="156">
        <v>18</v>
      </c>
      <c r="BV284" s="156">
        <v>19</v>
      </c>
      <c r="BW284" s="156">
        <v>20</v>
      </c>
      <c r="BX284" s="156">
        <v>21</v>
      </c>
      <c r="BY284" s="156">
        <v>22</v>
      </c>
      <c r="BZ284" s="156">
        <v>23</v>
      </c>
      <c r="CA284" s="156">
        <v>24</v>
      </c>
      <c r="CB284" s="156">
        <v>25</v>
      </c>
      <c r="CC284" s="156">
        <v>26</v>
      </c>
      <c r="CD284" s="156">
        <v>27</v>
      </c>
      <c r="CE284" s="156">
        <v>28</v>
      </c>
      <c r="CF284" s="156">
        <v>29</v>
      </c>
      <c r="CG284" s="156">
        <v>30</v>
      </c>
      <c r="CH284" s="156">
        <v>31</v>
      </c>
      <c r="CI284" s="156">
        <v>32</v>
      </c>
      <c r="CJ284" s="156">
        <v>33</v>
      </c>
      <c r="CK284" s="156">
        <v>34</v>
      </c>
      <c r="CL284" s="156">
        <v>35</v>
      </c>
      <c r="CM284" s="156">
        <v>36</v>
      </c>
      <c r="CN284" s="156">
        <v>37</v>
      </c>
      <c r="CO284" s="156">
        <v>38</v>
      </c>
      <c r="CP284" s="156">
        <v>39</v>
      </c>
      <c r="CQ284" s="156">
        <v>40</v>
      </c>
      <c r="CR284" s="156">
        <v>41</v>
      </c>
      <c r="CS284" s="156">
        <v>42</v>
      </c>
      <c r="CT284" s="156">
        <v>43</v>
      </c>
      <c r="CU284" s="156">
        <v>44</v>
      </c>
      <c r="CV284" s="156">
        <v>45</v>
      </c>
      <c r="CW284" s="156">
        <v>46</v>
      </c>
      <c r="CX284" s="156">
        <v>47</v>
      </c>
      <c r="CY284" s="156">
        <v>48</v>
      </c>
      <c r="CZ284" s="156">
        <v>49</v>
      </c>
      <c r="DA284" s="156">
        <v>50</v>
      </c>
    </row>
    <row r="285" spans="1:242" s="569" customFormat="1" ht="18.75" hidden="1" customHeight="1">
      <c r="B285" s="1052"/>
      <c r="C285" s="599" t="str">
        <f>D284-1&amp;"/"&amp;D284</f>
        <v>2023/2024</v>
      </c>
      <c r="D285" s="600" t="str">
        <f>""</f>
        <v/>
      </c>
      <c r="E285" s="601" t="str">
        <f>""</f>
        <v/>
      </c>
      <c r="F285" s="601" t="str">
        <f>""</f>
        <v/>
      </c>
      <c r="G285" s="601" t="str">
        <f>""</f>
        <v/>
      </c>
      <c r="H285" s="601" t="str">
        <f>""</f>
        <v/>
      </c>
      <c r="I285" s="601" t="str">
        <f>""</f>
        <v/>
      </c>
      <c r="J285" s="601" t="str">
        <f>""</f>
        <v/>
      </c>
      <c r="K285" s="601" t="str">
        <f>""</f>
        <v/>
      </c>
      <c r="L285" s="601" t="str">
        <f>""</f>
        <v/>
      </c>
      <c r="M285" s="601" t="str">
        <f>""</f>
        <v/>
      </c>
      <c r="N285" s="601" t="str">
        <f>""</f>
        <v/>
      </c>
      <c r="O285" s="601" t="str">
        <f>""</f>
        <v/>
      </c>
      <c r="P285" s="601" t="str">
        <f>""</f>
        <v/>
      </c>
      <c r="Q285" s="601" t="str">
        <f>""</f>
        <v/>
      </c>
      <c r="R285" s="601" t="str">
        <f>""</f>
        <v/>
      </c>
      <c r="S285" s="601" t="str">
        <f>""</f>
        <v/>
      </c>
      <c r="T285" s="601" t="str">
        <f>""</f>
        <v/>
      </c>
      <c r="U285" s="601" t="str">
        <f>""</f>
        <v/>
      </c>
      <c r="V285" s="601" t="str">
        <f>""</f>
        <v/>
      </c>
      <c r="W285" s="601" t="str">
        <f>""</f>
        <v/>
      </c>
      <c r="X285" s="601" t="str">
        <f>""</f>
        <v/>
      </c>
      <c r="Y285" s="601" t="str">
        <f>""</f>
        <v/>
      </c>
      <c r="Z285" s="601" t="str">
        <f>""</f>
        <v/>
      </c>
      <c r="AA285" s="601" t="str">
        <f>""</f>
        <v/>
      </c>
      <c r="AB285" s="601" t="str">
        <f>""</f>
        <v/>
      </c>
      <c r="AC285" s="601" t="str">
        <f>""</f>
        <v/>
      </c>
      <c r="AD285" s="601" t="str">
        <f>""</f>
        <v/>
      </c>
      <c r="AE285" s="601" t="str">
        <f>""</f>
        <v/>
      </c>
      <c r="AF285" s="601" t="str">
        <f>""</f>
        <v/>
      </c>
      <c r="AG285" s="601" t="str">
        <f>""</f>
        <v/>
      </c>
      <c r="AH285" s="601" t="str">
        <f>""</f>
        <v/>
      </c>
      <c r="AI285" s="601" t="str">
        <f>""</f>
        <v/>
      </c>
      <c r="AJ285" s="601" t="str">
        <f>""</f>
        <v/>
      </c>
      <c r="AK285" s="601" t="str">
        <f>""</f>
        <v/>
      </c>
      <c r="AL285" s="601" t="str">
        <f>""</f>
        <v/>
      </c>
      <c r="AM285" s="601" t="str">
        <f>""</f>
        <v/>
      </c>
      <c r="AN285" s="601" t="str">
        <f>""</f>
        <v/>
      </c>
      <c r="AO285" s="601" t="str">
        <f>""</f>
        <v/>
      </c>
      <c r="AP285" s="601" t="str">
        <f>""</f>
        <v/>
      </c>
      <c r="AQ285" s="601" t="str">
        <f>""</f>
        <v/>
      </c>
      <c r="AR285" s="601" t="str">
        <f>""</f>
        <v/>
      </c>
      <c r="AS285" s="601" t="str">
        <f>""</f>
        <v/>
      </c>
      <c r="AT285" s="601" t="str">
        <f>""</f>
        <v/>
      </c>
      <c r="AU285" s="601" t="str">
        <f>""</f>
        <v/>
      </c>
      <c r="AV285" s="601" t="str">
        <f>""</f>
        <v/>
      </c>
      <c r="AW285" s="601" t="str">
        <f>""</f>
        <v/>
      </c>
      <c r="AX285" s="601" t="str">
        <f>""</f>
        <v/>
      </c>
      <c r="AY285" s="601" t="str">
        <f>""</f>
        <v/>
      </c>
      <c r="AZ285" s="601" t="str">
        <f>""</f>
        <v/>
      </c>
      <c r="BA285" s="602" t="str">
        <f>""</f>
        <v/>
      </c>
      <c r="BB285" s="600" t="str">
        <f>""</f>
        <v/>
      </c>
      <c r="BC285" s="601" t="str">
        <f>""</f>
        <v/>
      </c>
      <c r="BD285" s="601" t="str">
        <f t="shared" ref="BD285:CI285" ca="1" si="142">IFERROR(OFFSET(貼付け_2024実績,5,E284+1),"")&amp;""</f>
        <v/>
      </c>
      <c r="BE285" s="601" t="str">
        <f t="shared" ca="1" si="142"/>
        <v/>
      </c>
      <c r="BF285" s="601" t="str">
        <f t="shared" ca="1" si="142"/>
        <v/>
      </c>
      <c r="BG285" s="601" t="str">
        <f t="shared" ca="1" si="142"/>
        <v/>
      </c>
      <c r="BH285" s="601" t="str">
        <f t="shared" ca="1" si="142"/>
        <v/>
      </c>
      <c r="BI285" s="601" t="str">
        <f t="shared" ca="1" si="142"/>
        <v/>
      </c>
      <c r="BJ285" s="601" t="str">
        <f t="shared" ca="1" si="142"/>
        <v/>
      </c>
      <c r="BK285" s="601" t="str">
        <f t="shared" ca="1" si="142"/>
        <v/>
      </c>
      <c r="BL285" s="601" t="str">
        <f t="shared" ca="1" si="142"/>
        <v/>
      </c>
      <c r="BM285" s="601" t="str">
        <f t="shared" ca="1" si="142"/>
        <v/>
      </c>
      <c r="BN285" s="601" t="str">
        <f ca="1">IFERROR(OFFSET(貼付け_2024実績,5,O284+1),"")&amp;""</f>
        <v/>
      </c>
      <c r="BO285" s="601" t="str">
        <f t="shared" ca="1" si="142"/>
        <v/>
      </c>
      <c r="BP285" s="601" t="str">
        <f t="shared" ca="1" si="142"/>
        <v/>
      </c>
      <c r="BQ285" s="601" t="str">
        <f t="shared" ca="1" si="142"/>
        <v/>
      </c>
      <c r="BR285" s="601" t="str">
        <f t="shared" ca="1" si="142"/>
        <v/>
      </c>
      <c r="BS285" s="601" t="str">
        <f t="shared" ca="1" si="142"/>
        <v/>
      </c>
      <c r="BT285" s="601" t="str">
        <f t="shared" ca="1" si="142"/>
        <v/>
      </c>
      <c r="BU285" s="601" t="str">
        <f t="shared" ca="1" si="142"/>
        <v/>
      </c>
      <c r="BV285" s="601" t="str">
        <f t="shared" ca="1" si="142"/>
        <v/>
      </c>
      <c r="BW285" s="601" t="str">
        <f t="shared" ca="1" si="142"/>
        <v/>
      </c>
      <c r="BX285" s="601" t="str">
        <f t="shared" ca="1" si="142"/>
        <v/>
      </c>
      <c r="BY285" s="601" t="str">
        <f t="shared" ca="1" si="142"/>
        <v/>
      </c>
      <c r="BZ285" s="601" t="str">
        <f t="shared" ca="1" si="142"/>
        <v/>
      </c>
      <c r="CA285" s="601" t="str">
        <f t="shared" ca="1" si="142"/>
        <v/>
      </c>
      <c r="CB285" s="601" t="str">
        <f t="shared" ca="1" si="142"/>
        <v/>
      </c>
      <c r="CC285" s="601" t="str">
        <f t="shared" ca="1" si="142"/>
        <v/>
      </c>
      <c r="CD285" s="601" t="str">
        <f t="shared" ca="1" si="142"/>
        <v/>
      </c>
      <c r="CE285" s="601" t="str">
        <f t="shared" ca="1" si="142"/>
        <v/>
      </c>
      <c r="CF285" s="601" t="str">
        <f t="shared" ca="1" si="142"/>
        <v/>
      </c>
      <c r="CG285" s="601" t="str">
        <f t="shared" ca="1" si="142"/>
        <v/>
      </c>
      <c r="CH285" s="601" t="str">
        <f t="shared" ca="1" si="142"/>
        <v/>
      </c>
      <c r="CI285" s="601" t="str">
        <f t="shared" ca="1" si="142"/>
        <v/>
      </c>
      <c r="CJ285" s="601" t="str">
        <f t="shared" ref="CJ285:DA285" ca="1" si="143">IFERROR(OFFSET(貼付け_2024実績,5,AK284+1),"")&amp;""</f>
        <v/>
      </c>
      <c r="CK285" s="601" t="str">
        <f t="shared" ca="1" si="143"/>
        <v/>
      </c>
      <c r="CL285" s="601" t="str">
        <f t="shared" ca="1" si="143"/>
        <v/>
      </c>
      <c r="CM285" s="601" t="str">
        <f t="shared" ca="1" si="143"/>
        <v/>
      </c>
      <c r="CN285" s="601" t="str">
        <f t="shared" ca="1" si="143"/>
        <v/>
      </c>
      <c r="CO285" s="601" t="str">
        <f t="shared" ca="1" si="143"/>
        <v/>
      </c>
      <c r="CP285" s="601" t="str">
        <f t="shared" ca="1" si="143"/>
        <v/>
      </c>
      <c r="CQ285" s="601" t="str">
        <f t="shared" ca="1" si="143"/>
        <v/>
      </c>
      <c r="CR285" s="601" t="str">
        <f t="shared" ca="1" si="143"/>
        <v/>
      </c>
      <c r="CS285" s="601" t="str">
        <f t="shared" ca="1" si="143"/>
        <v/>
      </c>
      <c r="CT285" s="601" t="str">
        <f t="shared" ca="1" si="143"/>
        <v/>
      </c>
      <c r="CU285" s="601" t="str">
        <f t="shared" ca="1" si="143"/>
        <v/>
      </c>
      <c r="CV285" s="601" t="str">
        <f t="shared" ca="1" si="143"/>
        <v/>
      </c>
      <c r="CW285" s="601" t="str">
        <f t="shared" ca="1" si="143"/>
        <v/>
      </c>
      <c r="CX285" s="601" t="str">
        <f t="shared" ca="1" si="143"/>
        <v/>
      </c>
      <c r="CY285" s="601" t="str">
        <f t="shared" ca="1" si="143"/>
        <v/>
      </c>
      <c r="CZ285" s="601" t="str">
        <f t="shared" ca="1" si="143"/>
        <v/>
      </c>
      <c r="DA285" s="601" t="str">
        <f t="shared" ca="1" si="143"/>
        <v/>
      </c>
      <c r="IE285" s="603"/>
      <c r="IF285" s="603"/>
      <c r="IG285" s="603"/>
      <c r="IH285" s="603"/>
    </row>
    <row r="286" spans="1:242" s="569" customFormat="1" ht="19.5" hidden="1" customHeight="1">
      <c r="B286" s="1052"/>
      <c r="C286" s="599" t="str">
        <f>D284-1&amp;"&amp;"&amp;D284</f>
        <v>2023&amp;2024</v>
      </c>
      <c r="D286" s="600" t="str">
        <f>""</f>
        <v/>
      </c>
      <c r="E286" s="601" t="str">
        <f t="array" aca="1" ref="E286" ca="1">IFERROR(INDEX($E285:$DA285,MATCH(0,COUNTIF($D286:D286,$E285:$DA285),0)),"")</f>
        <v/>
      </c>
      <c r="F286" s="601" t="str">
        <f t="array" aca="1" ref="F286" ca="1">IFERROR(INDEX($E285:$DA285,MATCH(0,COUNTIF($D286:E286,$E285:$DA285),0)),"")</f>
        <v/>
      </c>
      <c r="G286" s="601" t="str">
        <f t="array" aca="1" ref="G286" ca="1">IFERROR(INDEX($E285:$DA285,MATCH(0,COUNTIF($D286:F286,$E285:$DA285),0)),"")</f>
        <v/>
      </c>
      <c r="H286" s="601" t="str">
        <f t="array" aca="1" ref="H286" ca="1">IFERROR(INDEX($E285:$DA285,MATCH(0,COUNTIF($D286:G286,$E285:$DA285),0)),"")</f>
        <v/>
      </c>
      <c r="I286" s="601" t="str">
        <f t="array" aca="1" ref="I286" ca="1">IFERROR(INDEX($E285:$DA285,MATCH(0,COUNTIF($D286:H286,$E285:$DA285),0)),"")</f>
        <v/>
      </c>
      <c r="J286" s="601" t="str">
        <f t="array" aca="1" ref="J286" ca="1">IFERROR(INDEX($E285:$DA285,MATCH(0,COUNTIF($D286:I286,$E285:$DA285),0)),"")</f>
        <v/>
      </c>
      <c r="K286" s="601" t="str">
        <f t="array" aca="1" ref="K286" ca="1">IFERROR(INDEX($E285:$DA285,MATCH(0,COUNTIF($D286:J286,$E285:$DA285),0)),"")</f>
        <v/>
      </c>
      <c r="L286" s="601" t="str">
        <f t="array" aca="1" ref="L286" ca="1">IFERROR(INDEX($E285:$DA285,MATCH(0,COUNTIF($D286:K286,$E285:$DA285),0)),"")</f>
        <v/>
      </c>
      <c r="M286" s="601" t="str">
        <f t="array" aca="1" ref="M286" ca="1">IFERROR(INDEX($E285:$DA285,MATCH(0,COUNTIF($D286:L286,$E285:$DA285),0)),"")</f>
        <v/>
      </c>
      <c r="N286" s="601" t="str">
        <f t="array" aca="1" ref="N286" ca="1">IFERROR(INDEX($E285:$DA285,MATCH(0,COUNTIF($D286:M286,$E285:$DA285),0)),"")</f>
        <v/>
      </c>
      <c r="O286" s="601" t="str">
        <f t="array" aca="1" ref="O286" ca="1">IFERROR(INDEX($E285:$DA285,MATCH(0,COUNTIF($D286:N286,$E285:$DA285),0)),"")</f>
        <v/>
      </c>
      <c r="P286" s="601" t="str">
        <f t="array" aca="1" ref="P286" ca="1">IFERROR(INDEX($E285:$DA285,MATCH(0,COUNTIF($D286:O286,$E285:$DA285),0)),"")</f>
        <v/>
      </c>
      <c r="Q286" s="601" t="str">
        <f t="array" aca="1" ref="Q286" ca="1">IFERROR(INDEX($E285:$DA285,MATCH(0,COUNTIF($D286:P286,$E285:$DA285),0)),"")</f>
        <v/>
      </c>
      <c r="R286" s="601" t="str">
        <f t="array" aca="1" ref="R286" ca="1">IFERROR(INDEX($E285:$DA285,MATCH(0,COUNTIF($D286:Q286,$E285:$DA285),0)),"")</f>
        <v/>
      </c>
      <c r="S286" s="601" t="str">
        <f t="array" aca="1" ref="S286" ca="1">IFERROR(INDEX($E285:$DA285,MATCH(0,COUNTIF($D286:R286,$E285:$DA285),0)),"")</f>
        <v/>
      </c>
      <c r="T286" s="601" t="str">
        <f t="array" aca="1" ref="T286" ca="1">IFERROR(INDEX($E285:$DA285,MATCH(0,COUNTIF($D286:S286,$E285:$DA285),0)),"")</f>
        <v/>
      </c>
      <c r="U286" s="601" t="str">
        <f t="array" aca="1" ref="U286" ca="1">IFERROR(INDEX($E285:$DA285,MATCH(0,COUNTIF($D286:T286,$E285:$DA285),0)),"")</f>
        <v/>
      </c>
      <c r="V286" s="601" t="str">
        <f t="array" aca="1" ref="V286" ca="1">IFERROR(INDEX($E285:$DA285,MATCH(0,COUNTIF($D286:U286,$E285:$DA285),0)),"")</f>
        <v/>
      </c>
      <c r="W286" s="601" t="str">
        <f t="array" aca="1" ref="W286" ca="1">IFERROR(INDEX($E285:$DA285,MATCH(0,COUNTIF($D286:V286,$E285:$DA285),0)),"")</f>
        <v/>
      </c>
      <c r="X286" s="601" t="str">
        <f t="array" aca="1" ref="X286" ca="1">IFERROR(INDEX($E285:$DA285,MATCH(0,COUNTIF($D286:W286,$E285:$DA285),0)),"")</f>
        <v/>
      </c>
      <c r="Y286" s="601" t="str">
        <f t="array" aca="1" ref="Y286" ca="1">IFERROR(INDEX($E285:$DA285,MATCH(0,COUNTIF($D286:X286,$E285:$DA285),0)),"")</f>
        <v/>
      </c>
      <c r="Z286" s="601" t="str">
        <f t="array" aca="1" ref="Z286" ca="1">IFERROR(INDEX($E285:$DA285,MATCH(0,COUNTIF($D286:Y286,$E285:$DA285),0)),"")</f>
        <v/>
      </c>
      <c r="AA286" s="601" t="str">
        <f t="array" aca="1" ref="AA286" ca="1">IFERROR(INDEX($E285:$DA285,MATCH(0,COUNTIF($D286:Z286,$E285:$DA285),0)),"")</f>
        <v/>
      </c>
      <c r="AB286" s="601" t="str">
        <f t="array" aca="1" ref="AB286" ca="1">IFERROR(INDEX($E285:$DA285,MATCH(0,COUNTIF($D286:AA286,$E285:$DA285),0)),"")</f>
        <v/>
      </c>
      <c r="AC286" s="601" t="str">
        <f t="array" aca="1" ref="AC286" ca="1">IFERROR(INDEX($E285:$DA285,MATCH(0,COUNTIF($D286:AB286,$E285:$DA285),0)),"")</f>
        <v/>
      </c>
      <c r="AD286" s="601" t="str">
        <f t="array" aca="1" ref="AD286" ca="1">IFERROR(INDEX($E285:$DA285,MATCH(0,COUNTIF($D286:AC286,$E285:$DA285),0)),"")</f>
        <v/>
      </c>
      <c r="AE286" s="601" t="str">
        <f t="array" aca="1" ref="AE286" ca="1">IFERROR(INDEX($E285:$DA285,MATCH(0,COUNTIF($D286:AD286,$E285:$DA285),0)),"")</f>
        <v/>
      </c>
      <c r="AF286" s="601" t="str">
        <f t="array" aca="1" ref="AF286" ca="1">IFERROR(INDEX($E285:$DA285,MATCH(0,COUNTIF($D286:AE286,$E285:$DA285),0)),"")</f>
        <v/>
      </c>
      <c r="AG286" s="601" t="str">
        <f t="array" aca="1" ref="AG286" ca="1">IFERROR(INDEX($E285:$DA285,MATCH(0,COUNTIF($D286:AF286,$E285:$DA285),0)),"")</f>
        <v/>
      </c>
      <c r="AH286" s="601" t="str">
        <f t="array" aca="1" ref="AH286" ca="1">IFERROR(INDEX($E285:$DA285,MATCH(0,COUNTIF($D286:AG286,$E285:$DA285),0)),"")</f>
        <v/>
      </c>
      <c r="AI286" s="601" t="str">
        <f t="array" aca="1" ref="AI286" ca="1">IFERROR(INDEX($E285:$DA285,MATCH(0,COUNTIF($D286:AH286,$E285:$DA285),0)),"")</f>
        <v/>
      </c>
      <c r="AJ286" s="601" t="str">
        <f t="array" aca="1" ref="AJ286" ca="1">IFERROR(INDEX($E285:$DA285,MATCH(0,COUNTIF($D286:AI286,$E285:$DA285),0)),"")</f>
        <v/>
      </c>
      <c r="AK286" s="601" t="str">
        <f t="array" aca="1" ref="AK286" ca="1">IFERROR(INDEX($E285:$DA285,MATCH(0,COUNTIF($D286:AJ286,$E285:$DA285),0)),"")</f>
        <v/>
      </c>
      <c r="AL286" s="601" t="str">
        <f t="array" aca="1" ref="AL286" ca="1">IFERROR(INDEX($E285:$DA285,MATCH(0,COUNTIF($D286:AK286,$E285:$DA285),0)),"")</f>
        <v/>
      </c>
      <c r="AM286" s="601" t="str">
        <f t="array" aca="1" ref="AM286" ca="1">IFERROR(INDEX($E285:$DA285,MATCH(0,COUNTIF($D286:AL286,$E285:$DA285),0)),"")</f>
        <v/>
      </c>
      <c r="AN286" s="601" t="str">
        <f t="array" aca="1" ref="AN286" ca="1">IFERROR(INDEX($E285:$DA285,MATCH(0,COUNTIF($D286:AM286,$E285:$DA285),0)),"")</f>
        <v/>
      </c>
      <c r="AO286" s="601" t="str">
        <f t="array" aca="1" ref="AO286" ca="1">IFERROR(INDEX($E285:$DA285,MATCH(0,COUNTIF($D286:AN286,$E285:$DA285),0)),"")</f>
        <v/>
      </c>
      <c r="AP286" s="601" t="str">
        <f t="array" aca="1" ref="AP286" ca="1">IFERROR(INDEX($E285:$DA285,MATCH(0,COUNTIF($D286:AO286,$E285:$DA285),0)),"")</f>
        <v/>
      </c>
      <c r="AQ286" s="601" t="str">
        <f t="array" aca="1" ref="AQ286" ca="1">IFERROR(INDEX($E285:$DA285,MATCH(0,COUNTIF($D286:AP286,$E285:$DA285),0)),"")</f>
        <v/>
      </c>
      <c r="AR286" s="601" t="str">
        <f t="array" aca="1" ref="AR286" ca="1">IFERROR(INDEX($E285:$DA285,MATCH(0,COUNTIF($D286:AQ286,$E285:$DA285),0)),"")</f>
        <v/>
      </c>
      <c r="AS286" s="601" t="str">
        <f t="array" aca="1" ref="AS286" ca="1">IFERROR(INDEX($E285:$DA285,MATCH(0,COUNTIF($D286:AR286,$E285:$DA285),0)),"")</f>
        <v/>
      </c>
      <c r="AT286" s="601" t="str">
        <f t="array" aca="1" ref="AT286" ca="1">IFERROR(INDEX($E285:$DA285,MATCH(0,COUNTIF($D286:AS286,$E285:$DA285),0)),"")</f>
        <v/>
      </c>
      <c r="AU286" s="601" t="str">
        <f t="array" aca="1" ref="AU286" ca="1">IFERROR(INDEX($E285:$DA285,MATCH(0,COUNTIF($D286:AT286,$E285:$DA285),0)),"")</f>
        <v/>
      </c>
      <c r="AV286" s="601" t="str">
        <f t="array" aca="1" ref="AV286" ca="1">IFERROR(INDEX($E285:$DA285,MATCH(0,COUNTIF($D286:AU286,$E285:$DA285),0)),"")</f>
        <v/>
      </c>
      <c r="AW286" s="601" t="str">
        <f t="array" aca="1" ref="AW286" ca="1">IFERROR(INDEX($E285:$DA285,MATCH(0,COUNTIF($D286:AV286,$E285:$DA285),0)),"")</f>
        <v/>
      </c>
      <c r="AX286" s="601" t="str">
        <f t="array" aca="1" ref="AX286" ca="1">IFERROR(INDEX($E285:$DA285,MATCH(0,COUNTIF($D286:AW286,$E285:$DA285),0)),"")</f>
        <v/>
      </c>
      <c r="AY286" s="601" t="str">
        <f t="array" aca="1" ref="AY286" ca="1">IFERROR(INDEX($E285:$DA285,MATCH(0,COUNTIF($D286:AX286,$E285:$DA285),0)),"")</f>
        <v/>
      </c>
      <c r="AZ286" s="601" t="str">
        <f t="array" aca="1" ref="AZ286" ca="1">IFERROR(INDEX($E285:$DA285,MATCH(0,COUNTIF($D286:AY286,$E285:$DA285),0)),"")</f>
        <v/>
      </c>
      <c r="BA286" s="602" t="str">
        <f t="array" aca="1" ref="BA286" ca="1">IFERROR(INDEX($E285:$DA285,MATCH(0,COUNTIF($D286:AZ286,$E285:$DA285),0)),"")</f>
        <v/>
      </c>
      <c r="BB286" s="600" t="str">
        <f t="array" aca="1" ref="BB286" ca="1">IFERROR(INDEX($E285:$DA285,MATCH(0,COUNTIF($D286:BA286,$E285:$DA285),0)),"")</f>
        <v/>
      </c>
      <c r="BC286" s="604"/>
      <c r="BD286" s="604" t="str">
        <f>""</f>
        <v/>
      </c>
      <c r="BE286" s="604"/>
      <c r="BF286" s="604"/>
      <c r="BG286" s="604"/>
      <c r="BH286" s="604"/>
      <c r="BI286" s="604"/>
      <c r="BJ286" s="604"/>
      <c r="BK286" s="604"/>
      <c r="BL286" s="604"/>
      <c r="BM286" s="604"/>
      <c r="BN286" s="604"/>
      <c r="BO286" s="604"/>
      <c r="BP286" s="604"/>
      <c r="BQ286" s="604"/>
      <c r="BR286" s="604"/>
      <c r="BS286" s="604"/>
      <c r="BT286" s="604"/>
      <c r="BU286" s="604"/>
      <c r="BV286" s="604"/>
      <c r="BW286" s="604"/>
      <c r="IE286" s="603"/>
      <c r="IF286" s="603"/>
      <c r="IG286" s="603"/>
      <c r="IH286" s="603"/>
    </row>
    <row r="287" spans="1:242" s="569" customFormat="1" hidden="1">
      <c r="B287" s="1052"/>
      <c r="C287" s="599" t="s">
        <v>674</v>
      </c>
      <c r="D287" s="600" t="str">
        <f>""</f>
        <v/>
      </c>
      <c r="E287" s="601" t="str">
        <f t="shared" ref="E287:AJ287" ca="1" si="144">IF(OFFSET(貼付け_2024実績,2,12)="■",BD285,IFERROR(INDEX($BD285:$DA285,MATCH(E286,$BD285:$DA285,0)),""))</f>
        <v/>
      </c>
      <c r="F287" s="601" t="str">
        <f t="shared" ca="1" si="144"/>
        <v/>
      </c>
      <c r="G287" s="601" t="str">
        <f t="shared" ca="1" si="144"/>
        <v/>
      </c>
      <c r="H287" s="601" t="str">
        <f t="shared" ca="1" si="144"/>
        <v/>
      </c>
      <c r="I287" s="601" t="str">
        <f t="shared" ca="1" si="144"/>
        <v/>
      </c>
      <c r="J287" s="601" t="str">
        <f t="shared" ca="1" si="144"/>
        <v/>
      </c>
      <c r="K287" s="601" t="str">
        <f t="shared" ca="1" si="144"/>
        <v/>
      </c>
      <c r="L287" s="601" t="str">
        <f t="shared" ca="1" si="144"/>
        <v/>
      </c>
      <c r="M287" s="601" t="str">
        <f t="shared" ca="1" si="144"/>
        <v/>
      </c>
      <c r="N287" s="601" t="str">
        <f t="shared" ca="1" si="144"/>
        <v/>
      </c>
      <c r="O287" s="601" t="str">
        <f ca="1">IF(OFFSET(貼付け_2024実績,2,12)="■",BN285,IFERROR(INDEX($BD285:$DA285,MATCH(O286,$BD285:$DA285,0)),""))</f>
        <v/>
      </c>
      <c r="P287" s="601" t="str">
        <f t="shared" ca="1" si="144"/>
        <v/>
      </c>
      <c r="Q287" s="601" t="str">
        <f t="shared" ca="1" si="144"/>
        <v/>
      </c>
      <c r="R287" s="601" t="str">
        <f t="shared" ca="1" si="144"/>
        <v/>
      </c>
      <c r="S287" s="601" t="str">
        <f t="shared" ca="1" si="144"/>
        <v/>
      </c>
      <c r="T287" s="601" t="str">
        <f t="shared" ca="1" si="144"/>
        <v/>
      </c>
      <c r="U287" s="601" t="str">
        <f t="shared" ca="1" si="144"/>
        <v/>
      </c>
      <c r="V287" s="601" t="str">
        <f t="shared" ca="1" si="144"/>
        <v/>
      </c>
      <c r="W287" s="601" t="str">
        <f t="shared" ca="1" si="144"/>
        <v/>
      </c>
      <c r="X287" s="601" t="str">
        <f t="shared" ca="1" si="144"/>
        <v/>
      </c>
      <c r="Y287" s="601" t="str">
        <f t="shared" ca="1" si="144"/>
        <v/>
      </c>
      <c r="Z287" s="601" t="str">
        <f t="shared" ca="1" si="144"/>
        <v/>
      </c>
      <c r="AA287" s="601" t="str">
        <f t="shared" ca="1" si="144"/>
        <v/>
      </c>
      <c r="AB287" s="601" t="str">
        <f t="shared" ca="1" si="144"/>
        <v/>
      </c>
      <c r="AC287" s="601" t="str">
        <f t="shared" ca="1" si="144"/>
        <v/>
      </c>
      <c r="AD287" s="601" t="str">
        <f t="shared" ca="1" si="144"/>
        <v/>
      </c>
      <c r="AE287" s="601" t="str">
        <f t="shared" ca="1" si="144"/>
        <v/>
      </c>
      <c r="AF287" s="601" t="str">
        <f t="shared" ca="1" si="144"/>
        <v/>
      </c>
      <c r="AG287" s="601" t="str">
        <f t="shared" ca="1" si="144"/>
        <v/>
      </c>
      <c r="AH287" s="601" t="str">
        <f t="shared" ca="1" si="144"/>
        <v/>
      </c>
      <c r="AI287" s="601" t="str">
        <f t="shared" ca="1" si="144"/>
        <v/>
      </c>
      <c r="AJ287" s="601" t="str">
        <f t="shared" ca="1" si="144"/>
        <v/>
      </c>
      <c r="AK287" s="601" t="str">
        <f t="shared" ref="AK287:BB287" ca="1" si="145">IF(OFFSET(貼付け_2024実績,2,12)="■",CJ285,IFERROR(INDEX($BD285:$DA285,MATCH(AK286,$BD285:$DA285,0)),""))</f>
        <v/>
      </c>
      <c r="AL287" s="601" t="str">
        <f t="shared" ca="1" si="145"/>
        <v/>
      </c>
      <c r="AM287" s="601" t="str">
        <f t="shared" ca="1" si="145"/>
        <v/>
      </c>
      <c r="AN287" s="601" t="str">
        <f t="shared" ca="1" si="145"/>
        <v/>
      </c>
      <c r="AO287" s="601" t="str">
        <f t="shared" ca="1" si="145"/>
        <v/>
      </c>
      <c r="AP287" s="601" t="str">
        <f t="shared" ca="1" si="145"/>
        <v/>
      </c>
      <c r="AQ287" s="601" t="str">
        <f t="shared" ca="1" si="145"/>
        <v/>
      </c>
      <c r="AR287" s="601" t="str">
        <f t="shared" ca="1" si="145"/>
        <v/>
      </c>
      <c r="AS287" s="601" t="str">
        <f t="shared" ca="1" si="145"/>
        <v/>
      </c>
      <c r="AT287" s="601" t="str">
        <f t="shared" ca="1" si="145"/>
        <v/>
      </c>
      <c r="AU287" s="601" t="str">
        <f t="shared" ca="1" si="145"/>
        <v/>
      </c>
      <c r="AV287" s="601" t="str">
        <f t="shared" ca="1" si="145"/>
        <v/>
      </c>
      <c r="AW287" s="601" t="str">
        <f t="shared" ca="1" si="145"/>
        <v/>
      </c>
      <c r="AX287" s="601" t="str">
        <f t="shared" ca="1" si="145"/>
        <v/>
      </c>
      <c r="AY287" s="601" t="str">
        <f t="shared" ca="1" si="145"/>
        <v/>
      </c>
      <c r="AZ287" s="601" t="str">
        <f t="shared" ca="1" si="145"/>
        <v/>
      </c>
      <c r="BA287" s="602" t="str">
        <f t="shared" ca="1" si="145"/>
        <v/>
      </c>
      <c r="BB287" s="600" t="str">
        <f t="shared" ca="1" si="145"/>
        <v/>
      </c>
      <c r="BD287" s="569" t="str">
        <f>""</f>
        <v/>
      </c>
      <c r="IE287" s="603"/>
      <c r="IF287" s="603"/>
      <c r="IG287" s="603"/>
      <c r="IH287" s="603"/>
    </row>
    <row r="288" spans="1:242" s="569" customFormat="1" hidden="1">
      <c r="B288" s="1052"/>
      <c r="C288" s="605" t="s">
        <v>675</v>
      </c>
      <c r="D288" s="606">
        <v>14</v>
      </c>
      <c r="E288" s="607" t="str">
        <f t="shared" ref="E288:AJ288" ca="1" si="146">OFFSET(A1_名称2024,E$247+2,$D288)&amp;""</f>
        <v/>
      </c>
      <c r="F288" s="607" t="str">
        <f t="shared" ca="1" si="146"/>
        <v/>
      </c>
      <c r="G288" s="607" t="str">
        <f t="shared" ca="1" si="146"/>
        <v/>
      </c>
      <c r="H288" s="607" t="str">
        <f t="shared" ca="1" si="146"/>
        <v/>
      </c>
      <c r="I288" s="607" t="str">
        <f t="shared" ca="1" si="146"/>
        <v/>
      </c>
      <c r="J288" s="607" t="str">
        <f t="shared" ca="1" si="146"/>
        <v/>
      </c>
      <c r="K288" s="607" t="str">
        <f t="shared" ca="1" si="146"/>
        <v/>
      </c>
      <c r="L288" s="607" t="str">
        <f t="shared" ca="1" si="146"/>
        <v/>
      </c>
      <c r="M288" s="607" t="str">
        <f t="shared" ca="1" si="146"/>
        <v/>
      </c>
      <c r="N288" s="607" t="str">
        <f t="shared" ca="1" si="146"/>
        <v/>
      </c>
      <c r="O288" s="607" t="str">
        <f ca="1">OFFSET(A1_名称2024,O$247+2,$D288)&amp;""</f>
        <v/>
      </c>
      <c r="P288" s="607" t="str">
        <f t="shared" ca="1" si="146"/>
        <v/>
      </c>
      <c r="Q288" s="607" t="str">
        <f t="shared" ca="1" si="146"/>
        <v/>
      </c>
      <c r="R288" s="607" t="str">
        <f t="shared" ca="1" si="146"/>
        <v/>
      </c>
      <c r="S288" s="607" t="str">
        <f t="shared" ca="1" si="146"/>
        <v/>
      </c>
      <c r="T288" s="607" t="str">
        <f t="shared" ca="1" si="146"/>
        <v/>
      </c>
      <c r="U288" s="607" t="str">
        <f t="shared" ca="1" si="146"/>
        <v/>
      </c>
      <c r="V288" s="607" t="str">
        <f t="shared" ca="1" si="146"/>
        <v/>
      </c>
      <c r="W288" s="607" t="str">
        <f t="shared" ca="1" si="146"/>
        <v/>
      </c>
      <c r="X288" s="607" t="str">
        <f t="shared" ca="1" si="146"/>
        <v/>
      </c>
      <c r="Y288" s="607" t="str">
        <f t="shared" ca="1" si="146"/>
        <v/>
      </c>
      <c r="Z288" s="607" t="str">
        <f t="shared" ca="1" si="146"/>
        <v/>
      </c>
      <c r="AA288" s="607" t="str">
        <f t="shared" ca="1" si="146"/>
        <v/>
      </c>
      <c r="AB288" s="607" t="str">
        <f t="shared" ca="1" si="146"/>
        <v/>
      </c>
      <c r="AC288" s="607" t="str">
        <f t="shared" ca="1" si="146"/>
        <v/>
      </c>
      <c r="AD288" s="607" t="str">
        <f t="shared" ca="1" si="146"/>
        <v/>
      </c>
      <c r="AE288" s="607" t="str">
        <f t="shared" ca="1" si="146"/>
        <v/>
      </c>
      <c r="AF288" s="607" t="str">
        <f t="shared" ca="1" si="146"/>
        <v/>
      </c>
      <c r="AG288" s="607" t="str">
        <f t="shared" ca="1" si="146"/>
        <v/>
      </c>
      <c r="AH288" s="607" t="str">
        <f t="shared" ca="1" si="146"/>
        <v/>
      </c>
      <c r="AI288" s="607" t="str">
        <f t="shared" ca="1" si="146"/>
        <v/>
      </c>
      <c r="AJ288" s="607" t="str">
        <f t="shared" ca="1" si="146"/>
        <v/>
      </c>
      <c r="AK288" s="607" t="str">
        <f t="shared" ref="AK288:BB288" ca="1" si="147">OFFSET(A1_名称2024,AK$247+2,$D288)&amp;""</f>
        <v/>
      </c>
      <c r="AL288" s="607" t="str">
        <f t="shared" ca="1" si="147"/>
        <v/>
      </c>
      <c r="AM288" s="607" t="str">
        <f t="shared" ca="1" si="147"/>
        <v/>
      </c>
      <c r="AN288" s="607" t="str">
        <f t="shared" ca="1" si="147"/>
        <v/>
      </c>
      <c r="AO288" s="607" t="str">
        <f t="shared" ca="1" si="147"/>
        <v/>
      </c>
      <c r="AP288" s="607" t="str">
        <f t="shared" ca="1" si="147"/>
        <v/>
      </c>
      <c r="AQ288" s="607" t="str">
        <f t="shared" ca="1" si="147"/>
        <v/>
      </c>
      <c r="AR288" s="607" t="str">
        <f t="shared" ca="1" si="147"/>
        <v/>
      </c>
      <c r="AS288" s="607" t="str">
        <f t="shared" ca="1" si="147"/>
        <v/>
      </c>
      <c r="AT288" s="607" t="str">
        <f t="shared" ca="1" si="147"/>
        <v/>
      </c>
      <c r="AU288" s="607" t="str">
        <f t="shared" ca="1" si="147"/>
        <v/>
      </c>
      <c r="AV288" s="607" t="str">
        <f t="shared" ca="1" si="147"/>
        <v/>
      </c>
      <c r="AW288" s="607" t="str">
        <f t="shared" ca="1" si="147"/>
        <v/>
      </c>
      <c r="AX288" s="607" t="str">
        <f t="shared" ca="1" si="147"/>
        <v/>
      </c>
      <c r="AY288" s="607" t="str">
        <f t="shared" ca="1" si="147"/>
        <v/>
      </c>
      <c r="AZ288" s="607" t="str">
        <f t="shared" ca="1" si="147"/>
        <v/>
      </c>
      <c r="BA288" s="608" t="str">
        <f t="shared" ca="1" si="147"/>
        <v/>
      </c>
      <c r="BB288" s="606" t="str">
        <f t="shared" ca="1" si="147"/>
        <v/>
      </c>
      <c r="IE288" s="603"/>
      <c r="IF288" s="603"/>
      <c r="IG288" s="603"/>
      <c r="IH288" s="603"/>
    </row>
    <row r="289" spans="1:242" s="569" customFormat="1" hidden="1">
      <c r="B289" s="1052"/>
      <c r="C289" s="599" t="s">
        <v>676</v>
      </c>
      <c r="D289" s="600"/>
      <c r="E289" s="601" t="str">
        <f ca="1">IF(E288="","",IFERROR(INDEX($E284:$BB284,MATCH(E288,$BD285:$DA285,0)),""))</f>
        <v/>
      </c>
      <c r="F289" s="601" t="str">
        <f t="shared" ref="F289:N289" ca="1" si="148">IF(F288="","",IFERROR(INDEX($E284:$BB284,MATCH(F288,$BD285:$DA285,0)),""))</f>
        <v/>
      </c>
      <c r="G289" s="601" t="str">
        <f t="shared" ca="1" si="148"/>
        <v/>
      </c>
      <c r="H289" s="601" t="str">
        <f t="shared" ca="1" si="148"/>
        <v/>
      </c>
      <c r="I289" s="601" t="str">
        <f t="shared" ca="1" si="148"/>
        <v/>
      </c>
      <c r="J289" s="601" t="str">
        <f t="shared" ca="1" si="148"/>
        <v/>
      </c>
      <c r="K289" s="601" t="str">
        <f t="shared" ca="1" si="148"/>
        <v/>
      </c>
      <c r="L289" s="601" t="str">
        <f t="shared" ca="1" si="148"/>
        <v/>
      </c>
      <c r="M289" s="601" t="str">
        <f t="shared" ca="1" si="148"/>
        <v/>
      </c>
      <c r="N289" s="601" t="str">
        <f t="shared" ca="1" si="148"/>
        <v/>
      </c>
      <c r="O289" s="601" t="str">
        <f ca="1">IF(O288="","",IFERROR(INDEX($E284:$BB284,MATCH(O288,$BD285:$DA285,0)),""))</f>
        <v/>
      </c>
      <c r="P289" s="601" t="str">
        <f t="shared" ref="P289:BB289" ca="1" si="149">IF(P288="","",IFERROR(INDEX($E284:$BB284,MATCH(P288,$BD285:$DA285,0)),""))</f>
        <v/>
      </c>
      <c r="Q289" s="601" t="str">
        <f t="shared" ca="1" si="149"/>
        <v/>
      </c>
      <c r="R289" s="601" t="str">
        <f t="shared" ca="1" si="149"/>
        <v/>
      </c>
      <c r="S289" s="601" t="str">
        <f t="shared" ca="1" si="149"/>
        <v/>
      </c>
      <c r="T289" s="601" t="str">
        <f t="shared" ca="1" si="149"/>
        <v/>
      </c>
      <c r="U289" s="601" t="str">
        <f t="shared" ca="1" si="149"/>
        <v/>
      </c>
      <c r="V289" s="601" t="str">
        <f t="shared" ca="1" si="149"/>
        <v/>
      </c>
      <c r="W289" s="601" t="str">
        <f t="shared" ca="1" si="149"/>
        <v/>
      </c>
      <c r="X289" s="601" t="str">
        <f t="shared" ca="1" si="149"/>
        <v/>
      </c>
      <c r="Y289" s="601" t="str">
        <f t="shared" ca="1" si="149"/>
        <v/>
      </c>
      <c r="Z289" s="601" t="str">
        <f t="shared" ca="1" si="149"/>
        <v/>
      </c>
      <c r="AA289" s="601" t="str">
        <f t="shared" ca="1" si="149"/>
        <v/>
      </c>
      <c r="AB289" s="601" t="str">
        <f t="shared" ca="1" si="149"/>
        <v/>
      </c>
      <c r="AC289" s="601" t="str">
        <f t="shared" ca="1" si="149"/>
        <v/>
      </c>
      <c r="AD289" s="601" t="str">
        <f t="shared" ca="1" si="149"/>
        <v/>
      </c>
      <c r="AE289" s="601" t="str">
        <f t="shared" ca="1" si="149"/>
        <v/>
      </c>
      <c r="AF289" s="601" t="str">
        <f t="shared" ca="1" si="149"/>
        <v/>
      </c>
      <c r="AG289" s="601" t="str">
        <f t="shared" ca="1" si="149"/>
        <v/>
      </c>
      <c r="AH289" s="601" t="str">
        <f t="shared" ca="1" si="149"/>
        <v/>
      </c>
      <c r="AI289" s="601" t="str">
        <f t="shared" ca="1" si="149"/>
        <v/>
      </c>
      <c r="AJ289" s="601" t="str">
        <f t="shared" ca="1" si="149"/>
        <v/>
      </c>
      <c r="AK289" s="601" t="str">
        <f t="shared" ca="1" si="149"/>
        <v/>
      </c>
      <c r="AL289" s="601" t="str">
        <f t="shared" ca="1" si="149"/>
        <v/>
      </c>
      <c r="AM289" s="601" t="str">
        <f t="shared" ca="1" si="149"/>
        <v/>
      </c>
      <c r="AN289" s="601" t="str">
        <f t="shared" ca="1" si="149"/>
        <v/>
      </c>
      <c r="AO289" s="601" t="str">
        <f t="shared" ca="1" si="149"/>
        <v/>
      </c>
      <c r="AP289" s="601" t="str">
        <f t="shared" ca="1" si="149"/>
        <v/>
      </c>
      <c r="AQ289" s="601" t="str">
        <f t="shared" ca="1" si="149"/>
        <v/>
      </c>
      <c r="AR289" s="601" t="str">
        <f t="shared" ca="1" si="149"/>
        <v/>
      </c>
      <c r="AS289" s="601" t="str">
        <f t="shared" ca="1" si="149"/>
        <v/>
      </c>
      <c r="AT289" s="601" t="str">
        <f t="shared" ca="1" si="149"/>
        <v/>
      </c>
      <c r="AU289" s="601" t="str">
        <f t="shared" ca="1" si="149"/>
        <v/>
      </c>
      <c r="AV289" s="601" t="str">
        <f t="shared" ca="1" si="149"/>
        <v/>
      </c>
      <c r="AW289" s="601" t="str">
        <f t="shared" ca="1" si="149"/>
        <v/>
      </c>
      <c r="AX289" s="601" t="str">
        <f t="shared" ca="1" si="149"/>
        <v/>
      </c>
      <c r="AY289" s="601" t="str">
        <f t="shared" ca="1" si="149"/>
        <v/>
      </c>
      <c r="AZ289" s="601" t="str">
        <f t="shared" ca="1" si="149"/>
        <v/>
      </c>
      <c r="BA289" s="602" t="str">
        <f t="shared" ca="1" si="149"/>
        <v/>
      </c>
      <c r="BB289" s="600" t="str">
        <f t="shared" ca="1" si="149"/>
        <v/>
      </c>
      <c r="IE289" s="603"/>
      <c r="IF289" s="603"/>
      <c r="IG289" s="603"/>
      <c r="IH289" s="603"/>
    </row>
    <row r="290" spans="1:242" s="164" customFormat="1" ht="19.8" hidden="1">
      <c r="A290" s="569"/>
      <c r="B290" s="1052"/>
      <c r="C290" s="609" t="s">
        <v>677</v>
      </c>
      <c r="D290" s="610">
        <v>6</v>
      </c>
      <c r="E290" s="611" t="str">
        <f t="shared" ref="E290:AJ290" ca="1" si="150">IFERROR(OFFSET(貼付け_2024実績,$D290,E289+1)&amp;"","")</f>
        <v/>
      </c>
      <c r="F290" s="611" t="str">
        <f t="shared" ca="1" si="150"/>
        <v/>
      </c>
      <c r="G290" s="611" t="str">
        <f t="shared" ca="1" si="150"/>
        <v/>
      </c>
      <c r="H290" s="611" t="str">
        <f t="shared" ca="1" si="150"/>
        <v/>
      </c>
      <c r="I290" s="611" t="str">
        <f t="shared" ca="1" si="150"/>
        <v/>
      </c>
      <c r="J290" s="611" t="str">
        <f t="shared" ca="1" si="150"/>
        <v/>
      </c>
      <c r="K290" s="611" t="str">
        <f t="shared" ca="1" si="150"/>
        <v/>
      </c>
      <c r="L290" s="611" t="str">
        <f t="shared" ca="1" si="150"/>
        <v/>
      </c>
      <c r="M290" s="611" t="str">
        <f t="shared" ca="1" si="150"/>
        <v/>
      </c>
      <c r="N290" s="611" t="str">
        <f t="shared" ca="1" si="150"/>
        <v/>
      </c>
      <c r="O290" s="611" t="str">
        <f ca="1">IFERROR(OFFSET(貼付け_2024実績,$D290,O289+1)&amp;"","")</f>
        <v/>
      </c>
      <c r="P290" s="611" t="str">
        <f t="shared" ca="1" si="150"/>
        <v/>
      </c>
      <c r="Q290" s="611" t="str">
        <f t="shared" ca="1" si="150"/>
        <v/>
      </c>
      <c r="R290" s="611" t="str">
        <f t="shared" ca="1" si="150"/>
        <v/>
      </c>
      <c r="S290" s="611" t="str">
        <f t="shared" ca="1" si="150"/>
        <v/>
      </c>
      <c r="T290" s="611" t="str">
        <f t="shared" ca="1" si="150"/>
        <v/>
      </c>
      <c r="U290" s="611" t="str">
        <f t="shared" ca="1" si="150"/>
        <v/>
      </c>
      <c r="V290" s="611" t="str">
        <f t="shared" ca="1" si="150"/>
        <v/>
      </c>
      <c r="W290" s="611" t="str">
        <f t="shared" ca="1" si="150"/>
        <v/>
      </c>
      <c r="X290" s="611" t="str">
        <f t="shared" ca="1" si="150"/>
        <v/>
      </c>
      <c r="Y290" s="611" t="str">
        <f t="shared" ca="1" si="150"/>
        <v/>
      </c>
      <c r="Z290" s="611" t="str">
        <f t="shared" ca="1" si="150"/>
        <v/>
      </c>
      <c r="AA290" s="611" t="str">
        <f t="shared" ca="1" si="150"/>
        <v/>
      </c>
      <c r="AB290" s="611" t="str">
        <f t="shared" ca="1" si="150"/>
        <v/>
      </c>
      <c r="AC290" s="611" t="str">
        <f t="shared" ca="1" si="150"/>
        <v/>
      </c>
      <c r="AD290" s="611" t="str">
        <f t="shared" ca="1" si="150"/>
        <v/>
      </c>
      <c r="AE290" s="611" t="str">
        <f t="shared" ca="1" si="150"/>
        <v/>
      </c>
      <c r="AF290" s="611" t="str">
        <f t="shared" ca="1" si="150"/>
        <v/>
      </c>
      <c r="AG290" s="611" t="str">
        <f t="shared" ca="1" si="150"/>
        <v/>
      </c>
      <c r="AH290" s="611" t="str">
        <f t="shared" ca="1" si="150"/>
        <v/>
      </c>
      <c r="AI290" s="611" t="str">
        <f t="shared" ca="1" si="150"/>
        <v/>
      </c>
      <c r="AJ290" s="611" t="str">
        <f t="shared" ca="1" si="150"/>
        <v/>
      </c>
      <c r="AK290" s="611" t="str">
        <f t="shared" ref="AK290:BB290" ca="1" si="151">IFERROR(OFFSET(貼付け_2024実績,$D290,AK289+1)&amp;"","")</f>
        <v/>
      </c>
      <c r="AL290" s="611" t="str">
        <f t="shared" ca="1" si="151"/>
        <v/>
      </c>
      <c r="AM290" s="611" t="str">
        <f t="shared" ca="1" si="151"/>
        <v/>
      </c>
      <c r="AN290" s="611" t="str">
        <f t="shared" ca="1" si="151"/>
        <v/>
      </c>
      <c r="AO290" s="611" t="str">
        <f t="shared" ca="1" si="151"/>
        <v/>
      </c>
      <c r="AP290" s="611" t="str">
        <f t="shared" ca="1" si="151"/>
        <v/>
      </c>
      <c r="AQ290" s="611" t="str">
        <f t="shared" ca="1" si="151"/>
        <v/>
      </c>
      <c r="AR290" s="611" t="str">
        <f t="shared" ca="1" si="151"/>
        <v/>
      </c>
      <c r="AS290" s="611" t="str">
        <f t="shared" ca="1" si="151"/>
        <v/>
      </c>
      <c r="AT290" s="611" t="str">
        <f t="shared" ca="1" si="151"/>
        <v/>
      </c>
      <c r="AU290" s="611" t="str">
        <f t="shared" ca="1" si="151"/>
        <v/>
      </c>
      <c r="AV290" s="611" t="str">
        <f t="shared" ca="1" si="151"/>
        <v/>
      </c>
      <c r="AW290" s="611" t="str">
        <f t="shared" ca="1" si="151"/>
        <v/>
      </c>
      <c r="AX290" s="611" t="str">
        <f t="shared" ca="1" si="151"/>
        <v/>
      </c>
      <c r="AY290" s="611" t="str">
        <f t="shared" ca="1" si="151"/>
        <v/>
      </c>
      <c r="AZ290" s="611" t="str">
        <f t="shared" ca="1" si="151"/>
        <v/>
      </c>
      <c r="BA290" s="612" t="str">
        <f t="shared" ca="1" si="151"/>
        <v/>
      </c>
      <c r="BB290" s="610" t="str">
        <f t="shared" ca="1" si="151"/>
        <v/>
      </c>
      <c r="BC290" s="613"/>
      <c r="IE290" s="579"/>
      <c r="IF290" s="579"/>
      <c r="IG290" s="579"/>
      <c r="IH290" s="579"/>
    </row>
    <row r="291" spans="1:242" s="164" customFormat="1" ht="20.100000000000001" hidden="1" customHeight="1">
      <c r="A291" s="569"/>
      <c r="B291" s="1052"/>
      <c r="C291" s="614" t="s">
        <v>678</v>
      </c>
      <c r="D291" s="615">
        <v>99</v>
      </c>
      <c r="E291" s="616" t="str">
        <f t="shared" ref="E291:AJ291" ca="1" si="152">IFERROR(OFFSET(貼付け_2024実績,$D291,E289),"")&amp;""</f>
        <v/>
      </c>
      <c r="F291" s="616" t="str">
        <f t="shared" ca="1" si="152"/>
        <v/>
      </c>
      <c r="G291" s="616" t="str">
        <f t="shared" ca="1" si="152"/>
        <v/>
      </c>
      <c r="H291" s="616" t="str">
        <f t="shared" ca="1" si="152"/>
        <v/>
      </c>
      <c r="I291" s="616" t="str">
        <f t="shared" ca="1" si="152"/>
        <v/>
      </c>
      <c r="J291" s="616" t="str">
        <f t="shared" ca="1" si="152"/>
        <v/>
      </c>
      <c r="K291" s="616" t="str">
        <f t="shared" ca="1" si="152"/>
        <v/>
      </c>
      <c r="L291" s="616" t="str">
        <f t="shared" ca="1" si="152"/>
        <v/>
      </c>
      <c r="M291" s="616" t="str">
        <f t="shared" ca="1" si="152"/>
        <v/>
      </c>
      <c r="N291" s="616" t="str">
        <f t="shared" ca="1" si="152"/>
        <v/>
      </c>
      <c r="O291" s="616" t="str">
        <f ca="1">IFERROR(OFFSET(貼付け_2024実績,$D291,O289),"")&amp;""</f>
        <v/>
      </c>
      <c r="P291" s="616" t="str">
        <f t="shared" ca="1" si="152"/>
        <v/>
      </c>
      <c r="Q291" s="616" t="str">
        <f t="shared" ca="1" si="152"/>
        <v/>
      </c>
      <c r="R291" s="616" t="str">
        <f t="shared" ca="1" si="152"/>
        <v/>
      </c>
      <c r="S291" s="616" t="str">
        <f t="shared" ca="1" si="152"/>
        <v/>
      </c>
      <c r="T291" s="616" t="str">
        <f t="shared" ca="1" si="152"/>
        <v/>
      </c>
      <c r="U291" s="616" t="str">
        <f t="shared" ca="1" si="152"/>
        <v/>
      </c>
      <c r="V291" s="616" t="str">
        <f t="shared" ca="1" si="152"/>
        <v/>
      </c>
      <c r="W291" s="616" t="str">
        <f t="shared" ca="1" si="152"/>
        <v/>
      </c>
      <c r="X291" s="616" t="str">
        <f t="shared" ca="1" si="152"/>
        <v/>
      </c>
      <c r="Y291" s="616" t="str">
        <f t="shared" ca="1" si="152"/>
        <v/>
      </c>
      <c r="Z291" s="616" t="str">
        <f t="shared" ca="1" si="152"/>
        <v/>
      </c>
      <c r="AA291" s="616" t="str">
        <f t="shared" ca="1" si="152"/>
        <v/>
      </c>
      <c r="AB291" s="616" t="str">
        <f t="shared" ca="1" si="152"/>
        <v/>
      </c>
      <c r="AC291" s="616" t="str">
        <f t="shared" ca="1" si="152"/>
        <v/>
      </c>
      <c r="AD291" s="616" t="str">
        <f t="shared" ca="1" si="152"/>
        <v/>
      </c>
      <c r="AE291" s="616" t="str">
        <f t="shared" ca="1" si="152"/>
        <v/>
      </c>
      <c r="AF291" s="616" t="str">
        <f t="shared" ca="1" si="152"/>
        <v/>
      </c>
      <c r="AG291" s="616" t="str">
        <f t="shared" ca="1" si="152"/>
        <v/>
      </c>
      <c r="AH291" s="616" t="str">
        <f t="shared" ca="1" si="152"/>
        <v/>
      </c>
      <c r="AI291" s="616" t="str">
        <f t="shared" ca="1" si="152"/>
        <v/>
      </c>
      <c r="AJ291" s="616" t="str">
        <f t="shared" ca="1" si="152"/>
        <v/>
      </c>
      <c r="AK291" s="616" t="str">
        <f t="shared" ref="AK291:BB291" ca="1" si="153">IFERROR(OFFSET(貼付け_2024実績,$D291,AK289),"")&amp;""</f>
        <v/>
      </c>
      <c r="AL291" s="616" t="str">
        <f t="shared" ca="1" si="153"/>
        <v/>
      </c>
      <c r="AM291" s="616" t="str">
        <f t="shared" ca="1" si="153"/>
        <v/>
      </c>
      <c r="AN291" s="616" t="str">
        <f t="shared" ca="1" si="153"/>
        <v/>
      </c>
      <c r="AO291" s="616" t="str">
        <f t="shared" ca="1" si="153"/>
        <v/>
      </c>
      <c r="AP291" s="616" t="str">
        <f t="shared" ca="1" si="153"/>
        <v/>
      </c>
      <c r="AQ291" s="616" t="str">
        <f t="shared" ca="1" si="153"/>
        <v/>
      </c>
      <c r="AR291" s="616" t="str">
        <f t="shared" ca="1" si="153"/>
        <v/>
      </c>
      <c r="AS291" s="616" t="str">
        <f t="shared" ca="1" si="153"/>
        <v/>
      </c>
      <c r="AT291" s="616" t="str">
        <f t="shared" ca="1" si="153"/>
        <v/>
      </c>
      <c r="AU291" s="616" t="str">
        <f t="shared" ca="1" si="153"/>
        <v/>
      </c>
      <c r="AV291" s="616" t="str">
        <f t="shared" ca="1" si="153"/>
        <v/>
      </c>
      <c r="AW291" s="616" t="str">
        <f t="shared" ca="1" si="153"/>
        <v/>
      </c>
      <c r="AX291" s="616" t="str">
        <f t="shared" ca="1" si="153"/>
        <v/>
      </c>
      <c r="AY291" s="616" t="str">
        <f t="shared" ca="1" si="153"/>
        <v/>
      </c>
      <c r="AZ291" s="616" t="str">
        <f t="shared" ca="1" si="153"/>
        <v/>
      </c>
      <c r="BA291" s="616" t="str">
        <f t="shared" ca="1" si="153"/>
        <v/>
      </c>
      <c r="BB291" s="615" t="str">
        <f t="shared" ca="1" si="153"/>
        <v/>
      </c>
      <c r="IE291" s="579"/>
      <c r="IF291" s="579"/>
      <c r="IG291" s="579"/>
      <c r="IH291" s="579"/>
    </row>
    <row r="292" spans="1:242" s="164" customFormat="1" ht="20.100000000000001" hidden="1" customHeight="1">
      <c r="A292" s="569"/>
      <c r="B292" s="1052"/>
      <c r="C292" s="614" t="s">
        <v>679</v>
      </c>
      <c r="D292" s="615">
        <v>6</v>
      </c>
      <c r="E292" s="616" t="str">
        <f t="shared" ref="E292:AJ292" ca="1" si="154">IFERROR(OFFSET(A1_集計2024,$D292,E289),"")</f>
        <v/>
      </c>
      <c r="F292" s="616" t="str">
        <f t="shared" ca="1" si="154"/>
        <v/>
      </c>
      <c r="G292" s="616" t="str">
        <f t="shared" ca="1" si="154"/>
        <v/>
      </c>
      <c r="H292" s="616" t="str">
        <f t="shared" ca="1" si="154"/>
        <v/>
      </c>
      <c r="I292" s="616" t="str">
        <f t="shared" ca="1" si="154"/>
        <v/>
      </c>
      <c r="J292" s="616" t="str">
        <f t="shared" ca="1" si="154"/>
        <v/>
      </c>
      <c r="K292" s="616" t="str">
        <f t="shared" ca="1" si="154"/>
        <v/>
      </c>
      <c r="L292" s="616" t="str">
        <f t="shared" ca="1" si="154"/>
        <v/>
      </c>
      <c r="M292" s="616" t="str">
        <f t="shared" ca="1" si="154"/>
        <v/>
      </c>
      <c r="N292" s="616" t="str">
        <f t="shared" ca="1" si="154"/>
        <v/>
      </c>
      <c r="O292" s="616" t="str">
        <f ca="1">IFERROR(OFFSET(A1_集計2024,$D292,O289),"")</f>
        <v/>
      </c>
      <c r="P292" s="616" t="str">
        <f t="shared" ca="1" si="154"/>
        <v/>
      </c>
      <c r="Q292" s="616" t="str">
        <f t="shared" ca="1" si="154"/>
        <v/>
      </c>
      <c r="R292" s="616" t="str">
        <f t="shared" ca="1" si="154"/>
        <v/>
      </c>
      <c r="S292" s="616" t="str">
        <f t="shared" ca="1" si="154"/>
        <v/>
      </c>
      <c r="T292" s="616" t="str">
        <f t="shared" ca="1" si="154"/>
        <v/>
      </c>
      <c r="U292" s="616" t="str">
        <f t="shared" ca="1" si="154"/>
        <v/>
      </c>
      <c r="V292" s="616" t="str">
        <f t="shared" ca="1" si="154"/>
        <v/>
      </c>
      <c r="W292" s="616" t="str">
        <f t="shared" ca="1" si="154"/>
        <v/>
      </c>
      <c r="X292" s="616" t="str">
        <f t="shared" ca="1" si="154"/>
        <v/>
      </c>
      <c r="Y292" s="616" t="str">
        <f t="shared" ca="1" si="154"/>
        <v/>
      </c>
      <c r="Z292" s="616" t="str">
        <f t="shared" ca="1" si="154"/>
        <v/>
      </c>
      <c r="AA292" s="616" t="str">
        <f t="shared" ca="1" si="154"/>
        <v/>
      </c>
      <c r="AB292" s="616" t="str">
        <f t="shared" ca="1" si="154"/>
        <v/>
      </c>
      <c r="AC292" s="616" t="str">
        <f t="shared" ca="1" si="154"/>
        <v/>
      </c>
      <c r="AD292" s="616" t="str">
        <f t="shared" ca="1" si="154"/>
        <v/>
      </c>
      <c r="AE292" s="616" t="str">
        <f t="shared" ca="1" si="154"/>
        <v/>
      </c>
      <c r="AF292" s="616" t="str">
        <f t="shared" ca="1" si="154"/>
        <v/>
      </c>
      <c r="AG292" s="616" t="str">
        <f t="shared" ca="1" si="154"/>
        <v/>
      </c>
      <c r="AH292" s="616" t="str">
        <f t="shared" ca="1" si="154"/>
        <v/>
      </c>
      <c r="AI292" s="616" t="str">
        <f t="shared" ca="1" si="154"/>
        <v/>
      </c>
      <c r="AJ292" s="616" t="str">
        <f t="shared" ca="1" si="154"/>
        <v/>
      </c>
      <c r="AK292" s="616" t="str">
        <f t="shared" ref="AK292:BB292" ca="1" si="155">IFERROR(OFFSET(A1_集計2024,$D292,AK289),"")</f>
        <v/>
      </c>
      <c r="AL292" s="616" t="str">
        <f t="shared" ca="1" si="155"/>
        <v/>
      </c>
      <c r="AM292" s="616" t="str">
        <f t="shared" ca="1" si="155"/>
        <v/>
      </c>
      <c r="AN292" s="616" t="str">
        <f t="shared" ca="1" si="155"/>
        <v/>
      </c>
      <c r="AO292" s="616" t="str">
        <f t="shared" ca="1" si="155"/>
        <v/>
      </c>
      <c r="AP292" s="616" t="str">
        <f t="shared" ca="1" si="155"/>
        <v/>
      </c>
      <c r="AQ292" s="616" t="str">
        <f t="shared" ca="1" si="155"/>
        <v/>
      </c>
      <c r="AR292" s="616" t="str">
        <f t="shared" ca="1" si="155"/>
        <v/>
      </c>
      <c r="AS292" s="616" t="str">
        <f t="shared" ca="1" si="155"/>
        <v/>
      </c>
      <c r="AT292" s="616" t="str">
        <f t="shared" ca="1" si="155"/>
        <v/>
      </c>
      <c r="AU292" s="616" t="str">
        <f t="shared" ca="1" si="155"/>
        <v/>
      </c>
      <c r="AV292" s="616" t="str">
        <f t="shared" ca="1" si="155"/>
        <v/>
      </c>
      <c r="AW292" s="616" t="str">
        <f t="shared" ca="1" si="155"/>
        <v/>
      </c>
      <c r="AX292" s="616" t="str">
        <f t="shared" ca="1" si="155"/>
        <v/>
      </c>
      <c r="AY292" s="616" t="str">
        <f t="shared" ca="1" si="155"/>
        <v/>
      </c>
      <c r="AZ292" s="616" t="str">
        <f t="shared" ca="1" si="155"/>
        <v/>
      </c>
      <c r="BA292" s="587" t="str">
        <f t="shared" ca="1" si="155"/>
        <v/>
      </c>
      <c r="BB292" s="615" t="str">
        <f t="shared" ca="1" si="155"/>
        <v/>
      </c>
      <c r="IE292" s="579"/>
      <c r="IF292" s="579"/>
      <c r="IG292" s="579"/>
      <c r="IH292" s="579"/>
    </row>
    <row r="293" spans="1:242" s="164" customFormat="1" ht="20.100000000000001" hidden="1" customHeight="1">
      <c r="A293" s="569"/>
      <c r="B293" s="1052"/>
      <c r="C293" s="614" t="s">
        <v>680</v>
      </c>
      <c r="D293" s="615">
        <v>101</v>
      </c>
      <c r="E293" s="616" t="str">
        <f t="shared" ref="E293:AJ293" ca="1" si="156">IFERROR(OFFSET(貼付け_2024実績,$D293,E289),"")</f>
        <v/>
      </c>
      <c r="F293" s="616" t="str">
        <f t="shared" ca="1" si="156"/>
        <v/>
      </c>
      <c r="G293" s="616" t="str">
        <f t="shared" ca="1" si="156"/>
        <v/>
      </c>
      <c r="H293" s="616" t="str">
        <f t="shared" ca="1" si="156"/>
        <v/>
      </c>
      <c r="I293" s="616" t="str">
        <f t="shared" ca="1" si="156"/>
        <v/>
      </c>
      <c r="J293" s="616" t="str">
        <f t="shared" ca="1" si="156"/>
        <v/>
      </c>
      <c r="K293" s="616" t="str">
        <f t="shared" ca="1" si="156"/>
        <v/>
      </c>
      <c r="L293" s="616" t="str">
        <f t="shared" ca="1" si="156"/>
        <v/>
      </c>
      <c r="M293" s="616" t="str">
        <f t="shared" ca="1" si="156"/>
        <v/>
      </c>
      <c r="N293" s="616" t="str">
        <f t="shared" ca="1" si="156"/>
        <v/>
      </c>
      <c r="O293" s="616" t="str">
        <f ca="1">IFERROR(OFFSET(貼付け_2024実績,$D293,O289),"")</f>
        <v/>
      </c>
      <c r="P293" s="616" t="str">
        <f t="shared" ca="1" si="156"/>
        <v/>
      </c>
      <c r="Q293" s="616" t="str">
        <f t="shared" ca="1" si="156"/>
        <v/>
      </c>
      <c r="R293" s="616" t="str">
        <f t="shared" ca="1" si="156"/>
        <v/>
      </c>
      <c r="S293" s="616" t="str">
        <f t="shared" ca="1" si="156"/>
        <v/>
      </c>
      <c r="T293" s="616" t="str">
        <f t="shared" ca="1" si="156"/>
        <v/>
      </c>
      <c r="U293" s="616" t="str">
        <f t="shared" ca="1" si="156"/>
        <v/>
      </c>
      <c r="V293" s="616" t="str">
        <f t="shared" ca="1" si="156"/>
        <v/>
      </c>
      <c r="W293" s="616" t="str">
        <f t="shared" ca="1" si="156"/>
        <v/>
      </c>
      <c r="X293" s="616" t="str">
        <f t="shared" ca="1" si="156"/>
        <v/>
      </c>
      <c r="Y293" s="616" t="str">
        <f t="shared" ca="1" si="156"/>
        <v/>
      </c>
      <c r="Z293" s="616" t="str">
        <f t="shared" ca="1" si="156"/>
        <v/>
      </c>
      <c r="AA293" s="616" t="str">
        <f t="shared" ca="1" si="156"/>
        <v/>
      </c>
      <c r="AB293" s="616" t="str">
        <f t="shared" ca="1" si="156"/>
        <v/>
      </c>
      <c r="AC293" s="616" t="str">
        <f t="shared" ca="1" si="156"/>
        <v/>
      </c>
      <c r="AD293" s="616" t="str">
        <f t="shared" ca="1" si="156"/>
        <v/>
      </c>
      <c r="AE293" s="616" t="str">
        <f t="shared" ca="1" si="156"/>
        <v/>
      </c>
      <c r="AF293" s="616" t="str">
        <f t="shared" ca="1" si="156"/>
        <v/>
      </c>
      <c r="AG293" s="616" t="str">
        <f t="shared" ca="1" si="156"/>
        <v/>
      </c>
      <c r="AH293" s="616" t="str">
        <f t="shared" ca="1" si="156"/>
        <v/>
      </c>
      <c r="AI293" s="616" t="str">
        <f t="shared" ca="1" si="156"/>
        <v/>
      </c>
      <c r="AJ293" s="616" t="str">
        <f t="shared" ca="1" si="156"/>
        <v/>
      </c>
      <c r="AK293" s="616" t="str">
        <f t="shared" ref="AK293:BB293" ca="1" si="157">IFERROR(OFFSET(貼付け_2024実績,$D293,AK289),"")</f>
        <v/>
      </c>
      <c r="AL293" s="616" t="str">
        <f t="shared" ca="1" si="157"/>
        <v/>
      </c>
      <c r="AM293" s="616" t="str">
        <f t="shared" ca="1" si="157"/>
        <v/>
      </c>
      <c r="AN293" s="616" t="str">
        <f t="shared" ca="1" si="157"/>
        <v/>
      </c>
      <c r="AO293" s="616" t="str">
        <f t="shared" ca="1" si="157"/>
        <v/>
      </c>
      <c r="AP293" s="616" t="str">
        <f t="shared" ca="1" si="157"/>
        <v/>
      </c>
      <c r="AQ293" s="616" t="str">
        <f t="shared" ca="1" si="157"/>
        <v/>
      </c>
      <c r="AR293" s="616" t="str">
        <f t="shared" ca="1" si="157"/>
        <v/>
      </c>
      <c r="AS293" s="616" t="str">
        <f t="shared" ca="1" si="157"/>
        <v/>
      </c>
      <c r="AT293" s="616" t="str">
        <f t="shared" ca="1" si="157"/>
        <v/>
      </c>
      <c r="AU293" s="616" t="str">
        <f t="shared" ca="1" si="157"/>
        <v/>
      </c>
      <c r="AV293" s="616" t="str">
        <f t="shared" ca="1" si="157"/>
        <v/>
      </c>
      <c r="AW293" s="616" t="str">
        <f t="shared" ca="1" si="157"/>
        <v/>
      </c>
      <c r="AX293" s="616" t="str">
        <f t="shared" ca="1" si="157"/>
        <v/>
      </c>
      <c r="AY293" s="616" t="str">
        <f t="shared" ca="1" si="157"/>
        <v/>
      </c>
      <c r="AZ293" s="616" t="str">
        <f t="shared" ca="1" si="157"/>
        <v/>
      </c>
      <c r="BA293" s="587" t="str">
        <f t="shared" ca="1" si="157"/>
        <v/>
      </c>
      <c r="BB293" s="615" t="str">
        <f t="shared" ca="1" si="157"/>
        <v/>
      </c>
      <c r="IE293" s="579"/>
      <c r="IF293" s="579"/>
      <c r="IG293" s="579"/>
      <c r="IH293" s="579"/>
    </row>
    <row r="294" spans="1:242" s="164" customFormat="1" ht="20.100000000000001" hidden="1" customHeight="1">
      <c r="A294" s="569"/>
      <c r="B294" s="1052"/>
      <c r="C294" s="614" t="s">
        <v>681</v>
      </c>
      <c r="D294" s="615"/>
      <c r="E294" s="616" t="str">
        <f ca="1">IFERROR(E292/E293,"")</f>
        <v/>
      </c>
      <c r="F294" s="616" t="str">
        <f t="shared" ref="F294:BB294" ca="1" si="158">IFERROR(F292/F293,"")</f>
        <v/>
      </c>
      <c r="G294" s="616" t="str">
        <f t="shared" ca="1" si="158"/>
        <v/>
      </c>
      <c r="H294" s="616" t="str">
        <f t="shared" ca="1" si="158"/>
        <v/>
      </c>
      <c r="I294" s="616" t="str">
        <f t="shared" ca="1" si="158"/>
        <v/>
      </c>
      <c r="J294" s="616" t="str">
        <f t="shared" ca="1" si="158"/>
        <v/>
      </c>
      <c r="K294" s="616" t="str">
        <f t="shared" ca="1" si="158"/>
        <v/>
      </c>
      <c r="L294" s="616" t="str">
        <f t="shared" ca="1" si="158"/>
        <v/>
      </c>
      <c r="M294" s="616" t="str">
        <f t="shared" ca="1" si="158"/>
        <v/>
      </c>
      <c r="N294" s="616" t="str">
        <f t="shared" ca="1" si="158"/>
        <v/>
      </c>
      <c r="O294" s="616" t="str">
        <f t="shared" ca="1" si="158"/>
        <v/>
      </c>
      <c r="P294" s="616" t="str">
        <f t="shared" ca="1" si="158"/>
        <v/>
      </c>
      <c r="Q294" s="616" t="str">
        <f t="shared" ca="1" si="158"/>
        <v/>
      </c>
      <c r="R294" s="616" t="str">
        <f t="shared" ca="1" si="158"/>
        <v/>
      </c>
      <c r="S294" s="616" t="str">
        <f t="shared" ca="1" si="158"/>
        <v/>
      </c>
      <c r="T294" s="616" t="str">
        <f t="shared" ca="1" si="158"/>
        <v/>
      </c>
      <c r="U294" s="616" t="str">
        <f t="shared" ca="1" si="158"/>
        <v/>
      </c>
      <c r="V294" s="616" t="str">
        <f t="shared" ca="1" si="158"/>
        <v/>
      </c>
      <c r="W294" s="616" t="str">
        <f t="shared" ca="1" si="158"/>
        <v/>
      </c>
      <c r="X294" s="616" t="str">
        <f t="shared" ca="1" si="158"/>
        <v/>
      </c>
      <c r="Y294" s="616" t="str">
        <f t="shared" ca="1" si="158"/>
        <v/>
      </c>
      <c r="Z294" s="616" t="str">
        <f t="shared" ca="1" si="158"/>
        <v/>
      </c>
      <c r="AA294" s="616" t="str">
        <f t="shared" ca="1" si="158"/>
        <v/>
      </c>
      <c r="AB294" s="616" t="str">
        <f t="shared" ca="1" si="158"/>
        <v/>
      </c>
      <c r="AC294" s="616" t="str">
        <f t="shared" ca="1" si="158"/>
        <v/>
      </c>
      <c r="AD294" s="616" t="str">
        <f t="shared" ca="1" si="158"/>
        <v/>
      </c>
      <c r="AE294" s="616" t="str">
        <f t="shared" ca="1" si="158"/>
        <v/>
      </c>
      <c r="AF294" s="616" t="str">
        <f t="shared" ca="1" si="158"/>
        <v/>
      </c>
      <c r="AG294" s="616" t="str">
        <f t="shared" ca="1" si="158"/>
        <v/>
      </c>
      <c r="AH294" s="616" t="str">
        <f t="shared" ca="1" si="158"/>
        <v/>
      </c>
      <c r="AI294" s="616" t="str">
        <f t="shared" ca="1" si="158"/>
        <v/>
      </c>
      <c r="AJ294" s="616" t="str">
        <f t="shared" ca="1" si="158"/>
        <v/>
      </c>
      <c r="AK294" s="616" t="str">
        <f t="shared" ca="1" si="158"/>
        <v/>
      </c>
      <c r="AL294" s="616" t="str">
        <f t="shared" ca="1" si="158"/>
        <v/>
      </c>
      <c r="AM294" s="616" t="str">
        <f t="shared" ca="1" si="158"/>
        <v/>
      </c>
      <c r="AN294" s="616" t="str">
        <f t="shared" ca="1" si="158"/>
        <v/>
      </c>
      <c r="AO294" s="616" t="str">
        <f t="shared" ca="1" si="158"/>
        <v/>
      </c>
      <c r="AP294" s="616" t="str">
        <f t="shared" ca="1" si="158"/>
        <v/>
      </c>
      <c r="AQ294" s="616" t="str">
        <f t="shared" ca="1" si="158"/>
        <v/>
      </c>
      <c r="AR294" s="616" t="str">
        <f t="shared" ca="1" si="158"/>
        <v/>
      </c>
      <c r="AS294" s="616" t="str">
        <f t="shared" ca="1" si="158"/>
        <v/>
      </c>
      <c r="AT294" s="616" t="str">
        <f t="shared" ca="1" si="158"/>
        <v/>
      </c>
      <c r="AU294" s="616" t="str">
        <f t="shared" ca="1" si="158"/>
        <v/>
      </c>
      <c r="AV294" s="616" t="str">
        <f t="shared" ca="1" si="158"/>
        <v/>
      </c>
      <c r="AW294" s="616" t="str">
        <f t="shared" ca="1" si="158"/>
        <v/>
      </c>
      <c r="AX294" s="616" t="str">
        <f t="shared" ca="1" si="158"/>
        <v/>
      </c>
      <c r="AY294" s="616" t="str">
        <f t="shared" ca="1" si="158"/>
        <v/>
      </c>
      <c r="AZ294" s="616" t="str">
        <f t="shared" ca="1" si="158"/>
        <v/>
      </c>
      <c r="BA294" s="587" t="str">
        <f t="shared" ca="1" si="158"/>
        <v/>
      </c>
      <c r="BB294" s="615" t="str">
        <f t="shared" ca="1" si="158"/>
        <v/>
      </c>
      <c r="IE294" s="579"/>
      <c r="IF294" s="579"/>
      <c r="IG294" s="579"/>
      <c r="IH294" s="579"/>
    </row>
    <row r="295" spans="1:242" s="164" customFormat="1" ht="20.100000000000001" hidden="1" customHeight="1" thickBot="1">
      <c r="A295" s="569"/>
      <c r="B295" s="1053"/>
      <c r="C295" s="617" t="s">
        <v>682</v>
      </c>
      <c r="D295" s="618">
        <v>48</v>
      </c>
      <c r="E295" s="619"/>
      <c r="F295" s="620"/>
      <c r="G295" s="620"/>
      <c r="H295" s="620"/>
      <c r="I295" s="620"/>
      <c r="J295" s="620"/>
      <c r="K295" s="620"/>
      <c r="L295" s="620"/>
      <c r="M295" s="620"/>
      <c r="N295" s="620"/>
      <c r="O295" s="620"/>
      <c r="P295" s="620"/>
      <c r="Q295" s="620"/>
      <c r="R295" s="620"/>
      <c r="S295" s="620"/>
      <c r="T295" s="620"/>
      <c r="U295" s="620"/>
      <c r="V295" s="620"/>
      <c r="W295" s="620"/>
      <c r="X295" s="620"/>
      <c r="Y295" s="620"/>
      <c r="Z295" s="620"/>
      <c r="AA295" s="620"/>
      <c r="AB295" s="620"/>
      <c r="AC295" s="620"/>
      <c r="AD295" s="620"/>
      <c r="AE295" s="620"/>
      <c r="AF295" s="620"/>
      <c r="AG295" s="620"/>
      <c r="AH295" s="620"/>
      <c r="AI295" s="620"/>
      <c r="AJ295" s="620"/>
      <c r="AK295" s="620"/>
      <c r="AL295" s="620"/>
      <c r="AM295" s="620"/>
      <c r="AN295" s="620"/>
      <c r="AO295" s="620"/>
      <c r="AP295" s="620"/>
      <c r="AQ295" s="620"/>
      <c r="AR295" s="620"/>
      <c r="AS295" s="620"/>
      <c r="AT295" s="620"/>
      <c r="AU295" s="620"/>
      <c r="AV295" s="620"/>
      <c r="AW295" s="620"/>
      <c r="AX295" s="620"/>
      <c r="AY295" s="620"/>
      <c r="AZ295" s="620"/>
      <c r="BA295" s="620"/>
      <c r="BB295" s="618"/>
      <c r="IE295" s="579"/>
      <c r="IF295" s="579"/>
      <c r="IG295" s="579"/>
      <c r="IH295" s="579"/>
    </row>
    <row r="296" spans="1:242" s="164" customFormat="1" ht="20.100000000000001" hidden="1" customHeight="1">
      <c r="A296" s="569"/>
      <c r="B296" s="621" t="s">
        <v>685</v>
      </c>
      <c r="C296" s="1054" t="s">
        <v>686</v>
      </c>
      <c r="D296" s="1055"/>
      <c r="E296" s="622" t="s">
        <v>478</v>
      </c>
      <c r="F296" s="1058" t="s">
        <v>687</v>
      </c>
      <c r="G296" s="622" t="str">
        <f ca="1">IF(ROUND(SUMPRODUCT(1/COUNTIF(E302:BB303,E302:BB303)),0)-1&lt;&gt;1,"-",IFERROR(INDEX(E302:BB302,MATCH(TRUE,INDEX(E302:BB302&lt;&gt;"",),0)),INDEX(E303:BB303,MATCH(TRUE,INDEX(E303:BB303&lt;&gt;"",),0))))</f>
        <v>-</v>
      </c>
      <c r="H296" s="1058" t="s">
        <v>688</v>
      </c>
      <c r="I296" s="622" t="str">
        <f ca="1">IF(G296="-","-",OFFSET(貼付け_2024実績,100,IFERROR(INDEX(E277:BB277,MATCH(G296,E279:BB279,0)),INDEX(E289:BB289,MATCH(G296,E291:BB291,0)))))</f>
        <v>-</v>
      </c>
      <c r="J296" s="1058" t="s">
        <v>689</v>
      </c>
      <c r="K296" s="622" t="str">
        <f ca="1">IF(G296="-","-",SUM(E281:BB281,E293:BB293))</f>
        <v>-</v>
      </c>
      <c r="IE296" s="579"/>
      <c r="IF296" s="579"/>
      <c r="IG296" s="579"/>
      <c r="IH296" s="579"/>
    </row>
    <row r="297" spans="1:242" ht="18.600000000000001" hidden="1" thickBot="1">
      <c r="A297" s="569"/>
      <c r="B297" s="623" t="s">
        <v>498</v>
      </c>
      <c r="C297" s="1056"/>
      <c r="D297" s="1057"/>
      <c r="E297" s="624" t="s">
        <v>478</v>
      </c>
      <c r="F297" s="1059"/>
      <c r="G297" s="625" t="str">
        <f ca="1">IF(SUMPRODUCT(1/COUNTIF(E301:BB301,E301:BB301))-1&lt;&gt;1,"-",INDEX(E301:BB301,MATCH(TRUE,INDEX(E301:BB301&lt;&gt;"",),0)))</f>
        <v>-</v>
      </c>
      <c r="H297" s="1059"/>
      <c r="I297" s="625" t="str">
        <f ca="1">IF(G297="-","-",OFFSET(貼付け_2024実績,100,INDEX(E265:BB265,MATCH(G297,E267:BB267,0))))</f>
        <v>-</v>
      </c>
      <c r="J297" s="1059"/>
      <c r="K297" s="625" t="str">
        <f ca="1">IF(G297="-","-",SUM(E269:BB269))</f>
        <v>-</v>
      </c>
    </row>
    <row r="298" spans="1:242" hidden="1">
      <c r="A298" s="569"/>
    </row>
    <row r="299" spans="1:242" ht="18.600000000000001" hidden="1" thickBot="1">
      <c r="A299" s="569"/>
      <c r="B299" s="1043" t="s">
        <v>690</v>
      </c>
      <c r="C299" s="1044"/>
      <c r="D299" s="1045"/>
      <c r="E299" s="626" t="str">
        <f t="shared" ref="E299:AJ299" ca="1" si="159">IFERROR(OFFSET(貼付け_2024実績,6,E248+1)&amp;"","")</f>
        <v/>
      </c>
      <c r="F299" s="627" t="str">
        <f t="shared" ca="1" si="159"/>
        <v/>
      </c>
      <c r="G299" s="627" t="str">
        <f t="shared" ca="1" si="159"/>
        <v/>
      </c>
      <c r="H299" s="627" t="str">
        <f t="shared" ca="1" si="159"/>
        <v/>
      </c>
      <c r="I299" s="627" t="str">
        <f t="shared" ca="1" si="159"/>
        <v/>
      </c>
      <c r="J299" s="627" t="str">
        <f t="shared" ca="1" si="159"/>
        <v/>
      </c>
      <c r="K299" s="627" t="str">
        <f t="shared" ca="1" si="159"/>
        <v/>
      </c>
      <c r="L299" s="627" t="str">
        <f t="shared" ca="1" si="159"/>
        <v/>
      </c>
      <c r="M299" s="627" t="str">
        <f t="shared" ca="1" si="159"/>
        <v/>
      </c>
      <c r="N299" s="627" t="str">
        <f t="shared" ca="1" si="159"/>
        <v/>
      </c>
      <c r="O299" s="627" t="str">
        <f t="shared" ca="1" si="159"/>
        <v/>
      </c>
      <c r="P299" s="627" t="str">
        <f t="shared" ca="1" si="159"/>
        <v/>
      </c>
      <c r="Q299" s="627" t="str">
        <f t="shared" ca="1" si="159"/>
        <v/>
      </c>
      <c r="R299" s="627" t="str">
        <f t="shared" ca="1" si="159"/>
        <v/>
      </c>
      <c r="S299" s="627" t="str">
        <f t="shared" ca="1" si="159"/>
        <v/>
      </c>
      <c r="T299" s="627" t="str">
        <f t="shared" ca="1" si="159"/>
        <v/>
      </c>
      <c r="U299" s="627" t="str">
        <f t="shared" ca="1" si="159"/>
        <v/>
      </c>
      <c r="V299" s="627" t="str">
        <f t="shared" ca="1" si="159"/>
        <v/>
      </c>
      <c r="W299" s="627" t="str">
        <f t="shared" ca="1" si="159"/>
        <v/>
      </c>
      <c r="X299" s="627" t="str">
        <f t="shared" ca="1" si="159"/>
        <v/>
      </c>
      <c r="Y299" s="627" t="str">
        <f t="shared" ca="1" si="159"/>
        <v/>
      </c>
      <c r="Z299" s="627" t="str">
        <f t="shared" ca="1" si="159"/>
        <v/>
      </c>
      <c r="AA299" s="627" t="str">
        <f t="shared" ca="1" si="159"/>
        <v/>
      </c>
      <c r="AB299" s="627" t="str">
        <f t="shared" ca="1" si="159"/>
        <v/>
      </c>
      <c r="AC299" s="627" t="str">
        <f t="shared" ca="1" si="159"/>
        <v/>
      </c>
      <c r="AD299" s="627" t="str">
        <f t="shared" ca="1" si="159"/>
        <v/>
      </c>
      <c r="AE299" s="627" t="str">
        <f t="shared" ca="1" si="159"/>
        <v/>
      </c>
      <c r="AF299" s="627" t="str">
        <f t="shared" ca="1" si="159"/>
        <v/>
      </c>
      <c r="AG299" s="627" t="str">
        <f t="shared" ca="1" si="159"/>
        <v/>
      </c>
      <c r="AH299" s="627" t="str">
        <f t="shared" ca="1" si="159"/>
        <v/>
      </c>
      <c r="AI299" s="627" t="str">
        <f t="shared" ca="1" si="159"/>
        <v/>
      </c>
      <c r="AJ299" s="627" t="str">
        <f t="shared" ca="1" si="159"/>
        <v/>
      </c>
      <c r="AK299" s="627" t="str">
        <f t="shared" ref="AK299:BB299" ca="1" si="160">IFERROR(OFFSET(貼付け_2024実績,6,AK248+1)&amp;"","")</f>
        <v/>
      </c>
      <c r="AL299" s="627" t="str">
        <f t="shared" ca="1" si="160"/>
        <v/>
      </c>
      <c r="AM299" s="627" t="str">
        <f t="shared" ca="1" si="160"/>
        <v/>
      </c>
      <c r="AN299" s="627" t="str">
        <f t="shared" ca="1" si="160"/>
        <v/>
      </c>
      <c r="AO299" s="627" t="str">
        <f t="shared" ca="1" si="160"/>
        <v/>
      </c>
      <c r="AP299" s="627" t="str">
        <f t="shared" ca="1" si="160"/>
        <v/>
      </c>
      <c r="AQ299" s="627" t="str">
        <f t="shared" ca="1" si="160"/>
        <v/>
      </c>
      <c r="AR299" s="627" t="str">
        <f t="shared" ca="1" si="160"/>
        <v/>
      </c>
      <c r="AS299" s="627" t="str">
        <f t="shared" ca="1" si="160"/>
        <v/>
      </c>
      <c r="AT299" s="627" t="str">
        <f t="shared" ca="1" si="160"/>
        <v/>
      </c>
      <c r="AU299" s="627" t="str">
        <f t="shared" ca="1" si="160"/>
        <v/>
      </c>
      <c r="AV299" s="627" t="str">
        <f t="shared" ca="1" si="160"/>
        <v/>
      </c>
      <c r="AW299" s="627" t="str">
        <f t="shared" ca="1" si="160"/>
        <v/>
      </c>
      <c r="AX299" s="627" t="str">
        <f t="shared" ca="1" si="160"/>
        <v/>
      </c>
      <c r="AY299" s="627" t="str">
        <f t="shared" ca="1" si="160"/>
        <v/>
      </c>
      <c r="AZ299" s="627" t="str">
        <f t="shared" ca="1" si="160"/>
        <v/>
      </c>
      <c r="BA299" s="627" t="str">
        <f t="shared" ca="1" si="160"/>
        <v/>
      </c>
      <c r="BB299" s="628" t="str">
        <f t="shared" ca="1" si="160"/>
        <v/>
      </c>
    </row>
    <row r="300" spans="1:242" hidden="1">
      <c r="A300" s="569"/>
      <c r="B300" s="1060" t="s">
        <v>691</v>
      </c>
      <c r="C300" s="629" t="s">
        <v>497</v>
      </c>
      <c r="D300" s="630"/>
      <c r="E300" s="631" t="str">
        <f ca="1">E255</f>
        <v/>
      </c>
      <c r="F300" s="631" t="str">
        <f t="shared" ref="F300:BB300" ca="1" si="161">F255</f>
        <v/>
      </c>
      <c r="G300" s="631" t="str">
        <f t="shared" ca="1" si="161"/>
        <v/>
      </c>
      <c r="H300" s="631" t="str">
        <f t="shared" ca="1" si="161"/>
        <v/>
      </c>
      <c r="I300" s="631" t="str">
        <f t="shared" ca="1" si="161"/>
        <v/>
      </c>
      <c r="J300" s="631" t="str">
        <f t="shared" ca="1" si="161"/>
        <v/>
      </c>
      <c r="K300" s="631" t="str">
        <f t="shared" ca="1" si="161"/>
        <v/>
      </c>
      <c r="L300" s="631" t="str">
        <f t="shared" ca="1" si="161"/>
        <v/>
      </c>
      <c r="M300" s="631" t="str">
        <f t="shared" ca="1" si="161"/>
        <v/>
      </c>
      <c r="N300" s="631" t="str">
        <f t="shared" ca="1" si="161"/>
        <v/>
      </c>
      <c r="O300" s="631" t="str">
        <f t="shared" ca="1" si="161"/>
        <v/>
      </c>
      <c r="P300" s="631" t="str">
        <f t="shared" ca="1" si="161"/>
        <v/>
      </c>
      <c r="Q300" s="631" t="str">
        <f t="shared" ca="1" si="161"/>
        <v/>
      </c>
      <c r="R300" s="631" t="str">
        <f t="shared" ca="1" si="161"/>
        <v/>
      </c>
      <c r="S300" s="631" t="str">
        <f t="shared" ca="1" si="161"/>
        <v/>
      </c>
      <c r="T300" s="631" t="str">
        <f t="shared" ca="1" si="161"/>
        <v/>
      </c>
      <c r="U300" s="631" t="str">
        <f t="shared" ca="1" si="161"/>
        <v/>
      </c>
      <c r="V300" s="631" t="str">
        <f t="shared" ca="1" si="161"/>
        <v/>
      </c>
      <c r="W300" s="631" t="str">
        <f t="shared" ca="1" si="161"/>
        <v/>
      </c>
      <c r="X300" s="631" t="str">
        <f t="shared" ca="1" si="161"/>
        <v/>
      </c>
      <c r="Y300" s="631" t="str">
        <f t="shared" ca="1" si="161"/>
        <v/>
      </c>
      <c r="Z300" s="631" t="str">
        <f t="shared" ca="1" si="161"/>
        <v/>
      </c>
      <c r="AA300" s="631" t="str">
        <f t="shared" ca="1" si="161"/>
        <v/>
      </c>
      <c r="AB300" s="631" t="str">
        <f t="shared" ca="1" si="161"/>
        <v/>
      </c>
      <c r="AC300" s="631" t="str">
        <f t="shared" ca="1" si="161"/>
        <v/>
      </c>
      <c r="AD300" s="631" t="str">
        <f t="shared" ca="1" si="161"/>
        <v/>
      </c>
      <c r="AE300" s="631" t="str">
        <f t="shared" ca="1" si="161"/>
        <v/>
      </c>
      <c r="AF300" s="631" t="str">
        <f t="shared" ca="1" si="161"/>
        <v/>
      </c>
      <c r="AG300" s="631" t="str">
        <f t="shared" ca="1" si="161"/>
        <v/>
      </c>
      <c r="AH300" s="631" t="str">
        <f t="shared" ca="1" si="161"/>
        <v/>
      </c>
      <c r="AI300" s="631" t="str">
        <f t="shared" ca="1" si="161"/>
        <v/>
      </c>
      <c r="AJ300" s="631" t="str">
        <f t="shared" ca="1" si="161"/>
        <v/>
      </c>
      <c r="AK300" s="631" t="str">
        <f t="shared" ca="1" si="161"/>
        <v/>
      </c>
      <c r="AL300" s="631" t="str">
        <f t="shared" ca="1" si="161"/>
        <v/>
      </c>
      <c r="AM300" s="631" t="str">
        <f t="shared" ca="1" si="161"/>
        <v/>
      </c>
      <c r="AN300" s="631" t="str">
        <f t="shared" ca="1" si="161"/>
        <v/>
      </c>
      <c r="AO300" s="631" t="str">
        <f t="shared" ca="1" si="161"/>
        <v/>
      </c>
      <c r="AP300" s="631" t="str">
        <f t="shared" ca="1" si="161"/>
        <v/>
      </c>
      <c r="AQ300" s="631" t="str">
        <f t="shared" ca="1" si="161"/>
        <v/>
      </c>
      <c r="AR300" s="631" t="str">
        <f t="shared" ca="1" si="161"/>
        <v/>
      </c>
      <c r="AS300" s="631" t="str">
        <f t="shared" ca="1" si="161"/>
        <v/>
      </c>
      <c r="AT300" s="631" t="str">
        <f t="shared" ca="1" si="161"/>
        <v/>
      </c>
      <c r="AU300" s="631" t="str">
        <f t="shared" ca="1" si="161"/>
        <v/>
      </c>
      <c r="AV300" s="631" t="str">
        <f t="shared" ca="1" si="161"/>
        <v/>
      </c>
      <c r="AW300" s="631" t="str">
        <f t="shared" ca="1" si="161"/>
        <v/>
      </c>
      <c r="AX300" s="631" t="str">
        <f t="shared" ca="1" si="161"/>
        <v/>
      </c>
      <c r="AY300" s="631" t="str">
        <f t="shared" ca="1" si="161"/>
        <v/>
      </c>
      <c r="AZ300" s="631" t="str">
        <f t="shared" ca="1" si="161"/>
        <v/>
      </c>
      <c r="BA300" s="631" t="str">
        <f t="shared" ca="1" si="161"/>
        <v/>
      </c>
      <c r="BB300" s="632" t="str">
        <f t="shared" ca="1" si="161"/>
        <v/>
      </c>
    </row>
    <row r="301" spans="1:242" hidden="1">
      <c r="A301" s="569"/>
      <c r="B301" s="1061"/>
      <c r="C301" s="633" t="s">
        <v>498</v>
      </c>
      <c r="D301" s="634"/>
      <c r="E301" s="581" t="str">
        <f ca="1">E267</f>
        <v/>
      </c>
      <c r="F301" s="581" t="str">
        <f t="shared" ref="F301:BB301" ca="1" si="162">F267</f>
        <v/>
      </c>
      <c r="G301" s="581" t="str">
        <f t="shared" ca="1" si="162"/>
        <v/>
      </c>
      <c r="H301" s="581" t="str">
        <f t="shared" ca="1" si="162"/>
        <v/>
      </c>
      <c r="I301" s="581" t="str">
        <f t="shared" ca="1" si="162"/>
        <v/>
      </c>
      <c r="J301" s="581" t="str">
        <f t="shared" ca="1" si="162"/>
        <v/>
      </c>
      <c r="K301" s="581" t="str">
        <f t="shared" ca="1" si="162"/>
        <v/>
      </c>
      <c r="L301" s="581" t="str">
        <f t="shared" ca="1" si="162"/>
        <v/>
      </c>
      <c r="M301" s="581" t="str">
        <f t="shared" ca="1" si="162"/>
        <v/>
      </c>
      <c r="N301" s="581" t="str">
        <f t="shared" ca="1" si="162"/>
        <v/>
      </c>
      <c r="O301" s="581" t="str">
        <f t="shared" ca="1" si="162"/>
        <v/>
      </c>
      <c r="P301" s="581" t="str">
        <f t="shared" ca="1" si="162"/>
        <v/>
      </c>
      <c r="Q301" s="581" t="str">
        <f t="shared" ca="1" si="162"/>
        <v/>
      </c>
      <c r="R301" s="581" t="str">
        <f t="shared" ca="1" si="162"/>
        <v/>
      </c>
      <c r="S301" s="581" t="str">
        <f t="shared" ca="1" si="162"/>
        <v/>
      </c>
      <c r="T301" s="581" t="str">
        <f t="shared" ca="1" si="162"/>
        <v/>
      </c>
      <c r="U301" s="581" t="str">
        <f t="shared" ca="1" si="162"/>
        <v/>
      </c>
      <c r="V301" s="581" t="str">
        <f t="shared" ca="1" si="162"/>
        <v/>
      </c>
      <c r="W301" s="581" t="str">
        <f t="shared" ca="1" si="162"/>
        <v/>
      </c>
      <c r="X301" s="581" t="str">
        <f t="shared" ca="1" si="162"/>
        <v/>
      </c>
      <c r="Y301" s="581" t="str">
        <f t="shared" ca="1" si="162"/>
        <v/>
      </c>
      <c r="Z301" s="581" t="str">
        <f t="shared" ca="1" si="162"/>
        <v/>
      </c>
      <c r="AA301" s="581" t="str">
        <f t="shared" ca="1" si="162"/>
        <v/>
      </c>
      <c r="AB301" s="581" t="str">
        <f t="shared" ca="1" si="162"/>
        <v/>
      </c>
      <c r="AC301" s="581" t="str">
        <f t="shared" ca="1" si="162"/>
        <v/>
      </c>
      <c r="AD301" s="581" t="str">
        <f t="shared" ca="1" si="162"/>
        <v/>
      </c>
      <c r="AE301" s="581" t="str">
        <f t="shared" ca="1" si="162"/>
        <v/>
      </c>
      <c r="AF301" s="581" t="str">
        <f t="shared" ca="1" si="162"/>
        <v/>
      </c>
      <c r="AG301" s="581" t="str">
        <f t="shared" ca="1" si="162"/>
        <v/>
      </c>
      <c r="AH301" s="581" t="str">
        <f t="shared" ca="1" si="162"/>
        <v/>
      </c>
      <c r="AI301" s="581" t="str">
        <f t="shared" ca="1" si="162"/>
        <v/>
      </c>
      <c r="AJ301" s="581" t="str">
        <f t="shared" ca="1" si="162"/>
        <v/>
      </c>
      <c r="AK301" s="581" t="str">
        <f t="shared" ca="1" si="162"/>
        <v/>
      </c>
      <c r="AL301" s="581" t="str">
        <f t="shared" ca="1" si="162"/>
        <v/>
      </c>
      <c r="AM301" s="581" t="str">
        <f t="shared" ca="1" si="162"/>
        <v/>
      </c>
      <c r="AN301" s="581" t="str">
        <f t="shared" ca="1" si="162"/>
        <v/>
      </c>
      <c r="AO301" s="581" t="str">
        <f t="shared" ca="1" si="162"/>
        <v/>
      </c>
      <c r="AP301" s="581" t="str">
        <f t="shared" ca="1" si="162"/>
        <v/>
      </c>
      <c r="AQ301" s="581" t="str">
        <f t="shared" ca="1" si="162"/>
        <v/>
      </c>
      <c r="AR301" s="581" t="str">
        <f t="shared" ca="1" si="162"/>
        <v/>
      </c>
      <c r="AS301" s="581" t="str">
        <f t="shared" ca="1" si="162"/>
        <v/>
      </c>
      <c r="AT301" s="581" t="str">
        <f t="shared" ca="1" si="162"/>
        <v/>
      </c>
      <c r="AU301" s="581" t="str">
        <f t="shared" ca="1" si="162"/>
        <v/>
      </c>
      <c r="AV301" s="581" t="str">
        <f t="shared" ca="1" si="162"/>
        <v/>
      </c>
      <c r="AW301" s="581" t="str">
        <f t="shared" ca="1" si="162"/>
        <v/>
      </c>
      <c r="AX301" s="581" t="str">
        <f t="shared" ca="1" si="162"/>
        <v/>
      </c>
      <c r="AY301" s="581" t="str">
        <f t="shared" ca="1" si="162"/>
        <v/>
      </c>
      <c r="AZ301" s="581" t="str">
        <f t="shared" ca="1" si="162"/>
        <v/>
      </c>
      <c r="BA301" s="581" t="str">
        <f t="shared" ca="1" si="162"/>
        <v/>
      </c>
      <c r="BB301" s="635" t="str">
        <f t="shared" ca="1" si="162"/>
        <v/>
      </c>
    </row>
    <row r="302" spans="1:242" hidden="1">
      <c r="A302" s="569"/>
      <c r="B302" s="1061"/>
      <c r="C302" s="633" t="s">
        <v>499</v>
      </c>
      <c r="D302" s="1063"/>
      <c r="E302" s="581" t="str">
        <f ca="1">E279</f>
        <v/>
      </c>
      <c r="F302" s="581" t="str">
        <f t="shared" ref="F302:BB302" ca="1" si="163">F279</f>
        <v/>
      </c>
      <c r="G302" s="581" t="str">
        <f t="shared" ca="1" si="163"/>
        <v/>
      </c>
      <c r="H302" s="581" t="str">
        <f t="shared" ca="1" si="163"/>
        <v/>
      </c>
      <c r="I302" s="581" t="str">
        <f t="shared" ca="1" si="163"/>
        <v/>
      </c>
      <c r="J302" s="581" t="str">
        <f t="shared" ca="1" si="163"/>
        <v/>
      </c>
      <c r="K302" s="581" t="str">
        <f t="shared" ca="1" si="163"/>
        <v/>
      </c>
      <c r="L302" s="581" t="str">
        <f t="shared" ca="1" si="163"/>
        <v/>
      </c>
      <c r="M302" s="581" t="str">
        <f t="shared" ca="1" si="163"/>
        <v/>
      </c>
      <c r="N302" s="581" t="str">
        <f t="shared" ca="1" si="163"/>
        <v/>
      </c>
      <c r="O302" s="581" t="str">
        <f t="shared" ca="1" si="163"/>
        <v/>
      </c>
      <c r="P302" s="581" t="str">
        <f t="shared" ca="1" si="163"/>
        <v/>
      </c>
      <c r="Q302" s="581" t="str">
        <f t="shared" ca="1" si="163"/>
        <v/>
      </c>
      <c r="R302" s="581" t="str">
        <f t="shared" ca="1" si="163"/>
        <v/>
      </c>
      <c r="S302" s="581" t="str">
        <f t="shared" ca="1" si="163"/>
        <v/>
      </c>
      <c r="T302" s="581" t="str">
        <f t="shared" ca="1" si="163"/>
        <v/>
      </c>
      <c r="U302" s="581" t="str">
        <f t="shared" ca="1" si="163"/>
        <v/>
      </c>
      <c r="V302" s="581" t="str">
        <f t="shared" ca="1" si="163"/>
        <v/>
      </c>
      <c r="W302" s="581" t="str">
        <f t="shared" ca="1" si="163"/>
        <v/>
      </c>
      <c r="X302" s="581" t="str">
        <f t="shared" ca="1" si="163"/>
        <v/>
      </c>
      <c r="Y302" s="581" t="str">
        <f t="shared" ca="1" si="163"/>
        <v/>
      </c>
      <c r="Z302" s="581" t="str">
        <f t="shared" ca="1" si="163"/>
        <v/>
      </c>
      <c r="AA302" s="581" t="str">
        <f t="shared" ca="1" si="163"/>
        <v/>
      </c>
      <c r="AB302" s="581" t="str">
        <f t="shared" ca="1" si="163"/>
        <v/>
      </c>
      <c r="AC302" s="581" t="str">
        <f t="shared" ca="1" si="163"/>
        <v/>
      </c>
      <c r="AD302" s="581" t="str">
        <f t="shared" ca="1" si="163"/>
        <v/>
      </c>
      <c r="AE302" s="581" t="str">
        <f t="shared" ca="1" si="163"/>
        <v/>
      </c>
      <c r="AF302" s="581" t="str">
        <f t="shared" ca="1" si="163"/>
        <v/>
      </c>
      <c r="AG302" s="581" t="str">
        <f t="shared" ca="1" si="163"/>
        <v/>
      </c>
      <c r="AH302" s="581" t="str">
        <f t="shared" ca="1" si="163"/>
        <v/>
      </c>
      <c r="AI302" s="581" t="str">
        <f t="shared" ca="1" si="163"/>
        <v/>
      </c>
      <c r="AJ302" s="581" t="str">
        <f t="shared" ca="1" si="163"/>
        <v/>
      </c>
      <c r="AK302" s="581" t="str">
        <f t="shared" ca="1" si="163"/>
        <v/>
      </c>
      <c r="AL302" s="581" t="str">
        <f t="shared" ca="1" si="163"/>
        <v/>
      </c>
      <c r="AM302" s="581" t="str">
        <f t="shared" ca="1" si="163"/>
        <v/>
      </c>
      <c r="AN302" s="581" t="str">
        <f t="shared" ca="1" si="163"/>
        <v/>
      </c>
      <c r="AO302" s="581" t="str">
        <f t="shared" ca="1" si="163"/>
        <v/>
      </c>
      <c r="AP302" s="581" t="str">
        <f t="shared" ca="1" si="163"/>
        <v/>
      </c>
      <c r="AQ302" s="581" t="str">
        <f t="shared" ca="1" si="163"/>
        <v/>
      </c>
      <c r="AR302" s="581" t="str">
        <f t="shared" ca="1" si="163"/>
        <v/>
      </c>
      <c r="AS302" s="581" t="str">
        <f t="shared" ca="1" si="163"/>
        <v/>
      </c>
      <c r="AT302" s="581" t="str">
        <f t="shared" ca="1" si="163"/>
        <v/>
      </c>
      <c r="AU302" s="581" t="str">
        <f t="shared" ca="1" si="163"/>
        <v/>
      </c>
      <c r="AV302" s="581" t="str">
        <f t="shared" ca="1" si="163"/>
        <v/>
      </c>
      <c r="AW302" s="581" t="str">
        <f t="shared" ca="1" si="163"/>
        <v/>
      </c>
      <c r="AX302" s="581" t="str">
        <f t="shared" ca="1" si="163"/>
        <v/>
      </c>
      <c r="AY302" s="581" t="str">
        <f t="shared" ca="1" si="163"/>
        <v/>
      </c>
      <c r="AZ302" s="581" t="str">
        <f t="shared" ca="1" si="163"/>
        <v/>
      </c>
      <c r="BA302" s="581" t="str">
        <f t="shared" ca="1" si="163"/>
        <v/>
      </c>
      <c r="BB302" s="635" t="str">
        <f t="shared" ca="1" si="163"/>
        <v/>
      </c>
    </row>
    <row r="303" spans="1:242" ht="19.5" hidden="1" customHeight="1" thickBot="1">
      <c r="A303" s="569"/>
      <c r="B303" s="1062"/>
      <c r="C303" s="636" t="s">
        <v>500</v>
      </c>
      <c r="D303" s="1064"/>
      <c r="E303" s="637" t="str">
        <f ca="1">E291</f>
        <v/>
      </c>
      <c r="F303" s="637" t="str">
        <f t="shared" ref="F303:BB303" ca="1" si="164">F291</f>
        <v/>
      </c>
      <c r="G303" s="637" t="str">
        <f t="shared" ca="1" si="164"/>
        <v/>
      </c>
      <c r="H303" s="637" t="str">
        <f t="shared" ca="1" si="164"/>
        <v/>
      </c>
      <c r="I303" s="637" t="str">
        <f t="shared" ca="1" si="164"/>
        <v/>
      </c>
      <c r="J303" s="637" t="str">
        <f t="shared" ca="1" si="164"/>
        <v/>
      </c>
      <c r="K303" s="637" t="str">
        <f t="shared" ca="1" si="164"/>
        <v/>
      </c>
      <c r="L303" s="637" t="str">
        <f t="shared" ca="1" si="164"/>
        <v/>
      </c>
      <c r="M303" s="637" t="str">
        <f t="shared" ca="1" si="164"/>
        <v/>
      </c>
      <c r="N303" s="637" t="str">
        <f t="shared" ca="1" si="164"/>
        <v/>
      </c>
      <c r="O303" s="637" t="str">
        <f t="shared" ca="1" si="164"/>
        <v/>
      </c>
      <c r="P303" s="637" t="str">
        <f t="shared" ca="1" si="164"/>
        <v/>
      </c>
      <c r="Q303" s="637" t="str">
        <f t="shared" ca="1" si="164"/>
        <v/>
      </c>
      <c r="R303" s="637" t="str">
        <f t="shared" ca="1" si="164"/>
        <v/>
      </c>
      <c r="S303" s="637" t="str">
        <f t="shared" ca="1" si="164"/>
        <v/>
      </c>
      <c r="T303" s="637" t="str">
        <f t="shared" ca="1" si="164"/>
        <v/>
      </c>
      <c r="U303" s="637" t="str">
        <f t="shared" ca="1" si="164"/>
        <v/>
      </c>
      <c r="V303" s="637" t="str">
        <f t="shared" ca="1" si="164"/>
        <v/>
      </c>
      <c r="W303" s="637" t="str">
        <f t="shared" ca="1" si="164"/>
        <v/>
      </c>
      <c r="X303" s="637" t="str">
        <f t="shared" ca="1" si="164"/>
        <v/>
      </c>
      <c r="Y303" s="637" t="str">
        <f t="shared" ca="1" si="164"/>
        <v/>
      </c>
      <c r="Z303" s="637" t="str">
        <f t="shared" ca="1" si="164"/>
        <v/>
      </c>
      <c r="AA303" s="637" t="str">
        <f t="shared" ca="1" si="164"/>
        <v/>
      </c>
      <c r="AB303" s="637" t="str">
        <f t="shared" ca="1" si="164"/>
        <v/>
      </c>
      <c r="AC303" s="637" t="str">
        <f t="shared" ca="1" si="164"/>
        <v/>
      </c>
      <c r="AD303" s="637" t="str">
        <f t="shared" ca="1" si="164"/>
        <v/>
      </c>
      <c r="AE303" s="637" t="str">
        <f t="shared" ca="1" si="164"/>
        <v/>
      </c>
      <c r="AF303" s="637" t="str">
        <f t="shared" ca="1" si="164"/>
        <v/>
      </c>
      <c r="AG303" s="637" t="str">
        <f t="shared" ca="1" si="164"/>
        <v/>
      </c>
      <c r="AH303" s="637" t="str">
        <f t="shared" ca="1" si="164"/>
        <v/>
      </c>
      <c r="AI303" s="637" t="str">
        <f t="shared" ca="1" si="164"/>
        <v/>
      </c>
      <c r="AJ303" s="637" t="str">
        <f t="shared" ca="1" si="164"/>
        <v/>
      </c>
      <c r="AK303" s="637" t="str">
        <f t="shared" ca="1" si="164"/>
        <v/>
      </c>
      <c r="AL303" s="637" t="str">
        <f t="shared" ca="1" si="164"/>
        <v/>
      </c>
      <c r="AM303" s="637" t="str">
        <f t="shared" ca="1" si="164"/>
        <v/>
      </c>
      <c r="AN303" s="637" t="str">
        <f t="shared" ca="1" si="164"/>
        <v/>
      </c>
      <c r="AO303" s="637" t="str">
        <f t="shared" ca="1" si="164"/>
        <v/>
      </c>
      <c r="AP303" s="637" t="str">
        <f t="shared" ca="1" si="164"/>
        <v/>
      </c>
      <c r="AQ303" s="637" t="str">
        <f t="shared" ca="1" si="164"/>
        <v/>
      </c>
      <c r="AR303" s="637" t="str">
        <f t="shared" ca="1" si="164"/>
        <v/>
      </c>
      <c r="AS303" s="637" t="str">
        <f t="shared" ca="1" si="164"/>
        <v/>
      </c>
      <c r="AT303" s="637" t="str">
        <f t="shared" ca="1" si="164"/>
        <v/>
      </c>
      <c r="AU303" s="637" t="str">
        <f t="shared" ca="1" si="164"/>
        <v/>
      </c>
      <c r="AV303" s="637" t="str">
        <f t="shared" ca="1" si="164"/>
        <v/>
      </c>
      <c r="AW303" s="637" t="str">
        <f t="shared" ca="1" si="164"/>
        <v/>
      </c>
      <c r="AX303" s="637" t="str">
        <f t="shared" ca="1" si="164"/>
        <v/>
      </c>
      <c r="AY303" s="637" t="str">
        <f t="shared" ca="1" si="164"/>
        <v/>
      </c>
      <c r="AZ303" s="637" t="str">
        <f t="shared" ca="1" si="164"/>
        <v/>
      </c>
      <c r="BA303" s="637" t="str">
        <f t="shared" ca="1" si="164"/>
        <v/>
      </c>
      <c r="BB303" s="638" t="str">
        <f t="shared" ca="1" si="164"/>
        <v/>
      </c>
    </row>
    <row r="304" spans="1:242" hidden="1">
      <c r="A304" s="569"/>
      <c r="B304" s="1060" t="s">
        <v>692</v>
      </c>
      <c r="C304" s="629" t="s">
        <v>497</v>
      </c>
      <c r="D304" s="630"/>
      <c r="E304" s="631"/>
      <c r="F304" s="631"/>
      <c r="G304" s="631"/>
      <c r="H304" s="631"/>
      <c r="I304" s="631"/>
      <c r="J304" s="631"/>
      <c r="K304" s="631"/>
      <c r="L304" s="631"/>
      <c r="M304" s="631"/>
      <c r="N304" s="631"/>
      <c r="O304" s="631"/>
      <c r="P304" s="631"/>
      <c r="Q304" s="631"/>
      <c r="R304" s="631"/>
      <c r="S304" s="631"/>
      <c r="T304" s="631"/>
      <c r="U304" s="631"/>
      <c r="V304" s="631"/>
      <c r="W304" s="631"/>
      <c r="X304" s="631"/>
      <c r="Y304" s="631"/>
      <c r="Z304" s="631"/>
      <c r="AA304" s="631"/>
      <c r="AB304" s="631"/>
      <c r="AC304" s="631"/>
      <c r="AD304" s="631"/>
      <c r="AE304" s="631"/>
      <c r="AF304" s="631"/>
      <c r="AG304" s="631"/>
      <c r="AH304" s="631"/>
      <c r="AI304" s="631"/>
      <c r="AJ304" s="631"/>
      <c r="AK304" s="631"/>
      <c r="AL304" s="631"/>
      <c r="AM304" s="631"/>
      <c r="AN304" s="631"/>
      <c r="AO304" s="631"/>
      <c r="AP304" s="631"/>
      <c r="AQ304" s="631"/>
      <c r="AR304" s="631"/>
      <c r="AS304" s="631"/>
      <c r="AT304" s="631"/>
      <c r="AU304" s="631"/>
      <c r="AV304" s="631"/>
      <c r="AW304" s="631"/>
      <c r="AX304" s="631"/>
      <c r="AY304" s="631"/>
      <c r="AZ304" s="631"/>
      <c r="BA304" s="631"/>
      <c r="BB304" s="632"/>
    </row>
    <row r="305" spans="1:54" hidden="1">
      <c r="A305" s="569"/>
      <c r="B305" s="1061"/>
      <c r="C305" s="633" t="s">
        <v>498</v>
      </c>
      <c r="D305" s="634"/>
      <c r="E305" s="581"/>
      <c r="F305" s="581"/>
      <c r="G305" s="581"/>
      <c r="H305" s="581"/>
      <c r="I305" s="581"/>
      <c r="J305" s="581"/>
      <c r="K305" s="581"/>
      <c r="L305" s="581"/>
      <c r="M305" s="581"/>
      <c r="N305" s="581"/>
      <c r="O305" s="581"/>
      <c r="P305" s="581"/>
      <c r="Q305" s="581"/>
      <c r="R305" s="581"/>
      <c r="S305" s="581"/>
      <c r="T305" s="581"/>
      <c r="U305" s="581"/>
      <c r="V305" s="581"/>
      <c r="W305" s="581"/>
      <c r="X305" s="581"/>
      <c r="Y305" s="581"/>
      <c r="Z305" s="581"/>
      <c r="AA305" s="581"/>
      <c r="AB305" s="581"/>
      <c r="AC305" s="581"/>
      <c r="AD305" s="581"/>
      <c r="AE305" s="581"/>
      <c r="AF305" s="581"/>
      <c r="AG305" s="581"/>
      <c r="AH305" s="581"/>
      <c r="AI305" s="581"/>
      <c r="AJ305" s="581"/>
      <c r="AK305" s="581"/>
      <c r="AL305" s="581"/>
      <c r="AM305" s="581"/>
      <c r="AN305" s="581"/>
      <c r="AO305" s="581"/>
      <c r="AP305" s="581"/>
      <c r="AQ305" s="581"/>
      <c r="AR305" s="581"/>
      <c r="AS305" s="581"/>
      <c r="AT305" s="581"/>
      <c r="AU305" s="581"/>
      <c r="AV305" s="581"/>
      <c r="AW305" s="581"/>
      <c r="AX305" s="581"/>
      <c r="AY305" s="581"/>
      <c r="AZ305" s="581"/>
      <c r="BA305" s="581"/>
      <c r="BB305" s="635"/>
    </row>
    <row r="306" spans="1:54" hidden="1">
      <c r="A306" s="569"/>
      <c r="B306" s="1061"/>
      <c r="C306" s="633" t="s">
        <v>499</v>
      </c>
      <c r="D306" s="634"/>
      <c r="E306" s="581"/>
      <c r="F306" s="581"/>
      <c r="G306" s="581"/>
      <c r="H306" s="581"/>
      <c r="I306" s="581"/>
      <c r="J306" s="581"/>
      <c r="K306" s="581"/>
      <c r="L306" s="581"/>
      <c r="M306" s="581"/>
      <c r="N306" s="581"/>
      <c r="O306" s="581"/>
      <c r="P306" s="581"/>
      <c r="Q306" s="581"/>
      <c r="R306" s="581"/>
      <c r="S306" s="581"/>
      <c r="T306" s="581"/>
      <c r="U306" s="581"/>
      <c r="V306" s="581"/>
      <c r="W306" s="581"/>
      <c r="X306" s="581"/>
      <c r="Y306" s="581"/>
      <c r="Z306" s="581"/>
      <c r="AA306" s="581"/>
      <c r="AB306" s="581"/>
      <c r="AC306" s="581"/>
      <c r="AD306" s="581"/>
      <c r="AE306" s="581"/>
      <c r="AF306" s="581"/>
      <c r="AG306" s="581"/>
      <c r="AH306" s="581"/>
      <c r="AI306" s="581"/>
      <c r="AJ306" s="581"/>
      <c r="AK306" s="581"/>
      <c r="AL306" s="581"/>
      <c r="AM306" s="581"/>
      <c r="AN306" s="581"/>
      <c r="AO306" s="581"/>
      <c r="AP306" s="581"/>
      <c r="AQ306" s="581"/>
      <c r="AR306" s="581"/>
      <c r="AS306" s="581"/>
      <c r="AT306" s="581"/>
      <c r="AU306" s="581"/>
      <c r="AV306" s="581"/>
      <c r="AW306" s="581"/>
      <c r="AX306" s="581"/>
      <c r="AY306" s="581"/>
      <c r="AZ306" s="581"/>
      <c r="BA306" s="581"/>
      <c r="BB306" s="635"/>
    </row>
    <row r="307" spans="1:54" ht="18.600000000000001" hidden="1" thickBot="1">
      <c r="A307" s="569"/>
      <c r="B307" s="1062"/>
      <c r="C307" s="636" t="s">
        <v>500</v>
      </c>
      <c r="D307" s="639"/>
      <c r="E307" s="637"/>
      <c r="F307" s="637"/>
      <c r="G307" s="637"/>
      <c r="H307" s="637"/>
      <c r="I307" s="637"/>
      <c r="J307" s="637"/>
      <c r="K307" s="637"/>
      <c r="L307" s="637"/>
      <c r="M307" s="637"/>
      <c r="N307" s="637"/>
      <c r="O307" s="637"/>
      <c r="P307" s="637"/>
      <c r="Q307" s="637"/>
      <c r="R307" s="637"/>
      <c r="S307" s="637"/>
      <c r="T307" s="637"/>
      <c r="U307" s="637"/>
      <c r="V307" s="637"/>
      <c r="W307" s="637"/>
      <c r="X307" s="637"/>
      <c r="Y307" s="637"/>
      <c r="Z307" s="637"/>
      <c r="AA307" s="637"/>
      <c r="AB307" s="637"/>
      <c r="AC307" s="637"/>
      <c r="AD307" s="637"/>
      <c r="AE307" s="637"/>
      <c r="AF307" s="637"/>
      <c r="AG307" s="637"/>
      <c r="AH307" s="637"/>
      <c r="AI307" s="637"/>
      <c r="AJ307" s="637"/>
      <c r="AK307" s="637"/>
      <c r="AL307" s="637"/>
      <c r="AM307" s="637"/>
      <c r="AN307" s="637"/>
      <c r="AO307" s="637"/>
      <c r="AP307" s="637"/>
      <c r="AQ307" s="637"/>
      <c r="AR307" s="637"/>
      <c r="AS307" s="637"/>
      <c r="AT307" s="637"/>
      <c r="AU307" s="637"/>
      <c r="AV307" s="637"/>
      <c r="AW307" s="637"/>
      <c r="AX307" s="637"/>
      <c r="AY307" s="637"/>
      <c r="AZ307" s="637"/>
      <c r="BA307" s="637"/>
      <c r="BB307" s="638"/>
    </row>
    <row r="308" spans="1:54" hidden="1">
      <c r="A308" s="569"/>
      <c r="B308" s="1060" t="s">
        <v>693</v>
      </c>
      <c r="C308" s="629" t="s">
        <v>497</v>
      </c>
      <c r="D308" s="640"/>
      <c r="E308" s="631" t="str">
        <f ca="1">IF(AND($HE$10="",$HG$10=""),IF(AND(E300="",E252&lt;&gt;""),"&lt;"&amp;E312&amp;"&gt;要入力",IF(OR(E300=E304,E300="",E304=""),"","&lt;"&amp;E312&amp;"&gt;要修正("&amp;E300&amp;"→"&amp;E304&amp;")")),"")</f>
        <v/>
      </c>
      <c r="F308" s="631" t="str">
        <f t="shared" ref="F308:BB308" ca="1" si="165">IF(AND($HE$10="",$HG$10=""),IF(AND(F300="",F252&lt;&gt;""),"&lt;"&amp;F312&amp;"&gt;要入力",IF(OR(F300=F304,F300="",F304=""),"","&lt;"&amp;F312&amp;"&gt;要修正("&amp;F300&amp;"→"&amp;F304&amp;")")),"")</f>
        <v/>
      </c>
      <c r="G308" s="631" t="str">
        <f t="shared" ca="1" si="165"/>
        <v/>
      </c>
      <c r="H308" s="631" t="str">
        <f t="shared" ca="1" si="165"/>
        <v/>
      </c>
      <c r="I308" s="631" t="str">
        <f t="shared" ca="1" si="165"/>
        <v/>
      </c>
      <c r="J308" s="631" t="str">
        <f t="shared" ca="1" si="165"/>
        <v/>
      </c>
      <c r="K308" s="631" t="str">
        <f t="shared" ca="1" si="165"/>
        <v/>
      </c>
      <c r="L308" s="631" t="str">
        <f t="shared" ca="1" si="165"/>
        <v/>
      </c>
      <c r="M308" s="631" t="str">
        <f t="shared" ca="1" si="165"/>
        <v/>
      </c>
      <c r="N308" s="631" t="str">
        <f t="shared" ca="1" si="165"/>
        <v/>
      </c>
      <c r="O308" s="631" t="str">
        <f t="shared" ca="1" si="165"/>
        <v/>
      </c>
      <c r="P308" s="631" t="str">
        <f t="shared" ca="1" si="165"/>
        <v/>
      </c>
      <c r="Q308" s="631" t="str">
        <f t="shared" ca="1" si="165"/>
        <v/>
      </c>
      <c r="R308" s="631" t="str">
        <f t="shared" ca="1" si="165"/>
        <v/>
      </c>
      <c r="S308" s="631" t="str">
        <f t="shared" ca="1" si="165"/>
        <v/>
      </c>
      <c r="T308" s="631" t="str">
        <f t="shared" ca="1" si="165"/>
        <v/>
      </c>
      <c r="U308" s="631" t="str">
        <f t="shared" ca="1" si="165"/>
        <v/>
      </c>
      <c r="V308" s="631" t="str">
        <f t="shared" ca="1" si="165"/>
        <v/>
      </c>
      <c r="W308" s="631" t="str">
        <f t="shared" ca="1" si="165"/>
        <v/>
      </c>
      <c r="X308" s="631" t="str">
        <f t="shared" ca="1" si="165"/>
        <v/>
      </c>
      <c r="Y308" s="631" t="str">
        <f t="shared" ca="1" si="165"/>
        <v/>
      </c>
      <c r="Z308" s="631" t="str">
        <f t="shared" ca="1" si="165"/>
        <v/>
      </c>
      <c r="AA308" s="631" t="str">
        <f t="shared" ca="1" si="165"/>
        <v/>
      </c>
      <c r="AB308" s="631" t="str">
        <f t="shared" ca="1" si="165"/>
        <v/>
      </c>
      <c r="AC308" s="631" t="str">
        <f t="shared" ca="1" si="165"/>
        <v/>
      </c>
      <c r="AD308" s="631" t="str">
        <f t="shared" ca="1" si="165"/>
        <v/>
      </c>
      <c r="AE308" s="631" t="str">
        <f t="shared" ca="1" si="165"/>
        <v/>
      </c>
      <c r="AF308" s="631" t="str">
        <f t="shared" ca="1" si="165"/>
        <v/>
      </c>
      <c r="AG308" s="631" t="str">
        <f t="shared" ca="1" si="165"/>
        <v/>
      </c>
      <c r="AH308" s="631" t="str">
        <f t="shared" ca="1" si="165"/>
        <v/>
      </c>
      <c r="AI308" s="631" t="str">
        <f t="shared" ca="1" si="165"/>
        <v/>
      </c>
      <c r="AJ308" s="631" t="str">
        <f t="shared" ca="1" si="165"/>
        <v/>
      </c>
      <c r="AK308" s="631" t="str">
        <f t="shared" ca="1" si="165"/>
        <v/>
      </c>
      <c r="AL308" s="631" t="str">
        <f t="shared" ca="1" si="165"/>
        <v/>
      </c>
      <c r="AM308" s="631" t="str">
        <f t="shared" ca="1" si="165"/>
        <v/>
      </c>
      <c r="AN308" s="631" t="str">
        <f t="shared" ca="1" si="165"/>
        <v/>
      </c>
      <c r="AO308" s="631" t="str">
        <f t="shared" ca="1" si="165"/>
        <v/>
      </c>
      <c r="AP308" s="631" t="str">
        <f t="shared" ca="1" si="165"/>
        <v/>
      </c>
      <c r="AQ308" s="631" t="str">
        <f t="shared" ca="1" si="165"/>
        <v/>
      </c>
      <c r="AR308" s="631" t="str">
        <f t="shared" ca="1" si="165"/>
        <v/>
      </c>
      <c r="AS308" s="631" t="str">
        <f t="shared" ca="1" si="165"/>
        <v/>
      </c>
      <c r="AT308" s="631" t="str">
        <f t="shared" ca="1" si="165"/>
        <v/>
      </c>
      <c r="AU308" s="631" t="str">
        <f t="shared" ca="1" si="165"/>
        <v/>
      </c>
      <c r="AV308" s="631" t="str">
        <f t="shared" ca="1" si="165"/>
        <v/>
      </c>
      <c r="AW308" s="631" t="str">
        <f t="shared" ca="1" si="165"/>
        <v/>
      </c>
      <c r="AX308" s="631" t="str">
        <f t="shared" ca="1" si="165"/>
        <v/>
      </c>
      <c r="AY308" s="631" t="str">
        <f t="shared" ca="1" si="165"/>
        <v/>
      </c>
      <c r="AZ308" s="631" t="str">
        <f t="shared" ca="1" si="165"/>
        <v/>
      </c>
      <c r="BA308" s="631" t="str">
        <f t="shared" ca="1" si="165"/>
        <v/>
      </c>
      <c r="BB308" s="632" t="str">
        <f t="shared" ca="1" si="165"/>
        <v/>
      </c>
    </row>
    <row r="309" spans="1:54" hidden="1">
      <c r="A309" s="569"/>
      <c r="B309" s="1061"/>
      <c r="C309" s="633" t="s">
        <v>498</v>
      </c>
      <c r="D309" s="641"/>
      <c r="E309" s="581" t="str">
        <f ca="1">IF(AND($HE$10="",$HG$10=""),IF(AND(E301="",E264&lt;&gt;""),"&lt;"&amp;E313&amp;"&gt;要入力",IF(OR(E301=E305,E301="",E305=""),"","&lt;"&amp;E313&amp;"&gt;要修正("&amp;E301&amp;"→"&amp;E305&amp;")")),"")</f>
        <v/>
      </c>
      <c r="F309" s="581" t="str">
        <f t="shared" ref="F309:BB309" ca="1" si="166">IF(AND($HE$10="",$HG$10=""),IF(AND(F301="",F264&lt;&gt;""),"&lt;"&amp;F313&amp;"&gt;要入力",IF(OR(F301=F305,F301="",F305=""),"","&lt;"&amp;F313&amp;"&gt;要修正("&amp;F301&amp;"→"&amp;F305&amp;")")),"")</f>
        <v/>
      </c>
      <c r="G309" s="581" t="str">
        <f t="shared" ca="1" si="166"/>
        <v/>
      </c>
      <c r="H309" s="581" t="str">
        <f t="shared" ca="1" si="166"/>
        <v/>
      </c>
      <c r="I309" s="581" t="str">
        <f t="shared" ca="1" si="166"/>
        <v/>
      </c>
      <c r="J309" s="581" t="str">
        <f t="shared" ca="1" si="166"/>
        <v/>
      </c>
      <c r="K309" s="581" t="str">
        <f t="shared" ca="1" si="166"/>
        <v/>
      </c>
      <c r="L309" s="581" t="str">
        <f t="shared" ca="1" si="166"/>
        <v/>
      </c>
      <c r="M309" s="581" t="str">
        <f t="shared" ca="1" si="166"/>
        <v/>
      </c>
      <c r="N309" s="581" t="str">
        <f t="shared" ca="1" si="166"/>
        <v/>
      </c>
      <c r="O309" s="581" t="str">
        <f t="shared" ca="1" si="166"/>
        <v/>
      </c>
      <c r="P309" s="581" t="str">
        <f t="shared" ca="1" si="166"/>
        <v/>
      </c>
      <c r="Q309" s="581" t="str">
        <f t="shared" ca="1" si="166"/>
        <v/>
      </c>
      <c r="R309" s="581" t="str">
        <f t="shared" ca="1" si="166"/>
        <v/>
      </c>
      <c r="S309" s="581" t="str">
        <f t="shared" ca="1" si="166"/>
        <v/>
      </c>
      <c r="T309" s="581" t="str">
        <f t="shared" ca="1" si="166"/>
        <v/>
      </c>
      <c r="U309" s="581" t="str">
        <f t="shared" ca="1" si="166"/>
        <v/>
      </c>
      <c r="V309" s="581" t="str">
        <f t="shared" ca="1" si="166"/>
        <v/>
      </c>
      <c r="W309" s="581" t="str">
        <f t="shared" ca="1" si="166"/>
        <v/>
      </c>
      <c r="X309" s="581" t="str">
        <f t="shared" ca="1" si="166"/>
        <v/>
      </c>
      <c r="Y309" s="581" t="str">
        <f t="shared" ca="1" si="166"/>
        <v/>
      </c>
      <c r="Z309" s="581" t="str">
        <f t="shared" ca="1" si="166"/>
        <v/>
      </c>
      <c r="AA309" s="581" t="str">
        <f t="shared" ca="1" si="166"/>
        <v/>
      </c>
      <c r="AB309" s="581" t="str">
        <f t="shared" ca="1" si="166"/>
        <v/>
      </c>
      <c r="AC309" s="581" t="str">
        <f t="shared" ca="1" si="166"/>
        <v/>
      </c>
      <c r="AD309" s="581" t="str">
        <f t="shared" ca="1" si="166"/>
        <v/>
      </c>
      <c r="AE309" s="581" t="str">
        <f t="shared" ca="1" si="166"/>
        <v/>
      </c>
      <c r="AF309" s="581" t="str">
        <f t="shared" ca="1" si="166"/>
        <v/>
      </c>
      <c r="AG309" s="581" t="str">
        <f t="shared" ca="1" si="166"/>
        <v/>
      </c>
      <c r="AH309" s="581" t="str">
        <f t="shared" ca="1" si="166"/>
        <v/>
      </c>
      <c r="AI309" s="581" t="str">
        <f t="shared" ca="1" si="166"/>
        <v/>
      </c>
      <c r="AJ309" s="581" t="str">
        <f t="shared" ca="1" si="166"/>
        <v/>
      </c>
      <c r="AK309" s="581" t="str">
        <f t="shared" ca="1" si="166"/>
        <v/>
      </c>
      <c r="AL309" s="581" t="str">
        <f t="shared" ca="1" si="166"/>
        <v/>
      </c>
      <c r="AM309" s="581" t="str">
        <f t="shared" ca="1" si="166"/>
        <v/>
      </c>
      <c r="AN309" s="581" t="str">
        <f t="shared" ca="1" si="166"/>
        <v/>
      </c>
      <c r="AO309" s="581" t="str">
        <f t="shared" ca="1" si="166"/>
        <v/>
      </c>
      <c r="AP309" s="581" t="str">
        <f t="shared" ca="1" si="166"/>
        <v/>
      </c>
      <c r="AQ309" s="581" t="str">
        <f t="shared" ca="1" si="166"/>
        <v/>
      </c>
      <c r="AR309" s="581" t="str">
        <f t="shared" ca="1" si="166"/>
        <v/>
      </c>
      <c r="AS309" s="581" t="str">
        <f t="shared" ca="1" si="166"/>
        <v/>
      </c>
      <c r="AT309" s="581" t="str">
        <f t="shared" ca="1" si="166"/>
        <v/>
      </c>
      <c r="AU309" s="581" t="str">
        <f t="shared" ca="1" si="166"/>
        <v/>
      </c>
      <c r="AV309" s="581" t="str">
        <f t="shared" ca="1" si="166"/>
        <v/>
      </c>
      <c r="AW309" s="581" t="str">
        <f t="shared" ca="1" si="166"/>
        <v/>
      </c>
      <c r="AX309" s="581" t="str">
        <f t="shared" ca="1" si="166"/>
        <v/>
      </c>
      <c r="AY309" s="581" t="str">
        <f t="shared" ca="1" si="166"/>
        <v/>
      </c>
      <c r="AZ309" s="581" t="str">
        <f t="shared" ca="1" si="166"/>
        <v/>
      </c>
      <c r="BA309" s="581" t="str">
        <f t="shared" ca="1" si="166"/>
        <v/>
      </c>
      <c r="BB309" s="635" t="str">
        <f t="shared" ca="1" si="166"/>
        <v/>
      </c>
    </row>
    <row r="310" spans="1:54" hidden="1">
      <c r="A310" s="569"/>
      <c r="B310" s="1061"/>
      <c r="C310" s="633" t="s">
        <v>499</v>
      </c>
      <c r="D310" s="641"/>
      <c r="E310" s="581" t="str">
        <f ca="1">IF(AND($HE$10="",$HG$10=""),IF(AND(E302="",E276&lt;&gt;""),"&lt;"&amp;E314&amp;"&gt;要入力",IF(OR(E302=E306,E302="",E306=""),"","&lt;"&amp;E314&amp;"&gt;要修正("&amp;E302&amp;"→"&amp;E306&amp;")")),"")</f>
        <v/>
      </c>
      <c r="F310" s="581" t="str">
        <f t="shared" ref="F310:BB310" ca="1" si="167">IF(AND($HE$10="",$HG$10=""),IF(AND(F302="",F276&lt;&gt;""),"&lt;"&amp;F314&amp;"&gt;要入力",IF(OR(F302=F306,F302="",F306=""),"","&lt;"&amp;F314&amp;"&gt;要修正("&amp;F302&amp;"→"&amp;F306&amp;")")),"")</f>
        <v/>
      </c>
      <c r="G310" s="581" t="str">
        <f t="shared" ca="1" si="167"/>
        <v/>
      </c>
      <c r="H310" s="581" t="str">
        <f t="shared" ca="1" si="167"/>
        <v/>
      </c>
      <c r="I310" s="581" t="str">
        <f t="shared" ca="1" si="167"/>
        <v/>
      </c>
      <c r="J310" s="581" t="str">
        <f t="shared" ca="1" si="167"/>
        <v/>
      </c>
      <c r="K310" s="581" t="str">
        <f t="shared" ca="1" si="167"/>
        <v/>
      </c>
      <c r="L310" s="581" t="str">
        <f t="shared" ca="1" si="167"/>
        <v/>
      </c>
      <c r="M310" s="581" t="str">
        <f t="shared" ca="1" si="167"/>
        <v/>
      </c>
      <c r="N310" s="581" t="str">
        <f t="shared" ca="1" si="167"/>
        <v/>
      </c>
      <c r="O310" s="581" t="str">
        <f t="shared" ca="1" si="167"/>
        <v/>
      </c>
      <c r="P310" s="581" t="str">
        <f t="shared" ca="1" si="167"/>
        <v/>
      </c>
      <c r="Q310" s="581" t="str">
        <f t="shared" ca="1" si="167"/>
        <v/>
      </c>
      <c r="R310" s="581" t="str">
        <f t="shared" ca="1" si="167"/>
        <v/>
      </c>
      <c r="S310" s="581" t="str">
        <f t="shared" ca="1" si="167"/>
        <v/>
      </c>
      <c r="T310" s="581" t="str">
        <f t="shared" ca="1" si="167"/>
        <v/>
      </c>
      <c r="U310" s="581" t="str">
        <f t="shared" ca="1" si="167"/>
        <v/>
      </c>
      <c r="V310" s="581" t="str">
        <f t="shared" ca="1" si="167"/>
        <v/>
      </c>
      <c r="W310" s="581" t="str">
        <f t="shared" ca="1" si="167"/>
        <v/>
      </c>
      <c r="X310" s="581" t="str">
        <f t="shared" ca="1" si="167"/>
        <v/>
      </c>
      <c r="Y310" s="581" t="str">
        <f t="shared" ca="1" si="167"/>
        <v/>
      </c>
      <c r="Z310" s="581" t="str">
        <f t="shared" ca="1" si="167"/>
        <v/>
      </c>
      <c r="AA310" s="581" t="str">
        <f t="shared" ca="1" si="167"/>
        <v/>
      </c>
      <c r="AB310" s="581" t="str">
        <f t="shared" ca="1" si="167"/>
        <v/>
      </c>
      <c r="AC310" s="581" t="str">
        <f t="shared" ca="1" si="167"/>
        <v/>
      </c>
      <c r="AD310" s="581" t="str">
        <f t="shared" ca="1" si="167"/>
        <v/>
      </c>
      <c r="AE310" s="581" t="str">
        <f t="shared" ca="1" si="167"/>
        <v/>
      </c>
      <c r="AF310" s="581" t="str">
        <f t="shared" ca="1" si="167"/>
        <v/>
      </c>
      <c r="AG310" s="581" t="str">
        <f t="shared" ca="1" si="167"/>
        <v/>
      </c>
      <c r="AH310" s="581" t="str">
        <f t="shared" ca="1" si="167"/>
        <v/>
      </c>
      <c r="AI310" s="581" t="str">
        <f t="shared" ca="1" si="167"/>
        <v/>
      </c>
      <c r="AJ310" s="581" t="str">
        <f t="shared" ca="1" si="167"/>
        <v/>
      </c>
      <c r="AK310" s="581" t="str">
        <f t="shared" ca="1" si="167"/>
        <v/>
      </c>
      <c r="AL310" s="581" t="str">
        <f t="shared" ca="1" si="167"/>
        <v/>
      </c>
      <c r="AM310" s="581" t="str">
        <f t="shared" ca="1" si="167"/>
        <v/>
      </c>
      <c r="AN310" s="581" t="str">
        <f t="shared" ca="1" si="167"/>
        <v/>
      </c>
      <c r="AO310" s="581" t="str">
        <f t="shared" ca="1" si="167"/>
        <v/>
      </c>
      <c r="AP310" s="581" t="str">
        <f t="shared" ca="1" si="167"/>
        <v/>
      </c>
      <c r="AQ310" s="581" t="str">
        <f t="shared" ca="1" si="167"/>
        <v/>
      </c>
      <c r="AR310" s="581" t="str">
        <f t="shared" ca="1" si="167"/>
        <v/>
      </c>
      <c r="AS310" s="581" t="str">
        <f t="shared" ca="1" si="167"/>
        <v/>
      </c>
      <c r="AT310" s="581" t="str">
        <f t="shared" ca="1" si="167"/>
        <v/>
      </c>
      <c r="AU310" s="581" t="str">
        <f t="shared" ca="1" si="167"/>
        <v/>
      </c>
      <c r="AV310" s="581" t="str">
        <f t="shared" ca="1" si="167"/>
        <v/>
      </c>
      <c r="AW310" s="581" t="str">
        <f t="shared" ca="1" si="167"/>
        <v/>
      </c>
      <c r="AX310" s="581" t="str">
        <f t="shared" ca="1" si="167"/>
        <v/>
      </c>
      <c r="AY310" s="581" t="str">
        <f t="shared" ca="1" si="167"/>
        <v/>
      </c>
      <c r="AZ310" s="581" t="str">
        <f t="shared" ca="1" si="167"/>
        <v/>
      </c>
      <c r="BA310" s="581" t="str">
        <f t="shared" ca="1" si="167"/>
        <v/>
      </c>
      <c r="BB310" s="635" t="str">
        <f t="shared" ca="1" si="167"/>
        <v/>
      </c>
    </row>
    <row r="311" spans="1:54" ht="18.600000000000001" hidden="1" thickBot="1">
      <c r="A311" s="569"/>
      <c r="B311" s="1062"/>
      <c r="C311" s="636" t="s">
        <v>500</v>
      </c>
      <c r="D311" s="642"/>
      <c r="E311" s="637" t="str">
        <f ca="1">IF(AND($HE$10="",$HG$10=""),IF(AND(E303="",E288&lt;&gt;""),"&lt;"&amp;E315&amp;"&gt;要入力",IF(OR(E303=E307,E303="",E307=""),"","&lt;"&amp;E315&amp;"&gt;要修正("&amp;E303&amp;"→"&amp;E307&amp;")")),"")</f>
        <v/>
      </c>
      <c r="F311" s="637" t="str">
        <f t="shared" ref="F311:BB311" ca="1" si="168">IF(AND($HE$10="",$HG$10=""),IF(AND(F303="",F288&lt;&gt;""),"&lt;"&amp;F315&amp;"&gt;要入力",IF(OR(F303=F307,F303="",F307=""),"","&lt;"&amp;F315&amp;"&gt;要修正("&amp;F303&amp;"→"&amp;F307&amp;")")),"")</f>
        <v/>
      </c>
      <c r="G311" s="637" t="str">
        <f t="shared" ca="1" si="168"/>
        <v/>
      </c>
      <c r="H311" s="637" t="str">
        <f t="shared" ca="1" si="168"/>
        <v/>
      </c>
      <c r="I311" s="637" t="str">
        <f t="shared" ca="1" si="168"/>
        <v/>
      </c>
      <c r="J311" s="637" t="str">
        <f t="shared" ca="1" si="168"/>
        <v/>
      </c>
      <c r="K311" s="637" t="str">
        <f t="shared" ca="1" si="168"/>
        <v/>
      </c>
      <c r="L311" s="637" t="str">
        <f t="shared" ca="1" si="168"/>
        <v/>
      </c>
      <c r="M311" s="637" t="str">
        <f t="shared" ca="1" si="168"/>
        <v/>
      </c>
      <c r="N311" s="637" t="str">
        <f t="shared" ca="1" si="168"/>
        <v/>
      </c>
      <c r="O311" s="637" t="str">
        <f t="shared" ca="1" si="168"/>
        <v/>
      </c>
      <c r="P311" s="637" t="str">
        <f t="shared" ca="1" si="168"/>
        <v/>
      </c>
      <c r="Q311" s="637" t="str">
        <f t="shared" ca="1" si="168"/>
        <v/>
      </c>
      <c r="R311" s="637" t="str">
        <f t="shared" ca="1" si="168"/>
        <v/>
      </c>
      <c r="S311" s="637" t="str">
        <f t="shared" ca="1" si="168"/>
        <v/>
      </c>
      <c r="T311" s="637" t="str">
        <f t="shared" ca="1" si="168"/>
        <v/>
      </c>
      <c r="U311" s="637" t="str">
        <f t="shared" ca="1" si="168"/>
        <v/>
      </c>
      <c r="V311" s="637" t="str">
        <f t="shared" ca="1" si="168"/>
        <v/>
      </c>
      <c r="W311" s="637" t="str">
        <f t="shared" ca="1" si="168"/>
        <v/>
      </c>
      <c r="X311" s="637" t="str">
        <f t="shared" ca="1" si="168"/>
        <v/>
      </c>
      <c r="Y311" s="637" t="str">
        <f t="shared" ca="1" si="168"/>
        <v/>
      </c>
      <c r="Z311" s="637" t="str">
        <f t="shared" ca="1" si="168"/>
        <v/>
      </c>
      <c r="AA311" s="637" t="str">
        <f t="shared" ca="1" si="168"/>
        <v/>
      </c>
      <c r="AB311" s="637" t="str">
        <f t="shared" ca="1" si="168"/>
        <v/>
      </c>
      <c r="AC311" s="637" t="str">
        <f t="shared" ca="1" si="168"/>
        <v/>
      </c>
      <c r="AD311" s="637" t="str">
        <f t="shared" ca="1" si="168"/>
        <v/>
      </c>
      <c r="AE311" s="637" t="str">
        <f t="shared" ca="1" si="168"/>
        <v/>
      </c>
      <c r="AF311" s="637" t="str">
        <f t="shared" ca="1" si="168"/>
        <v/>
      </c>
      <c r="AG311" s="637" t="str">
        <f t="shared" ca="1" si="168"/>
        <v/>
      </c>
      <c r="AH311" s="637" t="str">
        <f t="shared" ca="1" si="168"/>
        <v/>
      </c>
      <c r="AI311" s="637" t="str">
        <f t="shared" ca="1" si="168"/>
        <v/>
      </c>
      <c r="AJ311" s="637" t="str">
        <f t="shared" ca="1" si="168"/>
        <v/>
      </c>
      <c r="AK311" s="637" t="str">
        <f t="shared" ca="1" si="168"/>
        <v/>
      </c>
      <c r="AL311" s="637" t="str">
        <f t="shared" ca="1" si="168"/>
        <v/>
      </c>
      <c r="AM311" s="637" t="str">
        <f t="shared" ca="1" si="168"/>
        <v/>
      </c>
      <c r="AN311" s="637" t="str">
        <f t="shared" ca="1" si="168"/>
        <v/>
      </c>
      <c r="AO311" s="637" t="str">
        <f t="shared" ca="1" si="168"/>
        <v/>
      </c>
      <c r="AP311" s="637" t="str">
        <f t="shared" ca="1" si="168"/>
        <v/>
      </c>
      <c r="AQ311" s="637" t="str">
        <f t="shared" ca="1" si="168"/>
        <v/>
      </c>
      <c r="AR311" s="637" t="str">
        <f t="shared" ca="1" si="168"/>
        <v/>
      </c>
      <c r="AS311" s="637" t="str">
        <f t="shared" ca="1" si="168"/>
        <v/>
      </c>
      <c r="AT311" s="637" t="str">
        <f t="shared" ca="1" si="168"/>
        <v/>
      </c>
      <c r="AU311" s="637" t="str">
        <f t="shared" ca="1" si="168"/>
        <v/>
      </c>
      <c r="AV311" s="637" t="str">
        <f t="shared" ca="1" si="168"/>
        <v/>
      </c>
      <c r="AW311" s="637" t="str">
        <f t="shared" ca="1" si="168"/>
        <v/>
      </c>
      <c r="AX311" s="637" t="str">
        <f t="shared" ca="1" si="168"/>
        <v/>
      </c>
      <c r="AY311" s="637" t="str">
        <f t="shared" ca="1" si="168"/>
        <v/>
      </c>
      <c r="AZ311" s="637" t="str">
        <f t="shared" ca="1" si="168"/>
        <v/>
      </c>
      <c r="BA311" s="637" t="str">
        <f t="shared" ca="1" si="168"/>
        <v/>
      </c>
      <c r="BB311" s="638" t="str">
        <f t="shared" ca="1" si="168"/>
        <v/>
      </c>
    </row>
    <row r="312" spans="1:54" ht="14.25" hidden="1" customHeight="1">
      <c r="B312" s="1060" t="s">
        <v>694</v>
      </c>
      <c r="C312" s="629" t="s">
        <v>497</v>
      </c>
      <c r="D312" s="640"/>
      <c r="E312" s="631" t="str">
        <f t="shared" ref="E312:AJ312" ca="1" si="169">IFERROR(ADDRESS(ROW(貼付け_2024実績)+99,E253+COLUMN(貼付け_2024実績),4),"")</f>
        <v/>
      </c>
      <c r="F312" s="631" t="str">
        <f t="shared" ca="1" si="169"/>
        <v/>
      </c>
      <c r="G312" s="631" t="str">
        <f t="shared" ca="1" si="169"/>
        <v/>
      </c>
      <c r="H312" s="631" t="str">
        <f t="shared" ca="1" si="169"/>
        <v/>
      </c>
      <c r="I312" s="631" t="str">
        <f t="shared" ca="1" si="169"/>
        <v/>
      </c>
      <c r="J312" s="631" t="str">
        <f t="shared" ca="1" si="169"/>
        <v/>
      </c>
      <c r="K312" s="631" t="str">
        <f t="shared" ca="1" si="169"/>
        <v/>
      </c>
      <c r="L312" s="631" t="str">
        <f t="shared" ca="1" si="169"/>
        <v/>
      </c>
      <c r="M312" s="631" t="str">
        <f t="shared" ca="1" si="169"/>
        <v/>
      </c>
      <c r="N312" s="631" t="str">
        <f t="shared" ca="1" si="169"/>
        <v/>
      </c>
      <c r="O312" s="631" t="str">
        <f t="shared" ca="1" si="169"/>
        <v/>
      </c>
      <c r="P312" s="631" t="str">
        <f t="shared" ca="1" si="169"/>
        <v/>
      </c>
      <c r="Q312" s="631" t="str">
        <f t="shared" ca="1" si="169"/>
        <v/>
      </c>
      <c r="R312" s="631" t="str">
        <f t="shared" ca="1" si="169"/>
        <v/>
      </c>
      <c r="S312" s="631" t="str">
        <f t="shared" ca="1" si="169"/>
        <v/>
      </c>
      <c r="T312" s="631" t="str">
        <f t="shared" ca="1" si="169"/>
        <v/>
      </c>
      <c r="U312" s="631" t="str">
        <f t="shared" ca="1" si="169"/>
        <v/>
      </c>
      <c r="V312" s="631" t="str">
        <f t="shared" ca="1" si="169"/>
        <v/>
      </c>
      <c r="W312" s="631" t="str">
        <f t="shared" ca="1" si="169"/>
        <v/>
      </c>
      <c r="X312" s="631" t="str">
        <f t="shared" ca="1" si="169"/>
        <v/>
      </c>
      <c r="Y312" s="631" t="str">
        <f t="shared" ca="1" si="169"/>
        <v/>
      </c>
      <c r="Z312" s="631" t="str">
        <f t="shared" ca="1" si="169"/>
        <v/>
      </c>
      <c r="AA312" s="631" t="str">
        <f t="shared" ca="1" si="169"/>
        <v/>
      </c>
      <c r="AB312" s="631" t="str">
        <f t="shared" ca="1" si="169"/>
        <v/>
      </c>
      <c r="AC312" s="631" t="str">
        <f t="shared" ca="1" si="169"/>
        <v/>
      </c>
      <c r="AD312" s="631" t="str">
        <f t="shared" ca="1" si="169"/>
        <v/>
      </c>
      <c r="AE312" s="631" t="str">
        <f t="shared" ca="1" si="169"/>
        <v/>
      </c>
      <c r="AF312" s="631" t="str">
        <f t="shared" ca="1" si="169"/>
        <v/>
      </c>
      <c r="AG312" s="631" t="str">
        <f t="shared" ca="1" si="169"/>
        <v/>
      </c>
      <c r="AH312" s="631" t="str">
        <f t="shared" ca="1" si="169"/>
        <v/>
      </c>
      <c r="AI312" s="631" t="str">
        <f t="shared" ca="1" si="169"/>
        <v/>
      </c>
      <c r="AJ312" s="631" t="str">
        <f t="shared" ca="1" si="169"/>
        <v/>
      </c>
      <c r="AK312" s="631" t="str">
        <f t="shared" ref="AK312:BB312" ca="1" si="170">IFERROR(ADDRESS(ROW(貼付け_2024実績)+99,AK253+COLUMN(貼付け_2024実績),4),"")</f>
        <v/>
      </c>
      <c r="AL312" s="631" t="str">
        <f t="shared" ca="1" si="170"/>
        <v/>
      </c>
      <c r="AM312" s="631" t="str">
        <f t="shared" ca="1" si="170"/>
        <v/>
      </c>
      <c r="AN312" s="631" t="str">
        <f t="shared" ca="1" si="170"/>
        <v/>
      </c>
      <c r="AO312" s="631" t="str">
        <f t="shared" ca="1" si="170"/>
        <v/>
      </c>
      <c r="AP312" s="631" t="str">
        <f t="shared" ca="1" si="170"/>
        <v/>
      </c>
      <c r="AQ312" s="631" t="str">
        <f t="shared" ca="1" si="170"/>
        <v/>
      </c>
      <c r="AR312" s="631" t="str">
        <f t="shared" ca="1" si="170"/>
        <v/>
      </c>
      <c r="AS312" s="631" t="str">
        <f t="shared" ca="1" si="170"/>
        <v/>
      </c>
      <c r="AT312" s="631" t="str">
        <f t="shared" ca="1" si="170"/>
        <v/>
      </c>
      <c r="AU312" s="631" t="str">
        <f t="shared" ca="1" si="170"/>
        <v/>
      </c>
      <c r="AV312" s="631" t="str">
        <f t="shared" ca="1" si="170"/>
        <v/>
      </c>
      <c r="AW312" s="631" t="str">
        <f t="shared" ca="1" si="170"/>
        <v/>
      </c>
      <c r="AX312" s="631" t="str">
        <f t="shared" ca="1" si="170"/>
        <v/>
      </c>
      <c r="AY312" s="631" t="str">
        <f t="shared" ca="1" si="170"/>
        <v/>
      </c>
      <c r="AZ312" s="631" t="str">
        <f t="shared" ca="1" si="170"/>
        <v/>
      </c>
      <c r="BA312" s="631" t="str">
        <f t="shared" ca="1" si="170"/>
        <v/>
      </c>
      <c r="BB312" s="632" t="str">
        <f t="shared" ca="1" si="170"/>
        <v/>
      </c>
    </row>
    <row r="313" spans="1:54" hidden="1">
      <c r="B313" s="1061"/>
      <c r="C313" s="633" t="s">
        <v>498</v>
      </c>
      <c r="D313" s="641"/>
      <c r="E313" s="581" t="str">
        <f t="shared" ref="E313:AJ313" ca="1" si="171">IFERROR(ADDRESS(ROW(貼付け_2024実績)+99,E265+COLUMN(貼付け_2024実績),4),"")</f>
        <v/>
      </c>
      <c r="F313" s="581" t="str">
        <f t="shared" ca="1" si="171"/>
        <v/>
      </c>
      <c r="G313" s="581" t="str">
        <f t="shared" ca="1" si="171"/>
        <v/>
      </c>
      <c r="H313" s="581" t="str">
        <f t="shared" ca="1" si="171"/>
        <v/>
      </c>
      <c r="I313" s="581" t="str">
        <f t="shared" ca="1" si="171"/>
        <v/>
      </c>
      <c r="J313" s="581" t="str">
        <f t="shared" ca="1" si="171"/>
        <v/>
      </c>
      <c r="K313" s="581" t="str">
        <f t="shared" ca="1" si="171"/>
        <v/>
      </c>
      <c r="L313" s="581" t="str">
        <f t="shared" ca="1" si="171"/>
        <v/>
      </c>
      <c r="M313" s="581" t="str">
        <f t="shared" ca="1" si="171"/>
        <v/>
      </c>
      <c r="N313" s="581" t="str">
        <f t="shared" ca="1" si="171"/>
        <v/>
      </c>
      <c r="O313" s="581" t="str">
        <f t="shared" ca="1" si="171"/>
        <v/>
      </c>
      <c r="P313" s="581" t="str">
        <f t="shared" ca="1" si="171"/>
        <v/>
      </c>
      <c r="Q313" s="581" t="str">
        <f t="shared" ca="1" si="171"/>
        <v/>
      </c>
      <c r="R313" s="581" t="str">
        <f t="shared" ca="1" si="171"/>
        <v/>
      </c>
      <c r="S313" s="581" t="str">
        <f t="shared" ca="1" si="171"/>
        <v/>
      </c>
      <c r="T313" s="581" t="str">
        <f t="shared" ca="1" si="171"/>
        <v/>
      </c>
      <c r="U313" s="581" t="str">
        <f t="shared" ca="1" si="171"/>
        <v/>
      </c>
      <c r="V313" s="581" t="str">
        <f t="shared" ca="1" si="171"/>
        <v/>
      </c>
      <c r="W313" s="581" t="str">
        <f t="shared" ca="1" si="171"/>
        <v/>
      </c>
      <c r="X313" s="581" t="str">
        <f t="shared" ca="1" si="171"/>
        <v/>
      </c>
      <c r="Y313" s="581" t="str">
        <f t="shared" ca="1" si="171"/>
        <v/>
      </c>
      <c r="Z313" s="581" t="str">
        <f t="shared" ca="1" si="171"/>
        <v/>
      </c>
      <c r="AA313" s="581" t="str">
        <f t="shared" ca="1" si="171"/>
        <v/>
      </c>
      <c r="AB313" s="581" t="str">
        <f t="shared" ca="1" si="171"/>
        <v/>
      </c>
      <c r="AC313" s="581" t="str">
        <f t="shared" ca="1" si="171"/>
        <v/>
      </c>
      <c r="AD313" s="581" t="str">
        <f t="shared" ca="1" si="171"/>
        <v/>
      </c>
      <c r="AE313" s="581" t="str">
        <f t="shared" ca="1" si="171"/>
        <v/>
      </c>
      <c r="AF313" s="581" t="str">
        <f t="shared" ca="1" si="171"/>
        <v/>
      </c>
      <c r="AG313" s="581" t="str">
        <f t="shared" ca="1" si="171"/>
        <v/>
      </c>
      <c r="AH313" s="581" t="str">
        <f t="shared" ca="1" si="171"/>
        <v/>
      </c>
      <c r="AI313" s="581" t="str">
        <f t="shared" ca="1" si="171"/>
        <v/>
      </c>
      <c r="AJ313" s="581" t="str">
        <f t="shared" ca="1" si="171"/>
        <v/>
      </c>
      <c r="AK313" s="581" t="str">
        <f t="shared" ref="AK313:BB313" ca="1" si="172">IFERROR(ADDRESS(ROW(貼付け_2024実績)+99,AK265+COLUMN(貼付け_2024実績),4),"")</f>
        <v/>
      </c>
      <c r="AL313" s="581" t="str">
        <f t="shared" ca="1" si="172"/>
        <v/>
      </c>
      <c r="AM313" s="581" t="str">
        <f t="shared" ca="1" si="172"/>
        <v/>
      </c>
      <c r="AN313" s="581" t="str">
        <f t="shared" ca="1" si="172"/>
        <v/>
      </c>
      <c r="AO313" s="581" t="str">
        <f t="shared" ca="1" si="172"/>
        <v/>
      </c>
      <c r="AP313" s="581" t="str">
        <f t="shared" ca="1" si="172"/>
        <v/>
      </c>
      <c r="AQ313" s="581" t="str">
        <f t="shared" ca="1" si="172"/>
        <v/>
      </c>
      <c r="AR313" s="581" t="str">
        <f t="shared" ca="1" si="172"/>
        <v/>
      </c>
      <c r="AS313" s="581" t="str">
        <f t="shared" ca="1" si="172"/>
        <v/>
      </c>
      <c r="AT313" s="581" t="str">
        <f t="shared" ca="1" si="172"/>
        <v/>
      </c>
      <c r="AU313" s="581" t="str">
        <f t="shared" ca="1" si="172"/>
        <v/>
      </c>
      <c r="AV313" s="581" t="str">
        <f t="shared" ca="1" si="172"/>
        <v/>
      </c>
      <c r="AW313" s="581" t="str">
        <f t="shared" ca="1" si="172"/>
        <v/>
      </c>
      <c r="AX313" s="581" t="str">
        <f t="shared" ca="1" si="172"/>
        <v/>
      </c>
      <c r="AY313" s="581" t="str">
        <f t="shared" ca="1" si="172"/>
        <v/>
      </c>
      <c r="AZ313" s="581" t="str">
        <f t="shared" ca="1" si="172"/>
        <v/>
      </c>
      <c r="BA313" s="581" t="str">
        <f t="shared" ca="1" si="172"/>
        <v/>
      </c>
      <c r="BB313" s="635" t="str">
        <f t="shared" ca="1" si="172"/>
        <v/>
      </c>
    </row>
    <row r="314" spans="1:54" hidden="1">
      <c r="B314" s="1061"/>
      <c r="C314" s="633" t="s">
        <v>499</v>
      </c>
      <c r="D314" s="641"/>
      <c r="E314" s="581" t="str">
        <f t="shared" ref="E314:AJ314" ca="1" si="173">IFERROR(ADDRESS(ROW(貼付け_2024実績)+99,E277+COLUMN(貼付け_2024実績),4),"")</f>
        <v/>
      </c>
      <c r="F314" s="581" t="str">
        <f t="shared" ca="1" si="173"/>
        <v/>
      </c>
      <c r="G314" s="581" t="str">
        <f t="shared" ca="1" si="173"/>
        <v/>
      </c>
      <c r="H314" s="581" t="str">
        <f t="shared" ca="1" si="173"/>
        <v/>
      </c>
      <c r="I314" s="581" t="str">
        <f t="shared" ca="1" si="173"/>
        <v/>
      </c>
      <c r="J314" s="581" t="str">
        <f t="shared" ca="1" si="173"/>
        <v/>
      </c>
      <c r="K314" s="581" t="str">
        <f t="shared" ca="1" si="173"/>
        <v/>
      </c>
      <c r="L314" s="581" t="str">
        <f t="shared" ca="1" si="173"/>
        <v/>
      </c>
      <c r="M314" s="581" t="str">
        <f t="shared" ca="1" si="173"/>
        <v/>
      </c>
      <c r="N314" s="581" t="str">
        <f t="shared" ca="1" si="173"/>
        <v/>
      </c>
      <c r="O314" s="581" t="str">
        <f t="shared" ca="1" si="173"/>
        <v/>
      </c>
      <c r="P314" s="581" t="str">
        <f t="shared" ca="1" si="173"/>
        <v/>
      </c>
      <c r="Q314" s="581" t="str">
        <f t="shared" ca="1" si="173"/>
        <v/>
      </c>
      <c r="R314" s="581" t="str">
        <f t="shared" ca="1" si="173"/>
        <v/>
      </c>
      <c r="S314" s="581" t="str">
        <f t="shared" ca="1" si="173"/>
        <v/>
      </c>
      <c r="T314" s="581" t="str">
        <f t="shared" ca="1" si="173"/>
        <v/>
      </c>
      <c r="U314" s="581" t="str">
        <f t="shared" ca="1" si="173"/>
        <v/>
      </c>
      <c r="V314" s="581" t="str">
        <f t="shared" ca="1" si="173"/>
        <v/>
      </c>
      <c r="W314" s="581" t="str">
        <f t="shared" ca="1" si="173"/>
        <v/>
      </c>
      <c r="X314" s="581" t="str">
        <f t="shared" ca="1" si="173"/>
        <v/>
      </c>
      <c r="Y314" s="581" t="str">
        <f t="shared" ca="1" si="173"/>
        <v/>
      </c>
      <c r="Z314" s="581" t="str">
        <f t="shared" ca="1" si="173"/>
        <v/>
      </c>
      <c r="AA314" s="581" t="str">
        <f t="shared" ca="1" si="173"/>
        <v/>
      </c>
      <c r="AB314" s="581" t="str">
        <f t="shared" ca="1" si="173"/>
        <v/>
      </c>
      <c r="AC314" s="581" t="str">
        <f t="shared" ca="1" si="173"/>
        <v/>
      </c>
      <c r="AD314" s="581" t="str">
        <f t="shared" ca="1" si="173"/>
        <v/>
      </c>
      <c r="AE314" s="581" t="str">
        <f t="shared" ca="1" si="173"/>
        <v/>
      </c>
      <c r="AF314" s="581" t="str">
        <f t="shared" ca="1" si="173"/>
        <v/>
      </c>
      <c r="AG314" s="581" t="str">
        <f t="shared" ca="1" si="173"/>
        <v/>
      </c>
      <c r="AH314" s="581" t="str">
        <f t="shared" ca="1" si="173"/>
        <v/>
      </c>
      <c r="AI314" s="581" t="str">
        <f t="shared" ca="1" si="173"/>
        <v/>
      </c>
      <c r="AJ314" s="581" t="str">
        <f t="shared" ca="1" si="173"/>
        <v/>
      </c>
      <c r="AK314" s="581" t="str">
        <f t="shared" ref="AK314:BB314" ca="1" si="174">IFERROR(ADDRESS(ROW(貼付け_2024実績)+99,AK277+COLUMN(貼付け_2024実績),4),"")</f>
        <v/>
      </c>
      <c r="AL314" s="581" t="str">
        <f t="shared" ca="1" si="174"/>
        <v/>
      </c>
      <c r="AM314" s="581" t="str">
        <f t="shared" ca="1" si="174"/>
        <v/>
      </c>
      <c r="AN314" s="581" t="str">
        <f t="shared" ca="1" si="174"/>
        <v/>
      </c>
      <c r="AO314" s="581" t="str">
        <f t="shared" ca="1" si="174"/>
        <v/>
      </c>
      <c r="AP314" s="581" t="str">
        <f t="shared" ca="1" si="174"/>
        <v/>
      </c>
      <c r="AQ314" s="581" t="str">
        <f t="shared" ca="1" si="174"/>
        <v/>
      </c>
      <c r="AR314" s="581" t="str">
        <f t="shared" ca="1" si="174"/>
        <v/>
      </c>
      <c r="AS314" s="581" t="str">
        <f t="shared" ca="1" si="174"/>
        <v/>
      </c>
      <c r="AT314" s="581" t="str">
        <f t="shared" ca="1" si="174"/>
        <v/>
      </c>
      <c r="AU314" s="581" t="str">
        <f t="shared" ca="1" si="174"/>
        <v/>
      </c>
      <c r="AV314" s="581" t="str">
        <f t="shared" ca="1" si="174"/>
        <v/>
      </c>
      <c r="AW314" s="581" t="str">
        <f t="shared" ca="1" si="174"/>
        <v/>
      </c>
      <c r="AX314" s="581" t="str">
        <f t="shared" ca="1" si="174"/>
        <v/>
      </c>
      <c r="AY314" s="581" t="str">
        <f t="shared" ca="1" si="174"/>
        <v/>
      </c>
      <c r="AZ314" s="581" t="str">
        <f t="shared" ca="1" si="174"/>
        <v/>
      </c>
      <c r="BA314" s="581" t="str">
        <f t="shared" ca="1" si="174"/>
        <v/>
      </c>
      <c r="BB314" s="635" t="str">
        <f t="shared" ca="1" si="174"/>
        <v/>
      </c>
    </row>
    <row r="315" spans="1:54" ht="18.600000000000001" hidden="1" thickBot="1">
      <c r="B315" s="1062"/>
      <c r="C315" s="636" t="s">
        <v>500</v>
      </c>
      <c r="D315" s="642"/>
      <c r="E315" s="637" t="str">
        <f t="shared" ref="E315:AJ315" ca="1" si="175">IFERROR(ADDRESS(ROW(貼付け_2024実績)+99,E289+COLUMN(貼付け_2024実績),4),"")</f>
        <v/>
      </c>
      <c r="F315" s="637" t="str">
        <f t="shared" ca="1" si="175"/>
        <v/>
      </c>
      <c r="G315" s="637" t="str">
        <f t="shared" ca="1" si="175"/>
        <v/>
      </c>
      <c r="H315" s="637" t="str">
        <f t="shared" ca="1" si="175"/>
        <v/>
      </c>
      <c r="I315" s="637" t="str">
        <f t="shared" ca="1" si="175"/>
        <v/>
      </c>
      <c r="J315" s="637" t="str">
        <f t="shared" ca="1" si="175"/>
        <v/>
      </c>
      <c r="K315" s="637" t="str">
        <f t="shared" ca="1" si="175"/>
        <v/>
      </c>
      <c r="L315" s="637" t="str">
        <f t="shared" ca="1" si="175"/>
        <v/>
      </c>
      <c r="M315" s="637" t="str">
        <f t="shared" ca="1" si="175"/>
        <v/>
      </c>
      <c r="N315" s="637" t="str">
        <f t="shared" ca="1" si="175"/>
        <v/>
      </c>
      <c r="O315" s="637" t="str">
        <f t="shared" ca="1" si="175"/>
        <v/>
      </c>
      <c r="P315" s="637" t="str">
        <f t="shared" ca="1" si="175"/>
        <v/>
      </c>
      <c r="Q315" s="637" t="str">
        <f t="shared" ca="1" si="175"/>
        <v/>
      </c>
      <c r="R315" s="637" t="str">
        <f t="shared" ca="1" si="175"/>
        <v/>
      </c>
      <c r="S315" s="637" t="str">
        <f t="shared" ca="1" si="175"/>
        <v/>
      </c>
      <c r="T315" s="637" t="str">
        <f t="shared" ca="1" si="175"/>
        <v/>
      </c>
      <c r="U315" s="637" t="str">
        <f t="shared" ca="1" si="175"/>
        <v/>
      </c>
      <c r="V315" s="637" t="str">
        <f t="shared" ca="1" si="175"/>
        <v/>
      </c>
      <c r="W315" s="637" t="str">
        <f t="shared" ca="1" si="175"/>
        <v/>
      </c>
      <c r="X315" s="637" t="str">
        <f t="shared" ca="1" si="175"/>
        <v/>
      </c>
      <c r="Y315" s="637" t="str">
        <f t="shared" ca="1" si="175"/>
        <v/>
      </c>
      <c r="Z315" s="637" t="str">
        <f t="shared" ca="1" si="175"/>
        <v/>
      </c>
      <c r="AA315" s="637" t="str">
        <f t="shared" ca="1" si="175"/>
        <v/>
      </c>
      <c r="AB315" s="637" t="str">
        <f t="shared" ca="1" si="175"/>
        <v/>
      </c>
      <c r="AC315" s="637" t="str">
        <f t="shared" ca="1" si="175"/>
        <v/>
      </c>
      <c r="AD315" s="637" t="str">
        <f t="shared" ca="1" si="175"/>
        <v/>
      </c>
      <c r="AE315" s="637" t="str">
        <f t="shared" ca="1" si="175"/>
        <v/>
      </c>
      <c r="AF315" s="637" t="str">
        <f t="shared" ca="1" si="175"/>
        <v/>
      </c>
      <c r="AG315" s="637" t="str">
        <f t="shared" ca="1" si="175"/>
        <v/>
      </c>
      <c r="AH315" s="637" t="str">
        <f t="shared" ca="1" si="175"/>
        <v/>
      </c>
      <c r="AI315" s="637" t="str">
        <f t="shared" ca="1" si="175"/>
        <v/>
      </c>
      <c r="AJ315" s="637" t="str">
        <f t="shared" ca="1" si="175"/>
        <v/>
      </c>
      <c r="AK315" s="637" t="str">
        <f t="shared" ref="AK315:BB315" ca="1" si="176">IFERROR(ADDRESS(ROW(貼付け_2024実績)+99,AK289+COLUMN(貼付け_2024実績),4),"")</f>
        <v/>
      </c>
      <c r="AL315" s="637" t="str">
        <f t="shared" ca="1" si="176"/>
        <v/>
      </c>
      <c r="AM315" s="637" t="str">
        <f t="shared" ca="1" si="176"/>
        <v/>
      </c>
      <c r="AN315" s="637" t="str">
        <f t="shared" ca="1" si="176"/>
        <v/>
      </c>
      <c r="AO315" s="637" t="str">
        <f t="shared" ca="1" si="176"/>
        <v/>
      </c>
      <c r="AP315" s="637" t="str">
        <f t="shared" ca="1" si="176"/>
        <v/>
      </c>
      <c r="AQ315" s="637" t="str">
        <f t="shared" ca="1" si="176"/>
        <v/>
      </c>
      <c r="AR315" s="637" t="str">
        <f t="shared" ca="1" si="176"/>
        <v/>
      </c>
      <c r="AS315" s="637" t="str">
        <f t="shared" ca="1" si="176"/>
        <v/>
      </c>
      <c r="AT315" s="637" t="str">
        <f t="shared" ca="1" si="176"/>
        <v/>
      </c>
      <c r="AU315" s="637" t="str">
        <f t="shared" ca="1" si="176"/>
        <v/>
      </c>
      <c r="AV315" s="637" t="str">
        <f t="shared" ca="1" si="176"/>
        <v/>
      </c>
      <c r="AW315" s="637" t="str">
        <f t="shared" ca="1" si="176"/>
        <v/>
      </c>
      <c r="AX315" s="637" t="str">
        <f t="shared" ca="1" si="176"/>
        <v/>
      </c>
      <c r="AY315" s="637" t="str">
        <f t="shared" ca="1" si="176"/>
        <v/>
      </c>
      <c r="AZ315" s="637" t="str">
        <f t="shared" ca="1" si="176"/>
        <v/>
      </c>
      <c r="BA315" s="637" t="str">
        <f t="shared" ca="1" si="176"/>
        <v/>
      </c>
      <c r="BB315" s="638" t="str">
        <f t="shared" ca="1" si="176"/>
        <v/>
      </c>
    </row>
  </sheetData>
  <sheetProtection formatCells="0"/>
  <mergeCells count="45">
    <mergeCell ref="B300:B303"/>
    <mergeCell ref="D302:D303"/>
    <mergeCell ref="B304:B307"/>
    <mergeCell ref="B308:B311"/>
    <mergeCell ref="B312:B315"/>
    <mergeCell ref="HC14:HD14"/>
    <mergeCell ref="HG14:HH14"/>
    <mergeCell ref="HC15:HD15"/>
    <mergeCell ref="HG15:HH15"/>
    <mergeCell ref="B299:D299"/>
    <mergeCell ref="F226:F227"/>
    <mergeCell ref="G226:H226"/>
    <mergeCell ref="B247:D247"/>
    <mergeCell ref="B248:B259"/>
    <mergeCell ref="B260:B271"/>
    <mergeCell ref="B272:B283"/>
    <mergeCell ref="B284:B295"/>
    <mergeCell ref="C296:D297"/>
    <mergeCell ref="F296:F297"/>
    <mergeCell ref="H296:H297"/>
    <mergeCell ref="J296:J297"/>
    <mergeCell ref="HC12:HD12"/>
    <mergeCell ref="HE12:HF12"/>
    <mergeCell ref="HG12:HJ12"/>
    <mergeCell ref="HC13:HF13"/>
    <mergeCell ref="HG13:HJ13"/>
    <mergeCell ref="HC10:HD10"/>
    <mergeCell ref="HE10:HF10"/>
    <mergeCell ref="HG10:HJ10"/>
    <mergeCell ref="HC11:HD11"/>
    <mergeCell ref="HE11:HF11"/>
    <mergeCell ref="HG11:HJ11"/>
    <mergeCell ref="B6:J6"/>
    <mergeCell ref="HL8:HL9"/>
    <mergeCell ref="HM8:HP8"/>
    <mergeCell ref="HQ8:HT8"/>
    <mergeCell ref="HU8:HX8"/>
    <mergeCell ref="HR9:HS9"/>
    <mergeCell ref="HV9:HW9"/>
    <mergeCell ref="HY8:IB8"/>
    <mergeCell ref="HC9:HD9"/>
    <mergeCell ref="HE9:HF9"/>
    <mergeCell ref="HG9:HJ9"/>
    <mergeCell ref="HN9:HO9"/>
    <mergeCell ref="HZ9:IA9"/>
  </mergeCells>
  <phoneticPr fontId="4"/>
  <dataValidations count="4">
    <dataValidation type="list" allowBlank="1" showInputMessage="1" showErrorMessage="1" sqref="HR10:HR59" xr:uid="{00000000-0002-0000-0100-000000000000}">
      <formula1>$BC$261:$DA$261</formula1>
    </dataValidation>
    <dataValidation type="list" allowBlank="1" showInputMessage="1" showErrorMessage="1" sqref="HZ10:HZ59" xr:uid="{00000000-0002-0000-0100-000001000000}">
      <formula1>$BC$285:$DA$285</formula1>
    </dataValidation>
    <dataValidation type="list" allowBlank="1" showInputMessage="1" showErrorMessage="1" sqref="HV10:HV59" xr:uid="{00000000-0002-0000-0100-000002000000}">
      <formula1>$BC$273:$DA$273</formula1>
    </dataValidation>
    <dataValidation type="list" allowBlank="1" showInputMessage="1" showErrorMessage="1" sqref="HN10:HN59" xr:uid="{00000000-0002-0000-0100-000003000000}">
      <formula1>$BC$249:$DA$249</formula1>
    </dataValidation>
  </dataValidations>
  <hyperlinks>
    <hyperlink ref="S3" location="A1_集計2024" display="集計(2024年度)" xr:uid="{00000000-0004-0000-0100-000000000000}"/>
    <hyperlink ref="T3" location="A1_原単位集計" display="A1_原単位集計" xr:uid="{00000000-0004-0000-0100-000001000000}"/>
    <hyperlink ref="B2" location="A.貼付_2025提出!B9" display="Ｂ９セルに2024年度排出量実績を貼付けてください。" xr:uid="{00000000-0004-0000-0100-000002000000}"/>
    <hyperlink ref="B6:J6" location="報告1面!R6" display="次に、「排出状況報告書本体」（報告1面～4面）に必要事項を入力してください。" xr:uid="{00000000-0004-0000-0100-000003000000}"/>
  </hyperlinks>
  <pageMargins left="0.7" right="0.7" top="0.75" bottom="0.75" header="0.3" footer="0.3"/>
  <pageSetup paperSize="9" scale="32" fitToHeight="0" orientation="landscape"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100-000004000000}">
          <x14:formula1>
            <xm:f>'非表示_リスト(計画・実績報告)'!$G$49:$L$49</xm:f>
          </x14:formula1>
          <xm:sqref>K109:HB109</xm:sqref>
        </x14:dataValidation>
        <x14:dataValidation type="list" allowBlank="1" showInputMessage="1" xr:uid="{00000000-0002-0000-0100-000005000000}">
          <x14:formula1>
            <xm:f>'非表示_リスト(計画・実績報告)'!$G$39:$L$39</xm:f>
          </x14:formula1>
          <xm:sqref>HG11:HJ11</xm:sqref>
        </x14:dataValidation>
        <x14:dataValidation type="list" allowBlank="1" showInputMessage="1" xr:uid="{00000000-0002-0000-0100-000006000000}">
          <x14:formula1>
            <xm:f>'非表示_リスト(計画・実績報告)'!$G$38:$L$38</xm:f>
          </x14:formula1>
          <xm:sqref>HE11:HF11</xm:sqref>
        </x14:dataValidation>
        <x14:dataValidation type="list" allowBlank="1" showInputMessage="1" xr:uid="{00000000-0002-0000-0100-000007000000}">
          <x14:formula1>
            <xm:f>'非表示_リスト(計画・実績報告)'!$G$34:$L$34</xm:f>
          </x14:formula1>
          <xm:sqref>HG10:HJ10</xm:sqref>
        </x14:dataValidation>
        <x14:dataValidation type="list" allowBlank="1" showInputMessage="1" xr:uid="{00000000-0002-0000-0100-000008000000}">
          <x14:formula1>
            <xm:f>'非表示_リスト(計画・実績報告)'!$G$33:$L$33</xm:f>
          </x14:formula1>
          <xm:sqref>HE10:HF10</xm:sqref>
        </x14:dataValidation>
        <x14:dataValidation type="list" allowBlank="1" showInputMessage="1" xr:uid="{00000000-0002-0000-0100-000009000000}">
          <x14:formula1>
            <xm:f>'非表示_リスト(計画・実績報告)'!$G$45:$I$45</xm:f>
          </x14:formula1>
          <xm:sqref>J109</xm:sqref>
        </x14:dataValidation>
        <x14:dataValidation type="list" allowBlank="1" showInputMessage="1" xr:uid="{00000000-0002-0000-0100-00000A000000}">
          <x14:formula1>
            <xm:f>'非表示_リスト(計画・実績報告)'!$G$44:$I$44</xm:f>
          </x14:formula1>
          <xm:sqref>I109</xm:sqref>
        </x14:dataValidation>
        <x14:dataValidation type="list" allowBlank="1" showInputMessage="1" xr:uid="{00000000-0002-0000-0100-00000B000000}">
          <x14:formula1>
            <xm:f>'非表示_リスト(計画・実績報告)'!$G$42:$I$42</xm:f>
          </x14:formula1>
          <xm:sqref>J108</xm:sqref>
        </x14:dataValidation>
        <x14:dataValidation type="list" allowBlank="1" showInputMessage="1" xr:uid="{00000000-0002-0000-0100-00000C000000}">
          <x14:formula1>
            <xm:f>'非表示_リスト(計画・実績報告)'!$G$41:$I$41</xm:f>
          </x14:formula1>
          <xm:sqref>I108</xm:sqref>
        </x14:dataValidation>
        <x14:dataValidation type="list" allowBlank="1" showInputMessage="1" xr:uid="{00000000-0002-0000-0100-00000D000000}">
          <x14:formula1>
            <xm:f>'非表示_リスト(計画・実績報告)'!$G$37:$L$37</xm:f>
          </x14:formula1>
          <xm:sqref>M11</xm:sqref>
        </x14:dataValidation>
        <x14:dataValidation type="list" allowBlank="1" showInputMessage="1" xr:uid="{00000000-0002-0000-0100-00000E000000}">
          <x14:formula1>
            <xm:f>'非表示_リスト(計画・実績報告)'!$G$36:$L$36</xm:f>
          </x14:formula1>
          <xm:sqref>L11</xm:sqref>
        </x14:dataValidation>
        <x14:dataValidation type="list" allowBlank="1" showInputMessage="1" xr:uid="{00000000-0002-0000-0100-00000F000000}">
          <x14:formula1>
            <xm:f>'非表示_リスト(計画・実績報告)'!$G$32:$L$32</xm:f>
          </x14:formula1>
          <xm:sqref>M10</xm:sqref>
        </x14:dataValidation>
        <x14:dataValidation type="list" allowBlank="1" showInputMessage="1" xr:uid="{00000000-0002-0000-0100-000010000000}">
          <x14:formula1>
            <xm:f>'非表示_リスト(計画・実績報告)'!$G$31:$L$31</xm:f>
          </x14:formula1>
          <xm:sqref>L10</xm:sqref>
        </x14:dataValidation>
        <x14:dataValidation type="list" allowBlank="1" showInputMessage="1" showErrorMessage="1" xr:uid="{00000000-0002-0000-0100-000011000000}">
          <x14:formula1>
            <xm:f>'非表示_リスト(計画・実績報告)'!$G$23:$H$23</xm:f>
          </x14:formula1>
          <xm:sqref>J11</xm:sqref>
        </x14:dataValidation>
        <x14:dataValidation type="list" allowBlank="1" showInputMessage="1" showErrorMessage="1" xr:uid="{00000000-0002-0000-0100-000012000000}">
          <x14:formula1>
            <xm:f>'非表示_リスト(計画・実績報告)'!$G$22:$H$22</xm:f>
          </x14:formula1>
          <xm:sqref>J10</xm:sqref>
        </x14:dataValidation>
        <x14:dataValidation type="list" allowBlank="1" showInputMessage="1" showErrorMessage="1" xr:uid="{00000000-0002-0000-0100-000013000000}">
          <x14:formula1>
            <xm:f>'非表示_リスト(計画・実績報告)'!$G$11:$H$11</xm:f>
          </x14:formula1>
          <xm:sqref>H12</xm:sqref>
        </x14:dataValidation>
        <x14:dataValidation type="list" allowBlank="1" showInputMessage="1" showErrorMessage="1" xr:uid="{00000000-0002-0000-0100-000014000000}">
          <x14:formula1>
            <xm:f>'非表示_リスト(計画・実績報告)'!$G$10:$H$10</xm:f>
          </x14:formula1>
          <xm:sqref>H11</xm:sqref>
        </x14:dataValidation>
        <x14:dataValidation type="list" allowBlank="1" showInputMessage="1" showErrorMessage="1" xr:uid="{00000000-0002-0000-0100-000015000000}">
          <x14:formula1>
            <xm:f>'非表示_リスト(計画・実績報告)'!$G$9:$H$9</xm:f>
          </x14:formula1>
          <xm:sqref>H10</xm:sqref>
        </x14:dataValidation>
        <x14:dataValidation type="list" allowBlank="1" showInputMessage="1" xr:uid="{00000000-0002-0000-0100-000016000000}">
          <x14:formula1>
            <xm:f>'非表示_リスト(計画・実績報告)'!$G$4:$K$4</xm:f>
          </x14:formula1>
          <xm:sqref>F9</xm:sqref>
        </x14:dataValidation>
        <x14:dataValidation type="list" allowBlank="1" showInputMessage="1" showErrorMessage="1" xr:uid="{00000000-0002-0000-0100-000017000000}">
          <x14:formula1>
            <xm:f>'非表示_リスト(計画・実績報告)'!$G$51:$H$51</xm:f>
          </x14:formula1>
          <xm:sqref>N11</xm:sqref>
        </x14:dataValidation>
        <x14:dataValidation type="list" allowBlank="1" showInputMessage="1" showErrorMessage="1" xr:uid="{00000000-0002-0000-0100-000018000000}">
          <x14:formula1>
            <xm:f>'非表示_リスト(計画・実績報告)'!$G$47:$L$47</xm:f>
          </x14:formula1>
          <xm:sqref>K108:HB108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IH315"/>
  <sheetViews>
    <sheetView showGridLines="0" tabSelected="1" zoomScale="80" zoomScaleNormal="80" workbookViewId="0">
      <selection activeCell="B9" sqref="B9"/>
    </sheetView>
  </sheetViews>
  <sheetFormatPr defaultColWidth="10" defaultRowHeight="18" outlineLevelCol="1"/>
  <cols>
    <col min="1" max="1" width="10.109375" style="156" customWidth="1"/>
    <col min="2" max="2" width="18.88671875" style="156" customWidth="1"/>
    <col min="3" max="3" width="10.109375" style="156" customWidth="1"/>
    <col min="4" max="4" width="10.44140625" style="156" customWidth="1"/>
    <col min="5" max="10" width="12.88671875" style="156" customWidth="1"/>
    <col min="11" max="210" width="10" style="156" hidden="1" customWidth="1" outlineLevel="1"/>
    <col min="211" max="211" width="9.44140625" style="156" customWidth="1" collapsed="1"/>
    <col min="212" max="218" width="9.44140625" style="156" customWidth="1"/>
    <col min="219" max="219" width="10" style="156"/>
    <col min="220" max="220" width="5.77734375" style="156" customWidth="1"/>
    <col min="221" max="236" width="13.21875" style="156" customWidth="1"/>
    <col min="237" max="238" width="10" style="156"/>
    <col min="239" max="242" width="10" style="159" hidden="1" customWidth="1"/>
    <col min="243" max="16384" width="10" style="156"/>
  </cols>
  <sheetData>
    <row r="1" spans="1:242" ht="39.9" customHeight="1">
      <c r="A1" s="152" t="s">
        <v>695</v>
      </c>
      <c r="B1" s="153"/>
      <c r="C1" s="154"/>
      <c r="D1" s="155"/>
      <c r="E1" s="154"/>
      <c r="F1" s="155"/>
      <c r="G1" s="154"/>
      <c r="H1" s="155"/>
      <c r="I1" s="154"/>
      <c r="J1" s="155"/>
      <c r="K1" s="154"/>
      <c r="L1" s="155"/>
      <c r="M1" s="154"/>
      <c r="N1" s="155"/>
      <c r="O1" s="154"/>
      <c r="P1" s="155"/>
      <c r="Q1" s="154"/>
      <c r="R1" s="155"/>
      <c r="S1" s="154"/>
      <c r="T1" s="155"/>
      <c r="U1" s="154"/>
      <c r="V1" s="155"/>
      <c r="W1" s="154"/>
      <c r="X1" s="155"/>
      <c r="Y1" s="154"/>
      <c r="Z1" s="155"/>
      <c r="AA1" s="154"/>
      <c r="AB1" s="155"/>
      <c r="AC1" s="154"/>
      <c r="AD1" s="155"/>
      <c r="AE1" s="154"/>
      <c r="AF1" s="155"/>
      <c r="AG1" s="154"/>
      <c r="AH1" s="155"/>
      <c r="AI1" s="154"/>
      <c r="AJ1" s="155"/>
      <c r="AK1" s="154"/>
      <c r="AL1" s="155"/>
      <c r="AM1" s="154"/>
      <c r="AN1" s="155"/>
      <c r="AO1" s="154"/>
      <c r="AP1" s="155"/>
      <c r="AQ1" s="154"/>
      <c r="AR1" s="155"/>
      <c r="AS1" s="154"/>
      <c r="AT1" s="155"/>
      <c r="AU1" s="154"/>
      <c r="AV1" s="155"/>
      <c r="AW1" s="154"/>
      <c r="AX1" s="155"/>
      <c r="AY1" s="154"/>
      <c r="AZ1" s="155"/>
      <c r="BA1" s="154"/>
      <c r="BB1" s="155"/>
      <c r="BC1" s="154"/>
      <c r="BD1" s="155"/>
      <c r="BE1" s="154"/>
      <c r="BF1" s="155"/>
      <c r="BG1" s="154"/>
      <c r="BH1" s="155"/>
      <c r="BI1" s="154"/>
      <c r="BJ1" s="155"/>
      <c r="BK1" s="154"/>
      <c r="BL1" s="155"/>
      <c r="BM1" s="154"/>
      <c r="BN1" s="155"/>
      <c r="BO1" s="154"/>
      <c r="BP1" s="155"/>
      <c r="BQ1" s="154"/>
      <c r="BR1" s="155"/>
      <c r="BS1" s="154"/>
      <c r="BT1" s="155"/>
      <c r="BU1" s="154"/>
      <c r="BV1" s="155"/>
      <c r="BW1" s="154"/>
      <c r="BX1" s="155"/>
      <c r="BY1" s="154"/>
      <c r="BZ1" s="155"/>
      <c r="CA1" s="154"/>
      <c r="CB1" s="155"/>
      <c r="CC1" s="154"/>
      <c r="CD1" s="155"/>
      <c r="CE1" s="154"/>
      <c r="CF1" s="155"/>
      <c r="CG1" s="154"/>
      <c r="CH1" s="155"/>
      <c r="CI1" s="154"/>
      <c r="CJ1" s="155"/>
      <c r="CK1" s="154"/>
      <c r="CL1" s="155"/>
      <c r="CM1" s="154"/>
      <c r="CN1" s="155"/>
      <c r="CO1" s="154"/>
      <c r="CP1" s="155"/>
      <c r="CQ1" s="154"/>
      <c r="CR1" s="155"/>
      <c r="CS1" s="154"/>
      <c r="CT1" s="155"/>
      <c r="CU1" s="154"/>
      <c r="CV1" s="155"/>
      <c r="CW1" s="154"/>
      <c r="CX1" s="155"/>
      <c r="CY1" s="154"/>
      <c r="CZ1" s="155"/>
      <c r="DA1" s="154"/>
      <c r="DB1" s="155"/>
      <c r="DC1" s="154"/>
      <c r="DD1" s="155"/>
      <c r="DE1" s="154"/>
      <c r="DF1" s="155"/>
      <c r="DG1" s="154"/>
      <c r="DH1" s="155"/>
      <c r="DI1" s="154"/>
      <c r="DJ1" s="155"/>
      <c r="DK1" s="154"/>
      <c r="DL1" s="155"/>
      <c r="DM1" s="154"/>
      <c r="DN1" s="155"/>
      <c r="DO1" s="154"/>
      <c r="DP1" s="155"/>
      <c r="DQ1" s="154"/>
      <c r="DR1" s="155"/>
      <c r="DS1" s="154"/>
      <c r="DT1" s="155"/>
      <c r="DU1" s="154"/>
      <c r="DV1" s="155"/>
      <c r="DW1" s="154"/>
      <c r="DX1" s="155"/>
      <c r="DY1" s="154"/>
      <c r="DZ1" s="155"/>
      <c r="EA1" s="154"/>
      <c r="EB1" s="155"/>
      <c r="EC1" s="154"/>
      <c r="ED1" s="155"/>
      <c r="EE1" s="154"/>
      <c r="EF1" s="155"/>
      <c r="EG1" s="154"/>
      <c r="EH1" s="155"/>
      <c r="EI1" s="154"/>
      <c r="EJ1" s="155"/>
      <c r="EK1" s="154"/>
      <c r="EL1" s="155"/>
      <c r="EM1" s="154"/>
      <c r="EN1" s="155"/>
      <c r="EO1" s="154"/>
      <c r="EP1" s="155"/>
      <c r="EQ1" s="154"/>
      <c r="ER1" s="155"/>
      <c r="ES1" s="154"/>
      <c r="ET1" s="155"/>
      <c r="EU1" s="154"/>
      <c r="EV1" s="155"/>
      <c r="EW1" s="154"/>
      <c r="EX1" s="155"/>
      <c r="EY1" s="154"/>
      <c r="EZ1" s="155"/>
      <c r="FA1" s="154"/>
      <c r="FB1" s="155"/>
      <c r="FC1" s="154"/>
      <c r="FD1" s="155"/>
      <c r="FE1" s="154"/>
      <c r="FF1" s="155"/>
      <c r="FG1" s="154"/>
      <c r="FH1" s="155"/>
      <c r="FI1" s="154"/>
      <c r="FJ1" s="155"/>
      <c r="FK1" s="154"/>
      <c r="FL1" s="155"/>
      <c r="FM1" s="154"/>
      <c r="FN1" s="155"/>
      <c r="FO1" s="154"/>
      <c r="FP1" s="155"/>
      <c r="FQ1" s="154"/>
      <c r="FR1" s="155"/>
      <c r="FS1" s="154"/>
      <c r="FT1" s="155"/>
      <c r="FU1" s="154"/>
      <c r="FV1" s="155"/>
      <c r="FW1" s="154"/>
      <c r="FX1" s="155"/>
      <c r="FY1" s="154"/>
      <c r="FZ1" s="155"/>
      <c r="GA1" s="154"/>
      <c r="GB1" s="155"/>
      <c r="GC1" s="154"/>
      <c r="GD1" s="155"/>
      <c r="GE1" s="154"/>
      <c r="GF1" s="155"/>
      <c r="GG1" s="154"/>
      <c r="GH1" s="155"/>
      <c r="GI1" s="154"/>
      <c r="GJ1" s="155"/>
      <c r="GK1" s="154"/>
      <c r="GL1" s="155"/>
      <c r="GM1" s="154"/>
      <c r="GN1" s="155"/>
      <c r="GO1" s="154"/>
      <c r="GP1" s="155"/>
      <c r="GQ1" s="154"/>
      <c r="GR1" s="155"/>
      <c r="GS1" s="154"/>
      <c r="GT1" s="155"/>
      <c r="GU1" s="154"/>
      <c r="GV1" s="155"/>
      <c r="GW1" s="154"/>
      <c r="GX1" s="155"/>
      <c r="GY1" s="154"/>
      <c r="GZ1" s="155"/>
      <c r="HA1" s="154"/>
      <c r="HB1" s="155"/>
      <c r="HL1" s="157" t="s">
        <v>484</v>
      </c>
      <c r="HM1" s="158"/>
    </row>
    <row r="2" spans="1:242" ht="26.4">
      <c r="A2" s="703" t="s">
        <v>485</v>
      </c>
      <c r="B2" s="732" t="s">
        <v>696</v>
      </c>
      <c r="C2" s="160"/>
      <c r="D2" s="161"/>
      <c r="E2" s="161"/>
      <c r="F2" s="162"/>
      <c r="G2" s="704"/>
      <c r="H2" s="163"/>
      <c r="I2" s="160"/>
      <c r="J2" s="161"/>
      <c r="K2" s="154"/>
      <c r="L2" s="154"/>
      <c r="M2" s="154"/>
      <c r="N2" s="154"/>
      <c r="O2" s="154"/>
      <c r="P2" s="16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8"/>
      <c r="HM2" s="158" t="s">
        <v>487</v>
      </c>
    </row>
    <row r="3" spans="1:242" ht="26.4">
      <c r="A3" s="703" t="s">
        <v>488</v>
      </c>
      <c r="B3" s="165" t="str">
        <f>IF(N11&lt;&gt;"■","「前年度からの法人情報変更有無」、「区分」を選択してください。","")</f>
        <v>「前年度からの法人情報変更有無」、「区分」を選択してください。</v>
      </c>
      <c r="C3" s="162"/>
      <c r="D3" s="162"/>
      <c r="E3" s="162"/>
      <c r="F3" s="162"/>
      <c r="G3" s="704"/>
      <c r="H3" s="163"/>
      <c r="I3" s="160"/>
      <c r="J3" s="161"/>
      <c r="K3" s="154"/>
      <c r="L3" s="154"/>
      <c r="M3" s="154"/>
      <c r="N3" s="705"/>
      <c r="O3" s="154"/>
      <c r="P3" s="166"/>
      <c r="Q3" s="154"/>
      <c r="R3" s="154"/>
      <c r="S3" s="154"/>
      <c r="T3" s="154"/>
      <c r="V3" s="705"/>
      <c r="W3" s="705"/>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67" t="s">
        <v>489</v>
      </c>
      <c r="HM3" s="167"/>
    </row>
    <row r="4" spans="1:242" ht="26.4">
      <c r="A4" s="703" t="s">
        <v>490</v>
      </c>
      <c r="B4" s="165"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162"/>
      <c r="D4" s="162"/>
      <c r="E4" s="162"/>
      <c r="F4" s="162"/>
      <c r="G4" s="704"/>
      <c r="H4" s="168"/>
      <c r="I4" s="160"/>
      <c r="J4" s="161"/>
      <c r="K4" s="154"/>
      <c r="L4" s="154"/>
      <c r="M4" s="154"/>
      <c r="N4" s="154"/>
      <c r="O4" s="154"/>
      <c r="P4" s="166"/>
      <c r="Q4" s="154"/>
      <c r="R4" s="154"/>
      <c r="S4" s="154"/>
      <c r="T4" s="154"/>
      <c r="V4" s="705"/>
      <c r="W4" s="705"/>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8" t="s">
        <v>491</v>
      </c>
      <c r="HM4" s="167"/>
    </row>
    <row r="5" spans="1:242" ht="26.4">
      <c r="A5" s="703" t="s">
        <v>492</v>
      </c>
      <c r="B5" s="165" t="str">
        <f>IF(N11&lt;&gt;"■","「工場等の名称」が過年度と一致しているか確認してください。","")</f>
        <v>「工場等の名称」が過年度と一致しているか確認してください。</v>
      </c>
      <c r="C5" s="162"/>
      <c r="D5" s="161"/>
      <c r="E5" s="161"/>
      <c r="F5" s="706"/>
      <c r="G5" s="704"/>
      <c r="H5" s="168"/>
      <c r="I5" s="160"/>
      <c r="J5" s="161"/>
      <c r="K5" s="154"/>
      <c r="L5" s="154"/>
      <c r="M5" s="705"/>
      <c r="N5" s="154"/>
      <c r="O5" s="154"/>
      <c r="P5" s="166"/>
      <c r="Q5" s="154"/>
      <c r="R5" s="154"/>
      <c r="S5" s="154"/>
      <c r="T5" s="154"/>
      <c r="V5" s="705"/>
      <c r="W5" s="705"/>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8" t="s">
        <v>1283</v>
      </c>
      <c r="HM5" s="167"/>
    </row>
    <row r="6" spans="1:242" ht="26.4">
      <c r="A6" s="169" t="s">
        <v>1269</v>
      </c>
      <c r="B6" s="1020" t="s">
        <v>1268</v>
      </c>
      <c r="C6" s="1020"/>
      <c r="D6" s="1020"/>
      <c r="E6" s="1020"/>
      <c r="F6" s="1020"/>
      <c r="G6" s="1020"/>
      <c r="H6" s="1020"/>
      <c r="I6" s="1020"/>
      <c r="J6" s="1021"/>
      <c r="K6" s="643" t="s">
        <v>444</v>
      </c>
      <c r="L6" s="644" t="str">
        <f>L14&amp;""</f>
        <v/>
      </c>
      <c r="M6" s="644"/>
      <c r="N6" s="645"/>
      <c r="O6" s="643" t="s">
        <v>444</v>
      </c>
      <c r="P6" s="644" t="str">
        <f t="shared" ref="P6" si="0">P14&amp;""</f>
        <v/>
      </c>
      <c r="Q6" s="644"/>
      <c r="R6" s="645"/>
      <c r="S6" s="643" t="s">
        <v>444</v>
      </c>
      <c r="T6" s="644" t="str">
        <f t="shared" ref="T6" si="1">T14&amp;""</f>
        <v/>
      </c>
      <c r="U6" s="644"/>
      <c r="V6" s="645"/>
      <c r="W6" s="643" t="s">
        <v>444</v>
      </c>
      <c r="X6" s="644" t="str">
        <f t="shared" ref="X6" si="2">X14&amp;""</f>
        <v/>
      </c>
      <c r="Y6" s="644"/>
      <c r="Z6" s="645"/>
      <c r="AA6" s="643" t="s">
        <v>444</v>
      </c>
      <c r="AB6" s="644" t="str">
        <f t="shared" ref="AB6" si="3">AB14&amp;""</f>
        <v/>
      </c>
      <c r="AC6" s="644"/>
      <c r="AD6" s="645"/>
      <c r="AE6" s="643" t="s">
        <v>444</v>
      </c>
      <c r="AF6" s="644" t="str">
        <f t="shared" ref="AF6" si="4">AF14&amp;""</f>
        <v/>
      </c>
      <c r="AG6" s="644"/>
      <c r="AH6" s="645"/>
      <c r="AI6" s="643" t="s">
        <v>444</v>
      </c>
      <c r="AJ6" s="644" t="str">
        <f t="shared" ref="AJ6" si="5">AJ14&amp;""</f>
        <v/>
      </c>
      <c r="AK6" s="644"/>
      <c r="AL6" s="645"/>
      <c r="AM6" s="643" t="s">
        <v>444</v>
      </c>
      <c r="AN6" s="644" t="str">
        <f t="shared" ref="AN6" si="6">AN14&amp;""</f>
        <v/>
      </c>
      <c r="AO6" s="644"/>
      <c r="AP6" s="645"/>
      <c r="AQ6" s="643" t="s">
        <v>444</v>
      </c>
      <c r="AR6" s="644" t="str">
        <f t="shared" ref="AR6" si="7">AR14&amp;""</f>
        <v/>
      </c>
      <c r="AS6" s="644"/>
      <c r="AT6" s="645"/>
      <c r="AU6" s="643" t="s">
        <v>444</v>
      </c>
      <c r="AV6" s="644" t="str">
        <f t="shared" ref="AV6" si="8">AV14&amp;""</f>
        <v/>
      </c>
      <c r="AW6" s="644"/>
      <c r="AX6" s="645"/>
      <c r="AY6" s="643" t="s">
        <v>444</v>
      </c>
      <c r="AZ6" s="644" t="str">
        <f t="shared" ref="AZ6" si="9">AZ14&amp;""</f>
        <v/>
      </c>
      <c r="BA6" s="644"/>
      <c r="BB6" s="645"/>
      <c r="BC6" s="643" t="s">
        <v>444</v>
      </c>
      <c r="BD6" s="644" t="str">
        <f t="shared" ref="BD6" si="10">BD14&amp;""</f>
        <v/>
      </c>
      <c r="BE6" s="644"/>
      <c r="BF6" s="645"/>
      <c r="BG6" s="643" t="s">
        <v>444</v>
      </c>
      <c r="BH6" s="644" t="str">
        <f t="shared" ref="BH6" si="11">BH14&amp;""</f>
        <v/>
      </c>
      <c r="BI6" s="644"/>
      <c r="BJ6" s="645"/>
      <c r="BK6" s="643" t="s">
        <v>444</v>
      </c>
      <c r="BL6" s="644" t="str">
        <f t="shared" ref="BL6" si="12">BL14&amp;""</f>
        <v/>
      </c>
      <c r="BM6" s="644"/>
      <c r="BN6" s="645"/>
      <c r="BO6" s="643" t="s">
        <v>444</v>
      </c>
      <c r="BP6" s="644" t="str">
        <f t="shared" ref="BP6" si="13">BP14&amp;""</f>
        <v/>
      </c>
      <c r="BQ6" s="644"/>
      <c r="BR6" s="645"/>
      <c r="BS6" s="643" t="s">
        <v>444</v>
      </c>
      <c r="BT6" s="644" t="str">
        <f t="shared" ref="BT6" si="14">BT14&amp;""</f>
        <v/>
      </c>
      <c r="BU6" s="644"/>
      <c r="BV6" s="645"/>
      <c r="BW6" s="643" t="s">
        <v>444</v>
      </c>
      <c r="BX6" s="644" t="str">
        <f t="shared" ref="BX6" si="15">BX14&amp;""</f>
        <v/>
      </c>
      <c r="BY6" s="644"/>
      <c r="BZ6" s="645"/>
      <c r="CA6" s="643" t="s">
        <v>444</v>
      </c>
      <c r="CB6" s="644" t="str">
        <f t="shared" ref="CB6" si="16">CB14&amp;""</f>
        <v/>
      </c>
      <c r="CC6" s="644"/>
      <c r="CD6" s="645"/>
      <c r="CE6" s="643" t="s">
        <v>444</v>
      </c>
      <c r="CF6" s="644" t="str">
        <f t="shared" ref="CF6" si="17">CF14&amp;""</f>
        <v/>
      </c>
      <c r="CG6" s="644"/>
      <c r="CH6" s="645"/>
      <c r="CI6" s="643" t="s">
        <v>444</v>
      </c>
      <c r="CJ6" s="644" t="str">
        <f t="shared" ref="CJ6" si="18">CJ14&amp;""</f>
        <v/>
      </c>
      <c r="CK6" s="644"/>
      <c r="CL6" s="645"/>
      <c r="CM6" s="643" t="s">
        <v>444</v>
      </c>
      <c r="CN6" s="644" t="str">
        <f t="shared" ref="CN6" si="19">CN14&amp;""</f>
        <v/>
      </c>
      <c r="CO6" s="644"/>
      <c r="CP6" s="645"/>
      <c r="CQ6" s="643" t="s">
        <v>444</v>
      </c>
      <c r="CR6" s="644" t="str">
        <f t="shared" ref="CR6" si="20">CR14&amp;""</f>
        <v/>
      </c>
      <c r="CS6" s="644"/>
      <c r="CT6" s="645"/>
      <c r="CU6" s="643" t="s">
        <v>444</v>
      </c>
      <c r="CV6" s="644" t="str">
        <f t="shared" ref="CV6" si="21">CV14&amp;""</f>
        <v/>
      </c>
      <c r="CW6" s="644"/>
      <c r="CX6" s="645"/>
      <c r="CY6" s="643" t="s">
        <v>444</v>
      </c>
      <c r="CZ6" s="644" t="str">
        <f t="shared" ref="CZ6" si="22">CZ14&amp;""</f>
        <v/>
      </c>
      <c r="DA6" s="644"/>
      <c r="DB6" s="645"/>
      <c r="DC6" s="643" t="s">
        <v>444</v>
      </c>
      <c r="DD6" s="644" t="str">
        <f t="shared" ref="DD6" si="23">DD14&amp;""</f>
        <v/>
      </c>
      <c r="DE6" s="644"/>
      <c r="DF6" s="645"/>
      <c r="DG6" s="643" t="s">
        <v>444</v>
      </c>
      <c r="DH6" s="644" t="str">
        <f t="shared" ref="DH6" si="24">DH14&amp;""</f>
        <v/>
      </c>
      <c r="DI6" s="644"/>
      <c r="DJ6" s="645"/>
      <c r="DK6" s="643" t="s">
        <v>444</v>
      </c>
      <c r="DL6" s="644" t="str">
        <f t="shared" ref="DL6" si="25">DL14&amp;""</f>
        <v/>
      </c>
      <c r="DM6" s="644"/>
      <c r="DN6" s="645"/>
      <c r="DO6" s="643" t="s">
        <v>444</v>
      </c>
      <c r="DP6" s="644" t="str">
        <f t="shared" ref="DP6" si="26">DP14&amp;""</f>
        <v/>
      </c>
      <c r="DQ6" s="644"/>
      <c r="DR6" s="645"/>
      <c r="DS6" s="643" t="s">
        <v>444</v>
      </c>
      <c r="DT6" s="644" t="str">
        <f t="shared" ref="DT6" si="27">DT14&amp;""</f>
        <v/>
      </c>
      <c r="DU6" s="644"/>
      <c r="DV6" s="645"/>
      <c r="DW6" s="643" t="s">
        <v>444</v>
      </c>
      <c r="DX6" s="644" t="str">
        <f t="shared" ref="DX6" si="28">DX14&amp;""</f>
        <v/>
      </c>
      <c r="DY6" s="644"/>
      <c r="DZ6" s="645"/>
      <c r="EA6" s="643" t="s">
        <v>444</v>
      </c>
      <c r="EB6" s="644" t="str">
        <f t="shared" ref="EB6" si="29">EB14&amp;""</f>
        <v/>
      </c>
      <c r="EC6" s="644"/>
      <c r="ED6" s="645"/>
      <c r="EE6" s="643" t="s">
        <v>444</v>
      </c>
      <c r="EF6" s="644" t="str">
        <f t="shared" ref="EF6" si="30">EF14&amp;""</f>
        <v/>
      </c>
      <c r="EG6" s="644"/>
      <c r="EH6" s="645"/>
      <c r="EI6" s="643" t="s">
        <v>444</v>
      </c>
      <c r="EJ6" s="644" t="str">
        <f t="shared" ref="EJ6" si="31">EJ14&amp;""</f>
        <v/>
      </c>
      <c r="EK6" s="644"/>
      <c r="EL6" s="645"/>
      <c r="EM6" s="643" t="s">
        <v>444</v>
      </c>
      <c r="EN6" s="644" t="str">
        <f t="shared" ref="EN6" si="32">EN14&amp;""</f>
        <v/>
      </c>
      <c r="EO6" s="644"/>
      <c r="EP6" s="645"/>
      <c r="EQ6" s="643" t="s">
        <v>444</v>
      </c>
      <c r="ER6" s="644" t="str">
        <f t="shared" ref="ER6" si="33">ER14&amp;""</f>
        <v/>
      </c>
      <c r="ES6" s="644"/>
      <c r="ET6" s="645"/>
      <c r="EU6" s="643" t="s">
        <v>444</v>
      </c>
      <c r="EV6" s="644" t="str">
        <f t="shared" ref="EV6" si="34">EV14&amp;""</f>
        <v/>
      </c>
      <c r="EW6" s="644"/>
      <c r="EX6" s="645"/>
      <c r="EY6" s="643" t="s">
        <v>444</v>
      </c>
      <c r="EZ6" s="644" t="str">
        <f t="shared" ref="EZ6" si="35">EZ14&amp;""</f>
        <v/>
      </c>
      <c r="FA6" s="644"/>
      <c r="FB6" s="645"/>
      <c r="FC6" s="643" t="s">
        <v>444</v>
      </c>
      <c r="FD6" s="644" t="str">
        <f t="shared" ref="FD6" si="36">FD14&amp;""</f>
        <v/>
      </c>
      <c r="FE6" s="644"/>
      <c r="FF6" s="645"/>
      <c r="FG6" s="643" t="s">
        <v>444</v>
      </c>
      <c r="FH6" s="644" t="str">
        <f t="shared" ref="FH6" si="37">FH14&amp;""</f>
        <v/>
      </c>
      <c r="FI6" s="644"/>
      <c r="FJ6" s="645"/>
      <c r="FK6" s="643" t="s">
        <v>444</v>
      </c>
      <c r="FL6" s="644" t="str">
        <f t="shared" ref="FL6" si="38">FL14&amp;""</f>
        <v/>
      </c>
      <c r="FM6" s="644"/>
      <c r="FN6" s="645"/>
      <c r="FO6" s="643" t="s">
        <v>444</v>
      </c>
      <c r="FP6" s="644" t="str">
        <f t="shared" ref="FP6" si="39">FP14&amp;""</f>
        <v/>
      </c>
      <c r="FQ6" s="644"/>
      <c r="FR6" s="645"/>
      <c r="FS6" s="643" t="s">
        <v>444</v>
      </c>
      <c r="FT6" s="644" t="str">
        <f t="shared" ref="FT6" si="40">FT14&amp;""</f>
        <v/>
      </c>
      <c r="FU6" s="644"/>
      <c r="FV6" s="645"/>
      <c r="FW6" s="643" t="s">
        <v>444</v>
      </c>
      <c r="FX6" s="644" t="str">
        <f t="shared" ref="FX6" si="41">FX14&amp;""</f>
        <v/>
      </c>
      <c r="FY6" s="644"/>
      <c r="FZ6" s="645"/>
      <c r="GA6" s="643" t="s">
        <v>444</v>
      </c>
      <c r="GB6" s="644" t="str">
        <f t="shared" ref="GB6" si="42">GB14&amp;""</f>
        <v/>
      </c>
      <c r="GC6" s="644"/>
      <c r="GD6" s="645"/>
      <c r="GE6" s="643" t="s">
        <v>444</v>
      </c>
      <c r="GF6" s="644" t="str">
        <f t="shared" ref="GF6" si="43">GF14&amp;""</f>
        <v/>
      </c>
      <c r="GG6" s="644"/>
      <c r="GH6" s="645"/>
      <c r="GI6" s="643" t="s">
        <v>444</v>
      </c>
      <c r="GJ6" s="644" t="str">
        <f t="shared" ref="GJ6" si="44">GJ14&amp;""</f>
        <v/>
      </c>
      <c r="GK6" s="644"/>
      <c r="GL6" s="645"/>
      <c r="GM6" s="643" t="s">
        <v>444</v>
      </c>
      <c r="GN6" s="644" t="str">
        <f t="shared" ref="GN6" si="45">GN14&amp;""</f>
        <v/>
      </c>
      <c r="GO6" s="644"/>
      <c r="GP6" s="645"/>
      <c r="GQ6" s="643" t="s">
        <v>444</v>
      </c>
      <c r="GR6" s="644" t="str">
        <f t="shared" ref="GR6" si="46">GR14&amp;""</f>
        <v/>
      </c>
      <c r="GS6" s="644"/>
      <c r="GT6" s="645"/>
      <c r="GU6" s="643" t="s">
        <v>444</v>
      </c>
      <c r="GV6" s="644" t="str">
        <f t="shared" ref="GV6" si="47">GV14&amp;""</f>
        <v/>
      </c>
      <c r="GW6" s="644"/>
      <c r="GX6" s="645"/>
      <c r="GY6" s="643" t="s">
        <v>444</v>
      </c>
      <c r="GZ6" s="644" t="str">
        <f t="shared" ref="GZ6" si="48">GZ14&amp;""</f>
        <v/>
      </c>
      <c r="HA6" s="644"/>
      <c r="HB6" s="645"/>
      <c r="HC6" s="154"/>
      <c r="HD6" s="154"/>
      <c r="HE6" s="154"/>
      <c r="HF6" s="154"/>
      <c r="HG6" s="154"/>
      <c r="HH6" s="154"/>
      <c r="HI6" s="154"/>
      <c r="HJ6" s="154"/>
      <c r="HK6" s="154"/>
      <c r="HL6" s="158" t="s">
        <v>493</v>
      </c>
      <c r="HM6" s="158"/>
    </row>
    <row r="7" spans="1:242" ht="27" thickBot="1">
      <c r="A7" s="173" t="s">
        <v>1272</v>
      </c>
      <c r="B7" s="173"/>
      <c r="C7" s="179"/>
      <c r="D7" s="179"/>
      <c r="E7" s="646"/>
      <c r="F7" s="179"/>
      <c r="G7" s="179"/>
      <c r="H7" s="179"/>
      <c r="I7" s="179"/>
      <c r="J7" s="179"/>
      <c r="K7" s="179"/>
      <c r="L7" s="179"/>
      <c r="M7" s="179"/>
      <c r="N7" s="179"/>
      <c r="O7" s="647"/>
      <c r="P7" s="647"/>
      <c r="Q7" s="647"/>
      <c r="R7" s="647"/>
      <c r="S7" s="647"/>
      <c r="T7" s="647"/>
      <c r="U7" s="647"/>
      <c r="V7" s="647"/>
      <c r="W7" s="647"/>
      <c r="X7" s="647"/>
      <c r="Y7" s="647"/>
      <c r="Z7" s="647"/>
      <c r="AA7" s="647"/>
      <c r="AB7" s="647"/>
      <c r="AC7" s="647"/>
      <c r="AD7" s="647"/>
      <c r="AE7" s="647"/>
      <c r="AF7" s="647"/>
      <c r="AG7" s="647"/>
      <c r="AH7" s="647"/>
      <c r="AI7" s="647"/>
      <c r="AJ7" s="647"/>
      <c r="AK7" s="647"/>
      <c r="AL7" s="647"/>
      <c r="AM7" s="647"/>
      <c r="AN7" s="647"/>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c r="BP7" s="179"/>
      <c r="BQ7" s="179"/>
      <c r="BR7" s="179"/>
      <c r="BS7" s="179"/>
      <c r="BT7" s="179"/>
      <c r="BU7" s="179"/>
      <c r="BV7" s="179"/>
      <c r="BW7" s="179"/>
      <c r="BX7" s="179"/>
      <c r="BY7" s="179"/>
      <c r="BZ7" s="179"/>
      <c r="CA7" s="179"/>
      <c r="CB7" s="179"/>
      <c r="CC7" s="179"/>
      <c r="CD7" s="179"/>
      <c r="CE7" s="179"/>
      <c r="CF7" s="179"/>
      <c r="CG7" s="179"/>
      <c r="CH7" s="179"/>
      <c r="CI7" s="179"/>
      <c r="CJ7" s="179"/>
      <c r="CK7" s="179"/>
      <c r="CL7" s="179"/>
      <c r="CM7" s="179"/>
      <c r="CN7" s="179"/>
      <c r="CO7" s="179"/>
      <c r="CP7" s="179"/>
      <c r="CQ7" s="179"/>
      <c r="CR7" s="179"/>
      <c r="CS7" s="179"/>
      <c r="CT7" s="179"/>
      <c r="CU7" s="179"/>
      <c r="CV7" s="179"/>
      <c r="CW7" s="179"/>
      <c r="CX7" s="179"/>
      <c r="CY7" s="179"/>
      <c r="CZ7" s="179"/>
      <c r="DA7" s="179"/>
      <c r="DB7" s="179"/>
      <c r="DC7" s="179"/>
      <c r="DD7" s="179"/>
      <c r="DE7" s="179"/>
      <c r="DF7" s="179"/>
      <c r="DG7" s="179"/>
      <c r="DH7" s="179"/>
      <c r="DI7" s="179"/>
      <c r="DJ7" s="179"/>
      <c r="DK7" s="179"/>
      <c r="DL7" s="179"/>
      <c r="DM7" s="179"/>
      <c r="DN7" s="179"/>
      <c r="DO7" s="179"/>
      <c r="DP7" s="179"/>
      <c r="DQ7" s="179"/>
      <c r="DR7" s="179"/>
      <c r="DS7" s="179"/>
      <c r="DT7" s="179"/>
      <c r="DU7" s="179"/>
      <c r="DV7" s="179"/>
      <c r="DW7" s="179"/>
      <c r="DX7" s="179"/>
      <c r="DY7" s="179"/>
      <c r="DZ7" s="179"/>
      <c r="EA7" s="179"/>
      <c r="EB7" s="179"/>
      <c r="EC7" s="179"/>
      <c r="ED7" s="179"/>
      <c r="EE7" s="179"/>
      <c r="EF7" s="179"/>
      <c r="EG7" s="179"/>
      <c r="EH7" s="179"/>
      <c r="EI7" s="179"/>
      <c r="EJ7" s="179"/>
      <c r="EK7" s="179"/>
      <c r="EL7" s="179"/>
      <c r="EM7" s="179"/>
      <c r="EN7" s="179"/>
      <c r="EO7" s="179"/>
      <c r="EP7" s="179"/>
      <c r="EQ7" s="179"/>
      <c r="ER7" s="179"/>
      <c r="ES7" s="179"/>
      <c r="ET7" s="179"/>
      <c r="EU7" s="179"/>
      <c r="EV7" s="179"/>
      <c r="EW7" s="179"/>
      <c r="EX7" s="179"/>
      <c r="EY7" s="179"/>
      <c r="EZ7" s="179"/>
      <c r="FA7" s="179"/>
      <c r="FB7" s="179"/>
      <c r="FC7" s="179"/>
      <c r="FD7" s="179"/>
      <c r="FE7" s="179"/>
      <c r="FF7" s="179"/>
      <c r="FG7" s="179"/>
      <c r="FH7" s="179"/>
      <c r="FI7" s="179"/>
      <c r="FJ7" s="179"/>
      <c r="FK7" s="179"/>
      <c r="FL7" s="179"/>
      <c r="FM7" s="179"/>
      <c r="FN7" s="179"/>
      <c r="FO7" s="179"/>
      <c r="FP7" s="179"/>
      <c r="FQ7" s="179"/>
      <c r="FR7" s="179"/>
      <c r="FS7" s="179"/>
      <c r="FT7" s="179"/>
      <c r="FU7" s="179"/>
      <c r="FV7" s="179"/>
      <c r="FW7" s="179"/>
      <c r="FX7" s="179"/>
      <c r="FY7" s="179"/>
      <c r="FZ7" s="179"/>
      <c r="GA7" s="179"/>
      <c r="GB7" s="179"/>
      <c r="GC7" s="179"/>
      <c r="GD7" s="179"/>
      <c r="GE7" s="179"/>
      <c r="GF7" s="179"/>
      <c r="GG7" s="179"/>
      <c r="GH7" s="179"/>
      <c r="GI7" s="179"/>
      <c r="GJ7" s="179"/>
      <c r="GK7" s="179"/>
      <c r="GL7" s="179"/>
      <c r="GM7" s="179"/>
      <c r="GN7" s="179"/>
      <c r="GO7" s="179"/>
      <c r="GP7" s="179"/>
      <c r="GQ7" s="179"/>
      <c r="GR7" s="179"/>
      <c r="GS7" s="179"/>
      <c r="GT7" s="179"/>
      <c r="GU7" s="179"/>
      <c r="GV7" s="179"/>
      <c r="GW7" s="179"/>
      <c r="GX7" s="179"/>
      <c r="GY7" s="179"/>
      <c r="GZ7" s="179"/>
      <c r="HA7" s="179"/>
      <c r="HB7" s="179"/>
      <c r="HL7" s="173" t="s">
        <v>494</v>
      </c>
      <c r="HM7" s="173"/>
      <c r="HN7" s="179"/>
      <c r="HO7" s="180"/>
      <c r="HP7" s="180"/>
      <c r="HQ7" s="181"/>
      <c r="HR7" s="180"/>
      <c r="HS7" s="180"/>
      <c r="HT7" s="180"/>
      <c r="HU7" s="181"/>
      <c r="HV7" s="180"/>
      <c r="HW7" s="180"/>
      <c r="HX7" s="180"/>
      <c r="HY7" s="181"/>
      <c r="HZ7" s="180"/>
      <c r="IA7" s="180"/>
      <c r="IB7" s="181"/>
    </row>
    <row r="8" spans="1:242" s="164" customFormat="1" ht="27" thickBot="1">
      <c r="A8" s="156"/>
      <c r="B8" s="182" t="s">
        <v>697</v>
      </c>
      <c r="C8" s="648"/>
      <c r="D8" s="648"/>
      <c r="E8" s="648"/>
      <c r="F8" s="648"/>
      <c r="G8" s="648"/>
      <c r="H8" s="648"/>
      <c r="I8" s="648"/>
      <c r="J8" s="648"/>
      <c r="K8" s="648"/>
      <c r="L8" s="648"/>
      <c r="M8" s="648"/>
      <c r="N8" s="648"/>
      <c r="O8" s="648"/>
      <c r="P8" s="648"/>
      <c r="Q8" s="648"/>
      <c r="R8" s="648"/>
      <c r="S8" s="648"/>
      <c r="T8" s="648"/>
      <c r="U8" s="648"/>
      <c r="V8" s="648"/>
      <c r="W8" s="648"/>
      <c r="X8" s="648"/>
      <c r="Y8" s="648"/>
      <c r="Z8" s="648"/>
      <c r="AA8" s="648"/>
      <c r="AB8" s="648"/>
      <c r="AC8" s="648"/>
      <c r="AD8" s="648"/>
      <c r="AE8" s="648"/>
      <c r="AF8" s="648"/>
      <c r="AG8" s="648"/>
      <c r="AH8" s="648"/>
      <c r="AI8" s="648"/>
      <c r="AJ8" s="648"/>
      <c r="AK8" s="648"/>
      <c r="AL8" s="648"/>
      <c r="AM8" s="648"/>
      <c r="AN8" s="648"/>
      <c r="AO8" s="648"/>
      <c r="AP8" s="648"/>
      <c r="AQ8" s="648"/>
      <c r="AR8" s="648"/>
      <c r="AS8" s="648"/>
      <c r="AT8" s="648"/>
      <c r="AU8" s="648"/>
      <c r="AV8" s="648"/>
      <c r="AW8" s="648"/>
      <c r="AX8" s="648"/>
      <c r="AY8" s="648"/>
      <c r="AZ8" s="648"/>
      <c r="BA8" s="648"/>
      <c r="BB8" s="648"/>
      <c r="BC8" s="648"/>
      <c r="BD8" s="648"/>
      <c r="BE8" s="648"/>
      <c r="BF8" s="648"/>
      <c r="BG8" s="648"/>
      <c r="BH8" s="648"/>
      <c r="BI8" s="648"/>
      <c r="BJ8" s="648"/>
      <c r="BK8" s="648"/>
      <c r="BL8" s="648"/>
      <c r="BM8" s="648"/>
      <c r="BN8" s="648"/>
      <c r="BO8" s="648"/>
      <c r="BP8" s="648"/>
      <c r="BQ8" s="648"/>
      <c r="BR8" s="648"/>
      <c r="BS8" s="648"/>
      <c r="BT8" s="648"/>
      <c r="BU8" s="648"/>
      <c r="BV8" s="648"/>
      <c r="BW8" s="648"/>
      <c r="BX8" s="648"/>
      <c r="BY8" s="648"/>
      <c r="BZ8" s="648"/>
      <c r="CA8" s="648"/>
      <c r="CB8" s="648"/>
      <c r="CC8" s="648"/>
      <c r="CD8" s="648"/>
      <c r="CE8" s="648"/>
      <c r="CF8" s="648"/>
      <c r="CG8" s="648"/>
      <c r="CH8" s="648"/>
      <c r="CI8" s="648"/>
      <c r="CJ8" s="648"/>
      <c r="CK8" s="648"/>
      <c r="CL8" s="648"/>
      <c r="CM8" s="648"/>
      <c r="CN8" s="648"/>
      <c r="CO8" s="648"/>
      <c r="CP8" s="648"/>
      <c r="CQ8" s="648"/>
      <c r="CR8" s="648"/>
      <c r="CS8" s="648"/>
      <c r="CT8" s="648"/>
      <c r="CU8" s="648"/>
      <c r="CV8" s="648"/>
      <c r="CW8" s="648"/>
      <c r="CX8" s="648"/>
      <c r="CY8" s="648"/>
      <c r="CZ8" s="648"/>
      <c r="DA8" s="648"/>
      <c r="DB8" s="648"/>
      <c r="DC8" s="648"/>
      <c r="DD8" s="648"/>
      <c r="DE8" s="648"/>
      <c r="DF8" s="648"/>
      <c r="DG8" s="648"/>
      <c r="DH8" s="648"/>
      <c r="DI8" s="648"/>
      <c r="DJ8" s="648"/>
      <c r="DK8" s="648"/>
      <c r="DL8" s="648"/>
      <c r="DM8" s="648"/>
      <c r="DN8" s="648"/>
      <c r="DO8" s="648"/>
      <c r="DP8" s="648"/>
      <c r="DQ8" s="648"/>
      <c r="DR8" s="648"/>
      <c r="DS8" s="648"/>
      <c r="DT8" s="648"/>
      <c r="DU8" s="648"/>
      <c r="DV8" s="648"/>
      <c r="DW8" s="648"/>
      <c r="DX8" s="648"/>
      <c r="DY8" s="648"/>
      <c r="DZ8" s="648"/>
      <c r="EA8" s="648"/>
      <c r="EB8" s="648"/>
      <c r="EC8" s="648"/>
      <c r="ED8" s="648"/>
      <c r="EE8" s="648"/>
      <c r="EF8" s="648"/>
      <c r="EG8" s="648"/>
      <c r="EH8" s="648"/>
      <c r="EI8" s="648"/>
      <c r="EJ8" s="648"/>
      <c r="EK8" s="648"/>
      <c r="EL8" s="648"/>
      <c r="EM8" s="648"/>
      <c r="EN8" s="648"/>
      <c r="EO8" s="648"/>
      <c r="EP8" s="648"/>
      <c r="EQ8" s="648"/>
      <c r="ER8" s="648"/>
      <c r="ES8" s="648"/>
      <c r="ET8" s="648"/>
      <c r="EU8" s="648"/>
      <c r="EV8" s="648"/>
      <c r="EW8" s="648"/>
      <c r="EX8" s="648"/>
      <c r="EY8" s="648"/>
      <c r="EZ8" s="648"/>
      <c r="FA8" s="648"/>
      <c r="FB8" s="648"/>
      <c r="FC8" s="648"/>
      <c r="FD8" s="648"/>
      <c r="FE8" s="648"/>
      <c r="FF8" s="648"/>
      <c r="FG8" s="648"/>
      <c r="FH8" s="648"/>
      <c r="FI8" s="648"/>
      <c r="FJ8" s="648"/>
      <c r="FK8" s="648"/>
      <c r="FL8" s="648"/>
      <c r="FM8" s="648"/>
      <c r="FN8" s="648"/>
      <c r="FO8" s="648"/>
      <c r="FP8" s="648"/>
      <c r="FQ8" s="648"/>
      <c r="FR8" s="648"/>
      <c r="FS8" s="648"/>
      <c r="FT8" s="648"/>
      <c r="FU8" s="648"/>
      <c r="FV8" s="648"/>
      <c r="FW8" s="648"/>
      <c r="FX8" s="648"/>
      <c r="FY8" s="648"/>
      <c r="FZ8" s="648"/>
      <c r="GA8" s="648"/>
      <c r="GB8" s="648"/>
      <c r="GC8" s="648"/>
      <c r="GD8" s="648"/>
      <c r="GE8" s="648"/>
      <c r="GF8" s="648"/>
      <c r="GG8" s="648"/>
      <c r="GH8" s="648"/>
      <c r="GI8" s="648"/>
      <c r="GJ8" s="648"/>
      <c r="GK8" s="648"/>
      <c r="GL8" s="648"/>
      <c r="GM8" s="648"/>
      <c r="GN8" s="648"/>
      <c r="GO8" s="648"/>
      <c r="GP8" s="648"/>
      <c r="GQ8" s="648"/>
      <c r="GR8" s="648"/>
      <c r="GS8" s="648"/>
      <c r="GT8" s="648"/>
      <c r="GU8" s="648"/>
      <c r="GV8" s="648"/>
      <c r="GW8" s="648"/>
      <c r="GX8" s="648"/>
      <c r="GY8" s="648"/>
      <c r="GZ8" s="648"/>
      <c r="HA8" s="648"/>
      <c r="HB8" s="648"/>
      <c r="HC8" s="156"/>
      <c r="HD8" s="156"/>
      <c r="HE8" s="156"/>
      <c r="HF8" s="156"/>
      <c r="HG8" s="156"/>
      <c r="HH8" s="156"/>
      <c r="HI8" s="156"/>
      <c r="HJ8" s="156"/>
      <c r="HK8" s="156"/>
      <c r="HL8" s="1022" t="s">
        <v>496</v>
      </c>
      <c r="HM8" s="1009" t="s">
        <v>497</v>
      </c>
      <c r="HN8" s="1010"/>
      <c r="HO8" s="1010"/>
      <c r="HP8" s="1011"/>
      <c r="HQ8" s="1009" t="s">
        <v>498</v>
      </c>
      <c r="HR8" s="1010"/>
      <c r="HS8" s="1010"/>
      <c r="HT8" s="1011"/>
      <c r="HU8" s="1009" t="s">
        <v>499</v>
      </c>
      <c r="HV8" s="1010"/>
      <c r="HW8" s="1010"/>
      <c r="HX8" s="1011"/>
      <c r="HY8" s="1009" t="s">
        <v>500</v>
      </c>
      <c r="HZ8" s="1010"/>
      <c r="IA8" s="1010"/>
      <c r="IB8" s="1011"/>
      <c r="IE8" s="159" t="s">
        <v>501</v>
      </c>
      <c r="IF8" s="159"/>
      <c r="IG8" s="159"/>
      <c r="IH8" s="159"/>
    </row>
    <row r="9" spans="1:242" s="164" customFormat="1" ht="69.900000000000006" customHeight="1" thickBot="1">
      <c r="B9" s="184" t="s">
        <v>698</v>
      </c>
      <c r="C9" s="185"/>
      <c r="D9" s="186" t="s">
        <v>1284</v>
      </c>
      <c r="E9" s="187" t="s">
        <v>1285</v>
      </c>
      <c r="F9" s="188" t="s">
        <v>1267</v>
      </c>
      <c r="G9" s="189" t="s">
        <v>1286</v>
      </c>
      <c r="H9" s="190"/>
      <c r="I9" s="189" t="s">
        <v>1287</v>
      </c>
      <c r="J9" s="190"/>
      <c r="K9" s="191" t="s">
        <v>1288</v>
      </c>
      <c r="L9" s="192" t="s">
        <v>1289</v>
      </c>
      <c r="M9" s="193" t="s">
        <v>1290</v>
      </c>
      <c r="N9" s="194" t="s">
        <v>1291</v>
      </c>
      <c r="O9" s="195" t="s">
        <v>1292</v>
      </c>
      <c r="P9" s="196" t="s">
        <v>1293</v>
      </c>
      <c r="Q9" s="197" t="s">
        <v>1294</v>
      </c>
      <c r="R9" s="197" t="s">
        <v>1295</v>
      </c>
      <c r="S9" s="197" t="s">
        <v>1296</v>
      </c>
      <c r="T9" s="197" t="s">
        <v>1297</v>
      </c>
      <c r="U9" s="197" t="s">
        <v>1298</v>
      </c>
      <c r="V9" s="197" t="s">
        <v>1299</v>
      </c>
      <c r="W9" s="197" t="s">
        <v>1300</v>
      </c>
      <c r="X9" s="197" t="s">
        <v>1301</v>
      </c>
      <c r="Y9" s="197" t="s">
        <v>1302</v>
      </c>
      <c r="Z9" s="197" t="s">
        <v>1303</v>
      </c>
      <c r="AA9" s="197" t="s">
        <v>1304</v>
      </c>
      <c r="AB9" s="197" t="s">
        <v>1305</v>
      </c>
      <c r="AC9" s="197" t="s">
        <v>1306</v>
      </c>
      <c r="AD9" s="197" t="s">
        <v>1307</v>
      </c>
      <c r="AE9" s="197" t="s">
        <v>1308</v>
      </c>
      <c r="AF9" s="197" t="s">
        <v>1309</v>
      </c>
      <c r="AG9" s="197" t="s">
        <v>1310</v>
      </c>
      <c r="AH9" s="197" t="s">
        <v>1311</v>
      </c>
      <c r="AI9" s="197" t="s">
        <v>1312</v>
      </c>
      <c r="AJ9" s="197" t="s">
        <v>1313</v>
      </c>
      <c r="AK9" s="197" t="s">
        <v>1314</v>
      </c>
      <c r="AL9" s="197" t="s">
        <v>1315</v>
      </c>
      <c r="AM9" s="197" t="s">
        <v>1316</v>
      </c>
      <c r="AN9" s="197" t="s">
        <v>1317</v>
      </c>
      <c r="AO9" s="197" t="s">
        <v>1318</v>
      </c>
      <c r="AP9" s="197" t="s">
        <v>1319</v>
      </c>
      <c r="AQ9" s="197" t="s">
        <v>1320</v>
      </c>
      <c r="AR9" s="197" t="s">
        <v>1321</v>
      </c>
      <c r="AS9" s="197" t="s">
        <v>1322</v>
      </c>
      <c r="AT9" s="197" t="s">
        <v>1323</v>
      </c>
      <c r="AU9" s="197" t="s">
        <v>1324</v>
      </c>
      <c r="AV9" s="197" t="s">
        <v>1325</v>
      </c>
      <c r="AW9" s="197" t="s">
        <v>1326</v>
      </c>
      <c r="AX9" s="197" t="s">
        <v>1327</v>
      </c>
      <c r="AY9" s="197" t="s">
        <v>1328</v>
      </c>
      <c r="AZ9" s="198" t="s">
        <v>1329</v>
      </c>
      <c r="BA9" s="198" t="s">
        <v>1330</v>
      </c>
      <c r="BB9" s="198" t="s">
        <v>1331</v>
      </c>
      <c r="BC9" s="198" t="s">
        <v>1332</v>
      </c>
      <c r="BD9" s="198" t="s">
        <v>1333</v>
      </c>
      <c r="BE9" s="198" t="s">
        <v>1334</v>
      </c>
      <c r="BF9" s="198" t="s">
        <v>1335</v>
      </c>
      <c r="BG9" s="198" t="s">
        <v>1336</v>
      </c>
      <c r="BH9" s="198" t="s">
        <v>1337</v>
      </c>
      <c r="BI9" s="198" t="s">
        <v>1338</v>
      </c>
      <c r="BJ9" s="198" t="s">
        <v>1339</v>
      </c>
      <c r="BK9" s="198" t="s">
        <v>1340</v>
      </c>
      <c r="BL9" s="198" t="s">
        <v>1341</v>
      </c>
      <c r="BM9" s="198" t="s">
        <v>1342</v>
      </c>
      <c r="BN9" s="198" t="s">
        <v>1343</v>
      </c>
      <c r="BO9" s="198" t="s">
        <v>1344</v>
      </c>
      <c r="BP9" s="198" t="s">
        <v>1345</v>
      </c>
      <c r="BQ9" s="198" t="s">
        <v>1346</v>
      </c>
      <c r="BR9" s="198" t="s">
        <v>1347</v>
      </c>
      <c r="BS9" s="199" t="s">
        <v>1348</v>
      </c>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200"/>
      <c r="GV9" s="200"/>
      <c r="GW9" s="200"/>
      <c r="GX9" s="200"/>
      <c r="GY9" s="200"/>
      <c r="GZ9" s="200"/>
      <c r="HA9" s="200"/>
      <c r="HB9" s="200"/>
      <c r="HC9" s="1012" t="s">
        <v>503</v>
      </c>
      <c r="HD9" s="1013"/>
      <c r="HE9" s="1014" t="s">
        <v>504</v>
      </c>
      <c r="HF9" s="1015"/>
      <c r="HG9" s="1016" t="s">
        <v>498</v>
      </c>
      <c r="HH9" s="1014"/>
      <c r="HI9" s="1014"/>
      <c r="HJ9" s="1017"/>
      <c r="HL9" s="1023"/>
      <c r="HM9" s="201" t="s">
        <v>505</v>
      </c>
      <c r="HN9" s="1018" t="s">
        <v>1271</v>
      </c>
      <c r="HO9" s="1019"/>
      <c r="HP9" s="202" t="s">
        <v>506</v>
      </c>
      <c r="HQ9" s="201" t="s">
        <v>505</v>
      </c>
      <c r="HR9" s="1018" t="s">
        <v>1271</v>
      </c>
      <c r="HS9" s="1019"/>
      <c r="HT9" s="202" t="s">
        <v>506</v>
      </c>
      <c r="HU9" s="201" t="s">
        <v>505</v>
      </c>
      <c r="HV9" s="1018" t="s">
        <v>1271</v>
      </c>
      <c r="HW9" s="1019"/>
      <c r="HX9" s="202" t="s">
        <v>506</v>
      </c>
      <c r="HY9" s="201" t="s">
        <v>505</v>
      </c>
      <c r="HZ9" s="1018" t="s">
        <v>1271</v>
      </c>
      <c r="IA9" s="1019"/>
      <c r="IB9" s="202" t="s">
        <v>506</v>
      </c>
      <c r="IE9" s="159" t="s">
        <v>507</v>
      </c>
      <c r="IF9" s="159" t="s">
        <v>498</v>
      </c>
      <c r="IG9" s="159" t="s">
        <v>499</v>
      </c>
      <c r="IH9" s="159" t="s">
        <v>500</v>
      </c>
    </row>
    <row r="10" spans="1:242" s="164" customFormat="1" ht="19.2" customHeight="1">
      <c r="B10" s="203" t="s">
        <v>440</v>
      </c>
      <c r="C10" s="204"/>
      <c r="D10" s="205"/>
      <c r="E10" s="205"/>
      <c r="F10" s="205"/>
      <c r="G10" s="206" t="s">
        <v>1349</v>
      </c>
      <c r="H10" s="207"/>
      <c r="I10" s="206" t="s">
        <v>1350</v>
      </c>
      <c r="J10" s="208"/>
      <c r="K10" s="209" t="s">
        <v>508</v>
      </c>
      <c r="L10" s="210"/>
      <c r="M10" s="211"/>
      <c r="N10" s="212"/>
      <c r="O10" s="213"/>
      <c r="P10" s="214"/>
      <c r="Q10" s="215"/>
      <c r="R10" s="215"/>
      <c r="S10" s="215"/>
      <c r="T10" s="215"/>
      <c r="U10" s="215"/>
      <c r="V10" s="215"/>
      <c r="W10" s="215"/>
      <c r="X10" s="215"/>
      <c r="Y10" s="215"/>
      <c r="Z10" s="215"/>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7"/>
      <c r="BA10" s="217"/>
      <c r="BB10" s="217"/>
      <c r="BC10" s="217"/>
      <c r="BD10" s="217"/>
      <c r="BE10" s="217"/>
      <c r="BF10" s="217"/>
      <c r="BG10" s="217"/>
      <c r="BH10" s="217"/>
      <c r="BI10" s="217"/>
      <c r="BJ10" s="217"/>
      <c r="BK10" s="217"/>
      <c r="BL10" s="217"/>
      <c r="BM10" s="217"/>
      <c r="BN10" s="217"/>
      <c r="BO10" s="217"/>
      <c r="BP10" s="217"/>
      <c r="BQ10" s="217"/>
      <c r="BR10" s="217"/>
      <c r="BS10" s="218"/>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1024" t="s">
        <v>509</v>
      </c>
      <c r="HD10" s="1025"/>
      <c r="HE10" s="1026" t="str">
        <f>IF(L10="","",L10)</f>
        <v/>
      </c>
      <c r="HF10" s="1027"/>
      <c r="HG10" s="1028" t="str">
        <f>IF(M10="","",M10)</f>
        <v/>
      </c>
      <c r="HH10" s="1026"/>
      <c r="HI10" s="1026"/>
      <c r="HJ10" s="1029"/>
      <c r="HL10" s="219">
        <v>1</v>
      </c>
      <c r="HM10" s="707" t="str">
        <f t="shared" ref="HM10:HM41" ca="1" si="49">OFFSET(A1_原単位2024,6,$HL10+2)</f>
        <v/>
      </c>
      <c r="HN10" s="708" t="str">
        <f ca="1">OFFSET(A1_原単位2025,5,HL10+2)&amp;""</f>
        <v/>
      </c>
      <c r="HO10" s="709" t="str">
        <f t="shared" ref="HO10:HO59" ca="1" si="50">IF(HN10="","",HYPERLINK("#"&amp;IE10,"&lt;"&amp;IE10&amp;"&gt;"))</f>
        <v/>
      </c>
      <c r="HP10" s="710" t="str">
        <f t="shared" ref="HP10:HP41" ca="1" si="51">IF(HN10="","",HYPERLINK("#"&amp;OFFSET(A1_原単位2025,66,$HL10+2),OFFSET(A1_原単位2025,62,$HL10+2)))</f>
        <v/>
      </c>
      <c r="HQ10" s="707" t="str">
        <f t="shared" ref="HQ10:HQ41" ca="1" si="52">OFFSET(A1_原単位2024,18,$HL10+2)</f>
        <v/>
      </c>
      <c r="HR10" s="708" t="str">
        <f ca="1">OFFSET(A1_原単位2025,17,HL10+2)&amp;""</f>
        <v/>
      </c>
      <c r="HS10" s="709" t="str">
        <f t="shared" ref="HS10:HS59" ca="1" si="53">IF(HR10="","",HYPERLINK("#"&amp;IF10,"&lt;"&amp;IF10&amp;"&gt;"))</f>
        <v/>
      </c>
      <c r="HT10" s="711" t="str">
        <f t="shared" ref="HT10:HT41" ca="1" si="54">IF(HR10="","",HYPERLINK("#"&amp;OFFSET(A1_原単位2025,67,$HL10+2),OFFSET(A1_原単位2025,63,$HL10+2)))</f>
        <v/>
      </c>
      <c r="HU10" s="707" t="str">
        <f t="shared" ref="HU10:HU41" ca="1" si="55">OFFSET(A1_原単位2024,30,$HL10+2)</f>
        <v/>
      </c>
      <c r="HV10" s="708" t="str">
        <f ca="1">OFFSET(A1_原単位2025,29,HL10+2)&amp;""</f>
        <v/>
      </c>
      <c r="HW10" s="712" t="str">
        <f t="shared" ref="HW10:HW59" ca="1" si="56">IF(HV10="","",HYPERLINK("#"&amp;IG10,"&lt;"&amp;IG10&amp;"&gt;"))</f>
        <v/>
      </c>
      <c r="HX10" s="711" t="str">
        <f t="shared" ref="HX10:HX41" ca="1" si="57">IF(HV10="","",HYPERLINK("#"&amp;OFFSET(A1_原単位2025,68,$HL10+2),OFFSET(A1_原単位2025,64,$HL10+2)))</f>
        <v/>
      </c>
      <c r="HY10" s="707" t="str">
        <f t="shared" ref="HY10:HY41" ca="1" si="58">OFFSET(A1_原単位2024,42,$HL10+2)</f>
        <v/>
      </c>
      <c r="HZ10" s="708" t="str">
        <f ca="1">OFFSET(A1_原単位2025,41,HL10+2)&amp;""</f>
        <v/>
      </c>
      <c r="IA10" s="712" t="str">
        <f t="shared" ref="IA10:IA59" ca="1" si="59">IF(HZ10="","",HYPERLINK("#"&amp;IH10,"&lt;"&amp;IH10&amp;"&gt;"))</f>
        <v/>
      </c>
      <c r="IB10" s="713" t="str">
        <f t="shared" ref="IB10:IB41" ca="1" si="60">IF(HZ10="","",HYPERLINK("#"&amp;OFFSET(A1_原単位2025,69,$HL10+2),OFFSET(A1_原単位2025,65,$HL10+2)))</f>
        <v/>
      </c>
      <c r="IE10" s="159" t="str">
        <f t="shared" ref="IE10:IE41" ca="1" si="61">IF($HN10="","",ADDRESS(ROW(貼付け_2025実績)+5,OFFSET(A1_原単位2025,7,$HL10+2)+COLUMN(貼付け_2025実績)+1,4))</f>
        <v/>
      </c>
      <c r="IF10" s="159" t="str">
        <f t="shared" ref="IF10:IF41" ca="1" si="62">IF($HR10="","",ADDRESS(ROW(貼付け_2025実績)+5,OFFSET(A1_原単位2025,19,$HL10+2)+COLUMN(貼付け_2025実績)+1,4))</f>
        <v/>
      </c>
      <c r="IG10" s="159" t="str">
        <f t="shared" ref="IG10:IG41" ca="1" si="63">IF($HV10="","",ADDRESS(ROW(貼付け_2025実績)+5,OFFSET(A1_原単位2025,31,$HL10+2)+COLUMN(貼付け_2025実績)+1,4))</f>
        <v/>
      </c>
      <c r="IH10" s="159" t="str">
        <f t="shared" ref="IH10:IH41" ca="1" si="64">IF($HZ10="","",ADDRESS(ROW(貼付け_2025実績)+5,OFFSET(A1_原単位2025,43,$HL10+2)+COLUMN(貼付け_2025実績)+1,4))</f>
        <v/>
      </c>
    </row>
    <row r="11" spans="1:242" s="164" customFormat="1" ht="19.2" customHeight="1">
      <c r="B11" s="220" t="s">
        <v>1351</v>
      </c>
      <c r="C11" s="221" t="s">
        <v>1352</v>
      </c>
      <c r="D11" s="222"/>
      <c r="E11" s="223" t="s">
        <v>1353</v>
      </c>
      <c r="F11" s="224"/>
      <c r="G11" s="206" t="s">
        <v>1354</v>
      </c>
      <c r="H11" s="207"/>
      <c r="I11" s="206" t="s">
        <v>1355</v>
      </c>
      <c r="J11" s="208"/>
      <c r="K11" s="209" t="s">
        <v>510</v>
      </c>
      <c r="L11" s="210"/>
      <c r="M11" s="211"/>
      <c r="N11" s="225" t="s">
        <v>280</v>
      </c>
      <c r="O11" s="226"/>
      <c r="P11" s="227" t="s">
        <v>327</v>
      </c>
      <c r="Q11" s="228" t="s">
        <v>327</v>
      </c>
      <c r="R11" s="228" t="s">
        <v>327</v>
      </c>
      <c r="S11" s="228" t="s">
        <v>327</v>
      </c>
      <c r="T11" s="228" t="s">
        <v>327</v>
      </c>
      <c r="U11" s="228" t="s">
        <v>327</v>
      </c>
      <c r="V11" s="228" t="s">
        <v>327</v>
      </c>
      <c r="W11" s="228" t="s">
        <v>327</v>
      </c>
      <c r="X11" s="228" t="s">
        <v>327</v>
      </c>
      <c r="Y11" s="228" t="s">
        <v>327</v>
      </c>
      <c r="Z11" s="228" t="s">
        <v>327</v>
      </c>
      <c r="AA11" s="228" t="s">
        <v>327</v>
      </c>
      <c r="AB11" s="228" t="s">
        <v>327</v>
      </c>
      <c r="AC11" s="228" t="s">
        <v>327</v>
      </c>
      <c r="AD11" s="228" t="s">
        <v>327</v>
      </c>
      <c r="AE11" s="228" t="s">
        <v>327</v>
      </c>
      <c r="AF11" s="228" t="s">
        <v>327</v>
      </c>
      <c r="AG11" s="228" t="s">
        <v>327</v>
      </c>
      <c r="AH11" s="228" t="s">
        <v>327</v>
      </c>
      <c r="AI11" s="228" t="s">
        <v>327</v>
      </c>
      <c r="AJ11" s="228" t="s">
        <v>327</v>
      </c>
      <c r="AK11" s="228" t="s">
        <v>327</v>
      </c>
      <c r="AL11" s="228" t="s">
        <v>327</v>
      </c>
      <c r="AM11" s="228" t="s">
        <v>327</v>
      </c>
      <c r="AN11" s="228" t="s">
        <v>327</v>
      </c>
      <c r="AO11" s="228" t="s">
        <v>327</v>
      </c>
      <c r="AP11" s="228" t="s">
        <v>327</v>
      </c>
      <c r="AQ11" s="228" t="s">
        <v>327</v>
      </c>
      <c r="AR11" s="228" t="s">
        <v>327</v>
      </c>
      <c r="AS11" s="228" t="s">
        <v>327</v>
      </c>
      <c r="AT11" s="228" t="s">
        <v>327</v>
      </c>
      <c r="AU11" s="228" t="s">
        <v>327</v>
      </c>
      <c r="AV11" s="228" t="s">
        <v>327</v>
      </c>
      <c r="AW11" s="228" t="s">
        <v>327</v>
      </c>
      <c r="AX11" s="228" t="s">
        <v>327</v>
      </c>
      <c r="AY11" s="228" t="s">
        <v>327</v>
      </c>
      <c r="AZ11" s="229" t="s">
        <v>327</v>
      </c>
      <c r="BA11" s="229" t="s">
        <v>327</v>
      </c>
      <c r="BB11" s="229" t="s">
        <v>327</v>
      </c>
      <c r="BC11" s="229" t="s">
        <v>327</v>
      </c>
      <c r="BD11" s="229" t="s">
        <v>327</v>
      </c>
      <c r="BE11" s="229" t="s">
        <v>327</v>
      </c>
      <c r="BF11" s="229" t="s">
        <v>327</v>
      </c>
      <c r="BG11" s="229" t="s">
        <v>327</v>
      </c>
      <c r="BH11" s="229" t="s">
        <v>327</v>
      </c>
      <c r="BI11" s="229" t="s">
        <v>327</v>
      </c>
      <c r="BJ11" s="229" t="s">
        <v>327</v>
      </c>
      <c r="BK11" s="229" t="s">
        <v>327</v>
      </c>
      <c r="BL11" s="229" t="s">
        <v>327</v>
      </c>
      <c r="BM11" s="229" t="s">
        <v>327</v>
      </c>
      <c r="BN11" s="229" t="s">
        <v>327</v>
      </c>
      <c r="BO11" s="229" t="s">
        <v>327</v>
      </c>
      <c r="BP11" s="229" t="s">
        <v>327</v>
      </c>
      <c r="BQ11" s="229" t="s">
        <v>327</v>
      </c>
      <c r="BR11" s="229" t="s">
        <v>327</v>
      </c>
      <c r="BS11" s="208" t="s">
        <v>327</v>
      </c>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0"/>
      <c r="GH11" s="200"/>
      <c r="GI11" s="200"/>
      <c r="GJ11" s="200"/>
      <c r="GK11" s="200"/>
      <c r="GL11" s="200"/>
      <c r="GM11" s="200"/>
      <c r="GN11" s="200"/>
      <c r="GO11" s="200"/>
      <c r="GP11" s="200"/>
      <c r="GQ11" s="200"/>
      <c r="GR11" s="200"/>
      <c r="GS11" s="200"/>
      <c r="GT11" s="200"/>
      <c r="GU11" s="200"/>
      <c r="GV11" s="200"/>
      <c r="GW11" s="200"/>
      <c r="GX11" s="200"/>
      <c r="GY11" s="200"/>
      <c r="GZ11" s="200"/>
      <c r="HA11" s="200"/>
      <c r="HB11" s="200"/>
      <c r="HC11" s="1024" t="s">
        <v>511</v>
      </c>
      <c r="HD11" s="1025"/>
      <c r="HE11" s="1026" t="str">
        <f t="shared" ref="HE11:HE12" si="65">IF(L11="","",L11)</f>
        <v/>
      </c>
      <c r="HF11" s="1027"/>
      <c r="HG11" s="1028" t="str">
        <f>IF(M11="","",M11)</f>
        <v/>
      </c>
      <c r="HH11" s="1026"/>
      <c r="HI11" s="1026"/>
      <c r="HJ11" s="1029"/>
      <c r="HL11" s="230">
        <v>2</v>
      </c>
      <c r="HM11" s="714" t="str">
        <f t="shared" ca="1" si="49"/>
        <v/>
      </c>
      <c r="HN11" s="715" t="str">
        <f ca="1">IF(COUNTIF(HN$10:HN10,OFFSET(A1_原単位2025,5,HL11+2))&gt;=1,"",OFFSET(A1_原単位2025,5,HL11+2)&amp;"")</f>
        <v/>
      </c>
      <c r="HO11" s="716" t="str">
        <f t="shared" ca="1" si="50"/>
        <v/>
      </c>
      <c r="HP11" s="717" t="str">
        <f t="shared" ca="1" si="51"/>
        <v/>
      </c>
      <c r="HQ11" s="714" t="str">
        <f t="shared" ca="1" si="52"/>
        <v/>
      </c>
      <c r="HR11" s="715" t="str">
        <f ca="1">IF(COUNTIF(HR$10:HR10,OFFSET(A1_原単位2025,17,HL11+2))&gt;=1,"",OFFSET(A1_原単位2025,17,HL11+2)&amp;"")</f>
        <v/>
      </c>
      <c r="HS11" s="718" t="str">
        <f t="shared" ca="1" si="53"/>
        <v/>
      </c>
      <c r="HT11" s="719" t="str">
        <f t="shared" ca="1" si="54"/>
        <v/>
      </c>
      <c r="HU11" s="714" t="str">
        <f t="shared" ca="1" si="55"/>
        <v/>
      </c>
      <c r="HV11" s="715" t="str">
        <f ca="1">IF(COUNTIF(HV$10:HV10,OFFSET(A1_原単位2025,29,HL11+2))&gt;=1,"",OFFSET(A1_原単位2025,29,HL11+2)&amp;"")</f>
        <v/>
      </c>
      <c r="HW11" s="718" t="str">
        <f t="shared" ca="1" si="56"/>
        <v/>
      </c>
      <c r="HX11" s="719" t="str">
        <f t="shared" ca="1" si="57"/>
        <v/>
      </c>
      <c r="HY11" s="714" t="str">
        <f t="shared" ca="1" si="58"/>
        <v/>
      </c>
      <c r="HZ11" s="715" t="str">
        <f ca="1">IF(COUNTIF(HZ$10:HZ10,OFFSET(A1_原単位2025,41,HL11+2))&gt;=1,"",OFFSET(A1_原単位2025,41,HL11+2)&amp;"")</f>
        <v/>
      </c>
      <c r="IA11" s="720" t="str">
        <f t="shared" ca="1" si="59"/>
        <v/>
      </c>
      <c r="IB11" s="721" t="str">
        <f t="shared" ca="1" si="60"/>
        <v/>
      </c>
      <c r="IE11" s="159" t="str">
        <f t="shared" ca="1" si="61"/>
        <v/>
      </c>
      <c r="IF11" s="159" t="str">
        <f t="shared" ca="1" si="62"/>
        <v/>
      </c>
      <c r="IG11" s="159" t="str">
        <f t="shared" ca="1" si="63"/>
        <v/>
      </c>
      <c r="IH11" s="159" t="str">
        <f t="shared" ca="1" si="64"/>
        <v/>
      </c>
    </row>
    <row r="12" spans="1:242" s="164" customFormat="1" ht="19.2" customHeight="1" thickBot="1">
      <c r="B12" s="231" t="s">
        <v>441</v>
      </c>
      <c r="C12" s="232"/>
      <c r="D12" s="233"/>
      <c r="E12" s="234"/>
      <c r="F12" s="235"/>
      <c r="G12" s="236" t="s">
        <v>1356</v>
      </c>
      <c r="H12" s="237"/>
      <c r="I12" s="238"/>
      <c r="J12" s="239"/>
      <c r="K12" s="240" t="s">
        <v>1357</v>
      </c>
      <c r="L12" s="241"/>
      <c r="M12" s="242"/>
      <c r="N12" s="243"/>
      <c r="O12" s="244"/>
      <c r="P12" s="245"/>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7"/>
      <c r="BA12" s="247"/>
      <c r="BB12" s="247"/>
      <c r="BC12" s="247"/>
      <c r="BD12" s="247"/>
      <c r="BE12" s="247"/>
      <c r="BF12" s="247"/>
      <c r="BG12" s="247"/>
      <c r="BH12" s="247"/>
      <c r="BI12" s="247"/>
      <c r="BJ12" s="247"/>
      <c r="BK12" s="247"/>
      <c r="BL12" s="247"/>
      <c r="BM12" s="247"/>
      <c r="BN12" s="247"/>
      <c r="BO12" s="247"/>
      <c r="BP12" s="247"/>
      <c r="BQ12" s="247"/>
      <c r="BR12" s="247"/>
      <c r="BS12" s="248"/>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1030" t="s">
        <v>512</v>
      </c>
      <c r="HD12" s="1031"/>
      <c r="HE12" s="1032" t="str">
        <f t="shared" si="65"/>
        <v/>
      </c>
      <c r="HF12" s="1033"/>
      <c r="HG12" s="1034" t="str">
        <f>IF(M12="","",M12)</f>
        <v/>
      </c>
      <c r="HH12" s="1032"/>
      <c r="HI12" s="1032"/>
      <c r="HJ12" s="1035"/>
      <c r="HL12" s="219">
        <v>3</v>
      </c>
      <c r="HM12" s="714" t="str">
        <f t="shared" ca="1" si="49"/>
        <v/>
      </c>
      <c r="HN12" s="715" t="str">
        <f ca="1">IF(COUNTIF(HN$10:HN11,OFFSET(A1_原単位2025,5,HL12+2))&gt;=1,"",OFFSET(A1_原単位2025,5,HL12+2)&amp;"")</f>
        <v/>
      </c>
      <c r="HO12" s="716" t="str">
        <f t="shared" ca="1" si="50"/>
        <v/>
      </c>
      <c r="HP12" s="717" t="str">
        <f t="shared" ca="1" si="51"/>
        <v/>
      </c>
      <c r="HQ12" s="714" t="str">
        <f t="shared" ca="1" si="52"/>
        <v/>
      </c>
      <c r="HR12" s="715" t="str">
        <f ca="1">IF(COUNTIF(HR$10:HR11,OFFSET(A1_原単位2025,17,HL12+2))&gt;=1,"",OFFSET(A1_原単位2025,17,HL12+2)&amp;"")</f>
        <v/>
      </c>
      <c r="HS12" s="718" t="str">
        <f t="shared" ca="1" si="53"/>
        <v/>
      </c>
      <c r="HT12" s="719" t="str">
        <f t="shared" ca="1" si="54"/>
        <v/>
      </c>
      <c r="HU12" s="714" t="str">
        <f t="shared" ca="1" si="55"/>
        <v/>
      </c>
      <c r="HV12" s="715" t="str">
        <f ca="1">IF(COUNTIF(HV$10:HV11,OFFSET(A1_原単位2025,29,HL12+2))&gt;=1,"",OFFSET(A1_原単位2025,29,HL12+2)&amp;"")</f>
        <v/>
      </c>
      <c r="HW12" s="718" t="str">
        <f t="shared" ca="1" si="56"/>
        <v/>
      </c>
      <c r="HX12" s="719" t="str">
        <f t="shared" ca="1" si="57"/>
        <v/>
      </c>
      <c r="HY12" s="714" t="str">
        <f t="shared" ca="1" si="58"/>
        <v/>
      </c>
      <c r="HZ12" s="715" t="str">
        <f ca="1">IF(COUNTIF(HZ$10:HZ11,OFFSET(A1_原単位2025,41,HL12+2))&gt;=1,"",OFFSET(A1_原単位2025,41,HL12+2)&amp;"")</f>
        <v/>
      </c>
      <c r="IA12" s="720" t="str">
        <f t="shared" ca="1" si="59"/>
        <v/>
      </c>
      <c r="IB12" s="721" t="str">
        <f t="shared" ca="1" si="60"/>
        <v/>
      </c>
      <c r="IE12" s="159" t="str">
        <f t="shared" ca="1" si="61"/>
        <v/>
      </c>
      <c r="IF12" s="159" t="str">
        <f t="shared" ca="1" si="62"/>
        <v/>
      </c>
      <c r="IG12" s="159" t="str">
        <f t="shared" ca="1" si="63"/>
        <v/>
      </c>
      <c r="IH12" s="159" t="str">
        <f t="shared" ca="1" si="64"/>
        <v/>
      </c>
    </row>
    <row r="13" spans="1:242" s="164" customFormat="1" ht="19.2" customHeight="1">
      <c r="B13" s="250" t="s">
        <v>1358</v>
      </c>
      <c r="C13" s="251"/>
      <c r="D13" s="251"/>
      <c r="E13" s="251"/>
      <c r="F13" s="252" t="s">
        <v>442</v>
      </c>
      <c r="G13" s="250" t="s">
        <v>1359</v>
      </c>
      <c r="H13" s="253"/>
      <c r="I13" s="250" t="s">
        <v>1355</v>
      </c>
      <c r="J13" s="253"/>
      <c r="K13" s="254" t="s">
        <v>513</v>
      </c>
      <c r="L13" s="255"/>
      <c r="M13" s="255" t="s">
        <v>1360</v>
      </c>
      <c r="N13" s="256"/>
      <c r="O13" s="257" t="s">
        <v>1361</v>
      </c>
      <c r="P13" s="258"/>
      <c r="Q13" s="258" t="s">
        <v>1360</v>
      </c>
      <c r="R13" s="256"/>
      <c r="S13" s="257" t="s">
        <v>514</v>
      </c>
      <c r="T13" s="258"/>
      <c r="U13" s="259" t="s">
        <v>1360</v>
      </c>
      <c r="V13" s="260"/>
      <c r="W13" s="257" t="s">
        <v>515</v>
      </c>
      <c r="X13" s="258"/>
      <c r="Y13" s="259" t="s">
        <v>1360</v>
      </c>
      <c r="Z13" s="260"/>
      <c r="AA13" s="257" t="s">
        <v>516</v>
      </c>
      <c r="AB13" s="258"/>
      <c r="AC13" s="259" t="s">
        <v>1360</v>
      </c>
      <c r="AD13" s="260"/>
      <c r="AE13" s="257" t="s">
        <v>517</v>
      </c>
      <c r="AF13" s="258"/>
      <c r="AG13" s="259" t="s">
        <v>1360</v>
      </c>
      <c r="AH13" s="260"/>
      <c r="AI13" s="257" t="s">
        <v>518</v>
      </c>
      <c r="AJ13" s="258"/>
      <c r="AK13" s="259"/>
      <c r="AL13" s="260"/>
      <c r="AM13" s="257" t="s">
        <v>519</v>
      </c>
      <c r="AN13" s="258"/>
      <c r="AO13" s="259"/>
      <c r="AP13" s="260"/>
      <c r="AQ13" s="257" t="s">
        <v>520</v>
      </c>
      <c r="AR13" s="258"/>
      <c r="AS13" s="259"/>
      <c r="AT13" s="260"/>
      <c r="AU13" s="257" t="s">
        <v>521</v>
      </c>
      <c r="AV13" s="258"/>
      <c r="AW13" s="259"/>
      <c r="AX13" s="260"/>
      <c r="AY13" s="257" t="s">
        <v>522</v>
      </c>
      <c r="AZ13" s="258"/>
      <c r="BA13" s="259"/>
      <c r="BB13" s="260"/>
      <c r="BC13" s="257" t="s">
        <v>523</v>
      </c>
      <c r="BD13" s="258"/>
      <c r="BE13" s="259"/>
      <c r="BF13" s="260"/>
      <c r="BG13" s="257" t="s">
        <v>524</v>
      </c>
      <c r="BH13" s="258"/>
      <c r="BI13" s="259"/>
      <c r="BJ13" s="260"/>
      <c r="BK13" s="257" t="s">
        <v>525</v>
      </c>
      <c r="BL13" s="258"/>
      <c r="BM13" s="259"/>
      <c r="BN13" s="260"/>
      <c r="BO13" s="257" t="s">
        <v>526</v>
      </c>
      <c r="BP13" s="258"/>
      <c r="BQ13" s="259"/>
      <c r="BR13" s="260"/>
      <c r="BS13" s="257" t="s">
        <v>527</v>
      </c>
      <c r="BT13" s="258"/>
      <c r="BU13" s="259"/>
      <c r="BV13" s="260"/>
      <c r="BW13" s="257"/>
      <c r="BX13" s="258"/>
      <c r="BY13" s="259" t="s">
        <v>443</v>
      </c>
      <c r="BZ13" s="260"/>
      <c r="CA13" s="257" t="s">
        <v>528</v>
      </c>
      <c r="CB13" s="258"/>
      <c r="CC13" s="259" t="s">
        <v>443</v>
      </c>
      <c r="CD13" s="260"/>
      <c r="CE13" s="257" t="s">
        <v>529</v>
      </c>
      <c r="CF13" s="258"/>
      <c r="CG13" s="259" t="s">
        <v>443</v>
      </c>
      <c r="CH13" s="260"/>
      <c r="CI13" s="257" t="s">
        <v>530</v>
      </c>
      <c r="CJ13" s="258"/>
      <c r="CK13" s="259" t="s">
        <v>443</v>
      </c>
      <c r="CL13" s="260"/>
      <c r="CM13" s="257" t="s">
        <v>531</v>
      </c>
      <c r="CN13" s="258"/>
      <c r="CO13" s="259" t="s">
        <v>443</v>
      </c>
      <c r="CP13" s="260"/>
      <c r="CQ13" s="257" t="s">
        <v>532</v>
      </c>
      <c r="CR13" s="258"/>
      <c r="CS13" s="259" t="s">
        <v>443</v>
      </c>
      <c r="CT13" s="260"/>
      <c r="CU13" s="257" t="s">
        <v>533</v>
      </c>
      <c r="CV13" s="258"/>
      <c r="CW13" s="259" t="s">
        <v>443</v>
      </c>
      <c r="CX13" s="260"/>
      <c r="CY13" s="257" t="s">
        <v>534</v>
      </c>
      <c r="CZ13" s="258"/>
      <c r="DA13" s="259" t="s">
        <v>443</v>
      </c>
      <c r="DB13" s="260"/>
      <c r="DC13" s="257" t="s">
        <v>535</v>
      </c>
      <c r="DD13" s="258"/>
      <c r="DE13" s="259" t="s">
        <v>443</v>
      </c>
      <c r="DF13" s="260"/>
      <c r="DG13" s="257" t="s">
        <v>536</v>
      </c>
      <c r="DH13" s="258"/>
      <c r="DI13" s="259" t="s">
        <v>443</v>
      </c>
      <c r="DJ13" s="260"/>
      <c r="DK13" s="257" t="s">
        <v>537</v>
      </c>
      <c r="DL13" s="258"/>
      <c r="DM13" s="259" t="s">
        <v>443</v>
      </c>
      <c r="DN13" s="260"/>
      <c r="DO13" s="257" t="s">
        <v>538</v>
      </c>
      <c r="DP13" s="258"/>
      <c r="DQ13" s="259" t="s">
        <v>443</v>
      </c>
      <c r="DR13" s="260"/>
      <c r="DS13" s="257" t="s">
        <v>539</v>
      </c>
      <c r="DT13" s="258"/>
      <c r="DU13" s="259" t="s">
        <v>443</v>
      </c>
      <c r="DV13" s="260"/>
      <c r="DW13" s="257" t="s">
        <v>540</v>
      </c>
      <c r="DX13" s="258"/>
      <c r="DY13" s="259" t="s">
        <v>443</v>
      </c>
      <c r="DZ13" s="260"/>
      <c r="EA13" s="257" t="s">
        <v>541</v>
      </c>
      <c r="EB13" s="258"/>
      <c r="EC13" s="259" t="s">
        <v>443</v>
      </c>
      <c r="ED13" s="260"/>
      <c r="EE13" s="257" t="s">
        <v>542</v>
      </c>
      <c r="EF13" s="258"/>
      <c r="EG13" s="259" t="s">
        <v>443</v>
      </c>
      <c r="EH13" s="260"/>
      <c r="EI13" s="257" t="s">
        <v>543</v>
      </c>
      <c r="EJ13" s="258"/>
      <c r="EK13" s="259" t="s">
        <v>443</v>
      </c>
      <c r="EL13" s="260"/>
      <c r="EM13" s="257" t="s">
        <v>544</v>
      </c>
      <c r="EN13" s="258"/>
      <c r="EO13" s="259" t="s">
        <v>443</v>
      </c>
      <c r="EP13" s="260"/>
      <c r="EQ13" s="257" t="s">
        <v>545</v>
      </c>
      <c r="ER13" s="258"/>
      <c r="ES13" s="259" t="s">
        <v>443</v>
      </c>
      <c r="ET13" s="260"/>
      <c r="EU13" s="257" t="s">
        <v>546</v>
      </c>
      <c r="EV13" s="258"/>
      <c r="EW13" s="259" t="s">
        <v>443</v>
      </c>
      <c r="EX13" s="260"/>
      <c r="EY13" s="257" t="s">
        <v>547</v>
      </c>
      <c r="EZ13" s="258"/>
      <c r="FA13" s="259" t="s">
        <v>443</v>
      </c>
      <c r="FB13" s="260"/>
      <c r="FC13" s="257" t="s">
        <v>548</v>
      </c>
      <c r="FD13" s="258"/>
      <c r="FE13" s="259" t="s">
        <v>443</v>
      </c>
      <c r="FF13" s="260"/>
      <c r="FG13" s="257" t="s">
        <v>549</v>
      </c>
      <c r="FH13" s="258"/>
      <c r="FI13" s="259" t="s">
        <v>443</v>
      </c>
      <c r="FJ13" s="260"/>
      <c r="FK13" s="257" t="s">
        <v>550</v>
      </c>
      <c r="FL13" s="258"/>
      <c r="FM13" s="259" t="s">
        <v>443</v>
      </c>
      <c r="FN13" s="260"/>
      <c r="FO13" s="257" t="s">
        <v>551</v>
      </c>
      <c r="FP13" s="258"/>
      <c r="FQ13" s="259" t="s">
        <v>443</v>
      </c>
      <c r="FR13" s="260"/>
      <c r="FS13" s="257" t="s">
        <v>552</v>
      </c>
      <c r="FT13" s="258"/>
      <c r="FU13" s="259" t="s">
        <v>443</v>
      </c>
      <c r="FV13" s="260"/>
      <c r="FW13" s="257" t="s">
        <v>553</v>
      </c>
      <c r="FX13" s="258"/>
      <c r="FY13" s="259" t="s">
        <v>443</v>
      </c>
      <c r="FZ13" s="260"/>
      <c r="GA13" s="257" t="s">
        <v>554</v>
      </c>
      <c r="GB13" s="258"/>
      <c r="GC13" s="259" t="s">
        <v>443</v>
      </c>
      <c r="GD13" s="260"/>
      <c r="GE13" s="257" t="s">
        <v>555</v>
      </c>
      <c r="GF13" s="258"/>
      <c r="GG13" s="259" t="s">
        <v>443</v>
      </c>
      <c r="GH13" s="260"/>
      <c r="GI13" s="257" t="s">
        <v>556</v>
      </c>
      <c r="GJ13" s="258"/>
      <c r="GK13" s="259" t="s">
        <v>443</v>
      </c>
      <c r="GL13" s="260"/>
      <c r="GM13" s="257" t="s">
        <v>557</v>
      </c>
      <c r="GN13" s="258"/>
      <c r="GO13" s="259" t="s">
        <v>443</v>
      </c>
      <c r="GP13" s="260"/>
      <c r="GQ13" s="257" t="s">
        <v>558</v>
      </c>
      <c r="GR13" s="258"/>
      <c r="GS13" s="259" t="s">
        <v>443</v>
      </c>
      <c r="GT13" s="260"/>
      <c r="GU13" s="257" t="s">
        <v>559</v>
      </c>
      <c r="GV13" s="258"/>
      <c r="GW13" s="259" t="s">
        <v>443</v>
      </c>
      <c r="GX13" s="260"/>
      <c r="GY13" s="257" t="s">
        <v>560</v>
      </c>
      <c r="GZ13" s="258"/>
      <c r="HA13" s="259" t="s">
        <v>443</v>
      </c>
      <c r="HB13" s="260"/>
      <c r="HC13" s="1036" t="s">
        <v>504</v>
      </c>
      <c r="HD13" s="1037"/>
      <c r="HE13" s="1037"/>
      <c r="HF13" s="1038"/>
      <c r="HG13" s="1036" t="s">
        <v>498</v>
      </c>
      <c r="HH13" s="1037"/>
      <c r="HI13" s="1037"/>
      <c r="HJ13" s="1038"/>
      <c r="HL13" s="230">
        <v>4</v>
      </c>
      <c r="HM13" s="714" t="str">
        <f t="shared" ca="1" si="49"/>
        <v/>
      </c>
      <c r="HN13" s="715" t="str">
        <f ca="1">IF(COUNTIF(HN$10:HN12,OFFSET(A1_原単位2025,5,HL13+2))&gt;=1,"",OFFSET(A1_原単位2025,5,HL13+2)&amp;"")</f>
        <v/>
      </c>
      <c r="HO13" s="716" t="str">
        <f t="shared" ca="1" si="50"/>
        <v/>
      </c>
      <c r="HP13" s="717" t="str">
        <f t="shared" ca="1" si="51"/>
        <v/>
      </c>
      <c r="HQ13" s="714" t="str">
        <f t="shared" ca="1" si="52"/>
        <v/>
      </c>
      <c r="HR13" s="715" t="str">
        <f ca="1">IF(COUNTIF(HR$10:HR12,OFFSET(A1_原単位2025,17,HL13+2))&gt;=1,"",OFFSET(A1_原単位2025,17,HL13+2)&amp;"")</f>
        <v/>
      </c>
      <c r="HS13" s="718" t="str">
        <f t="shared" ca="1" si="53"/>
        <v/>
      </c>
      <c r="HT13" s="719" t="str">
        <f t="shared" ca="1" si="54"/>
        <v/>
      </c>
      <c r="HU13" s="714" t="str">
        <f t="shared" ca="1" si="55"/>
        <v/>
      </c>
      <c r="HV13" s="715" t="str">
        <f ca="1">IF(COUNTIF(HV$10:HV12,OFFSET(A1_原単位2025,29,HL13+2))&gt;=1,"",OFFSET(A1_原単位2025,29,HL13+2)&amp;"")</f>
        <v/>
      </c>
      <c r="HW13" s="718" t="str">
        <f t="shared" ca="1" si="56"/>
        <v/>
      </c>
      <c r="HX13" s="719" t="str">
        <f t="shared" ca="1" si="57"/>
        <v/>
      </c>
      <c r="HY13" s="714" t="str">
        <f t="shared" ca="1" si="58"/>
        <v/>
      </c>
      <c r="HZ13" s="715" t="str">
        <f ca="1">IF(COUNTIF(HZ$10:HZ12,OFFSET(A1_原単位2025,41,HL13+2))&gt;=1,"",OFFSET(A1_原単位2025,41,HL13+2)&amp;"")</f>
        <v/>
      </c>
      <c r="IA13" s="720" t="str">
        <f t="shared" ca="1" si="59"/>
        <v/>
      </c>
      <c r="IB13" s="721" t="str">
        <f t="shared" ca="1" si="60"/>
        <v/>
      </c>
      <c r="IE13" s="159" t="str">
        <f t="shared" ca="1" si="61"/>
        <v/>
      </c>
      <c r="IF13" s="159" t="str">
        <f t="shared" ca="1" si="62"/>
        <v/>
      </c>
      <c r="IG13" s="159" t="str">
        <f t="shared" ca="1" si="63"/>
        <v/>
      </c>
      <c r="IH13" s="159" t="str">
        <f t="shared" ca="1" si="64"/>
        <v/>
      </c>
    </row>
    <row r="14" spans="1:242" s="164" customFormat="1" ht="19.2" customHeight="1">
      <c r="B14" s="250" t="s">
        <v>1362</v>
      </c>
      <c r="C14" s="251"/>
      <c r="D14" s="251"/>
      <c r="E14" s="261"/>
      <c r="F14" s="262" t="s">
        <v>444</v>
      </c>
      <c r="G14" s="254" t="s">
        <v>1363</v>
      </c>
      <c r="H14" s="263"/>
      <c r="I14" s="264" t="s">
        <v>1364</v>
      </c>
      <c r="J14" s="265"/>
      <c r="K14" s="266" t="s">
        <v>1365</v>
      </c>
      <c r="L14" s="267"/>
      <c r="M14" s="267"/>
      <c r="N14" s="268"/>
      <c r="O14" s="266" t="s">
        <v>1365</v>
      </c>
      <c r="P14" s="267"/>
      <c r="Q14" s="267"/>
      <c r="R14" s="268"/>
      <c r="S14" s="266" t="s">
        <v>1365</v>
      </c>
      <c r="T14" s="267"/>
      <c r="U14" s="267"/>
      <c r="V14" s="268"/>
      <c r="W14" s="266" t="s">
        <v>1365</v>
      </c>
      <c r="X14" s="267"/>
      <c r="Y14" s="267"/>
      <c r="Z14" s="268"/>
      <c r="AA14" s="266" t="s">
        <v>1365</v>
      </c>
      <c r="AB14" s="267"/>
      <c r="AC14" s="267"/>
      <c r="AD14" s="268"/>
      <c r="AE14" s="266" t="s">
        <v>1365</v>
      </c>
      <c r="AF14" s="267"/>
      <c r="AG14" s="267"/>
      <c r="AH14" s="268"/>
      <c r="AI14" s="266" t="s">
        <v>1365</v>
      </c>
      <c r="AJ14" s="267"/>
      <c r="AK14" s="267"/>
      <c r="AL14" s="268"/>
      <c r="AM14" s="266" t="s">
        <v>1365</v>
      </c>
      <c r="AN14" s="267"/>
      <c r="AO14" s="267"/>
      <c r="AP14" s="268"/>
      <c r="AQ14" s="266" t="s">
        <v>1365</v>
      </c>
      <c r="AR14" s="267"/>
      <c r="AS14" s="267"/>
      <c r="AT14" s="268"/>
      <c r="AU14" s="266" t="s">
        <v>1365</v>
      </c>
      <c r="AV14" s="267"/>
      <c r="AW14" s="267"/>
      <c r="AX14" s="268"/>
      <c r="AY14" s="266" t="s">
        <v>1365</v>
      </c>
      <c r="AZ14" s="267"/>
      <c r="BA14" s="267"/>
      <c r="BB14" s="268"/>
      <c r="BC14" s="266" t="s">
        <v>1365</v>
      </c>
      <c r="BD14" s="267"/>
      <c r="BE14" s="267"/>
      <c r="BF14" s="268"/>
      <c r="BG14" s="266" t="s">
        <v>1365</v>
      </c>
      <c r="BH14" s="267"/>
      <c r="BI14" s="267"/>
      <c r="BJ14" s="268"/>
      <c r="BK14" s="266" t="s">
        <v>1365</v>
      </c>
      <c r="BL14" s="267"/>
      <c r="BM14" s="267"/>
      <c r="BN14" s="268"/>
      <c r="BO14" s="266" t="s">
        <v>1365</v>
      </c>
      <c r="BP14" s="267"/>
      <c r="BQ14" s="267"/>
      <c r="BR14" s="268"/>
      <c r="BS14" s="266" t="s">
        <v>1365</v>
      </c>
      <c r="BT14" s="267"/>
      <c r="BU14" s="267"/>
      <c r="BV14" s="268"/>
      <c r="BW14" s="266" t="s">
        <v>444</v>
      </c>
      <c r="BX14" s="267"/>
      <c r="BY14" s="267"/>
      <c r="BZ14" s="268"/>
      <c r="CA14" s="266" t="s">
        <v>444</v>
      </c>
      <c r="CB14" s="267"/>
      <c r="CC14" s="267"/>
      <c r="CD14" s="268"/>
      <c r="CE14" s="266" t="s">
        <v>444</v>
      </c>
      <c r="CF14" s="267"/>
      <c r="CG14" s="267"/>
      <c r="CH14" s="268"/>
      <c r="CI14" s="266" t="s">
        <v>444</v>
      </c>
      <c r="CJ14" s="267"/>
      <c r="CK14" s="267"/>
      <c r="CL14" s="268"/>
      <c r="CM14" s="266" t="s">
        <v>444</v>
      </c>
      <c r="CN14" s="267"/>
      <c r="CO14" s="267"/>
      <c r="CP14" s="268"/>
      <c r="CQ14" s="266" t="s">
        <v>444</v>
      </c>
      <c r="CR14" s="267"/>
      <c r="CS14" s="267"/>
      <c r="CT14" s="268"/>
      <c r="CU14" s="266" t="s">
        <v>444</v>
      </c>
      <c r="CV14" s="267"/>
      <c r="CW14" s="267"/>
      <c r="CX14" s="268"/>
      <c r="CY14" s="266" t="s">
        <v>444</v>
      </c>
      <c r="CZ14" s="267"/>
      <c r="DA14" s="267"/>
      <c r="DB14" s="268"/>
      <c r="DC14" s="266" t="s">
        <v>444</v>
      </c>
      <c r="DD14" s="267"/>
      <c r="DE14" s="267"/>
      <c r="DF14" s="268"/>
      <c r="DG14" s="266" t="s">
        <v>444</v>
      </c>
      <c r="DH14" s="267"/>
      <c r="DI14" s="267"/>
      <c r="DJ14" s="268"/>
      <c r="DK14" s="266" t="s">
        <v>444</v>
      </c>
      <c r="DL14" s="267"/>
      <c r="DM14" s="267"/>
      <c r="DN14" s="268"/>
      <c r="DO14" s="266" t="s">
        <v>444</v>
      </c>
      <c r="DP14" s="267"/>
      <c r="DQ14" s="267"/>
      <c r="DR14" s="268"/>
      <c r="DS14" s="266" t="s">
        <v>444</v>
      </c>
      <c r="DT14" s="267"/>
      <c r="DU14" s="267"/>
      <c r="DV14" s="268"/>
      <c r="DW14" s="266" t="s">
        <v>444</v>
      </c>
      <c r="DX14" s="267"/>
      <c r="DY14" s="267"/>
      <c r="DZ14" s="268"/>
      <c r="EA14" s="266" t="s">
        <v>444</v>
      </c>
      <c r="EB14" s="267"/>
      <c r="EC14" s="267"/>
      <c r="ED14" s="268"/>
      <c r="EE14" s="266" t="s">
        <v>444</v>
      </c>
      <c r="EF14" s="267"/>
      <c r="EG14" s="267"/>
      <c r="EH14" s="268"/>
      <c r="EI14" s="266" t="s">
        <v>444</v>
      </c>
      <c r="EJ14" s="267"/>
      <c r="EK14" s="267"/>
      <c r="EL14" s="268"/>
      <c r="EM14" s="266" t="s">
        <v>444</v>
      </c>
      <c r="EN14" s="267"/>
      <c r="EO14" s="267"/>
      <c r="EP14" s="268"/>
      <c r="EQ14" s="266" t="s">
        <v>444</v>
      </c>
      <c r="ER14" s="267"/>
      <c r="ES14" s="267"/>
      <c r="ET14" s="268"/>
      <c r="EU14" s="266" t="s">
        <v>444</v>
      </c>
      <c r="EV14" s="267"/>
      <c r="EW14" s="267"/>
      <c r="EX14" s="268"/>
      <c r="EY14" s="266" t="s">
        <v>444</v>
      </c>
      <c r="EZ14" s="267"/>
      <c r="FA14" s="267"/>
      <c r="FB14" s="268"/>
      <c r="FC14" s="266" t="s">
        <v>444</v>
      </c>
      <c r="FD14" s="267"/>
      <c r="FE14" s="267"/>
      <c r="FF14" s="268"/>
      <c r="FG14" s="266" t="s">
        <v>444</v>
      </c>
      <c r="FH14" s="267"/>
      <c r="FI14" s="267"/>
      <c r="FJ14" s="268"/>
      <c r="FK14" s="266" t="s">
        <v>444</v>
      </c>
      <c r="FL14" s="267"/>
      <c r="FM14" s="267"/>
      <c r="FN14" s="268"/>
      <c r="FO14" s="266" t="s">
        <v>444</v>
      </c>
      <c r="FP14" s="267"/>
      <c r="FQ14" s="267"/>
      <c r="FR14" s="268"/>
      <c r="FS14" s="266" t="s">
        <v>444</v>
      </c>
      <c r="FT14" s="267"/>
      <c r="FU14" s="267"/>
      <c r="FV14" s="268"/>
      <c r="FW14" s="266" t="s">
        <v>444</v>
      </c>
      <c r="FX14" s="267"/>
      <c r="FY14" s="267"/>
      <c r="FZ14" s="268"/>
      <c r="GA14" s="266" t="s">
        <v>444</v>
      </c>
      <c r="GB14" s="267"/>
      <c r="GC14" s="267"/>
      <c r="GD14" s="268"/>
      <c r="GE14" s="266" t="s">
        <v>444</v>
      </c>
      <c r="GF14" s="267"/>
      <c r="GG14" s="267"/>
      <c r="GH14" s="268"/>
      <c r="GI14" s="266" t="s">
        <v>444</v>
      </c>
      <c r="GJ14" s="267"/>
      <c r="GK14" s="267"/>
      <c r="GL14" s="268"/>
      <c r="GM14" s="266" t="s">
        <v>444</v>
      </c>
      <c r="GN14" s="267"/>
      <c r="GO14" s="267"/>
      <c r="GP14" s="268"/>
      <c r="GQ14" s="266" t="s">
        <v>444</v>
      </c>
      <c r="GR14" s="267"/>
      <c r="GS14" s="267"/>
      <c r="GT14" s="268"/>
      <c r="GU14" s="266" t="s">
        <v>444</v>
      </c>
      <c r="GV14" s="267"/>
      <c r="GW14" s="267"/>
      <c r="GX14" s="268"/>
      <c r="GY14" s="266" t="s">
        <v>444</v>
      </c>
      <c r="GZ14" s="267"/>
      <c r="HA14" s="267"/>
      <c r="HB14" s="268"/>
      <c r="HC14" s="1039" t="s">
        <v>561</v>
      </c>
      <c r="HD14" s="1040"/>
      <c r="HE14" s="722">
        <f ca="1">参考2_エネ使用量経年!M95</f>
        <v>0</v>
      </c>
      <c r="HF14" s="269" t="s">
        <v>562</v>
      </c>
      <c r="HG14" s="1039" t="s">
        <v>561</v>
      </c>
      <c r="HH14" s="1040"/>
      <c r="HI14" s="722">
        <f ca="1">参考2_エネ使用量経年!U95</f>
        <v>0</v>
      </c>
      <c r="HJ14" s="269" t="s">
        <v>562</v>
      </c>
      <c r="HL14" s="219">
        <v>5</v>
      </c>
      <c r="HM14" s="714" t="str">
        <f t="shared" ca="1" si="49"/>
        <v/>
      </c>
      <c r="HN14" s="715" t="str">
        <f ca="1">IF(COUNTIF(HN$10:HN13,OFFSET(A1_原単位2025,5,HL14+2))&gt;=1,"",OFFSET(A1_原単位2025,5,HL14+2)&amp;"")</f>
        <v/>
      </c>
      <c r="HO14" s="716" t="str">
        <f t="shared" ca="1" si="50"/>
        <v/>
      </c>
      <c r="HP14" s="717" t="str">
        <f t="shared" ca="1" si="51"/>
        <v/>
      </c>
      <c r="HQ14" s="714" t="str">
        <f t="shared" ca="1" si="52"/>
        <v/>
      </c>
      <c r="HR14" s="715" t="str">
        <f ca="1">IF(COUNTIF(HR$10:HR13,OFFSET(A1_原単位2025,17,HL14+2))&gt;=1,"",OFFSET(A1_原単位2025,17,HL14+2)&amp;"")</f>
        <v/>
      </c>
      <c r="HS14" s="718" t="str">
        <f t="shared" ca="1" si="53"/>
        <v/>
      </c>
      <c r="HT14" s="719" t="str">
        <f t="shared" ca="1" si="54"/>
        <v/>
      </c>
      <c r="HU14" s="714" t="str">
        <f t="shared" ca="1" si="55"/>
        <v/>
      </c>
      <c r="HV14" s="715" t="str">
        <f ca="1">IF(COUNTIF(HV$10:HV13,OFFSET(A1_原単位2025,29,HL14+2))&gt;=1,"",OFFSET(A1_原単位2025,29,HL14+2)&amp;"")</f>
        <v/>
      </c>
      <c r="HW14" s="718" t="str">
        <f t="shared" ca="1" si="56"/>
        <v/>
      </c>
      <c r="HX14" s="719" t="str">
        <f t="shared" ca="1" si="57"/>
        <v/>
      </c>
      <c r="HY14" s="714" t="str">
        <f t="shared" ca="1" si="58"/>
        <v/>
      </c>
      <c r="HZ14" s="715" t="str">
        <f ca="1">IF(COUNTIF(HZ$10:HZ13,OFFSET(A1_原単位2025,41,HL14+2))&gt;=1,"",OFFSET(A1_原単位2025,41,HL14+2)&amp;"")</f>
        <v/>
      </c>
      <c r="IA14" s="720" t="str">
        <f t="shared" ca="1" si="59"/>
        <v/>
      </c>
      <c r="IB14" s="721" t="str">
        <f t="shared" ca="1" si="60"/>
        <v/>
      </c>
      <c r="IE14" s="159" t="str">
        <f t="shared" ca="1" si="61"/>
        <v/>
      </c>
      <c r="IF14" s="159" t="str">
        <f t="shared" ca="1" si="62"/>
        <v/>
      </c>
      <c r="IG14" s="159" t="str">
        <f t="shared" ca="1" si="63"/>
        <v/>
      </c>
      <c r="IH14" s="159" t="str">
        <f t="shared" ca="1" si="64"/>
        <v/>
      </c>
    </row>
    <row r="15" spans="1:242" s="164" customFormat="1" ht="19.2" customHeight="1" thickBot="1">
      <c r="B15" s="254" t="s">
        <v>445</v>
      </c>
      <c r="C15" s="255"/>
      <c r="D15" s="255"/>
      <c r="E15" s="270"/>
      <c r="F15" s="271" t="s">
        <v>446</v>
      </c>
      <c r="G15" s="272" t="s">
        <v>447</v>
      </c>
      <c r="H15" s="273" t="s">
        <v>448</v>
      </c>
      <c r="I15" s="272" t="s">
        <v>1366</v>
      </c>
      <c r="J15" s="273" t="s">
        <v>1290</v>
      </c>
      <c r="K15" s="274" t="s">
        <v>1367</v>
      </c>
      <c r="L15" s="275"/>
      <c r="M15" s="275"/>
      <c r="N15" s="276"/>
      <c r="O15" s="274" t="s">
        <v>1367</v>
      </c>
      <c r="P15" s="275"/>
      <c r="Q15" s="275"/>
      <c r="R15" s="276"/>
      <c r="S15" s="274" t="s">
        <v>1367</v>
      </c>
      <c r="T15" s="275"/>
      <c r="U15" s="275"/>
      <c r="V15" s="276"/>
      <c r="W15" s="274" t="s">
        <v>1367</v>
      </c>
      <c r="X15" s="275"/>
      <c r="Y15" s="275"/>
      <c r="Z15" s="276"/>
      <c r="AA15" s="274" t="s">
        <v>1367</v>
      </c>
      <c r="AB15" s="275"/>
      <c r="AC15" s="275"/>
      <c r="AD15" s="276"/>
      <c r="AE15" s="274" t="s">
        <v>1367</v>
      </c>
      <c r="AF15" s="275"/>
      <c r="AG15" s="275"/>
      <c r="AH15" s="276"/>
      <c r="AI15" s="274" t="s">
        <v>1367</v>
      </c>
      <c r="AJ15" s="275"/>
      <c r="AK15" s="275"/>
      <c r="AL15" s="276"/>
      <c r="AM15" s="274" t="s">
        <v>1367</v>
      </c>
      <c r="AN15" s="275"/>
      <c r="AO15" s="275"/>
      <c r="AP15" s="276"/>
      <c r="AQ15" s="274" t="s">
        <v>1367</v>
      </c>
      <c r="AR15" s="275"/>
      <c r="AS15" s="275"/>
      <c r="AT15" s="276"/>
      <c r="AU15" s="274" t="s">
        <v>1367</v>
      </c>
      <c r="AV15" s="275"/>
      <c r="AW15" s="275"/>
      <c r="AX15" s="276"/>
      <c r="AY15" s="274" t="s">
        <v>1367</v>
      </c>
      <c r="AZ15" s="275"/>
      <c r="BA15" s="275"/>
      <c r="BB15" s="276"/>
      <c r="BC15" s="274" t="s">
        <v>1367</v>
      </c>
      <c r="BD15" s="275"/>
      <c r="BE15" s="275"/>
      <c r="BF15" s="276"/>
      <c r="BG15" s="274" t="s">
        <v>1367</v>
      </c>
      <c r="BH15" s="275"/>
      <c r="BI15" s="275"/>
      <c r="BJ15" s="276"/>
      <c r="BK15" s="274" t="s">
        <v>1367</v>
      </c>
      <c r="BL15" s="275"/>
      <c r="BM15" s="275"/>
      <c r="BN15" s="276"/>
      <c r="BO15" s="274" t="s">
        <v>1367</v>
      </c>
      <c r="BP15" s="275"/>
      <c r="BQ15" s="275"/>
      <c r="BR15" s="276"/>
      <c r="BS15" s="274" t="s">
        <v>1367</v>
      </c>
      <c r="BT15" s="275"/>
      <c r="BU15" s="275"/>
      <c r="BV15" s="276"/>
      <c r="BW15" s="274" t="s">
        <v>446</v>
      </c>
      <c r="BX15" s="275"/>
      <c r="BY15" s="275"/>
      <c r="BZ15" s="276"/>
      <c r="CA15" s="274" t="s">
        <v>446</v>
      </c>
      <c r="CB15" s="275"/>
      <c r="CC15" s="275"/>
      <c r="CD15" s="276"/>
      <c r="CE15" s="274" t="s">
        <v>446</v>
      </c>
      <c r="CF15" s="275"/>
      <c r="CG15" s="275"/>
      <c r="CH15" s="276"/>
      <c r="CI15" s="274" t="s">
        <v>446</v>
      </c>
      <c r="CJ15" s="275"/>
      <c r="CK15" s="275"/>
      <c r="CL15" s="276"/>
      <c r="CM15" s="274" t="s">
        <v>446</v>
      </c>
      <c r="CN15" s="275"/>
      <c r="CO15" s="275"/>
      <c r="CP15" s="276"/>
      <c r="CQ15" s="274" t="s">
        <v>446</v>
      </c>
      <c r="CR15" s="275"/>
      <c r="CS15" s="275"/>
      <c r="CT15" s="276"/>
      <c r="CU15" s="274" t="s">
        <v>446</v>
      </c>
      <c r="CV15" s="275"/>
      <c r="CW15" s="275"/>
      <c r="CX15" s="276"/>
      <c r="CY15" s="274" t="s">
        <v>446</v>
      </c>
      <c r="CZ15" s="275"/>
      <c r="DA15" s="275"/>
      <c r="DB15" s="276"/>
      <c r="DC15" s="274" t="s">
        <v>446</v>
      </c>
      <c r="DD15" s="275"/>
      <c r="DE15" s="275"/>
      <c r="DF15" s="276"/>
      <c r="DG15" s="274" t="s">
        <v>446</v>
      </c>
      <c r="DH15" s="275"/>
      <c r="DI15" s="275"/>
      <c r="DJ15" s="276"/>
      <c r="DK15" s="274" t="s">
        <v>446</v>
      </c>
      <c r="DL15" s="275"/>
      <c r="DM15" s="275"/>
      <c r="DN15" s="276"/>
      <c r="DO15" s="274" t="s">
        <v>446</v>
      </c>
      <c r="DP15" s="275"/>
      <c r="DQ15" s="275"/>
      <c r="DR15" s="276"/>
      <c r="DS15" s="274" t="s">
        <v>446</v>
      </c>
      <c r="DT15" s="275"/>
      <c r="DU15" s="275"/>
      <c r="DV15" s="276"/>
      <c r="DW15" s="274" t="s">
        <v>446</v>
      </c>
      <c r="DX15" s="275"/>
      <c r="DY15" s="275"/>
      <c r="DZ15" s="276"/>
      <c r="EA15" s="274" t="s">
        <v>446</v>
      </c>
      <c r="EB15" s="275"/>
      <c r="EC15" s="275"/>
      <c r="ED15" s="276"/>
      <c r="EE15" s="274" t="s">
        <v>446</v>
      </c>
      <c r="EF15" s="275"/>
      <c r="EG15" s="275"/>
      <c r="EH15" s="276"/>
      <c r="EI15" s="274" t="s">
        <v>446</v>
      </c>
      <c r="EJ15" s="275"/>
      <c r="EK15" s="275"/>
      <c r="EL15" s="276"/>
      <c r="EM15" s="274" t="s">
        <v>446</v>
      </c>
      <c r="EN15" s="275"/>
      <c r="EO15" s="275"/>
      <c r="EP15" s="276"/>
      <c r="EQ15" s="274" t="s">
        <v>446</v>
      </c>
      <c r="ER15" s="275"/>
      <c r="ES15" s="275"/>
      <c r="ET15" s="276"/>
      <c r="EU15" s="274" t="s">
        <v>446</v>
      </c>
      <c r="EV15" s="275"/>
      <c r="EW15" s="275"/>
      <c r="EX15" s="276"/>
      <c r="EY15" s="274" t="s">
        <v>446</v>
      </c>
      <c r="EZ15" s="275"/>
      <c r="FA15" s="275"/>
      <c r="FB15" s="276"/>
      <c r="FC15" s="274" t="s">
        <v>446</v>
      </c>
      <c r="FD15" s="275"/>
      <c r="FE15" s="275"/>
      <c r="FF15" s="276"/>
      <c r="FG15" s="274" t="s">
        <v>446</v>
      </c>
      <c r="FH15" s="275"/>
      <c r="FI15" s="275"/>
      <c r="FJ15" s="276"/>
      <c r="FK15" s="274" t="s">
        <v>446</v>
      </c>
      <c r="FL15" s="275"/>
      <c r="FM15" s="275"/>
      <c r="FN15" s="276"/>
      <c r="FO15" s="274" t="s">
        <v>446</v>
      </c>
      <c r="FP15" s="275"/>
      <c r="FQ15" s="275"/>
      <c r="FR15" s="276"/>
      <c r="FS15" s="274" t="s">
        <v>446</v>
      </c>
      <c r="FT15" s="275"/>
      <c r="FU15" s="275"/>
      <c r="FV15" s="276"/>
      <c r="FW15" s="274" t="s">
        <v>446</v>
      </c>
      <c r="FX15" s="275"/>
      <c r="FY15" s="275"/>
      <c r="FZ15" s="276"/>
      <c r="GA15" s="274" t="s">
        <v>446</v>
      </c>
      <c r="GB15" s="275"/>
      <c r="GC15" s="275"/>
      <c r="GD15" s="276"/>
      <c r="GE15" s="274" t="s">
        <v>446</v>
      </c>
      <c r="GF15" s="275"/>
      <c r="GG15" s="275"/>
      <c r="GH15" s="276"/>
      <c r="GI15" s="274" t="s">
        <v>446</v>
      </c>
      <c r="GJ15" s="275"/>
      <c r="GK15" s="275"/>
      <c r="GL15" s="276"/>
      <c r="GM15" s="274" t="s">
        <v>446</v>
      </c>
      <c r="GN15" s="275"/>
      <c r="GO15" s="275"/>
      <c r="GP15" s="276"/>
      <c r="GQ15" s="274" t="s">
        <v>446</v>
      </c>
      <c r="GR15" s="275"/>
      <c r="GS15" s="275"/>
      <c r="GT15" s="276"/>
      <c r="GU15" s="274" t="s">
        <v>446</v>
      </c>
      <c r="GV15" s="275"/>
      <c r="GW15" s="275"/>
      <c r="GX15" s="276"/>
      <c r="GY15" s="274" t="s">
        <v>446</v>
      </c>
      <c r="GZ15" s="275"/>
      <c r="HA15" s="275"/>
      <c r="HB15" s="276"/>
      <c r="HC15" s="1041" t="s">
        <v>563</v>
      </c>
      <c r="HD15" s="1042"/>
      <c r="HE15" s="723">
        <f ca="1">参考3_排出量経年!M116</f>
        <v>0</v>
      </c>
      <c r="HF15" s="277" t="s">
        <v>564</v>
      </c>
      <c r="HG15" s="1041" t="s">
        <v>563</v>
      </c>
      <c r="HH15" s="1042"/>
      <c r="HI15" s="723">
        <f ca="1">参考3_排出量経年!U116</f>
        <v>0</v>
      </c>
      <c r="HJ15" s="277" t="s">
        <v>564</v>
      </c>
      <c r="HL15" s="230">
        <v>6</v>
      </c>
      <c r="HM15" s="714" t="str">
        <f t="shared" ca="1" si="49"/>
        <v/>
      </c>
      <c r="HN15" s="715" t="str">
        <f ca="1">IF(COUNTIF(HN$10:HN14,OFFSET(A1_原単位2025,5,HL15+2))&gt;=1,"",OFFSET(A1_原単位2025,5,HL15+2)&amp;"")</f>
        <v/>
      </c>
      <c r="HO15" s="716" t="str">
        <f t="shared" ca="1" si="50"/>
        <v/>
      </c>
      <c r="HP15" s="717" t="str">
        <f t="shared" ca="1" si="51"/>
        <v/>
      </c>
      <c r="HQ15" s="714" t="str">
        <f t="shared" ca="1" si="52"/>
        <v/>
      </c>
      <c r="HR15" s="715" t="str">
        <f ca="1">IF(COUNTIF(HR$10:HR14,OFFSET(A1_原単位2025,17,HL15+2))&gt;=1,"",OFFSET(A1_原単位2025,17,HL15+2)&amp;"")</f>
        <v/>
      </c>
      <c r="HS15" s="718" t="str">
        <f t="shared" ca="1" si="53"/>
        <v/>
      </c>
      <c r="HT15" s="719" t="str">
        <f t="shared" ca="1" si="54"/>
        <v/>
      </c>
      <c r="HU15" s="714" t="str">
        <f t="shared" ca="1" si="55"/>
        <v/>
      </c>
      <c r="HV15" s="715" t="str">
        <f ca="1">IF(COUNTIF(HV$10:HV14,OFFSET(A1_原単位2025,29,HL15+2))&gt;=1,"",OFFSET(A1_原単位2025,29,HL15+2)&amp;"")</f>
        <v/>
      </c>
      <c r="HW15" s="718" t="str">
        <f t="shared" ca="1" si="56"/>
        <v/>
      </c>
      <c r="HX15" s="719" t="str">
        <f t="shared" ca="1" si="57"/>
        <v/>
      </c>
      <c r="HY15" s="714" t="str">
        <f t="shared" ca="1" si="58"/>
        <v/>
      </c>
      <c r="HZ15" s="715" t="str">
        <f ca="1">IF(COUNTIF(HZ$10:HZ14,OFFSET(A1_原単位2025,41,HL15+2))&gt;=1,"",OFFSET(A1_原単位2025,41,HL15+2)&amp;"")</f>
        <v/>
      </c>
      <c r="IA15" s="720" t="str">
        <f t="shared" ca="1" si="59"/>
        <v/>
      </c>
      <c r="IB15" s="721" t="str">
        <f t="shared" ca="1" si="60"/>
        <v/>
      </c>
      <c r="IE15" s="159" t="str">
        <f t="shared" ca="1" si="61"/>
        <v/>
      </c>
      <c r="IF15" s="159" t="str">
        <f t="shared" ca="1" si="62"/>
        <v/>
      </c>
      <c r="IG15" s="159" t="str">
        <f t="shared" ca="1" si="63"/>
        <v/>
      </c>
      <c r="IH15" s="159" t="str">
        <f t="shared" ca="1" si="64"/>
        <v/>
      </c>
    </row>
    <row r="16" spans="1:242" s="164" customFormat="1" ht="19.2" customHeight="1" thickBot="1">
      <c r="B16" s="250" t="s">
        <v>565</v>
      </c>
      <c r="C16" s="278"/>
      <c r="D16" s="278"/>
      <c r="E16" s="279"/>
      <c r="F16" s="280" t="s">
        <v>566</v>
      </c>
      <c r="G16" s="281" t="s">
        <v>1368</v>
      </c>
      <c r="H16" s="282" t="s">
        <v>348</v>
      </c>
      <c r="I16" s="283" t="s">
        <v>1369</v>
      </c>
      <c r="J16" s="284" t="s">
        <v>1369</v>
      </c>
      <c r="K16" s="285" t="s">
        <v>567</v>
      </c>
      <c r="L16" s="286" t="s">
        <v>1370</v>
      </c>
      <c r="M16" s="286" t="s">
        <v>1371</v>
      </c>
      <c r="N16" s="282" t="s">
        <v>568</v>
      </c>
      <c r="O16" s="285" t="s">
        <v>567</v>
      </c>
      <c r="P16" s="286" t="s">
        <v>1370</v>
      </c>
      <c r="Q16" s="286" t="s">
        <v>1371</v>
      </c>
      <c r="R16" s="282" t="s">
        <v>568</v>
      </c>
      <c r="S16" s="285" t="s">
        <v>567</v>
      </c>
      <c r="T16" s="286" t="s">
        <v>1370</v>
      </c>
      <c r="U16" s="286" t="s">
        <v>1371</v>
      </c>
      <c r="V16" s="282" t="s">
        <v>568</v>
      </c>
      <c r="W16" s="285" t="s">
        <v>567</v>
      </c>
      <c r="X16" s="286" t="s">
        <v>1370</v>
      </c>
      <c r="Y16" s="286" t="s">
        <v>1371</v>
      </c>
      <c r="Z16" s="282" t="s">
        <v>568</v>
      </c>
      <c r="AA16" s="285" t="s">
        <v>567</v>
      </c>
      <c r="AB16" s="286" t="s">
        <v>1370</v>
      </c>
      <c r="AC16" s="286" t="s">
        <v>1371</v>
      </c>
      <c r="AD16" s="282" t="s">
        <v>568</v>
      </c>
      <c r="AE16" s="285" t="s">
        <v>567</v>
      </c>
      <c r="AF16" s="286" t="s">
        <v>1370</v>
      </c>
      <c r="AG16" s="286" t="s">
        <v>1371</v>
      </c>
      <c r="AH16" s="282" t="s">
        <v>568</v>
      </c>
      <c r="AI16" s="285" t="s">
        <v>567</v>
      </c>
      <c r="AJ16" s="286" t="s">
        <v>1370</v>
      </c>
      <c r="AK16" s="286" t="s">
        <v>1371</v>
      </c>
      <c r="AL16" s="282" t="s">
        <v>568</v>
      </c>
      <c r="AM16" s="285" t="s">
        <v>567</v>
      </c>
      <c r="AN16" s="286" t="s">
        <v>1370</v>
      </c>
      <c r="AO16" s="286" t="s">
        <v>1371</v>
      </c>
      <c r="AP16" s="282" t="s">
        <v>568</v>
      </c>
      <c r="AQ16" s="285" t="s">
        <v>567</v>
      </c>
      <c r="AR16" s="286" t="s">
        <v>1370</v>
      </c>
      <c r="AS16" s="286" t="s">
        <v>1371</v>
      </c>
      <c r="AT16" s="282" t="s">
        <v>568</v>
      </c>
      <c r="AU16" s="285" t="s">
        <v>567</v>
      </c>
      <c r="AV16" s="286" t="s">
        <v>1370</v>
      </c>
      <c r="AW16" s="286" t="s">
        <v>1371</v>
      </c>
      <c r="AX16" s="282" t="s">
        <v>568</v>
      </c>
      <c r="AY16" s="285" t="s">
        <v>567</v>
      </c>
      <c r="AZ16" s="286" t="s">
        <v>1370</v>
      </c>
      <c r="BA16" s="286" t="s">
        <v>1371</v>
      </c>
      <c r="BB16" s="282" t="s">
        <v>568</v>
      </c>
      <c r="BC16" s="285" t="s">
        <v>567</v>
      </c>
      <c r="BD16" s="286" t="s">
        <v>1370</v>
      </c>
      <c r="BE16" s="286" t="s">
        <v>1371</v>
      </c>
      <c r="BF16" s="282" t="s">
        <v>568</v>
      </c>
      <c r="BG16" s="285" t="s">
        <v>567</v>
      </c>
      <c r="BH16" s="286" t="s">
        <v>1370</v>
      </c>
      <c r="BI16" s="286" t="s">
        <v>1371</v>
      </c>
      <c r="BJ16" s="282" t="s">
        <v>568</v>
      </c>
      <c r="BK16" s="285" t="s">
        <v>567</v>
      </c>
      <c r="BL16" s="286" t="s">
        <v>1370</v>
      </c>
      <c r="BM16" s="286" t="s">
        <v>1371</v>
      </c>
      <c r="BN16" s="282" t="s">
        <v>568</v>
      </c>
      <c r="BO16" s="285" t="s">
        <v>567</v>
      </c>
      <c r="BP16" s="286" t="s">
        <v>1370</v>
      </c>
      <c r="BQ16" s="286" t="s">
        <v>1371</v>
      </c>
      <c r="BR16" s="282" t="s">
        <v>568</v>
      </c>
      <c r="BS16" s="285" t="s">
        <v>567</v>
      </c>
      <c r="BT16" s="286" t="s">
        <v>1370</v>
      </c>
      <c r="BU16" s="286" t="s">
        <v>1371</v>
      </c>
      <c r="BV16" s="282" t="s">
        <v>568</v>
      </c>
      <c r="BW16" s="285" t="s">
        <v>449</v>
      </c>
      <c r="BX16" s="286" t="s">
        <v>450</v>
      </c>
      <c r="BY16" s="286" t="s">
        <v>451</v>
      </c>
      <c r="BZ16" s="282" t="s">
        <v>452</v>
      </c>
      <c r="CA16" s="285" t="s">
        <v>449</v>
      </c>
      <c r="CB16" s="286" t="s">
        <v>450</v>
      </c>
      <c r="CC16" s="286" t="s">
        <v>451</v>
      </c>
      <c r="CD16" s="282" t="s">
        <v>452</v>
      </c>
      <c r="CE16" s="285" t="s">
        <v>449</v>
      </c>
      <c r="CF16" s="286" t="s">
        <v>450</v>
      </c>
      <c r="CG16" s="286" t="s">
        <v>451</v>
      </c>
      <c r="CH16" s="282" t="s">
        <v>452</v>
      </c>
      <c r="CI16" s="285" t="s">
        <v>449</v>
      </c>
      <c r="CJ16" s="286" t="s">
        <v>450</v>
      </c>
      <c r="CK16" s="286" t="s">
        <v>451</v>
      </c>
      <c r="CL16" s="282" t="s">
        <v>452</v>
      </c>
      <c r="CM16" s="285" t="s">
        <v>449</v>
      </c>
      <c r="CN16" s="286" t="s">
        <v>450</v>
      </c>
      <c r="CO16" s="286" t="s">
        <v>451</v>
      </c>
      <c r="CP16" s="282" t="s">
        <v>452</v>
      </c>
      <c r="CQ16" s="285" t="s">
        <v>449</v>
      </c>
      <c r="CR16" s="286" t="s">
        <v>450</v>
      </c>
      <c r="CS16" s="286" t="s">
        <v>451</v>
      </c>
      <c r="CT16" s="282" t="s">
        <v>452</v>
      </c>
      <c r="CU16" s="285" t="s">
        <v>449</v>
      </c>
      <c r="CV16" s="286" t="s">
        <v>450</v>
      </c>
      <c r="CW16" s="286" t="s">
        <v>451</v>
      </c>
      <c r="CX16" s="282" t="s">
        <v>452</v>
      </c>
      <c r="CY16" s="285" t="s">
        <v>449</v>
      </c>
      <c r="CZ16" s="286" t="s">
        <v>450</v>
      </c>
      <c r="DA16" s="286" t="s">
        <v>451</v>
      </c>
      <c r="DB16" s="282" t="s">
        <v>452</v>
      </c>
      <c r="DC16" s="285" t="s">
        <v>449</v>
      </c>
      <c r="DD16" s="286" t="s">
        <v>450</v>
      </c>
      <c r="DE16" s="286" t="s">
        <v>451</v>
      </c>
      <c r="DF16" s="282" t="s">
        <v>452</v>
      </c>
      <c r="DG16" s="285" t="s">
        <v>449</v>
      </c>
      <c r="DH16" s="286" t="s">
        <v>450</v>
      </c>
      <c r="DI16" s="286" t="s">
        <v>451</v>
      </c>
      <c r="DJ16" s="282" t="s">
        <v>452</v>
      </c>
      <c r="DK16" s="285" t="s">
        <v>449</v>
      </c>
      <c r="DL16" s="286" t="s">
        <v>450</v>
      </c>
      <c r="DM16" s="286" t="s">
        <v>451</v>
      </c>
      <c r="DN16" s="282" t="s">
        <v>452</v>
      </c>
      <c r="DO16" s="285" t="s">
        <v>449</v>
      </c>
      <c r="DP16" s="286" t="s">
        <v>450</v>
      </c>
      <c r="DQ16" s="286" t="s">
        <v>451</v>
      </c>
      <c r="DR16" s="282" t="s">
        <v>452</v>
      </c>
      <c r="DS16" s="285" t="s">
        <v>449</v>
      </c>
      <c r="DT16" s="286" t="s">
        <v>450</v>
      </c>
      <c r="DU16" s="286" t="s">
        <v>451</v>
      </c>
      <c r="DV16" s="282" t="s">
        <v>452</v>
      </c>
      <c r="DW16" s="285" t="s">
        <v>449</v>
      </c>
      <c r="DX16" s="286" t="s">
        <v>450</v>
      </c>
      <c r="DY16" s="286" t="s">
        <v>451</v>
      </c>
      <c r="DZ16" s="282" t="s">
        <v>452</v>
      </c>
      <c r="EA16" s="285" t="s">
        <v>449</v>
      </c>
      <c r="EB16" s="286" t="s">
        <v>450</v>
      </c>
      <c r="EC16" s="286" t="s">
        <v>451</v>
      </c>
      <c r="ED16" s="282" t="s">
        <v>452</v>
      </c>
      <c r="EE16" s="285" t="s">
        <v>449</v>
      </c>
      <c r="EF16" s="286" t="s">
        <v>450</v>
      </c>
      <c r="EG16" s="286" t="s">
        <v>451</v>
      </c>
      <c r="EH16" s="282" t="s">
        <v>452</v>
      </c>
      <c r="EI16" s="285" t="s">
        <v>449</v>
      </c>
      <c r="EJ16" s="286" t="s">
        <v>450</v>
      </c>
      <c r="EK16" s="286" t="s">
        <v>451</v>
      </c>
      <c r="EL16" s="282" t="s">
        <v>452</v>
      </c>
      <c r="EM16" s="285" t="s">
        <v>449</v>
      </c>
      <c r="EN16" s="286" t="s">
        <v>450</v>
      </c>
      <c r="EO16" s="286" t="s">
        <v>451</v>
      </c>
      <c r="EP16" s="282" t="s">
        <v>452</v>
      </c>
      <c r="EQ16" s="285" t="s">
        <v>449</v>
      </c>
      <c r="ER16" s="286" t="s">
        <v>450</v>
      </c>
      <c r="ES16" s="286" t="s">
        <v>451</v>
      </c>
      <c r="ET16" s="282" t="s">
        <v>452</v>
      </c>
      <c r="EU16" s="285" t="s">
        <v>449</v>
      </c>
      <c r="EV16" s="286" t="s">
        <v>450</v>
      </c>
      <c r="EW16" s="286" t="s">
        <v>451</v>
      </c>
      <c r="EX16" s="282" t="s">
        <v>452</v>
      </c>
      <c r="EY16" s="285" t="s">
        <v>449</v>
      </c>
      <c r="EZ16" s="286" t="s">
        <v>450</v>
      </c>
      <c r="FA16" s="286" t="s">
        <v>451</v>
      </c>
      <c r="FB16" s="282" t="s">
        <v>452</v>
      </c>
      <c r="FC16" s="285" t="s">
        <v>449</v>
      </c>
      <c r="FD16" s="286" t="s">
        <v>450</v>
      </c>
      <c r="FE16" s="286" t="s">
        <v>451</v>
      </c>
      <c r="FF16" s="282" t="s">
        <v>452</v>
      </c>
      <c r="FG16" s="285" t="s">
        <v>449</v>
      </c>
      <c r="FH16" s="286" t="s">
        <v>450</v>
      </c>
      <c r="FI16" s="286" t="s">
        <v>451</v>
      </c>
      <c r="FJ16" s="282" t="s">
        <v>452</v>
      </c>
      <c r="FK16" s="285" t="s">
        <v>449</v>
      </c>
      <c r="FL16" s="286" t="s">
        <v>450</v>
      </c>
      <c r="FM16" s="286" t="s">
        <v>451</v>
      </c>
      <c r="FN16" s="282" t="s">
        <v>452</v>
      </c>
      <c r="FO16" s="285" t="s">
        <v>449</v>
      </c>
      <c r="FP16" s="286" t="s">
        <v>450</v>
      </c>
      <c r="FQ16" s="286" t="s">
        <v>451</v>
      </c>
      <c r="FR16" s="282" t="s">
        <v>452</v>
      </c>
      <c r="FS16" s="285" t="s">
        <v>449</v>
      </c>
      <c r="FT16" s="286" t="s">
        <v>450</v>
      </c>
      <c r="FU16" s="286" t="s">
        <v>451</v>
      </c>
      <c r="FV16" s="282" t="s">
        <v>452</v>
      </c>
      <c r="FW16" s="285" t="s">
        <v>449</v>
      </c>
      <c r="FX16" s="286" t="s">
        <v>450</v>
      </c>
      <c r="FY16" s="286" t="s">
        <v>451</v>
      </c>
      <c r="FZ16" s="282" t="s">
        <v>452</v>
      </c>
      <c r="GA16" s="285" t="s">
        <v>449</v>
      </c>
      <c r="GB16" s="286" t="s">
        <v>450</v>
      </c>
      <c r="GC16" s="286" t="s">
        <v>451</v>
      </c>
      <c r="GD16" s="282" t="s">
        <v>452</v>
      </c>
      <c r="GE16" s="285" t="s">
        <v>449</v>
      </c>
      <c r="GF16" s="286" t="s">
        <v>450</v>
      </c>
      <c r="GG16" s="286" t="s">
        <v>451</v>
      </c>
      <c r="GH16" s="282" t="s">
        <v>452</v>
      </c>
      <c r="GI16" s="285" t="s">
        <v>449</v>
      </c>
      <c r="GJ16" s="286" t="s">
        <v>450</v>
      </c>
      <c r="GK16" s="286" t="s">
        <v>451</v>
      </c>
      <c r="GL16" s="282" t="s">
        <v>452</v>
      </c>
      <c r="GM16" s="285" t="s">
        <v>449</v>
      </c>
      <c r="GN16" s="286" t="s">
        <v>450</v>
      </c>
      <c r="GO16" s="286" t="s">
        <v>451</v>
      </c>
      <c r="GP16" s="282" t="s">
        <v>452</v>
      </c>
      <c r="GQ16" s="285" t="s">
        <v>449</v>
      </c>
      <c r="GR16" s="286" t="s">
        <v>450</v>
      </c>
      <c r="GS16" s="286" t="s">
        <v>451</v>
      </c>
      <c r="GT16" s="282" t="s">
        <v>452</v>
      </c>
      <c r="GU16" s="285" t="s">
        <v>449</v>
      </c>
      <c r="GV16" s="286" t="s">
        <v>450</v>
      </c>
      <c r="GW16" s="286" t="s">
        <v>451</v>
      </c>
      <c r="GX16" s="282" t="s">
        <v>452</v>
      </c>
      <c r="GY16" s="285" t="s">
        <v>449</v>
      </c>
      <c r="GZ16" s="286" t="s">
        <v>450</v>
      </c>
      <c r="HA16" s="286" t="s">
        <v>451</v>
      </c>
      <c r="HB16" s="282" t="s">
        <v>452</v>
      </c>
      <c r="HC16" s="287" t="s">
        <v>569</v>
      </c>
      <c r="HD16" s="288" t="s">
        <v>570</v>
      </c>
      <c r="HE16" s="288" t="s">
        <v>571</v>
      </c>
      <c r="HF16" s="289" t="s">
        <v>572</v>
      </c>
      <c r="HG16" s="287" t="s">
        <v>569</v>
      </c>
      <c r="HH16" s="288" t="s">
        <v>570</v>
      </c>
      <c r="HI16" s="288" t="s">
        <v>571</v>
      </c>
      <c r="HJ16" s="289" t="s">
        <v>572</v>
      </c>
      <c r="HL16" s="219">
        <v>7</v>
      </c>
      <c r="HM16" s="714" t="str">
        <f t="shared" ca="1" si="49"/>
        <v/>
      </c>
      <c r="HN16" s="715" t="str">
        <f ca="1">IF(COUNTIF(HN$10:HN15,OFFSET(A1_原単位2025,5,HL16+2))&gt;=1,"",OFFSET(A1_原単位2025,5,HL16+2)&amp;"")</f>
        <v/>
      </c>
      <c r="HO16" s="716" t="str">
        <f t="shared" ca="1" si="50"/>
        <v/>
      </c>
      <c r="HP16" s="717" t="str">
        <f t="shared" ca="1" si="51"/>
        <v/>
      </c>
      <c r="HQ16" s="714" t="str">
        <f t="shared" ca="1" si="52"/>
        <v/>
      </c>
      <c r="HR16" s="715" t="str">
        <f ca="1">IF(COUNTIF(HR$10:HR15,OFFSET(A1_原単位2025,17,HL16+2))&gt;=1,"",OFFSET(A1_原単位2025,17,HL16+2)&amp;"")</f>
        <v/>
      </c>
      <c r="HS16" s="718" t="str">
        <f t="shared" ca="1" si="53"/>
        <v/>
      </c>
      <c r="HT16" s="719" t="str">
        <f t="shared" ca="1" si="54"/>
        <v/>
      </c>
      <c r="HU16" s="714" t="str">
        <f t="shared" ca="1" si="55"/>
        <v/>
      </c>
      <c r="HV16" s="715" t="str">
        <f ca="1">IF(COUNTIF(HV$10:HV15,OFFSET(A1_原単位2025,29,HL16+2))&gt;=1,"",OFFSET(A1_原単位2025,29,HL16+2)&amp;"")</f>
        <v/>
      </c>
      <c r="HW16" s="718" t="str">
        <f t="shared" ca="1" si="56"/>
        <v/>
      </c>
      <c r="HX16" s="719" t="str">
        <f t="shared" ca="1" si="57"/>
        <v/>
      </c>
      <c r="HY16" s="714" t="str">
        <f t="shared" ca="1" si="58"/>
        <v/>
      </c>
      <c r="HZ16" s="715" t="str">
        <f ca="1">IF(COUNTIF(HZ$10:HZ15,OFFSET(A1_原単位2025,41,HL16+2))&gt;=1,"",OFFSET(A1_原単位2025,41,HL16+2)&amp;"")</f>
        <v/>
      </c>
      <c r="IA16" s="720" t="str">
        <f t="shared" ca="1" si="59"/>
        <v/>
      </c>
      <c r="IB16" s="721" t="str">
        <f t="shared" ca="1" si="60"/>
        <v/>
      </c>
      <c r="IE16" s="159" t="str">
        <f t="shared" ca="1" si="61"/>
        <v/>
      </c>
      <c r="IF16" s="159" t="str">
        <f t="shared" ca="1" si="62"/>
        <v/>
      </c>
      <c r="IG16" s="159" t="str">
        <f t="shared" ca="1" si="63"/>
        <v/>
      </c>
      <c r="IH16" s="159" t="str">
        <f t="shared" ca="1" si="64"/>
        <v/>
      </c>
    </row>
    <row r="17" spans="2:242" s="164" customFormat="1" ht="19.2" customHeight="1">
      <c r="B17" s="290" t="s">
        <v>573</v>
      </c>
      <c r="C17" s="291" t="s">
        <v>346</v>
      </c>
      <c r="D17" s="258"/>
      <c r="E17" s="292"/>
      <c r="F17" s="291" t="s">
        <v>453</v>
      </c>
      <c r="G17" s="293">
        <v>38.299999999999997</v>
      </c>
      <c r="H17" s="294">
        <v>1.9E-2</v>
      </c>
      <c r="I17" s="295"/>
      <c r="J17" s="296"/>
      <c r="K17" s="297"/>
      <c r="L17" s="298"/>
      <c r="M17" s="298"/>
      <c r="N17" s="296"/>
      <c r="O17" s="297"/>
      <c r="P17" s="298"/>
      <c r="Q17" s="298"/>
      <c r="R17" s="296"/>
      <c r="S17" s="297"/>
      <c r="T17" s="298"/>
      <c r="U17" s="298"/>
      <c r="V17" s="296"/>
      <c r="W17" s="297"/>
      <c r="X17" s="298"/>
      <c r="Y17" s="298"/>
      <c r="Z17" s="296"/>
      <c r="AA17" s="297"/>
      <c r="AB17" s="298"/>
      <c r="AC17" s="298"/>
      <c r="AD17" s="296"/>
      <c r="AE17" s="297"/>
      <c r="AF17" s="298"/>
      <c r="AG17" s="298"/>
      <c r="AH17" s="296"/>
      <c r="AI17" s="297"/>
      <c r="AJ17" s="298"/>
      <c r="AK17" s="298"/>
      <c r="AL17" s="296"/>
      <c r="AM17" s="297"/>
      <c r="AN17" s="298"/>
      <c r="AO17" s="298"/>
      <c r="AP17" s="296"/>
      <c r="AQ17" s="297"/>
      <c r="AR17" s="298"/>
      <c r="AS17" s="298"/>
      <c r="AT17" s="296"/>
      <c r="AU17" s="297"/>
      <c r="AV17" s="298"/>
      <c r="AW17" s="298"/>
      <c r="AX17" s="296"/>
      <c r="AY17" s="297"/>
      <c r="AZ17" s="298"/>
      <c r="BA17" s="298"/>
      <c r="BB17" s="296"/>
      <c r="BC17" s="297"/>
      <c r="BD17" s="298"/>
      <c r="BE17" s="298"/>
      <c r="BF17" s="296"/>
      <c r="BG17" s="297"/>
      <c r="BH17" s="298"/>
      <c r="BI17" s="298"/>
      <c r="BJ17" s="296"/>
      <c r="BK17" s="297"/>
      <c r="BL17" s="298"/>
      <c r="BM17" s="298"/>
      <c r="BN17" s="296"/>
      <c r="BO17" s="297"/>
      <c r="BP17" s="298"/>
      <c r="BQ17" s="298"/>
      <c r="BR17" s="296"/>
      <c r="BS17" s="297"/>
      <c r="BT17" s="298"/>
      <c r="BU17" s="298"/>
      <c r="BV17" s="296"/>
      <c r="BW17" s="297"/>
      <c r="BX17" s="298"/>
      <c r="BY17" s="298"/>
      <c r="BZ17" s="296"/>
      <c r="CA17" s="297"/>
      <c r="CB17" s="298"/>
      <c r="CC17" s="298"/>
      <c r="CD17" s="296"/>
      <c r="CE17" s="297"/>
      <c r="CF17" s="298"/>
      <c r="CG17" s="298"/>
      <c r="CH17" s="296"/>
      <c r="CI17" s="297"/>
      <c r="CJ17" s="298"/>
      <c r="CK17" s="298"/>
      <c r="CL17" s="296"/>
      <c r="CM17" s="297"/>
      <c r="CN17" s="298"/>
      <c r="CO17" s="298"/>
      <c r="CP17" s="296"/>
      <c r="CQ17" s="297"/>
      <c r="CR17" s="298"/>
      <c r="CS17" s="298"/>
      <c r="CT17" s="296"/>
      <c r="CU17" s="297"/>
      <c r="CV17" s="298"/>
      <c r="CW17" s="298"/>
      <c r="CX17" s="296"/>
      <c r="CY17" s="297"/>
      <c r="CZ17" s="298"/>
      <c r="DA17" s="298"/>
      <c r="DB17" s="296"/>
      <c r="DC17" s="297"/>
      <c r="DD17" s="298"/>
      <c r="DE17" s="298"/>
      <c r="DF17" s="296"/>
      <c r="DG17" s="297"/>
      <c r="DH17" s="298"/>
      <c r="DI17" s="298"/>
      <c r="DJ17" s="296"/>
      <c r="DK17" s="297"/>
      <c r="DL17" s="298"/>
      <c r="DM17" s="298"/>
      <c r="DN17" s="296"/>
      <c r="DO17" s="297"/>
      <c r="DP17" s="298"/>
      <c r="DQ17" s="298"/>
      <c r="DR17" s="296"/>
      <c r="DS17" s="297"/>
      <c r="DT17" s="298"/>
      <c r="DU17" s="298"/>
      <c r="DV17" s="296"/>
      <c r="DW17" s="297"/>
      <c r="DX17" s="298"/>
      <c r="DY17" s="298"/>
      <c r="DZ17" s="296"/>
      <c r="EA17" s="297"/>
      <c r="EB17" s="298"/>
      <c r="EC17" s="298"/>
      <c r="ED17" s="296"/>
      <c r="EE17" s="297"/>
      <c r="EF17" s="298"/>
      <c r="EG17" s="298"/>
      <c r="EH17" s="296"/>
      <c r="EI17" s="297"/>
      <c r="EJ17" s="298"/>
      <c r="EK17" s="298"/>
      <c r="EL17" s="296"/>
      <c r="EM17" s="297"/>
      <c r="EN17" s="298"/>
      <c r="EO17" s="298"/>
      <c r="EP17" s="296"/>
      <c r="EQ17" s="297"/>
      <c r="ER17" s="298"/>
      <c r="ES17" s="298"/>
      <c r="ET17" s="296"/>
      <c r="EU17" s="297"/>
      <c r="EV17" s="298"/>
      <c r="EW17" s="298"/>
      <c r="EX17" s="296"/>
      <c r="EY17" s="297"/>
      <c r="EZ17" s="298"/>
      <c r="FA17" s="298"/>
      <c r="FB17" s="296"/>
      <c r="FC17" s="297"/>
      <c r="FD17" s="298"/>
      <c r="FE17" s="298"/>
      <c r="FF17" s="296"/>
      <c r="FG17" s="297"/>
      <c r="FH17" s="298"/>
      <c r="FI17" s="298"/>
      <c r="FJ17" s="296"/>
      <c r="FK17" s="297"/>
      <c r="FL17" s="298"/>
      <c r="FM17" s="298"/>
      <c r="FN17" s="296"/>
      <c r="FO17" s="297"/>
      <c r="FP17" s="298"/>
      <c r="FQ17" s="298"/>
      <c r="FR17" s="296"/>
      <c r="FS17" s="297"/>
      <c r="FT17" s="298"/>
      <c r="FU17" s="298"/>
      <c r="FV17" s="296"/>
      <c r="FW17" s="297"/>
      <c r="FX17" s="298"/>
      <c r="FY17" s="298"/>
      <c r="FZ17" s="296"/>
      <c r="GA17" s="297"/>
      <c r="GB17" s="298"/>
      <c r="GC17" s="298"/>
      <c r="GD17" s="296"/>
      <c r="GE17" s="297"/>
      <c r="GF17" s="298"/>
      <c r="GG17" s="298"/>
      <c r="GH17" s="296"/>
      <c r="GI17" s="297"/>
      <c r="GJ17" s="298"/>
      <c r="GK17" s="298"/>
      <c r="GL17" s="296"/>
      <c r="GM17" s="297"/>
      <c r="GN17" s="298"/>
      <c r="GO17" s="298"/>
      <c r="GP17" s="296"/>
      <c r="GQ17" s="297"/>
      <c r="GR17" s="298"/>
      <c r="GS17" s="298"/>
      <c r="GT17" s="296"/>
      <c r="GU17" s="297"/>
      <c r="GV17" s="298"/>
      <c r="GW17" s="298"/>
      <c r="GX17" s="296"/>
      <c r="GY17" s="297"/>
      <c r="GZ17" s="298"/>
      <c r="HA17" s="298"/>
      <c r="HB17" s="296"/>
      <c r="HC17" s="299">
        <f t="shared" ref="HC17:HE48" si="66">K17+O17+S17+W17+AA17+AE17+AI17+AM17+AQ17+AU17+AY17+BC17+BG17+BK17+BO17+BS17+BW17+CA17+CE17+CI17+CM17+CQ17+CU17+CY17+DC17+DG17+DK17+DO17+DS17+DW17+EA17+EE17+EI17+EM17+EQ17+EU17+EY17+FC17+FG17+FK17+FO17+FS17+FW17+GA17+GE17+GI17+GM17+GQ17+GU17+GY17</f>
        <v>0</v>
      </c>
      <c r="HD17" s="300">
        <f t="shared" si="66"/>
        <v>0</v>
      </c>
      <c r="HE17" s="300">
        <f t="shared" si="66"/>
        <v>0</v>
      </c>
      <c r="HF17" s="301"/>
      <c r="HG17" s="299">
        <f>SUM(SUMIFS(K17:HB17,$K$13:$HB$13,{"エネルギー管理指定工場等*","県域*"}))</f>
        <v>0</v>
      </c>
      <c r="HH17" s="300">
        <f>SUM(SUMIFS(L17:HC17,$K$13:$HB$13,{"エネルギー管理指定工場等*","県域*"}))</f>
        <v>0</v>
      </c>
      <c r="HI17" s="300">
        <f>SUM(SUMIFS(M17:HD17,$K$13:$HB$13,{"エネルギー管理指定工場等*","県域*"}))</f>
        <v>0</v>
      </c>
      <c r="HJ17" s="301"/>
      <c r="HL17" s="219">
        <v>8</v>
      </c>
      <c r="HM17" s="714" t="str">
        <f t="shared" ca="1" si="49"/>
        <v/>
      </c>
      <c r="HN17" s="715" t="str">
        <f ca="1">IF(COUNTIF(HN$10:HN16,OFFSET(A1_原単位2025,5,HL17+2))&gt;=1,"",OFFSET(A1_原単位2025,5,HL17+2)&amp;"")</f>
        <v/>
      </c>
      <c r="HO17" s="716" t="str">
        <f t="shared" ca="1" si="50"/>
        <v/>
      </c>
      <c r="HP17" s="717" t="str">
        <f t="shared" ca="1" si="51"/>
        <v/>
      </c>
      <c r="HQ17" s="714" t="str">
        <f t="shared" ca="1" si="52"/>
        <v/>
      </c>
      <c r="HR17" s="715" t="str">
        <f ca="1">IF(COUNTIF(HR$10:HR16,OFFSET(A1_原単位2025,17,HL17+2))&gt;=1,"",OFFSET(A1_原単位2025,17,HL17+2)&amp;"")</f>
        <v/>
      </c>
      <c r="HS17" s="718" t="str">
        <f t="shared" ca="1" si="53"/>
        <v/>
      </c>
      <c r="HT17" s="719" t="str">
        <f t="shared" ca="1" si="54"/>
        <v/>
      </c>
      <c r="HU17" s="714" t="str">
        <f t="shared" ca="1" si="55"/>
        <v/>
      </c>
      <c r="HV17" s="715" t="str">
        <f ca="1">IF(COUNTIF(HV$10:HV16,OFFSET(A1_原単位2025,29,HL17+2))&gt;=1,"",OFFSET(A1_原単位2025,29,HL17+2)&amp;"")</f>
        <v/>
      </c>
      <c r="HW17" s="718" t="str">
        <f t="shared" ca="1" si="56"/>
        <v/>
      </c>
      <c r="HX17" s="719" t="str">
        <f t="shared" ca="1" si="57"/>
        <v/>
      </c>
      <c r="HY17" s="714" t="str">
        <f t="shared" ca="1" si="58"/>
        <v/>
      </c>
      <c r="HZ17" s="715" t="str">
        <f ca="1">IF(COUNTIF(HZ$10:HZ16,OFFSET(A1_原単位2025,41,HL17+2))&gt;=1,"",OFFSET(A1_原単位2025,41,HL17+2)&amp;"")</f>
        <v/>
      </c>
      <c r="IA17" s="720" t="str">
        <f t="shared" ca="1" si="59"/>
        <v/>
      </c>
      <c r="IB17" s="721" t="str">
        <f t="shared" ca="1" si="60"/>
        <v/>
      </c>
      <c r="IE17" s="159" t="str">
        <f t="shared" ca="1" si="61"/>
        <v/>
      </c>
      <c r="IF17" s="159" t="str">
        <f t="shared" ca="1" si="62"/>
        <v/>
      </c>
      <c r="IG17" s="159" t="str">
        <f t="shared" ca="1" si="63"/>
        <v/>
      </c>
      <c r="IH17" s="159" t="str">
        <f t="shared" ca="1" si="64"/>
        <v/>
      </c>
    </row>
    <row r="18" spans="2:242" s="164" customFormat="1" ht="19.2" customHeight="1">
      <c r="B18" s="302"/>
      <c r="C18" s="303" t="s">
        <v>574</v>
      </c>
      <c r="D18" s="304"/>
      <c r="E18" s="305"/>
      <c r="F18" s="303" t="s">
        <v>453</v>
      </c>
      <c r="G18" s="306">
        <v>34.799999999999997</v>
      </c>
      <c r="H18" s="307">
        <v>1.83E-2</v>
      </c>
      <c r="I18" s="308"/>
      <c r="J18" s="309"/>
      <c r="K18" s="310"/>
      <c r="L18" s="311"/>
      <c r="M18" s="311"/>
      <c r="N18" s="309"/>
      <c r="O18" s="310"/>
      <c r="P18" s="311"/>
      <c r="Q18" s="311"/>
      <c r="R18" s="309"/>
      <c r="S18" s="310"/>
      <c r="T18" s="311"/>
      <c r="U18" s="311"/>
      <c r="V18" s="309"/>
      <c r="W18" s="310"/>
      <c r="X18" s="311"/>
      <c r="Y18" s="311"/>
      <c r="Z18" s="309"/>
      <c r="AA18" s="310"/>
      <c r="AB18" s="311"/>
      <c r="AC18" s="311"/>
      <c r="AD18" s="309"/>
      <c r="AE18" s="310"/>
      <c r="AF18" s="311"/>
      <c r="AG18" s="311"/>
      <c r="AH18" s="309"/>
      <c r="AI18" s="310"/>
      <c r="AJ18" s="311"/>
      <c r="AK18" s="311"/>
      <c r="AL18" s="309"/>
      <c r="AM18" s="310"/>
      <c r="AN18" s="311"/>
      <c r="AO18" s="311"/>
      <c r="AP18" s="309"/>
      <c r="AQ18" s="310"/>
      <c r="AR18" s="311"/>
      <c r="AS18" s="311"/>
      <c r="AT18" s="309"/>
      <c r="AU18" s="310"/>
      <c r="AV18" s="311"/>
      <c r="AW18" s="311"/>
      <c r="AX18" s="309"/>
      <c r="AY18" s="310"/>
      <c r="AZ18" s="311"/>
      <c r="BA18" s="311"/>
      <c r="BB18" s="309"/>
      <c r="BC18" s="310"/>
      <c r="BD18" s="311"/>
      <c r="BE18" s="311"/>
      <c r="BF18" s="309"/>
      <c r="BG18" s="310"/>
      <c r="BH18" s="311"/>
      <c r="BI18" s="311"/>
      <c r="BJ18" s="309"/>
      <c r="BK18" s="310"/>
      <c r="BL18" s="311"/>
      <c r="BM18" s="311"/>
      <c r="BN18" s="309"/>
      <c r="BO18" s="310"/>
      <c r="BP18" s="311"/>
      <c r="BQ18" s="311"/>
      <c r="BR18" s="309"/>
      <c r="BS18" s="310"/>
      <c r="BT18" s="311"/>
      <c r="BU18" s="311"/>
      <c r="BV18" s="309"/>
      <c r="BW18" s="310"/>
      <c r="BX18" s="311"/>
      <c r="BY18" s="311"/>
      <c r="BZ18" s="309"/>
      <c r="CA18" s="310"/>
      <c r="CB18" s="311"/>
      <c r="CC18" s="311"/>
      <c r="CD18" s="309"/>
      <c r="CE18" s="310"/>
      <c r="CF18" s="311"/>
      <c r="CG18" s="311"/>
      <c r="CH18" s="309"/>
      <c r="CI18" s="310"/>
      <c r="CJ18" s="311"/>
      <c r="CK18" s="311"/>
      <c r="CL18" s="309"/>
      <c r="CM18" s="310"/>
      <c r="CN18" s="311"/>
      <c r="CO18" s="311"/>
      <c r="CP18" s="309"/>
      <c r="CQ18" s="310"/>
      <c r="CR18" s="311"/>
      <c r="CS18" s="311"/>
      <c r="CT18" s="309"/>
      <c r="CU18" s="310"/>
      <c r="CV18" s="311"/>
      <c r="CW18" s="311"/>
      <c r="CX18" s="309"/>
      <c r="CY18" s="310"/>
      <c r="CZ18" s="311"/>
      <c r="DA18" s="311"/>
      <c r="DB18" s="309"/>
      <c r="DC18" s="310"/>
      <c r="DD18" s="311"/>
      <c r="DE18" s="311"/>
      <c r="DF18" s="309"/>
      <c r="DG18" s="310"/>
      <c r="DH18" s="311"/>
      <c r="DI18" s="311"/>
      <c r="DJ18" s="309"/>
      <c r="DK18" s="310"/>
      <c r="DL18" s="311"/>
      <c r="DM18" s="311"/>
      <c r="DN18" s="309"/>
      <c r="DO18" s="310"/>
      <c r="DP18" s="311"/>
      <c r="DQ18" s="311"/>
      <c r="DR18" s="309"/>
      <c r="DS18" s="310"/>
      <c r="DT18" s="311"/>
      <c r="DU18" s="311"/>
      <c r="DV18" s="309"/>
      <c r="DW18" s="310"/>
      <c r="DX18" s="311"/>
      <c r="DY18" s="311"/>
      <c r="DZ18" s="309"/>
      <c r="EA18" s="310"/>
      <c r="EB18" s="311"/>
      <c r="EC18" s="311"/>
      <c r="ED18" s="309"/>
      <c r="EE18" s="310"/>
      <c r="EF18" s="311"/>
      <c r="EG18" s="311"/>
      <c r="EH18" s="309"/>
      <c r="EI18" s="310"/>
      <c r="EJ18" s="311"/>
      <c r="EK18" s="311"/>
      <c r="EL18" s="309"/>
      <c r="EM18" s="310"/>
      <c r="EN18" s="311"/>
      <c r="EO18" s="311"/>
      <c r="EP18" s="309"/>
      <c r="EQ18" s="310"/>
      <c r="ER18" s="311"/>
      <c r="ES18" s="311"/>
      <c r="ET18" s="309"/>
      <c r="EU18" s="310"/>
      <c r="EV18" s="311"/>
      <c r="EW18" s="311"/>
      <c r="EX18" s="309"/>
      <c r="EY18" s="310"/>
      <c r="EZ18" s="311"/>
      <c r="FA18" s="311"/>
      <c r="FB18" s="309"/>
      <c r="FC18" s="310"/>
      <c r="FD18" s="311"/>
      <c r="FE18" s="311"/>
      <c r="FF18" s="309"/>
      <c r="FG18" s="310"/>
      <c r="FH18" s="311"/>
      <c r="FI18" s="311"/>
      <c r="FJ18" s="309"/>
      <c r="FK18" s="310"/>
      <c r="FL18" s="311"/>
      <c r="FM18" s="311"/>
      <c r="FN18" s="309"/>
      <c r="FO18" s="310"/>
      <c r="FP18" s="311"/>
      <c r="FQ18" s="311"/>
      <c r="FR18" s="309"/>
      <c r="FS18" s="310"/>
      <c r="FT18" s="311"/>
      <c r="FU18" s="311"/>
      <c r="FV18" s="309"/>
      <c r="FW18" s="310"/>
      <c r="FX18" s="311"/>
      <c r="FY18" s="311"/>
      <c r="FZ18" s="309"/>
      <c r="GA18" s="310"/>
      <c r="GB18" s="311"/>
      <c r="GC18" s="311"/>
      <c r="GD18" s="309"/>
      <c r="GE18" s="310"/>
      <c r="GF18" s="311"/>
      <c r="GG18" s="311"/>
      <c r="GH18" s="309"/>
      <c r="GI18" s="310"/>
      <c r="GJ18" s="311"/>
      <c r="GK18" s="311"/>
      <c r="GL18" s="309"/>
      <c r="GM18" s="310"/>
      <c r="GN18" s="311"/>
      <c r="GO18" s="311"/>
      <c r="GP18" s="309"/>
      <c r="GQ18" s="310"/>
      <c r="GR18" s="311"/>
      <c r="GS18" s="311"/>
      <c r="GT18" s="309"/>
      <c r="GU18" s="310"/>
      <c r="GV18" s="311"/>
      <c r="GW18" s="311"/>
      <c r="GX18" s="309"/>
      <c r="GY18" s="310"/>
      <c r="GZ18" s="311"/>
      <c r="HA18" s="311"/>
      <c r="HB18" s="309"/>
      <c r="HC18" s="312">
        <f t="shared" si="66"/>
        <v>0</v>
      </c>
      <c r="HD18" s="313">
        <f t="shared" si="66"/>
        <v>0</v>
      </c>
      <c r="HE18" s="313">
        <f t="shared" si="66"/>
        <v>0</v>
      </c>
      <c r="HF18" s="314"/>
      <c r="HG18" s="312">
        <f>SUM(SUMIFS(K18:HB18,$K$13:$HB$13,{"エネルギー管理指定工場等*","県域*"}))</f>
        <v>0</v>
      </c>
      <c r="HH18" s="313">
        <f>SUM(SUMIFS(L18:HC18,$K$13:$HB$13,{"エネルギー管理指定工場等*","県域*"}))</f>
        <v>0</v>
      </c>
      <c r="HI18" s="313">
        <f>SUM(SUMIFS(M18:HD18,$K$13:$HB$13,{"エネルギー管理指定工場等*","県域*"}))</f>
        <v>0</v>
      </c>
      <c r="HJ18" s="314"/>
      <c r="HL18" s="230">
        <v>9</v>
      </c>
      <c r="HM18" s="714" t="str">
        <f t="shared" ca="1" si="49"/>
        <v/>
      </c>
      <c r="HN18" s="715" t="str">
        <f ca="1">IF(COUNTIF(HN$10:HN17,OFFSET(A1_原単位2025,5,HL18+2))&gt;=1,"",OFFSET(A1_原単位2025,5,HL18+2)&amp;"")</f>
        <v/>
      </c>
      <c r="HO18" s="716" t="str">
        <f t="shared" ca="1" si="50"/>
        <v/>
      </c>
      <c r="HP18" s="717" t="str">
        <f t="shared" ca="1" si="51"/>
        <v/>
      </c>
      <c r="HQ18" s="714" t="str">
        <f t="shared" ca="1" si="52"/>
        <v/>
      </c>
      <c r="HR18" s="715" t="str">
        <f ca="1">IF(COUNTIF(HR$10:HR17,OFFSET(A1_原単位2025,17,HL18+2))&gt;=1,"",OFFSET(A1_原単位2025,17,HL18+2)&amp;"")</f>
        <v/>
      </c>
      <c r="HS18" s="718" t="str">
        <f t="shared" ca="1" si="53"/>
        <v/>
      </c>
      <c r="HT18" s="719" t="str">
        <f t="shared" ca="1" si="54"/>
        <v/>
      </c>
      <c r="HU18" s="714" t="str">
        <f t="shared" ca="1" si="55"/>
        <v/>
      </c>
      <c r="HV18" s="715" t="str">
        <f ca="1">IF(COUNTIF(HV$10:HV17,OFFSET(A1_原単位2025,29,HL18+2))&gt;=1,"",OFFSET(A1_原単位2025,29,HL18+2)&amp;"")</f>
        <v/>
      </c>
      <c r="HW18" s="718" t="str">
        <f t="shared" ca="1" si="56"/>
        <v/>
      </c>
      <c r="HX18" s="719" t="str">
        <f t="shared" ca="1" si="57"/>
        <v/>
      </c>
      <c r="HY18" s="714" t="str">
        <f t="shared" ca="1" si="58"/>
        <v/>
      </c>
      <c r="HZ18" s="715" t="str">
        <f ca="1">IF(COUNTIF(HZ$10:HZ17,OFFSET(A1_原単位2025,41,HL18+2))&gt;=1,"",OFFSET(A1_原単位2025,41,HL18+2)&amp;"")</f>
        <v/>
      </c>
      <c r="IA18" s="720" t="str">
        <f t="shared" ca="1" si="59"/>
        <v/>
      </c>
      <c r="IB18" s="721" t="str">
        <f t="shared" ca="1" si="60"/>
        <v/>
      </c>
      <c r="IE18" s="159" t="str">
        <f t="shared" ca="1" si="61"/>
        <v/>
      </c>
      <c r="IF18" s="159" t="str">
        <f t="shared" ca="1" si="62"/>
        <v/>
      </c>
      <c r="IG18" s="159" t="str">
        <f t="shared" ca="1" si="63"/>
        <v/>
      </c>
      <c r="IH18" s="159" t="str">
        <f t="shared" ca="1" si="64"/>
        <v/>
      </c>
    </row>
    <row r="19" spans="2:242" s="164" customFormat="1" ht="19.2" customHeight="1">
      <c r="B19" s="302"/>
      <c r="C19" s="303" t="s">
        <v>454</v>
      </c>
      <c r="D19" s="304"/>
      <c r="E19" s="305"/>
      <c r="F19" s="303" t="s">
        <v>453</v>
      </c>
      <c r="G19" s="306">
        <v>33.4</v>
      </c>
      <c r="H19" s="307">
        <v>1.8700000000000001E-2</v>
      </c>
      <c r="I19" s="310"/>
      <c r="J19" s="315"/>
      <c r="K19" s="310"/>
      <c r="L19" s="311"/>
      <c r="M19" s="311"/>
      <c r="N19" s="309"/>
      <c r="O19" s="310"/>
      <c r="P19" s="311"/>
      <c r="Q19" s="311"/>
      <c r="R19" s="309"/>
      <c r="S19" s="310"/>
      <c r="T19" s="311"/>
      <c r="U19" s="311"/>
      <c r="V19" s="309"/>
      <c r="W19" s="310"/>
      <c r="X19" s="311"/>
      <c r="Y19" s="311"/>
      <c r="Z19" s="309"/>
      <c r="AA19" s="310"/>
      <c r="AB19" s="311"/>
      <c r="AC19" s="311"/>
      <c r="AD19" s="309"/>
      <c r="AE19" s="310"/>
      <c r="AF19" s="311"/>
      <c r="AG19" s="311"/>
      <c r="AH19" s="309"/>
      <c r="AI19" s="310"/>
      <c r="AJ19" s="311"/>
      <c r="AK19" s="311"/>
      <c r="AL19" s="309"/>
      <c r="AM19" s="310"/>
      <c r="AN19" s="311"/>
      <c r="AO19" s="311"/>
      <c r="AP19" s="309"/>
      <c r="AQ19" s="310"/>
      <c r="AR19" s="311"/>
      <c r="AS19" s="311"/>
      <c r="AT19" s="309"/>
      <c r="AU19" s="310"/>
      <c r="AV19" s="311"/>
      <c r="AW19" s="311"/>
      <c r="AX19" s="309"/>
      <c r="AY19" s="310"/>
      <c r="AZ19" s="311"/>
      <c r="BA19" s="311"/>
      <c r="BB19" s="309"/>
      <c r="BC19" s="310"/>
      <c r="BD19" s="311"/>
      <c r="BE19" s="311"/>
      <c r="BF19" s="309"/>
      <c r="BG19" s="310"/>
      <c r="BH19" s="311"/>
      <c r="BI19" s="311"/>
      <c r="BJ19" s="309"/>
      <c r="BK19" s="310"/>
      <c r="BL19" s="311"/>
      <c r="BM19" s="311"/>
      <c r="BN19" s="309"/>
      <c r="BO19" s="310"/>
      <c r="BP19" s="311"/>
      <c r="BQ19" s="311"/>
      <c r="BR19" s="309"/>
      <c r="BS19" s="310"/>
      <c r="BT19" s="311"/>
      <c r="BU19" s="311"/>
      <c r="BV19" s="309"/>
      <c r="BW19" s="310"/>
      <c r="BX19" s="311"/>
      <c r="BY19" s="311"/>
      <c r="BZ19" s="309"/>
      <c r="CA19" s="310"/>
      <c r="CB19" s="311"/>
      <c r="CC19" s="311"/>
      <c r="CD19" s="309"/>
      <c r="CE19" s="310"/>
      <c r="CF19" s="311"/>
      <c r="CG19" s="311"/>
      <c r="CH19" s="309"/>
      <c r="CI19" s="310"/>
      <c r="CJ19" s="311"/>
      <c r="CK19" s="311"/>
      <c r="CL19" s="309"/>
      <c r="CM19" s="310"/>
      <c r="CN19" s="311"/>
      <c r="CO19" s="311"/>
      <c r="CP19" s="309"/>
      <c r="CQ19" s="310"/>
      <c r="CR19" s="311"/>
      <c r="CS19" s="311"/>
      <c r="CT19" s="309"/>
      <c r="CU19" s="310"/>
      <c r="CV19" s="311"/>
      <c r="CW19" s="311"/>
      <c r="CX19" s="309"/>
      <c r="CY19" s="310"/>
      <c r="CZ19" s="311"/>
      <c r="DA19" s="311"/>
      <c r="DB19" s="309"/>
      <c r="DC19" s="310"/>
      <c r="DD19" s="311"/>
      <c r="DE19" s="311"/>
      <c r="DF19" s="309"/>
      <c r="DG19" s="310"/>
      <c r="DH19" s="311"/>
      <c r="DI19" s="311"/>
      <c r="DJ19" s="309"/>
      <c r="DK19" s="310"/>
      <c r="DL19" s="311"/>
      <c r="DM19" s="311"/>
      <c r="DN19" s="309"/>
      <c r="DO19" s="310"/>
      <c r="DP19" s="311"/>
      <c r="DQ19" s="311"/>
      <c r="DR19" s="309"/>
      <c r="DS19" s="310"/>
      <c r="DT19" s="311"/>
      <c r="DU19" s="311"/>
      <c r="DV19" s="309"/>
      <c r="DW19" s="310"/>
      <c r="DX19" s="311"/>
      <c r="DY19" s="311"/>
      <c r="DZ19" s="309"/>
      <c r="EA19" s="310"/>
      <c r="EB19" s="311"/>
      <c r="EC19" s="311"/>
      <c r="ED19" s="309"/>
      <c r="EE19" s="310"/>
      <c r="EF19" s="311"/>
      <c r="EG19" s="311"/>
      <c r="EH19" s="309"/>
      <c r="EI19" s="310"/>
      <c r="EJ19" s="311"/>
      <c r="EK19" s="311"/>
      <c r="EL19" s="309"/>
      <c r="EM19" s="310"/>
      <c r="EN19" s="311"/>
      <c r="EO19" s="311"/>
      <c r="EP19" s="309"/>
      <c r="EQ19" s="310"/>
      <c r="ER19" s="311"/>
      <c r="ES19" s="311"/>
      <c r="ET19" s="309"/>
      <c r="EU19" s="310"/>
      <c r="EV19" s="311"/>
      <c r="EW19" s="311"/>
      <c r="EX19" s="309"/>
      <c r="EY19" s="310"/>
      <c r="EZ19" s="311"/>
      <c r="FA19" s="311"/>
      <c r="FB19" s="309"/>
      <c r="FC19" s="310"/>
      <c r="FD19" s="311"/>
      <c r="FE19" s="311"/>
      <c r="FF19" s="309"/>
      <c r="FG19" s="310"/>
      <c r="FH19" s="311"/>
      <c r="FI19" s="311"/>
      <c r="FJ19" s="309"/>
      <c r="FK19" s="310"/>
      <c r="FL19" s="311"/>
      <c r="FM19" s="311"/>
      <c r="FN19" s="309"/>
      <c r="FO19" s="310"/>
      <c r="FP19" s="311"/>
      <c r="FQ19" s="311"/>
      <c r="FR19" s="309"/>
      <c r="FS19" s="310"/>
      <c r="FT19" s="311"/>
      <c r="FU19" s="311"/>
      <c r="FV19" s="309"/>
      <c r="FW19" s="310"/>
      <c r="FX19" s="311"/>
      <c r="FY19" s="311"/>
      <c r="FZ19" s="309"/>
      <c r="GA19" s="310"/>
      <c r="GB19" s="311"/>
      <c r="GC19" s="311"/>
      <c r="GD19" s="309"/>
      <c r="GE19" s="310"/>
      <c r="GF19" s="311"/>
      <c r="GG19" s="311"/>
      <c r="GH19" s="309"/>
      <c r="GI19" s="310"/>
      <c r="GJ19" s="311"/>
      <c r="GK19" s="311"/>
      <c r="GL19" s="309"/>
      <c r="GM19" s="310"/>
      <c r="GN19" s="311"/>
      <c r="GO19" s="311"/>
      <c r="GP19" s="309"/>
      <c r="GQ19" s="310"/>
      <c r="GR19" s="311"/>
      <c r="GS19" s="311"/>
      <c r="GT19" s="309"/>
      <c r="GU19" s="310"/>
      <c r="GV19" s="311"/>
      <c r="GW19" s="311"/>
      <c r="GX19" s="309"/>
      <c r="GY19" s="310"/>
      <c r="GZ19" s="311"/>
      <c r="HA19" s="311"/>
      <c r="HB19" s="309"/>
      <c r="HC19" s="312">
        <f t="shared" si="66"/>
        <v>0</v>
      </c>
      <c r="HD19" s="313">
        <f t="shared" si="66"/>
        <v>0</v>
      </c>
      <c r="HE19" s="313">
        <f t="shared" si="66"/>
        <v>0</v>
      </c>
      <c r="HF19" s="314"/>
      <c r="HG19" s="312">
        <f>SUM(SUMIFS(K19:HB19,$K$13:$HB$13,{"エネルギー管理指定工場等*","県域*"}))</f>
        <v>0</v>
      </c>
      <c r="HH19" s="313">
        <f>SUM(SUMIFS(L19:HC19,$K$13:$HB$13,{"エネルギー管理指定工場等*","県域*"}))</f>
        <v>0</v>
      </c>
      <c r="HI19" s="313">
        <f>SUM(SUMIFS(M19:HD19,$K$13:$HB$13,{"エネルギー管理指定工場等*","県域*"}))</f>
        <v>0</v>
      </c>
      <c r="HJ19" s="314"/>
      <c r="HL19" s="219">
        <v>10</v>
      </c>
      <c r="HM19" s="714" t="str">
        <f t="shared" ca="1" si="49"/>
        <v/>
      </c>
      <c r="HN19" s="715" t="str">
        <f ca="1">IF(COUNTIF(HN$10:HN18,OFFSET(A1_原単位2025,5,HL19+2))&gt;=1,"",OFFSET(A1_原単位2025,5,HL19+2)&amp;"")</f>
        <v/>
      </c>
      <c r="HO19" s="716" t="str">
        <f t="shared" ca="1" si="50"/>
        <v/>
      </c>
      <c r="HP19" s="717" t="str">
        <f t="shared" ca="1" si="51"/>
        <v/>
      </c>
      <c r="HQ19" s="714" t="str">
        <f t="shared" ca="1" si="52"/>
        <v/>
      </c>
      <c r="HR19" s="715" t="str">
        <f ca="1">IF(COUNTIF(HR$10:HR18,OFFSET(A1_原単位2025,17,HL19+2))&gt;=1,"",OFFSET(A1_原単位2025,17,HL19+2)&amp;"")</f>
        <v/>
      </c>
      <c r="HS19" s="718" t="str">
        <f t="shared" ca="1" si="53"/>
        <v/>
      </c>
      <c r="HT19" s="719" t="str">
        <f t="shared" ca="1" si="54"/>
        <v/>
      </c>
      <c r="HU19" s="714" t="str">
        <f t="shared" ca="1" si="55"/>
        <v/>
      </c>
      <c r="HV19" s="715" t="str">
        <f ca="1">IF(COUNTIF(HV$10:HV18,OFFSET(A1_原単位2025,29,HL19+2))&gt;=1,"",OFFSET(A1_原単位2025,29,HL19+2)&amp;"")</f>
        <v/>
      </c>
      <c r="HW19" s="718" t="str">
        <f t="shared" ca="1" si="56"/>
        <v/>
      </c>
      <c r="HX19" s="719" t="str">
        <f t="shared" ca="1" si="57"/>
        <v/>
      </c>
      <c r="HY19" s="714" t="str">
        <f t="shared" ca="1" si="58"/>
        <v/>
      </c>
      <c r="HZ19" s="715" t="str">
        <f ca="1">IF(COUNTIF(HZ$10:HZ18,OFFSET(A1_原単位2025,41,HL19+2))&gt;=1,"",OFFSET(A1_原単位2025,41,HL19+2)&amp;"")</f>
        <v/>
      </c>
      <c r="IA19" s="720" t="str">
        <f t="shared" ca="1" si="59"/>
        <v/>
      </c>
      <c r="IB19" s="721" t="str">
        <f t="shared" ca="1" si="60"/>
        <v/>
      </c>
      <c r="IE19" s="159" t="str">
        <f t="shared" ca="1" si="61"/>
        <v/>
      </c>
      <c r="IF19" s="159" t="str">
        <f t="shared" ca="1" si="62"/>
        <v/>
      </c>
      <c r="IG19" s="159" t="str">
        <f t="shared" ca="1" si="63"/>
        <v/>
      </c>
      <c r="IH19" s="159" t="str">
        <f t="shared" ca="1" si="64"/>
        <v/>
      </c>
    </row>
    <row r="20" spans="2:242" s="164" customFormat="1" ht="19.2" customHeight="1">
      <c r="B20" s="302"/>
      <c r="C20" s="303" t="s">
        <v>351</v>
      </c>
      <c r="D20" s="304"/>
      <c r="E20" s="305"/>
      <c r="F20" s="303" t="s">
        <v>453</v>
      </c>
      <c r="G20" s="306">
        <v>33.299999999999997</v>
      </c>
      <c r="H20" s="307">
        <v>1.8599999999999998E-2</v>
      </c>
      <c r="I20" s="308"/>
      <c r="J20" s="309"/>
      <c r="K20" s="310"/>
      <c r="L20" s="311"/>
      <c r="M20" s="311"/>
      <c r="N20" s="309"/>
      <c r="O20" s="310"/>
      <c r="P20" s="311"/>
      <c r="Q20" s="311"/>
      <c r="R20" s="309"/>
      <c r="S20" s="310"/>
      <c r="T20" s="311"/>
      <c r="U20" s="311"/>
      <c r="V20" s="309"/>
      <c r="W20" s="310"/>
      <c r="X20" s="311"/>
      <c r="Y20" s="311"/>
      <c r="Z20" s="309"/>
      <c r="AA20" s="310"/>
      <c r="AB20" s="311"/>
      <c r="AC20" s="311"/>
      <c r="AD20" s="309"/>
      <c r="AE20" s="310"/>
      <c r="AF20" s="311"/>
      <c r="AG20" s="311"/>
      <c r="AH20" s="309"/>
      <c r="AI20" s="310"/>
      <c r="AJ20" s="311"/>
      <c r="AK20" s="311"/>
      <c r="AL20" s="309"/>
      <c r="AM20" s="310"/>
      <c r="AN20" s="311"/>
      <c r="AO20" s="311"/>
      <c r="AP20" s="309"/>
      <c r="AQ20" s="310"/>
      <c r="AR20" s="311"/>
      <c r="AS20" s="311"/>
      <c r="AT20" s="309"/>
      <c r="AU20" s="310"/>
      <c r="AV20" s="311"/>
      <c r="AW20" s="311"/>
      <c r="AX20" s="309"/>
      <c r="AY20" s="310"/>
      <c r="AZ20" s="311"/>
      <c r="BA20" s="311"/>
      <c r="BB20" s="309"/>
      <c r="BC20" s="310"/>
      <c r="BD20" s="311"/>
      <c r="BE20" s="311"/>
      <c r="BF20" s="309"/>
      <c r="BG20" s="310"/>
      <c r="BH20" s="311"/>
      <c r="BI20" s="311"/>
      <c r="BJ20" s="309"/>
      <c r="BK20" s="310"/>
      <c r="BL20" s="311"/>
      <c r="BM20" s="311"/>
      <c r="BN20" s="309"/>
      <c r="BO20" s="310"/>
      <c r="BP20" s="311"/>
      <c r="BQ20" s="311"/>
      <c r="BR20" s="309"/>
      <c r="BS20" s="310"/>
      <c r="BT20" s="311"/>
      <c r="BU20" s="311"/>
      <c r="BV20" s="309"/>
      <c r="BW20" s="310"/>
      <c r="BX20" s="311"/>
      <c r="BY20" s="311"/>
      <c r="BZ20" s="309"/>
      <c r="CA20" s="310"/>
      <c r="CB20" s="311"/>
      <c r="CC20" s="311"/>
      <c r="CD20" s="309"/>
      <c r="CE20" s="310"/>
      <c r="CF20" s="311"/>
      <c r="CG20" s="311"/>
      <c r="CH20" s="309"/>
      <c r="CI20" s="310"/>
      <c r="CJ20" s="311"/>
      <c r="CK20" s="311"/>
      <c r="CL20" s="309"/>
      <c r="CM20" s="310"/>
      <c r="CN20" s="311"/>
      <c r="CO20" s="311"/>
      <c r="CP20" s="309"/>
      <c r="CQ20" s="310"/>
      <c r="CR20" s="311"/>
      <c r="CS20" s="311"/>
      <c r="CT20" s="309"/>
      <c r="CU20" s="310"/>
      <c r="CV20" s="311"/>
      <c r="CW20" s="311"/>
      <c r="CX20" s="309"/>
      <c r="CY20" s="310"/>
      <c r="CZ20" s="311"/>
      <c r="DA20" s="311"/>
      <c r="DB20" s="309"/>
      <c r="DC20" s="310"/>
      <c r="DD20" s="311"/>
      <c r="DE20" s="311"/>
      <c r="DF20" s="309"/>
      <c r="DG20" s="310"/>
      <c r="DH20" s="311"/>
      <c r="DI20" s="311"/>
      <c r="DJ20" s="309"/>
      <c r="DK20" s="310"/>
      <c r="DL20" s="311"/>
      <c r="DM20" s="311"/>
      <c r="DN20" s="309"/>
      <c r="DO20" s="310"/>
      <c r="DP20" s="311"/>
      <c r="DQ20" s="311"/>
      <c r="DR20" s="309"/>
      <c r="DS20" s="310"/>
      <c r="DT20" s="311"/>
      <c r="DU20" s="311"/>
      <c r="DV20" s="309"/>
      <c r="DW20" s="310"/>
      <c r="DX20" s="311"/>
      <c r="DY20" s="311"/>
      <c r="DZ20" s="309"/>
      <c r="EA20" s="310"/>
      <c r="EB20" s="311"/>
      <c r="EC20" s="311"/>
      <c r="ED20" s="309"/>
      <c r="EE20" s="310"/>
      <c r="EF20" s="311"/>
      <c r="EG20" s="311"/>
      <c r="EH20" s="309"/>
      <c r="EI20" s="310"/>
      <c r="EJ20" s="311"/>
      <c r="EK20" s="311"/>
      <c r="EL20" s="309"/>
      <c r="EM20" s="310"/>
      <c r="EN20" s="311"/>
      <c r="EO20" s="311"/>
      <c r="EP20" s="309"/>
      <c r="EQ20" s="310"/>
      <c r="ER20" s="311"/>
      <c r="ES20" s="311"/>
      <c r="ET20" s="309"/>
      <c r="EU20" s="310"/>
      <c r="EV20" s="311"/>
      <c r="EW20" s="311"/>
      <c r="EX20" s="309"/>
      <c r="EY20" s="310"/>
      <c r="EZ20" s="311"/>
      <c r="FA20" s="311"/>
      <c r="FB20" s="309"/>
      <c r="FC20" s="310"/>
      <c r="FD20" s="311"/>
      <c r="FE20" s="311"/>
      <c r="FF20" s="309"/>
      <c r="FG20" s="310"/>
      <c r="FH20" s="311"/>
      <c r="FI20" s="311"/>
      <c r="FJ20" s="309"/>
      <c r="FK20" s="310"/>
      <c r="FL20" s="311"/>
      <c r="FM20" s="311"/>
      <c r="FN20" s="309"/>
      <c r="FO20" s="310"/>
      <c r="FP20" s="311"/>
      <c r="FQ20" s="311"/>
      <c r="FR20" s="309"/>
      <c r="FS20" s="310"/>
      <c r="FT20" s="311"/>
      <c r="FU20" s="311"/>
      <c r="FV20" s="309"/>
      <c r="FW20" s="310"/>
      <c r="FX20" s="311"/>
      <c r="FY20" s="311"/>
      <c r="FZ20" s="309"/>
      <c r="GA20" s="310"/>
      <c r="GB20" s="311"/>
      <c r="GC20" s="311"/>
      <c r="GD20" s="309"/>
      <c r="GE20" s="310"/>
      <c r="GF20" s="311"/>
      <c r="GG20" s="311"/>
      <c r="GH20" s="309"/>
      <c r="GI20" s="310"/>
      <c r="GJ20" s="311"/>
      <c r="GK20" s="311"/>
      <c r="GL20" s="309"/>
      <c r="GM20" s="310"/>
      <c r="GN20" s="311"/>
      <c r="GO20" s="311"/>
      <c r="GP20" s="309"/>
      <c r="GQ20" s="310"/>
      <c r="GR20" s="311"/>
      <c r="GS20" s="311"/>
      <c r="GT20" s="309"/>
      <c r="GU20" s="310"/>
      <c r="GV20" s="311"/>
      <c r="GW20" s="311"/>
      <c r="GX20" s="309"/>
      <c r="GY20" s="310"/>
      <c r="GZ20" s="311"/>
      <c r="HA20" s="311"/>
      <c r="HB20" s="309"/>
      <c r="HC20" s="312">
        <f t="shared" si="66"/>
        <v>0</v>
      </c>
      <c r="HD20" s="313">
        <f t="shared" si="66"/>
        <v>0</v>
      </c>
      <c r="HE20" s="313">
        <f t="shared" si="66"/>
        <v>0</v>
      </c>
      <c r="HF20" s="314"/>
      <c r="HG20" s="312">
        <f>SUM(SUMIFS(K20:HB20,$K$13:$HB$13,{"エネルギー管理指定工場等*","県域*"}))</f>
        <v>0</v>
      </c>
      <c r="HH20" s="313">
        <f>SUM(SUMIFS(L20:HC20,$K$13:$HB$13,{"エネルギー管理指定工場等*","県域*"}))</f>
        <v>0</v>
      </c>
      <c r="HI20" s="313">
        <f>SUM(SUMIFS(M20:HD20,$K$13:$HB$13,{"エネルギー管理指定工場等*","県域*"}))</f>
        <v>0</v>
      </c>
      <c r="HJ20" s="314"/>
      <c r="HL20" s="230">
        <v>11</v>
      </c>
      <c r="HM20" s="714" t="str">
        <f t="shared" ca="1" si="49"/>
        <v/>
      </c>
      <c r="HN20" s="715" t="str">
        <f ca="1">IF(COUNTIF(HN$10:HN19,OFFSET(A1_原単位2025,5,HL20+2))&gt;=1,"",OFFSET(A1_原単位2025,5,HL20+2)&amp;"")</f>
        <v/>
      </c>
      <c r="HO20" s="716" t="str">
        <f t="shared" ca="1" si="50"/>
        <v/>
      </c>
      <c r="HP20" s="717" t="str">
        <f t="shared" ca="1" si="51"/>
        <v/>
      </c>
      <c r="HQ20" s="714" t="str">
        <f t="shared" ca="1" si="52"/>
        <v/>
      </c>
      <c r="HR20" s="715" t="str">
        <f ca="1">IF(COUNTIF(HR$10:HR19,OFFSET(A1_原単位2025,17,HL20+2))&gt;=1,"",OFFSET(A1_原単位2025,17,HL20+2)&amp;"")</f>
        <v/>
      </c>
      <c r="HS20" s="718" t="str">
        <f t="shared" ca="1" si="53"/>
        <v/>
      </c>
      <c r="HT20" s="719" t="str">
        <f t="shared" ca="1" si="54"/>
        <v/>
      </c>
      <c r="HU20" s="714" t="str">
        <f t="shared" ca="1" si="55"/>
        <v/>
      </c>
      <c r="HV20" s="715" t="str">
        <f ca="1">IF(COUNTIF(HV$10:HV19,OFFSET(A1_原単位2025,29,HL20+2))&gt;=1,"",OFFSET(A1_原単位2025,29,HL20+2)&amp;"")</f>
        <v/>
      </c>
      <c r="HW20" s="718" t="str">
        <f t="shared" ca="1" si="56"/>
        <v/>
      </c>
      <c r="HX20" s="719" t="str">
        <f t="shared" ca="1" si="57"/>
        <v/>
      </c>
      <c r="HY20" s="714" t="str">
        <f t="shared" ca="1" si="58"/>
        <v/>
      </c>
      <c r="HZ20" s="715" t="str">
        <f ca="1">IF(COUNTIF(HZ$10:HZ19,OFFSET(A1_原単位2025,41,HL20+2))&gt;=1,"",OFFSET(A1_原単位2025,41,HL20+2)&amp;"")</f>
        <v/>
      </c>
      <c r="IA20" s="720" t="str">
        <f t="shared" ca="1" si="59"/>
        <v/>
      </c>
      <c r="IB20" s="721" t="str">
        <f t="shared" ca="1" si="60"/>
        <v/>
      </c>
      <c r="IE20" s="159" t="str">
        <f t="shared" ca="1" si="61"/>
        <v/>
      </c>
      <c r="IF20" s="159" t="str">
        <f t="shared" ca="1" si="62"/>
        <v/>
      </c>
      <c r="IG20" s="159" t="str">
        <f t="shared" ca="1" si="63"/>
        <v/>
      </c>
      <c r="IH20" s="159" t="str">
        <f t="shared" ca="1" si="64"/>
        <v/>
      </c>
    </row>
    <row r="21" spans="2:242" s="164" customFormat="1" ht="19.2" customHeight="1">
      <c r="B21" s="302"/>
      <c r="C21" s="303" t="s">
        <v>575</v>
      </c>
      <c r="D21" s="304"/>
      <c r="E21" s="305"/>
      <c r="F21" s="303" t="s">
        <v>453</v>
      </c>
      <c r="G21" s="306">
        <v>36.299999999999997</v>
      </c>
      <c r="H21" s="307">
        <v>1.8599999999999998E-2</v>
      </c>
      <c r="I21" s="310"/>
      <c r="J21" s="315"/>
      <c r="K21" s="310"/>
      <c r="L21" s="311"/>
      <c r="M21" s="311"/>
      <c r="N21" s="309"/>
      <c r="O21" s="310"/>
      <c r="P21" s="311"/>
      <c r="Q21" s="311"/>
      <c r="R21" s="309"/>
      <c r="S21" s="310"/>
      <c r="T21" s="311"/>
      <c r="U21" s="311"/>
      <c r="V21" s="309"/>
      <c r="W21" s="310"/>
      <c r="X21" s="311"/>
      <c r="Y21" s="311"/>
      <c r="Z21" s="309"/>
      <c r="AA21" s="310"/>
      <c r="AB21" s="311"/>
      <c r="AC21" s="311"/>
      <c r="AD21" s="309"/>
      <c r="AE21" s="310"/>
      <c r="AF21" s="311"/>
      <c r="AG21" s="311"/>
      <c r="AH21" s="309"/>
      <c r="AI21" s="310"/>
      <c r="AJ21" s="311"/>
      <c r="AK21" s="311"/>
      <c r="AL21" s="309"/>
      <c r="AM21" s="310"/>
      <c r="AN21" s="311"/>
      <c r="AO21" s="311"/>
      <c r="AP21" s="309"/>
      <c r="AQ21" s="310"/>
      <c r="AR21" s="311"/>
      <c r="AS21" s="311"/>
      <c r="AT21" s="309"/>
      <c r="AU21" s="310"/>
      <c r="AV21" s="311"/>
      <c r="AW21" s="311"/>
      <c r="AX21" s="309"/>
      <c r="AY21" s="310"/>
      <c r="AZ21" s="311"/>
      <c r="BA21" s="311"/>
      <c r="BB21" s="309"/>
      <c r="BC21" s="310"/>
      <c r="BD21" s="311"/>
      <c r="BE21" s="311"/>
      <c r="BF21" s="309"/>
      <c r="BG21" s="310"/>
      <c r="BH21" s="311"/>
      <c r="BI21" s="311"/>
      <c r="BJ21" s="309"/>
      <c r="BK21" s="310"/>
      <c r="BL21" s="311"/>
      <c r="BM21" s="311"/>
      <c r="BN21" s="309"/>
      <c r="BO21" s="310"/>
      <c r="BP21" s="311"/>
      <c r="BQ21" s="311"/>
      <c r="BR21" s="309"/>
      <c r="BS21" s="310"/>
      <c r="BT21" s="311"/>
      <c r="BU21" s="311"/>
      <c r="BV21" s="309"/>
      <c r="BW21" s="310"/>
      <c r="BX21" s="311"/>
      <c r="BY21" s="311"/>
      <c r="BZ21" s="309"/>
      <c r="CA21" s="310"/>
      <c r="CB21" s="311"/>
      <c r="CC21" s="311"/>
      <c r="CD21" s="309"/>
      <c r="CE21" s="310"/>
      <c r="CF21" s="311"/>
      <c r="CG21" s="311"/>
      <c r="CH21" s="309"/>
      <c r="CI21" s="310"/>
      <c r="CJ21" s="311"/>
      <c r="CK21" s="311"/>
      <c r="CL21" s="309"/>
      <c r="CM21" s="310"/>
      <c r="CN21" s="311"/>
      <c r="CO21" s="311"/>
      <c r="CP21" s="309"/>
      <c r="CQ21" s="310"/>
      <c r="CR21" s="311"/>
      <c r="CS21" s="311"/>
      <c r="CT21" s="309"/>
      <c r="CU21" s="310"/>
      <c r="CV21" s="311"/>
      <c r="CW21" s="311"/>
      <c r="CX21" s="309"/>
      <c r="CY21" s="310"/>
      <c r="CZ21" s="311"/>
      <c r="DA21" s="311"/>
      <c r="DB21" s="309"/>
      <c r="DC21" s="310"/>
      <c r="DD21" s="311"/>
      <c r="DE21" s="311"/>
      <c r="DF21" s="309"/>
      <c r="DG21" s="310"/>
      <c r="DH21" s="311"/>
      <c r="DI21" s="311"/>
      <c r="DJ21" s="309"/>
      <c r="DK21" s="310"/>
      <c r="DL21" s="311"/>
      <c r="DM21" s="311"/>
      <c r="DN21" s="309"/>
      <c r="DO21" s="310"/>
      <c r="DP21" s="311"/>
      <c r="DQ21" s="311"/>
      <c r="DR21" s="309"/>
      <c r="DS21" s="310"/>
      <c r="DT21" s="311"/>
      <c r="DU21" s="311"/>
      <c r="DV21" s="309"/>
      <c r="DW21" s="310"/>
      <c r="DX21" s="311"/>
      <c r="DY21" s="311"/>
      <c r="DZ21" s="309"/>
      <c r="EA21" s="310"/>
      <c r="EB21" s="311"/>
      <c r="EC21" s="311"/>
      <c r="ED21" s="309"/>
      <c r="EE21" s="310"/>
      <c r="EF21" s="311"/>
      <c r="EG21" s="311"/>
      <c r="EH21" s="309"/>
      <c r="EI21" s="310"/>
      <c r="EJ21" s="311"/>
      <c r="EK21" s="311"/>
      <c r="EL21" s="309"/>
      <c r="EM21" s="310"/>
      <c r="EN21" s="311"/>
      <c r="EO21" s="311"/>
      <c r="EP21" s="309"/>
      <c r="EQ21" s="310"/>
      <c r="ER21" s="311"/>
      <c r="ES21" s="311"/>
      <c r="ET21" s="309"/>
      <c r="EU21" s="310"/>
      <c r="EV21" s="311"/>
      <c r="EW21" s="311"/>
      <c r="EX21" s="309"/>
      <c r="EY21" s="310"/>
      <c r="EZ21" s="311"/>
      <c r="FA21" s="311"/>
      <c r="FB21" s="309"/>
      <c r="FC21" s="310"/>
      <c r="FD21" s="311"/>
      <c r="FE21" s="311"/>
      <c r="FF21" s="309"/>
      <c r="FG21" s="310"/>
      <c r="FH21" s="311"/>
      <c r="FI21" s="311"/>
      <c r="FJ21" s="309"/>
      <c r="FK21" s="310"/>
      <c r="FL21" s="311"/>
      <c r="FM21" s="311"/>
      <c r="FN21" s="309"/>
      <c r="FO21" s="310"/>
      <c r="FP21" s="311"/>
      <c r="FQ21" s="311"/>
      <c r="FR21" s="309"/>
      <c r="FS21" s="310"/>
      <c r="FT21" s="311"/>
      <c r="FU21" s="311"/>
      <c r="FV21" s="309"/>
      <c r="FW21" s="310"/>
      <c r="FX21" s="311"/>
      <c r="FY21" s="311"/>
      <c r="FZ21" s="309"/>
      <c r="GA21" s="310"/>
      <c r="GB21" s="311"/>
      <c r="GC21" s="311"/>
      <c r="GD21" s="309"/>
      <c r="GE21" s="310"/>
      <c r="GF21" s="311"/>
      <c r="GG21" s="311"/>
      <c r="GH21" s="309"/>
      <c r="GI21" s="310"/>
      <c r="GJ21" s="311"/>
      <c r="GK21" s="311"/>
      <c r="GL21" s="309"/>
      <c r="GM21" s="310"/>
      <c r="GN21" s="311"/>
      <c r="GO21" s="311"/>
      <c r="GP21" s="309"/>
      <c r="GQ21" s="310"/>
      <c r="GR21" s="311"/>
      <c r="GS21" s="311"/>
      <c r="GT21" s="309"/>
      <c r="GU21" s="310"/>
      <c r="GV21" s="311"/>
      <c r="GW21" s="311"/>
      <c r="GX21" s="309"/>
      <c r="GY21" s="310"/>
      <c r="GZ21" s="311"/>
      <c r="HA21" s="311"/>
      <c r="HB21" s="309"/>
      <c r="HC21" s="312">
        <f t="shared" si="66"/>
        <v>0</v>
      </c>
      <c r="HD21" s="313">
        <f t="shared" si="66"/>
        <v>0</v>
      </c>
      <c r="HE21" s="313">
        <f t="shared" si="66"/>
        <v>0</v>
      </c>
      <c r="HF21" s="314"/>
      <c r="HG21" s="312">
        <f>SUM(SUMIFS(K21:HB21,$K$13:$HB$13,{"エネルギー管理指定工場等*","県域*"}))</f>
        <v>0</v>
      </c>
      <c r="HH21" s="313">
        <f>SUM(SUMIFS(L21:HC21,$K$13:$HB$13,{"エネルギー管理指定工場等*","県域*"}))</f>
        <v>0</v>
      </c>
      <c r="HI21" s="313">
        <f>SUM(SUMIFS(M21:HD21,$K$13:$HB$13,{"エネルギー管理指定工場等*","県域*"}))</f>
        <v>0</v>
      </c>
      <c r="HJ21" s="314"/>
      <c r="HL21" s="219">
        <v>12</v>
      </c>
      <c r="HM21" s="714" t="str">
        <f t="shared" ca="1" si="49"/>
        <v/>
      </c>
      <c r="HN21" s="715" t="str">
        <f ca="1">IF(COUNTIF(HN$10:HN20,OFFSET(A1_原単位2025,5,HL21+2))&gt;=1,"",OFFSET(A1_原単位2025,5,HL21+2)&amp;"")</f>
        <v/>
      </c>
      <c r="HO21" s="716" t="str">
        <f t="shared" ca="1" si="50"/>
        <v/>
      </c>
      <c r="HP21" s="717" t="str">
        <f t="shared" ca="1" si="51"/>
        <v/>
      </c>
      <c r="HQ21" s="714" t="str">
        <f t="shared" ca="1" si="52"/>
        <v/>
      </c>
      <c r="HR21" s="715" t="str">
        <f ca="1">IF(COUNTIF(HR$10:HR20,OFFSET(A1_原単位2025,17,HL21+2))&gt;=1,"",OFFSET(A1_原単位2025,17,HL21+2)&amp;"")</f>
        <v/>
      </c>
      <c r="HS21" s="718" t="str">
        <f t="shared" ca="1" si="53"/>
        <v/>
      </c>
      <c r="HT21" s="719" t="str">
        <f t="shared" ca="1" si="54"/>
        <v/>
      </c>
      <c r="HU21" s="714" t="str">
        <f t="shared" ca="1" si="55"/>
        <v/>
      </c>
      <c r="HV21" s="715" t="str">
        <f ca="1">IF(COUNTIF(HV$10:HV20,OFFSET(A1_原単位2025,29,HL21+2))&gt;=1,"",OFFSET(A1_原単位2025,29,HL21+2)&amp;"")</f>
        <v/>
      </c>
      <c r="HW21" s="718" t="str">
        <f t="shared" ca="1" si="56"/>
        <v/>
      </c>
      <c r="HX21" s="719" t="str">
        <f t="shared" ca="1" si="57"/>
        <v/>
      </c>
      <c r="HY21" s="714" t="str">
        <f t="shared" ca="1" si="58"/>
        <v/>
      </c>
      <c r="HZ21" s="715" t="str">
        <f ca="1">IF(COUNTIF(HZ$10:HZ20,OFFSET(A1_原単位2025,41,HL21+2))&gt;=1,"",OFFSET(A1_原単位2025,41,HL21+2)&amp;"")</f>
        <v/>
      </c>
      <c r="IA21" s="720" t="str">
        <f t="shared" ca="1" si="59"/>
        <v/>
      </c>
      <c r="IB21" s="721" t="str">
        <f t="shared" ca="1" si="60"/>
        <v/>
      </c>
      <c r="IE21" s="159" t="str">
        <f t="shared" ca="1" si="61"/>
        <v/>
      </c>
      <c r="IF21" s="159" t="str">
        <f t="shared" ca="1" si="62"/>
        <v/>
      </c>
      <c r="IG21" s="159" t="str">
        <f t="shared" ca="1" si="63"/>
        <v/>
      </c>
      <c r="IH21" s="159" t="str">
        <f t="shared" ca="1" si="64"/>
        <v/>
      </c>
    </row>
    <row r="22" spans="2:242" s="164" customFormat="1" ht="19.2" customHeight="1">
      <c r="B22" s="302"/>
      <c r="C22" s="303" t="s">
        <v>353</v>
      </c>
      <c r="D22" s="304"/>
      <c r="E22" s="305"/>
      <c r="F22" s="303" t="s">
        <v>453</v>
      </c>
      <c r="G22" s="306">
        <v>36.5</v>
      </c>
      <c r="H22" s="307">
        <v>1.8700000000000001E-2</v>
      </c>
      <c r="I22" s="308"/>
      <c r="J22" s="309"/>
      <c r="K22" s="310"/>
      <c r="L22" s="311"/>
      <c r="M22" s="311"/>
      <c r="N22" s="309"/>
      <c r="O22" s="310"/>
      <c r="P22" s="311"/>
      <c r="Q22" s="311"/>
      <c r="R22" s="309"/>
      <c r="S22" s="310"/>
      <c r="T22" s="311"/>
      <c r="U22" s="311"/>
      <c r="V22" s="309"/>
      <c r="W22" s="310"/>
      <c r="X22" s="311"/>
      <c r="Y22" s="311"/>
      <c r="Z22" s="309"/>
      <c r="AA22" s="310"/>
      <c r="AB22" s="311"/>
      <c r="AC22" s="311"/>
      <c r="AD22" s="309"/>
      <c r="AE22" s="310"/>
      <c r="AF22" s="311"/>
      <c r="AG22" s="311"/>
      <c r="AH22" s="309"/>
      <c r="AI22" s="310"/>
      <c r="AJ22" s="311"/>
      <c r="AK22" s="311"/>
      <c r="AL22" s="309"/>
      <c r="AM22" s="310"/>
      <c r="AN22" s="311"/>
      <c r="AO22" s="311"/>
      <c r="AP22" s="309"/>
      <c r="AQ22" s="310"/>
      <c r="AR22" s="311"/>
      <c r="AS22" s="311"/>
      <c r="AT22" s="309"/>
      <c r="AU22" s="310"/>
      <c r="AV22" s="311"/>
      <c r="AW22" s="311"/>
      <c r="AX22" s="309"/>
      <c r="AY22" s="310"/>
      <c r="AZ22" s="311"/>
      <c r="BA22" s="311"/>
      <c r="BB22" s="309"/>
      <c r="BC22" s="310"/>
      <c r="BD22" s="311"/>
      <c r="BE22" s="311"/>
      <c r="BF22" s="309"/>
      <c r="BG22" s="310"/>
      <c r="BH22" s="311"/>
      <c r="BI22" s="311"/>
      <c r="BJ22" s="309"/>
      <c r="BK22" s="310"/>
      <c r="BL22" s="311"/>
      <c r="BM22" s="311"/>
      <c r="BN22" s="309"/>
      <c r="BO22" s="310"/>
      <c r="BP22" s="311"/>
      <c r="BQ22" s="311"/>
      <c r="BR22" s="309"/>
      <c r="BS22" s="310"/>
      <c r="BT22" s="311"/>
      <c r="BU22" s="311"/>
      <c r="BV22" s="309"/>
      <c r="BW22" s="310"/>
      <c r="BX22" s="311"/>
      <c r="BY22" s="311"/>
      <c r="BZ22" s="309"/>
      <c r="CA22" s="310"/>
      <c r="CB22" s="311"/>
      <c r="CC22" s="311"/>
      <c r="CD22" s="309"/>
      <c r="CE22" s="310"/>
      <c r="CF22" s="311"/>
      <c r="CG22" s="311"/>
      <c r="CH22" s="309"/>
      <c r="CI22" s="310"/>
      <c r="CJ22" s="311"/>
      <c r="CK22" s="311"/>
      <c r="CL22" s="309"/>
      <c r="CM22" s="310"/>
      <c r="CN22" s="311"/>
      <c r="CO22" s="311"/>
      <c r="CP22" s="309"/>
      <c r="CQ22" s="310"/>
      <c r="CR22" s="311"/>
      <c r="CS22" s="311"/>
      <c r="CT22" s="309"/>
      <c r="CU22" s="310"/>
      <c r="CV22" s="311"/>
      <c r="CW22" s="311"/>
      <c r="CX22" s="309"/>
      <c r="CY22" s="310"/>
      <c r="CZ22" s="311"/>
      <c r="DA22" s="311"/>
      <c r="DB22" s="309"/>
      <c r="DC22" s="310"/>
      <c r="DD22" s="311"/>
      <c r="DE22" s="311"/>
      <c r="DF22" s="309"/>
      <c r="DG22" s="310"/>
      <c r="DH22" s="311"/>
      <c r="DI22" s="311"/>
      <c r="DJ22" s="309"/>
      <c r="DK22" s="310"/>
      <c r="DL22" s="311"/>
      <c r="DM22" s="311"/>
      <c r="DN22" s="309"/>
      <c r="DO22" s="310"/>
      <c r="DP22" s="311"/>
      <c r="DQ22" s="311"/>
      <c r="DR22" s="309"/>
      <c r="DS22" s="310"/>
      <c r="DT22" s="311"/>
      <c r="DU22" s="311"/>
      <c r="DV22" s="309"/>
      <c r="DW22" s="310"/>
      <c r="DX22" s="311"/>
      <c r="DY22" s="311"/>
      <c r="DZ22" s="309"/>
      <c r="EA22" s="310"/>
      <c r="EB22" s="311"/>
      <c r="EC22" s="311"/>
      <c r="ED22" s="309"/>
      <c r="EE22" s="310"/>
      <c r="EF22" s="311"/>
      <c r="EG22" s="311"/>
      <c r="EH22" s="309"/>
      <c r="EI22" s="310"/>
      <c r="EJ22" s="311"/>
      <c r="EK22" s="311"/>
      <c r="EL22" s="309"/>
      <c r="EM22" s="310"/>
      <c r="EN22" s="311"/>
      <c r="EO22" s="311"/>
      <c r="EP22" s="309"/>
      <c r="EQ22" s="310"/>
      <c r="ER22" s="311"/>
      <c r="ES22" s="311"/>
      <c r="ET22" s="309"/>
      <c r="EU22" s="310"/>
      <c r="EV22" s="311"/>
      <c r="EW22" s="311"/>
      <c r="EX22" s="309"/>
      <c r="EY22" s="310"/>
      <c r="EZ22" s="311"/>
      <c r="FA22" s="311"/>
      <c r="FB22" s="309"/>
      <c r="FC22" s="310"/>
      <c r="FD22" s="311"/>
      <c r="FE22" s="311"/>
      <c r="FF22" s="309"/>
      <c r="FG22" s="310"/>
      <c r="FH22" s="311"/>
      <c r="FI22" s="311"/>
      <c r="FJ22" s="309"/>
      <c r="FK22" s="310"/>
      <c r="FL22" s="311"/>
      <c r="FM22" s="311"/>
      <c r="FN22" s="309"/>
      <c r="FO22" s="310"/>
      <c r="FP22" s="311"/>
      <c r="FQ22" s="311"/>
      <c r="FR22" s="309"/>
      <c r="FS22" s="310"/>
      <c r="FT22" s="311"/>
      <c r="FU22" s="311"/>
      <c r="FV22" s="309"/>
      <c r="FW22" s="310"/>
      <c r="FX22" s="311"/>
      <c r="FY22" s="311"/>
      <c r="FZ22" s="309"/>
      <c r="GA22" s="310"/>
      <c r="GB22" s="311"/>
      <c r="GC22" s="311"/>
      <c r="GD22" s="309"/>
      <c r="GE22" s="310"/>
      <c r="GF22" s="311"/>
      <c r="GG22" s="311"/>
      <c r="GH22" s="309"/>
      <c r="GI22" s="310"/>
      <c r="GJ22" s="311"/>
      <c r="GK22" s="311"/>
      <c r="GL22" s="309"/>
      <c r="GM22" s="310"/>
      <c r="GN22" s="311"/>
      <c r="GO22" s="311"/>
      <c r="GP22" s="309"/>
      <c r="GQ22" s="310"/>
      <c r="GR22" s="311"/>
      <c r="GS22" s="311"/>
      <c r="GT22" s="309"/>
      <c r="GU22" s="310"/>
      <c r="GV22" s="311"/>
      <c r="GW22" s="311"/>
      <c r="GX22" s="309"/>
      <c r="GY22" s="310"/>
      <c r="GZ22" s="311"/>
      <c r="HA22" s="311"/>
      <c r="HB22" s="309"/>
      <c r="HC22" s="312">
        <f t="shared" si="66"/>
        <v>0</v>
      </c>
      <c r="HD22" s="313">
        <f t="shared" si="66"/>
        <v>0</v>
      </c>
      <c r="HE22" s="313">
        <f t="shared" si="66"/>
        <v>0</v>
      </c>
      <c r="HF22" s="314"/>
      <c r="HG22" s="312">
        <f>SUM(SUMIFS(K22:HB22,$K$13:$HB$13,{"エネルギー管理指定工場等*","県域*"}))</f>
        <v>0</v>
      </c>
      <c r="HH22" s="313">
        <f>SUM(SUMIFS(L22:HC22,$K$13:$HB$13,{"エネルギー管理指定工場等*","県域*"}))</f>
        <v>0</v>
      </c>
      <c r="HI22" s="313">
        <f>SUM(SUMIFS(M22:HD22,$K$13:$HB$13,{"エネルギー管理指定工場等*","県域*"}))</f>
        <v>0</v>
      </c>
      <c r="HJ22" s="314"/>
      <c r="HL22" s="230">
        <v>13</v>
      </c>
      <c r="HM22" s="714" t="str">
        <f t="shared" ca="1" si="49"/>
        <v/>
      </c>
      <c r="HN22" s="715" t="str">
        <f ca="1">IF(COUNTIF(HN$10:HN21,OFFSET(A1_原単位2025,5,HL22+2))&gt;=1,"",OFFSET(A1_原単位2025,5,HL22+2)&amp;"")</f>
        <v/>
      </c>
      <c r="HO22" s="716" t="str">
        <f t="shared" ca="1" si="50"/>
        <v/>
      </c>
      <c r="HP22" s="717" t="str">
        <f t="shared" ca="1" si="51"/>
        <v/>
      </c>
      <c r="HQ22" s="714" t="str">
        <f t="shared" ca="1" si="52"/>
        <v/>
      </c>
      <c r="HR22" s="715" t="str">
        <f ca="1">IF(COUNTIF(HR$10:HR21,OFFSET(A1_原単位2025,17,HL22+2))&gt;=1,"",OFFSET(A1_原単位2025,17,HL22+2)&amp;"")</f>
        <v/>
      </c>
      <c r="HS22" s="718" t="str">
        <f t="shared" ca="1" si="53"/>
        <v/>
      </c>
      <c r="HT22" s="719" t="str">
        <f t="shared" ca="1" si="54"/>
        <v/>
      </c>
      <c r="HU22" s="714" t="str">
        <f t="shared" ca="1" si="55"/>
        <v/>
      </c>
      <c r="HV22" s="715" t="str">
        <f ca="1">IF(COUNTIF(HV$10:HV21,OFFSET(A1_原単位2025,29,HL22+2))&gt;=1,"",OFFSET(A1_原単位2025,29,HL22+2)&amp;"")</f>
        <v/>
      </c>
      <c r="HW22" s="718" t="str">
        <f t="shared" ca="1" si="56"/>
        <v/>
      </c>
      <c r="HX22" s="719" t="str">
        <f t="shared" ca="1" si="57"/>
        <v/>
      </c>
      <c r="HY22" s="714" t="str">
        <f t="shared" ca="1" si="58"/>
        <v/>
      </c>
      <c r="HZ22" s="715" t="str">
        <f ca="1">IF(COUNTIF(HZ$10:HZ21,OFFSET(A1_原単位2025,41,HL22+2))&gt;=1,"",OFFSET(A1_原単位2025,41,HL22+2)&amp;"")</f>
        <v/>
      </c>
      <c r="IA22" s="720" t="str">
        <f t="shared" ca="1" si="59"/>
        <v/>
      </c>
      <c r="IB22" s="721" t="str">
        <f t="shared" ca="1" si="60"/>
        <v/>
      </c>
      <c r="IE22" s="159" t="str">
        <f t="shared" ca="1" si="61"/>
        <v/>
      </c>
      <c r="IF22" s="159" t="str">
        <f t="shared" ca="1" si="62"/>
        <v/>
      </c>
      <c r="IG22" s="159" t="str">
        <f t="shared" ca="1" si="63"/>
        <v/>
      </c>
      <c r="IH22" s="159" t="str">
        <f t="shared" ca="1" si="64"/>
        <v/>
      </c>
    </row>
    <row r="23" spans="2:242" s="164" customFormat="1" ht="19.2" customHeight="1">
      <c r="B23" s="302"/>
      <c r="C23" s="303" t="s">
        <v>354</v>
      </c>
      <c r="D23" s="304"/>
      <c r="E23" s="305"/>
      <c r="F23" s="303" t="s">
        <v>453</v>
      </c>
      <c r="G23" s="316">
        <v>38</v>
      </c>
      <c r="H23" s="307">
        <v>1.8800000000000001E-2</v>
      </c>
      <c r="I23" s="310"/>
      <c r="J23" s="315"/>
      <c r="K23" s="310"/>
      <c r="L23" s="311"/>
      <c r="M23" s="311"/>
      <c r="N23" s="309"/>
      <c r="O23" s="310"/>
      <c r="P23" s="311"/>
      <c r="Q23" s="311"/>
      <c r="R23" s="309"/>
      <c r="S23" s="310"/>
      <c r="T23" s="311"/>
      <c r="U23" s="311"/>
      <c r="V23" s="309"/>
      <c r="W23" s="310"/>
      <c r="X23" s="311"/>
      <c r="Y23" s="311"/>
      <c r="Z23" s="309"/>
      <c r="AA23" s="310"/>
      <c r="AB23" s="311"/>
      <c r="AC23" s="311"/>
      <c r="AD23" s="309"/>
      <c r="AE23" s="310"/>
      <c r="AF23" s="311"/>
      <c r="AG23" s="311"/>
      <c r="AH23" s="309"/>
      <c r="AI23" s="310"/>
      <c r="AJ23" s="311"/>
      <c r="AK23" s="311"/>
      <c r="AL23" s="309"/>
      <c r="AM23" s="310"/>
      <c r="AN23" s="311"/>
      <c r="AO23" s="311"/>
      <c r="AP23" s="309"/>
      <c r="AQ23" s="310"/>
      <c r="AR23" s="311"/>
      <c r="AS23" s="311"/>
      <c r="AT23" s="309"/>
      <c r="AU23" s="310"/>
      <c r="AV23" s="311"/>
      <c r="AW23" s="311"/>
      <c r="AX23" s="309"/>
      <c r="AY23" s="310"/>
      <c r="AZ23" s="311"/>
      <c r="BA23" s="311"/>
      <c r="BB23" s="309"/>
      <c r="BC23" s="310"/>
      <c r="BD23" s="311"/>
      <c r="BE23" s="311"/>
      <c r="BF23" s="309"/>
      <c r="BG23" s="310"/>
      <c r="BH23" s="311"/>
      <c r="BI23" s="311"/>
      <c r="BJ23" s="309"/>
      <c r="BK23" s="310"/>
      <c r="BL23" s="311"/>
      <c r="BM23" s="311"/>
      <c r="BN23" s="309"/>
      <c r="BO23" s="310"/>
      <c r="BP23" s="311"/>
      <c r="BQ23" s="311"/>
      <c r="BR23" s="309"/>
      <c r="BS23" s="310"/>
      <c r="BT23" s="311"/>
      <c r="BU23" s="311"/>
      <c r="BV23" s="309"/>
      <c r="BW23" s="310"/>
      <c r="BX23" s="311"/>
      <c r="BY23" s="311"/>
      <c r="BZ23" s="309"/>
      <c r="CA23" s="310"/>
      <c r="CB23" s="311"/>
      <c r="CC23" s="311"/>
      <c r="CD23" s="309"/>
      <c r="CE23" s="310"/>
      <c r="CF23" s="311"/>
      <c r="CG23" s="311"/>
      <c r="CH23" s="309"/>
      <c r="CI23" s="310"/>
      <c r="CJ23" s="311"/>
      <c r="CK23" s="311"/>
      <c r="CL23" s="309"/>
      <c r="CM23" s="310"/>
      <c r="CN23" s="311"/>
      <c r="CO23" s="311"/>
      <c r="CP23" s="309"/>
      <c r="CQ23" s="310"/>
      <c r="CR23" s="311"/>
      <c r="CS23" s="311"/>
      <c r="CT23" s="309"/>
      <c r="CU23" s="310"/>
      <c r="CV23" s="311"/>
      <c r="CW23" s="311"/>
      <c r="CX23" s="309"/>
      <c r="CY23" s="310"/>
      <c r="CZ23" s="311"/>
      <c r="DA23" s="311"/>
      <c r="DB23" s="309"/>
      <c r="DC23" s="310"/>
      <c r="DD23" s="311"/>
      <c r="DE23" s="311"/>
      <c r="DF23" s="309"/>
      <c r="DG23" s="310"/>
      <c r="DH23" s="311"/>
      <c r="DI23" s="311"/>
      <c r="DJ23" s="309"/>
      <c r="DK23" s="310"/>
      <c r="DL23" s="311"/>
      <c r="DM23" s="311"/>
      <c r="DN23" s="309"/>
      <c r="DO23" s="310"/>
      <c r="DP23" s="311"/>
      <c r="DQ23" s="311"/>
      <c r="DR23" s="309"/>
      <c r="DS23" s="310"/>
      <c r="DT23" s="311"/>
      <c r="DU23" s="311"/>
      <c r="DV23" s="309"/>
      <c r="DW23" s="310"/>
      <c r="DX23" s="311"/>
      <c r="DY23" s="311"/>
      <c r="DZ23" s="309"/>
      <c r="EA23" s="310"/>
      <c r="EB23" s="311"/>
      <c r="EC23" s="311"/>
      <c r="ED23" s="309"/>
      <c r="EE23" s="310"/>
      <c r="EF23" s="311"/>
      <c r="EG23" s="311"/>
      <c r="EH23" s="309"/>
      <c r="EI23" s="310"/>
      <c r="EJ23" s="311"/>
      <c r="EK23" s="311"/>
      <c r="EL23" s="309"/>
      <c r="EM23" s="310"/>
      <c r="EN23" s="311"/>
      <c r="EO23" s="311"/>
      <c r="EP23" s="309"/>
      <c r="EQ23" s="310"/>
      <c r="ER23" s="311"/>
      <c r="ES23" s="311"/>
      <c r="ET23" s="309"/>
      <c r="EU23" s="310"/>
      <c r="EV23" s="311"/>
      <c r="EW23" s="311"/>
      <c r="EX23" s="309"/>
      <c r="EY23" s="310"/>
      <c r="EZ23" s="311"/>
      <c r="FA23" s="311"/>
      <c r="FB23" s="309"/>
      <c r="FC23" s="310"/>
      <c r="FD23" s="311"/>
      <c r="FE23" s="311"/>
      <c r="FF23" s="309"/>
      <c r="FG23" s="310"/>
      <c r="FH23" s="311"/>
      <c r="FI23" s="311"/>
      <c r="FJ23" s="309"/>
      <c r="FK23" s="310"/>
      <c r="FL23" s="311"/>
      <c r="FM23" s="311"/>
      <c r="FN23" s="309"/>
      <c r="FO23" s="310"/>
      <c r="FP23" s="311"/>
      <c r="FQ23" s="311"/>
      <c r="FR23" s="309"/>
      <c r="FS23" s="310"/>
      <c r="FT23" s="311"/>
      <c r="FU23" s="311"/>
      <c r="FV23" s="309"/>
      <c r="FW23" s="310"/>
      <c r="FX23" s="311"/>
      <c r="FY23" s="311"/>
      <c r="FZ23" s="309"/>
      <c r="GA23" s="310"/>
      <c r="GB23" s="311"/>
      <c r="GC23" s="311"/>
      <c r="GD23" s="309"/>
      <c r="GE23" s="310"/>
      <c r="GF23" s="311"/>
      <c r="GG23" s="311"/>
      <c r="GH23" s="309"/>
      <c r="GI23" s="310"/>
      <c r="GJ23" s="311"/>
      <c r="GK23" s="311"/>
      <c r="GL23" s="309"/>
      <c r="GM23" s="310"/>
      <c r="GN23" s="311"/>
      <c r="GO23" s="311"/>
      <c r="GP23" s="309"/>
      <c r="GQ23" s="310"/>
      <c r="GR23" s="311"/>
      <c r="GS23" s="311"/>
      <c r="GT23" s="309"/>
      <c r="GU23" s="310"/>
      <c r="GV23" s="311"/>
      <c r="GW23" s="311"/>
      <c r="GX23" s="309"/>
      <c r="GY23" s="310"/>
      <c r="GZ23" s="311"/>
      <c r="HA23" s="311"/>
      <c r="HB23" s="309"/>
      <c r="HC23" s="312">
        <f t="shared" si="66"/>
        <v>0</v>
      </c>
      <c r="HD23" s="313">
        <f t="shared" si="66"/>
        <v>0</v>
      </c>
      <c r="HE23" s="313">
        <f t="shared" si="66"/>
        <v>0</v>
      </c>
      <c r="HF23" s="314"/>
      <c r="HG23" s="312">
        <f>SUM(SUMIFS(K23:HB23,$K$13:$HB$13,{"エネルギー管理指定工場等*","県域*"}))</f>
        <v>0</v>
      </c>
      <c r="HH23" s="313">
        <f>SUM(SUMIFS(L23:HC23,$K$13:$HB$13,{"エネルギー管理指定工場等*","県域*"}))</f>
        <v>0</v>
      </c>
      <c r="HI23" s="313">
        <f>SUM(SUMIFS(M23:HD23,$K$13:$HB$13,{"エネルギー管理指定工場等*","県域*"}))</f>
        <v>0</v>
      </c>
      <c r="HJ23" s="314"/>
      <c r="HL23" s="219">
        <v>14</v>
      </c>
      <c r="HM23" s="714" t="str">
        <f t="shared" ca="1" si="49"/>
        <v/>
      </c>
      <c r="HN23" s="715" t="str">
        <f ca="1">IF(COUNTIF(HN$10:HN22,OFFSET(A1_原単位2025,5,HL23+2))&gt;=1,"",OFFSET(A1_原単位2025,5,HL23+2)&amp;"")</f>
        <v/>
      </c>
      <c r="HO23" s="716" t="str">
        <f t="shared" ca="1" si="50"/>
        <v/>
      </c>
      <c r="HP23" s="717" t="str">
        <f t="shared" ca="1" si="51"/>
        <v/>
      </c>
      <c r="HQ23" s="714" t="str">
        <f t="shared" ca="1" si="52"/>
        <v/>
      </c>
      <c r="HR23" s="715" t="str">
        <f ca="1">IF(COUNTIF(HR$10:HR22,OFFSET(A1_原単位2025,17,HL23+2))&gt;=1,"",OFFSET(A1_原単位2025,17,HL23+2)&amp;"")</f>
        <v/>
      </c>
      <c r="HS23" s="718" t="str">
        <f t="shared" ca="1" si="53"/>
        <v/>
      </c>
      <c r="HT23" s="719" t="str">
        <f t="shared" ca="1" si="54"/>
        <v/>
      </c>
      <c r="HU23" s="714" t="str">
        <f t="shared" ca="1" si="55"/>
        <v/>
      </c>
      <c r="HV23" s="715" t="str">
        <f ca="1">IF(COUNTIF(HV$10:HV22,OFFSET(A1_原単位2025,29,HL23+2))&gt;=1,"",OFFSET(A1_原単位2025,29,HL23+2)&amp;"")</f>
        <v/>
      </c>
      <c r="HW23" s="718" t="str">
        <f t="shared" ca="1" si="56"/>
        <v/>
      </c>
      <c r="HX23" s="719" t="str">
        <f t="shared" ca="1" si="57"/>
        <v/>
      </c>
      <c r="HY23" s="714" t="str">
        <f t="shared" ca="1" si="58"/>
        <v/>
      </c>
      <c r="HZ23" s="715" t="str">
        <f ca="1">IF(COUNTIF(HZ$10:HZ22,OFFSET(A1_原単位2025,41,HL23+2))&gt;=1,"",OFFSET(A1_原単位2025,41,HL23+2)&amp;"")</f>
        <v/>
      </c>
      <c r="IA23" s="720" t="str">
        <f t="shared" ca="1" si="59"/>
        <v/>
      </c>
      <c r="IB23" s="721" t="str">
        <f t="shared" ca="1" si="60"/>
        <v/>
      </c>
      <c r="IE23" s="159" t="str">
        <f t="shared" ca="1" si="61"/>
        <v/>
      </c>
      <c r="IF23" s="159" t="str">
        <f t="shared" ca="1" si="62"/>
        <v/>
      </c>
      <c r="IG23" s="159" t="str">
        <f t="shared" ca="1" si="63"/>
        <v/>
      </c>
      <c r="IH23" s="159" t="str">
        <f t="shared" ca="1" si="64"/>
        <v/>
      </c>
    </row>
    <row r="24" spans="2:242" s="164" customFormat="1" ht="19.2" customHeight="1">
      <c r="B24" s="302"/>
      <c r="C24" s="303" t="s">
        <v>355</v>
      </c>
      <c r="D24" s="304"/>
      <c r="E24" s="305"/>
      <c r="F24" s="303" t="s">
        <v>453</v>
      </c>
      <c r="G24" s="306">
        <v>38.9</v>
      </c>
      <c r="H24" s="307">
        <v>1.9300000000000001E-2</v>
      </c>
      <c r="I24" s="310"/>
      <c r="J24" s="315"/>
      <c r="K24" s="310"/>
      <c r="L24" s="311"/>
      <c r="M24" s="311"/>
      <c r="N24" s="309"/>
      <c r="O24" s="310"/>
      <c r="P24" s="311"/>
      <c r="Q24" s="311"/>
      <c r="R24" s="309"/>
      <c r="S24" s="310"/>
      <c r="T24" s="311"/>
      <c r="U24" s="311"/>
      <c r="V24" s="309"/>
      <c r="W24" s="310"/>
      <c r="X24" s="311"/>
      <c r="Y24" s="311"/>
      <c r="Z24" s="309"/>
      <c r="AA24" s="310"/>
      <c r="AB24" s="311"/>
      <c r="AC24" s="311"/>
      <c r="AD24" s="309"/>
      <c r="AE24" s="310"/>
      <c r="AF24" s="311"/>
      <c r="AG24" s="311"/>
      <c r="AH24" s="309"/>
      <c r="AI24" s="310"/>
      <c r="AJ24" s="311"/>
      <c r="AK24" s="311"/>
      <c r="AL24" s="309"/>
      <c r="AM24" s="310"/>
      <c r="AN24" s="311"/>
      <c r="AO24" s="311"/>
      <c r="AP24" s="309"/>
      <c r="AQ24" s="310"/>
      <c r="AR24" s="311"/>
      <c r="AS24" s="311"/>
      <c r="AT24" s="309"/>
      <c r="AU24" s="310"/>
      <c r="AV24" s="311"/>
      <c r="AW24" s="311"/>
      <c r="AX24" s="309"/>
      <c r="AY24" s="310"/>
      <c r="AZ24" s="311"/>
      <c r="BA24" s="311"/>
      <c r="BB24" s="309"/>
      <c r="BC24" s="310"/>
      <c r="BD24" s="311"/>
      <c r="BE24" s="311"/>
      <c r="BF24" s="309"/>
      <c r="BG24" s="310"/>
      <c r="BH24" s="311"/>
      <c r="BI24" s="311"/>
      <c r="BJ24" s="309"/>
      <c r="BK24" s="310"/>
      <c r="BL24" s="311"/>
      <c r="BM24" s="311"/>
      <c r="BN24" s="309"/>
      <c r="BO24" s="310"/>
      <c r="BP24" s="311"/>
      <c r="BQ24" s="311"/>
      <c r="BR24" s="309"/>
      <c r="BS24" s="310"/>
      <c r="BT24" s="311"/>
      <c r="BU24" s="311"/>
      <c r="BV24" s="309"/>
      <c r="BW24" s="310"/>
      <c r="BX24" s="311"/>
      <c r="BY24" s="311"/>
      <c r="BZ24" s="309"/>
      <c r="CA24" s="310"/>
      <c r="CB24" s="311"/>
      <c r="CC24" s="311"/>
      <c r="CD24" s="309"/>
      <c r="CE24" s="310"/>
      <c r="CF24" s="311"/>
      <c r="CG24" s="311"/>
      <c r="CH24" s="309"/>
      <c r="CI24" s="310"/>
      <c r="CJ24" s="311"/>
      <c r="CK24" s="311"/>
      <c r="CL24" s="309"/>
      <c r="CM24" s="310"/>
      <c r="CN24" s="311"/>
      <c r="CO24" s="311"/>
      <c r="CP24" s="309"/>
      <c r="CQ24" s="310"/>
      <c r="CR24" s="311"/>
      <c r="CS24" s="311"/>
      <c r="CT24" s="309"/>
      <c r="CU24" s="310"/>
      <c r="CV24" s="311"/>
      <c r="CW24" s="311"/>
      <c r="CX24" s="309"/>
      <c r="CY24" s="310"/>
      <c r="CZ24" s="311"/>
      <c r="DA24" s="311"/>
      <c r="DB24" s="309"/>
      <c r="DC24" s="310"/>
      <c r="DD24" s="311"/>
      <c r="DE24" s="311"/>
      <c r="DF24" s="309"/>
      <c r="DG24" s="310"/>
      <c r="DH24" s="311"/>
      <c r="DI24" s="311"/>
      <c r="DJ24" s="309"/>
      <c r="DK24" s="310"/>
      <c r="DL24" s="311"/>
      <c r="DM24" s="311"/>
      <c r="DN24" s="309"/>
      <c r="DO24" s="310"/>
      <c r="DP24" s="311"/>
      <c r="DQ24" s="311"/>
      <c r="DR24" s="309"/>
      <c r="DS24" s="310"/>
      <c r="DT24" s="311"/>
      <c r="DU24" s="311"/>
      <c r="DV24" s="309"/>
      <c r="DW24" s="310"/>
      <c r="DX24" s="311"/>
      <c r="DY24" s="311"/>
      <c r="DZ24" s="309"/>
      <c r="EA24" s="310"/>
      <c r="EB24" s="311"/>
      <c r="EC24" s="311"/>
      <c r="ED24" s="309"/>
      <c r="EE24" s="310"/>
      <c r="EF24" s="311"/>
      <c r="EG24" s="311"/>
      <c r="EH24" s="309"/>
      <c r="EI24" s="310"/>
      <c r="EJ24" s="311"/>
      <c r="EK24" s="311"/>
      <c r="EL24" s="309"/>
      <c r="EM24" s="310"/>
      <c r="EN24" s="311"/>
      <c r="EO24" s="311"/>
      <c r="EP24" s="309"/>
      <c r="EQ24" s="310"/>
      <c r="ER24" s="311"/>
      <c r="ES24" s="311"/>
      <c r="ET24" s="309"/>
      <c r="EU24" s="310"/>
      <c r="EV24" s="311"/>
      <c r="EW24" s="311"/>
      <c r="EX24" s="309"/>
      <c r="EY24" s="310"/>
      <c r="EZ24" s="311"/>
      <c r="FA24" s="311"/>
      <c r="FB24" s="309"/>
      <c r="FC24" s="310"/>
      <c r="FD24" s="311"/>
      <c r="FE24" s="311"/>
      <c r="FF24" s="309"/>
      <c r="FG24" s="310"/>
      <c r="FH24" s="311"/>
      <c r="FI24" s="311"/>
      <c r="FJ24" s="309"/>
      <c r="FK24" s="310"/>
      <c r="FL24" s="311"/>
      <c r="FM24" s="311"/>
      <c r="FN24" s="309"/>
      <c r="FO24" s="310"/>
      <c r="FP24" s="311"/>
      <c r="FQ24" s="311"/>
      <c r="FR24" s="309"/>
      <c r="FS24" s="310"/>
      <c r="FT24" s="311"/>
      <c r="FU24" s="311"/>
      <c r="FV24" s="309"/>
      <c r="FW24" s="310"/>
      <c r="FX24" s="311"/>
      <c r="FY24" s="311"/>
      <c r="FZ24" s="309"/>
      <c r="GA24" s="310"/>
      <c r="GB24" s="311"/>
      <c r="GC24" s="311"/>
      <c r="GD24" s="309"/>
      <c r="GE24" s="310"/>
      <c r="GF24" s="311"/>
      <c r="GG24" s="311"/>
      <c r="GH24" s="309"/>
      <c r="GI24" s="310"/>
      <c r="GJ24" s="311"/>
      <c r="GK24" s="311"/>
      <c r="GL24" s="309"/>
      <c r="GM24" s="310"/>
      <c r="GN24" s="311"/>
      <c r="GO24" s="311"/>
      <c r="GP24" s="309"/>
      <c r="GQ24" s="310"/>
      <c r="GR24" s="311"/>
      <c r="GS24" s="311"/>
      <c r="GT24" s="309"/>
      <c r="GU24" s="310"/>
      <c r="GV24" s="311"/>
      <c r="GW24" s="311"/>
      <c r="GX24" s="309"/>
      <c r="GY24" s="310"/>
      <c r="GZ24" s="311"/>
      <c r="HA24" s="311"/>
      <c r="HB24" s="309"/>
      <c r="HC24" s="312">
        <f t="shared" si="66"/>
        <v>0</v>
      </c>
      <c r="HD24" s="313">
        <f t="shared" si="66"/>
        <v>0</v>
      </c>
      <c r="HE24" s="313">
        <f t="shared" si="66"/>
        <v>0</v>
      </c>
      <c r="HF24" s="314"/>
      <c r="HG24" s="312">
        <f>SUM(SUMIFS(K24:HB24,$K$13:$HB$13,{"エネルギー管理指定工場等*","県域*"}))</f>
        <v>0</v>
      </c>
      <c r="HH24" s="313">
        <f>SUM(SUMIFS(L24:HC24,$K$13:$HB$13,{"エネルギー管理指定工場等*","県域*"}))</f>
        <v>0</v>
      </c>
      <c r="HI24" s="313">
        <f>SUM(SUMIFS(M24:HD24,$K$13:$HB$13,{"エネルギー管理指定工場等*","県域*"}))</f>
        <v>0</v>
      </c>
      <c r="HJ24" s="314"/>
      <c r="HL24" s="219">
        <v>15</v>
      </c>
      <c r="HM24" s="714" t="str">
        <f t="shared" ca="1" si="49"/>
        <v/>
      </c>
      <c r="HN24" s="715" t="str">
        <f ca="1">IF(COUNTIF(HN$10:HN23,OFFSET(A1_原単位2025,5,HL24+2))&gt;=1,"",OFFSET(A1_原単位2025,5,HL24+2)&amp;"")</f>
        <v/>
      </c>
      <c r="HO24" s="716" t="str">
        <f t="shared" ca="1" si="50"/>
        <v/>
      </c>
      <c r="HP24" s="717" t="str">
        <f t="shared" ca="1" si="51"/>
        <v/>
      </c>
      <c r="HQ24" s="714" t="str">
        <f t="shared" ca="1" si="52"/>
        <v/>
      </c>
      <c r="HR24" s="715" t="str">
        <f ca="1">IF(COUNTIF(HR$10:HR23,OFFSET(A1_原単位2025,17,HL24+2))&gt;=1,"",OFFSET(A1_原単位2025,17,HL24+2)&amp;"")</f>
        <v/>
      </c>
      <c r="HS24" s="718" t="str">
        <f t="shared" ca="1" si="53"/>
        <v/>
      </c>
      <c r="HT24" s="719" t="str">
        <f t="shared" ca="1" si="54"/>
        <v/>
      </c>
      <c r="HU24" s="714" t="str">
        <f t="shared" ca="1" si="55"/>
        <v/>
      </c>
      <c r="HV24" s="715" t="str">
        <f ca="1">IF(COUNTIF(HV$10:HV23,OFFSET(A1_原単位2025,29,HL24+2))&gt;=1,"",OFFSET(A1_原単位2025,29,HL24+2)&amp;"")</f>
        <v/>
      </c>
      <c r="HW24" s="718" t="str">
        <f t="shared" ca="1" si="56"/>
        <v/>
      </c>
      <c r="HX24" s="719" t="str">
        <f t="shared" ca="1" si="57"/>
        <v/>
      </c>
      <c r="HY24" s="714" t="str">
        <f t="shared" ca="1" si="58"/>
        <v/>
      </c>
      <c r="HZ24" s="715" t="str">
        <f ca="1">IF(COUNTIF(HZ$10:HZ23,OFFSET(A1_原単位2025,41,HL24+2))&gt;=1,"",OFFSET(A1_原単位2025,41,HL24+2)&amp;"")</f>
        <v/>
      </c>
      <c r="IA24" s="720" t="str">
        <f t="shared" ca="1" si="59"/>
        <v/>
      </c>
      <c r="IB24" s="721" t="str">
        <f t="shared" ca="1" si="60"/>
        <v/>
      </c>
      <c r="IE24" s="159" t="str">
        <f t="shared" ca="1" si="61"/>
        <v/>
      </c>
      <c r="IF24" s="159" t="str">
        <f t="shared" ca="1" si="62"/>
        <v/>
      </c>
      <c r="IG24" s="159" t="str">
        <f t="shared" ca="1" si="63"/>
        <v/>
      </c>
      <c r="IH24" s="159" t="str">
        <f t="shared" ca="1" si="64"/>
        <v/>
      </c>
    </row>
    <row r="25" spans="2:242" s="164" customFormat="1" ht="19.2" customHeight="1">
      <c r="B25" s="302"/>
      <c r="C25" s="303" t="s">
        <v>356</v>
      </c>
      <c r="D25" s="304"/>
      <c r="E25" s="305"/>
      <c r="F25" s="303" t="s">
        <v>453</v>
      </c>
      <c r="G25" s="306">
        <v>41.8</v>
      </c>
      <c r="H25" s="307">
        <v>2.0199999999999999E-2</v>
      </c>
      <c r="I25" s="310"/>
      <c r="J25" s="315"/>
      <c r="K25" s="310"/>
      <c r="L25" s="311"/>
      <c r="M25" s="311"/>
      <c r="N25" s="309"/>
      <c r="O25" s="310"/>
      <c r="P25" s="311"/>
      <c r="Q25" s="311"/>
      <c r="R25" s="309"/>
      <c r="S25" s="310"/>
      <c r="T25" s="311"/>
      <c r="U25" s="311"/>
      <c r="V25" s="309"/>
      <c r="W25" s="310"/>
      <c r="X25" s="311"/>
      <c r="Y25" s="311"/>
      <c r="Z25" s="309"/>
      <c r="AA25" s="310"/>
      <c r="AB25" s="311"/>
      <c r="AC25" s="311"/>
      <c r="AD25" s="309"/>
      <c r="AE25" s="310"/>
      <c r="AF25" s="311"/>
      <c r="AG25" s="311"/>
      <c r="AH25" s="309"/>
      <c r="AI25" s="310"/>
      <c r="AJ25" s="311"/>
      <c r="AK25" s="311"/>
      <c r="AL25" s="309"/>
      <c r="AM25" s="310"/>
      <c r="AN25" s="311"/>
      <c r="AO25" s="311"/>
      <c r="AP25" s="309"/>
      <c r="AQ25" s="310"/>
      <c r="AR25" s="311"/>
      <c r="AS25" s="311"/>
      <c r="AT25" s="309"/>
      <c r="AU25" s="310"/>
      <c r="AV25" s="311"/>
      <c r="AW25" s="311"/>
      <c r="AX25" s="309"/>
      <c r="AY25" s="310"/>
      <c r="AZ25" s="311"/>
      <c r="BA25" s="311"/>
      <c r="BB25" s="309"/>
      <c r="BC25" s="310"/>
      <c r="BD25" s="311"/>
      <c r="BE25" s="311"/>
      <c r="BF25" s="309"/>
      <c r="BG25" s="310"/>
      <c r="BH25" s="311"/>
      <c r="BI25" s="311"/>
      <c r="BJ25" s="309"/>
      <c r="BK25" s="310"/>
      <c r="BL25" s="311"/>
      <c r="BM25" s="311"/>
      <c r="BN25" s="309"/>
      <c r="BO25" s="310"/>
      <c r="BP25" s="311"/>
      <c r="BQ25" s="311"/>
      <c r="BR25" s="309"/>
      <c r="BS25" s="310"/>
      <c r="BT25" s="311"/>
      <c r="BU25" s="311"/>
      <c r="BV25" s="309"/>
      <c r="BW25" s="310"/>
      <c r="BX25" s="311"/>
      <c r="BY25" s="311"/>
      <c r="BZ25" s="309"/>
      <c r="CA25" s="310"/>
      <c r="CB25" s="311"/>
      <c r="CC25" s="311"/>
      <c r="CD25" s="309"/>
      <c r="CE25" s="310"/>
      <c r="CF25" s="311"/>
      <c r="CG25" s="311"/>
      <c r="CH25" s="309"/>
      <c r="CI25" s="310"/>
      <c r="CJ25" s="311"/>
      <c r="CK25" s="311"/>
      <c r="CL25" s="309"/>
      <c r="CM25" s="310"/>
      <c r="CN25" s="311"/>
      <c r="CO25" s="311"/>
      <c r="CP25" s="309"/>
      <c r="CQ25" s="310"/>
      <c r="CR25" s="311"/>
      <c r="CS25" s="311"/>
      <c r="CT25" s="309"/>
      <c r="CU25" s="310"/>
      <c r="CV25" s="311"/>
      <c r="CW25" s="311"/>
      <c r="CX25" s="309"/>
      <c r="CY25" s="310"/>
      <c r="CZ25" s="311"/>
      <c r="DA25" s="311"/>
      <c r="DB25" s="309"/>
      <c r="DC25" s="310"/>
      <c r="DD25" s="311"/>
      <c r="DE25" s="311"/>
      <c r="DF25" s="309"/>
      <c r="DG25" s="310"/>
      <c r="DH25" s="311"/>
      <c r="DI25" s="311"/>
      <c r="DJ25" s="309"/>
      <c r="DK25" s="310"/>
      <c r="DL25" s="311"/>
      <c r="DM25" s="311"/>
      <c r="DN25" s="309"/>
      <c r="DO25" s="310"/>
      <c r="DP25" s="311"/>
      <c r="DQ25" s="311"/>
      <c r="DR25" s="309"/>
      <c r="DS25" s="310"/>
      <c r="DT25" s="311"/>
      <c r="DU25" s="311"/>
      <c r="DV25" s="309"/>
      <c r="DW25" s="310"/>
      <c r="DX25" s="311"/>
      <c r="DY25" s="311"/>
      <c r="DZ25" s="309"/>
      <c r="EA25" s="310"/>
      <c r="EB25" s="311"/>
      <c r="EC25" s="311"/>
      <c r="ED25" s="309"/>
      <c r="EE25" s="310"/>
      <c r="EF25" s="311"/>
      <c r="EG25" s="311"/>
      <c r="EH25" s="309"/>
      <c r="EI25" s="310"/>
      <c r="EJ25" s="311"/>
      <c r="EK25" s="311"/>
      <c r="EL25" s="309"/>
      <c r="EM25" s="310"/>
      <c r="EN25" s="311"/>
      <c r="EO25" s="311"/>
      <c r="EP25" s="309"/>
      <c r="EQ25" s="310"/>
      <c r="ER25" s="311"/>
      <c r="ES25" s="311"/>
      <c r="ET25" s="309"/>
      <c r="EU25" s="310"/>
      <c r="EV25" s="311"/>
      <c r="EW25" s="311"/>
      <c r="EX25" s="309"/>
      <c r="EY25" s="310"/>
      <c r="EZ25" s="311"/>
      <c r="FA25" s="311"/>
      <c r="FB25" s="309"/>
      <c r="FC25" s="310"/>
      <c r="FD25" s="311"/>
      <c r="FE25" s="311"/>
      <c r="FF25" s="309"/>
      <c r="FG25" s="310"/>
      <c r="FH25" s="311"/>
      <c r="FI25" s="311"/>
      <c r="FJ25" s="309"/>
      <c r="FK25" s="310"/>
      <c r="FL25" s="311"/>
      <c r="FM25" s="311"/>
      <c r="FN25" s="309"/>
      <c r="FO25" s="310"/>
      <c r="FP25" s="311"/>
      <c r="FQ25" s="311"/>
      <c r="FR25" s="309"/>
      <c r="FS25" s="310"/>
      <c r="FT25" s="311"/>
      <c r="FU25" s="311"/>
      <c r="FV25" s="309"/>
      <c r="FW25" s="310"/>
      <c r="FX25" s="311"/>
      <c r="FY25" s="311"/>
      <c r="FZ25" s="309"/>
      <c r="GA25" s="310"/>
      <c r="GB25" s="311"/>
      <c r="GC25" s="311"/>
      <c r="GD25" s="309"/>
      <c r="GE25" s="310"/>
      <c r="GF25" s="311"/>
      <c r="GG25" s="311"/>
      <c r="GH25" s="309"/>
      <c r="GI25" s="310"/>
      <c r="GJ25" s="311"/>
      <c r="GK25" s="311"/>
      <c r="GL25" s="309"/>
      <c r="GM25" s="310"/>
      <c r="GN25" s="311"/>
      <c r="GO25" s="311"/>
      <c r="GP25" s="309"/>
      <c r="GQ25" s="310"/>
      <c r="GR25" s="311"/>
      <c r="GS25" s="311"/>
      <c r="GT25" s="309"/>
      <c r="GU25" s="310"/>
      <c r="GV25" s="311"/>
      <c r="GW25" s="311"/>
      <c r="GX25" s="309"/>
      <c r="GY25" s="310"/>
      <c r="GZ25" s="311"/>
      <c r="HA25" s="311"/>
      <c r="HB25" s="309"/>
      <c r="HC25" s="312">
        <f t="shared" si="66"/>
        <v>0</v>
      </c>
      <c r="HD25" s="313">
        <f t="shared" si="66"/>
        <v>0</v>
      </c>
      <c r="HE25" s="313">
        <f t="shared" si="66"/>
        <v>0</v>
      </c>
      <c r="HF25" s="314"/>
      <c r="HG25" s="312">
        <f>SUM(SUMIFS(K25:HB25,$K$13:$HB$13,{"エネルギー管理指定工場等*","県域*"}))</f>
        <v>0</v>
      </c>
      <c r="HH25" s="313">
        <f>SUM(SUMIFS(L25:HC25,$K$13:$HB$13,{"エネルギー管理指定工場等*","県域*"}))</f>
        <v>0</v>
      </c>
      <c r="HI25" s="313">
        <f>SUM(SUMIFS(M25:HD25,$K$13:$HB$13,{"エネルギー管理指定工場等*","県域*"}))</f>
        <v>0</v>
      </c>
      <c r="HJ25" s="314"/>
      <c r="HL25" s="230">
        <v>16</v>
      </c>
      <c r="HM25" s="714" t="str">
        <f t="shared" ca="1" si="49"/>
        <v/>
      </c>
      <c r="HN25" s="715" t="str">
        <f ca="1">IF(COUNTIF(HN$10:HN24,OFFSET(A1_原単位2025,5,HL25+2))&gt;=1,"",OFFSET(A1_原単位2025,5,HL25+2)&amp;"")</f>
        <v/>
      </c>
      <c r="HO25" s="716" t="str">
        <f t="shared" ca="1" si="50"/>
        <v/>
      </c>
      <c r="HP25" s="717" t="str">
        <f t="shared" ca="1" si="51"/>
        <v/>
      </c>
      <c r="HQ25" s="714" t="str">
        <f t="shared" ca="1" si="52"/>
        <v/>
      </c>
      <c r="HR25" s="715" t="str">
        <f ca="1">IF(COUNTIF(HR$10:HR24,OFFSET(A1_原単位2025,17,HL25+2))&gt;=1,"",OFFSET(A1_原単位2025,17,HL25+2)&amp;"")</f>
        <v/>
      </c>
      <c r="HS25" s="718" t="str">
        <f t="shared" ca="1" si="53"/>
        <v/>
      </c>
      <c r="HT25" s="719" t="str">
        <f t="shared" ca="1" si="54"/>
        <v/>
      </c>
      <c r="HU25" s="714" t="str">
        <f t="shared" ca="1" si="55"/>
        <v/>
      </c>
      <c r="HV25" s="715" t="str">
        <f ca="1">IF(COUNTIF(HV$10:HV24,OFFSET(A1_原単位2025,29,HL25+2))&gt;=1,"",OFFSET(A1_原単位2025,29,HL25+2)&amp;"")</f>
        <v/>
      </c>
      <c r="HW25" s="718" t="str">
        <f t="shared" ca="1" si="56"/>
        <v/>
      </c>
      <c r="HX25" s="719" t="str">
        <f t="shared" ca="1" si="57"/>
        <v/>
      </c>
      <c r="HY25" s="714" t="str">
        <f t="shared" ca="1" si="58"/>
        <v/>
      </c>
      <c r="HZ25" s="715" t="str">
        <f ca="1">IF(COUNTIF(HZ$10:HZ24,OFFSET(A1_原単位2025,41,HL25+2))&gt;=1,"",OFFSET(A1_原単位2025,41,HL25+2)&amp;"")</f>
        <v/>
      </c>
      <c r="IA25" s="720" t="str">
        <f t="shared" ca="1" si="59"/>
        <v/>
      </c>
      <c r="IB25" s="721" t="str">
        <f t="shared" ca="1" si="60"/>
        <v/>
      </c>
      <c r="IE25" s="159" t="str">
        <f t="shared" ca="1" si="61"/>
        <v/>
      </c>
      <c r="IF25" s="159" t="str">
        <f t="shared" ca="1" si="62"/>
        <v/>
      </c>
      <c r="IG25" s="159" t="str">
        <f t="shared" ca="1" si="63"/>
        <v/>
      </c>
      <c r="IH25" s="159" t="str">
        <f t="shared" ca="1" si="64"/>
        <v/>
      </c>
    </row>
    <row r="26" spans="2:242" s="164" customFormat="1" ht="19.2" customHeight="1">
      <c r="B26" s="302"/>
      <c r="C26" s="303" t="s">
        <v>358</v>
      </c>
      <c r="D26" s="304"/>
      <c r="E26" s="305"/>
      <c r="F26" s="303" t="s">
        <v>455</v>
      </c>
      <c r="G26" s="316">
        <v>40</v>
      </c>
      <c r="H26" s="307">
        <v>2.0400000000000001E-2</v>
      </c>
      <c r="I26" s="308"/>
      <c r="J26" s="309"/>
      <c r="K26" s="310"/>
      <c r="L26" s="311"/>
      <c r="M26" s="311"/>
      <c r="N26" s="309"/>
      <c r="O26" s="310"/>
      <c r="P26" s="311"/>
      <c r="Q26" s="311"/>
      <c r="R26" s="309"/>
      <c r="S26" s="310"/>
      <c r="T26" s="311"/>
      <c r="U26" s="311"/>
      <c r="V26" s="309"/>
      <c r="W26" s="310"/>
      <c r="X26" s="311"/>
      <c r="Y26" s="311"/>
      <c r="Z26" s="309"/>
      <c r="AA26" s="310"/>
      <c r="AB26" s="311"/>
      <c r="AC26" s="311"/>
      <c r="AD26" s="309"/>
      <c r="AE26" s="310"/>
      <c r="AF26" s="311"/>
      <c r="AG26" s="311"/>
      <c r="AH26" s="309"/>
      <c r="AI26" s="310"/>
      <c r="AJ26" s="311"/>
      <c r="AK26" s="311"/>
      <c r="AL26" s="309"/>
      <c r="AM26" s="310"/>
      <c r="AN26" s="311"/>
      <c r="AO26" s="311"/>
      <c r="AP26" s="309"/>
      <c r="AQ26" s="310"/>
      <c r="AR26" s="311"/>
      <c r="AS26" s="311"/>
      <c r="AT26" s="309"/>
      <c r="AU26" s="310"/>
      <c r="AV26" s="311"/>
      <c r="AW26" s="311"/>
      <c r="AX26" s="309"/>
      <c r="AY26" s="310"/>
      <c r="AZ26" s="311"/>
      <c r="BA26" s="311"/>
      <c r="BB26" s="309"/>
      <c r="BC26" s="310"/>
      <c r="BD26" s="311"/>
      <c r="BE26" s="311"/>
      <c r="BF26" s="309"/>
      <c r="BG26" s="310"/>
      <c r="BH26" s="311"/>
      <c r="BI26" s="311"/>
      <c r="BJ26" s="309"/>
      <c r="BK26" s="310"/>
      <c r="BL26" s="311"/>
      <c r="BM26" s="311"/>
      <c r="BN26" s="309"/>
      <c r="BO26" s="310"/>
      <c r="BP26" s="311"/>
      <c r="BQ26" s="311"/>
      <c r="BR26" s="309"/>
      <c r="BS26" s="310"/>
      <c r="BT26" s="311"/>
      <c r="BU26" s="311"/>
      <c r="BV26" s="309"/>
      <c r="BW26" s="310"/>
      <c r="BX26" s="311"/>
      <c r="BY26" s="311"/>
      <c r="BZ26" s="309"/>
      <c r="CA26" s="310"/>
      <c r="CB26" s="311"/>
      <c r="CC26" s="311"/>
      <c r="CD26" s="309"/>
      <c r="CE26" s="310"/>
      <c r="CF26" s="311"/>
      <c r="CG26" s="311"/>
      <c r="CH26" s="309"/>
      <c r="CI26" s="310"/>
      <c r="CJ26" s="311"/>
      <c r="CK26" s="311"/>
      <c r="CL26" s="309"/>
      <c r="CM26" s="310"/>
      <c r="CN26" s="311"/>
      <c r="CO26" s="311"/>
      <c r="CP26" s="309"/>
      <c r="CQ26" s="310"/>
      <c r="CR26" s="311"/>
      <c r="CS26" s="311"/>
      <c r="CT26" s="309"/>
      <c r="CU26" s="310"/>
      <c r="CV26" s="311"/>
      <c r="CW26" s="311"/>
      <c r="CX26" s="309"/>
      <c r="CY26" s="310"/>
      <c r="CZ26" s="311"/>
      <c r="DA26" s="311"/>
      <c r="DB26" s="309"/>
      <c r="DC26" s="310"/>
      <c r="DD26" s="311"/>
      <c r="DE26" s="311"/>
      <c r="DF26" s="309"/>
      <c r="DG26" s="310"/>
      <c r="DH26" s="311"/>
      <c r="DI26" s="311"/>
      <c r="DJ26" s="309"/>
      <c r="DK26" s="310"/>
      <c r="DL26" s="311"/>
      <c r="DM26" s="311"/>
      <c r="DN26" s="309"/>
      <c r="DO26" s="310"/>
      <c r="DP26" s="311"/>
      <c r="DQ26" s="311"/>
      <c r="DR26" s="309"/>
      <c r="DS26" s="310"/>
      <c r="DT26" s="311"/>
      <c r="DU26" s="311"/>
      <c r="DV26" s="309"/>
      <c r="DW26" s="310"/>
      <c r="DX26" s="311"/>
      <c r="DY26" s="311"/>
      <c r="DZ26" s="309"/>
      <c r="EA26" s="310"/>
      <c r="EB26" s="311"/>
      <c r="EC26" s="311"/>
      <c r="ED26" s="309"/>
      <c r="EE26" s="310"/>
      <c r="EF26" s="311"/>
      <c r="EG26" s="311"/>
      <c r="EH26" s="309"/>
      <c r="EI26" s="310"/>
      <c r="EJ26" s="311"/>
      <c r="EK26" s="311"/>
      <c r="EL26" s="309"/>
      <c r="EM26" s="310"/>
      <c r="EN26" s="311"/>
      <c r="EO26" s="311"/>
      <c r="EP26" s="309"/>
      <c r="EQ26" s="310"/>
      <c r="ER26" s="311"/>
      <c r="ES26" s="311"/>
      <c r="ET26" s="309"/>
      <c r="EU26" s="310"/>
      <c r="EV26" s="311"/>
      <c r="EW26" s="311"/>
      <c r="EX26" s="309"/>
      <c r="EY26" s="310"/>
      <c r="EZ26" s="311"/>
      <c r="FA26" s="311"/>
      <c r="FB26" s="309"/>
      <c r="FC26" s="310"/>
      <c r="FD26" s="311"/>
      <c r="FE26" s="311"/>
      <c r="FF26" s="309"/>
      <c r="FG26" s="310"/>
      <c r="FH26" s="311"/>
      <c r="FI26" s="311"/>
      <c r="FJ26" s="309"/>
      <c r="FK26" s="310"/>
      <c r="FL26" s="311"/>
      <c r="FM26" s="311"/>
      <c r="FN26" s="309"/>
      <c r="FO26" s="310"/>
      <c r="FP26" s="311"/>
      <c r="FQ26" s="311"/>
      <c r="FR26" s="309"/>
      <c r="FS26" s="310"/>
      <c r="FT26" s="311"/>
      <c r="FU26" s="311"/>
      <c r="FV26" s="309"/>
      <c r="FW26" s="310"/>
      <c r="FX26" s="311"/>
      <c r="FY26" s="311"/>
      <c r="FZ26" s="309"/>
      <c r="GA26" s="310"/>
      <c r="GB26" s="311"/>
      <c r="GC26" s="311"/>
      <c r="GD26" s="309"/>
      <c r="GE26" s="310"/>
      <c r="GF26" s="311"/>
      <c r="GG26" s="311"/>
      <c r="GH26" s="309"/>
      <c r="GI26" s="310"/>
      <c r="GJ26" s="311"/>
      <c r="GK26" s="311"/>
      <c r="GL26" s="309"/>
      <c r="GM26" s="310"/>
      <c r="GN26" s="311"/>
      <c r="GO26" s="311"/>
      <c r="GP26" s="309"/>
      <c r="GQ26" s="310"/>
      <c r="GR26" s="311"/>
      <c r="GS26" s="311"/>
      <c r="GT26" s="309"/>
      <c r="GU26" s="310"/>
      <c r="GV26" s="311"/>
      <c r="GW26" s="311"/>
      <c r="GX26" s="309"/>
      <c r="GY26" s="310"/>
      <c r="GZ26" s="311"/>
      <c r="HA26" s="311"/>
      <c r="HB26" s="309"/>
      <c r="HC26" s="312">
        <f t="shared" si="66"/>
        <v>0</v>
      </c>
      <c r="HD26" s="313">
        <f t="shared" si="66"/>
        <v>0</v>
      </c>
      <c r="HE26" s="313">
        <f t="shared" si="66"/>
        <v>0</v>
      </c>
      <c r="HF26" s="314"/>
      <c r="HG26" s="312">
        <f>SUM(SUMIFS(K26:HB26,$K$13:$HB$13,{"エネルギー管理指定工場等*","県域*"}))</f>
        <v>0</v>
      </c>
      <c r="HH26" s="313">
        <f>SUM(SUMIFS(L26:HC26,$K$13:$HB$13,{"エネルギー管理指定工場等*","県域*"}))</f>
        <v>0</v>
      </c>
      <c r="HI26" s="313">
        <f>SUM(SUMIFS(M26:HD26,$K$13:$HB$13,{"エネルギー管理指定工場等*","県域*"}))</f>
        <v>0</v>
      </c>
      <c r="HJ26" s="314"/>
      <c r="HL26" s="219">
        <v>17</v>
      </c>
      <c r="HM26" s="714" t="str">
        <f t="shared" ca="1" si="49"/>
        <v/>
      </c>
      <c r="HN26" s="715" t="str">
        <f ca="1">IF(COUNTIF(HN$10:HN25,OFFSET(A1_原単位2025,5,HL26+2))&gt;=1,"",OFFSET(A1_原単位2025,5,HL26+2)&amp;"")</f>
        <v/>
      </c>
      <c r="HO26" s="716" t="str">
        <f t="shared" ca="1" si="50"/>
        <v/>
      </c>
      <c r="HP26" s="717" t="str">
        <f t="shared" ca="1" si="51"/>
        <v/>
      </c>
      <c r="HQ26" s="714" t="str">
        <f t="shared" ca="1" si="52"/>
        <v/>
      </c>
      <c r="HR26" s="715" t="str">
        <f ca="1">IF(COUNTIF(HR$10:HR25,OFFSET(A1_原単位2025,17,HL26+2))&gt;=1,"",OFFSET(A1_原単位2025,17,HL26+2)&amp;"")</f>
        <v/>
      </c>
      <c r="HS26" s="718" t="str">
        <f t="shared" ca="1" si="53"/>
        <v/>
      </c>
      <c r="HT26" s="719" t="str">
        <f t="shared" ca="1" si="54"/>
        <v/>
      </c>
      <c r="HU26" s="714" t="str">
        <f t="shared" ca="1" si="55"/>
        <v/>
      </c>
      <c r="HV26" s="715" t="str">
        <f ca="1">IF(COUNTIF(HV$10:HV25,OFFSET(A1_原単位2025,29,HL26+2))&gt;=1,"",OFFSET(A1_原単位2025,29,HL26+2)&amp;"")</f>
        <v/>
      </c>
      <c r="HW26" s="718" t="str">
        <f t="shared" ca="1" si="56"/>
        <v/>
      </c>
      <c r="HX26" s="719" t="str">
        <f t="shared" ca="1" si="57"/>
        <v/>
      </c>
      <c r="HY26" s="714" t="str">
        <f t="shared" ca="1" si="58"/>
        <v/>
      </c>
      <c r="HZ26" s="715" t="str">
        <f ca="1">IF(COUNTIF(HZ$10:HZ25,OFFSET(A1_原単位2025,41,HL26+2))&gt;=1,"",OFFSET(A1_原単位2025,41,HL26+2)&amp;"")</f>
        <v/>
      </c>
      <c r="IA26" s="720" t="str">
        <f t="shared" ca="1" si="59"/>
        <v/>
      </c>
      <c r="IB26" s="721" t="str">
        <f t="shared" ca="1" si="60"/>
        <v/>
      </c>
      <c r="IE26" s="159" t="str">
        <f t="shared" ca="1" si="61"/>
        <v/>
      </c>
      <c r="IF26" s="159" t="str">
        <f t="shared" ca="1" si="62"/>
        <v/>
      </c>
      <c r="IG26" s="159" t="str">
        <f t="shared" ca="1" si="63"/>
        <v/>
      </c>
      <c r="IH26" s="159" t="str">
        <f t="shared" ca="1" si="64"/>
        <v/>
      </c>
    </row>
    <row r="27" spans="2:242" s="164" customFormat="1" ht="19.2" customHeight="1">
      <c r="B27" s="302"/>
      <c r="C27" s="303" t="s">
        <v>359</v>
      </c>
      <c r="D27" s="304"/>
      <c r="E27" s="305"/>
      <c r="F27" s="303" t="s">
        <v>455</v>
      </c>
      <c r="G27" s="306">
        <v>34.1</v>
      </c>
      <c r="H27" s="307">
        <v>2.5399999999999999E-2</v>
      </c>
      <c r="I27" s="308"/>
      <c r="J27" s="309"/>
      <c r="K27" s="310"/>
      <c r="L27" s="311"/>
      <c r="M27" s="311"/>
      <c r="N27" s="309"/>
      <c r="O27" s="310"/>
      <c r="P27" s="311"/>
      <c r="Q27" s="311"/>
      <c r="R27" s="309"/>
      <c r="S27" s="310"/>
      <c r="T27" s="311"/>
      <c r="U27" s="311"/>
      <c r="V27" s="309"/>
      <c r="W27" s="310"/>
      <c r="X27" s="311"/>
      <c r="Y27" s="311"/>
      <c r="Z27" s="309"/>
      <c r="AA27" s="310"/>
      <c r="AB27" s="311"/>
      <c r="AC27" s="311"/>
      <c r="AD27" s="309"/>
      <c r="AE27" s="310"/>
      <c r="AF27" s="311"/>
      <c r="AG27" s="311"/>
      <c r="AH27" s="309"/>
      <c r="AI27" s="310"/>
      <c r="AJ27" s="311"/>
      <c r="AK27" s="311"/>
      <c r="AL27" s="309"/>
      <c r="AM27" s="310"/>
      <c r="AN27" s="311"/>
      <c r="AO27" s="311"/>
      <c r="AP27" s="309"/>
      <c r="AQ27" s="310"/>
      <c r="AR27" s="311"/>
      <c r="AS27" s="311"/>
      <c r="AT27" s="309"/>
      <c r="AU27" s="310"/>
      <c r="AV27" s="311"/>
      <c r="AW27" s="311"/>
      <c r="AX27" s="309"/>
      <c r="AY27" s="310"/>
      <c r="AZ27" s="311"/>
      <c r="BA27" s="311"/>
      <c r="BB27" s="309"/>
      <c r="BC27" s="310"/>
      <c r="BD27" s="311"/>
      <c r="BE27" s="311"/>
      <c r="BF27" s="309"/>
      <c r="BG27" s="310"/>
      <c r="BH27" s="311"/>
      <c r="BI27" s="311"/>
      <c r="BJ27" s="309"/>
      <c r="BK27" s="310"/>
      <c r="BL27" s="311"/>
      <c r="BM27" s="311"/>
      <c r="BN27" s="309"/>
      <c r="BO27" s="310"/>
      <c r="BP27" s="311"/>
      <c r="BQ27" s="311"/>
      <c r="BR27" s="309"/>
      <c r="BS27" s="310"/>
      <c r="BT27" s="311"/>
      <c r="BU27" s="311"/>
      <c r="BV27" s="309"/>
      <c r="BW27" s="310"/>
      <c r="BX27" s="311"/>
      <c r="BY27" s="311"/>
      <c r="BZ27" s="309"/>
      <c r="CA27" s="310"/>
      <c r="CB27" s="311"/>
      <c r="CC27" s="311"/>
      <c r="CD27" s="309"/>
      <c r="CE27" s="310"/>
      <c r="CF27" s="311"/>
      <c r="CG27" s="311"/>
      <c r="CH27" s="309"/>
      <c r="CI27" s="310"/>
      <c r="CJ27" s="311"/>
      <c r="CK27" s="311"/>
      <c r="CL27" s="309"/>
      <c r="CM27" s="310"/>
      <c r="CN27" s="311"/>
      <c r="CO27" s="311"/>
      <c r="CP27" s="309"/>
      <c r="CQ27" s="310"/>
      <c r="CR27" s="311"/>
      <c r="CS27" s="311"/>
      <c r="CT27" s="309"/>
      <c r="CU27" s="310"/>
      <c r="CV27" s="311"/>
      <c r="CW27" s="311"/>
      <c r="CX27" s="309"/>
      <c r="CY27" s="310"/>
      <c r="CZ27" s="311"/>
      <c r="DA27" s="311"/>
      <c r="DB27" s="309"/>
      <c r="DC27" s="310"/>
      <c r="DD27" s="311"/>
      <c r="DE27" s="311"/>
      <c r="DF27" s="309"/>
      <c r="DG27" s="310"/>
      <c r="DH27" s="311"/>
      <c r="DI27" s="311"/>
      <c r="DJ27" s="309"/>
      <c r="DK27" s="310"/>
      <c r="DL27" s="311"/>
      <c r="DM27" s="311"/>
      <c r="DN27" s="309"/>
      <c r="DO27" s="310"/>
      <c r="DP27" s="311"/>
      <c r="DQ27" s="311"/>
      <c r="DR27" s="309"/>
      <c r="DS27" s="310"/>
      <c r="DT27" s="311"/>
      <c r="DU27" s="311"/>
      <c r="DV27" s="309"/>
      <c r="DW27" s="310"/>
      <c r="DX27" s="311"/>
      <c r="DY27" s="311"/>
      <c r="DZ27" s="309"/>
      <c r="EA27" s="310"/>
      <c r="EB27" s="311"/>
      <c r="EC27" s="311"/>
      <c r="ED27" s="309"/>
      <c r="EE27" s="310"/>
      <c r="EF27" s="311"/>
      <c r="EG27" s="311"/>
      <c r="EH27" s="309"/>
      <c r="EI27" s="310"/>
      <c r="EJ27" s="311"/>
      <c r="EK27" s="311"/>
      <c r="EL27" s="309"/>
      <c r="EM27" s="310"/>
      <c r="EN27" s="311"/>
      <c r="EO27" s="311"/>
      <c r="EP27" s="309"/>
      <c r="EQ27" s="310"/>
      <c r="ER27" s="311"/>
      <c r="ES27" s="311"/>
      <c r="ET27" s="309"/>
      <c r="EU27" s="310"/>
      <c r="EV27" s="311"/>
      <c r="EW27" s="311"/>
      <c r="EX27" s="309"/>
      <c r="EY27" s="310"/>
      <c r="EZ27" s="311"/>
      <c r="FA27" s="311"/>
      <c r="FB27" s="309"/>
      <c r="FC27" s="310"/>
      <c r="FD27" s="311"/>
      <c r="FE27" s="311"/>
      <c r="FF27" s="309"/>
      <c r="FG27" s="310"/>
      <c r="FH27" s="311"/>
      <c r="FI27" s="311"/>
      <c r="FJ27" s="309"/>
      <c r="FK27" s="310"/>
      <c r="FL27" s="311"/>
      <c r="FM27" s="311"/>
      <c r="FN27" s="309"/>
      <c r="FO27" s="310"/>
      <c r="FP27" s="311"/>
      <c r="FQ27" s="311"/>
      <c r="FR27" s="309"/>
      <c r="FS27" s="310"/>
      <c r="FT27" s="311"/>
      <c r="FU27" s="311"/>
      <c r="FV27" s="309"/>
      <c r="FW27" s="310"/>
      <c r="FX27" s="311"/>
      <c r="FY27" s="311"/>
      <c r="FZ27" s="309"/>
      <c r="GA27" s="310"/>
      <c r="GB27" s="311"/>
      <c r="GC27" s="311"/>
      <c r="GD27" s="309"/>
      <c r="GE27" s="310"/>
      <c r="GF27" s="311"/>
      <c r="GG27" s="311"/>
      <c r="GH27" s="309"/>
      <c r="GI27" s="310"/>
      <c r="GJ27" s="311"/>
      <c r="GK27" s="311"/>
      <c r="GL27" s="309"/>
      <c r="GM27" s="310"/>
      <c r="GN27" s="311"/>
      <c r="GO27" s="311"/>
      <c r="GP27" s="309"/>
      <c r="GQ27" s="310"/>
      <c r="GR27" s="311"/>
      <c r="GS27" s="311"/>
      <c r="GT27" s="309"/>
      <c r="GU27" s="310"/>
      <c r="GV27" s="311"/>
      <c r="GW27" s="311"/>
      <c r="GX27" s="309"/>
      <c r="GY27" s="310"/>
      <c r="GZ27" s="311"/>
      <c r="HA27" s="311"/>
      <c r="HB27" s="309"/>
      <c r="HC27" s="312">
        <f t="shared" si="66"/>
        <v>0</v>
      </c>
      <c r="HD27" s="313">
        <f t="shared" si="66"/>
        <v>0</v>
      </c>
      <c r="HE27" s="313">
        <f t="shared" si="66"/>
        <v>0</v>
      </c>
      <c r="HF27" s="314"/>
      <c r="HG27" s="312">
        <f>SUM(SUMIFS(K27:HB27,$K$13:$HB$13,{"エネルギー管理指定工場等*","県域*"}))</f>
        <v>0</v>
      </c>
      <c r="HH27" s="313">
        <f>SUM(SUMIFS(L27:HC27,$K$13:$HB$13,{"エネルギー管理指定工場等*","県域*"}))</f>
        <v>0</v>
      </c>
      <c r="HI27" s="313">
        <f>SUM(SUMIFS(M27:HD27,$K$13:$HB$13,{"エネルギー管理指定工場等*","県域*"}))</f>
        <v>0</v>
      </c>
      <c r="HJ27" s="314"/>
      <c r="HL27" s="230">
        <v>18</v>
      </c>
      <c r="HM27" s="714" t="str">
        <f t="shared" ca="1" si="49"/>
        <v/>
      </c>
      <c r="HN27" s="715" t="str">
        <f ca="1">IF(COUNTIF(HN$10:HN26,OFFSET(A1_原単位2025,5,HL27+2))&gt;=1,"",OFFSET(A1_原単位2025,5,HL27+2)&amp;"")</f>
        <v/>
      </c>
      <c r="HO27" s="716" t="str">
        <f t="shared" ca="1" si="50"/>
        <v/>
      </c>
      <c r="HP27" s="717" t="str">
        <f t="shared" ca="1" si="51"/>
        <v/>
      </c>
      <c r="HQ27" s="714" t="str">
        <f t="shared" ca="1" si="52"/>
        <v/>
      </c>
      <c r="HR27" s="715" t="str">
        <f ca="1">IF(COUNTIF(HR$10:HR26,OFFSET(A1_原単位2025,17,HL27+2))&gt;=1,"",OFFSET(A1_原単位2025,17,HL27+2)&amp;"")</f>
        <v/>
      </c>
      <c r="HS27" s="718" t="str">
        <f t="shared" ca="1" si="53"/>
        <v/>
      </c>
      <c r="HT27" s="719" t="str">
        <f t="shared" ca="1" si="54"/>
        <v/>
      </c>
      <c r="HU27" s="714" t="str">
        <f t="shared" ca="1" si="55"/>
        <v/>
      </c>
      <c r="HV27" s="715" t="str">
        <f ca="1">IF(COUNTIF(HV$10:HV26,OFFSET(A1_原単位2025,29,HL27+2))&gt;=1,"",OFFSET(A1_原単位2025,29,HL27+2)&amp;"")</f>
        <v/>
      </c>
      <c r="HW27" s="718" t="str">
        <f t="shared" ca="1" si="56"/>
        <v/>
      </c>
      <c r="HX27" s="719" t="str">
        <f t="shared" ca="1" si="57"/>
        <v/>
      </c>
      <c r="HY27" s="714" t="str">
        <f t="shared" ca="1" si="58"/>
        <v/>
      </c>
      <c r="HZ27" s="715" t="str">
        <f ca="1">IF(COUNTIF(HZ$10:HZ26,OFFSET(A1_原単位2025,41,HL27+2))&gt;=1,"",OFFSET(A1_原単位2025,41,HL27+2)&amp;"")</f>
        <v/>
      </c>
      <c r="IA27" s="720" t="str">
        <f t="shared" ca="1" si="59"/>
        <v/>
      </c>
      <c r="IB27" s="721" t="str">
        <f t="shared" ca="1" si="60"/>
        <v/>
      </c>
      <c r="IE27" s="159" t="str">
        <f t="shared" ca="1" si="61"/>
        <v/>
      </c>
      <c r="IF27" s="159" t="str">
        <f t="shared" ca="1" si="62"/>
        <v/>
      </c>
      <c r="IG27" s="159" t="str">
        <f t="shared" ca="1" si="63"/>
        <v/>
      </c>
      <c r="IH27" s="159" t="str">
        <f t="shared" ca="1" si="64"/>
        <v/>
      </c>
    </row>
    <row r="28" spans="2:242" s="164" customFormat="1" ht="19.2" customHeight="1">
      <c r="B28" s="302"/>
      <c r="C28" s="317" t="s">
        <v>456</v>
      </c>
      <c r="D28" s="303" t="s">
        <v>576</v>
      </c>
      <c r="E28" s="305"/>
      <c r="F28" s="303" t="s">
        <v>455</v>
      </c>
      <c r="G28" s="306">
        <v>50.1</v>
      </c>
      <c r="H28" s="307">
        <v>1.6299999999999999E-2</v>
      </c>
      <c r="I28" s="310"/>
      <c r="J28" s="315"/>
      <c r="K28" s="310"/>
      <c r="L28" s="311"/>
      <c r="M28" s="311"/>
      <c r="N28" s="309"/>
      <c r="O28" s="310"/>
      <c r="P28" s="311"/>
      <c r="Q28" s="311"/>
      <c r="R28" s="309"/>
      <c r="S28" s="310"/>
      <c r="T28" s="311"/>
      <c r="U28" s="311"/>
      <c r="V28" s="309"/>
      <c r="W28" s="310"/>
      <c r="X28" s="311"/>
      <c r="Y28" s="311"/>
      <c r="Z28" s="309"/>
      <c r="AA28" s="310"/>
      <c r="AB28" s="311"/>
      <c r="AC28" s="311"/>
      <c r="AD28" s="309"/>
      <c r="AE28" s="310"/>
      <c r="AF28" s="311"/>
      <c r="AG28" s="311"/>
      <c r="AH28" s="309"/>
      <c r="AI28" s="310"/>
      <c r="AJ28" s="311"/>
      <c r="AK28" s="311"/>
      <c r="AL28" s="309"/>
      <c r="AM28" s="310"/>
      <c r="AN28" s="311"/>
      <c r="AO28" s="311"/>
      <c r="AP28" s="309"/>
      <c r="AQ28" s="310"/>
      <c r="AR28" s="311"/>
      <c r="AS28" s="311"/>
      <c r="AT28" s="309"/>
      <c r="AU28" s="310"/>
      <c r="AV28" s="311"/>
      <c r="AW28" s="311"/>
      <c r="AX28" s="309"/>
      <c r="AY28" s="310"/>
      <c r="AZ28" s="311"/>
      <c r="BA28" s="311"/>
      <c r="BB28" s="309"/>
      <c r="BC28" s="310"/>
      <c r="BD28" s="311"/>
      <c r="BE28" s="311"/>
      <c r="BF28" s="309"/>
      <c r="BG28" s="310"/>
      <c r="BH28" s="311"/>
      <c r="BI28" s="311"/>
      <c r="BJ28" s="309"/>
      <c r="BK28" s="310"/>
      <c r="BL28" s="311"/>
      <c r="BM28" s="311"/>
      <c r="BN28" s="309"/>
      <c r="BO28" s="310"/>
      <c r="BP28" s="311"/>
      <c r="BQ28" s="311"/>
      <c r="BR28" s="309"/>
      <c r="BS28" s="310"/>
      <c r="BT28" s="311"/>
      <c r="BU28" s="311"/>
      <c r="BV28" s="309"/>
      <c r="BW28" s="310"/>
      <c r="BX28" s="311"/>
      <c r="BY28" s="311"/>
      <c r="BZ28" s="309"/>
      <c r="CA28" s="310"/>
      <c r="CB28" s="311"/>
      <c r="CC28" s="311"/>
      <c r="CD28" s="309"/>
      <c r="CE28" s="310"/>
      <c r="CF28" s="311"/>
      <c r="CG28" s="311"/>
      <c r="CH28" s="309"/>
      <c r="CI28" s="310"/>
      <c r="CJ28" s="311"/>
      <c r="CK28" s="311"/>
      <c r="CL28" s="309"/>
      <c r="CM28" s="310"/>
      <c r="CN28" s="311"/>
      <c r="CO28" s="311"/>
      <c r="CP28" s="309"/>
      <c r="CQ28" s="310"/>
      <c r="CR28" s="311"/>
      <c r="CS28" s="311"/>
      <c r="CT28" s="309"/>
      <c r="CU28" s="310"/>
      <c r="CV28" s="311"/>
      <c r="CW28" s="311"/>
      <c r="CX28" s="309"/>
      <c r="CY28" s="310"/>
      <c r="CZ28" s="311"/>
      <c r="DA28" s="311"/>
      <c r="DB28" s="309"/>
      <c r="DC28" s="310"/>
      <c r="DD28" s="311"/>
      <c r="DE28" s="311"/>
      <c r="DF28" s="309"/>
      <c r="DG28" s="310"/>
      <c r="DH28" s="311"/>
      <c r="DI28" s="311"/>
      <c r="DJ28" s="309"/>
      <c r="DK28" s="310"/>
      <c r="DL28" s="311"/>
      <c r="DM28" s="311"/>
      <c r="DN28" s="309"/>
      <c r="DO28" s="310"/>
      <c r="DP28" s="311"/>
      <c r="DQ28" s="311"/>
      <c r="DR28" s="309"/>
      <c r="DS28" s="310"/>
      <c r="DT28" s="311"/>
      <c r="DU28" s="311"/>
      <c r="DV28" s="309"/>
      <c r="DW28" s="310"/>
      <c r="DX28" s="311"/>
      <c r="DY28" s="311"/>
      <c r="DZ28" s="309"/>
      <c r="EA28" s="310"/>
      <c r="EB28" s="311"/>
      <c r="EC28" s="311"/>
      <c r="ED28" s="309"/>
      <c r="EE28" s="310"/>
      <c r="EF28" s="311"/>
      <c r="EG28" s="311"/>
      <c r="EH28" s="309"/>
      <c r="EI28" s="310"/>
      <c r="EJ28" s="311"/>
      <c r="EK28" s="311"/>
      <c r="EL28" s="309"/>
      <c r="EM28" s="310"/>
      <c r="EN28" s="311"/>
      <c r="EO28" s="311"/>
      <c r="EP28" s="309"/>
      <c r="EQ28" s="310"/>
      <c r="ER28" s="311"/>
      <c r="ES28" s="311"/>
      <c r="ET28" s="309"/>
      <c r="EU28" s="310"/>
      <c r="EV28" s="311"/>
      <c r="EW28" s="311"/>
      <c r="EX28" s="309"/>
      <c r="EY28" s="310"/>
      <c r="EZ28" s="311"/>
      <c r="FA28" s="311"/>
      <c r="FB28" s="309"/>
      <c r="FC28" s="310"/>
      <c r="FD28" s="311"/>
      <c r="FE28" s="311"/>
      <c r="FF28" s="309"/>
      <c r="FG28" s="310"/>
      <c r="FH28" s="311"/>
      <c r="FI28" s="311"/>
      <c r="FJ28" s="309"/>
      <c r="FK28" s="310"/>
      <c r="FL28" s="311"/>
      <c r="FM28" s="311"/>
      <c r="FN28" s="309"/>
      <c r="FO28" s="310"/>
      <c r="FP28" s="311"/>
      <c r="FQ28" s="311"/>
      <c r="FR28" s="309"/>
      <c r="FS28" s="310"/>
      <c r="FT28" s="311"/>
      <c r="FU28" s="311"/>
      <c r="FV28" s="309"/>
      <c r="FW28" s="310"/>
      <c r="FX28" s="311"/>
      <c r="FY28" s="311"/>
      <c r="FZ28" s="309"/>
      <c r="GA28" s="310"/>
      <c r="GB28" s="311"/>
      <c r="GC28" s="311"/>
      <c r="GD28" s="309"/>
      <c r="GE28" s="310"/>
      <c r="GF28" s="311"/>
      <c r="GG28" s="311"/>
      <c r="GH28" s="309"/>
      <c r="GI28" s="310"/>
      <c r="GJ28" s="311"/>
      <c r="GK28" s="311"/>
      <c r="GL28" s="309"/>
      <c r="GM28" s="310"/>
      <c r="GN28" s="311"/>
      <c r="GO28" s="311"/>
      <c r="GP28" s="309"/>
      <c r="GQ28" s="310"/>
      <c r="GR28" s="311"/>
      <c r="GS28" s="311"/>
      <c r="GT28" s="309"/>
      <c r="GU28" s="310"/>
      <c r="GV28" s="311"/>
      <c r="GW28" s="311"/>
      <c r="GX28" s="309"/>
      <c r="GY28" s="310"/>
      <c r="GZ28" s="311"/>
      <c r="HA28" s="311"/>
      <c r="HB28" s="309"/>
      <c r="HC28" s="312">
        <f t="shared" si="66"/>
        <v>0</v>
      </c>
      <c r="HD28" s="313">
        <f t="shared" si="66"/>
        <v>0</v>
      </c>
      <c r="HE28" s="313">
        <f t="shared" si="66"/>
        <v>0</v>
      </c>
      <c r="HF28" s="314"/>
      <c r="HG28" s="312">
        <f>SUM(SUMIFS(K28:HB28,$K$13:$HB$13,{"エネルギー管理指定工場等*","県域*"}))</f>
        <v>0</v>
      </c>
      <c r="HH28" s="313">
        <f>SUM(SUMIFS(L28:HC28,$K$13:$HB$13,{"エネルギー管理指定工場等*","県域*"}))</f>
        <v>0</v>
      </c>
      <c r="HI28" s="313">
        <f>SUM(SUMIFS(M28:HD28,$K$13:$HB$13,{"エネルギー管理指定工場等*","県域*"}))</f>
        <v>0</v>
      </c>
      <c r="HJ28" s="314"/>
      <c r="HL28" s="219">
        <v>19</v>
      </c>
      <c r="HM28" s="714" t="str">
        <f t="shared" ca="1" si="49"/>
        <v/>
      </c>
      <c r="HN28" s="715" t="str">
        <f ca="1">IF(COUNTIF(HN$10:HN27,OFFSET(A1_原単位2025,5,HL28+2))&gt;=1,"",OFFSET(A1_原単位2025,5,HL28+2)&amp;"")</f>
        <v/>
      </c>
      <c r="HO28" s="716" t="str">
        <f t="shared" ca="1" si="50"/>
        <v/>
      </c>
      <c r="HP28" s="717" t="str">
        <f t="shared" ca="1" si="51"/>
        <v/>
      </c>
      <c r="HQ28" s="714" t="str">
        <f t="shared" ca="1" si="52"/>
        <v/>
      </c>
      <c r="HR28" s="715" t="str">
        <f ca="1">IF(COUNTIF(HR$10:HR27,OFFSET(A1_原単位2025,17,HL28+2))&gt;=1,"",OFFSET(A1_原単位2025,17,HL28+2)&amp;"")</f>
        <v/>
      </c>
      <c r="HS28" s="718" t="str">
        <f t="shared" ca="1" si="53"/>
        <v/>
      </c>
      <c r="HT28" s="719" t="str">
        <f t="shared" ca="1" si="54"/>
        <v/>
      </c>
      <c r="HU28" s="714" t="str">
        <f t="shared" ca="1" si="55"/>
        <v/>
      </c>
      <c r="HV28" s="715" t="str">
        <f ca="1">IF(COUNTIF(HV$10:HV27,OFFSET(A1_原単位2025,29,HL28+2))&gt;=1,"",OFFSET(A1_原単位2025,29,HL28+2)&amp;"")</f>
        <v/>
      </c>
      <c r="HW28" s="718" t="str">
        <f t="shared" ca="1" si="56"/>
        <v/>
      </c>
      <c r="HX28" s="719" t="str">
        <f t="shared" ca="1" si="57"/>
        <v/>
      </c>
      <c r="HY28" s="714" t="str">
        <f t="shared" ca="1" si="58"/>
        <v/>
      </c>
      <c r="HZ28" s="715" t="str">
        <f ca="1">IF(COUNTIF(HZ$10:HZ27,OFFSET(A1_原単位2025,41,HL28+2))&gt;=1,"",OFFSET(A1_原単位2025,41,HL28+2)&amp;"")</f>
        <v/>
      </c>
      <c r="IA28" s="720" t="str">
        <f t="shared" ca="1" si="59"/>
        <v/>
      </c>
      <c r="IB28" s="721" t="str">
        <f t="shared" ca="1" si="60"/>
        <v/>
      </c>
      <c r="IE28" s="159" t="str">
        <f t="shared" ca="1" si="61"/>
        <v/>
      </c>
      <c r="IF28" s="159" t="str">
        <f t="shared" ca="1" si="62"/>
        <v/>
      </c>
      <c r="IG28" s="159" t="str">
        <f t="shared" ca="1" si="63"/>
        <v/>
      </c>
      <c r="IH28" s="159" t="str">
        <f t="shared" ca="1" si="64"/>
        <v/>
      </c>
    </row>
    <row r="29" spans="2:242" s="164" customFormat="1" ht="19.2" customHeight="1">
      <c r="B29" s="302"/>
      <c r="C29" s="318"/>
      <c r="D29" s="303" t="s">
        <v>577</v>
      </c>
      <c r="E29" s="305"/>
      <c r="F29" s="303" t="s">
        <v>457</v>
      </c>
      <c r="G29" s="306">
        <v>46.1</v>
      </c>
      <c r="H29" s="307">
        <v>1.44E-2</v>
      </c>
      <c r="I29" s="308"/>
      <c r="J29" s="309"/>
      <c r="K29" s="310"/>
      <c r="L29" s="311"/>
      <c r="M29" s="311"/>
      <c r="N29" s="309"/>
      <c r="O29" s="310"/>
      <c r="P29" s="311"/>
      <c r="Q29" s="311"/>
      <c r="R29" s="309"/>
      <c r="S29" s="310"/>
      <c r="T29" s="311"/>
      <c r="U29" s="311"/>
      <c r="V29" s="309"/>
      <c r="W29" s="310"/>
      <c r="X29" s="311"/>
      <c r="Y29" s="311"/>
      <c r="Z29" s="309"/>
      <c r="AA29" s="310"/>
      <c r="AB29" s="311"/>
      <c r="AC29" s="311"/>
      <c r="AD29" s="309"/>
      <c r="AE29" s="310"/>
      <c r="AF29" s="311"/>
      <c r="AG29" s="311"/>
      <c r="AH29" s="309"/>
      <c r="AI29" s="310"/>
      <c r="AJ29" s="311"/>
      <c r="AK29" s="311"/>
      <c r="AL29" s="309"/>
      <c r="AM29" s="310"/>
      <c r="AN29" s="311"/>
      <c r="AO29" s="311"/>
      <c r="AP29" s="309"/>
      <c r="AQ29" s="310"/>
      <c r="AR29" s="311"/>
      <c r="AS29" s="311"/>
      <c r="AT29" s="309"/>
      <c r="AU29" s="310"/>
      <c r="AV29" s="311"/>
      <c r="AW29" s="311"/>
      <c r="AX29" s="309"/>
      <c r="AY29" s="310"/>
      <c r="AZ29" s="311"/>
      <c r="BA29" s="311"/>
      <c r="BB29" s="309"/>
      <c r="BC29" s="310"/>
      <c r="BD29" s="311"/>
      <c r="BE29" s="311"/>
      <c r="BF29" s="309"/>
      <c r="BG29" s="310"/>
      <c r="BH29" s="311"/>
      <c r="BI29" s="311"/>
      <c r="BJ29" s="309"/>
      <c r="BK29" s="310"/>
      <c r="BL29" s="311"/>
      <c r="BM29" s="311"/>
      <c r="BN29" s="309"/>
      <c r="BO29" s="310"/>
      <c r="BP29" s="311"/>
      <c r="BQ29" s="311"/>
      <c r="BR29" s="309"/>
      <c r="BS29" s="310"/>
      <c r="BT29" s="311"/>
      <c r="BU29" s="311"/>
      <c r="BV29" s="309"/>
      <c r="BW29" s="310"/>
      <c r="BX29" s="311"/>
      <c r="BY29" s="311"/>
      <c r="BZ29" s="309"/>
      <c r="CA29" s="310"/>
      <c r="CB29" s="311"/>
      <c r="CC29" s="311"/>
      <c r="CD29" s="309"/>
      <c r="CE29" s="310"/>
      <c r="CF29" s="311"/>
      <c r="CG29" s="311"/>
      <c r="CH29" s="309"/>
      <c r="CI29" s="310"/>
      <c r="CJ29" s="311"/>
      <c r="CK29" s="311"/>
      <c r="CL29" s="309"/>
      <c r="CM29" s="310"/>
      <c r="CN29" s="311"/>
      <c r="CO29" s="311"/>
      <c r="CP29" s="309"/>
      <c r="CQ29" s="310"/>
      <c r="CR29" s="311"/>
      <c r="CS29" s="311"/>
      <c r="CT29" s="309"/>
      <c r="CU29" s="310"/>
      <c r="CV29" s="311"/>
      <c r="CW29" s="311"/>
      <c r="CX29" s="309"/>
      <c r="CY29" s="310"/>
      <c r="CZ29" s="311"/>
      <c r="DA29" s="311"/>
      <c r="DB29" s="309"/>
      <c r="DC29" s="310"/>
      <c r="DD29" s="311"/>
      <c r="DE29" s="311"/>
      <c r="DF29" s="309"/>
      <c r="DG29" s="310"/>
      <c r="DH29" s="311"/>
      <c r="DI29" s="311"/>
      <c r="DJ29" s="309"/>
      <c r="DK29" s="310"/>
      <c r="DL29" s="311"/>
      <c r="DM29" s="311"/>
      <c r="DN29" s="309"/>
      <c r="DO29" s="310"/>
      <c r="DP29" s="311"/>
      <c r="DQ29" s="311"/>
      <c r="DR29" s="309"/>
      <c r="DS29" s="310"/>
      <c r="DT29" s="311"/>
      <c r="DU29" s="311"/>
      <c r="DV29" s="309"/>
      <c r="DW29" s="310"/>
      <c r="DX29" s="311"/>
      <c r="DY29" s="311"/>
      <c r="DZ29" s="309"/>
      <c r="EA29" s="310"/>
      <c r="EB29" s="311"/>
      <c r="EC29" s="311"/>
      <c r="ED29" s="309"/>
      <c r="EE29" s="310"/>
      <c r="EF29" s="311"/>
      <c r="EG29" s="311"/>
      <c r="EH29" s="309"/>
      <c r="EI29" s="310"/>
      <c r="EJ29" s="311"/>
      <c r="EK29" s="311"/>
      <c r="EL29" s="309"/>
      <c r="EM29" s="310"/>
      <c r="EN29" s="311"/>
      <c r="EO29" s="311"/>
      <c r="EP29" s="309"/>
      <c r="EQ29" s="310"/>
      <c r="ER29" s="311"/>
      <c r="ES29" s="311"/>
      <c r="ET29" s="309"/>
      <c r="EU29" s="310"/>
      <c r="EV29" s="311"/>
      <c r="EW29" s="311"/>
      <c r="EX29" s="309"/>
      <c r="EY29" s="310"/>
      <c r="EZ29" s="311"/>
      <c r="FA29" s="311"/>
      <c r="FB29" s="309"/>
      <c r="FC29" s="310"/>
      <c r="FD29" s="311"/>
      <c r="FE29" s="311"/>
      <c r="FF29" s="309"/>
      <c r="FG29" s="310"/>
      <c r="FH29" s="311"/>
      <c r="FI29" s="311"/>
      <c r="FJ29" s="309"/>
      <c r="FK29" s="310"/>
      <c r="FL29" s="311"/>
      <c r="FM29" s="311"/>
      <c r="FN29" s="309"/>
      <c r="FO29" s="310"/>
      <c r="FP29" s="311"/>
      <c r="FQ29" s="311"/>
      <c r="FR29" s="309"/>
      <c r="FS29" s="310"/>
      <c r="FT29" s="311"/>
      <c r="FU29" s="311"/>
      <c r="FV29" s="309"/>
      <c r="FW29" s="310"/>
      <c r="FX29" s="311"/>
      <c r="FY29" s="311"/>
      <c r="FZ29" s="309"/>
      <c r="GA29" s="310"/>
      <c r="GB29" s="311"/>
      <c r="GC29" s="311"/>
      <c r="GD29" s="309"/>
      <c r="GE29" s="310"/>
      <c r="GF29" s="311"/>
      <c r="GG29" s="311"/>
      <c r="GH29" s="309"/>
      <c r="GI29" s="310"/>
      <c r="GJ29" s="311"/>
      <c r="GK29" s="311"/>
      <c r="GL29" s="309"/>
      <c r="GM29" s="310"/>
      <c r="GN29" s="311"/>
      <c r="GO29" s="311"/>
      <c r="GP29" s="309"/>
      <c r="GQ29" s="310"/>
      <c r="GR29" s="311"/>
      <c r="GS29" s="311"/>
      <c r="GT29" s="309"/>
      <c r="GU29" s="310"/>
      <c r="GV29" s="311"/>
      <c r="GW29" s="311"/>
      <c r="GX29" s="309"/>
      <c r="GY29" s="310"/>
      <c r="GZ29" s="311"/>
      <c r="HA29" s="311"/>
      <c r="HB29" s="309"/>
      <c r="HC29" s="312">
        <f t="shared" si="66"/>
        <v>0</v>
      </c>
      <c r="HD29" s="313">
        <f t="shared" si="66"/>
        <v>0</v>
      </c>
      <c r="HE29" s="313">
        <f t="shared" si="66"/>
        <v>0</v>
      </c>
      <c r="HF29" s="314"/>
      <c r="HG29" s="312">
        <f>SUM(SUMIFS(K29:HB29,$K$13:$HB$13,{"エネルギー管理指定工場等*","県域*"}))</f>
        <v>0</v>
      </c>
      <c r="HH29" s="313">
        <f>SUM(SUMIFS(L29:HC29,$K$13:$HB$13,{"エネルギー管理指定工場等*","県域*"}))</f>
        <v>0</v>
      </c>
      <c r="HI29" s="313">
        <f>SUM(SUMIFS(M29:HD29,$K$13:$HB$13,{"エネルギー管理指定工場等*","県域*"}))</f>
        <v>0</v>
      </c>
      <c r="HJ29" s="314"/>
      <c r="HL29" s="230">
        <v>20</v>
      </c>
      <c r="HM29" s="714" t="str">
        <f t="shared" ca="1" si="49"/>
        <v/>
      </c>
      <c r="HN29" s="715" t="str">
        <f ca="1">IF(COUNTIF(HN$10:HN28,OFFSET(A1_原単位2025,5,HL29+2))&gt;=1,"",OFFSET(A1_原単位2025,5,HL29+2)&amp;"")</f>
        <v/>
      </c>
      <c r="HO29" s="716" t="str">
        <f t="shared" ca="1" si="50"/>
        <v/>
      </c>
      <c r="HP29" s="717" t="str">
        <f t="shared" ca="1" si="51"/>
        <v/>
      </c>
      <c r="HQ29" s="714" t="str">
        <f t="shared" ca="1" si="52"/>
        <v/>
      </c>
      <c r="HR29" s="715" t="str">
        <f ca="1">IF(COUNTIF(HR$10:HR28,OFFSET(A1_原単位2025,17,HL29+2))&gt;=1,"",OFFSET(A1_原単位2025,17,HL29+2)&amp;"")</f>
        <v/>
      </c>
      <c r="HS29" s="718" t="str">
        <f t="shared" ca="1" si="53"/>
        <v/>
      </c>
      <c r="HT29" s="719" t="str">
        <f t="shared" ca="1" si="54"/>
        <v/>
      </c>
      <c r="HU29" s="714" t="str">
        <f t="shared" ca="1" si="55"/>
        <v/>
      </c>
      <c r="HV29" s="715" t="str">
        <f ca="1">IF(COUNTIF(HV$10:HV28,OFFSET(A1_原単位2025,29,HL29+2))&gt;=1,"",OFFSET(A1_原単位2025,29,HL29+2)&amp;"")</f>
        <v/>
      </c>
      <c r="HW29" s="718" t="str">
        <f t="shared" ca="1" si="56"/>
        <v/>
      </c>
      <c r="HX29" s="719" t="str">
        <f t="shared" ca="1" si="57"/>
        <v/>
      </c>
      <c r="HY29" s="714" t="str">
        <f t="shared" ca="1" si="58"/>
        <v/>
      </c>
      <c r="HZ29" s="715" t="str">
        <f ca="1">IF(COUNTIF(HZ$10:HZ28,OFFSET(A1_原単位2025,41,HL29+2))&gt;=1,"",OFFSET(A1_原単位2025,41,HL29+2)&amp;"")</f>
        <v/>
      </c>
      <c r="IA29" s="720" t="str">
        <f t="shared" ca="1" si="59"/>
        <v/>
      </c>
      <c r="IB29" s="721" t="str">
        <f t="shared" ca="1" si="60"/>
        <v/>
      </c>
      <c r="IE29" s="159" t="str">
        <f t="shared" ca="1" si="61"/>
        <v/>
      </c>
      <c r="IF29" s="159" t="str">
        <f t="shared" ca="1" si="62"/>
        <v/>
      </c>
      <c r="IG29" s="159" t="str">
        <f t="shared" ca="1" si="63"/>
        <v/>
      </c>
      <c r="IH29" s="159" t="str">
        <f t="shared" ca="1" si="64"/>
        <v/>
      </c>
    </row>
    <row r="30" spans="2:242" s="164" customFormat="1" ht="20.100000000000001" customHeight="1">
      <c r="B30" s="302"/>
      <c r="C30" s="317" t="s">
        <v>578</v>
      </c>
      <c r="D30" s="303" t="s">
        <v>579</v>
      </c>
      <c r="E30" s="305"/>
      <c r="F30" s="303" t="s">
        <v>455</v>
      </c>
      <c r="G30" s="306">
        <v>54.7</v>
      </c>
      <c r="H30" s="307">
        <v>1.3899999999999999E-2</v>
      </c>
      <c r="I30" s="310"/>
      <c r="J30" s="315"/>
      <c r="K30" s="310"/>
      <c r="L30" s="311"/>
      <c r="M30" s="311"/>
      <c r="N30" s="309"/>
      <c r="O30" s="310"/>
      <c r="P30" s="311"/>
      <c r="Q30" s="311"/>
      <c r="R30" s="309"/>
      <c r="S30" s="310"/>
      <c r="T30" s="311"/>
      <c r="U30" s="311"/>
      <c r="V30" s="309"/>
      <c r="W30" s="310"/>
      <c r="X30" s="311"/>
      <c r="Y30" s="311"/>
      <c r="Z30" s="309"/>
      <c r="AA30" s="310"/>
      <c r="AB30" s="311"/>
      <c r="AC30" s="311"/>
      <c r="AD30" s="309"/>
      <c r="AE30" s="310"/>
      <c r="AF30" s="311"/>
      <c r="AG30" s="311"/>
      <c r="AH30" s="309"/>
      <c r="AI30" s="310"/>
      <c r="AJ30" s="311"/>
      <c r="AK30" s="311"/>
      <c r="AL30" s="309"/>
      <c r="AM30" s="310"/>
      <c r="AN30" s="311"/>
      <c r="AO30" s="311"/>
      <c r="AP30" s="309"/>
      <c r="AQ30" s="310"/>
      <c r="AR30" s="311"/>
      <c r="AS30" s="311"/>
      <c r="AT30" s="309"/>
      <c r="AU30" s="310"/>
      <c r="AV30" s="311"/>
      <c r="AW30" s="311"/>
      <c r="AX30" s="309"/>
      <c r="AY30" s="310"/>
      <c r="AZ30" s="311"/>
      <c r="BA30" s="311"/>
      <c r="BB30" s="309"/>
      <c r="BC30" s="310"/>
      <c r="BD30" s="311"/>
      <c r="BE30" s="311"/>
      <c r="BF30" s="309"/>
      <c r="BG30" s="310"/>
      <c r="BH30" s="311"/>
      <c r="BI30" s="311"/>
      <c r="BJ30" s="309"/>
      <c r="BK30" s="310"/>
      <c r="BL30" s="311"/>
      <c r="BM30" s="311"/>
      <c r="BN30" s="309"/>
      <c r="BO30" s="310"/>
      <c r="BP30" s="311"/>
      <c r="BQ30" s="311"/>
      <c r="BR30" s="309"/>
      <c r="BS30" s="310"/>
      <c r="BT30" s="311"/>
      <c r="BU30" s="311"/>
      <c r="BV30" s="309"/>
      <c r="BW30" s="310"/>
      <c r="BX30" s="311"/>
      <c r="BY30" s="311"/>
      <c r="BZ30" s="309"/>
      <c r="CA30" s="310"/>
      <c r="CB30" s="311"/>
      <c r="CC30" s="311"/>
      <c r="CD30" s="309"/>
      <c r="CE30" s="310"/>
      <c r="CF30" s="311"/>
      <c r="CG30" s="311"/>
      <c r="CH30" s="309"/>
      <c r="CI30" s="310"/>
      <c r="CJ30" s="311"/>
      <c r="CK30" s="311"/>
      <c r="CL30" s="309"/>
      <c r="CM30" s="310"/>
      <c r="CN30" s="311"/>
      <c r="CO30" s="311"/>
      <c r="CP30" s="309"/>
      <c r="CQ30" s="310"/>
      <c r="CR30" s="311"/>
      <c r="CS30" s="311"/>
      <c r="CT30" s="309"/>
      <c r="CU30" s="310"/>
      <c r="CV30" s="311"/>
      <c r="CW30" s="311"/>
      <c r="CX30" s="309"/>
      <c r="CY30" s="310"/>
      <c r="CZ30" s="311"/>
      <c r="DA30" s="311"/>
      <c r="DB30" s="309"/>
      <c r="DC30" s="310"/>
      <c r="DD30" s="311"/>
      <c r="DE30" s="311"/>
      <c r="DF30" s="309"/>
      <c r="DG30" s="310"/>
      <c r="DH30" s="311"/>
      <c r="DI30" s="311"/>
      <c r="DJ30" s="309"/>
      <c r="DK30" s="310"/>
      <c r="DL30" s="311"/>
      <c r="DM30" s="311"/>
      <c r="DN30" s="309"/>
      <c r="DO30" s="310"/>
      <c r="DP30" s="311"/>
      <c r="DQ30" s="311"/>
      <c r="DR30" s="309"/>
      <c r="DS30" s="310"/>
      <c r="DT30" s="311"/>
      <c r="DU30" s="311"/>
      <c r="DV30" s="309"/>
      <c r="DW30" s="310"/>
      <c r="DX30" s="311"/>
      <c r="DY30" s="311"/>
      <c r="DZ30" s="309"/>
      <c r="EA30" s="310"/>
      <c r="EB30" s="311"/>
      <c r="EC30" s="311"/>
      <c r="ED30" s="309"/>
      <c r="EE30" s="310"/>
      <c r="EF30" s="311"/>
      <c r="EG30" s="311"/>
      <c r="EH30" s="309"/>
      <c r="EI30" s="310"/>
      <c r="EJ30" s="311"/>
      <c r="EK30" s="311"/>
      <c r="EL30" s="309"/>
      <c r="EM30" s="310"/>
      <c r="EN30" s="311"/>
      <c r="EO30" s="311"/>
      <c r="EP30" s="309"/>
      <c r="EQ30" s="310"/>
      <c r="ER30" s="311"/>
      <c r="ES30" s="311"/>
      <c r="ET30" s="309"/>
      <c r="EU30" s="310"/>
      <c r="EV30" s="311"/>
      <c r="EW30" s="311"/>
      <c r="EX30" s="309"/>
      <c r="EY30" s="310"/>
      <c r="EZ30" s="311"/>
      <c r="FA30" s="311"/>
      <c r="FB30" s="309"/>
      <c r="FC30" s="310"/>
      <c r="FD30" s="311"/>
      <c r="FE30" s="311"/>
      <c r="FF30" s="309"/>
      <c r="FG30" s="310"/>
      <c r="FH30" s="311"/>
      <c r="FI30" s="311"/>
      <c r="FJ30" s="309"/>
      <c r="FK30" s="310"/>
      <c r="FL30" s="311"/>
      <c r="FM30" s="311"/>
      <c r="FN30" s="309"/>
      <c r="FO30" s="310"/>
      <c r="FP30" s="311"/>
      <c r="FQ30" s="311"/>
      <c r="FR30" s="309"/>
      <c r="FS30" s="310"/>
      <c r="FT30" s="311"/>
      <c r="FU30" s="311"/>
      <c r="FV30" s="309"/>
      <c r="FW30" s="310"/>
      <c r="FX30" s="311"/>
      <c r="FY30" s="311"/>
      <c r="FZ30" s="309"/>
      <c r="GA30" s="310"/>
      <c r="GB30" s="311"/>
      <c r="GC30" s="311"/>
      <c r="GD30" s="309"/>
      <c r="GE30" s="310"/>
      <c r="GF30" s="311"/>
      <c r="GG30" s="311"/>
      <c r="GH30" s="309"/>
      <c r="GI30" s="310"/>
      <c r="GJ30" s="311"/>
      <c r="GK30" s="311"/>
      <c r="GL30" s="309"/>
      <c r="GM30" s="310"/>
      <c r="GN30" s="311"/>
      <c r="GO30" s="311"/>
      <c r="GP30" s="309"/>
      <c r="GQ30" s="310"/>
      <c r="GR30" s="311"/>
      <c r="GS30" s="311"/>
      <c r="GT30" s="309"/>
      <c r="GU30" s="310"/>
      <c r="GV30" s="311"/>
      <c r="GW30" s="311"/>
      <c r="GX30" s="309"/>
      <c r="GY30" s="310"/>
      <c r="GZ30" s="311"/>
      <c r="HA30" s="311"/>
      <c r="HB30" s="309"/>
      <c r="HC30" s="312">
        <f t="shared" si="66"/>
        <v>0</v>
      </c>
      <c r="HD30" s="313">
        <f t="shared" si="66"/>
        <v>0</v>
      </c>
      <c r="HE30" s="313">
        <f t="shared" si="66"/>
        <v>0</v>
      </c>
      <c r="HF30" s="314"/>
      <c r="HG30" s="312">
        <f>SUM(SUMIFS(K30:HB30,$K$13:$HB$13,{"エネルギー管理指定工場等*","県域*"}))</f>
        <v>0</v>
      </c>
      <c r="HH30" s="313">
        <f>SUM(SUMIFS(L30:HC30,$K$13:$HB$13,{"エネルギー管理指定工場等*","県域*"}))</f>
        <v>0</v>
      </c>
      <c r="HI30" s="313">
        <f>SUM(SUMIFS(M30:HD30,$K$13:$HB$13,{"エネルギー管理指定工場等*","県域*"}))</f>
        <v>0</v>
      </c>
      <c r="HJ30" s="314"/>
      <c r="HL30" s="219">
        <v>21</v>
      </c>
      <c r="HM30" s="714" t="str">
        <f t="shared" ca="1" si="49"/>
        <v/>
      </c>
      <c r="HN30" s="715" t="str">
        <f ca="1">IF(COUNTIF(HN$10:HN29,OFFSET(A1_原単位2025,5,HL30+2))&gt;=1,"",OFFSET(A1_原単位2025,5,HL30+2)&amp;"")</f>
        <v/>
      </c>
      <c r="HO30" s="716" t="str">
        <f t="shared" ca="1" si="50"/>
        <v/>
      </c>
      <c r="HP30" s="717" t="str">
        <f t="shared" ca="1" si="51"/>
        <v/>
      </c>
      <c r="HQ30" s="714" t="str">
        <f t="shared" ca="1" si="52"/>
        <v/>
      </c>
      <c r="HR30" s="715" t="str">
        <f ca="1">IF(COUNTIF(HR$10:HR29,OFFSET(A1_原単位2025,17,HL30+2))&gt;=1,"",OFFSET(A1_原単位2025,17,HL30+2)&amp;"")</f>
        <v/>
      </c>
      <c r="HS30" s="718" t="str">
        <f t="shared" ca="1" si="53"/>
        <v/>
      </c>
      <c r="HT30" s="719" t="str">
        <f t="shared" ca="1" si="54"/>
        <v/>
      </c>
      <c r="HU30" s="714" t="str">
        <f t="shared" ca="1" si="55"/>
        <v/>
      </c>
      <c r="HV30" s="715" t="str">
        <f ca="1">IF(COUNTIF(HV$10:HV29,OFFSET(A1_原単位2025,29,HL30+2))&gt;=1,"",OFFSET(A1_原単位2025,29,HL30+2)&amp;"")</f>
        <v/>
      </c>
      <c r="HW30" s="718" t="str">
        <f t="shared" ca="1" si="56"/>
        <v/>
      </c>
      <c r="HX30" s="719" t="str">
        <f t="shared" ca="1" si="57"/>
        <v/>
      </c>
      <c r="HY30" s="714" t="str">
        <f t="shared" ca="1" si="58"/>
        <v/>
      </c>
      <c r="HZ30" s="715" t="str">
        <f ca="1">IF(COUNTIF(HZ$10:HZ29,OFFSET(A1_原単位2025,41,HL30+2))&gt;=1,"",OFFSET(A1_原単位2025,41,HL30+2)&amp;"")</f>
        <v/>
      </c>
      <c r="IA30" s="720" t="str">
        <f t="shared" ca="1" si="59"/>
        <v/>
      </c>
      <c r="IB30" s="721" t="str">
        <f t="shared" ca="1" si="60"/>
        <v/>
      </c>
      <c r="IE30" s="159" t="str">
        <f t="shared" ca="1" si="61"/>
        <v/>
      </c>
      <c r="IF30" s="159" t="str">
        <f t="shared" ca="1" si="62"/>
        <v/>
      </c>
      <c r="IG30" s="159" t="str">
        <f t="shared" ca="1" si="63"/>
        <v/>
      </c>
      <c r="IH30" s="159" t="str">
        <f t="shared" ca="1" si="64"/>
        <v/>
      </c>
    </row>
    <row r="31" spans="2:242" s="164" customFormat="1" ht="20.100000000000001" customHeight="1">
      <c r="B31" s="302"/>
      <c r="C31" s="318"/>
      <c r="D31" s="303" t="s">
        <v>458</v>
      </c>
      <c r="E31" s="305"/>
      <c r="F31" s="303" t="s">
        <v>457</v>
      </c>
      <c r="G31" s="306">
        <v>38.4</v>
      </c>
      <c r="H31" s="307">
        <v>1.3899999999999999E-2</v>
      </c>
      <c r="I31" s="308"/>
      <c r="J31" s="309"/>
      <c r="K31" s="310"/>
      <c r="L31" s="311"/>
      <c r="M31" s="311"/>
      <c r="N31" s="309"/>
      <c r="O31" s="310"/>
      <c r="P31" s="311"/>
      <c r="Q31" s="311"/>
      <c r="R31" s="309"/>
      <c r="S31" s="310"/>
      <c r="T31" s="311"/>
      <c r="U31" s="311"/>
      <c r="V31" s="309"/>
      <c r="W31" s="310"/>
      <c r="X31" s="311"/>
      <c r="Y31" s="311"/>
      <c r="Z31" s="309"/>
      <c r="AA31" s="310"/>
      <c r="AB31" s="311"/>
      <c r="AC31" s="311"/>
      <c r="AD31" s="309"/>
      <c r="AE31" s="310"/>
      <c r="AF31" s="311"/>
      <c r="AG31" s="311"/>
      <c r="AH31" s="309"/>
      <c r="AI31" s="310"/>
      <c r="AJ31" s="311"/>
      <c r="AK31" s="311"/>
      <c r="AL31" s="309"/>
      <c r="AM31" s="310"/>
      <c r="AN31" s="311"/>
      <c r="AO31" s="311"/>
      <c r="AP31" s="309"/>
      <c r="AQ31" s="310"/>
      <c r="AR31" s="311"/>
      <c r="AS31" s="311"/>
      <c r="AT31" s="309"/>
      <c r="AU31" s="310"/>
      <c r="AV31" s="311"/>
      <c r="AW31" s="311"/>
      <c r="AX31" s="309"/>
      <c r="AY31" s="310"/>
      <c r="AZ31" s="311"/>
      <c r="BA31" s="311"/>
      <c r="BB31" s="309"/>
      <c r="BC31" s="310"/>
      <c r="BD31" s="311"/>
      <c r="BE31" s="311"/>
      <c r="BF31" s="309"/>
      <c r="BG31" s="310"/>
      <c r="BH31" s="311"/>
      <c r="BI31" s="311"/>
      <c r="BJ31" s="309"/>
      <c r="BK31" s="310"/>
      <c r="BL31" s="311"/>
      <c r="BM31" s="311"/>
      <c r="BN31" s="309"/>
      <c r="BO31" s="310"/>
      <c r="BP31" s="311"/>
      <c r="BQ31" s="311"/>
      <c r="BR31" s="309"/>
      <c r="BS31" s="310"/>
      <c r="BT31" s="311"/>
      <c r="BU31" s="311"/>
      <c r="BV31" s="309"/>
      <c r="BW31" s="310"/>
      <c r="BX31" s="311"/>
      <c r="BY31" s="311"/>
      <c r="BZ31" s="309"/>
      <c r="CA31" s="310"/>
      <c r="CB31" s="311"/>
      <c r="CC31" s="311"/>
      <c r="CD31" s="309"/>
      <c r="CE31" s="310"/>
      <c r="CF31" s="311"/>
      <c r="CG31" s="311"/>
      <c r="CH31" s="309"/>
      <c r="CI31" s="310"/>
      <c r="CJ31" s="311"/>
      <c r="CK31" s="311"/>
      <c r="CL31" s="309"/>
      <c r="CM31" s="310"/>
      <c r="CN31" s="311"/>
      <c r="CO31" s="311"/>
      <c r="CP31" s="309"/>
      <c r="CQ31" s="310"/>
      <c r="CR31" s="311"/>
      <c r="CS31" s="311"/>
      <c r="CT31" s="309"/>
      <c r="CU31" s="310"/>
      <c r="CV31" s="311"/>
      <c r="CW31" s="311"/>
      <c r="CX31" s="309"/>
      <c r="CY31" s="310"/>
      <c r="CZ31" s="311"/>
      <c r="DA31" s="311"/>
      <c r="DB31" s="309"/>
      <c r="DC31" s="310"/>
      <c r="DD31" s="311"/>
      <c r="DE31" s="311"/>
      <c r="DF31" s="309"/>
      <c r="DG31" s="310"/>
      <c r="DH31" s="311"/>
      <c r="DI31" s="311"/>
      <c r="DJ31" s="309"/>
      <c r="DK31" s="310"/>
      <c r="DL31" s="311"/>
      <c r="DM31" s="311"/>
      <c r="DN31" s="309"/>
      <c r="DO31" s="310"/>
      <c r="DP31" s="311"/>
      <c r="DQ31" s="311"/>
      <c r="DR31" s="309"/>
      <c r="DS31" s="310"/>
      <c r="DT31" s="311"/>
      <c r="DU31" s="311"/>
      <c r="DV31" s="309"/>
      <c r="DW31" s="310"/>
      <c r="DX31" s="311"/>
      <c r="DY31" s="311"/>
      <c r="DZ31" s="309"/>
      <c r="EA31" s="310"/>
      <c r="EB31" s="311"/>
      <c r="EC31" s="311"/>
      <c r="ED31" s="309"/>
      <c r="EE31" s="310"/>
      <c r="EF31" s="311"/>
      <c r="EG31" s="311"/>
      <c r="EH31" s="309"/>
      <c r="EI31" s="310"/>
      <c r="EJ31" s="311"/>
      <c r="EK31" s="311"/>
      <c r="EL31" s="309"/>
      <c r="EM31" s="310"/>
      <c r="EN31" s="311"/>
      <c r="EO31" s="311"/>
      <c r="EP31" s="309"/>
      <c r="EQ31" s="310"/>
      <c r="ER31" s="311"/>
      <c r="ES31" s="311"/>
      <c r="ET31" s="309"/>
      <c r="EU31" s="310"/>
      <c r="EV31" s="311"/>
      <c r="EW31" s="311"/>
      <c r="EX31" s="309"/>
      <c r="EY31" s="310"/>
      <c r="EZ31" s="311"/>
      <c r="FA31" s="311"/>
      <c r="FB31" s="309"/>
      <c r="FC31" s="310"/>
      <c r="FD31" s="311"/>
      <c r="FE31" s="311"/>
      <c r="FF31" s="309"/>
      <c r="FG31" s="310"/>
      <c r="FH31" s="311"/>
      <c r="FI31" s="311"/>
      <c r="FJ31" s="309"/>
      <c r="FK31" s="310"/>
      <c r="FL31" s="311"/>
      <c r="FM31" s="311"/>
      <c r="FN31" s="309"/>
      <c r="FO31" s="310"/>
      <c r="FP31" s="311"/>
      <c r="FQ31" s="311"/>
      <c r="FR31" s="309"/>
      <c r="FS31" s="310"/>
      <c r="FT31" s="311"/>
      <c r="FU31" s="311"/>
      <c r="FV31" s="309"/>
      <c r="FW31" s="310"/>
      <c r="FX31" s="311"/>
      <c r="FY31" s="311"/>
      <c r="FZ31" s="309"/>
      <c r="GA31" s="310"/>
      <c r="GB31" s="311"/>
      <c r="GC31" s="311"/>
      <c r="GD31" s="309"/>
      <c r="GE31" s="310"/>
      <c r="GF31" s="311"/>
      <c r="GG31" s="311"/>
      <c r="GH31" s="309"/>
      <c r="GI31" s="310"/>
      <c r="GJ31" s="311"/>
      <c r="GK31" s="311"/>
      <c r="GL31" s="309"/>
      <c r="GM31" s="310"/>
      <c r="GN31" s="311"/>
      <c r="GO31" s="311"/>
      <c r="GP31" s="309"/>
      <c r="GQ31" s="310"/>
      <c r="GR31" s="311"/>
      <c r="GS31" s="311"/>
      <c r="GT31" s="309"/>
      <c r="GU31" s="310"/>
      <c r="GV31" s="311"/>
      <c r="GW31" s="311"/>
      <c r="GX31" s="309"/>
      <c r="GY31" s="310"/>
      <c r="GZ31" s="311"/>
      <c r="HA31" s="311"/>
      <c r="HB31" s="309"/>
      <c r="HC31" s="312">
        <f t="shared" si="66"/>
        <v>0</v>
      </c>
      <c r="HD31" s="313">
        <f t="shared" si="66"/>
        <v>0</v>
      </c>
      <c r="HE31" s="313">
        <f t="shared" si="66"/>
        <v>0</v>
      </c>
      <c r="HF31" s="314"/>
      <c r="HG31" s="312">
        <f>SUM(SUMIFS(K31:HB31,$K$13:$HB$13,{"エネルギー管理指定工場等*","県域*"}))</f>
        <v>0</v>
      </c>
      <c r="HH31" s="313">
        <f>SUM(SUMIFS(L31:HC31,$K$13:$HB$13,{"エネルギー管理指定工場等*","県域*"}))</f>
        <v>0</v>
      </c>
      <c r="HI31" s="313">
        <f>SUM(SUMIFS(M31:HD31,$K$13:$HB$13,{"エネルギー管理指定工場等*","県域*"}))</f>
        <v>0</v>
      </c>
      <c r="HJ31" s="314"/>
      <c r="HL31" s="219">
        <v>22</v>
      </c>
      <c r="HM31" s="714" t="str">
        <f t="shared" ca="1" si="49"/>
        <v/>
      </c>
      <c r="HN31" s="715" t="str">
        <f ca="1">IF(COUNTIF(HN$10:HN30,OFFSET(A1_原単位2025,5,HL31+2))&gt;=1,"",OFFSET(A1_原単位2025,5,HL31+2)&amp;"")</f>
        <v/>
      </c>
      <c r="HO31" s="716" t="str">
        <f t="shared" ca="1" si="50"/>
        <v/>
      </c>
      <c r="HP31" s="717" t="str">
        <f t="shared" ca="1" si="51"/>
        <v/>
      </c>
      <c r="HQ31" s="714" t="str">
        <f t="shared" ca="1" si="52"/>
        <v/>
      </c>
      <c r="HR31" s="715" t="str">
        <f ca="1">IF(COUNTIF(HR$10:HR30,OFFSET(A1_原単位2025,17,HL31+2))&gt;=1,"",OFFSET(A1_原単位2025,17,HL31+2)&amp;"")</f>
        <v/>
      </c>
      <c r="HS31" s="718" t="str">
        <f t="shared" ca="1" si="53"/>
        <v/>
      </c>
      <c r="HT31" s="719" t="str">
        <f t="shared" ca="1" si="54"/>
        <v/>
      </c>
      <c r="HU31" s="714" t="str">
        <f t="shared" ca="1" si="55"/>
        <v/>
      </c>
      <c r="HV31" s="715" t="str">
        <f ca="1">IF(COUNTIF(HV$10:HV30,OFFSET(A1_原単位2025,29,HL31+2))&gt;=1,"",OFFSET(A1_原単位2025,29,HL31+2)&amp;"")</f>
        <v/>
      </c>
      <c r="HW31" s="718" t="str">
        <f t="shared" ca="1" si="56"/>
        <v/>
      </c>
      <c r="HX31" s="719" t="str">
        <f t="shared" ca="1" si="57"/>
        <v/>
      </c>
      <c r="HY31" s="714" t="str">
        <f t="shared" ca="1" si="58"/>
        <v/>
      </c>
      <c r="HZ31" s="715" t="str">
        <f ca="1">IF(COUNTIF(HZ$10:HZ30,OFFSET(A1_原単位2025,41,HL31+2))&gt;=1,"",OFFSET(A1_原単位2025,41,HL31+2)&amp;"")</f>
        <v/>
      </c>
      <c r="IA31" s="720" t="str">
        <f t="shared" ca="1" si="59"/>
        <v/>
      </c>
      <c r="IB31" s="721" t="str">
        <f t="shared" ca="1" si="60"/>
        <v/>
      </c>
      <c r="IE31" s="159" t="str">
        <f t="shared" ca="1" si="61"/>
        <v/>
      </c>
      <c r="IF31" s="159" t="str">
        <f t="shared" ca="1" si="62"/>
        <v/>
      </c>
      <c r="IG31" s="159" t="str">
        <f t="shared" ca="1" si="63"/>
        <v/>
      </c>
      <c r="IH31" s="159" t="str">
        <f t="shared" ca="1" si="64"/>
        <v/>
      </c>
    </row>
    <row r="32" spans="2:242" s="164" customFormat="1" ht="20.100000000000001" customHeight="1">
      <c r="B32" s="302"/>
      <c r="C32" s="317" t="s">
        <v>580</v>
      </c>
      <c r="D32" s="303" t="s">
        <v>581</v>
      </c>
      <c r="E32" s="305"/>
      <c r="F32" s="303" t="s">
        <v>455</v>
      </c>
      <c r="G32" s="306">
        <v>28.7</v>
      </c>
      <c r="H32" s="307">
        <v>2.46E-2</v>
      </c>
      <c r="I32" s="308"/>
      <c r="J32" s="309"/>
      <c r="K32" s="310"/>
      <c r="L32" s="311"/>
      <c r="M32" s="311"/>
      <c r="N32" s="309"/>
      <c r="O32" s="310"/>
      <c r="P32" s="311"/>
      <c r="Q32" s="311"/>
      <c r="R32" s="309"/>
      <c r="S32" s="310"/>
      <c r="T32" s="311"/>
      <c r="U32" s="311"/>
      <c r="V32" s="309"/>
      <c r="W32" s="310"/>
      <c r="X32" s="311"/>
      <c r="Y32" s="311"/>
      <c r="Z32" s="309"/>
      <c r="AA32" s="310"/>
      <c r="AB32" s="311"/>
      <c r="AC32" s="311"/>
      <c r="AD32" s="309"/>
      <c r="AE32" s="310"/>
      <c r="AF32" s="311"/>
      <c r="AG32" s="311"/>
      <c r="AH32" s="309"/>
      <c r="AI32" s="310"/>
      <c r="AJ32" s="311"/>
      <c r="AK32" s="311"/>
      <c r="AL32" s="309"/>
      <c r="AM32" s="310"/>
      <c r="AN32" s="311"/>
      <c r="AO32" s="311"/>
      <c r="AP32" s="309"/>
      <c r="AQ32" s="310"/>
      <c r="AR32" s="311"/>
      <c r="AS32" s="311"/>
      <c r="AT32" s="309"/>
      <c r="AU32" s="310"/>
      <c r="AV32" s="311"/>
      <c r="AW32" s="311"/>
      <c r="AX32" s="309"/>
      <c r="AY32" s="310"/>
      <c r="AZ32" s="311"/>
      <c r="BA32" s="311"/>
      <c r="BB32" s="309"/>
      <c r="BC32" s="310"/>
      <c r="BD32" s="311"/>
      <c r="BE32" s="311"/>
      <c r="BF32" s="309"/>
      <c r="BG32" s="310"/>
      <c r="BH32" s="311"/>
      <c r="BI32" s="311"/>
      <c r="BJ32" s="309"/>
      <c r="BK32" s="310"/>
      <c r="BL32" s="311"/>
      <c r="BM32" s="311"/>
      <c r="BN32" s="309"/>
      <c r="BO32" s="310"/>
      <c r="BP32" s="311"/>
      <c r="BQ32" s="311"/>
      <c r="BR32" s="309"/>
      <c r="BS32" s="310"/>
      <c r="BT32" s="311"/>
      <c r="BU32" s="311"/>
      <c r="BV32" s="309"/>
      <c r="BW32" s="310"/>
      <c r="BX32" s="311"/>
      <c r="BY32" s="311"/>
      <c r="BZ32" s="309"/>
      <c r="CA32" s="310"/>
      <c r="CB32" s="311"/>
      <c r="CC32" s="311"/>
      <c r="CD32" s="309"/>
      <c r="CE32" s="310"/>
      <c r="CF32" s="311"/>
      <c r="CG32" s="311"/>
      <c r="CH32" s="309"/>
      <c r="CI32" s="310"/>
      <c r="CJ32" s="311"/>
      <c r="CK32" s="311"/>
      <c r="CL32" s="309"/>
      <c r="CM32" s="310"/>
      <c r="CN32" s="311"/>
      <c r="CO32" s="311"/>
      <c r="CP32" s="309"/>
      <c r="CQ32" s="310"/>
      <c r="CR32" s="311"/>
      <c r="CS32" s="311"/>
      <c r="CT32" s="309"/>
      <c r="CU32" s="310"/>
      <c r="CV32" s="311"/>
      <c r="CW32" s="311"/>
      <c r="CX32" s="309"/>
      <c r="CY32" s="310"/>
      <c r="CZ32" s="311"/>
      <c r="DA32" s="311"/>
      <c r="DB32" s="309"/>
      <c r="DC32" s="310"/>
      <c r="DD32" s="311"/>
      <c r="DE32" s="311"/>
      <c r="DF32" s="309"/>
      <c r="DG32" s="310"/>
      <c r="DH32" s="311"/>
      <c r="DI32" s="311"/>
      <c r="DJ32" s="309"/>
      <c r="DK32" s="310"/>
      <c r="DL32" s="311"/>
      <c r="DM32" s="311"/>
      <c r="DN32" s="309"/>
      <c r="DO32" s="310"/>
      <c r="DP32" s="311"/>
      <c r="DQ32" s="311"/>
      <c r="DR32" s="309"/>
      <c r="DS32" s="310"/>
      <c r="DT32" s="311"/>
      <c r="DU32" s="311"/>
      <c r="DV32" s="309"/>
      <c r="DW32" s="310"/>
      <c r="DX32" s="311"/>
      <c r="DY32" s="311"/>
      <c r="DZ32" s="309"/>
      <c r="EA32" s="310"/>
      <c r="EB32" s="311"/>
      <c r="EC32" s="311"/>
      <c r="ED32" s="309"/>
      <c r="EE32" s="310"/>
      <c r="EF32" s="311"/>
      <c r="EG32" s="311"/>
      <c r="EH32" s="309"/>
      <c r="EI32" s="310"/>
      <c r="EJ32" s="311"/>
      <c r="EK32" s="311"/>
      <c r="EL32" s="309"/>
      <c r="EM32" s="310"/>
      <c r="EN32" s="311"/>
      <c r="EO32" s="311"/>
      <c r="EP32" s="309"/>
      <c r="EQ32" s="310"/>
      <c r="ER32" s="311"/>
      <c r="ES32" s="311"/>
      <c r="ET32" s="309"/>
      <c r="EU32" s="310"/>
      <c r="EV32" s="311"/>
      <c r="EW32" s="311"/>
      <c r="EX32" s="309"/>
      <c r="EY32" s="310"/>
      <c r="EZ32" s="311"/>
      <c r="FA32" s="311"/>
      <c r="FB32" s="309"/>
      <c r="FC32" s="310"/>
      <c r="FD32" s="311"/>
      <c r="FE32" s="311"/>
      <c r="FF32" s="309"/>
      <c r="FG32" s="310"/>
      <c r="FH32" s="311"/>
      <c r="FI32" s="311"/>
      <c r="FJ32" s="309"/>
      <c r="FK32" s="310"/>
      <c r="FL32" s="311"/>
      <c r="FM32" s="311"/>
      <c r="FN32" s="309"/>
      <c r="FO32" s="310"/>
      <c r="FP32" s="311"/>
      <c r="FQ32" s="311"/>
      <c r="FR32" s="309"/>
      <c r="FS32" s="310"/>
      <c r="FT32" s="311"/>
      <c r="FU32" s="311"/>
      <c r="FV32" s="309"/>
      <c r="FW32" s="310"/>
      <c r="FX32" s="311"/>
      <c r="FY32" s="311"/>
      <c r="FZ32" s="309"/>
      <c r="GA32" s="310"/>
      <c r="GB32" s="311"/>
      <c r="GC32" s="311"/>
      <c r="GD32" s="309"/>
      <c r="GE32" s="310"/>
      <c r="GF32" s="311"/>
      <c r="GG32" s="311"/>
      <c r="GH32" s="309"/>
      <c r="GI32" s="310"/>
      <c r="GJ32" s="311"/>
      <c r="GK32" s="311"/>
      <c r="GL32" s="309"/>
      <c r="GM32" s="310"/>
      <c r="GN32" s="311"/>
      <c r="GO32" s="311"/>
      <c r="GP32" s="309"/>
      <c r="GQ32" s="310"/>
      <c r="GR32" s="311"/>
      <c r="GS32" s="311"/>
      <c r="GT32" s="309"/>
      <c r="GU32" s="310"/>
      <c r="GV32" s="311"/>
      <c r="GW32" s="311"/>
      <c r="GX32" s="309"/>
      <c r="GY32" s="310"/>
      <c r="GZ32" s="311"/>
      <c r="HA32" s="311"/>
      <c r="HB32" s="309"/>
      <c r="HC32" s="312">
        <f t="shared" si="66"/>
        <v>0</v>
      </c>
      <c r="HD32" s="313">
        <f t="shared" si="66"/>
        <v>0</v>
      </c>
      <c r="HE32" s="313">
        <f t="shared" si="66"/>
        <v>0</v>
      </c>
      <c r="HF32" s="314"/>
      <c r="HG32" s="312">
        <f>SUM(SUMIFS(K32:HB32,$K$13:$HB$13,{"エネルギー管理指定工場等*","県域*"}))</f>
        <v>0</v>
      </c>
      <c r="HH32" s="313">
        <f>SUM(SUMIFS(L32:HC32,$K$13:$HB$13,{"エネルギー管理指定工場等*","県域*"}))</f>
        <v>0</v>
      </c>
      <c r="HI32" s="313">
        <f>SUM(SUMIFS(M32:HD32,$K$13:$HB$13,{"エネルギー管理指定工場等*","県域*"}))</f>
        <v>0</v>
      </c>
      <c r="HJ32" s="314"/>
      <c r="HL32" s="230">
        <v>23</v>
      </c>
      <c r="HM32" s="714" t="str">
        <f t="shared" ca="1" si="49"/>
        <v/>
      </c>
      <c r="HN32" s="715" t="str">
        <f ca="1">IF(COUNTIF(HN$10:HN31,OFFSET(A1_原単位2025,5,HL32+2))&gt;=1,"",OFFSET(A1_原単位2025,5,HL32+2)&amp;"")</f>
        <v/>
      </c>
      <c r="HO32" s="716" t="str">
        <f t="shared" ca="1" si="50"/>
        <v/>
      </c>
      <c r="HP32" s="717" t="str">
        <f t="shared" ca="1" si="51"/>
        <v/>
      </c>
      <c r="HQ32" s="714" t="str">
        <f t="shared" ca="1" si="52"/>
        <v/>
      </c>
      <c r="HR32" s="715" t="str">
        <f ca="1">IF(COUNTIF(HR$10:HR31,OFFSET(A1_原単位2025,17,HL32+2))&gt;=1,"",OFFSET(A1_原単位2025,17,HL32+2)&amp;"")</f>
        <v/>
      </c>
      <c r="HS32" s="718" t="str">
        <f t="shared" ca="1" si="53"/>
        <v/>
      </c>
      <c r="HT32" s="719" t="str">
        <f t="shared" ca="1" si="54"/>
        <v/>
      </c>
      <c r="HU32" s="714" t="str">
        <f t="shared" ca="1" si="55"/>
        <v/>
      </c>
      <c r="HV32" s="715" t="str">
        <f ca="1">IF(COUNTIF(HV$10:HV31,OFFSET(A1_原単位2025,29,HL32+2))&gt;=1,"",OFFSET(A1_原単位2025,29,HL32+2)&amp;"")</f>
        <v/>
      </c>
      <c r="HW32" s="718" t="str">
        <f t="shared" ca="1" si="56"/>
        <v/>
      </c>
      <c r="HX32" s="719" t="str">
        <f t="shared" ca="1" si="57"/>
        <v/>
      </c>
      <c r="HY32" s="714" t="str">
        <f t="shared" ca="1" si="58"/>
        <v/>
      </c>
      <c r="HZ32" s="715" t="str">
        <f ca="1">IF(COUNTIF(HZ$10:HZ31,OFFSET(A1_原単位2025,41,HL32+2))&gt;=1,"",OFFSET(A1_原単位2025,41,HL32+2)&amp;"")</f>
        <v/>
      </c>
      <c r="IA32" s="720" t="str">
        <f t="shared" ca="1" si="59"/>
        <v/>
      </c>
      <c r="IB32" s="721" t="str">
        <f t="shared" ca="1" si="60"/>
        <v/>
      </c>
      <c r="IE32" s="159" t="str">
        <f t="shared" ca="1" si="61"/>
        <v/>
      </c>
      <c r="IF32" s="159" t="str">
        <f t="shared" ca="1" si="62"/>
        <v/>
      </c>
      <c r="IG32" s="159" t="str">
        <f t="shared" ca="1" si="63"/>
        <v/>
      </c>
      <c r="IH32" s="159" t="str">
        <f t="shared" ca="1" si="64"/>
        <v/>
      </c>
    </row>
    <row r="33" spans="2:242" s="164" customFormat="1" ht="20.100000000000001" customHeight="1">
      <c r="B33" s="302"/>
      <c r="C33" s="319"/>
      <c r="D33" s="303" t="s">
        <v>582</v>
      </c>
      <c r="E33" s="305"/>
      <c r="F33" s="303" t="s">
        <v>455</v>
      </c>
      <c r="G33" s="306">
        <v>28.9</v>
      </c>
      <c r="H33" s="307">
        <v>2.4500000000000001E-2</v>
      </c>
      <c r="I33" s="308"/>
      <c r="J33" s="309"/>
      <c r="K33" s="310"/>
      <c r="L33" s="311"/>
      <c r="M33" s="311"/>
      <c r="N33" s="309"/>
      <c r="O33" s="310"/>
      <c r="P33" s="311"/>
      <c r="Q33" s="311"/>
      <c r="R33" s="309"/>
      <c r="S33" s="310"/>
      <c r="T33" s="311"/>
      <c r="U33" s="311"/>
      <c r="V33" s="309"/>
      <c r="W33" s="310"/>
      <c r="X33" s="311"/>
      <c r="Y33" s="311"/>
      <c r="Z33" s="309"/>
      <c r="AA33" s="310"/>
      <c r="AB33" s="311"/>
      <c r="AC33" s="311"/>
      <c r="AD33" s="309"/>
      <c r="AE33" s="310"/>
      <c r="AF33" s="311"/>
      <c r="AG33" s="311"/>
      <c r="AH33" s="309"/>
      <c r="AI33" s="310"/>
      <c r="AJ33" s="311"/>
      <c r="AK33" s="311"/>
      <c r="AL33" s="309"/>
      <c r="AM33" s="310"/>
      <c r="AN33" s="311"/>
      <c r="AO33" s="311"/>
      <c r="AP33" s="309"/>
      <c r="AQ33" s="310"/>
      <c r="AR33" s="311"/>
      <c r="AS33" s="311"/>
      <c r="AT33" s="309"/>
      <c r="AU33" s="310"/>
      <c r="AV33" s="311"/>
      <c r="AW33" s="311"/>
      <c r="AX33" s="309"/>
      <c r="AY33" s="310"/>
      <c r="AZ33" s="311"/>
      <c r="BA33" s="311"/>
      <c r="BB33" s="309"/>
      <c r="BC33" s="310"/>
      <c r="BD33" s="311"/>
      <c r="BE33" s="311"/>
      <c r="BF33" s="309"/>
      <c r="BG33" s="310"/>
      <c r="BH33" s="311"/>
      <c r="BI33" s="311"/>
      <c r="BJ33" s="309"/>
      <c r="BK33" s="310"/>
      <c r="BL33" s="311"/>
      <c r="BM33" s="311"/>
      <c r="BN33" s="309"/>
      <c r="BO33" s="310"/>
      <c r="BP33" s="311"/>
      <c r="BQ33" s="311"/>
      <c r="BR33" s="309"/>
      <c r="BS33" s="310"/>
      <c r="BT33" s="311"/>
      <c r="BU33" s="311"/>
      <c r="BV33" s="309"/>
      <c r="BW33" s="310"/>
      <c r="BX33" s="311"/>
      <c r="BY33" s="311"/>
      <c r="BZ33" s="309"/>
      <c r="CA33" s="310"/>
      <c r="CB33" s="311"/>
      <c r="CC33" s="311"/>
      <c r="CD33" s="309"/>
      <c r="CE33" s="310"/>
      <c r="CF33" s="311"/>
      <c r="CG33" s="311"/>
      <c r="CH33" s="309"/>
      <c r="CI33" s="310"/>
      <c r="CJ33" s="311"/>
      <c r="CK33" s="311"/>
      <c r="CL33" s="309"/>
      <c r="CM33" s="310"/>
      <c r="CN33" s="311"/>
      <c r="CO33" s="311"/>
      <c r="CP33" s="309"/>
      <c r="CQ33" s="310"/>
      <c r="CR33" s="311"/>
      <c r="CS33" s="311"/>
      <c r="CT33" s="309"/>
      <c r="CU33" s="310"/>
      <c r="CV33" s="311"/>
      <c r="CW33" s="311"/>
      <c r="CX33" s="309"/>
      <c r="CY33" s="310"/>
      <c r="CZ33" s="311"/>
      <c r="DA33" s="311"/>
      <c r="DB33" s="309"/>
      <c r="DC33" s="310"/>
      <c r="DD33" s="311"/>
      <c r="DE33" s="311"/>
      <c r="DF33" s="309"/>
      <c r="DG33" s="310"/>
      <c r="DH33" s="311"/>
      <c r="DI33" s="311"/>
      <c r="DJ33" s="309"/>
      <c r="DK33" s="310"/>
      <c r="DL33" s="311"/>
      <c r="DM33" s="311"/>
      <c r="DN33" s="309"/>
      <c r="DO33" s="310"/>
      <c r="DP33" s="311"/>
      <c r="DQ33" s="311"/>
      <c r="DR33" s="309"/>
      <c r="DS33" s="310"/>
      <c r="DT33" s="311"/>
      <c r="DU33" s="311"/>
      <c r="DV33" s="309"/>
      <c r="DW33" s="310"/>
      <c r="DX33" s="311"/>
      <c r="DY33" s="311"/>
      <c r="DZ33" s="309"/>
      <c r="EA33" s="310"/>
      <c r="EB33" s="311"/>
      <c r="EC33" s="311"/>
      <c r="ED33" s="309"/>
      <c r="EE33" s="310"/>
      <c r="EF33" s="311"/>
      <c r="EG33" s="311"/>
      <c r="EH33" s="309"/>
      <c r="EI33" s="310"/>
      <c r="EJ33" s="311"/>
      <c r="EK33" s="311"/>
      <c r="EL33" s="309"/>
      <c r="EM33" s="310"/>
      <c r="EN33" s="311"/>
      <c r="EO33" s="311"/>
      <c r="EP33" s="309"/>
      <c r="EQ33" s="310"/>
      <c r="ER33" s="311"/>
      <c r="ES33" s="311"/>
      <c r="ET33" s="309"/>
      <c r="EU33" s="310"/>
      <c r="EV33" s="311"/>
      <c r="EW33" s="311"/>
      <c r="EX33" s="309"/>
      <c r="EY33" s="310"/>
      <c r="EZ33" s="311"/>
      <c r="FA33" s="311"/>
      <c r="FB33" s="309"/>
      <c r="FC33" s="310"/>
      <c r="FD33" s="311"/>
      <c r="FE33" s="311"/>
      <c r="FF33" s="309"/>
      <c r="FG33" s="310"/>
      <c r="FH33" s="311"/>
      <c r="FI33" s="311"/>
      <c r="FJ33" s="309"/>
      <c r="FK33" s="310"/>
      <c r="FL33" s="311"/>
      <c r="FM33" s="311"/>
      <c r="FN33" s="309"/>
      <c r="FO33" s="310"/>
      <c r="FP33" s="311"/>
      <c r="FQ33" s="311"/>
      <c r="FR33" s="309"/>
      <c r="FS33" s="310"/>
      <c r="FT33" s="311"/>
      <c r="FU33" s="311"/>
      <c r="FV33" s="309"/>
      <c r="FW33" s="310"/>
      <c r="FX33" s="311"/>
      <c r="FY33" s="311"/>
      <c r="FZ33" s="309"/>
      <c r="GA33" s="310"/>
      <c r="GB33" s="311"/>
      <c r="GC33" s="311"/>
      <c r="GD33" s="309"/>
      <c r="GE33" s="310"/>
      <c r="GF33" s="311"/>
      <c r="GG33" s="311"/>
      <c r="GH33" s="309"/>
      <c r="GI33" s="310"/>
      <c r="GJ33" s="311"/>
      <c r="GK33" s="311"/>
      <c r="GL33" s="309"/>
      <c r="GM33" s="310"/>
      <c r="GN33" s="311"/>
      <c r="GO33" s="311"/>
      <c r="GP33" s="309"/>
      <c r="GQ33" s="310"/>
      <c r="GR33" s="311"/>
      <c r="GS33" s="311"/>
      <c r="GT33" s="309"/>
      <c r="GU33" s="310"/>
      <c r="GV33" s="311"/>
      <c r="GW33" s="311"/>
      <c r="GX33" s="309"/>
      <c r="GY33" s="310"/>
      <c r="GZ33" s="311"/>
      <c r="HA33" s="311"/>
      <c r="HB33" s="309"/>
      <c r="HC33" s="312">
        <f t="shared" si="66"/>
        <v>0</v>
      </c>
      <c r="HD33" s="313">
        <f t="shared" si="66"/>
        <v>0</v>
      </c>
      <c r="HE33" s="313">
        <f t="shared" si="66"/>
        <v>0</v>
      </c>
      <c r="HF33" s="314"/>
      <c r="HG33" s="312">
        <f>SUM(SUMIFS(K33:HB33,$K$13:$HB$13,{"エネルギー管理指定工場等*","県域*"}))</f>
        <v>0</v>
      </c>
      <c r="HH33" s="313">
        <f>SUM(SUMIFS(L33:HC33,$K$13:$HB$13,{"エネルギー管理指定工場等*","県域*"}))</f>
        <v>0</v>
      </c>
      <c r="HI33" s="313">
        <f>SUM(SUMIFS(M33:HD33,$K$13:$HB$13,{"エネルギー管理指定工場等*","県域*"}))</f>
        <v>0</v>
      </c>
      <c r="HJ33" s="314"/>
      <c r="HL33" s="219">
        <v>24</v>
      </c>
      <c r="HM33" s="714" t="str">
        <f t="shared" ca="1" si="49"/>
        <v/>
      </c>
      <c r="HN33" s="715" t="str">
        <f ca="1">IF(COUNTIF(HN$10:HN32,OFFSET(A1_原単位2025,5,HL33+2))&gt;=1,"",OFFSET(A1_原単位2025,5,HL33+2)&amp;"")</f>
        <v/>
      </c>
      <c r="HO33" s="716" t="str">
        <f t="shared" ca="1" si="50"/>
        <v/>
      </c>
      <c r="HP33" s="717" t="str">
        <f t="shared" ca="1" si="51"/>
        <v/>
      </c>
      <c r="HQ33" s="714" t="str">
        <f t="shared" ca="1" si="52"/>
        <v/>
      </c>
      <c r="HR33" s="715" t="str">
        <f ca="1">IF(COUNTIF(HR$10:HR32,OFFSET(A1_原単位2025,17,HL33+2))&gt;=1,"",OFFSET(A1_原単位2025,17,HL33+2)&amp;"")</f>
        <v/>
      </c>
      <c r="HS33" s="718" t="str">
        <f t="shared" ca="1" si="53"/>
        <v/>
      </c>
      <c r="HT33" s="719" t="str">
        <f t="shared" ca="1" si="54"/>
        <v/>
      </c>
      <c r="HU33" s="714" t="str">
        <f t="shared" ca="1" si="55"/>
        <v/>
      </c>
      <c r="HV33" s="715" t="str">
        <f ca="1">IF(COUNTIF(HV$10:HV32,OFFSET(A1_原単位2025,29,HL33+2))&gt;=1,"",OFFSET(A1_原単位2025,29,HL33+2)&amp;"")</f>
        <v/>
      </c>
      <c r="HW33" s="718" t="str">
        <f t="shared" ca="1" si="56"/>
        <v/>
      </c>
      <c r="HX33" s="719" t="str">
        <f t="shared" ca="1" si="57"/>
        <v/>
      </c>
      <c r="HY33" s="714" t="str">
        <f t="shared" ca="1" si="58"/>
        <v/>
      </c>
      <c r="HZ33" s="715" t="str">
        <f ca="1">IF(COUNTIF(HZ$10:HZ32,OFFSET(A1_原単位2025,41,HL33+2))&gt;=1,"",OFFSET(A1_原単位2025,41,HL33+2)&amp;"")</f>
        <v/>
      </c>
      <c r="IA33" s="720" t="str">
        <f t="shared" ca="1" si="59"/>
        <v/>
      </c>
      <c r="IB33" s="721" t="str">
        <f t="shared" ca="1" si="60"/>
        <v/>
      </c>
      <c r="IE33" s="159" t="str">
        <f t="shared" ca="1" si="61"/>
        <v/>
      </c>
      <c r="IF33" s="159" t="str">
        <f t="shared" ca="1" si="62"/>
        <v/>
      </c>
      <c r="IG33" s="159" t="str">
        <f t="shared" ca="1" si="63"/>
        <v/>
      </c>
      <c r="IH33" s="159" t="str">
        <f t="shared" ca="1" si="64"/>
        <v/>
      </c>
    </row>
    <row r="34" spans="2:242" s="164" customFormat="1" ht="20.100000000000001" customHeight="1">
      <c r="B34" s="302"/>
      <c r="C34" s="319"/>
      <c r="D34" s="303" t="s">
        <v>583</v>
      </c>
      <c r="E34" s="305"/>
      <c r="F34" s="303" t="s">
        <v>455</v>
      </c>
      <c r="G34" s="306">
        <v>28.3</v>
      </c>
      <c r="H34" s="307">
        <v>2.5100000000000001E-2</v>
      </c>
      <c r="I34" s="308"/>
      <c r="J34" s="309"/>
      <c r="K34" s="310"/>
      <c r="L34" s="311"/>
      <c r="M34" s="311"/>
      <c r="N34" s="309"/>
      <c r="O34" s="310"/>
      <c r="P34" s="311"/>
      <c r="Q34" s="311"/>
      <c r="R34" s="309"/>
      <c r="S34" s="310"/>
      <c r="T34" s="311"/>
      <c r="U34" s="311"/>
      <c r="V34" s="309"/>
      <c r="W34" s="310"/>
      <c r="X34" s="311"/>
      <c r="Y34" s="311"/>
      <c r="Z34" s="309"/>
      <c r="AA34" s="310"/>
      <c r="AB34" s="311"/>
      <c r="AC34" s="311"/>
      <c r="AD34" s="309"/>
      <c r="AE34" s="310"/>
      <c r="AF34" s="311"/>
      <c r="AG34" s="311"/>
      <c r="AH34" s="309"/>
      <c r="AI34" s="310"/>
      <c r="AJ34" s="311"/>
      <c r="AK34" s="311"/>
      <c r="AL34" s="309"/>
      <c r="AM34" s="310"/>
      <c r="AN34" s="311"/>
      <c r="AO34" s="311"/>
      <c r="AP34" s="309"/>
      <c r="AQ34" s="310"/>
      <c r="AR34" s="311"/>
      <c r="AS34" s="311"/>
      <c r="AT34" s="309"/>
      <c r="AU34" s="310"/>
      <c r="AV34" s="311"/>
      <c r="AW34" s="311"/>
      <c r="AX34" s="309"/>
      <c r="AY34" s="310"/>
      <c r="AZ34" s="311"/>
      <c r="BA34" s="311"/>
      <c r="BB34" s="309"/>
      <c r="BC34" s="310"/>
      <c r="BD34" s="311"/>
      <c r="BE34" s="311"/>
      <c r="BF34" s="309"/>
      <c r="BG34" s="310"/>
      <c r="BH34" s="311"/>
      <c r="BI34" s="311"/>
      <c r="BJ34" s="309"/>
      <c r="BK34" s="310"/>
      <c r="BL34" s="311"/>
      <c r="BM34" s="311"/>
      <c r="BN34" s="309"/>
      <c r="BO34" s="310"/>
      <c r="BP34" s="311"/>
      <c r="BQ34" s="311"/>
      <c r="BR34" s="309"/>
      <c r="BS34" s="310"/>
      <c r="BT34" s="311"/>
      <c r="BU34" s="311"/>
      <c r="BV34" s="309"/>
      <c r="BW34" s="310"/>
      <c r="BX34" s="311"/>
      <c r="BY34" s="311"/>
      <c r="BZ34" s="309"/>
      <c r="CA34" s="310"/>
      <c r="CB34" s="311"/>
      <c r="CC34" s="311"/>
      <c r="CD34" s="309"/>
      <c r="CE34" s="310"/>
      <c r="CF34" s="311"/>
      <c r="CG34" s="311"/>
      <c r="CH34" s="309"/>
      <c r="CI34" s="310"/>
      <c r="CJ34" s="311"/>
      <c r="CK34" s="311"/>
      <c r="CL34" s="309"/>
      <c r="CM34" s="310"/>
      <c r="CN34" s="311"/>
      <c r="CO34" s="311"/>
      <c r="CP34" s="309"/>
      <c r="CQ34" s="310"/>
      <c r="CR34" s="311"/>
      <c r="CS34" s="311"/>
      <c r="CT34" s="309"/>
      <c r="CU34" s="310"/>
      <c r="CV34" s="311"/>
      <c r="CW34" s="311"/>
      <c r="CX34" s="309"/>
      <c r="CY34" s="310"/>
      <c r="CZ34" s="311"/>
      <c r="DA34" s="311"/>
      <c r="DB34" s="309"/>
      <c r="DC34" s="310"/>
      <c r="DD34" s="311"/>
      <c r="DE34" s="311"/>
      <c r="DF34" s="309"/>
      <c r="DG34" s="310"/>
      <c r="DH34" s="311"/>
      <c r="DI34" s="311"/>
      <c r="DJ34" s="309"/>
      <c r="DK34" s="310"/>
      <c r="DL34" s="311"/>
      <c r="DM34" s="311"/>
      <c r="DN34" s="309"/>
      <c r="DO34" s="310"/>
      <c r="DP34" s="311"/>
      <c r="DQ34" s="311"/>
      <c r="DR34" s="309"/>
      <c r="DS34" s="310"/>
      <c r="DT34" s="311"/>
      <c r="DU34" s="311"/>
      <c r="DV34" s="309"/>
      <c r="DW34" s="310"/>
      <c r="DX34" s="311"/>
      <c r="DY34" s="311"/>
      <c r="DZ34" s="309"/>
      <c r="EA34" s="310"/>
      <c r="EB34" s="311"/>
      <c r="EC34" s="311"/>
      <c r="ED34" s="309"/>
      <c r="EE34" s="310"/>
      <c r="EF34" s="311"/>
      <c r="EG34" s="311"/>
      <c r="EH34" s="309"/>
      <c r="EI34" s="310"/>
      <c r="EJ34" s="311"/>
      <c r="EK34" s="311"/>
      <c r="EL34" s="309"/>
      <c r="EM34" s="310"/>
      <c r="EN34" s="311"/>
      <c r="EO34" s="311"/>
      <c r="EP34" s="309"/>
      <c r="EQ34" s="310"/>
      <c r="ER34" s="311"/>
      <c r="ES34" s="311"/>
      <c r="ET34" s="309"/>
      <c r="EU34" s="310"/>
      <c r="EV34" s="311"/>
      <c r="EW34" s="311"/>
      <c r="EX34" s="309"/>
      <c r="EY34" s="310"/>
      <c r="EZ34" s="311"/>
      <c r="FA34" s="311"/>
      <c r="FB34" s="309"/>
      <c r="FC34" s="310"/>
      <c r="FD34" s="311"/>
      <c r="FE34" s="311"/>
      <c r="FF34" s="309"/>
      <c r="FG34" s="310"/>
      <c r="FH34" s="311"/>
      <c r="FI34" s="311"/>
      <c r="FJ34" s="309"/>
      <c r="FK34" s="310"/>
      <c r="FL34" s="311"/>
      <c r="FM34" s="311"/>
      <c r="FN34" s="309"/>
      <c r="FO34" s="310"/>
      <c r="FP34" s="311"/>
      <c r="FQ34" s="311"/>
      <c r="FR34" s="309"/>
      <c r="FS34" s="310"/>
      <c r="FT34" s="311"/>
      <c r="FU34" s="311"/>
      <c r="FV34" s="309"/>
      <c r="FW34" s="310"/>
      <c r="FX34" s="311"/>
      <c r="FY34" s="311"/>
      <c r="FZ34" s="309"/>
      <c r="GA34" s="310"/>
      <c r="GB34" s="311"/>
      <c r="GC34" s="311"/>
      <c r="GD34" s="309"/>
      <c r="GE34" s="310"/>
      <c r="GF34" s="311"/>
      <c r="GG34" s="311"/>
      <c r="GH34" s="309"/>
      <c r="GI34" s="310"/>
      <c r="GJ34" s="311"/>
      <c r="GK34" s="311"/>
      <c r="GL34" s="309"/>
      <c r="GM34" s="310"/>
      <c r="GN34" s="311"/>
      <c r="GO34" s="311"/>
      <c r="GP34" s="309"/>
      <c r="GQ34" s="310"/>
      <c r="GR34" s="311"/>
      <c r="GS34" s="311"/>
      <c r="GT34" s="309"/>
      <c r="GU34" s="310"/>
      <c r="GV34" s="311"/>
      <c r="GW34" s="311"/>
      <c r="GX34" s="309"/>
      <c r="GY34" s="310"/>
      <c r="GZ34" s="311"/>
      <c r="HA34" s="311"/>
      <c r="HB34" s="309"/>
      <c r="HC34" s="312">
        <f t="shared" si="66"/>
        <v>0</v>
      </c>
      <c r="HD34" s="313">
        <f t="shared" si="66"/>
        <v>0</v>
      </c>
      <c r="HE34" s="313">
        <f t="shared" si="66"/>
        <v>0</v>
      </c>
      <c r="HF34" s="314"/>
      <c r="HG34" s="312">
        <f>SUM(SUMIFS(K34:HB34,$K$13:$HB$13,{"エネルギー管理指定工場等*","県域*"}))</f>
        <v>0</v>
      </c>
      <c r="HH34" s="313">
        <f>SUM(SUMIFS(L34:HC34,$K$13:$HB$13,{"エネルギー管理指定工場等*","県域*"}))</f>
        <v>0</v>
      </c>
      <c r="HI34" s="313">
        <f>SUM(SUMIFS(M34:HD34,$K$13:$HB$13,{"エネルギー管理指定工場等*","県域*"}))</f>
        <v>0</v>
      </c>
      <c r="HJ34" s="314"/>
      <c r="HL34" s="230">
        <v>25</v>
      </c>
      <c r="HM34" s="714" t="str">
        <f t="shared" ca="1" si="49"/>
        <v/>
      </c>
      <c r="HN34" s="715" t="str">
        <f ca="1">IF(COUNTIF(HN$10:HN33,OFFSET(A1_原単位2025,5,HL34+2))&gt;=1,"",OFFSET(A1_原単位2025,5,HL34+2)&amp;"")</f>
        <v/>
      </c>
      <c r="HO34" s="716" t="str">
        <f t="shared" ca="1" si="50"/>
        <v/>
      </c>
      <c r="HP34" s="717" t="str">
        <f t="shared" ca="1" si="51"/>
        <v/>
      </c>
      <c r="HQ34" s="714" t="str">
        <f t="shared" ca="1" si="52"/>
        <v/>
      </c>
      <c r="HR34" s="715" t="str">
        <f ca="1">IF(COUNTIF(HR$10:HR33,OFFSET(A1_原単位2025,17,HL34+2))&gt;=1,"",OFFSET(A1_原単位2025,17,HL34+2)&amp;"")</f>
        <v/>
      </c>
      <c r="HS34" s="718" t="str">
        <f t="shared" ca="1" si="53"/>
        <v/>
      </c>
      <c r="HT34" s="719" t="str">
        <f t="shared" ca="1" si="54"/>
        <v/>
      </c>
      <c r="HU34" s="714" t="str">
        <f t="shared" ca="1" si="55"/>
        <v/>
      </c>
      <c r="HV34" s="715" t="str">
        <f ca="1">IF(COUNTIF(HV$10:HV33,OFFSET(A1_原単位2025,29,HL34+2))&gt;=1,"",OFFSET(A1_原単位2025,29,HL34+2)&amp;"")</f>
        <v/>
      </c>
      <c r="HW34" s="718" t="str">
        <f t="shared" ca="1" si="56"/>
        <v/>
      </c>
      <c r="HX34" s="719" t="str">
        <f t="shared" ca="1" si="57"/>
        <v/>
      </c>
      <c r="HY34" s="714" t="str">
        <f t="shared" ca="1" si="58"/>
        <v/>
      </c>
      <c r="HZ34" s="715" t="str">
        <f ca="1">IF(COUNTIF(HZ$10:HZ33,OFFSET(A1_原単位2025,41,HL34+2))&gt;=1,"",OFFSET(A1_原単位2025,41,HL34+2)&amp;"")</f>
        <v/>
      </c>
      <c r="IA34" s="720" t="str">
        <f t="shared" ca="1" si="59"/>
        <v/>
      </c>
      <c r="IB34" s="721" t="str">
        <f t="shared" ca="1" si="60"/>
        <v/>
      </c>
      <c r="IE34" s="159" t="str">
        <f t="shared" ca="1" si="61"/>
        <v/>
      </c>
      <c r="IF34" s="159" t="str">
        <f t="shared" ca="1" si="62"/>
        <v/>
      </c>
      <c r="IG34" s="159" t="str">
        <f t="shared" ca="1" si="63"/>
        <v/>
      </c>
      <c r="IH34" s="159" t="str">
        <f t="shared" ca="1" si="64"/>
        <v/>
      </c>
    </row>
    <row r="35" spans="2:242" s="164" customFormat="1" ht="20.100000000000001" customHeight="1">
      <c r="B35" s="302"/>
      <c r="C35" s="319"/>
      <c r="D35" s="303" t="s">
        <v>584</v>
      </c>
      <c r="E35" s="305"/>
      <c r="F35" s="303" t="s">
        <v>455</v>
      </c>
      <c r="G35" s="306">
        <v>26.1</v>
      </c>
      <c r="H35" s="307">
        <v>2.4299999999999999E-2</v>
      </c>
      <c r="I35" s="308"/>
      <c r="J35" s="309"/>
      <c r="K35" s="310"/>
      <c r="L35" s="311"/>
      <c r="M35" s="311"/>
      <c r="N35" s="309"/>
      <c r="O35" s="310"/>
      <c r="P35" s="311"/>
      <c r="Q35" s="311"/>
      <c r="R35" s="309"/>
      <c r="S35" s="310"/>
      <c r="T35" s="311"/>
      <c r="U35" s="311"/>
      <c r="V35" s="309"/>
      <c r="W35" s="310"/>
      <c r="X35" s="311"/>
      <c r="Y35" s="311"/>
      <c r="Z35" s="309"/>
      <c r="AA35" s="310"/>
      <c r="AB35" s="311"/>
      <c r="AC35" s="311"/>
      <c r="AD35" s="309"/>
      <c r="AE35" s="310"/>
      <c r="AF35" s="311"/>
      <c r="AG35" s="311"/>
      <c r="AH35" s="309"/>
      <c r="AI35" s="310"/>
      <c r="AJ35" s="311"/>
      <c r="AK35" s="311"/>
      <c r="AL35" s="309"/>
      <c r="AM35" s="310"/>
      <c r="AN35" s="311"/>
      <c r="AO35" s="311"/>
      <c r="AP35" s="309"/>
      <c r="AQ35" s="310"/>
      <c r="AR35" s="311"/>
      <c r="AS35" s="311"/>
      <c r="AT35" s="309"/>
      <c r="AU35" s="310"/>
      <c r="AV35" s="311"/>
      <c r="AW35" s="311"/>
      <c r="AX35" s="309"/>
      <c r="AY35" s="310"/>
      <c r="AZ35" s="311"/>
      <c r="BA35" s="311"/>
      <c r="BB35" s="309"/>
      <c r="BC35" s="310"/>
      <c r="BD35" s="311"/>
      <c r="BE35" s="311"/>
      <c r="BF35" s="309"/>
      <c r="BG35" s="310"/>
      <c r="BH35" s="311"/>
      <c r="BI35" s="311"/>
      <c r="BJ35" s="309"/>
      <c r="BK35" s="310"/>
      <c r="BL35" s="311"/>
      <c r="BM35" s="311"/>
      <c r="BN35" s="309"/>
      <c r="BO35" s="310"/>
      <c r="BP35" s="311"/>
      <c r="BQ35" s="311"/>
      <c r="BR35" s="309"/>
      <c r="BS35" s="310"/>
      <c r="BT35" s="311"/>
      <c r="BU35" s="311"/>
      <c r="BV35" s="309"/>
      <c r="BW35" s="310"/>
      <c r="BX35" s="311"/>
      <c r="BY35" s="311"/>
      <c r="BZ35" s="309"/>
      <c r="CA35" s="310"/>
      <c r="CB35" s="311"/>
      <c r="CC35" s="311"/>
      <c r="CD35" s="309"/>
      <c r="CE35" s="310"/>
      <c r="CF35" s="311"/>
      <c r="CG35" s="311"/>
      <c r="CH35" s="309"/>
      <c r="CI35" s="310"/>
      <c r="CJ35" s="311"/>
      <c r="CK35" s="311"/>
      <c r="CL35" s="309"/>
      <c r="CM35" s="310"/>
      <c r="CN35" s="311"/>
      <c r="CO35" s="311"/>
      <c r="CP35" s="309"/>
      <c r="CQ35" s="310"/>
      <c r="CR35" s="311"/>
      <c r="CS35" s="311"/>
      <c r="CT35" s="309"/>
      <c r="CU35" s="310"/>
      <c r="CV35" s="311"/>
      <c r="CW35" s="311"/>
      <c r="CX35" s="309"/>
      <c r="CY35" s="310"/>
      <c r="CZ35" s="311"/>
      <c r="DA35" s="311"/>
      <c r="DB35" s="309"/>
      <c r="DC35" s="310"/>
      <c r="DD35" s="311"/>
      <c r="DE35" s="311"/>
      <c r="DF35" s="309"/>
      <c r="DG35" s="310"/>
      <c r="DH35" s="311"/>
      <c r="DI35" s="311"/>
      <c r="DJ35" s="309"/>
      <c r="DK35" s="310"/>
      <c r="DL35" s="311"/>
      <c r="DM35" s="311"/>
      <c r="DN35" s="309"/>
      <c r="DO35" s="310"/>
      <c r="DP35" s="311"/>
      <c r="DQ35" s="311"/>
      <c r="DR35" s="309"/>
      <c r="DS35" s="310"/>
      <c r="DT35" s="311"/>
      <c r="DU35" s="311"/>
      <c r="DV35" s="309"/>
      <c r="DW35" s="310"/>
      <c r="DX35" s="311"/>
      <c r="DY35" s="311"/>
      <c r="DZ35" s="309"/>
      <c r="EA35" s="310"/>
      <c r="EB35" s="311"/>
      <c r="EC35" s="311"/>
      <c r="ED35" s="309"/>
      <c r="EE35" s="310"/>
      <c r="EF35" s="311"/>
      <c r="EG35" s="311"/>
      <c r="EH35" s="309"/>
      <c r="EI35" s="310"/>
      <c r="EJ35" s="311"/>
      <c r="EK35" s="311"/>
      <c r="EL35" s="309"/>
      <c r="EM35" s="310"/>
      <c r="EN35" s="311"/>
      <c r="EO35" s="311"/>
      <c r="EP35" s="309"/>
      <c r="EQ35" s="310"/>
      <c r="ER35" s="311"/>
      <c r="ES35" s="311"/>
      <c r="ET35" s="309"/>
      <c r="EU35" s="310"/>
      <c r="EV35" s="311"/>
      <c r="EW35" s="311"/>
      <c r="EX35" s="309"/>
      <c r="EY35" s="310"/>
      <c r="EZ35" s="311"/>
      <c r="FA35" s="311"/>
      <c r="FB35" s="309"/>
      <c r="FC35" s="310"/>
      <c r="FD35" s="311"/>
      <c r="FE35" s="311"/>
      <c r="FF35" s="309"/>
      <c r="FG35" s="310"/>
      <c r="FH35" s="311"/>
      <c r="FI35" s="311"/>
      <c r="FJ35" s="309"/>
      <c r="FK35" s="310"/>
      <c r="FL35" s="311"/>
      <c r="FM35" s="311"/>
      <c r="FN35" s="309"/>
      <c r="FO35" s="310"/>
      <c r="FP35" s="311"/>
      <c r="FQ35" s="311"/>
      <c r="FR35" s="309"/>
      <c r="FS35" s="310"/>
      <c r="FT35" s="311"/>
      <c r="FU35" s="311"/>
      <c r="FV35" s="309"/>
      <c r="FW35" s="310"/>
      <c r="FX35" s="311"/>
      <c r="FY35" s="311"/>
      <c r="FZ35" s="309"/>
      <c r="GA35" s="310"/>
      <c r="GB35" s="311"/>
      <c r="GC35" s="311"/>
      <c r="GD35" s="309"/>
      <c r="GE35" s="310"/>
      <c r="GF35" s="311"/>
      <c r="GG35" s="311"/>
      <c r="GH35" s="309"/>
      <c r="GI35" s="310"/>
      <c r="GJ35" s="311"/>
      <c r="GK35" s="311"/>
      <c r="GL35" s="309"/>
      <c r="GM35" s="310"/>
      <c r="GN35" s="311"/>
      <c r="GO35" s="311"/>
      <c r="GP35" s="309"/>
      <c r="GQ35" s="310"/>
      <c r="GR35" s="311"/>
      <c r="GS35" s="311"/>
      <c r="GT35" s="309"/>
      <c r="GU35" s="310"/>
      <c r="GV35" s="311"/>
      <c r="GW35" s="311"/>
      <c r="GX35" s="309"/>
      <c r="GY35" s="310"/>
      <c r="GZ35" s="311"/>
      <c r="HA35" s="311"/>
      <c r="HB35" s="309"/>
      <c r="HC35" s="312">
        <f t="shared" si="66"/>
        <v>0</v>
      </c>
      <c r="HD35" s="313">
        <f t="shared" si="66"/>
        <v>0</v>
      </c>
      <c r="HE35" s="313">
        <f t="shared" si="66"/>
        <v>0</v>
      </c>
      <c r="HF35" s="314"/>
      <c r="HG35" s="312">
        <f>SUM(SUMIFS(K35:HB35,$K$13:$HB$13,{"エネルギー管理指定工場等*","県域*"}))</f>
        <v>0</v>
      </c>
      <c r="HH35" s="313">
        <f>SUM(SUMIFS(L35:HC35,$K$13:$HB$13,{"エネルギー管理指定工場等*","県域*"}))</f>
        <v>0</v>
      </c>
      <c r="HI35" s="313">
        <f>SUM(SUMIFS(M35:HD35,$K$13:$HB$13,{"エネルギー管理指定工場等*","県域*"}))</f>
        <v>0</v>
      </c>
      <c r="HJ35" s="314"/>
      <c r="HL35" s="219">
        <v>26</v>
      </c>
      <c r="HM35" s="714" t="str">
        <f t="shared" ca="1" si="49"/>
        <v/>
      </c>
      <c r="HN35" s="715" t="str">
        <f ca="1">IF(COUNTIF(HN$10:HN34,OFFSET(A1_原単位2025,5,HL35+2))&gt;=1,"",OFFSET(A1_原単位2025,5,HL35+2)&amp;"")</f>
        <v/>
      </c>
      <c r="HO35" s="716" t="str">
        <f t="shared" ca="1" si="50"/>
        <v/>
      </c>
      <c r="HP35" s="717" t="str">
        <f t="shared" ca="1" si="51"/>
        <v/>
      </c>
      <c r="HQ35" s="714" t="str">
        <f t="shared" ca="1" si="52"/>
        <v/>
      </c>
      <c r="HR35" s="715" t="str">
        <f ca="1">IF(COUNTIF(HR$10:HR34,OFFSET(A1_原単位2025,17,HL35+2))&gt;=1,"",OFFSET(A1_原単位2025,17,HL35+2)&amp;"")</f>
        <v/>
      </c>
      <c r="HS35" s="718" t="str">
        <f t="shared" ca="1" si="53"/>
        <v/>
      </c>
      <c r="HT35" s="719" t="str">
        <f t="shared" ca="1" si="54"/>
        <v/>
      </c>
      <c r="HU35" s="714" t="str">
        <f t="shared" ca="1" si="55"/>
        <v/>
      </c>
      <c r="HV35" s="715" t="str">
        <f ca="1">IF(COUNTIF(HV$10:HV34,OFFSET(A1_原単位2025,29,HL35+2))&gt;=1,"",OFFSET(A1_原単位2025,29,HL35+2)&amp;"")</f>
        <v/>
      </c>
      <c r="HW35" s="718" t="str">
        <f t="shared" ca="1" si="56"/>
        <v/>
      </c>
      <c r="HX35" s="719" t="str">
        <f t="shared" ca="1" si="57"/>
        <v/>
      </c>
      <c r="HY35" s="714" t="str">
        <f t="shared" ca="1" si="58"/>
        <v/>
      </c>
      <c r="HZ35" s="715" t="str">
        <f ca="1">IF(COUNTIF(HZ$10:HZ34,OFFSET(A1_原単位2025,41,HL35+2))&gt;=1,"",OFFSET(A1_原単位2025,41,HL35+2)&amp;"")</f>
        <v/>
      </c>
      <c r="IA35" s="720" t="str">
        <f t="shared" ca="1" si="59"/>
        <v/>
      </c>
      <c r="IB35" s="721" t="str">
        <f t="shared" ca="1" si="60"/>
        <v/>
      </c>
      <c r="IE35" s="159" t="str">
        <f t="shared" ca="1" si="61"/>
        <v/>
      </c>
      <c r="IF35" s="159" t="str">
        <f t="shared" ca="1" si="62"/>
        <v/>
      </c>
      <c r="IG35" s="159" t="str">
        <f t="shared" ca="1" si="63"/>
        <v/>
      </c>
      <c r="IH35" s="159" t="str">
        <f t="shared" ca="1" si="64"/>
        <v/>
      </c>
    </row>
    <row r="36" spans="2:242" s="164" customFormat="1" ht="20.100000000000001" customHeight="1">
      <c r="B36" s="302"/>
      <c r="C36" s="319"/>
      <c r="D36" s="303" t="s">
        <v>585</v>
      </c>
      <c r="E36" s="305"/>
      <c r="F36" s="303" t="s">
        <v>455</v>
      </c>
      <c r="G36" s="306">
        <v>24.2</v>
      </c>
      <c r="H36" s="307">
        <v>2.4199999999999999E-2</v>
      </c>
      <c r="I36" s="308"/>
      <c r="J36" s="309"/>
      <c r="K36" s="310"/>
      <c r="L36" s="311"/>
      <c r="M36" s="311"/>
      <c r="N36" s="309"/>
      <c r="O36" s="310"/>
      <c r="P36" s="311"/>
      <c r="Q36" s="311"/>
      <c r="R36" s="309"/>
      <c r="S36" s="310"/>
      <c r="T36" s="311"/>
      <c r="U36" s="311"/>
      <c r="V36" s="309"/>
      <c r="W36" s="310"/>
      <c r="X36" s="311"/>
      <c r="Y36" s="311"/>
      <c r="Z36" s="309"/>
      <c r="AA36" s="310"/>
      <c r="AB36" s="311"/>
      <c r="AC36" s="311"/>
      <c r="AD36" s="309"/>
      <c r="AE36" s="310"/>
      <c r="AF36" s="311"/>
      <c r="AG36" s="311"/>
      <c r="AH36" s="309"/>
      <c r="AI36" s="310"/>
      <c r="AJ36" s="311"/>
      <c r="AK36" s="311"/>
      <c r="AL36" s="309"/>
      <c r="AM36" s="310"/>
      <c r="AN36" s="311"/>
      <c r="AO36" s="311"/>
      <c r="AP36" s="309"/>
      <c r="AQ36" s="310"/>
      <c r="AR36" s="311"/>
      <c r="AS36" s="311"/>
      <c r="AT36" s="309"/>
      <c r="AU36" s="310"/>
      <c r="AV36" s="311"/>
      <c r="AW36" s="311"/>
      <c r="AX36" s="309"/>
      <c r="AY36" s="310"/>
      <c r="AZ36" s="311"/>
      <c r="BA36" s="311"/>
      <c r="BB36" s="309"/>
      <c r="BC36" s="310"/>
      <c r="BD36" s="311"/>
      <c r="BE36" s="311"/>
      <c r="BF36" s="309"/>
      <c r="BG36" s="310"/>
      <c r="BH36" s="311"/>
      <c r="BI36" s="311"/>
      <c r="BJ36" s="309"/>
      <c r="BK36" s="310"/>
      <c r="BL36" s="311"/>
      <c r="BM36" s="311"/>
      <c r="BN36" s="309"/>
      <c r="BO36" s="310"/>
      <c r="BP36" s="311"/>
      <c r="BQ36" s="311"/>
      <c r="BR36" s="309"/>
      <c r="BS36" s="310"/>
      <c r="BT36" s="311"/>
      <c r="BU36" s="311"/>
      <c r="BV36" s="309"/>
      <c r="BW36" s="310"/>
      <c r="BX36" s="311"/>
      <c r="BY36" s="311"/>
      <c r="BZ36" s="309"/>
      <c r="CA36" s="310"/>
      <c r="CB36" s="311"/>
      <c r="CC36" s="311"/>
      <c r="CD36" s="309"/>
      <c r="CE36" s="310"/>
      <c r="CF36" s="311"/>
      <c r="CG36" s="311"/>
      <c r="CH36" s="309"/>
      <c r="CI36" s="310"/>
      <c r="CJ36" s="311"/>
      <c r="CK36" s="311"/>
      <c r="CL36" s="309"/>
      <c r="CM36" s="310"/>
      <c r="CN36" s="311"/>
      <c r="CO36" s="311"/>
      <c r="CP36" s="309"/>
      <c r="CQ36" s="310"/>
      <c r="CR36" s="311"/>
      <c r="CS36" s="311"/>
      <c r="CT36" s="309"/>
      <c r="CU36" s="310"/>
      <c r="CV36" s="311"/>
      <c r="CW36" s="311"/>
      <c r="CX36" s="309"/>
      <c r="CY36" s="310"/>
      <c r="CZ36" s="311"/>
      <c r="DA36" s="311"/>
      <c r="DB36" s="309"/>
      <c r="DC36" s="310"/>
      <c r="DD36" s="311"/>
      <c r="DE36" s="311"/>
      <c r="DF36" s="309"/>
      <c r="DG36" s="310"/>
      <c r="DH36" s="311"/>
      <c r="DI36" s="311"/>
      <c r="DJ36" s="309"/>
      <c r="DK36" s="310"/>
      <c r="DL36" s="311"/>
      <c r="DM36" s="311"/>
      <c r="DN36" s="309"/>
      <c r="DO36" s="310"/>
      <c r="DP36" s="311"/>
      <c r="DQ36" s="311"/>
      <c r="DR36" s="309"/>
      <c r="DS36" s="310"/>
      <c r="DT36" s="311"/>
      <c r="DU36" s="311"/>
      <c r="DV36" s="309"/>
      <c r="DW36" s="310"/>
      <c r="DX36" s="311"/>
      <c r="DY36" s="311"/>
      <c r="DZ36" s="309"/>
      <c r="EA36" s="310"/>
      <c r="EB36" s="311"/>
      <c r="EC36" s="311"/>
      <c r="ED36" s="309"/>
      <c r="EE36" s="310"/>
      <c r="EF36" s="311"/>
      <c r="EG36" s="311"/>
      <c r="EH36" s="309"/>
      <c r="EI36" s="310"/>
      <c r="EJ36" s="311"/>
      <c r="EK36" s="311"/>
      <c r="EL36" s="309"/>
      <c r="EM36" s="310"/>
      <c r="EN36" s="311"/>
      <c r="EO36" s="311"/>
      <c r="EP36" s="309"/>
      <c r="EQ36" s="310"/>
      <c r="ER36" s="311"/>
      <c r="ES36" s="311"/>
      <c r="ET36" s="309"/>
      <c r="EU36" s="310"/>
      <c r="EV36" s="311"/>
      <c r="EW36" s="311"/>
      <c r="EX36" s="309"/>
      <c r="EY36" s="310"/>
      <c r="EZ36" s="311"/>
      <c r="FA36" s="311"/>
      <c r="FB36" s="309"/>
      <c r="FC36" s="310"/>
      <c r="FD36" s="311"/>
      <c r="FE36" s="311"/>
      <c r="FF36" s="309"/>
      <c r="FG36" s="310"/>
      <c r="FH36" s="311"/>
      <c r="FI36" s="311"/>
      <c r="FJ36" s="309"/>
      <c r="FK36" s="310"/>
      <c r="FL36" s="311"/>
      <c r="FM36" s="311"/>
      <c r="FN36" s="309"/>
      <c r="FO36" s="310"/>
      <c r="FP36" s="311"/>
      <c r="FQ36" s="311"/>
      <c r="FR36" s="309"/>
      <c r="FS36" s="310"/>
      <c r="FT36" s="311"/>
      <c r="FU36" s="311"/>
      <c r="FV36" s="309"/>
      <c r="FW36" s="310"/>
      <c r="FX36" s="311"/>
      <c r="FY36" s="311"/>
      <c r="FZ36" s="309"/>
      <c r="GA36" s="310"/>
      <c r="GB36" s="311"/>
      <c r="GC36" s="311"/>
      <c r="GD36" s="309"/>
      <c r="GE36" s="310"/>
      <c r="GF36" s="311"/>
      <c r="GG36" s="311"/>
      <c r="GH36" s="309"/>
      <c r="GI36" s="310"/>
      <c r="GJ36" s="311"/>
      <c r="GK36" s="311"/>
      <c r="GL36" s="309"/>
      <c r="GM36" s="310"/>
      <c r="GN36" s="311"/>
      <c r="GO36" s="311"/>
      <c r="GP36" s="309"/>
      <c r="GQ36" s="310"/>
      <c r="GR36" s="311"/>
      <c r="GS36" s="311"/>
      <c r="GT36" s="309"/>
      <c r="GU36" s="310"/>
      <c r="GV36" s="311"/>
      <c r="GW36" s="311"/>
      <c r="GX36" s="309"/>
      <c r="GY36" s="310"/>
      <c r="GZ36" s="311"/>
      <c r="HA36" s="311"/>
      <c r="HB36" s="309"/>
      <c r="HC36" s="312">
        <f t="shared" si="66"/>
        <v>0</v>
      </c>
      <c r="HD36" s="313">
        <f t="shared" si="66"/>
        <v>0</v>
      </c>
      <c r="HE36" s="313">
        <f t="shared" si="66"/>
        <v>0</v>
      </c>
      <c r="HF36" s="314"/>
      <c r="HG36" s="312">
        <f>SUM(SUMIFS(K36:HB36,$K$13:$HB$13,{"エネルギー管理指定工場等*","県域*"}))</f>
        <v>0</v>
      </c>
      <c r="HH36" s="313">
        <f>SUM(SUMIFS(L36:HC36,$K$13:$HB$13,{"エネルギー管理指定工場等*","県域*"}))</f>
        <v>0</v>
      </c>
      <c r="HI36" s="313">
        <f>SUM(SUMIFS(M36:HD36,$K$13:$HB$13,{"エネルギー管理指定工場等*","県域*"}))</f>
        <v>0</v>
      </c>
      <c r="HJ36" s="314"/>
      <c r="HL36" s="230">
        <v>27</v>
      </c>
      <c r="HM36" s="714" t="str">
        <f t="shared" ca="1" si="49"/>
        <v/>
      </c>
      <c r="HN36" s="715" t="str">
        <f ca="1">IF(COUNTIF(HN$10:HN35,OFFSET(A1_原単位2025,5,HL36+2))&gt;=1,"",OFFSET(A1_原単位2025,5,HL36+2)&amp;"")</f>
        <v/>
      </c>
      <c r="HO36" s="716" t="str">
        <f t="shared" ca="1" si="50"/>
        <v/>
      </c>
      <c r="HP36" s="717" t="str">
        <f t="shared" ca="1" si="51"/>
        <v/>
      </c>
      <c r="HQ36" s="714" t="str">
        <f t="shared" ca="1" si="52"/>
        <v/>
      </c>
      <c r="HR36" s="715" t="str">
        <f ca="1">IF(COUNTIF(HR$10:HR35,OFFSET(A1_原単位2025,17,HL36+2))&gt;=1,"",OFFSET(A1_原単位2025,17,HL36+2)&amp;"")</f>
        <v/>
      </c>
      <c r="HS36" s="718" t="str">
        <f t="shared" ca="1" si="53"/>
        <v/>
      </c>
      <c r="HT36" s="719" t="str">
        <f t="shared" ca="1" si="54"/>
        <v/>
      </c>
      <c r="HU36" s="714" t="str">
        <f t="shared" ca="1" si="55"/>
        <v/>
      </c>
      <c r="HV36" s="715" t="str">
        <f ca="1">IF(COUNTIF(HV$10:HV35,OFFSET(A1_原単位2025,29,HL36+2))&gt;=1,"",OFFSET(A1_原単位2025,29,HL36+2)&amp;"")</f>
        <v/>
      </c>
      <c r="HW36" s="718" t="str">
        <f t="shared" ca="1" si="56"/>
        <v/>
      </c>
      <c r="HX36" s="719" t="str">
        <f t="shared" ca="1" si="57"/>
        <v/>
      </c>
      <c r="HY36" s="714" t="str">
        <f t="shared" ca="1" si="58"/>
        <v/>
      </c>
      <c r="HZ36" s="715" t="str">
        <f ca="1">IF(COUNTIF(HZ$10:HZ35,OFFSET(A1_原単位2025,41,HL36+2))&gt;=1,"",OFFSET(A1_原単位2025,41,HL36+2)&amp;"")</f>
        <v/>
      </c>
      <c r="IA36" s="720" t="str">
        <f t="shared" ca="1" si="59"/>
        <v/>
      </c>
      <c r="IB36" s="721" t="str">
        <f t="shared" ca="1" si="60"/>
        <v/>
      </c>
      <c r="IE36" s="159" t="str">
        <f t="shared" ca="1" si="61"/>
        <v/>
      </c>
      <c r="IF36" s="159" t="str">
        <f t="shared" ca="1" si="62"/>
        <v/>
      </c>
      <c r="IG36" s="159" t="str">
        <f t="shared" ca="1" si="63"/>
        <v/>
      </c>
      <c r="IH36" s="159" t="str">
        <f t="shared" ca="1" si="64"/>
        <v/>
      </c>
    </row>
    <row r="37" spans="2:242" s="164" customFormat="1" ht="20.100000000000001" customHeight="1">
      <c r="B37" s="302"/>
      <c r="C37" s="318"/>
      <c r="D37" s="303" t="s">
        <v>586</v>
      </c>
      <c r="E37" s="305"/>
      <c r="F37" s="303" t="s">
        <v>455</v>
      </c>
      <c r="G37" s="306">
        <v>27.8</v>
      </c>
      <c r="H37" s="307">
        <v>2.5899999999999999E-2</v>
      </c>
      <c r="I37" s="308"/>
      <c r="J37" s="309"/>
      <c r="K37" s="310"/>
      <c r="L37" s="311"/>
      <c r="M37" s="311"/>
      <c r="N37" s="309"/>
      <c r="O37" s="310"/>
      <c r="P37" s="311"/>
      <c r="Q37" s="311"/>
      <c r="R37" s="309"/>
      <c r="S37" s="310"/>
      <c r="T37" s="311"/>
      <c r="U37" s="311"/>
      <c r="V37" s="309"/>
      <c r="W37" s="310"/>
      <c r="X37" s="311"/>
      <c r="Y37" s="311"/>
      <c r="Z37" s="309"/>
      <c r="AA37" s="310"/>
      <c r="AB37" s="311"/>
      <c r="AC37" s="311"/>
      <c r="AD37" s="309"/>
      <c r="AE37" s="310"/>
      <c r="AF37" s="311"/>
      <c r="AG37" s="311"/>
      <c r="AH37" s="309"/>
      <c r="AI37" s="310"/>
      <c r="AJ37" s="311"/>
      <c r="AK37" s="311"/>
      <c r="AL37" s="309"/>
      <c r="AM37" s="310"/>
      <c r="AN37" s="311"/>
      <c r="AO37" s="311"/>
      <c r="AP37" s="309"/>
      <c r="AQ37" s="310"/>
      <c r="AR37" s="311"/>
      <c r="AS37" s="311"/>
      <c r="AT37" s="309"/>
      <c r="AU37" s="310"/>
      <c r="AV37" s="311"/>
      <c r="AW37" s="311"/>
      <c r="AX37" s="309"/>
      <c r="AY37" s="310"/>
      <c r="AZ37" s="311"/>
      <c r="BA37" s="311"/>
      <c r="BB37" s="309"/>
      <c r="BC37" s="310"/>
      <c r="BD37" s="311"/>
      <c r="BE37" s="311"/>
      <c r="BF37" s="309"/>
      <c r="BG37" s="310"/>
      <c r="BH37" s="311"/>
      <c r="BI37" s="311"/>
      <c r="BJ37" s="309"/>
      <c r="BK37" s="310"/>
      <c r="BL37" s="311"/>
      <c r="BM37" s="311"/>
      <c r="BN37" s="309"/>
      <c r="BO37" s="310"/>
      <c r="BP37" s="311"/>
      <c r="BQ37" s="311"/>
      <c r="BR37" s="309"/>
      <c r="BS37" s="310"/>
      <c r="BT37" s="311"/>
      <c r="BU37" s="311"/>
      <c r="BV37" s="309"/>
      <c r="BW37" s="310"/>
      <c r="BX37" s="311"/>
      <c r="BY37" s="311"/>
      <c r="BZ37" s="309"/>
      <c r="CA37" s="310"/>
      <c r="CB37" s="311"/>
      <c r="CC37" s="311"/>
      <c r="CD37" s="309"/>
      <c r="CE37" s="310"/>
      <c r="CF37" s="311"/>
      <c r="CG37" s="311"/>
      <c r="CH37" s="309"/>
      <c r="CI37" s="310"/>
      <c r="CJ37" s="311"/>
      <c r="CK37" s="311"/>
      <c r="CL37" s="309"/>
      <c r="CM37" s="310"/>
      <c r="CN37" s="311"/>
      <c r="CO37" s="311"/>
      <c r="CP37" s="309"/>
      <c r="CQ37" s="310"/>
      <c r="CR37" s="311"/>
      <c r="CS37" s="311"/>
      <c r="CT37" s="309"/>
      <c r="CU37" s="310"/>
      <c r="CV37" s="311"/>
      <c r="CW37" s="311"/>
      <c r="CX37" s="309"/>
      <c r="CY37" s="310"/>
      <c r="CZ37" s="311"/>
      <c r="DA37" s="311"/>
      <c r="DB37" s="309"/>
      <c r="DC37" s="310"/>
      <c r="DD37" s="311"/>
      <c r="DE37" s="311"/>
      <c r="DF37" s="309"/>
      <c r="DG37" s="310"/>
      <c r="DH37" s="311"/>
      <c r="DI37" s="311"/>
      <c r="DJ37" s="309"/>
      <c r="DK37" s="310"/>
      <c r="DL37" s="311"/>
      <c r="DM37" s="311"/>
      <c r="DN37" s="309"/>
      <c r="DO37" s="310"/>
      <c r="DP37" s="311"/>
      <c r="DQ37" s="311"/>
      <c r="DR37" s="309"/>
      <c r="DS37" s="310"/>
      <c r="DT37" s="311"/>
      <c r="DU37" s="311"/>
      <c r="DV37" s="309"/>
      <c r="DW37" s="310"/>
      <c r="DX37" s="311"/>
      <c r="DY37" s="311"/>
      <c r="DZ37" s="309"/>
      <c r="EA37" s="310"/>
      <c r="EB37" s="311"/>
      <c r="EC37" s="311"/>
      <c r="ED37" s="309"/>
      <c r="EE37" s="310"/>
      <c r="EF37" s="311"/>
      <c r="EG37" s="311"/>
      <c r="EH37" s="309"/>
      <c r="EI37" s="310"/>
      <c r="EJ37" s="311"/>
      <c r="EK37" s="311"/>
      <c r="EL37" s="309"/>
      <c r="EM37" s="310"/>
      <c r="EN37" s="311"/>
      <c r="EO37" s="311"/>
      <c r="EP37" s="309"/>
      <c r="EQ37" s="310"/>
      <c r="ER37" s="311"/>
      <c r="ES37" s="311"/>
      <c r="ET37" s="309"/>
      <c r="EU37" s="310"/>
      <c r="EV37" s="311"/>
      <c r="EW37" s="311"/>
      <c r="EX37" s="309"/>
      <c r="EY37" s="310"/>
      <c r="EZ37" s="311"/>
      <c r="FA37" s="311"/>
      <c r="FB37" s="309"/>
      <c r="FC37" s="310"/>
      <c r="FD37" s="311"/>
      <c r="FE37" s="311"/>
      <c r="FF37" s="309"/>
      <c r="FG37" s="310"/>
      <c r="FH37" s="311"/>
      <c r="FI37" s="311"/>
      <c r="FJ37" s="309"/>
      <c r="FK37" s="310"/>
      <c r="FL37" s="311"/>
      <c r="FM37" s="311"/>
      <c r="FN37" s="309"/>
      <c r="FO37" s="310"/>
      <c r="FP37" s="311"/>
      <c r="FQ37" s="311"/>
      <c r="FR37" s="309"/>
      <c r="FS37" s="310"/>
      <c r="FT37" s="311"/>
      <c r="FU37" s="311"/>
      <c r="FV37" s="309"/>
      <c r="FW37" s="310"/>
      <c r="FX37" s="311"/>
      <c r="FY37" s="311"/>
      <c r="FZ37" s="309"/>
      <c r="GA37" s="310"/>
      <c r="GB37" s="311"/>
      <c r="GC37" s="311"/>
      <c r="GD37" s="309"/>
      <c r="GE37" s="310"/>
      <c r="GF37" s="311"/>
      <c r="GG37" s="311"/>
      <c r="GH37" s="309"/>
      <c r="GI37" s="310"/>
      <c r="GJ37" s="311"/>
      <c r="GK37" s="311"/>
      <c r="GL37" s="309"/>
      <c r="GM37" s="310"/>
      <c r="GN37" s="311"/>
      <c r="GO37" s="311"/>
      <c r="GP37" s="309"/>
      <c r="GQ37" s="310"/>
      <c r="GR37" s="311"/>
      <c r="GS37" s="311"/>
      <c r="GT37" s="309"/>
      <c r="GU37" s="310"/>
      <c r="GV37" s="311"/>
      <c r="GW37" s="311"/>
      <c r="GX37" s="309"/>
      <c r="GY37" s="310"/>
      <c r="GZ37" s="311"/>
      <c r="HA37" s="311"/>
      <c r="HB37" s="309"/>
      <c r="HC37" s="312">
        <f t="shared" si="66"/>
        <v>0</v>
      </c>
      <c r="HD37" s="313">
        <f t="shared" si="66"/>
        <v>0</v>
      </c>
      <c r="HE37" s="313">
        <f t="shared" si="66"/>
        <v>0</v>
      </c>
      <c r="HF37" s="314"/>
      <c r="HG37" s="312">
        <f>SUM(SUMIFS(K37:HB37,$K$13:$HB$13,{"エネルギー管理指定工場等*","県域*"}))</f>
        <v>0</v>
      </c>
      <c r="HH37" s="313">
        <f>SUM(SUMIFS(L37:HC37,$K$13:$HB$13,{"エネルギー管理指定工場等*","県域*"}))</f>
        <v>0</v>
      </c>
      <c r="HI37" s="313">
        <f>SUM(SUMIFS(M37:HD37,$K$13:$HB$13,{"エネルギー管理指定工場等*","県域*"}))</f>
        <v>0</v>
      </c>
      <c r="HJ37" s="314"/>
      <c r="HL37" s="219">
        <v>28</v>
      </c>
      <c r="HM37" s="714" t="str">
        <f t="shared" ca="1" si="49"/>
        <v/>
      </c>
      <c r="HN37" s="715" t="str">
        <f ca="1">IF(COUNTIF(HN$10:HN36,OFFSET(A1_原単位2025,5,HL37+2))&gt;=1,"",OFFSET(A1_原単位2025,5,HL37+2)&amp;"")</f>
        <v/>
      </c>
      <c r="HO37" s="716" t="str">
        <f t="shared" ca="1" si="50"/>
        <v/>
      </c>
      <c r="HP37" s="717" t="str">
        <f t="shared" ca="1" si="51"/>
        <v/>
      </c>
      <c r="HQ37" s="714" t="str">
        <f t="shared" ca="1" si="52"/>
        <v/>
      </c>
      <c r="HR37" s="715" t="str">
        <f ca="1">IF(COUNTIF(HR$10:HR36,OFFSET(A1_原単位2025,17,HL37+2))&gt;=1,"",OFFSET(A1_原単位2025,17,HL37+2)&amp;"")</f>
        <v/>
      </c>
      <c r="HS37" s="718" t="str">
        <f t="shared" ca="1" si="53"/>
        <v/>
      </c>
      <c r="HT37" s="719" t="str">
        <f t="shared" ca="1" si="54"/>
        <v/>
      </c>
      <c r="HU37" s="714" t="str">
        <f t="shared" ca="1" si="55"/>
        <v/>
      </c>
      <c r="HV37" s="715" t="str">
        <f ca="1">IF(COUNTIF(HV$10:HV36,OFFSET(A1_原単位2025,29,HL37+2))&gt;=1,"",OFFSET(A1_原単位2025,29,HL37+2)&amp;"")</f>
        <v/>
      </c>
      <c r="HW37" s="718" t="str">
        <f t="shared" ca="1" si="56"/>
        <v/>
      </c>
      <c r="HX37" s="719" t="str">
        <f t="shared" ca="1" si="57"/>
        <v/>
      </c>
      <c r="HY37" s="714" t="str">
        <f t="shared" ca="1" si="58"/>
        <v/>
      </c>
      <c r="HZ37" s="715" t="str">
        <f ca="1">IF(COUNTIF(HZ$10:HZ36,OFFSET(A1_原単位2025,41,HL37+2))&gt;=1,"",OFFSET(A1_原単位2025,41,HL37+2)&amp;"")</f>
        <v/>
      </c>
      <c r="IA37" s="720" t="str">
        <f t="shared" ca="1" si="59"/>
        <v/>
      </c>
      <c r="IB37" s="721" t="str">
        <f t="shared" ca="1" si="60"/>
        <v/>
      </c>
      <c r="IE37" s="159" t="str">
        <f t="shared" ca="1" si="61"/>
        <v/>
      </c>
      <c r="IF37" s="159" t="str">
        <f t="shared" ca="1" si="62"/>
        <v/>
      </c>
      <c r="IG37" s="159" t="str">
        <f t="shared" ca="1" si="63"/>
        <v/>
      </c>
      <c r="IH37" s="159" t="str">
        <f t="shared" ca="1" si="64"/>
        <v/>
      </c>
    </row>
    <row r="38" spans="2:242" s="164" customFormat="1" ht="20.100000000000001" customHeight="1">
      <c r="B38" s="302"/>
      <c r="C38" s="303" t="s">
        <v>370</v>
      </c>
      <c r="D38" s="304"/>
      <c r="E38" s="305"/>
      <c r="F38" s="303" t="s">
        <v>455</v>
      </c>
      <c r="G38" s="316">
        <v>29</v>
      </c>
      <c r="H38" s="307">
        <v>2.9899999999999999E-2</v>
      </c>
      <c r="I38" s="308"/>
      <c r="J38" s="309"/>
      <c r="K38" s="310"/>
      <c r="L38" s="311"/>
      <c r="M38" s="311"/>
      <c r="N38" s="309"/>
      <c r="O38" s="310"/>
      <c r="P38" s="311"/>
      <c r="Q38" s="311"/>
      <c r="R38" s="309"/>
      <c r="S38" s="310"/>
      <c r="T38" s="311"/>
      <c r="U38" s="311"/>
      <c r="V38" s="309"/>
      <c r="W38" s="310"/>
      <c r="X38" s="311"/>
      <c r="Y38" s="311"/>
      <c r="Z38" s="309"/>
      <c r="AA38" s="310"/>
      <c r="AB38" s="311"/>
      <c r="AC38" s="311"/>
      <c r="AD38" s="309"/>
      <c r="AE38" s="310"/>
      <c r="AF38" s="311"/>
      <c r="AG38" s="311"/>
      <c r="AH38" s="309"/>
      <c r="AI38" s="310"/>
      <c r="AJ38" s="311"/>
      <c r="AK38" s="311"/>
      <c r="AL38" s="309"/>
      <c r="AM38" s="310"/>
      <c r="AN38" s="311"/>
      <c r="AO38" s="311"/>
      <c r="AP38" s="309"/>
      <c r="AQ38" s="310"/>
      <c r="AR38" s="311"/>
      <c r="AS38" s="311"/>
      <c r="AT38" s="309"/>
      <c r="AU38" s="310"/>
      <c r="AV38" s="311"/>
      <c r="AW38" s="311"/>
      <c r="AX38" s="309"/>
      <c r="AY38" s="310"/>
      <c r="AZ38" s="311"/>
      <c r="BA38" s="311"/>
      <c r="BB38" s="309"/>
      <c r="BC38" s="310"/>
      <c r="BD38" s="311"/>
      <c r="BE38" s="311"/>
      <c r="BF38" s="309"/>
      <c r="BG38" s="310"/>
      <c r="BH38" s="311"/>
      <c r="BI38" s="311"/>
      <c r="BJ38" s="309"/>
      <c r="BK38" s="310"/>
      <c r="BL38" s="311"/>
      <c r="BM38" s="311"/>
      <c r="BN38" s="309"/>
      <c r="BO38" s="310"/>
      <c r="BP38" s="311"/>
      <c r="BQ38" s="311"/>
      <c r="BR38" s="309"/>
      <c r="BS38" s="310"/>
      <c r="BT38" s="311"/>
      <c r="BU38" s="311"/>
      <c r="BV38" s="309"/>
      <c r="BW38" s="310"/>
      <c r="BX38" s="311"/>
      <c r="BY38" s="311"/>
      <c r="BZ38" s="309"/>
      <c r="CA38" s="310"/>
      <c r="CB38" s="311"/>
      <c r="CC38" s="311"/>
      <c r="CD38" s="309"/>
      <c r="CE38" s="310"/>
      <c r="CF38" s="311"/>
      <c r="CG38" s="311"/>
      <c r="CH38" s="309"/>
      <c r="CI38" s="310"/>
      <c r="CJ38" s="311"/>
      <c r="CK38" s="311"/>
      <c r="CL38" s="309"/>
      <c r="CM38" s="310"/>
      <c r="CN38" s="311"/>
      <c r="CO38" s="311"/>
      <c r="CP38" s="309"/>
      <c r="CQ38" s="310"/>
      <c r="CR38" s="311"/>
      <c r="CS38" s="311"/>
      <c r="CT38" s="309"/>
      <c r="CU38" s="310"/>
      <c r="CV38" s="311"/>
      <c r="CW38" s="311"/>
      <c r="CX38" s="309"/>
      <c r="CY38" s="310"/>
      <c r="CZ38" s="311"/>
      <c r="DA38" s="311"/>
      <c r="DB38" s="309"/>
      <c r="DC38" s="310"/>
      <c r="DD38" s="311"/>
      <c r="DE38" s="311"/>
      <c r="DF38" s="309"/>
      <c r="DG38" s="310"/>
      <c r="DH38" s="311"/>
      <c r="DI38" s="311"/>
      <c r="DJ38" s="309"/>
      <c r="DK38" s="310"/>
      <c r="DL38" s="311"/>
      <c r="DM38" s="311"/>
      <c r="DN38" s="309"/>
      <c r="DO38" s="310"/>
      <c r="DP38" s="311"/>
      <c r="DQ38" s="311"/>
      <c r="DR38" s="309"/>
      <c r="DS38" s="310"/>
      <c r="DT38" s="311"/>
      <c r="DU38" s="311"/>
      <c r="DV38" s="309"/>
      <c r="DW38" s="310"/>
      <c r="DX38" s="311"/>
      <c r="DY38" s="311"/>
      <c r="DZ38" s="309"/>
      <c r="EA38" s="310"/>
      <c r="EB38" s="311"/>
      <c r="EC38" s="311"/>
      <c r="ED38" s="309"/>
      <c r="EE38" s="310"/>
      <c r="EF38" s="311"/>
      <c r="EG38" s="311"/>
      <c r="EH38" s="309"/>
      <c r="EI38" s="310"/>
      <c r="EJ38" s="311"/>
      <c r="EK38" s="311"/>
      <c r="EL38" s="309"/>
      <c r="EM38" s="310"/>
      <c r="EN38" s="311"/>
      <c r="EO38" s="311"/>
      <c r="EP38" s="309"/>
      <c r="EQ38" s="310"/>
      <c r="ER38" s="311"/>
      <c r="ES38" s="311"/>
      <c r="ET38" s="309"/>
      <c r="EU38" s="310"/>
      <c r="EV38" s="311"/>
      <c r="EW38" s="311"/>
      <c r="EX38" s="309"/>
      <c r="EY38" s="310"/>
      <c r="EZ38" s="311"/>
      <c r="FA38" s="311"/>
      <c r="FB38" s="309"/>
      <c r="FC38" s="310"/>
      <c r="FD38" s="311"/>
      <c r="FE38" s="311"/>
      <c r="FF38" s="309"/>
      <c r="FG38" s="310"/>
      <c r="FH38" s="311"/>
      <c r="FI38" s="311"/>
      <c r="FJ38" s="309"/>
      <c r="FK38" s="310"/>
      <c r="FL38" s="311"/>
      <c r="FM38" s="311"/>
      <c r="FN38" s="309"/>
      <c r="FO38" s="310"/>
      <c r="FP38" s="311"/>
      <c r="FQ38" s="311"/>
      <c r="FR38" s="309"/>
      <c r="FS38" s="310"/>
      <c r="FT38" s="311"/>
      <c r="FU38" s="311"/>
      <c r="FV38" s="309"/>
      <c r="FW38" s="310"/>
      <c r="FX38" s="311"/>
      <c r="FY38" s="311"/>
      <c r="FZ38" s="309"/>
      <c r="GA38" s="310"/>
      <c r="GB38" s="311"/>
      <c r="GC38" s="311"/>
      <c r="GD38" s="309"/>
      <c r="GE38" s="310"/>
      <c r="GF38" s="311"/>
      <c r="GG38" s="311"/>
      <c r="GH38" s="309"/>
      <c r="GI38" s="310"/>
      <c r="GJ38" s="311"/>
      <c r="GK38" s="311"/>
      <c r="GL38" s="309"/>
      <c r="GM38" s="310"/>
      <c r="GN38" s="311"/>
      <c r="GO38" s="311"/>
      <c r="GP38" s="309"/>
      <c r="GQ38" s="310"/>
      <c r="GR38" s="311"/>
      <c r="GS38" s="311"/>
      <c r="GT38" s="309"/>
      <c r="GU38" s="310"/>
      <c r="GV38" s="311"/>
      <c r="GW38" s="311"/>
      <c r="GX38" s="309"/>
      <c r="GY38" s="310"/>
      <c r="GZ38" s="311"/>
      <c r="HA38" s="311"/>
      <c r="HB38" s="309"/>
      <c r="HC38" s="312">
        <f t="shared" si="66"/>
        <v>0</v>
      </c>
      <c r="HD38" s="313">
        <f t="shared" si="66"/>
        <v>0</v>
      </c>
      <c r="HE38" s="313">
        <f t="shared" si="66"/>
        <v>0</v>
      </c>
      <c r="HF38" s="314"/>
      <c r="HG38" s="312">
        <f>SUM(SUMIFS(K38:HB38,$K$13:$HB$13,{"エネルギー管理指定工場等*","県域*"}))</f>
        <v>0</v>
      </c>
      <c r="HH38" s="313">
        <f>SUM(SUMIFS(L38:HC38,$K$13:$HB$13,{"エネルギー管理指定工場等*","県域*"}))</f>
        <v>0</v>
      </c>
      <c r="HI38" s="313">
        <f>SUM(SUMIFS(M38:HD38,$K$13:$HB$13,{"エネルギー管理指定工場等*","県域*"}))</f>
        <v>0</v>
      </c>
      <c r="HJ38" s="314"/>
      <c r="HL38" s="219">
        <v>29</v>
      </c>
      <c r="HM38" s="714" t="str">
        <f t="shared" ca="1" si="49"/>
        <v/>
      </c>
      <c r="HN38" s="715" t="str">
        <f ca="1">IF(COUNTIF(HN$10:HN37,OFFSET(A1_原単位2025,5,HL38+2))&gt;=1,"",OFFSET(A1_原単位2025,5,HL38+2)&amp;"")</f>
        <v/>
      </c>
      <c r="HO38" s="716" t="str">
        <f t="shared" ca="1" si="50"/>
        <v/>
      </c>
      <c r="HP38" s="717" t="str">
        <f t="shared" ca="1" si="51"/>
        <v/>
      </c>
      <c r="HQ38" s="714" t="str">
        <f t="shared" ca="1" si="52"/>
        <v/>
      </c>
      <c r="HR38" s="715" t="str">
        <f ca="1">IF(COUNTIF(HR$10:HR37,OFFSET(A1_原単位2025,17,HL38+2))&gt;=1,"",OFFSET(A1_原単位2025,17,HL38+2)&amp;"")</f>
        <v/>
      </c>
      <c r="HS38" s="718" t="str">
        <f t="shared" ca="1" si="53"/>
        <v/>
      </c>
      <c r="HT38" s="719" t="str">
        <f t="shared" ca="1" si="54"/>
        <v/>
      </c>
      <c r="HU38" s="714" t="str">
        <f t="shared" ca="1" si="55"/>
        <v/>
      </c>
      <c r="HV38" s="715" t="str">
        <f ca="1">IF(COUNTIF(HV$10:HV37,OFFSET(A1_原単位2025,29,HL38+2))&gt;=1,"",OFFSET(A1_原単位2025,29,HL38+2)&amp;"")</f>
        <v/>
      </c>
      <c r="HW38" s="718" t="str">
        <f t="shared" ca="1" si="56"/>
        <v/>
      </c>
      <c r="HX38" s="719" t="str">
        <f t="shared" ca="1" si="57"/>
        <v/>
      </c>
      <c r="HY38" s="714" t="str">
        <f t="shared" ca="1" si="58"/>
        <v/>
      </c>
      <c r="HZ38" s="715" t="str">
        <f ca="1">IF(COUNTIF(HZ$10:HZ37,OFFSET(A1_原単位2025,41,HL38+2))&gt;=1,"",OFFSET(A1_原単位2025,41,HL38+2)&amp;"")</f>
        <v/>
      </c>
      <c r="IA38" s="720" t="str">
        <f t="shared" ca="1" si="59"/>
        <v/>
      </c>
      <c r="IB38" s="721" t="str">
        <f t="shared" ca="1" si="60"/>
        <v/>
      </c>
      <c r="IE38" s="159" t="str">
        <f t="shared" ca="1" si="61"/>
        <v/>
      </c>
      <c r="IF38" s="159" t="str">
        <f t="shared" ca="1" si="62"/>
        <v/>
      </c>
      <c r="IG38" s="159" t="str">
        <f t="shared" ca="1" si="63"/>
        <v/>
      </c>
      <c r="IH38" s="159" t="str">
        <f t="shared" ca="1" si="64"/>
        <v/>
      </c>
    </row>
    <row r="39" spans="2:242" s="164" customFormat="1" ht="20.100000000000001" customHeight="1">
      <c r="B39" s="302"/>
      <c r="C39" s="303" t="s">
        <v>371</v>
      </c>
      <c r="D39" s="304"/>
      <c r="E39" s="305"/>
      <c r="F39" s="303" t="s">
        <v>455</v>
      </c>
      <c r="G39" s="306">
        <v>37.299999999999997</v>
      </c>
      <c r="H39" s="307">
        <v>2.0899999999999998E-2</v>
      </c>
      <c r="I39" s="308"/>
      <c r="J39" s="309"/>
      <c r="K39" s="310"/>
      <c r="L39" s="311"/>
      <c r="M39" s="311"/>
      <c r="N39" s="309"/>
      <c r="O39" s="310"/>
      <c r="P39" s="311"/>
      <c r="Q39" s="311"/>
      <c r="R39" s="309"/>
      <c r="S39" s="310"/>
      <c r="T39" s="311"/>
      <c r="U39" s="311"/>
      <c r="V39" s="309"/>
      <c r="W39" s="310"/>
      <c r="X39" s="311"/>
      <c r="Y39" s="311"/>
      <c r="Z39" s="309"/>
      <c r="AA39" s="310"/>
      <c r="AB39" s="311"/>
      <c r="AC39" s="311"/>
      <c r="AD39" s="309"/>
      <c r="AE39" s="310"/>
      <c r="AF39" s="311"/>
      <c r="AG39" s="311"/>
      <c r="AH39" s="309"/>
      <c r="AI39" s="310"/>
      <c r="AJ39" s="311"/>
      <c r="AK39" s="311"/>
      <c r="AL39" s="309"/>
      <c r="AM39" s="310"/>
      <c r="AN39" s="311"/>
      <c r="AO39" s="311"/>
      <c r="AP39" s="309"/>
      <c r="AQ39" s="310"/>
      <c r="AR39" s="311"/>
      <c r="AS39" s="311"/>
      <c r="AT39" s="309"/>
      <c r="AU39" s="310"/>
      <c r="AV39" s="311"/>
      <c r="AW39" s="311"/>
      <c r="AX39" s="309"/>
      <c r="AY39" s="310"/>
      <c r="AZ39" s="311"/>
      <c r="BA39" s="311"/>
      <c r="BB39" s="309"/>
      <c r="BC39" s="310"/>
      <c r="BD39" s="311"/>
      <c r="BE39" s="311"/>
      <c r="BF39" s="309"/>
      <c r="BG39" s="310"/>
      <c r="BH39" s="311"/>
      <c r="BI39" s="311"/>
      <c r="BJ39" s="309"/>
      <c r="BK39" s="310"/>
      <c r="BL39" s="311"/>
      <c r="BM39" s="311"/>
      <c r="BN39" s="309"/>
      <c r="BO39" s="310"/>
      <c r="BP39" s="311"/>
      <c r="BQ39" s="311"/>
      <c r="BR39" s="309"/>
      <c r="BS39" s="310"/>
      <c r="BT39" s="311"/>
      <c r="BU39" s="311"/>
      <c r="BV39" s="309"/>
      <c r="BW39" s="310"/>
      <c r="BX39" s="311"/>
      <c r="BY39" s="311"/>
      <c r="BZ39" s="309"/>
      <c r="CA39" s="310"/>
      <c r="CB39" s="311"/>
      <c r="CC39" s="311"/>
      <c r="CD39" s="309"/>
      <c r="CE39" s="310"/>
      <c r="CF39" s="311"/>
      <c r="CG39" s="311"/>
      <c r="CH39" s="309"/>
      <c r="CI39" s="310"/>
      <c r="CJ39" s="311"/>
      <c r="CK39" s="311"/>
      <c r="CL39" s="309"/>
      <c r="CM39" s="310"/>
      <c r="CN39" s="311"/>
      <c r="CO39" s="311"/>
      <c r="CP39" s="309"/>
      <c r="CQ39" s="310"/>
      <c r="CR39" s="311"/>
      <c r="CS39" s="311"/>
      <c r="CT39" s="309"/>
      <c r="CU39" s="310"/>
      <c r="CV39" s="311"/>
      <c r="CW39" s="311"/>
      <c r="CX39" s="309"/>
      <c r="CY39" s="310"/>
      <c r="CZ39" s="311"/>
      <c r="DA39" s="311"/>
      <c r="DB39" s="309"/>
      <c r="DC39" s="310"/>
      <c r="DD39" s="311"/>
      <c r="DE39" s="311"/>
      <c r="DF39" s="309"/>
      <c r="DG39" s="310"/>
      <c r="DH39" s="311"/>
      <c r="DI39" s="311"/>
      <c r="DJ39" s="309"/>
      <c r="DK39" s="310"/>
      <c r="DL39" s="311"/>
      <c r="DM39" s="311"/>
      <c r="DN39" s="309"/>
      <c r="DO39" s="310"/>
      <c r="DP39" s="311"/>
      <c r="DQ39" s="311"/>
      <c r="DR39" s="309"/>
      <c r="DS39" s="310"/>
      <c r="DT39" s="311"/>
      <c r="DU39" s="311"/>
      <c r="DV39" s="309"/>
      <c r="DW39" s="310"/>
      <c r="DX39" s="311"/>
      <c r="DY39" s="311"/>
      <c r="DZ39" s="309"/>
      <c r="EA39" s="310"/>
      <c r="EB39" s="311"/>
      <c r="EC39" s="311"/>
      <c r="ED39" s="309"/>
      <c r="EE39" s="310"/>
      <c r="EF39" s="311"/>
      <c r="EG39" s="311"/>
      <c r="EH39" s="309"/>
      <c r="EI39" s="310"/>
      <c r="EJ39" s="311"/>
      <c r="EK39" s="311"/>
      <c r="EL39" s="309"/>
      <c r="EM39" s="310"/>
      <c r="EN39" s="311"/>
      <c r="EO39" s="311"/>
      <c r="EP39" s="309"/>
      <c r="EQ39" s="310"/>
      <c r="ER39" s="311"/>
      <c r="ES39" s="311"/>
      <c r="ET39" s="309"/>
      <c r="EU39" s="310"/>
      <c r="EV39" s="311"/>
      <c r="EW39" s="311"/>
      <c r="EX39" s="309"/>
      <c r="EY39" s="310"/>
      <c r="EZ39" s="311"/>
      <c r="FA39" s="311"/>
      <c r="FB39" s="309"/>
      <c r="FC39" s="310"/>
      <c r="FD39" s="311"/>
      <c r="FE39" s="311"/>
      <c r="FF39" s="309"/>
      <c r="FG39" s="310"/>
      <c r="FH39" s="311"/>
      <c r="FI39" s="311"/>
      <c r="FJ39" s="309"/>
      <c r="FK39" s="310"/>
      <c r="FL39" s="311"/>
      <c r="FM39" s="311"/>
      <c r="FN39" s="309"/>
      <c r="FO39" s="310"/>
      <c r="FP39" s="311"/>
      <c r="FQ39" s="311"/>
      <c r="FR39" s="309"/>
      <c r="FS39" s="310"/>
      <c r="FT39" s="311"/>
      <c r="FU39" s="311"/>
      <c r="FV39" s="309"/>
      <c r="FW39" s="310"/>
      <c r="FX39" s="311"/>
      <c r="FY39" s="311"/>
      <c r="FZ39" s="309"/>
      <c r="GA39" s="310"/>
      <c r="GB39" s="311"/>
      <c r="GC39" s="311"/>
      <c r="GD39" s="309"/>
      <c r="GE39" s="310"/>
      <c r="GF39" s="311"/>
      <c r="GG39" s="311"/>
      <c r="GH39" s="309"/>
      <c r="GI39" s="310"/>
      <c r="GJ39" s="311"/>
      <c r="GK39" s="311"/>
      <c r="GL39" s="309"/>
      <c r="GM39" s="310"/>
      <c r="GN39" s="311"/>
      <c r="GO39" s="311"/>
      <c r="GP39" s="309"/>
      <c r="GQ39" s="310"/>
      <c r="GR39" s="311"/>
      <c r="GS39" s="311"/>
      <c r="GT39" s="309"/>
      <c r="GU39" s="310"/>
      <c r="GV39" s="311"/>
      <c r="GW39" s="311"/>
      <c r="GX39" s="309"/>
      <c r="GY39" s="310"/>
      <c r="GZ39" s="311"/>
      <c r="HA39" s="311"/>
      <c r="HB39" s="309"/>
      <c r="HC39" s="312">
        <f t="shared" si="66"/>
        <v>0</v>
      </c>
      <c r="HD39" s="313">
        <f t="shared" si="66"/>
        <v>0</v>
      </c>
      <c r="HE39" s="313">
        <f t="shared" si="66"/>
        <v>0</v>
      </c>
      <c r="HF39" s="314"/>
      <c r="HG39" s="312">
        <f>SUM(SUMIFS(K39:HB39,$K$13:$HB$13,{"エネルギー管理指定工場等*","県域*"}))</f>
        <v>0</v>
      </c>
      <c r="HH39" s="313">
        <f>SUM(SUMIFS(L39:HC39,$K$13:$HB$13,{"エネルギー管理指定工場等*","県域*"}))</f>
        <v>0</v>
      </c>
      <c r="HI39" s="313">
        <f>SUM(SUMIFS(M39:HD39,$K$13:$HB$13,{"エネルギー管理指定工場等*","県域*"}))</f>
        <v>0</v>
      </c>
      <c r="HJ39" s="314"/>
      <c r="HL39" s="230">
        <v>30</v>
      </c>
      <c r="HM39" s="714" t="str">
        <f t="shared" ca="1" si="49"/>
        <v/>
      </c>
      <c r="HN39" s="715" t="str">
        <f ca="1">IF(COUNTIF(HN$10:HN38,OFFSET(A1_原単位2025,5,HL39+2))&gt;=1,"",OFFSET(A1_原単位2025,5,HL39+2)&amp;"")</f>
        <v/>
      </c>
      <c r="HO39" s="716" t="str">
        <f t="shared" ca="1" si="50"/>
        <v/>
      </c>
      <c r="HP39" s="717" t="str">
        <f t="shared" ca="1" si="51"/>
        <v/>
      </c>
      <c r="HQ39" s="714" t="str">
        <f t="shared" ca="1" si="52"/>
        <v/>
      </c>
      <c r="HR39" s="715" t="str">
        <f ca="1">IF(COUNTIF(HR$10:HR38,OFFSET(A1_原単位2025,17,HL39+2))&gt;=1,"",OFFSET(A1_原単位2025,17,HL39+2)&amp;"")</f>
        <v/>
      </c>
      <c r="HS39" s="718" t="str">
        <f t="shared" ca="1" si="53"/>
        <v/>
      </c>
      <c r="HT39" s="719" t="str">
        <f t="shared" ca="1" si="54"/>
        <v/>
      </c>
      <c r="HU39" s="714" t="str">
        <f t="shared" ca="1" si="55"/>
        <v/>
      </c>
      <c r="HV39" s="715" t="str">
        <f ca="1">IF(COUNTIF(HV$10:HV38,OFFSET(A1_原単位2025,29,HL39+2))&gt;=1,"",OFFSET(A1_原単位2025,29,HL39+2)&amp;"")</f>
        <v/>
      </c>
      <c r="HW39" s="718" t="str">
        <f t="shared" ca="1" si="56"/>
        <v/>
      </c>
      <c r="HX39" s="719" t="str">
        <f t="shared" ca="1" si="57"/>
        <v/>
      </c>
      <c r="HY39" s="714" t="str">
        <f t="shared" ca="1" si="58"/>
        <v/>
      </c>
      <c r="HZ39" s="715" t="str">
        <f ca="1">IF(COUNTIF(HZ$10:HZ38,OFFSET(A1_原単位2025,41,HL39+2))&gt;=1,"",OFFSET(A1_原単位2025,41,HL39+2)&amp;"")</f>
        <v/>
      </c>
      <c r="IA39" s="720" t="str">
        <f t="shared" ca="1" si="59"/>
        <v/>
      </c>
      <c r="IB39" s="721" t="str">
        <f t="shared" ca="1" si="60"/>
        <v/>
      </c>
      <c r="IE39" s="159" t="str">
        <f t="shared" ca="1" si="61"/>
        <v/>
      </c>
      <c r="IF39" s="159" t="str">
        <f t="shared" ca="1" si="62"/>
        <v/>
      </c>
      <c r="IG39" s="159" t="str">
        <f t="shared" ca="1" si="63"/>
        <v/>
      </c>
      <c r="IH39" s="159" t="str">
        <f t="shared" ca="1" si="64"/>
        <v/>
      </c>
    </row>
    <row r="40" spans="2:242" s="164" customFormat="1" ht="20.100000000000001" customHeight="1">
      <c r="B40" s="302"/>
      <c r="C40" s="303" t="s">
        <v>372</v>
      </c>
      <c r="D40" s="304"/>
      <c r="E40" s="305"/>
      <c r="F40" s="303" t="s">
        <v>457</v>
      </c>
      <c r="G40" s="306">
        <v>18.399999999999999</v>
      </c>
      <c r="H40" s="307">
        <v>1.09E-2</v>
      </c>
      <c r="I40" s="308"/>
      <c r="J40" s="309"/>
      <c r="K40" s="310"/>
      <c r="L40" s="311"/>
      <c r="M40" s="311"/>
      <c r="N40" s="309"/>
      <c r="O40" s="310"/>
      <c r="P40" s="311"/>
      <c r="Q40" s="311"/>
      <c r="R40" s="309"/>
      <c r="S40" s="310"/>
      <c r="T40" s="311"/>
      <c r="U40" s="311"/>
      <c r="V40" s="309"/>
      <c r="W40" s="310"/>
      <c r="X40" s="311"/>
      <c r="Y40" s="311"/>
      <c r="Z40" s="309"/>
      <c r="AA40" s="310"/>
      <c r="AB40" s="311"/>
      <c r="AC40" s="311"/>
      <c r="AD40" s="309"/>
      <c r="AE40" s="310"/>
      <c r="AF40" s="311"/>
      <c r="AG40" s="311"/>
      <c r="AH40" s="309"/>
      <c r="AI40" s="310"/>
      <c r="AJ40" s="311"/>
      <c r="AK40" s="311"/>
      <c r="AL40" s="309"/>
      <c r="AM40" s="310"/>
      <c r="AN40" s="311"/>
      <c r="AO40" s="311"/>
      <c r="AP40" s="309"/>
      <c r="AQ40" s="310"/>
      <c r="AR40" s="311"/>
      <c r="AS40" s="311"/>
      <c r="AT40" s="309"/>
      <c r="AU40" s="310"/>
      <c r="AV40" s="311"/>
      <c r="AW40" s="311"/>
      <c r="AX40" s="309"/>
      <c r="AY40" s="310"/>
      <c r="AZ40" s="311"/>
      <c r="BA40" s="311"/>
      <c r="BB40" s="309"/>
      <c r="BC40" s="310"/>
      <c r="BD40" s="311"/>
      <c r="BE40" s="311"/>
      <c r="BF40" s="309"/>
      <c r="BG40" s="310"/>
      <c r="BH40" s="311"/>
      <c r="BI40" s="311"/>
      <c r="BJ40" s="309"/>
      <c r="BK40" s="310"/>
      <c r="BL40" s="311"/>
      <c r="BM40" s="311"/>
      <c r="BN40" s="309"/>
      <c r="BO40" s="310"/>
      <c r="BP40" s="311"/>
      <c r="BQ40" s="311"/>
      <c r="BR40" s="309"/>
      <c r="BS40" s="310"/>
      <c r="BT40" s="311"/>
      <c r="BU40" s="311"/>
      <c r="BV40" s="309"/>
      <c r="BW40" s="310"/>
      <c r="BX40" s="311"/>
      <c r="BY40" s="311"/>
      <c r="BZ40" s="309"/>
      <c r="CA40" s="310"/>
      <c r="CB40" s="311"/>
      <c r="CC40" s="311"/>
      <c r="CD40" s="309"/>
      <c r="CE40" s="310"/>
      <c r="CF40" s="311"/>
      <c r="CG40" s="311"/>
      <c r="CH40" s="309"/>
      <c r="CI40" s="310"/>
      <c r="CJ40" s="311"/>
      <c r="CK40" s="311"/>
      <c r="CL40" s="309"/>
      <c r="CM40" s="310"/>
      <c r="CN40" s="311"/>
      <c r="CO40" s="311"/>
      <c r="CP40" s="309"/>
      <c r="CQ40" s="310"/>
      <c r="CR40" s="311"/>
      <c r="CS40" s="311"/>
      <c r="CT40" s="309"/>
      <c r="CU40" s="310"/>
      <c r="CV40" s="311"/>
      <c r="CW40" s="311"/>
      <c r="CX40" s="309"/>
      <c r="CY40" s="310"/>
      <c r="CZ40" s="311"/>
      <c r="DA40" s="311"/>
      <c r="DB40" s="309"/>
      <c r="DC40" s="310"/>
      <c r="DD40" s="311"/>
      <c r="DE40" s="311"/>
      <c r="DF40" s="309"/>
      <c r="DG40" s="310"/>
      <c r="DH40" s="311"/>
      <c r="DI40" s="311"/>
      <c r="DJ40" s="309"/>
      <c r="DK40" s="310"/>
      <c r="DL40" s="311"/>
      <c r="DM40" s="311"/>
      <c r="DN40" s="309"/>
      <c r="DO40" s="310"/>
      <c r="DP40" s="311"/>
      <c r="DQ40" s="311"/>
      <c r="DR40" s="309"/>
      <c r="DS40" s="310"/>
      <c r="DT40" s="311"/>
      <c r="DU40" s="311"/>
      <c r="DV40" s="309"/>
      <c r="DW40" s="310"/>
      <c r="DX40" s="311"/>
      <c r="DY40" s="311"/>
      <c r="DZ40" s="309"/>
      <c r="EA40" s="310"/>
      <c r="EB40" s="311"/>
      <c r="EC40" s="311"/>
      <c r="ED40" s="309"/>
      <c r="EE40" s="310"/>
      <c r="EF40" s="311"/>
      <c r="EG40" s="311"/>
      <c r="EH40" s="309"/>
      <c r="EI40" s="310"/>
      <c r="EJ40" s="311"/>
      <c r="EK40" s="311"/>
      <c r="EL40" s="309"/>
      <c r="EM40" s="310"/>
      <c r="EN40" s="311"/>
      <c r="EO40" s="311"/>
      <c r="EP40" s="309"/>
      <c r="EQ40" s="310"/>
      <c r="ER40" s="311"/>
      <c r="ES40" s="311"/>
      <c r="ET40" s="309"/>
      <c r="EU40" s="310"/>
      <c r="EV40" s="311"/>
      <c r="EW40" s="311"/>
      <c r="EX40" s="309"/>
      <c r="EY40" s="310"/>
      <c r="EZ40" s="311"/>
      <c r="FA40" s="311"/>
      <c r="FB40" s="309"/>
      <c r="FC40" s="310"/>
      <c r="FD40" s="311"/>
      <c r="FE40" s="311"/>
      <c r="FF40" s="309"/>
      <c r="FG40" s="310"/>
      <c r="FH40" s="311"/>
      <c r="FI40" s="311"/>
      <c r="FJ40" s="309"/>
      <c r="FK40" s="310"/>
      <c r="FL40" s="311"/>
      <c r="FM40" s="311"/>
      <c r="FN40" s="309"/>
      <c r="FO40" s="310"/>
      <c r="FP40" s="311"/>
      <c r="FQ40" s="311"/>
      <c r="FR40" s="309"/>
      <c r="FS40" s="310"/>
      <c r="FT40" s="311"/>
      <c r="FU40" s="311"/>
      <c r="FV40" s="309"/>
      <c r="FW40" s="310"/>
      <c r="FX40" s="311"/>
      <c r="FY40" s="311"/>
      <c r="FZ40" s="309"/>
      <c r="GA40" s="310"/>
      <c r="GB40" s="311"/>
      <c r="GC40" s="311"/>
      <c r="GD40" s="309"/>
      <c r="GE40" s="310"/>
      <c r="GF40" s="311"/>
      <c r="GG40" s="311"/>
      <c r="GH40" s="309"/>
      <c r="GI40" s="310"/>
      <c r="GJ40" s="311"/>
      <c r="GK40" s="311"/>
      <c r="GL40" s="309"/>
      <c r="GM40" s="310"/>
      <c r="GN40" s="311"/>
      <c r="GO40" s="311"/>
      <c r="GP40" s="309"/>
      <c r="GQ40" s="310"/>
      <c r="GR40" s="311"/>
      <c r="GS40" s="311"/>
      <c r="GT40" s="309"/>
      <c r="GU40" s="310"/>
      <c r="GV40" s="311"/>
      <c r="GW40" s="311"/>
      <c r="GX40" s="309"/>
      <c r="GY40" s="310"/>
      <c r="GZ40" s="311"/>
      <c r="HA40" s="311"/>
      <c r="HB40" s="309"/>
      <c r="HC40" s="312">
        <f t="shared" si="66"/>
        <v>0</v>
      </c>
      <c r="HD40" s="313">
        <f t="shared" si="66"/>
        <v>0</v>
      </c>
      <c r="HE40" s="313">
        <f t="shared" si="66"/>
        <v>0</v>
      </c>
      <c r="HF40" s="314"/>
      <c r="HG40" s="312">
        <f>SUM(SUMIFS(K40:HB40,$K$13:$HB$13,{"エネルギー管理指定工場等*","県域*"}))</f>
        <v>0</v>
      </c>
      <c r="HH40" s="313">
        <f>SUM(SUMIFS(L40:HC40,$K$13:$HB$13,{"エネルギー管理指定工場等*","県域*"}))</f>
        <v>0</v>
      </c>
      <c r="HI40" s="313">
        <f>SUM(SUMIFS(M40:HD40,$K$13:$HB$13,{"エネルギー管理指定工場等*","県域*"}))</f>
        <v>0</v>
      </c>
      <c r="HJ40" s="314"/>
      <c r="HL40" s="219">
        <v>31</v>
      </c>
      <c r="HM40" s="714" t="str">
        <f t="shared" ca="1" si="49"/>
        <v/>
      </c>
      <c r="HN40" s="715" t="str">
        <f ca="1">IF(COUNTIF(HN$10:HN39,OFFSET(A1_原単位2025,5,HL40+2))&gt;=1,"",OFFSET(A1_原単位2025,5,HL40+2)&amp;"")</f>
        <v/>
      </c>
      <c r="HO40" s="716" t="str">
        <f t="shared" ca="1" si="50"/>
        <v/>
      </c>
      <c r="HP40" s="717" t="str">
        <f t="shared" ca="1" si="51"/>
        <v/>
      </c>
      <c r="HQ40" s="714" t="str">
        <f t="shared" ca="1" si="52"/>
        <v/>
      </c>
      <c r="HR40" s="715" t="str">
        <f ca="1">IF(COUNTIF(HR$10:HR39,OFFSET(A1_原単位2025,17,HL40+2))&gt;=1,"",OFFSET(A1_原単位2025,17,HL40+2)&amp;"")</f>
        <v/>
      </c>
      <c r="HS40" s="718" t="str">
        <f t="shared" ca="1" si="53"/>
        <v/>
      </c>
      <c r="HT40" s="719" t="str">
        <f t="shared" ca="1" si="54"/>
        <v/>
      </c>
      <c r="HU40" s="714" t="str">
        <f t="shared" ca="1" si="55"/>
        <v/>
      </c>
      <c r="HV40" s="715" t="str">
        <f ca="1">IF(COUNTIF(HV$10:HV39,OFFSET(A1_原単位2025,29,HL40+2))&gt;=1,"",OFFSET(A1_原単位2025,29,HL40+2)&amp;"")</f>
        <v/>
      </c>
      <c r="HW40" s="718" t="str">
        <f t="shared" ca="1" si="56"/>
        <v/>
      </c>
      <c r="HX40" s="719" t="str">
        <f t="shared" ca="1" si="57"/>
        <v/>
      </c>
      <c r="HY40" s="714" t="str">
        <f t="shared" ca="1" si="58"/>
        <v/>
      </c>
      <c r="HZ40" s="715" t="str">
        <f ca="1">IF(COUNTIF(HZ$10:HZ39,OFFSET(A1_原単位2025,41,HL40+2))&gt;=1,"",OFFSET(A1_原単位2025,41,HL40+2)&amp;"")</f>
        <v/>
      </c>
      <c r="IA40" s="720" t="str">
        <f t="shared" ca="1" si="59"/>
        <v/>
      </c>
      <c r="IB40" s="721" t="str">
        <f t="shared" ca="1" si="60"/>
        <v/>
      </c>
      <c r="IE40" s="159" t="str">
        <f t="shared" ca="1" si="61"/>
        <v/>
      </c>
      <c r="IF40" s="159" t="str">
        <f t="shared" ca="1" si="62"/>
        <v/>
      </c>
      <c r="IG40" s="159" t="str">
        <f t="shared" ca="1" si="63"/>
        <v/>
      </c>
      <c r="IH40" s="159" t="str">
        <f t="shared" ca="1" si="64"/>
        <v/>
      </c>
    </row>
    <row r="41" spans="2:242" s="164" customFormat="1" ht="20.100000000000001" customHeight="1">
      <c r="B41" s="302"/>
      <c r="C41" s="303" t="s">
        <v>373</v>
      </c>
      <c r="D41" s="304"/>
      <c r="E41" s="305"/>
      <c r="F41" s="303" t="s">
        <v>457</v>
      </c>
      <c r="G41" s="306">
        <v>3.23</v>
      </c>
      <c r="H41" s="307">
        <v>2.64E-2</v>
      </c>
      <c r="I41" s="308"/>
      <c r="J41" s="309"/>
      <c r="K41" s="310"/>
      <c r="L41" s="311"/>
      <c r="M41" s="311"/>
      <c r="N41" s="309"/>
      <c r="O41" s="310"/>
      <c r="P41" s="311"/>
      <c r="Q41" s="311"/>
      <c r="R41" s="309"/>
      <c r="S41" s="310"/>
      <c r="T41" s="311"/>
      <c r="U41" s="311"/>
      <c r="V41" s="309"/>
      <c r="W41" s="310"/>
      <c r="X41" s="311"/>
      <c r="Y41" s="311"/>
      <c r="Z41" s="309"/>
      <c r="AA41" s="310"/>
      <c r="AB41" s="311"/>
      <c r="AC41" s="311"/>
      <c r="AD41" s="309"/>
      <c r="AE41" s="310"/>
      <c r="AF41" s="311"/>
      <c r="AG41" s="311"/>
      <c r="AH41" s="309"/>
      <c r="AI41" s="310"/>
      <c r="AJ41" s="311"/>
      <c r="AK41" s="311"/>
      <c r="AL41" s="309"/>
      <c r="AM41" s="310"/>
      <c r="AN41" s="311"/>
      <c r="AO41" s="311"/>
      <c r="AP41" s="309"/>
      <c r="AQ41" s="310"/>
      <c r="AR41" s="311"/>
      <c r="AS41" s="311"/>
      <c r="AT41" s="309"/>
      <c r="AU41" s="310"/>
      <c r="AV41" s="311"/>
      <c r="AW41" s="311"/>
      <c r="AX41" s="309"/>
      <c r="AY41" s="310"/>
      <c r="AZ41" s="311"/>
      <c r="BA41" s="311"/>
      <c r="BB41" s="309"/>
      <c r="BC41" s="310"/>
      <c r="BD41" s="311"/>
      <c r="BE41" s="311"/>
      <c r="BF41" s="309"/>
      <c r="BG41" s="310"/>
      <c r="BH41" s="311"/>
      <c r="BI41" s="311"/>
      <c r="BJ41" s="309"/>
      <c r="BK41" s="310"/>
      <c r="BL41" s="311"/>
      <c r="BM41" s="311"/>
      <c r="BN41" s="309"/>
      <c r="BO41" s="310"/>
      <c r="BP41" s="311"/>
      <c r="BQ41" s="311"/>
      <c r="BR41" s="309"/>
      <c r="BS41" s="310"/>
      <c r="BT41" s="311"/>
      <c r="BU41" s="311"/>
      <c r="BV41" s="309"/>
      <c r="BW41" s="310"/>
      <c r="BX41" s="311"/>
      <c r="BY41" s="311"/>
      <c r="BZ41" s="309"/>
      <c r="CA41" s="310"/>
      <c r="CB41" s="311"/>
      <c r="CC41" s="311"/>
      <c r="CD41" s="309"/>
      <c r="CE41" s="310"/>
      <c r="CF41" s="311"/>
      <c r="CG41" s="311"/>
      <c r="CH41" s="309"/>
      <c r="CI41" s="310"/>
      <c r="CJ41" s="311"/>
      <c r="CK41" s="311"/>
      <c r="CL41" s="309"/>
      <c r="CM41" s="310"/>
      <c r="CN41" s="311"/>
      <c r="CO41" s="311"/>
      <c r="CP41" s="309"/>
      <c r="CQ41" s="310"/>
      <c r="CR41" s="311"/>
      <c r="CS41" s="311"/>
      <c r="CT41" s="309"/>
      <c r="CU41" s="310"/>
      <c r="CV41" s="311"/>
      <c r="CW41" s="311"/>
      <c r="CX41" s="309"/>
      <c r="CY41" s="310"/>
      <c r="CZ41" s="311"/>
      <c r="DA41" s="311"/>
      <c r="DB41" s="309"/>
      <c r="DC41" s="310"/>
      <c r="DD41" s="311"/>
      <c r="DE41" s="311"/>
      <c r="DF41" s="309"/>
      <c r="DG41" s="310"/>
      <c r="DH41" s="311"/>
      <c r="DI41" s="311"/>
      <c r="DJ41" s="309"/>
      <c r="DK41" s="310"/>
      <c r="DL41" s="311"/>
      <c r="DM41" s="311"/>
      <c r="DN41" s="309"/>
      <c r="DO41" s="310"/>
      <c r="DP41" s="311"/>
      <c r="DQ41" s="311"/>
      <c r="DR41" s="309"/>
      <c r="DS41" s="310"/>
      <c r="DT41" s="311"/>
      <c r="DU41" s="311"/>
      <c r="DV41" s="309"/>
      <c r="DW41" s="310"/>
      <c r="DX41" s="311"/>
      <c r="DY41" s="311"/>
      <c r="DZ41" s="309"/>
      <c r="EA41" s="310"/>
      <c r="EB41" s="311"/>
      <c r="EC41" s="311"/>
      <c r="ED41" s="309"/>
      <c r="EE41" s="310"/>
      <c r="EF41" s="311"/>
      <c r="EG41" s="311"/>
      <c r="EH41" s="309"/>
      <c r="EI41" s="310"/>
      <c r="EJ41" s="311"/>
      <c r="EK41" s="311"/>
      <c r="EL41" s="309"/>
      <c r="EM41" s="310"/>
      <c r="EN41" s="311"/>
      <c r="EO41" s="311"/>
      <c r="EP41" s="309"/>
      <c r="EQ41" s="310"/>
      <c r="ER41" s="311"/>
      <c r="ES41" s="311"/>
      <c r="ET41" s="309"/>
      <c r="EU41" s="310"/>
      <c r="EV41" s="311"/>
      <c r="EW41" s="311"/>
      <c r="EX41" s="309"/>
      <c r="EY41" s="310"/>
      <c r="EZ41" s="311"/>
      <c r="FA41" s="311"/>
      <c r="FB41" s="309"/>
      <c r="FC41" s="310"/>
      <c r="FD41" s="311"/>
      <c r="FE41" s="311"/>
      <c r="FF41" s="309"/>
      <c r="FG41" s="310"/>
      <c r="FH41" s="311"/>
      <c r="FI41" s="311"/>
      <c r="FJ41" s="309"/>
      <c r="FK41" s="310"/>
      <c r="FL41" s="311"/>
      <c r="FM41" s="311"/>
      <c r="FN41" s="309"/>
      <c r="FO41" s="310"/>
      <c r="FP41" s="311"/>
      <c r="FQ41" s="311"/>
      <c r="FR41" s="309"/>
      <c r="FS41" s="310"/>
      <c r="FT41" s="311"/>
      <c r="FU41" s="311"/>
      <c r="FV41" s="309"/>
      <c r="FW41" s="310"/>
      <c r="FX41" s="311"/>
      <c r="FY41" s="311"/>
      <c r="FZ41" s="309"/>
      <c r="GA41" s="310"/>
      <c r="GB41" s="311"/>
      <c r="GC41" s="311"/>
      <c r="GD41" s="309"/>
      <c r="GE41" s="310"/>
      <c r="GF41" s="311"/>
      <c r="GG41" s="311"/>
      <c r="GH41" s="309"/>
      <c r="GI41" s="310"/>
      <c r="GJ41" s="311"/>
      <c r="GK41" s="311"/>
      <c r="GL41" s="309"/>
      <c r="GM41" s="310"/>
      <c r="GN41" s="311"/>
      <c r="GO41" s="311"/>
      <c r="GP41" s="309"/>
      <c r="GQ41" s="310"/>
      <c r="GR41" s="311"/>
      <c r="GS41" s="311"/>
      <c r="GT41" s="309"/>
      <c r="GU41" s="310"/>
      <c r="GV41" s="311"/>
      <c r="GW41" s="311"/>
      <c r="GX41" s="309"/>
      <c r="GY41" s="310"/>
      <c r="GZ41" s="311"/>
      <c r="HA41" s="311"/>
      <c r="HB41" s="309"/>
      <c r="HC41" s="312">
        <f t="shared" si="66"/>
        <v>0</v>
      </c>
      <c r="HD41" s="313">
        <f t="shared" si="66"/>
        <v>0</v>
      </c>
      <c r="HE41" s="313">
        <f t="shared" si="66"/>
        <v>0</v>
      </c>
      <c r="HF41" s="314"/>
      <c r="HG41" s="312">
        <f>SUM(SUMIFS(K41:HB41,$K$13:$HB$13,{"エネルギー管理指定工場等*","県域*"}))</f>
        <v>0</v>
      </c>
      <c r="HH41" s="313">
        <f>SUM(SUMIFS(L41:HC41,$K$13:$HB$13,{"エネルギー管理指定工場等*","県域*"}))</f>
        <v>0</v>
      </c>
      <c r="HI41" s="313">
        <f>SUM(SUMIFS(M41:HD41,$K$13:$HB$13,{"エネルギー管理指定工場等*","県域*"}))</f>
        <v>0</v>
      </c>
      <c r="HJ41" s="314"/>
      <c r="HL41" s="230">
        <v>32</v>
      </c>
      <c r="HM41" s="714" t="str">
        <f t="shared" ca="1" si="49"/>
        <v/>
      </c>
      <c r="HN41" s="715" t="str">
        <f ca="1">IF(COUNTIF(HN$10:HN40,OFFSET(A1_原単位2025,5,HL41+2))&gt;=1,"",OFFSET(A1_原単位2025,5,HL41+2)&amp;"")</f>
        <v/>
      </c>
      <c r="HO41" s="716" t="str">
        <f t="shared" ca="1" si="50"/>
        <v/>
      </c>
      <c r="HP41" s="717" t="str">
        <f t="shared" ca="1" si="51"/>
        <v/>
      </c>
      <c r="HQ41" s="714" t="str">
        <f t="shared" ca="1" si="52"/>
        <v/>
      </c>
      <c r="HR41" s="715" t="str">
        <f ca="1">IF(COUNTIF(HR$10:HR40,OFFSET(A1_原単位2025,17,HL41+2))&gt;=1,"",OFFSET(A1_原単位2025,17,HL41+2)&amp;"")</f>
        <v/>
      </c>
      <c r="HS41" s="718" t="str">
        <f t="shared" ca="1" si="53"/>
        <v/>
      </c>
      <c r="HT41" s="719" t="str">
        <f t="shared" ca="1" si="54"/>
        <v/>
      </c>
      <c r="HU41" s="714" t="str">
        <f t="shared" ca="1" si="55"/>
        <v/>
      </c>
      <c r="HV41" s="715" t="str">
        <f ca="1">IF(COUNTIF(HV$10:HV40,OFFSET(A1_原単位2025,29,HL41+2))&gt;=1,"",OFFSET(A1_原単位2025,29,HL41+2)&amp;"")</f>
        <v/>
      </c>
      <c r="HW41" s="718" t="str">
        <f t="shared" ca="1" si="56"/>
        <v/>
      </c>
      <c r="HX41" s="719" t="str">
        <f t="shared" ca="1" si="57"/>
        <v/>
      </c>
      <c r="HY41" s="714" t="str">
        <f t="shared" ca="1" si="58"/>
        <v/>
      </c>
      <c r="HZ41" s="715" t="str">
        <f ca="1">IF(COUNTIF(HZ$10:HZ40,OFFSET(A1_原単位2025,41,HL41+2))&gt;=1,"",OFFSET(A1_原単位2025,41,HL41+2)&amp;"")</f>
        <v/>
      </c>
      <c r="IA41" s="720" t="str">
        <f t="shared" ca="1" si="59"/>
        <v/>
      </c>
      <c r="IB41" s="721" t="str">
        <f t="shared" ca="1" si="60"/>
        <v/>
      </c>
      <c r="IE41" s="159" t="str">
        <f t="shared" ca="1" si="61"/>
        <v/>
      </c>
      <c r="IF41" s="159" t="str">
        <f t="shared" ca="1" si="62"/>
        <v/>
      </c>
      <c r="IG41" s="159" t="str">
        <f t="shared" ca="1" si="63"/>
        <v/>
      </c>
      <c r="IH41" s="159" t="str">
        <f t="shared" ca="1" si="64"/>
        <v/>
      </c>
    </row>
    <row r="42" spans="2:242" s="164" customFormat="1" ht="20.100000000000001" customHeight="1">
      <c r="B42" s="302"/>
      <c r="C42" s="303" t="s">
        <v>587</v>
      </c>
      <c r="D42" s="304"/>
      <c r="E42" s="305"/>
      <c r="F42" s="303" t="s">
        <v>457</v>
      </c>
      <c r="G42" s="306">
        <v>3.45</v>
      </c>
      <c r="H42" s="307">
        <v>2.64E-2</v>
      </c>
      <c r="I42" s="308"/>
      <c r="J42" s="309"/>
      <c r="K42" s="310"/>
      <c r="L42" s="311"/>
      <c r="M42" s="311"/>
      <c r="N42" s="309"/>
      <c r="O42" s="310"/>
      <c r="P42" s="311"/>
      <c r="Q42" s="311"/>
      <c r="R42" s="309"/>
      <c r="S42" s="310"/>
      <c r="T42" s="311"/>
      <c r="U42" s="311"/>
      <c r="V42" s="309"/>
      <c r="W42" s="310"/>
      <c r="X42" s="311"/>
      <c r="Y42" s="311"/>
      <c r="Z42" s="309"/>
      <c r="AA42" s="310"/>
      <c r="AB42" s="311"/>
      <c r="AC42" s="311"/>
      <c r="AD42" s="309"/>
      <c r="AE42" s="310"/>
      <c r="AF42" s="311"/>
      <c r="AG42" s="311"/>
      <c r="AH42" s="309"/>
      <c r="AI42" s="310"/>
      <c r="AJ42" s="311"/>
      <c r="AK42" s="311"/>
      <c r="AL42" s="309"/>
      <c r="AM42" s="310"/>
      <c r="AN42" s="311"/>
      <c r="AO42" s="311"/>
      <c r="AP42" s="309"/>
      <c r="AQ42" s="310"/>
      <c r="AR42" s="311"/>
      <c r="AS42" s="311"/>
      <c r="AT42" s="309"/>
      <c r="AU42" s="310"/>
      <c r="AV42" s="311"/>
      <c r="AW42" s="311"/>
      <c r="AX42" s="309"/>
      <c r="AY42" s="310"/>
      <c r="AZ42" s="311"/>
      <c r="BA42" s="311"/>
      <c r="BB42" s="309"/>
      <c r="BC42" s="310"/>
      <c r="BD42" s="311"/>
      <c r="BE42" s="311"/>
      <c r="BF42" s="309"/>
      <c r="BG42" s="310"/>
      <c r="BH42" s="311"/>
      <c r="BI42" s="311"/>
      <c r="BJ42" s="309"/>
      <c r="BK42" s="310"/>
      <c r="BL42" s="311"/>
      <c r="BM42" s="311"/>
      <c r="BN42" s="309"/>
      <c r="BO42" s="310"/>
      <c r="BP42" s="311"/>
      <c r="BQ42" s="311"/>
      <c r="BR42" s="309"/>
      <c r="BS42" s="310"/>
      <c r="BT42" s="311"/>
      <c r="BU42" s="311"/>
      <c r="BV42" s="309"/>
      <c r="BW42" s="310"/>
      <c r="BX42" s="311"/>
      <c r="BY42" s="311"/>
      <c r="BZ42" s="309"/>
      <c r="CA42" s="310"/>
      <c r="CB42" s="311"/>
      <c r="CC42" s="311"/>
      <c r="CD42" s="309"/>
      <c r="CE42" s="310"/>
      <c r="CF42" s="311"/>
      <c r="CG42" s="311"/>
      <c r="CH42" s="309"/>
      <c r="CI42" s="310"/>
      <c r="CJ42" s="311"/>
      <c r="CK42" s="311"/>
      <c r="CL42" s="309"/>
      <c r="CM42" s="310"/>
      <c r="CN42" s="311"/>
      <c r="CO42" s="311"/>
      <c r="CP42" s="309"/>
      <c r="CQ42" s="310"/>
      <c r="CR42" s="311"/>
      <c r="CS42" s="311"/>
      <c r="CT42" s="309"/>
      <c r="CU42" s="310"/>
      <c r="CV42" s="311"/>
      <c r="CW42" s="311"/>
      <c r="CX42" s="309"/>
      <c r="CY42" s="310"/>
      <c r="CZ42" s="311"/>
      <c r="DA42" s="311"/>
      <c r="DB42" s="309"/>
      <c r="DC42" s="310"/>
      <c r="DD42" s="311"/>
      <c r="DE42" s="311"/>
      <c r="DF42" s="309"/>
      <c r="DG42" s="310"/>
      <c r="DH42" s="311"/>
      <c r="DI42" s="311"/>
      <c r="DJ42" s="309"/>
      <c r="DK42" s="310"/>
      <c r="DL42" s="311"/>
      <c r="DM42" s="311"/>
      <c r="DN42" s="309"/>
      <c r="DO42" s="310"/>
      <c r="DP42" s="311"/>
      <c r="DQ42" s="311"/>
      <c r="DR42" s="309"/>
      <c r="DS42" s="310"/>
      <c r="DT42" s="311"/>
      <c r="DU42" s="311"/>
      <c r="DV42" s="309"/>
      <c r="DW42" s="310"/>
      <c r="DX42" s="311"/>
      <c r="DY42" s="311"/>
      <c r="DZ42" s="309"/>
      <c r="EA42" s="310"/>
      <c r="EB42" s="311"/>
      <c r="EC42" s="311"/>
      <c r="ED42" s="309"/>
      <c r="EE42" s="310"/>
      <c r="EF42" s="311"/>
      <c r="EG42" s="311"/>
      <c r="EH42" s="309"/>
      <c r="EI42" s="310"/>
      <c r="EJ42" s="311"/>
      <c r="EK42" s="311"/>
      <c r="EL42" s="309"/>
      <c r="EM42" s="310"/>
      <c r="EN42" s="311"/>
      <c r="EO42" s="311"/>
      <c r="EP42" s="309"/>
      <c r="EQ42" s="310"/>
      <c r="ER42" s="311"/>
      <c r="ES42" s="311"/>
      <c r="ET42" s="309"/>
      <c r="EU42" s="310"/>
      <c r="EV42" s="311"/>
      <c r="EW42" s="311"/>
      <c r="EX42" s="309"/>
      <c r="EY42" s="310"/>
      <c r="EZ42" s="311"/>
      <c r="FA42" s="311"/>
      <c r="FB42" s="309"/>
      <c r="FC42" s="310"/>
      <c r="FD42" s="311"/>
      <c r="FE42" s="311"/>
      <c r="FF42" s="309"/>
      <c r="FG42" s="310"/>
      <c r="FH42" s="311"/>
      <c r="FI42" s="311"/>
      <c r="FJ42" s="309"/>
      <c r="FK42" s="310"/>
      <c r="FL42" s="311"/>
      <c r="FM42" s="311"/>
      <c r="FN42" s="309"/>
      <c r="FO42" s="310"/>
      <c r="FP42" s="311"/>
      <c r="FQ42" s="311"/>
      <c r="FR42" s="309"/>
      <c r="FS42" s="310"/>
      <c r="FT42" s="311"/>
      <c r="FU42" s="311"/>
      <c r="FV42" s="309"/>
      <c r="FW42" s="310"/>
      <c r="FX42" s="311"/>
      <c r="FY42" s="311"/>
      <c r="FZ42" s="309"/>
      <c r="GA42" s="310"/>
      <c r="GB42" s="311"/>
      <c r="GC42" s="311"/>
      <c r="GD42" s="309"/>
      <c r="GE42" s="310"/>
      <c r="GF42" s="311"/>
      <c r="GG42" s="311"/>
      <c r="GH42" s="309"/>
      <c r="GI42" s="310"/>
      <c r="GJ42" s="311"/>
      <c r="GK42" s="311"/>
      <c r="GL42" s="309"/>
      <c r="GM42" s="310"/>
      <c r="GN42" s="311"/>
      <c r="GO42" s="311"/>
      <c r="GP42" s="309"/>
      <c r="GQ42" s="310"/>
      <c r="GR42" s="311"/>
      <c r="GS42" s="311"/>
      <c r="GT42" s="309"/>
      <c r="GU42" s="310"/>
      <c r="GV42" s="311"/>
      <c r="GW42" s="311"/>
      <c r="GX42" s="309"/>
      <c r="GY42" s="310"/>
      <c r="GZ42" s="311"/>
      <c r="HA42" s="311"/>
      <c r="HB42" s="309"/>
      <c r="HC42" s="312">
        <f t="shared" si="66"/>
        <v>0</v>
      </c>
      <c r="HD42" s="313">
        <f t="shared" si="66"/>
        <v>0</v>
      </c>
      <c r="HE42" s="313">
        <f t="shared" si="66"/>
        <v>0</v>
      </c>
      <c r="HF42" s="314"/>
      <c r="HG42" s="312">
        <f>SUM(SUMIFS(K42:HB42,$K$13:$HB$13,{"エネルギー管理指定工場等*","県域*"}))</f>
        <v>0</v>
      </c>
      <c r="HH42" s="313">
        <f>SUM(SUMIFS(L42:HC42,$K$13:$HB$13,{"エネルギー管理指定工場等*","県域*"}))</f>
        <v>0</v>
      </c>
      <c r="HI42" s="313">
        <f>SUM(SUMIFS(M42:HD42,$K$13:$HB$13,{"エネルギー管理指定工場等*","県域*"}))</f>
        <v>0</v>
      </c>
      <c r="HJ42" s="314"/>
      <c r="HL42" s="219">
        <v>33</v>
      </c>
      <c r="HM42" s="714" t="str">
        <f t="shared" ref="HM42:HM59" ca="1" si="67">OFFSET(A1_原単位2024,6,$HL42+2)</f>
        <v/>
      </c>
      <c r="HN42" s="715" t="str">
        <f ca="1">IF(COUNTIF(HN$10:HN41,OFFSET(A1_原単位2025,5,HL42+2))&gt;=1,"",OFFSET(A1_原単位2025,5,HL42+2)&amp;"")</f>
        <v/>
      </c>
      <c r="HO42" s="716" t="str">
        <f t="shared" ca="1" si="50"/>
        <v/>
      </c>
      <c r="HP42" s="717" t="str">
        <f t="shared" ref="HP42:HP59" ca="1" si="68">IF(HN42="","",HYPERLINK("#"&amp;OFFSET(A1_原単位2025,66,$HL42+2),OFFSET(A1_原単位2025,62,$HL42+2)))</f>
        <v/>
      </c>
      <c r="HQ42" s="714" t="str">
        <f t="shared" ref="HQ42:HQ59" ca="1" si="69">OFFSET(A1_原単位2024,18,$HL42+2)</f>
        <v/>
      </c>
      <c r="HR42" s="715" t="str">
        <f ca="1">IF(COUNTIF(HR$10:HR41,OFFSET(A1_原単位2025,17,HL42+2))&gt;=1,"",OFFSET(A1_原単位2025,17,HL42+2)&amp;"")</f>
        <v/>
      </c>
      <c r="HS42" s="718" t="str">
        <f t="shared" ca="1" si="53"/>
        <v/>
      </c>
      <c r="HT42" s="719" t="str">
        <f t="shared" ref="HT42:HT59" ca="1" si="70">IF(HR42="","",HYPERLINK("#"&amp;OFFSET(A1_原単位2025,67,$HL42+2),OFFSET(A1_原単位2025,63,$HL42+2)))</f>
        <v/>
      </c>
      <c r="HU42" s="714" t="str">
        <f t="shared" ref="HU42:HU59" ca="1" si="71">OFFSET(A1_原単位2024,30,$HL42+2)</f>
        <v/>
      </c>
      <c r="HV42" s="715" t="str">
        <f ca="1">IF(COUNTIF(HV$10:HV41,OFFSET(A1_原単位2025,29,HL42+2))&gt;=1,"",OFFSET(A1_原単位2025,29,HL42+2)&amp;"")</f>
        <v/>
      </c>
      <c r="HW42" s="718" t="str">
        <f t="shared" ca="1" si="56"/>
        <v/>
      </c>
      <c r="HX42" s="719" t="str">
        <f t="shared" ref="HX42:HX59" ca="1" si="72">IF(HV42="","",HYPERLINK("#"&amp;OFFSET(A1_原単位2025,68,$HL42+2),OFFSET(A1_原単位2025,64,$HL42+2)))</f>
        <v/>
      </c>
      <c r="HY42" s="714" t="str">
        <f t="shared" ref="HY42:HY59" ca="1" si="73">OFFSET(A1_原単位2024,42,$HL42+2)</f>
        <v/>
      </c>
      <c r="HZ42" s="715" t="str">
        <f ca="1">IF(COUNTIF(HZ$10:HZ41,OFFSET(A1_原単位2025,41,HL42+2))&gt;=1,"",OFFSET(A1_原単位2025,41,HL42+2)&amp;"")</f>
        <v/>
      </c>
      <c r="IA42" s="720" t="str">
        <f t="shared" ca="1" si="59"/>
        <v/>
      </c>
      <c r="IB42" s="721" t="str">
        <f t="shared" ref="IB42:IB59" ca="1" si="74">IF(HZ42="","",HYPERLINK("#"&amp;OFFSET(A1_原単位2025,69,$HL42+2),OFFSET(A1_原単位2025,65,$HL42+2)))</f>
        <v/>
      </c>
      <c r="IE42" s="159" t="str">
        <f t="shared" ref="IE42:IE59" ca="1" si="75">IF($HN42="","",ADDRESS(ROW(貼付け_2025実績)+5,OFFSET(A1_原単位2025,7,$HL42+2)+COLUMN(貼付け_2025実績)+1,4))</f>
        <v/>
      </c>
      <c r="IF42" s="159" t="str">
        <f t="shared" ref="IF42:IF59" ca="1" si="76">IF($HR42="","",ADDRESS(ROW(貼付け_2025実績)+5,OFFSET(A1_原単位2025,19,$HL42+2)+COLUMN(貼付け_2025実績)+1,4))</f>
        <v/>
      </c>
      <c r="IG42" s="159" t="str">
        <f t="shared" ref="IG42:IG59" ca="1" si="77">IF($HV42="","",ADDRESS(ROW(貼付け_2025実績)+5,OFFSET(A1_原単位2025,31,$HL42+2)+COLUMN(貼付け_2025実績)+1,4))</f>
        <v/>
      </c>
      <c r="IH42" s="159" t="str">
        <f t="shared" ref="IH42:IH59" ca="1" si="78">IF($HZ42="","",ADDRESS(ROW(貼付け_2025実績)+5,OFFSET(A1_原単位2025,43,$HL42+2)+COLUMN(貼付け_2025実績)+1,4))</f>
        <v/>
      </c>
    </row>
    <row r="43" spans="2:242" s="164" customFormat="1" ht="20.100000000000001" customHeight="1">
      <c r="B43" s="302"/>
      <c r="C43" s="303" t="s">
        <v>375</v>
      </c>
      <c r="D43" s="304"/>
      <c r="E43" s="305"/>
      <c r="F43" s="303" t="s">
        <v>457</v>
      </c>
      <c r="G43" s="306">
        <v>7.53</v>
      </c>
      <c r="H43" s="307">
        <v>4.2000000000000003E-2</v>
      </c>
      <c r="I43" s="308"/>
      <c r="J43" s="309"/>
      <c r="K43" s="310"/>
      <c r="L43" s="311"/>
      <c r="M43" s="311"/>
      <c r="N43" s="309"/>
      <c r="O43" s="310"/>
      <c r="P43" s="311"/>
      <c r="Q43" s="311"/>
      <c r="R43" s="309"/>
      <c r="S43" s="310"/>
      <c r="T43" s="311"/>
      <c r="U43" s="311"/>
      <c r="V43" s="309"/>
      <c r="W43" s="310"/>
      <c r="X43" s="311"/>
      <c r="Y43" s="311"/>
      <c r="Z43" s="309"/>
      <c r="AA43" s="310"/>
      <c r="AB43" s="311"/>
      <c r="AC43" s="311"/>
      <c r="AD43" s="309"/>
      <c r="AE43" s="310"/>
      <c r="AF43" s="311"/>
      <c r="AG43" s="311"/>
      <c r="AH43" s="309"/>
      <c r="AI43" s="310"/>
      <c r="AJ43" s="311"/>
      <c r="AK43" s="311"/>
      <c r="AL43" s="309"/>
      <c r="AM43" s="310"/>
      <c r="AN43" s="311"/>
      <c r="AO43" s="311"/>
      <c r="AP43" s="309"/>
      <c r="AQ43" s="310"/>
      <c r="AR43" s="311"/>
      <c r="AS43" s="311"/>
      <c r="AT43" s="309"/>
      <c r="AU43" s="310"/>
      <c r="AV43" s="311"/>
      <c r="AW43" s="311"/>
      <c r="AX43" s="309"/>
      <c r="AY43" s="310"/>
      <c r="AZ43" s="311"/>
      <c r="BA43" s="311"/>
      <c r="BB43" s="309"/>
      <c r="BC43" s="310"/>
      <c r="BD43" s="311"/>
      <c r="BE43" s="311"/>
      <c r="BF43" s="309"/>
      <c r="BG43" s="310"/>
      <c r="BH43" s="311"/>
      <c r="BI43" s="311"/>
      <c r="BJ43" s="309"/>
      <c r="BK43" s="310"/>
      <c r="BL43" s="311"/>
      <c r="BM43" s="311"/>
      <c r="BN43" s="309"/>
      <c r="BO43" s="310"/>
      <c r="BP43" s="311"/>
      <c r="BQ43" s="311"/>
      <c r="BR43" s="309"/>
      <c r="BS43" s="310"/>
      <c r="BT43" s="311"/>
      <c r="BU43" s="311"/>
      <c r="BV43" s="309"/>
      <c r="BW43" s="310"/>
      <c r="BX43" s="311"/>
      <c r="BY43" s="311"/>
      <c r="BZ43" s="309"/>
      <c r="CA43" s="310"/>
      <c r="CB43" s="311"/>
      <c r="CC43" s="311"/>
      <c r="CD43" s="309"/>
      <c r="CE43" s="310"/>
      <c r="CF43" s="311"/>
      <c r="CG43" s="311"/>
      <c r="CH43" s="309"/>
      <c r="CI43" s="310"/>
      <c r="CJ43" s="311"/>
      <c r="CK43" s="311"/>
      <c r="CL43" s="309"/>
      <c r="CM43" s="310"/>
      <c r="CN43" s="311"/>
      <c r="CO43" s="311"/>
      <c r="CP43" s="309"/>
      <c r="CQ43" s="310"/>
      <c r="CR43" s="311"/>
      <c r="CS43" s="311"/>
      <c r="CT43" s="309"/>
      <c r="CU43" s="310"/>
      <c r="CV43" s="311"/>
      <c r="CW43" s="311"/>
      <c r="CX43" s="309"/>
      <c r="CY43" s="310"/>
      <c r="CZ43" s="311"/>
      <c r="DA43" s="311"/>
      <c r="DB43" s="309"/>
      <c r="DC43" s="310"/>
      <c r="DD43" s="311"/>
      <c r="DE43" s="311"/>
      <c r="DF43" s="309"/>
      <c r="DG43" s="310"/>
      <c r="DH43" s="311"/>
      <c r="DI43" s="311"/>
      <c r="DJ43" s="309"/>
      <c r="DK43" s="310"/>
      <c r="DL43" s="311"/>
      <c r="DM43" s="311"/>
      <c r="DN43" s="309"/>
      <c r="DO43" s="310"/>
      <c r="DP43" s="311"/>
      <c r="DQ43" s="311"/>
      <c r="DR43" s="309"/>
      <c r="DS43" s="310"/>
      <c r="DT43" s="311"/>
      <c r="DU43" s="311"/>
      <c r="DV43" s="309"/>
      <c r="DW43" s="310"/>
      <c r="DX43" s="311"/>
      <c r="DY43" s="311"/>
      <c r="DZ43" s="309"/>
      <c r="EA43" s="310"/>
      <c r="EB43" s="311"/>
      <c r="EC43" s="311"/>
      <c r="ED43" s="309"/>
      <c r="EE43" s="310"/>
      <c r="EF43" s="311"/>
      <c r="EG43" s="311"/>
      <c r="EH43" s="309"/>
      <c r="EI43" s="310"/>
      <c r="EJ43" s="311"/>
      <c r="EK43" s="311"/>
      <c r="EL43" s="309"/>
      <c r="EM43" s="310"/>
      <c r="EN43" s="311"/>
      <c r="EO43" s="311"/>
      <c r="EP43" s="309"/>
      <c r="EQ43" s="310"/>
      <c r="ER43" s="311"/>
      <c r="ES43" s="311"/>
      <c r="ET43" s="309"/>
      <c r="EU43" s="310"/>
      <c r="EV43" s="311"/>
      <c r="EW43" s="311"/>
      <c r="EX43" s="309"/>
      <c r="EY43" s="310"/>
      <c r="EZ43" s="311"/>
      <c r="FA43" s="311"/>
      <c r="FB43" s="309"/>
      <c r="FC43" s="310"/>
      <c r="FD43" s="311"/>
      <c r="FE43" s="311"/>
      <c r="FF43" s="309"/>
      <c r="FG43" s="310"/>
      <c r="FH43" s="311"/>
      <c r="FI43" s="311"/>
      <c r="FJ43" s="309"/>
      <c r="FK43" s="310"/>
      <c r="FL43" s="311"/>
      <c r="FM43" s="311"/>
      <c r="FN43" s="309"/>
      <c r="FO43" s="310"/>
      <c r="FP43" s="311"/>
      <c r="FQ43" s="311"/>
      <c r="FR43" s="309"/>
      <c r="FS43" s="310"/>
      <c r="FT43" s="311"/>
      <c r="FU43" s="311"/>
      <c r="FV43" s="309"/>
      <c r="FW43" s="310"/>
      <c r="FX43" s="311"/>
      <c r="FY43" s="311"/>
      <c r="FZ43" s="309"/>
      <c r="GA43" s="310"/>
      <c r="GB43" s="311"/>
      <c r="GC43" s="311"/>
      <c r="GD43" s="309"/>
      <c r="GE43" s="310"/>
      <c r="GF43" s="311"/>
      <c r="GG43" s="311"/>
      <c r="GH43" s="309"/>
      <c r="GI43" s="310"/>
      <c r="GJ43" s="311"/>
      <c r="GK43" s="311"/>
      <c r="GL43" s="309"/>
      <c r="GM43" s="310"/>
      <c r="GN43" s="311"/>
      <c r="GO43" s="311"/>
      <c r="GP43" s="309"/>
      <c r="GQ43" s="310"/>
      <c r="GR43" s="311"/>
      <c r="GS43" s="311"/>
      <c r="GT43" s="309"/>
      <c r="GU43" s="310"/>
      <c r="GV43" s="311"/>
      <c r="GW43" s="311"/>
      <c r="GX43" s="309"/>
      <c r="GY43" s="310"/>
      <c r="GZ43" s="311"/>
      <c r="HA43" s="311"/>
      <c r="HB43" s="309"/>
      <c r="HC43" s="312">
        <f t="shared" si="66"/>
        <v>0</v>
      </c>
      <c r="HD43" s="313">
        <f t="shared" si="66"/>
        <v>0</v>
      </c>
      <c r="HE43" s="313">
        <f t="shared" si="66"/>
        <v>0</v>
      </c>
      <c r="HF43" s="314"/>
      <c r="HG43" s="312">
        <f>SUM(SUMIFS(K43:HB43,$K$13:$HB$13,{"エネルギー管理指定工場等*","県域*"}))</f>
        <v>0</v>
      </c>
      <c r="HH43" s="313">
        <f>SUM(SUMIFS(L43:HC43,$K$13:$HB$13,{"エネルギー管理指定工場等*","県域*"}))</f>
        <v>0</v>
      </c>
      <c r="HI43" s="313">
        <f>SUM(SUMIFS(M43:HD43,$K$13:$HB$13,{"エネルギー管理指定工場等*","県域*"}))</f>
        <v>0</v>
      </c>
      <c r="HJ43" s="314"/>
      <c r="HL43" s="230">
        <v>34</v>
      </c>
      <c r="HM43" s="714" t="str">
        <f t="shared" ca="1" si="67"/>
        <v/>
      </c>
      <c r="HN43" s="715" t="str">
        <f ca="1">IF(COUNTIF(HN$10:HN42,OFFSET(A1_原単位2025,5,HL43+2))&gt;=1,"",OFFSET(A1_原単位2025,5,HL43+2)&amp;"")</f>
        <v/>
      </c>
      <c r="HO43" s="716" t="str">
        <f t="shared" ca="1" si="50"/>
        <v/>
      </c>
      <c r="HP43" s="717" t="str">
        <f t="shared" ca="1" si="68"/>
        <v/>
      </c>
      <c r="HQ43" s="714" t="str">
        <f t="shared" ca="1" si="69"/>
        <v/>
      </c>
      <c r="HR43" s="715" t="str">
        <f ca="1">IF(COUNTIF(HR$10:HR42,OFFSET(A1_原単位2025,17,HL43+2))&gt;=1,"",OFFSET(A1_原単位2025,17,HL43+2)&amp;"")</f>
        <v/>
      </c>
      <c r="HS43" s="718" t="str">
        <f t="shared" ca="1" si="53"/>
        <v/>
      </c>
      <c r="HT43" s="719" t="str">
        <f t="shared" ca="1" si="70"/>
        <v/>
      </c>
      <c r="HU43" s="714" t="str">
        <f t="shared" ca="1" si="71"/>
        <v/>
      </c>
      <c r="HV43" s="715" t="str">
        <f ca="1">IF(COUNTIF(HV$10:HV42,OFFSET(A1_原単位2025,29,HL43+2))&gt;=1,"",OFFSET(A1_原単位2025,29,HL43+2)&amp;"")</f>
        <v/>
      </c>
      <c r="HW43" s="718" t="str">
        <f t="shared" ca="1" si="56"/>
        <v/>
      </c>
      <c r="HX43" s="719" t="str">
        <f t="shared" ca="1" si="72"/>
        <v/>
      </c>
      <c r="HY43" s="714" t="str">
        <f t="shared" ca="1" si="73"/>
        <v/>
      </c>
      <c r="HZ43" s="715" t="str">
        <f ca="1">IF(COUNTIF(HZ$10:HZ42,OFFSET(A1_原単位2025,41,HL43+2))&gt;=1,"",OFFSET(A1_原単位2025,41,HL43+2)&amp;"")</f>
        <v/>
      </c>
      <c r="IA43" s="720" t="str">
        <f t="shared" ca="1" si="59"/>
        <v/>
      </c>
      <c r="IB43" s="721" t="str">
        <f t="shared" ca="1" si="74"/>
        <v/>
      </c>
      <c r="IE43" s="159" t="str">
        <f t="shared" ca="1" si="75"/>
        <v/>
      </c>
      <c r="IF43" s="159" t="str">
        <f t="shared" ca="1" si="76"/>
        <v/>
      </c>
      <c r="IG43" s="159" t="str">
        <f t="shared" ca="1" si="77"/>
        <v/>
      </c>
      <c r="IH43" s="159" t="str">
        <f t="shared" ca="1" si="78"/>
        <v/>
      </c>
    </row>
    <row r="44" spans="2:242" s="164" customFormat="1" ht="20.100000000000001" customHeight="1">
      <c r="B44" s="302"/>
      <c r="C44" s="303" t="s">
        <v>459</v>
      </c>
      <c r="D44" s="304"/>
      <c r="E44" s="305"/>
      <c r="F44" s="303" t="s">
        <v>457</v>
      </c>
      <c r="G44" s="308"/>
      <c r="H44" s="309"/>
      <c r="I44" s="310"/>
      <c r="J44" s="315"/>
      <c r="K44" s="310"/>
      <c r="L44" s="311"/>
      <c r="M44" s="311"/>
      <c r="N44" s="309"/>
      <c r="O44" s="310"/>
      <c r="P44" s="311"/>
      <c r="Q44" s="311"/>
      <c r="R44" s="309"/>
      <c r="S44" s="310"/>
      <c r="T44" s="311"/>
      <c r="U44" s="311"/>
      <c r="V44" s="309"/>
      <c r="W44" s="310"/>
      <c r="X44" s="311"/>
      <c r="Y44" s="311"/>
      <c r="Z44" s="309"/>
      <c r="AA44" s="310"/>
      <c r="AB44" s="311"/>
      <c r="AC44" s="311"/>
      <c r="AD44" s="309"/>
      <c r="AE44" s="310"/>
      <c r="AF44" s="311"/>
      <c r="AG44" s="311"/>
      <c r="AH44" s="309"/>
      <c r="AI44" s="310"/>
      <c r="AJ44" s="311"/>
      <c r="AK44" s="311"/>
      <c r="AL44" s="309"/>
      <c r="AM44" s="310"/>
      <c r="AN44" s="311"/>
      <c r="AO44" s="311"/>
      <c r="AP44" s="309"/>
      <c r="AQ44" s="310"/>
      <c r="AR44" s="311"/>
      <c r="AS44" s="311"/>
      <c r="AT44" s="309"/>
      <c r="AU44" s="310"/>
      <c r="AV44" s="311"/>
      <c r="AW44" s="311"/>
      <c r="AX44" s="309"/>
      <c r="AY44" s="310"/>
      <c r="AZ44" s="311"/>
      <c r="BA44" s="311"/>
      <c r="BB44" s="309"/>
      <c r="BC44" s="310"/>
      <c r="BD44" s="311"/>
      <c r="BE44" s="311"/>
      <c r="BF44" s="309"/>
      <c r="BG44" s="310"/>
      <c r="BH44" s="311"/>
      <c r="BI44" s="311"/>
      <c r="BJ44" s="309"/>
      <c r="BK44" s="310"/>
      <c r="BL44" s="311"/>
      <c r="BM44" s="311"/>
      <c r="BN44" s="309"/>
      <c r="BO44" s="310"/>
      <c r="BP44" s="311"/>
      <c r="BQ44" s="311"/>
      <c r="BR44" s="309"/>
      <c r="BS44" s="310"/>
      <c r="BT44" s="311"/>
      <c r="BU44" s="311"/>
      <c r="BV44" s="309"/>
      <c r="BW44" s="310"/>
      <c r="BX44" s="311"/>
      <c r="BY44" s="311"/>
      <c r="BZ44" s="309"/>
      <c r="CA44" s="310"/>
      <c r="CB44" s="311"/>
      <c r="CC44" s="311"/>
      <c r="CD44" s="309"/>
      <c r="CE44" s="310"/>
      <c r="CF44" s="311"/>
      <c r="CG44" s="311"/>
      <c r="CH44" s="309"/>
      <c r="CI44" s="310"/>
      <c r="CJ44" s="311"/>
      <c r="CK44" s="311"/>
      <c r="CL44" s="309"/>
      <c r="CM44" s="310"/>
      <c r="CN44" s="311"/>
      <c r="CO44" s="311"/>
      <c r="CP44" s="309"/>
      <c r="CQ44" s="310"/>
      <c r="CR44" s="311"/>
      <c r="CS44" s="311"/>
      <c r="CT44" s="309"/>
      <c r="CU44" s="310"/>
      <c r="CV44" s="311"/>
      <c r="CW44" s="311"/>
      <c r="CX44" s="309"/>
      <c r="CY44" s="310"/>
      <c r="CZ44" s="311"/>
      <c r="DA44" s="311"/>
      <c r="DB44" s="309"/>
      <c r="DC44" s="310"/>
      <c r="DD44" s="311"/>
      <c r="DE44" s="311"/>
      <c r="DF44" s="309"/>
      <c r="DG44" s="310"/>
      <c r="DH44" s="311"/>
      <c r="DI44" s="311"/>
      <c r="DJ44" s="309"/>
      <c r="DK44" s="310"/>
      <c r="DL44" s="311"/>
      <c r="DM44" s="311"/>
      <c r="DN44" s="309"/>
      <c r="DO44" s="310"/>
      <c r="DP44" s="311"/>
      <c r="DQ44" s="311"/>
      <c r="DR44" s="309"/>
      <c r="DS44" s="310"/>
      <c r="DT44" s="311"/>
      <c r="DU44" s="311"/>
      <c r="DV44" s="309"/>
      <c r="DW44" s="310"/>
      <c r="DX44" s="311"/>
      <c r="DY44" s="311"/>
      <c r="DZ44" s="309"/>
      <c r="EA44" s="310"/>
      <c r="EB44" s="311"/>
      <c r="EC44" s="311"/>
      <c r="ED44" s="309"/>
      <c r="EE44" s="310"/>
      <c r="EF44" s="311"/>
      <c r="EG44" s="311"/>
      <c r="EH44" s="309"/>
      <c r="EI44" s="310"/>
      <c r="EJ44" s="311"/>
      <c r="EK44" s="311"/>
      <c r="EL44" s="309"/>
      <c r="EM44" s="310"/>
      <c r="EN44" s="311"/>
      <c r="EO44" s="311"/>
      <c r="EP44" s="309"/>
      <c r="EQ44" s="310"/>
      <c r="ER44" s="311"/>
      <c r="ES44" s="311"/>
      <c r="ET44" s="309"/>
      <c r="EU44" s="310"/>
      <c r="EV44" s="311"/>
      <c r="EW44" s="311"/>
      <c r="EX44" s="309"/>
      <c r="EY44" s="310"/>
      <c r="EZ44" s="311"/>
      <c r="FA44" s="311"/>
      <c r="FB44" s="309"/>
      <c r="FC44" s="310"/>
      <c r="FD44" s="311"/>
      <c r="FE44" s="311"/>
      <c r="FF44" s="309"/>
      <c r="FG44" s="310"/>
      <c r="FH44" s="311"/>
      <c r="FI44" s="311"/>
      <c r="FJ44" s="309"/>
      <c r="FK44" s="310"/>
      <c r="FL44" s="311"/>
      <c r="FM44" s="311"/>
      <c r="FN44" s="309"/>
      <c r="FO44" s="310"/>
      <c r="FP44" s="311"/>
      <c r="FQ44" s="311"/>
      <c r="FR44" s="309"/>
      <c r="FS44" s="310"/>
      <c r="FT44" s="311"/>
      <c r="FU44" s="311"/>
      <c r="FV44" s="309"/>
      <c r="FW44" s="310"/>
      <c r="FX44" s="311"/>
      <c r="FY44" s="311"/>
      <c r="FZ44" s="309"/>
      <c r="GA44" s="310"/>
      <c r="GB44" s="311"/>
      <c r="GC44" s="311"/>
      <c r="GD44" s="309"/>
      <c r="GE44" s="310"/>
      <c r="GF44" s="311"/>
      <c r="GG44" s="311"/>
      <c r="GH44" s="309"/>
      <c r="GI44" s="310"/>
      <c r="GJ44" s="311"/>
      <c r="GK44" s="311"/>
      <c r="GL44" s="309"/>
      <c r="GM44" s="310"/>
      <c r="GN44" s="311"/>
      <c r="GO44" s="311"/>
      <c r="GP44" s="309"/>
      <c r="GQ44" s="310"/>
      <c r="GR44" s="311"/>
      <c r="GS44" s="311"/>
      <c r="GT44" s="309"/>
      <c r="GU44" s="310"/>
      <c r="GV44" s="311"/>
      <c r="GW44" s="311"/>
      <c r="GX44" s="309"/>
      <c r="GY44" s="310"/>
      <c r="GZ44" s="311"/>
      <c r="HA44" s="311"/>
      <c r="HB44" s="309"/>
      <c r="HC44" s="312">
        <f t="shared" si="66"/>
        <v>0</v>
      </c>
      <c r="HD44" s="313">
        <f t="shared" si="66"/>
        <v>0</v>
      </c>
      <c r="HE44" s="313">
        <f t="shared" si="66"/>
        <v>0</v>
      </c>
      <c r="HF44" s="314"/>
      <c r="HG44" s="312">
        <f>SUM(SUMIFS(K44:HB44,$K$13:$HB$13,{"エネルギー管理指定工場等*","県域*"}))</f>
        <v>0</v>
      </c>
      <c r="HH44" s="313">
        <f>SUM(SUMIFS(L44:HC44,$K$13:$HB$13,{"エネルギー管理指定工場等*","県域*"}))</f>
        <v>0</v>
      </c>
      <c r="HI44" s="313">
        <f>SUM(SUMIFS(M44:HD44,$K$13:$HB$13,{"エネルギー管理指定工場等*","県域*"}))</f>
        <v>0</v>
      </c>
      <c r="HJ44" s="314"/>
      <c r="HL44" s="219">
        <v>35</v>
      </c>
      <c r="HM44" s="714" t="str">
        <f t="shared" ca="1" si="67"/>
        <v/>
      </c>
      <c r="HN44" s="715" t="str">
        <f ca="1">IF(COUNTIF(HN$10:HN43,OFFSET(A1_原単位2025,5,HL44+2))&gt;=1,"",OFFSET(A1_原単位2025,5,HL44+2)&amp;"")</f>
        <v/>
      </c>
      <c r="HO44" s="716" t="str">
        <f t="shared" ca="1" si="50"/>
        <v/>
      </c>
      <c r="HP44" s="717" t="str">
        <f t="shared" ca="1" si="68"/>
        <v/>
      </c>
      <c r="HQ44" s="714" t="str">
        <f t="shared" ca="1" si="69"/>
        <v/>
      </c>
      <c r="HR44" s="715" t="str">
        <f ca="1">IF(COUNTIF(HR$10:HR43,OFFSET(A1_原単位2025,17,HL44+2))&gt;=1,"",OFFSET(A1_原単位2025,17,HL44+2)&amp;"")</f>
        <v/>
      </c>
      <c r="HS44" s="718" t="str">
        <f t="shared" ca="1" si="53"/>
        <v/>
      </c>
      <c r="HT44" s="719" t="str">
        <f t="shared" ca="1" si="70"/>
        <v/>
      </c>
      <c r="HU44" s="714" t="str">
        <f t="shared" ca="1" si="71"/>
        <v/>
      </c>
      <c r="HV44" s="715" t="str">
        <f ca="1">IF(COUNTIF(HV$10:HV43,OFFSET(A1_原単位2025,29,HL44+2))&gt;=1,"",OFFSET(A1_原単位2025,29,HL44+2)&amp;"")</f>
        <v/>
      </c>
      <c r="HW44" s="718" t="str">
        <f t="shared" ca="1" si="56"/>
        <v/>
      </c>
      <c r="HX44" s="719" t="str">
        <f t="shared" ca="1" si="72"/>
        <v/>
      </c>
      <c r="HY44" s="714" t="str">
        <f t="shared" ca="1" si="73"/>
        <v/>
      </c>
      <c r="HZ44" s="715" t="str">
        <f ca="1">IF(COUNTIF(HZ$10:HZ43,OFFSET(A1_原単位2025,41,HL44+2))&gt;=1,"",OFFSET(A1_原単位2025,41,HL44+2)&amp;"")</f>
        <v/>
      </c>
      <c r="IA44" s="720" t="str">
        <f t="shared" ca="1" si="59"/>
        <v/>
      </c>
      <c r="IB44" s="721" t="str">
        <f t="shared" ca="1" si="74"/>
        <v/>
      </c>
      <c r="IE44" s="159" t="str">
        <f t="shared" ca="1" si="75"/>
        <v/>
      </c>
      <c r="IF44" s="159" t="str">
        <f t="shared" ca="1" si="76"/>
        <v/>
      </c>
      <c r="IG44" s="159" t="str">
        <f t="shared" ca="1" si="77"/>
        <v/>
      </c>
      <c r="IH44" s="159" t="str">
        <f t="shared" ca="1" si="78"/>
        <v/>
      </c>
    </row>
    <row r="45" spans="2:242" s="164" customFormat="1" ht="20.100000000000001" customHeight="1">
      <c r="B45" s="320"/>
      <c r="C45" s="303" t="s">
        <v>1372</v>
      </c>
      <c r="D45" s="321"/>
      <c r="E45" s="322"/>
      <c r="F45" s="323"/>
      <c r="G45" s="310"/>
      <c r="H45" s="315"/>
      <c r="I45" s="310"/>
      <c r="J45" s="315"/>
      <c r="K45" s="310"/>
      <c r="L45" s="311"/>
      <c r="M45" s="311"/>
      <c r="N45" s="309"/>
      <c r="O45" s="310"/>
      <c r="P45" s="311"/>
      <c r="Q45" s="311"/>
      <c r="R45" s="309"/>
      <c r="S45" s="310"/>
      <c r="T45" s="311"/>
      <c r="U45" s="311"/>
      <c r="V45" s="309"/>
      <c r="W45" s="310"/>
      <c r="X45" s="311"/>
      <c r="Y45" s="311"/>
      <c r="Z45" s="309"/>
      <c r="AA45" s="310"/>
      <c r="AB45" s="311"/>
      <c r="AC45" s="311"/>
      <c r="AD45" s="309"/>
      <c r="AE45" s="310"/>
      <c r="AF45" s="311"/>
      <c r="AG45" s="311"/>
      <c r="AH45" s="309"/>
      <c r="AI45" s="310"/>
      <c r="AJ45" s="311"/>
      <c r="AK45" s="311"/>
      <c r="AL45" s="309"/>
      <c r="AM45" s="310"/>
      <c r="AN45" s="311"/>
      <c r="AO45" s="311"/>
      <c r="AP45" s="309"/>
      <c r="AQ45" s="310"/>
      <c r="AR45" s="311"/>
      <c r="AS45" s="311"/>
      <c r="AT45" s="309"/>
      <c r="AU45" s="310"/>
      <c r="AV45" s="311"/>
      <c r="AW45" s="311"/>
      <c r="AX45" s="309"/>
      <c r="AY45" s="310"/>
      <c r="AZ45" s="311"/>
      <c r="BA45" s="311"/>
      <c r="BB45" s="309"/>
      <c r="BC45" s="310"/>
      <c r="BD45" s="311"/>
      <c r="BE45" s="311"/>
      <c r="BF45" s="309"/>
      <c r="BG45" s="310"/>
      <c r="BH45" s="311"/>
      <c r="BI45" s="311"/>
      <c r="BJ45" s="309"/>
      <c r="BK45" s="310"/>
      <c r="BL45" s="311"/>
      <c r="BM45" s="311"/>
      <c r="BN45" s="309"/>
      <c r="BO45" s="310"/>
      <c r="BP45" s="311"/>
      <c r="BQ45" s="311"/>
      <c r="BR45" s="309"/>
      <c r="BS45" s="310"/>
      <c r="BT45" s="311"/>
      <c r="BU45" s="311"/>
      <c r="BV45" s="309"/>
      <c r="BW45" s="310"/>
      <c r="BX45" s="311"/>
      <c r="BY45" s="311"/>
      <c r="BZ45" s="309"/>
      <c r="CA45" s="310"/>
      <c r="CB45" s="311"/>
      <c r="CC45" s="311"/>
      <c r="CD45" s="309"/>
      <c r="CE45" s="310"/>
      <c r="CF45" s="311"/>
      <c r="CG45" s="311"/>
      <c r="CH45" s="309"/>
      <c r="CI45" s="310"/>
      <c r="CJ45" s="311"/>
      <c r="CK45" s="311"/>
      <c r="CL45" s="309"/>
      <c r="CM45" s="310"/>
      <c r="CN45" s="311"/>
      <c r="CO45" s="311"/>
      <c r="CP45" s="309"/>
      <c r="CQ45" s="310"/>
      <c r="CR45" s="311"/>
      <c r="CS45" s="311"/>
      <c r="CT45" s="309"/>
      <c r="CU45" s="310"/>
      <c r="CV45" s="311"/>
      <c r="CW45" s="311"/>
      <c r="CX45" s="309"/>
      <c r="CY45" s="310"/>
      <c r="CZ45" s="311"/>
      <c r="DA45" s="311"/>
      <c r="DB45" s="309"/>
      <c r="DC45" s="310"/>
      <c r="DD45" s="311"/>
      <c r="DE45" s="311"/>
      <c r="DF45" s="309"/>
      <c r="DG45" s="310"/>
      <c r="DH45" s="311"/>
      <c r="DI45" s="311"/>
      <c r="DJ45" s="309"/>
      <c r="DK45" s="310"/>
      <c r="DL45" s="311"/>
      <c r="DM45" s="311"/>
      <c r="DN45" s="309"/>
      <c r="DO45" s="310"/>
      <c r="DP45" s="311"/>
      <c r="DQ45" s="311"/>
      <c r="DR45" s="309"/>
      <c r="DS45" s="310"/>
      <c r="DT45" s="311"/>
      <c r="DU45" s="311"/>
      <c r="DV45" s="309"/>
      <c r="DW45" s="310"/>
      <c r="DX45" s="311"/>
      <c r="DY45" s="311"/>
      <c r="DZ45" s="309"/>
      <c r="EA45" s="310"/>
      <c r="EB45" s="311"/>
      <c r="EC45" s="311"/>
      <c r="ED45" s="309"/>
      <c r="EE45" s="310"/>
      <c r="EF45" s="311"/>
      <c r="EG45" s="311"/>
      <c r="EH45" s="309"/>
      <c r="EI45" s="310"/>
      <c r="EJ45" s="311"/>
      <c r="EK45" s="311"/>
      <c r="EL45" s="309"/>
      <c r="EM45" s="310"/>
      <c r="EN45" s="311"/>
      <c r="EO45" s="311"/>
      <c r="EP45" s="309"/>
      <c r="EQ45" s="310"/>
      <c r="ER45" s="311"/>
      <c r="ES45" s="311"/>
      <c r="ET45" s="309"/>
      <c r="EU45" s="310"/>
      <c r="EV45" s="311"/>
      <c r="EW45" s="311"/>
      <c r="EX45" s="309"/>
      <c r="EY45" s="310"/>
      <c r="EZ45" s="311"/>
      <c r="FA45" s="311"/>
      <c r="FB45" s="309"/>
      <c r="FC45" s="310"/>
      <c r="FD45" s="311"/>
      <c r="FE45" s="311"/>
      <c r="FF45" s="309"/>
      <c r="FG45" s="310"/>
      <c r="FH45" s="311"/>
      <c r="FI45" s="311"/>
      <c r="FJ45" s="309"/>
      <c r="FK45" s="310"/>
      <c r="FL45" s="311"/>
      <c r="FM45" s="311"/>
      <c r="FN45" s="309"/>
      <c r="FO45" s="310"/>
      <c r="FP45" s="311"/>
      <c r="FQ45" s="311"/>
      <c r="FR45" s="309"/>
      <c r="FS45" s="310"/>
      <c r="FT45" s="311"/>
      <c r="FU45" s="311"/>
      <c r="FV45" s="309"/>
      <c r="FW45" s="310"/>
      <c r="FX45" s="311"/>
      <c r="FY45" s="311"/>
      <c r="FZ45" s="309"/>
      <c r="GA45" s="310"/>
      <c r="GB45" s="311"/>
      <c r="GC45" s="311"/>
      <c r="GD45" s="309"/>
      <c r="GE45" s="310"/>
      <c r="GF45" s="311"/>
      <c r="GG45" s="311"/>
      <c r="GH45" s="309"/>
      <c r="GI45" s="310"/>
      <c r="GJ45" s="311"/>
      <c r="GK45" s="311"/>
      <c r="GL45" s="309"/>
      <c r="GM45" s="310"/>
      <c r="GN45" s="311"/>
      <c r="GO45" s="311"/>
      <c r="GP45" s="309"/>
      <c r="GQ45" s="310"/>
      <c r="GR45" s="311"/>
      <c r="GS45" s="311"/>
      <c r="GT45" s="309"/>
      <c r="GU45" s="310"/>
      <c r="GV45" s="311"/>
      <c r="GW45" s="311"/>
      <c r="GX45" s="309"/>
      <c r="GY45" s="310"/>
      <c r="GZ45" s="311"/>
      <c r="HA45" s="311"/>
      <c r="HB45" s="309"/>
      <c r="HC45" s="312">
        <f t="shared" si="66"/>
        <v>0</v>
      </c>
      <c r="HD45" s="313">
        <f t="shared" si="66"/>
        <v>0</v>
      </c>
      <c r="HE45" s="313">
        <f t="shared" si="66"/>
        <v>0</v>
      </c>
      <c r="HF45" s="314"/>
      <c r="HG45" s="312">
        <f>SUM(SUMIFS(K45:HB45,$K$13:$HB$13,{"エネルギー管理指定工場等*","県域*"}))</f>
        <v>0</v>
      </c>
      <c r="HH45" s="313">
        <f>SUM(SUMIFS(L45:HC45,$K$13:$HB$13,{"エネルギー管理指定工場等*","県域*"}))</f>
        <v>0</v>
      </c>
      <c r="HI45" s="313">
        <f>SUM(SUMIFS(M45:HD45,$K$13:$HB$13,{"エネルギー管理指定工場等*","県域*"}))</f>
        <v>0</v>
      </c>
      <c r="HJ45" s="314"/>
      <c r="HL45" s="219">
        <v>36</v>
      </c>
      <c r="HM45" s="714" t="str">
        <f t="shared" ca="1" si="67"/>
        <v/>
      </c>
      <c r="HN45" s="715" t="str">
        <f ca="1">IF(COUNTIF(HN$10:HN44,OFFSET(A1_原単位2025,5,HL45+2))&gt;=1,"",OFFSET(A1_原単位2025,5,HL45+2)&amp;"")</f>
        <v/>
      </c>
      <c r="HO45" s="716" t="str">
        <f t="shared" ca="1" si="50"/>
        <v/>
      </c>
      <c r="HP45" s="717" t="str">
        <f t="shared" ca="1" si="68"/>
        <v/>
      </c>
      <c r="HQ45" s="714" t="str">
        <f t="shared" ca="1" si="69"/>
        <v/>
      </c>
      <c r="HR45" s="715" t="str">
        <f ca="1">IF(COUNTIF(HR$10:HR44,OFFSET(A1_原単位2025,17,HL45+2))&gt;=1,"",OFFSET(A1_原単位2025,17,HL45+2)&amp;"")</f>
        <v/>
      </c>
      <c r="HS45" s="718" t="str">
        <f t="shared" ca="1" si="53"/>
        <v/>
      </c>
      <c r="HT45" s="719" t="str">
        <f t="shared" ca="1" si="70"/>
        <v/>
      </c>
      <c r="HU45" s="714" t="str">
        <f t="shared" ca="1" si="71"/>
        <v/>
      </c>
      <c r="HV45" s="715" t="str">
        <f ca="1">IF(COUNTIF(HV$10:HV44,OFFSET(A1_原単位2025,29,HL45+2))&gt;=1,"",OFFSET(A1_原単位2025,29,HL45+2)&amp;"")</f>
        <v/>
      </c>
      <c r="HW45" s="718" t="str">
        <f t="shared" ca="1" si="56"/>
        <v/>
      </c>
      <c r="HX45" s="719" t="str">
        <f t="shared" ca="1" si="72"/>
        <v/>
      </c>
      <c r="HY45" s="714" t="str">
        <f t="shared" ca="1" si="73"/>
        <v/>
      </c>
      <c r="HZ45" s="715" t="str">
        <f ca="1">IF(COUNTIF(HZ$10:HZ44,OFFSET(A1_原単位2025,41,HL45+2))&gt;=1,"",OFFSET(A1_原単位2025,41,HL45+2)&amp;"")</f>
        <v/>
      </c>
      <c r="IA45" s="720" t="str">
        <f t="shared" ca="1" si="59"/>
        <v/>
      </c>
      <c r="IB45" s="721" t="str">
        <f t="shared" ca="1" si="74"/>
        <v/>
      </c>
      <c r="IE45" s="159" t="str">
        <f t="shared" ca="1" si="75"/>
        <v/>
      </c>
      <c r="IF45" s="159" t="str">
        <f t="shared" ca="1" si="76"/>
        <v/>
      </c>
      <c r="IG45" s="159" t="str">
        <f t="shared" ca="1" si="77"/>
        <v/>
      </c>
      <c r="IH45" s="159" t="str">
        <f t="shared" ca="1" si="78"/>
        <v/>
      </c>
    </row>
    <row r="46" spans="2:242" s="164" customFormat="1" ht="20.100000000000001" customHeight="1">
      <c r="B46" s="324" t="s">
        <v>1373</v>
      </c>
      <c r="C46" s="303" t="s">
        <v>588</v>
      </c>
      <c r="D46" s="304"/>
      <c r="E46" s="305"/>
      <c r="F46" s="303" t="s">
        <v>455</v>
      </c>
      <c r="G46" s="306">
        <v>13.6</v>
      </c>
      <c r="H46" s="309"/>
      <c r="I46" s="308"/>
      <c r="J46" s="309"/>
      <c r="K46" s="310"/>
      <c r="L46" s="311"/>
      <c r="M46" s="311"/>
      <c r="N46" s="309"/>
      <c r="O46" s="310"/>
      <c r="P46" s="311"/>
      <c r="Q46" s="311"/>
      <c r="R46" s="309"/>
      <c r="S46" s="310"/>
      <c r="T46" s="311"/>
      <c r="U46" s="311"/>
      <c r="V46" s="309"/>
      <c r="W46" s="310"/>
      <c r="X46" s="311"/>
      <c r="Y46" s="311"/>
      <c r="Z46" s="309"/>
      <c r="AA46" s="310"/>
      <c r="AB46" s="311"/>
      <c r="AC46" s="311"/>
      <c r="AD46" s="309"/>
      <c r="AE46" s="310"/>
      <c r="AF46" s="311"/>
      <c r="AG46" s="311"/>
      <c r="AH46" s="309"/>
      <c r="AI46" s="310"/>
      <c r="AJ46" s="311"/>
      <c r="AK46" s="311"/>
      <c r="AL46" s="309"/>
      <c r="AM46" s="310"/>
      <c r="AN46" s="311"/>
      <c r="AO46" s="311"/>
      <c r="AP46" s="309"/>
      <c r="AQ46" s="310"/>
      <c r="AR46" s="311"/>
      <c r="AS46" s="311"/>
      <c r="AT46" s="309"/>
      <c r="AU46" s="310"/>
      <c r="AV46" s="311"/>
      <c r="AW46" s="311"/>
      <c r="AX46" s="309"/>
      <c r="AY46" s="310"/>
      <c r="AZ46" s="311"/>
      <c r="BA46" s="311"/>
      <c r="BB46" s="309"/>
      <c r="BC46" s="310"/>
      <c r="BD46" s="311"/>
      <c r="BE46" s="311"/>
      <c r="BF46" s="309"/>
      <c r="BG46" s="310"/>
      <c r="BH46" s="311"/>
      <c r="BI46" s="311"/>
      <c r="BJ46" s="309"/>
      <c r="BK46" s="310"/>
      <c r="BL46" s="311"/>
      <c r="BM46" s="311"/>
      <c r="BN46" s="309"/>
      <c r="BO46" s="310"/>
      <c r="BP46" s="311"/>
      <c r="BQ46" s="311"/>
      <c r="BR46" s="309"/>
      <c r="BS46" s="310"/>
      <c r="BT46" s="311"/>
      <c r="BU46" s="311"/>
      <c r="BV46" s="309"/>
      <c r="BW46" s="310"/>
      <c r="BX46" s="311"/>
      <c r="BY46" s="311"/>
      <c r="BZ46" s="309"/>
      <c r="CA46" s="310"/>
      <c r="CB46" s="311"/>
      <c r="CC46" s="311"/>
      <c r="CD46" s="309"/>
      <c r="CE46" s="310"/>
      <c r="CF46" s="311"/>
      <c r="CG46" s="311"/>
      <c r="CH46" s="309"/>
      <c r="CI46" s="310"/>
      <c r="CJ46" s="311"/>
      <c r="CK46" s="311"/>
      <c r="CL46" s="309"/>
      <c r="CM46" s="310"/>
      <c r="CN46" s="311"/>
      <c r="CO46" s="311"/>
      <c r="CP46" s="309"/>
      <c r="CQ46" s="310"/>
      <c r="CR46" s="311"/>
      <c r="CS46" s="311"/>
      <c r="CT46" s="309"/>
      <c r="CU46" s="310"/>
      <c r="CV46" s="311"/>
      <c r="CW46" s="311"/>
      <c r="CX46" s="309"/>
      <c r="CY46" s="310"/>
      <c r="CZ46" s="311"/>
      <c r="DA46" s="311"/>
      <c r="DB46" s="309"/>
      <c r="DC46" s="310"/>
      <c r="DD46" s="311"/>
      <c r="DE46" s="311"/>
      <c r="DF46" s="309"/>
      <c r="DG46" s="310"/>
      <c r="DH46" s="311"/>
      <c r="DI46" s="311"/>
      <c r="DJ46" s="309"/>
      <c r="DK46" s="310"/>
      <c r="DL46" s="311"/>
      <c r="DM46" s="311"/>
      <c r="DN46" s="309"/>
      <c r="DO46" s="310"/>
      <c r="DP46" s="311"/>
      <c r="DQ46" s="311"/>
      <c r="DR46" s="309"/>
      <c r="DS46" s="310"/>
      <c r="DT46" s="311"/>
      <c r="DU46" s="311"/>
      <c r="DV46" s="309"/>
      <c r="DW46" s="310"/>
      <c r="DX46" s="311"/>
      <c r="DY46" s="311"/>
      <c r="DZ46" s="309"/>
      <c r="EA46" s="310"/>
      <c r="EB46" s="311"/>
      <c r="EC46" s="311"/>
      <c r="ED46" s="309"/>
      <c r="EE46" s="310"/>
      <c r="EF46" s="311"/>
      <c r="EG46" s="311"/>
      <c r="EH46" s="309"/>
      <c r="EI46" s="310"/>
      <c r="EJ46" s="311"/>
      <c r="EK46" s="311"/>
      <c r="EL46" s="309"/>
      <c r="EM46" s="310"/>
      <c r="EN46" s="311"/>
      <c r="EO46" s="311"/>
      <c r="EP46" s="309"/>
      <c r="EQ46" s="310"/>
      <c r="ER46" s="311"/>
      <c r="ES46" s="311"/>
      <c r="ET46" s="309"/>
      <c r="EU46" s="310"/>
      <c r="EV46" s="311"/>
      <c r="EW46" s="311"/>
      <c r="EX46" s="309"/>
      <c r="EY46" s="310"/>
      <c r="EZ46" s="311"/>
      <c r="FA46" s="311"/>
      <c r="FB46" s="309"/>
      <c r="FC46" s="310"/>
      <c r="FD46" s="311"/>
      <c r="FE46" s="311"/>
      <c r="FF46" s="309"/>
      <c r="FG46" s="310"/>
      <c r="FH46" s="311"/>
      <c r="FI46" s="311"/>
      <c r="FJ46" s="309"/>
      <c r="FK46" s="310"/>
      <c r="FL46" s="311"/>
      <c r="FM46" s="311"/>
      <c r="FN46" s="309"/>
      <c r="FO46" s="310"/>
      <c r="FP46" s="311"/>
      <c r="FQ46" s="311"/>
      <c r="FR46" s="309"/>
      <c r="FS46" s="310"/>
      <c r="FT46" s="311"/>
      <c r="FU46" s="311"/>
      <c r="FV46" s="309"/>
      <c r="FW46" s="310"/>
      <c r="FX46" s="311"/>
      <c r="FY46" s="311"/>
      <c r="FZ46" s="309"/>
      <c r="GA46" s="310"/>
      <c r="GB46" s="311"/>
      <c r="GC46" s="311"/>
      <c r="GD46" s="309"/>
      <c r="GE46" s="310"/>
      <c r="GF46" s="311"/>
      <c r="GG46" s="311"/>
      <c r="GH46" s="309"/>
      <c r="GI46" s="310"/>
      <c r="GJ46" s="311"/>
      <c r="GK46" s="311"/>
      <c r="GL46" s="309"/>
      <c r="GM46" s="310"/>
      <c r="GN46" s="311"/>
      <c r="GO46" s="311"/>
      <c r="GP46" s="309"/>
      <c r="GQ46" s="310"/>
      <c r="GR46" s="311"/>
      <c r="GS46" s="311"/>
      <c r="GT46" s="309"/>
      <c r="GU46" s="310"/>
      <c r="GV46" s="311"/>
      <c r="GW46" s="311"/>
      <c r="GX46" s="309"/>
      <c r="GY46" s="310"/>
      <c r="GZ46" s="311"/>
      <c r="HA46" s="311"/>
      <c r="HB46" s="309"/>
      <c r="HC46" s="312">
        <f t="shared" si="66"/>
        <v>0</v>
      </c>
      <c r="HD46" s="313">
        <f t="shared" si="66"/>
        <v>0</v>
      </c>
      <c r="HE46" s="313">
        <f t="shared" si="66"/>
        <v>0</v>
      </c>
      <c r="HF46" s="314"/>
      <c r="HG46" s="312">
        <f>SUM(SUMIFS(K46:HB46,$K$13:$HB$13,{"エネルギー管理指定工場等*","県域*"}))</f>
        <v>0</v>
      </c>
      <c r="HH46" s="313">
        <f>SUM(SUMIFS(L46:HC46,$K$13:$HB$13,{"エネルギー管理指定工場等*","県域*"}))</f>
        <v>0</v>
      </c>
      <c r="HI46" s="313">
        <f>SUM(SUMIFS(M46:HD46,$K$13:$HB$13,{"エネルギー管理指定工場等*","県域*"}))</f>
        <v>0</v>
      </c>
      <c r="HJ46" s="314"/>
      <c r="HL46" s="230">
        <v>37</v>
      </c>
      <c r="HM46" s="714" t="str">
        <f t="shared" ca="1" si="67"/>
        <v/>
      </c>
      <c r="HN46" s="715" t="str">
        <f ca="1">IF(COUNTIF(HN$10:HN45,OFFSET(A1_原単位2025,5,HL46+2))&gt;=1,"",OFFSET(A1_原単位2025,5,HL46+2)&amp;"")</f>
        <v/>
      </c>
      <c r="HO46" s="716" t="str">
        <f t="shared" ca="1" si="50"/>
        <v/>
      </c>
      <c r="HP46" s="717" t="str">
        <f t="shared" ca="1" si="68"/>
        <v/>
      </c>
      <c r="HQ46" s="714" t="str">
        <f t="shared" ca="1" si="69"/>
        <v/>
      </c>
      <c r="HR46" s="715" t="str">
        <f ca="1">IF(COUNTIF(HR$10:HR45,OFFSET(A1_原単位2025,17,HL46+2))&gt;=1,"",OFFSET(A1_原単位2025,17,HL46+2)&amp;"")</f>
        <v/>
      </c>
      <c r="HS46" s="718" t="str">
        <f t="shared" ca="1" si="53"/>
        <v/>
      </c>
      <c r="HT46" s="719" t="str">
        <f t="shared" ca="1" si="70"/>
        <v/>
      </c>
      <c r="HU46" s="714" t="str">
        <f t="shared" ca="1" si="71"/>
        <v/>
      </c>
      <c r="HV46" s="715" t="str">
        <f ca="1">IF(COUNTIF(HV$10:HV45,OFFSET(A1_原単位2025,29,HL46+2))&gt;=1,"",OFFSET(A1_原単位2025,29,HL46+2)&amp;"")</f>
        <v/>
      </c>
      <c r="HW46" s="718" t="str">
        <f t="shared" ca="1" si="56"/>
        <v/>
      </c>
      <c r="HX46" s="719" t="str">
        <f t="shared" ca="1" si="72"/>
        <v/>
      </c>
      <c r="HY46" s="714" t="str">
        <f t="shared" ca="1" si="73"/>
        <v/>
      </c>
      <c r="HZ46" s="715" t="str">
        <f ca="1">IF(COUNTIF(HZ$10:HZ45,OFFSET(A1_原単位2025,41,HL46+2))&gt;=1,"",OFFSET(A1_原単位2025,41,HL46+2)&amp;"")</f>
        <v/>
      </c>
      <c r="IA46" s="720" t="str">
        <f t="shared" ca="1" si="59"/>
        <v/>
      </c>
      <c r="IB46" s="721" t="str">
        <f t="shared" ca="1" si="74"/>
        <v/>
      </c>
      <c r="IE46" s="159" t="str">
        <f t="shared" ca="1" si="75"/>
        <v/>
      </c>
      <c r="IF46" s="159" t="str">
        <f t="shared" ca="1" si="76"/>
        <v/>
      </c>
      <c r="IG46" s="159" t="str">
        <f t="shared" ca="1" si="77"/>
        <v/>
      </c>
      <c r="IH46" s="159" t="str">
        <f t="shared" ca="1" si="78"/>
        <v/>
      </c>
    </row>
    <row r="47" spans="2:242" s="164" customFormat="1" ht="20.100000000000001" customHeight="1">
      <c r="B47" s="302"/>
      <c r="C47" s="303" t="s">
        <v>589</v>
      </c>
      <c r="D47" s="304"/>
      <c r="E47" s="305"/>
      <c r="F47" s="303" t="s">
        <v>455</v>
      </c>
      <c r="G47" s="306">
        <v>13.2</v>
      </c>
      <c r="H47" s="309"/>
      <c r="I47" s="308"/>
      <c r="J47" s="309"/>
      <c r="K47" s="310"/>
      <c r="L47" s="311"/>
      <c r="M47" s="311"/>
      <c r="N47" s="309"/>
      <c r="O47" s="310"/>
      <c r="P47" s="311"/>
      <c r="Q47" s="311"/>
      <c r="R47" s="309"/>
      <c r="S47" s="310"/>
      <c r="T47" s="311"/>
      <c r="U47" s="311"/>
      <c r="V47" s="309"/>
      <c r="W47" s="310"/>
      <c r="X47" s="311"/>
      <c r="Y47" s="311"/>
      <c r="Z47" s="309"/>
      <c r="AA47" s="310"/>
      <c r="AB47" s="311"/>
      <c r="AC47" s="311"/>
      <c r="AD47" s="309"/>
      <c r="AE47" s="310"/>
      <c r="AF47" s="311"/>
      <c r="AG47" s="311"/>
      <c r="AH47" s="309"/>
      <c r="AI47" s="310"/>
      <c r="AJ47" s="311"/>
      <c r="AK47" s="311"/>
      <c r="AL47" s="309"/>
      <c r="AM47" s="310"/>
      <c r="AN47" s="311"/>
      <c r="AO47" s="311"/>
      <c r="AP47" s="309"/>
      <c r="AQ47" s="310"/>
      <c r="AR47" s="311"/>
      <c r="AS47" s="311"/>
      <c r="AT47" s="309"/>
      <c r="AU47" s="310"/>
      <c r="AV47" s="311"/>
      <c r="AW47" s="311"/>
      <c r="AX47" s="309"/>
      <c r="AY47" s="310"/>
      <c r="AZ47" s="311"/>
      <c r="BA47" s="311"/>
      <c r="BB47" s="309"/>
      <c r="BC47" s="310"/>
      <c r="BD47" s="311"/>
      <c r="BE47" s="311"/>
      <c r="BF47" s="309"/>
      <c r="BG47" s="310"/>
      <c r="BH47" s="311"/>
      <c r="BI47" s="311"/>
      <c r="BJ47" s="309"/>
      <c r="BK47" s="310"/>
      <c r="BL47" s="311"/>
      <c r="BM47" s="311"/>
      <c r="BN47" s="309"/>
      <c r="BO47" s="310"/>
      <c r="BP47" s="311"/>
      <c r="BQ47" s="311"/>
      <c r="BR47" s="309"/>
      <c r="BS47" s="310"/>
      <c r="BT47" s="311"/>
      <c r="BU47" s="311"/>
      <c r="BV47" s="309"/>
      <c r="BW47" s="310"/>
      <c r="BX47" s="311"/>
      <c r="BY47" s="311"/>
      <c r="BZ47" s="309"/>
      <c r="CA47" s="310"/>
      <c r="CB47" s="311"/>
      <c r="CC47" s="311"/>
      <c r="CD47" s="309"/>
      <c r="CE47" s="310"/>
      <c r="CF47" s="311"/>
      <c r="CG47" s="311"/>
      <c r="CH47" s="309"/>
      <c r="CI47" s="310"/>
      <c r="CJ47" s="311"/>
      <c r="CK47" s="311"/>
      <c r="CL47" s="309"/>
      <c r="CM47" s="310"/>
      <c r="CN47" s="311"/>
      <c r="CO47" s="311"/>
      <c r="CP47" s="309"/>
      <c r="CQ47" s="310"/>
      <c r="CR47" s="311"/>
      <c r="CS47" s="311"/>
      <c r="CT47" s="309"/>
      <c r="CU47" s="310"/>
      <c r="CV47" s="311"/>
      <c r="CW47" s="311"/>
      <c r="CX47" s="309"/>
      <c r="CY47" s="310"/>
      <c r="CZ47" s="311"/>
      <c r="DA47" s="311"/>
      <c r="DB47" s="309"/>
      <c r="DC47" s="310"/>
      <c r="DD47" s="311"/>
      <c r="DE47" s="311"/>
      <c r="DF47" s="309"/>
      <c r="DG47" s="310"/>
      <c r="DH47" s="311"/>
      <c r="DI47" s="311"/>
      <c r="DJ47" s="309"/>
      <c r="DK47" s="310"/>
      <c r="DL47" s="311"/>
      <c r="DM47" s="311"/>
      <c r="DN47" s="309"/>
      <c r="DO47" s="310"/>
      <c r="DP47" s="311"/>
      <c r="DQ47" s="311"/>
      <c r="DR47" s="309"/>
      <c r="DS47" s="310"/>
      <c r="DT47" s="311"/>
      <c r="DU47" s="311"/>
      <c r="DV47" s="309"/>
      <c r="DW47" s="310"/>
      <c r="DX47" s="311"/>
      <c r="DY47" s="311"/>
      <c r="DZ47" s="309"/>
      <c r="EA47" s="310"/>
      <c r="EB47" s="311"/>
      <c r="EC47" s="311"/>
      <c r="ED47" s="309"/>
      <c r="EE47" s="310"/>
      <c r="EF47" s="311"/>
      <c r="EG47" s="311"/>
      <c r="EH47" s="309"/>
      <c r="EI47" s="310"/>
      <c r="EJ47" s="311"/>
      <c r="EK47" s="311"/>
      <c r="EL47" s="309"/>
      <c r="EM47" s="310"/>
      <c r="EN47" s="311"/>
      <c r="EO47" s="311"/>
      <c r="EP47" s="309"/>
      <c r="EQ47" s="310"/>
      <c r="ER47" s="311"/>
      <c r="ES47" s="311"/>
      <c r="ET47" s="309"/>
      <c r="EU47" s="310"/>
      <c r="EV47" s="311"/>
      <c r="EW47" s="311"/>
      <c r="EX47" s="309"/>
      <c r="EY47" s="310"/>
      <c r="EZ47" s="311"/>
      <c r="FA47" s="311"/>
      <c r="FB47" s="309"/>
      <c r="FC47" s="310"/>
      <c r="FD47" s="311"/>
      <c r="FE47" s="311"/>
      <c r="FF47" s="309"/>
      <c r="FG47" s="310"/>
      <c r="FH47" s="311"/>
      <c r="FI47" s="311"/>
      <c r="FJ47" s="309"/>
      <c r="FK47" s="310"/>
      <c r="FL47" s="311"/>
      <c r="FM47" s="311"/>
      <c r="FN47" s="309"/>
      <c r="FO47" s="310"/>
      <c r="FP47" s="311"/>
      <c r="FQ47" s="311"/>
      <c r="FR47" s="309"/>
      <c r="FS47" s="310"/>
      <c r="FT47" s="311"/>
      <c r="FU47" s="311"/>
      <c r="FV47" s="309"/>
      <c r="FW47" s="310"/>
      <c r="FX47" s="311"/>
      <c r="FY47" s="311"/>
      <c r="FZ47" s="309"/>
      <c r="GA47" s="310"/>
      <c r="GB47" s="311"/>
      <c r="GC47" s="311"/>
      <c r="GD47" s="309"/>
      <c r="GE47" s="310"/>
      <c r="GF47" s="311"/>
      <c r="GG47" s="311"/>
      <c r="GH47" s="309"/>
      <c r="GI47" s="310"/>
      <c r="GJ47" s="311"/>
      <c r="GK47" s="311"/>
      <c r="GL47" s="309"/>
      <c r="GM47" s="310"/>
      <c r="GN47" s="311"/>
      <c r="GO47" s="311"/>
      <c r="GP47" s="309"/>
      <c r="GQ47" s="310"/>
      <c r="GR47" s="311"/>
      <c r="GS47" s="311"/>
      <c r="GT47" s="309"/>
      <c r="GU47" s="310"/>
      <c r="GV47" s="311"/>
      <c r="GW47" s="311"/>
      <c r="GX47" s="309"/>
      <c r="GY47" s="310"/>
      <c r="GZ47" s="311"/>
      <c r="HA47" s="311"/>
      <c r="HB47" s="309"/>
      <c r="HC47" s="312">
        <f t="shared" si="66"/>
        <v>0</v>
      </c>
      <c r="HD47" s="313">
        <f t="shared" si="66"/>
        <v>0</v>
      </c>
      <c r="HE47" s="313">
        <f t="shared" si="66"/>
        <v>0</v>
      </c>
      <c r="HF47" s="314"/>
      <c r="HG47" s="312">
        <f>SUM(SUMIFS(K47:HB47,$K$13:$HB$13,{"エネルギー管理指定工場等*","県域*"}))</f>
        <v>0</v>
      </c>
      <c r="HH47" s="313">
        <f>SUM(SUMIFS(L47:HC47,$K$13:$HB$13,{"エネルギー管理指定工場等*","県域*"}))</f>
        <v>0</v>
      </c>
      <c r="HI47" s="313">
        <f>SUM(SUMIFS(M47:HD47,$K$13:$HB$13,{"エネルギー管理指定工場等*","県域*"}))</f>
        <v>0</v>
      </c>
      <c r="HJ47" s="314"/>
      <c r="HL47" s="219">
        <v>38</v>
      </c>
      <c r="HM47" s="714" t="str">
        <f t="shared" ca="1" si="67"/>
        <v/>
      </c>
      <c r="HN47" s="715" t="str">
        <f ca="1">IF(COUNTIF(HN$10:HN46,OFFSET(A1_原単位2025,5,HL47+2))&gt;=1,"",OFFSET(A1_原単位2025,5,HL47+2)&amp;"")</f>
        <v/>
      </c>
      <c r="HO47" s="716" t="str">
        <f t="shared" ca="1" si="50"/>
        <v/>
      </c>
      <c r="HP47" s="717" t="str">
        <f t="shared" ca="1" si="68"/>
        <v/>
      </c>
      <c r="HQ47" s="714" t="str">
        <f t="shared" ca="1" si="69"/>
        <v/>
      </c>
      <c r="HR47" s="715" t="str">
        <f ca="1">IF(COUNTIF(HR$10:HR46,OFFSET(A1_原単位2025,17,HL47+2))&gt;=1,"",OFFSET(A1_原単位2025,17,HL47+2)&amp;"")</f>
        <v/>
      </c>
      <c r="HS47" s="718" t="str">
        <f t="shared" ca="1" si="53"/>
        <v/>
      </c>
      <c r="HT47" s="719" t="str">
        <f t="shared" ca="1" si="70"/>
        <v/>
      </c>
      <c r="HU47" s="714" t="str">
        <f t="shared" ca="1" si="71"/>
        <v/>
      </c>
      <c r="HV47" s="715" t="str">
        <f ca="1">IF(COUNTIF(HV$10:HV46,OFFSET(A1_原単位2025,29,HL47+2))&gt;=1,"",OFFSET(A1_原単位2025,29,HL47+2)&amp;"")</f>
        <v/>
      </c>
      <c r="HW47" s="718" t="str">
        <f t="shared" ca="1" si="56"/>
        <v/>
      </c>
      <c r="HX47" s="719" t="str">
        <f t="shared" ca="1" si="72"/>
        <v/>
      </c>
      <c r="HY47" s="714" t="str">
        <f t="shared" ca="1" si="73"/>
        <v/>
      </c>
      <c r="HZ47" s="715" t="str">
        <f ca="1">IF(COUNTIF(HZ$10:HZ46,OFFSET(A1_原単位2025,41,HL47+2))&gt;=1,"",OFFSET(A1_原単位2025,41,HL47+2)&amp;"")</f>
        <v/>
      </c>
      <c r="IA47" s="720" t="str">
        <f t="shared" ca="1" si="59"/>
        <v/>
      </c>
      <c r="IB47" s="721" t="str">
        <f t="shared" ca="1" si="74"/>
        <v/>
      </c>
      <c r="IE47" s="159" t="str">
        <f t="shared" ca="1" si="75"/>
        <v/>
      </c>
      <c r="IF47" s="159" t="str">
        <f t="shared" ca="1" si="76"/>
        <v/>
      </c>
      <c r="IG47" s="159" t="str">
        <f t="shared" ca="1" si="77"/>
        <v/>
      </c>
      <c r="IH47" s="159" t="str">
        <f t="shared" ca="1" si="78"/>
        <v/>
      </c>
    </row>
    <row r="48" spans="2:242" s="164" customFormat="1" ht="20.100000000000001" customHeight="1">
      <c r="B48" s="302"/>
      <c r="C48" s="303" t="s">
        <v>590</v>
      </c>
      <c r="D48" s="304"/>
      <c r="E48" s="305"/>
      <c r="F48" s="303" t="s">
        <v>455</v>
      </c>
      <c r="G48" s="306">
        <v>17.100000000000001</v>
      </c>
      <c r="H48" s="309"/>
      <c r="I48" s="308"/>
      <c r="J48" s="309"/>
      <c r="K48" s="310"/>
      <c r="L48" s="311"/>
      <c r="M48" s="311"/>
      <c r="N48" s="309"/>
      <c r="O48" s="310"/>
      <c r="P48" s="311"/>
      <c r="Q48" s="311"/>
      <c r="R48" s="309"/>
      <c r="S48" s="310"/>
      <c r="T48" s="311"/>
      <c r="U48" s="311"/>
      <c r="V48" s="309"/>
      <c r="W48" s="310"/>
      <c r="X48" s="311"/>
      <c r="Y48" s="311"/>
      <c r="Z48" s="309"/>
      <c r="AA48" s="310"/>
      <c r="AB48" s="311"/>
      <c r="AC48" s="311"/>
      <c r="AD48" s="309"/>
      <c r="AE48" s="310"/>
      <c r="AF48" s="311"/>
      <c r="AG48" s="311"/>
      <c r="AH48" s="309"/>
      <c r="AI48" s="310"/>
      <c r="AJ48" s="311"/>
      <c r="AK48" s="311"/>
      <c r="AL48" s="309"/>
      <c r="AM48" s="310"/>
      <c r="AN48" s="311"/>
      <c r="AO48" s="311"/>
      <c r="AP48" s="309"/>
      <c r="AQ48" s="310"/>
      <c r="AR48" s="311"/>
      <c r="AS48" s="311"/>
      <c r="AT48" s="309"/>
      <c r="AU48" s="310"/>
      <c r="AV48" s="311"/>
      <c r="AW48" s="311"/>
      <c r="AX48" s="309"/>
      <c r="AY48" s="310"/>
      <c r="AZ48" s="311"/>
      <c r="BA48" s="311"/>
      <c r="BB48" s="309"/>
      <c r="BC48" s="310"/>
      <c r="BD48" s="311"/>
      <c r="BE48" s="311"/>
      <c r="BF48" s="309"/>
      <c r="BG48" s="310"/>
      <c r="BH48" s="311"/>
      <c r="BI48" s="311"/>
      <c r="BJ48" s="309"/>
      <c r="BK48" s="310"/>
      <c r="BL48" s="311"/>
      <c r="BM48" s="311"/>
      <c r="BN48" s="309"/>
      <c r="BO48" s="310"/>
      <c r="BP48" s="311"/>
      <c r="BQ48" s="311"/>
      <c r="BR48" s="309"/>
      <c r="BS48" s="310"/>
      <c r="BT48" s="311"/>
      <c r="BU48" s="311"/>
      <c r="BV48" s="309"/>
      <c r="BW48" s="310"/>
      <c r="BX48" s="311"/>
      <c r="BY48" s="311"/>
      <c r="BZ48" s="309"/>
      <c r="CA48" s="310"/>
      <c r="CB48" s="311"/>
      <c r="CC48" s="311"/>
      <c r="CD48" s="309"/>
      <c r="CE48" s="310"/>
      <c r="CF48" s="311"/>
      <c r="CG48" s="311"/>
      <c r="CH48" s="309"/>
      <c r="CI48" s="310"/>
      <c r="CJ48" s="311"/>
      <c r="CK48" s="311"/>
      <c r="CL48" s="309"/>
      <c r="CM48" s="310"/>
      <c r="CN48" s="311"/>
      <c r="CO48" s="311"/>
      <c r="CP48" s="309"/>
      <c r="CQ48" s="310"/>
      <c r="CR48" s="311"/>
      <c r="CS48" s="311"/>
      <c r="CT48" s="309"/>
      <c r="CU48" s="310"/>
      <c r="CV48" s="311"/>
      <c r="CW48" s="311"/>
      <c r="CX48" s="309"/>
      <c r="CY48" s="310"/>
      <c r="CZ48" s="311"/>
      <c r="DA48" s="311"/>
      <c r="DB48" s="309"/>
      <c r="DC48" s="310"/>
      <c r="DD48" s="311"/>
      <c r="DE48" s="311"/>
      <c r="DF48" s="309"/>
      <c r="DG48" s="310"/>
      <c r="DH48" s="311"/>
      <c r="DI48" s="311"/>
      <c r="DJ48" s="309"/>
      <c r="DK48" s="310"/>
      <c r="DL48" s="311"/>
      <c r="DM48" s="311"/>
      <c r="DN48" s="309"/>
      <c r="DO48" s="310"/>
      <c r="DP48" s="311"/>
      <c r="DQ48" s="311"/>
      <c r="DR48" s="309"/>
      <c r="DS48" s="310"/>
      <c r="DT48" s="311"/>
      <c r="DU48" s="311"/>
      <c r="DV48" s="309"/>
      <c r="DW48" s="310"/>
      <c r="DX48" s="311"/>
      <c r="DY48" s="311"/>
      <c r="DZ48" s="309"/>
      <c r="EA48" s="310"/>
      <c r="EB48" s="311"/>
      <c r="EC48" s="311"/>
      <c r="ED48" s="309"/>
      <c r="EE48" s="310"/>
      <c r="EF48" s="311"/>
      <c r="EG48" s="311"/>
      <c r="EH48" s="309"/>
      <c r="EI48" s="310"/>
      <c r="EJ48" s="311"/>
      <c r="EK48" s="311"/>
      <c r="EL48" s="309"/>
      <c r="EM48" s="310"/>
      <c r="EN48" s="311"/>
      <c r="EO48" s="311"/>
      <c r="EP48" s="309"/>
      <c r="EQ48" s="310"/>
      <c r="ER48" s="311"/>
      <c r="ES48" s="311"/>
      <c r="ET48" s="309"/>
      <c r="EU48" s="310"/>
      <c r="EV48" s="311"/>
      <c r="EW48" s="311"/>
      <c r="EX48" s="309"/>
      <c r="EY48" s="310"/>
      <c r="EZ48" s="311"/>
      <c r="FA48" s="311"/>
      <c r="FB48" s="309"/>
      <c r="FC48" s="310"/>
      <c r="FD48" s="311"/>
      <c r="FE48" s="311"/>
      <c r="FF48" s="309"/>
      <c r="FG48" s="310"/>
      <c r="FH48" s="311"/>
      <c r="FI48" s="311"/>
      <c r="FJ48" s="309"/>
      <c r="FK48" s="310"/>
      <c r="FL48" s="311"/>
      <c r="FM48" s="311"/>
      <c r="FN48" s="309"/>
      <c r="FO48" s="310"/>
      <c r="FP48" s="311"/>
      <c r="FQ48" s="311"/>
      <c r="FR48" s="309"/>
      <c r="FS48" s="310"/>
      <c r="FT48" s="311"/>
      <c r="FU48" s="311"/>
      <c r="FV48" s="309"/>
      <c r="FW48" s="310"/>
      <c r="FX48" s="311"/>
      <c r="FY48" s="311"/>
      <c r="FZ48" s="309"/>
      <c r="GA48" s="310"/>
      <c r="GB48" s="311"/>
      <c r="GC48" s="311"/>
      <c r="GD48" s="309"/>
      <c r="GE48" s="310"/>
      <c r="GF48" s="311"/>
      <c r="GG48" s="311"/>
      <c r="GH48" s="309"/>
      <c r="GI48" s="310"/>
      <c r="GJ48" s="311"/>
      <c r="GK48" s="311"/>
      <c r="GL48" s="309"/>
      <c r="GM48" s="310"/>
      <c r="GN48" s="311"/>
      <c r="GO48" s="311"/>
      <c r="GP48" s="309"/>
      <c r="GQ48" s="310"/>
      <c r="GR48" s="311"/>
      <c r="GS48" s="311"/>
      <c r="GT48" s="309"/>
      <c r="GU48" s="310"/>
      <c r="GV48" s="311"/>
      <c r="GW48" s="311"/>
      <c r="GX48" s="309"/>
      <c r="GY48" s="310"/>
      <c r="GZ48" s="311"/>
      <c r="HA48" s="311"/>
      <c r="HB48" s="309"/>
      <c r="HC48" s="312">
        <f t="shared" si="66"/>
        <v>0</v>
      </c>
      <c r="HD48" s="313">
        <f t="shared" si="66"/>
        <v>0</v>
      </c>
      <c r="HE48" s="313">
        <f t="shared" si="66"/>
        <v>0</v>
      </c>
      <c r="HF48" s="314"/>
      <c r="HG48" s="312">
        <f>SUM(SUMIFS(K48:HB48,$K$13:$HB$13,{"エネルギー管理指定工場等*","県域*"}))</f>
        <v>0</v>
      </c>
      <c r="HH48" s="313">
        <f>SUM(SUMIFS(L48:HC48,$K$13:$HB$13,{"エネルギー管理指定工場等*","県域*"}))</f>
        <v>0</v>
      </c>
      <c r="HI48" s="313">
        <f>SUM(SUMIFS(M48:HD48,$K$13:$HB$13,{"エネルギー管理指定工場等*","県域*"}))</f>
        <v>0</v>
      </c>
      <c r="HJ48" s="314"/>
      <c r="HL48" s="219">
        <v>39</v>
      </c>
      <c r="HM48" s="714" t="str">
        <f t="shared" ca="1" si="67"/>
        <v/>
      </c>
      <c r="HN48" s="715" t="str">
        <f ca="1">IF(COUNTIF(HN$10:HN47,OFFSET(A1_原単位2025,5,HL48+2))&gt;=1,"",OFFSET(A1_原単位2025,5,HL48+2)&amp;"")</f>
        <v/>
      </c>
      <c r="HO48" s="716" t="str">
        <f t="shared" ca="1" si="50"/>
        <v/>
      </c>
      <c r="HP48" s="717" t="str">
        <f t="shared" ca="1" si="68"/>
        <v/>
      </c>
      <c r="HQ48" s="714" t="str">
        <f t="shared" ca="1" si="69"/>
        <v/>
      </c>
      <c r="HR48" s="715" t="str">
        <f ca="1">IF(COUNTIF(HR$10:HR47,OFFSET(A1_原単位2025,17,HL48+2))&gt;=1,"",OFFSET(A1_原単位2025,17,HL48+2)&amp;"")</f>
        <v/>
      </c>
      <c r="HS48" s="718" t="str">
        <f t="shared" ca="1" si="53"/>
        <v/>
      </c>
      <c r="HT48" s="719" t="str">
        <f t="shared" ca="1" si="70"/>
        <v/>
      </c>
      <c r="HU48" s="714" t="str">
        <f t="shared" ca="1" si="71"/>
        <v/>
      </c>
      <c r="HV48" s="715" t="str">
        <f ca="1">IF(COUNTIF(HV$10:HV47,OFFSET(A1_原単位2025,29,HL48+2))&gt;=1,"",OFFSET(A1_原単位2025,29,HL48+2)&amp;"")</f>
        <v/>
      </c>
      <c r="HW48" s="718" t="str">
        <f t="shared" ca="1" si="56"/>
        <v/>
      </c>
      <c r="HX48" s="719" t="str">
        <f t="shared" ca="1" si="72"/>
        <v/>
      </c>
      <c r="HY48" s="714" t="str">
        <f t="shared" ca="1" si="73"/>
        <v/>
      </c>
      <c r="HZ48" s="715" t="str">
        <f ca="1">IF(COUNTIF(HZ$10:HZ47,OFFSET(A1_原単位2025,41,HL48+2))&gt;=1,"",OFFSET(A1_原単位2025,41,HL48+2)&amp;"")</f>
        <v/>
      </c>
      <c r="IA48" s="720" t="str">
        <f t="shared" ca="1" si="59"/>
        <v/>
      </c>
      <c r="IB48" s="721" t="str">
        <f t="shared" ca="1" si="74"/>
        <v/>
      </c>
      <c r="IE48" s="159" t="str">
        <f t="shared" ca="1" si="75"/>
        <v/>
      </c>
      <c r="IF48" s="159" t="str">
        <f t="shared" ca="1" si="76"/>
        <v/>
      </c>
      <c r="IG48" s="159" t="str">
        <f t="shared" ca="1" si="77"/>
        <v/>
      </c>
      <c r="IH48" s="159" t="str">
        <f t="shared" ca="1" si="78"/>
        <v/>
      </c>
    </row>
    <row r="49" spans="2:242" s="164" customFormat="1" ht="20.100000000000001" customHeight="1">
      <c r="B49" s="302"/>
      <c r="C49" s="303" t="s">
        <v>381</v>
      </c>
      <c r="D49" s="304"/>
      <c r="E49" s="305"/>
      <c r="F49" s="303" t="s">
        <v>453</v>
      </c>
      <c r="G49" s="306">
        <v>23.4</v>
      </c>
      <c r="H49" s="309"/>
      <c r="I49" s="310"/>
      <c r="J49" s="315"/>
      <c r="K49" s="310"/>
      <c r="L49" s="311"/>
      <c r="M49" s="311"/>
      <c r="N49" s="309"/>
      <c r="O49" s="310"/>
      <c r="P49" s="311"/>
      <c r="Q49" s="311"/>
      <c r="R49" s="309"/>
      <c r="S49" s="310"/>
      <c r="T49" s="311"/>
      <c r="U49" s="311"/>
      <c r="V49" s="309"/>
      <c r="W49" s="310"/>
      <c r="X49" s="311"/>
      <c r="Y49" s="311"/>
      <c r="Z49" s="309"/>
      <c r="AA49" s="310"/>
      <c r="AB49" s="311"/>
      <c r="AC49" s="311"/>
      <c r="AD49" s="309"/>
      <c r="AE49" s="310"/>
      <c r="AF49" s="311"/>
      <c r="AG49" s="311"/>
      <c r="AH49" s="309"/>
      <c r="AI49" s="310"/>
      <c r="AJ49" s="311"/>
      <c r="AK49" s="311"/>
      <c r="AL49" s="309"/>
      <c r="AM49" s="310"/>
      <c r="AN49" s="311"/>
      <c r="AO49" s="311"/>
      <c r="AP49" s="309"/>
      <c r="AQ49" s="310"/>
      <c r="AR49" s="311"/>
      <c r="AS49" s="311"/>
      <c r="AT49" s="309"/>
      <c r="AU49" s="310"/>
      <c r="AV49" s="311"/>
      <c r="AW49" s="311"/>
      <c r="AX49" s="309"/>
      <c r="AY49" s="310"/>
      <c r="AZ49" s="311"/>
      <c r="BA49" s="311"/>
      <c r="BB49" s="309"/>
      <c r="BC49" s="310"/>
      <c r="BD49" s="311"/>
      <c r="BE49" s="311"/>
      <c r="BF49" s="309"/>
      <c r="BG49" s="310"/>
      <c r="BH49" s="311"/>
      <c r="BI49" s="311"/>
      <c r="BJ49" s="309"/>
      <c r="BK49" s="310"/>
      <c r="BL49" s="311"/>
      <c r="BM49" s="311"/>
      <c r="BN49" s="309"/>
      <c r="BO49" s="310"/>
      <c r="BP49" s="311"/>
      <c r="BQ49" s="311"/>
      <c r="BR49" s="309"/>
      <c r="BS49" s="310"/>
      <c r="BT49" s="311"/>
      <c r="BU49" s="311"/>
      <c r="BV49" s="309"/>
      <c r="BW49" s="310"/>
      <c r="BX49" s="311"/>
      <c r="BY49" s="311"/>
      <c r="BZ49" s="309"/>
      <c r="CA49" s="310"/>
      <c r="CB49" s="311"/>
      <c r="CC49" s="311"/>
      <c r="CD49" s="309"/>
      <c r="CE49" s="310"/>
      <c r="CF49" s="311"/>
      <c r="CG49" s="311"/>
      <c r="CH49" s="309"/>
      <c r="CI49" s="310"/>
      <c r="CJ49" s="311"/>
      <c r="CK49" s="311"/>
      <c r="CL49" s="309"/>
      <c r="CM49" s="310"/>
      <c r="CN49" s="311"/>
      <c r="CO49" s="311"/>
      <c r="CP49" s="309"/>
      <c r="CQ49" s="310"/>
      <c r="CR49" s="311"/>
      <c r="CS49" s="311"/>
      <c r="CT49" s="309"/>
      <c r="CU49" s="310"/>
      <c r="CV49" s="311"/>
      <c r="CW49" s="311"/>
      <c r="CX49" s="309"/>
      <c r="CY49" s="310"/>
      <c r="CZ49" s="311"/>
      <c r="DA49" s="311"/>
      <c r="DB49" s="309"/>
      <c r="DC49" s="310"/>
      <c r="DD49" s="311"/>
      <c r="DE49" s="311"/>
      <c r="DF49" s="309"/>
      <c r="DG49" s="310"/>
      <c r="DH49" s="311"/>
      <c r="DI49" s="311"/>
      <c r="DJ49" s="309"/>
      <c r="DK49" s="310"/>
      <c r="DL49" s="311"/>
      <c r="DM49" s="311"/>
      <c r="DN49" s="309"/>
      <c r="DO49" s="310"/>
      <c r="DP49" s="311"/>
      <c r="DQ49" s="311"/>
      <c r="DR49" s="309"/>
      <c r="DS49" s="310"/>
      <c r="DT49" s="311"/>
      <c r="DU49" s="311"/>
      <c r="DV49" s="309"/>
      <c r="DW49" s="310"/>
      <c r="DX49" s="311"/>
      <c r="DY49" s="311"/>
      <c r="DZ49" s="309"/>
      <c r="EA49" s="310"/>
      <c r="EB49" s="311"/>
      <c r="EC49" s="311"/>
      <c r="ED49" s="309"/>
      <c r="EE49" s="310"/>
      <c r="EF49" s="311"/>
      <c r="EG49" s="311"/>
      <c r="EH49" s="309"/>
      <c r="EI49" s="310"/>
      <c r="EJ49" s="311"/>
      <c r="EK49" s="311"/>
      <c r="EL49" s="309"/>
      <c r="EM49" s="310"/>
      <c r="EN49" s="311"/>
      <c r="EO49" s="311"/>
      <c r="EP49" s="309"/>
      <c r="EQ49" s="310"/>
      <c r="ER49" s="311"/>
      <c r="ES49" s="311"/>
      <c r="ET49" s="309"/>
      <c r="EU49" s="310"/>
      <c r="EV49" s="311"/>
      <c r="EW49" s="311"/>
      <c r="EX49" s="309"/>
      <c r="EY49" s="310"/>
      <c r="EZ49" s="311"/>
      <c r="FA49" s="311"/>
      <c r="FB49" s="309"/>
      <c r="FC49" s="310"/>
      <c r="FD49" s="311"/>
      <c r="FE49" s="311"/>
      <c r="FF49" s="309"/>
      <c r="FG49" s="310"/>
      <c r="FH49" s="311"/>
      <c r="FI49" s="311"/>
      <c r="FJ49" s="309"/>
      <c r="FK49" s="310"/>
      <c r="FL49" s="311"/>
      <c r="FM49" s="311"/>
      <c r="FN49" s="309"/>
      <c r="FO49" s="310"/>
      <c r="FP49" s="311"/>
      <c r="FQ49" s="311"/>
      <c r="FR49" s="309"/>
      <c r="FS49" s="310"/>
      <c r="FT49" s="311"/>
      <c r="FU49" s="311"/>
      <c r="FV49" s="309"/>
      <c r="FW49" s="310"/>
      <c r="FX49" s="311"/>
      <c r="FY49" s="311"/>
      <c r="FZ49" s="309"/>
      <c r="GA49" s="310"/>
      <c r="GB49" s="311"/>
      <c r="GC49" s="311"/>
      <c r="GD49" s="309"/>
      <c r="GE49" s="310"/>
      <c r="GF49" s="311"/>
      <c r="GG49" s="311"/>
      <c r="GH49" s="309"/>
      <c r="GI49" s="310"/>
      <c r="GJ49" s="311"/>
      <c r="GK49" s="311"/>
      <c r="GL49" s="309"/>
      <c r="GM49" s="310"/>
      <c r="GN49" s="311"/>
      <c r="GO49" s="311"/>
      <c r="GP49" s="309"/>
      <c r="GQ49" s="310"/>
      <c r="GR49" s="311"/>
      <c r="GS49" s="311"/>
      <c r="GT49" s="309"/>
      <c r="GU49" s="310"/>
      <c r="GV49" s="311"/>
      <c r="GW49" s="311"/>
      <c r="GX49" s="309"/>
      <c r="GY49" s="310"/>
      <c r="GZ49" s="311"/>
      <c r="HA49" s="311"/>
      <c r="HB49" s="309"/>
      <c r="HC49" s="312">
        <f t="shared" ref="HC49:HF80" si="79">K49+O49+S49+W49+AA49+AE49+AI49+AM49+AQ49+AU49+AY49+BC49+BG49+BK49+BO49+BS49+BW49+CA49+CE49+CI49+CM49+CQ49+CU49+CY49+DC49+DG49+DK49+DO49+DS49+DW49+EA49+EE49+EI49+EM49+EQ49+EU49+EY49+FC49+FG49+FK49+FO49+FS49+FW49+GA49+GE49+GI49+GM49+GQ49+GU49+GY49</f>
        <v>0</v>
      </c>
      <c r="HD49" s="313">
        <f t="shared" si="79"/>
        <v>0</v>
      </c>
      <c r="HE49" s="313">
        <f t="shared" si="79"/>
        <v>0</v>
      </c>
      <c r="HF49" s="314"/>
      <c r="HG49" s="312">
        <f>SUM(SUMIFS(K49:HB49,$K$13:$HB$13,{"エネルギー管理指定工場等*","県域*"}))</f>
        <v>0</v>
      </c>
      <c r="HH49" s="313">
        <f>SUM(SUMIFS(L49:HC49,$K$13:$HB$13,{"エネルギー管理指定工場等*","県域*"}))</f>
        <v>0</v>
      </c>
      <c r="HI49" s="313">
        <f>SUM(SUMIFS(M49:HD49,$K$13:$HB$13,{"エネルギー管理指定工場等*","県域*"}))</f>
        <v>0</v>
      </c>
      <c r="HJ49" s="314"/>
      <c r="HL49" s="230">
        <v>40</v>
      </c>
      <c r="HM49" s="714" t="str">
        <f t="shared" ca="1" si="67"/>
        <v/>
      </c>
      <c r="HN49" s="715" t="str">
        <f ca="1">IF(COUNTIF(HN$10:HN48,OFFSET(A1_原単位2025,5,HL49+2))&gt;=1,"",OFFSET(A1_原単位2025,5,HL49+2)&amp;"")</f>
        <v/>
      </c>
      <c r="HO49" s="716" t="str">
        <f t="shared" ca="1" si="50"/>
        <v/>
      </c>
      <c r="HP49" s="717" t="str">
        <f t="shared" ca="1" si="68"/>
        <v/>
      </c>
      <c r="HQ49" s="714" t="str">
        <f t="shared" ca="1" si="69"/>
        <v/>
      </c>
      <c r="HR49" s="715" t="str">
        <f ca="1">IF(COUNTIF(HR$10:HR48,OFFSET(A1_原単位2025,17,HL49+2))&gt;=1,"",OFFSET(A1_原単位2025,17,HL49+2)&amp;"")</f>
        <v/>
      </c>
      <c r="HS49" s="718" t="str">
        <f t="shared" ca="1" si="53"/>
        <v/>
      </c>
      <c r="HT49" s="719" t="str">
        <f t="shared" ca="1" si="70"/>
        <v/>
      </c>
      <c r="HU49" s="714" t="str">
        <f t="shared" ca="1" si="71"/>
        <v/>
      </c>
      <c r="HV49" s="715" t="str">
        <f ca="1">IF(COUNTIF(HV$10:HV48,OFFSET(A1_原単位2025,29,HL49+2))&gt;=1,"",OFFSET(A1_原単位2025,29,HL49+2)&amp;"")</f>
        <v/>
      </c>
      <c r="HW49" s="718" t="str">
        <f t="shared" ca="1" si="56"/>
        <v/>
      </c>
      <c r="HX49" s="719" t="str">
        <f t="shared" ca="1" si="72"/>
        <v/>
      </c>
      <c r="HY49" s="714" t="str">
        <f t="shared" ca="1" si="73"/>
        <v/>
      </c>
      <c r="HZ49" s="715" t="str">
        <f ca="1">IF(COUNTIF(HZ$10:HZ48,OFFSET(A1_原単位2025,41,HL49+2))&gt;=1,"",OFFSET(A1_原単位2025,41,HL49+2)&amp;"")</f>
        <v/>
      </c>
      <c r="IA49" s="720" t="str">
        <f t="shared" ca="1" si="59"/>
        <v/>
      </c>
      <c r="IB49" s="721" t="str">
        <f t="shared" ca="1" si="74"/>
        <v/>
      </c>
      <c r="IE49" s="159" t="str">
        <f t="shared" ca="1" si="75"/>
        <v/>
      </c>
      <c r="IF49" s="159" t="str">
        <f t="shared" ca="1" si="76"/>
        <v/>
      </c>
      <c r="IG49" s="159" t="str">
        <f t="shared" ca="1" si="77"/>
        <v/>
      </c>
      <c r="IH49" s="159" t="str">
        <f t="shared" ca="1" si="78"/>
        <v/>
      </c>
    </row>
    <row r="50" spans="2:242" s="164" customFormat="1" ht="20.100000000000001" customHeight="1">
      <c r="B50" s="302"/>
      <c r="C50" s="303" t="s">
        <v>382</v>
      </c>
      <c r="D50" s="304"/>
      <c r="E50" s="305"/>
      <c r="F50" s="303" t="s">
        <v>453</v>
      </c>
      <c r="G50" s="306">
        <v>35.6</v>
      </c>
      <c r="H50" s="309"/>
      <c r="I50" s="310"/>
      <c r="J50" s="315"/>
      <c r="K50" s="310"/>
      <c r="L50" s="311"/>
      <c r="M50" s="311"/>
      <c r="N50" s="309"/>
      <c r="O50" s="310"/>
      <c r="P50" s="311"/>
      <c r="Q50" s="311"/>
      <c r="R50" s="309"/>
      <c r="S50" s="310"/>
      <c r="T50" s="311"/>
      <c r="U50" s="311"/>
      <c r="V50" s="309"/>
      <c r="W50" s="310"/>
      <c r="X50" s="311"/>
      <c r="Y50" s="311"/>
      <c r="Z50" s="309"/>
      <c r="AA50" s="310"/>
      <c r="AB50" s="311"/>
      <c r="AC50" s="311"/>
      <c r="AD50" s="309"/>
      <c r="AE50" s="310"/>
      <c r="AF50" s="311"/>
      <c r="AG50" s="311"/>
      <c r="AH50" s="309"/>
      <c r="AI50" s="310"/>
      <c r="AJ50" s="311"/>
      <c r="AK50" s="311"/>
      <c r="AL50" s="309"/>
      <c r="AM50" s="310"/>
      <c r="AN50" s="311"/>
      <c r="AO50" s="311"/>
      <c r="AP50" s="309"/>
      <c r="AQ50" s="310"/>
      <c r="AR50" s="311"/>
      <c r="AS50" s="311"/>
      <c r="AT50" s="309"/>
      <c r="AU50" s="310"/>
      <c r="AV50" s="311"/>
      <c r="AW50" s="311"/>
      <c r="AX50" s="309"/>
      <c r="AY50" s="310"/>
      <c r="AZ50" s="311"/>
      <c r="BA50" s="311"/>
      <c r="BB50" s="309"/>
      <c r="BC50" s="310"/>
      <c r="BD50" s="311"/>
      <c r="BE50" s="311"/>
      <c r="BF50" s="309"/>
      <c r="BG50" s="310"/>
      <c r="BH50" s="311"/>
      <c r="BI50" s="311"/>
      <c r="BJ50" s="309"/>
      <c r="BK50" s="310"/>
      <c r="BL50" s="311"/>
      <c r="BM50" s="311"/>
      <c r="BN50" s="309"/>
      <c r="BO50" s="310"/>
      <c r="BP50" s="311"/>
      <c r="BQ50" s="311"/>
      <c r="BR50" s="309"/>
      <c r="BS50" s="310"/>
      <c r="BT50" s="311"/>
      <c r="BU50" s="311"/>
      <c r="BV50" s="309"/>
      <c r="BW50" s="310"/>
      <c r="BX50" s="311"/>
      <c r="BY50" s="311"/>
      <c r="BZ50" s="309"/>
      <c r="CA50" s="310"/>
      <c r="CB50" s="311"/>
      <c r="CC50" s="311"/>
      <c r="CD50" s="309"/>
      <c r="CE50" s="310"/>
      <c r="CF50" s="311"/>
      <c r="CG50" s="311"/>
      <c r="CH50" s="309"/>
      <c r="CI50" s="310"/>
      <c r="CJ50" s="311"/>
      <c r="CK50" s="311"/>
      <c r="CL50" s="309"/>
      <c r="CM50" s="310"/>
      <c r="CN50" s="311"/>
      <c r="CO50" s="311"/>
      <c r="CP50" s="309"/>
      <c r="CQ50" s="310"/>
      <c r="CR50" s="311"/>
      <c r="CS50" s="311"/>
      <c r="CT50" s="309"/>
      <c r="CU50" s="310"/>
      <c r="CV50" s="311"/>
      <c r="CW50" s="311"/>
      <c r="CX50" s="309"/>
      <c r="CY50" s="310"/>
      <c r="CZ50" s="311"/>
      <c r="DA50" s="311"/>
      <c r="DB50" s="309"/>
      <c r="DC50" s="310"/>
      <c r="DD50" s="311"/>
      <c r="DE50" s="311"/>
      <c r="DF50" s="309"/>
      <c r="DG50" s="310"/>
      <c r="DH50" s="311"/>
      <c r="DI50" s="311"/>
      <c r="DJ50" s="309"/>
      <c r="DK50" s="310"/>
      <c r="DL50" s="311"/>
      <c r="DM50" s="311"/>
      <c r="DN50" s="309"/>
      <c r="DO50" s="310"/>
      <c r="DP50" s="311"/>
      <c r="DQ50" s="311"/>
      <c r="DR50" s="309"/>
      <c r="DS50" s="310"/>
      <c r="DT50" s="311"/>
      <c r="DU50" s="311"/>
      <c r="DV50" s="309"/>
      <c r="DW50" s="310"/>
      <c r="DX50" s="311"/>
      <c r="DY50" s="311"/>
      <c r="DZ50" s="309"/>
      <c r="EA50" s="310"/>
      <c r="EB50" s="311"/>
      <c r="EC50" s="311"/>
      <c r="ED50" s="309"/>
      <c r="EE50" s="310"/>
      <c r="EF50" s="311"/>
      <c r="EG50" s="311"/>
      <c r="EH50" s="309"/>
      <c r="EI50" s="310"/>
      <c r="EJ50" s="311"/>
      <c r="EK50" s="311"/>
      <c r="EL50" s="309"/>
      <c r="EM50" s="310"/>
      <c r="EN50" s="311"/>
      <c r="EO50" s="311"/>
      <c r="EP50" s="309"/>
      <c r="EQ50" s="310"/>
      <c r="ER50" s="311"/>
      <c r="ES50" s="311"/>
      <c r="ET50" s="309"/>
      <c r="EU50" s="310"/>
      <c r="EV50" s="311"/>
      <c r="EW50" s="311"/>
      <c r="EX50" s="309"/>
      <c r="EY50" s="310"/>
      <c r="EZ50" s="311"/>
      <c r="FA50" s="311"/>
      <c r="FB50" s="309"/>
      <c r="FC50" s="310"/>
      <c r="FD50" s="311"/>
      <c r="FE50" s="311"/>
      <c r="FF50" s="309"/>
      <c r="FG50" s="310"/>
      <c r="FH50" s="311"/>
      <c r="FI50" s="311"/>
      <c r="FJ50" s="309"/>
      <c r="FK50" s="310"/>
      <c r="FL50" s="311"/>
      <c r="FM50" s="311"/>
      <c r="FN50" s="309"/>
      <c r="FO50" s="310"/>
      <c r="FP50" s="311"/>
      <c r="FQ50" s="311"/>
      <c r="FR50" s="309"/>
      <c r="FS50" s="310"/>
      <c r="FT50" s="311"/>
      <c r="FU50" s="311"/>
      <c r="FV50" s="309"/>
      <c r="FW50" s="310"/>
      <c r="FX50" s="311"/>
      <c r="FY50" s="311"/>
      <c r="FZ50" s="309"/>
      <c r="GA50" s="310"/>
      <c r="GB50" s="311"/>
      <c r="GC50" s="311"/>
      <c r="GD50" s="309"/>
      <c r="GE50" s="310"/>
      <c r="GF50" s="311"/>
      <c r="GG50" s="311"/>
      <c r="GH50" s="309"/>
      <c r="GI50" s="310"/>
      <c r="GJ50" s="311"/>
      <c r="GK50" s="311"/>
      <c r="GL50" s="309"/>
      <c r="GM50" s="310"/>
      <c r="GN50" s="311"/>
      <c r="GO50" s="311"/>
      <c r="GP50" s="309"/>
      <c r="GQ50" s="310"/>
      <c r="GR50" s="311"/>
      <c r="GS50" s="311"/>
      <c r="GT50" s="309"/>
      <c r="GU50" s="310"/>
      <c r="GV50" s="311"/>
      <c r="GW50" s="311"/>
      <c r="GX50" s="309"/>
      <c r="GY50" s="310"/>
      <c r="GZ50" s="311"/>
      <c r="HA50" s="311"/>
      <c r="HB50" s="309"/>
      <c r="HC50" s="312">
        <f t="shared" si="79"/>
        <v>0</v>
      </c>
      <c r="HD50" s="313">
        <f t="shared" si="79"/>
        <v>0</v>
      </c>
      <c r="HE50" s="313">
        <f t="shared" si="79"/>
        <v>0</v>
      </c>
      <c r="HF50" s="314"/>
      <c r="HG50" s="312">
        <f>SUM(SUMIFS(K50:HB50,$K$13:$HB$13,{"エネルギー管理指定工場等*","県域*"}))</f>
        <v>0</v>
      </c>
      <c r="HH50" s="313">
        <f>SUM(SUMIFS(L50:HC50,$K$13:$HB$13,{"エネルギー管理指定工場等*","県域*"}))</f>
        <v>0</v>
      </c>
      <c r="HI50" s="313">
        <f>SUM(SUMIFS(M50:HD50,$K$13:$HB$13,{"エネルギー管理指定工場等*","県域*"}))</f>
        <v>0</v>
      </c>
      <c r="HJ50" s="314"/>
      <c r="HL50" s="219">
        <v>41</v>
      </c>
      <c r="HM50" s="714" t="str">
        <f t="shared" ca="1" si="67"/>
        <v/>
      </c>
      <c r="HN50" s="715" t="str">
        <f ca="1">IF(COUNTIF(HN$10:HN49,OFFSET(A1_原単位2025,5,HL50+2))&gt;=1,"",OFFSET(A1_原単位2025,5,HL50+2)&amp;"")</f>
        <v/>
      </c>
      <c r="HO50" s="716" t="str">
        <f t="shared" ca="1" si="50"/>
        <v/>
      </c>
      <c r="HP50" s="717" t="str">
        <f t="shared" ca="1" si="68"/>
        <v/>
      </c>
      <c r="HQ50" s="714" t="str">
        <f t="shared" ca="1" si="69"/>
        <v/>
      </c>
      <c r="HR50" s="715" t="str">
        <f ca="1">IF(COUNTIF(HR$10:HR49,OFFSET(A1_原単位2025,17,HL50+2))&gt;=1,"",OFFSET(A1_原単位2025,17,HL50+2)&amp;"")</f>
        <v/>
      </c>
      <c r="HS50" s="718" t="str">
        <f t="shared" ca="1" si="53"/>
        <v/>
      </c>
      <c r="HT50" s="719" t="str">
        <f t="shared" ca="1" si="70"/>
        <v/>
      </c>
      <c r="HU50" s="714" t="str">
        <f t="shared" ca="1" si="71"/>
        <v/>
      </c>
      <c r="HV50" s="715" t="str">
        <f ca="1">IF(COUNTIF(HV$10:HV49,OFFSET(A1_原単位2025,29,HL50+2))&gt;=1,"",OFFSET(A1_原単位2025,29,HL50+2)&amp;"")</f>
        <v/>
      </c>
      <c r="HW50" s="718" t="str">
        <f t="shared" ca="1" si="56"/>
        <v/>
      </c>
      <c r="HX50" s="719" t="str">
        <f t="shared" ca="1" si="72"/>
        <v/>
      </c>
      <c r="HY50" s="714" t="str">
        <f t="shared" ca="1" si="73"/>
        <v/>
      </c>
      <c r="HZ50" s="715" t="str">
        <f ca="1">IF(COUNTIF(HZ$10:HZ49,OFFSET(A1_原単位2025,41,HL50+2))&gt;=1,"",OFFSET(A1_原単位2025,41,HL50+2)&amp;"")</f>
        <v/>
      </c>
      <c r="IA50" s="720" t="str">
        <f t="shared" ca="1" si="59"/>
        <v/>
      </c>
      <c r="IB50" s="721" t="str">
        <f t="shared" ca="1" si="74"/>
        <v/>
      </c>
      <c r="IE50" s="159" t="str">
        <f t="shared" ca="1" si="75"/>
        <v/>
      </c>
      <c r="IF50" s="159" t="str">
        <f t="shared" ca="1" si="76"/>
        <v/>
      </c>
      <c r="IG50" s="159" t="str">
        <f t="shared" ca="1" si="77"/>
        <v/>
      </c>
      <c r="IH50" s="159" t="str">
        <f t="shared" ca="1" si="78"/>
        <v/>
      </c>
    </row>
    <row r="51" spans="2:242" s="164" customFormat="1" ht="20.100000000000001" customHeight="1">
      <c r="B51" s="302"/>
      <c r="C51" s="303" t="s">
        <v>383</v>
      </c>
      <c r="D51" s="304"/>
      <c r="E51" s="305"/>
      <c r="F51" s="303" t="s">
        <v>457</v>
      </c>
      <c r="G51" s="306">
        <v>21.2</v>
      </c>
      <c r="H51" s="309"/>
      <c r="I51" s="308"/>
      <c r="J51" s="309"/>
      <c r="K51" s="310"/>
      <c r="L51" s="311"/>
      <c r="M51" s="311"/>
      <c r="N51" s="309"/>
      <c r="O51" s="310"/>
      <c r="P51" s="311"/>
      <c r="Q51" s="311"/>
      <c r="R51" s="309"/>
      <c r="S51" s="310"/>
      <c r="T51" s="311"/>
      <c r="U51" s="311"/>
      <c r="V51" s="309"/>
      <c r="W51" s="310"/>
      <c r="X51" s="311"/>
      <c r="Y51" s="311"/>
      <c r="Z51" s="309"/>
      <c r="AA51" s="310"/>
      <c r="AB51" s="311"/>
      <c r="AC51" s="311"/>
      <c r="AD51" s="309"/>
      <c r="AE51" s="310"/>
      <c r="AF51" s="311"/>
      <c r="AG51" s="311"/>
      <c r="AH51" s="309"/>
      <c r="AI51" s="310"/>
      <c r="AJ51" s="311"/>
      <c r="AK51" s="311"/>
      <c r="AL51" s="309"/>
      <c r="AM51" s="310"/>
      <c r="AN51" s="311"/>
      <c r="AO51" s="311"/>
      <c r="AP51" s="309"/>
      <c r="AQ51" s="310"/>
      <c r="AR51" s="311"/>
      <c r="AS51" s="311"/>
      <c r="AT51" s="309"/>
      <c r="AU51" s="310"/>
      <c r="AV51" s="311"/>
      <c r="AW51" s="311"/>
      <c r="AX51" s="309"/>
      <c r="AY51" s="310"/>
      <c r="AZ51" s="311"/>
      <c r="BA51" s="311"/>
      <c r="BB51" s="309"/>
      <c r="BC51" s="310"/>
      <c r="BD51" s="311"/>
      <c r="BE51" s="311"/>
      <c r="BF51" s="309"/>
      <c r="BG51" s="310"/>
      <c r="BH51" s="311"/>
      <c r="BI51" s="311"/>
      <c r="BJ51" s="309"/>
      <c r="BK51" s="310"/>
      <c r="BL51" s="311"/>
      <c r="BM51" s="311"/>
      <c r="BN51" s="309"/>
      <c r="BO51" s="310"/>
      <c r="BP51" s="311"/>
      <c r="BQ51" s="311"/>
      <c r="BR51" s="309"/>
      <c r="BS51" s="310"/>
      <c r="BT51" s="311"/>
      <c r="BU51" s="311"/>
      <c r="BV51" s="309"/>
      <c r="BW51" s="310"/>
      <c r="BX51" s="311"/>
      <c r="BY51" s="311"/>
      <c r="BZ51" s="309"/>
      <c r="CA51" s="310"/>
      <c r="CB51" s="311"/>
      <c r="CC51" s="311"/>
      <c r="CD51" s="309"/>
      <c r="CE51" s="310"/>
      <c r="CF51" s="311"/>
      <c r="CG51" s="311"/>
      <c r="CH51" s="309"/>
      <c r="CI51" s="310"/>
      <c r="CJ51" s="311"/>
      <c r="CK51" s="311"/>
      <c r="CL51" s="309"/>
      <c r="CM51" s="310"/>
      <c r="CN51" s="311"/>
      <c r="CO51" s="311"/>
      <c r="CP51" s="309"/>
      <c r="CQ51" s="310"/>
      <c r="CR51" s="311"/>
      <c r="CS51" s="311"/>
      <c r="CT51" s="309"/>
      <c r="CU51" s="310"/>
      <c r="CV51" s="311"/>
      <c r="CW51" s="311"/>
      <c r="CX51" s="309"/>
      <c r="CY51" s="310"/>
      <c r="CZ51" s="311"/>
      <c r="DA51" s="311"/>
      <c r="DB51" s="309"/>
      <c r="DC51" s="310"/>
      <c r="DD51" s="311"/>
      <c r="DE51" s="311"/>
      <c r="DF51" s="309"/>
      <c r="DG51" s="310"/>
      <c r="DH51" s="311"/>
      <c r="DI51" s="311"/>
      <c r="DJ51" s="309"/>
      <c r="DK51" s="310"/>
      <c r="DL51" s="311"/>
      <c r="DM51" s="311"/>
      <c r="DN51" s="309"/>
      <c r="DO51" s="310"/>
      <c r="DP51" s="311"/>
      <c r="DQ51" s="311"/>
      <c r="DR51" s="309"/>
      <c r="DS51" s="310"/>
      <c r="DT51" s="311"/>
      <c r="DU51" s="311"/>
      <c r="DV51" s="309"/>
      <c r="DW51" s="310"/>
      <c r="DX51" s="311"/>
      <c r="DY51" s="311"/>
      <c r="DZ51" s="309"/>
      <c r="EA51" s="310"/>
      <c r="EB51" s="311"/>
      <c r="EC51" s="311"/>
      <c r="ED51" s="309"/>
      <c r="EE51" s="310"/>
      <c r="EF51" s="311"/>
      <c r="EG51" s="311"/>
      <c r="EH51" s="309"/>
      <c r="EI51" s="310"/>
      <c r="EJ51" s="311"/>
      <c r="EK51" s="311"/>
      <c r="EL51" s="309"/>
      <c r="EM51" s="310"/>
      <c r="EN51" s="311"/>
      <c r="EO51" s="311"/>
      <c r="EP51" s="309"/>
      <c r="EQ51" s="310"/>
      <c r="ER51" s="311"/>
      <c r="ES51" s="311"/>
      <c r="ET51" s="309"/>
      <c r="EU51" s="310"/>
      <c r="EV51" s="311"/>
      <c r="EW51" s="311"/>
      <c r="EX51" s="309"/>
      <c r="EY51" s="310"/>
      <c r="EZ51" s="311"/>
      <c r="FA51" s="311"/>
      <c r="FB51" s="309"/>
      <c r="FC51" s="310"/>
      <c r="FD51" s="311"/>
      <c r="FE51" s="311"/>
      <c r="FF51" s="309"/>
      <c r="FG51" s="310"/>
      <c r="FH51" s="311"/>
      <c r="FI51" s="311"/>
      <c r="FJ51" s="309"/>
      <c r="FK51" s="310"/>
      <c r="FL51" s="311"/>
      <c r="FM51" s="311"/>
      <c r="FN51" s="309"/>
      <c r="FO51" s="310"/>
      <c r="FP51" s="311"/>
      <c r="FQ51" s="311"/>
      <c r="FR51" s="309"/>
      <c r="FS51" s="310"/>
      <c r="FT51" s="311"/>
      <c r="FU51" s="311"/>
      <c r="FV51" s="309"/>
      <c r="FW51" s="310"/>
      <c r="FX51" s="311"/>
      <c r="FY51" s="311"/>
      <c r="FZ51" s="309"/>
      <c r="GA51" s="310"/>
      <c r="GB51" s="311"/>
      <c r="GC51" s="311"/>
      <c r="GD51" s="309"/>
      <c r="GE51" s="310"/>
      <c r="GF51" s="311"/>
      <c r="GG51" s="311"/>
      <c r="GH51" s="309"/>
      <c r="GI51" s="310"/>
      <c r="GJ51" s="311"/>
      <c r="GK51" s="311"/>
      <c r="GL51" s="309"/>
      <c r="GM51" s="310"/>
      <c r="GN51" s="311"/>
      <c r="GO51" s="311"/>
      <c r="GP51" s="309"/>
      <c r="GQ51" s="310"/>
      <c r="GR51" s="311"/>
      <c r="GS51" s="311"/>
      <c r="GT51" s="309"/>
      <c r="GU51" s="310"/>
      <c r="GV51" s="311"/>
      <c r="GW51" s="311"/>
      <c r="GX51" s="309"/>
      <c r="GY51" s="310"/>
      <c r="GZ51" s="311"/>
      <c r="HA51" s="311"/>
      <c r="HB51" s="309"/>
      <c r="HC51" s="312">
        <f t="shared" si="79"/>
        <v>0</v>
      </c>
      <c r="HD51" s="313">
        <f t="shared" si="79"/>
        <v>0</v>
      </c>
      <c r="HE51" s="313">
        <f t="shared" si="79"/>
        <v>0</v>
      </c>
      <c r="HF51" s="314"/>
      <c r="HG51" s="312">
        <f>SUM(SUMIFS(K51:HB51,$K$13:$HB$13,{"エネルギー管理指定工場等*","県域*"}))</f>
        <v>0</v>
      </c>
      <c r="HH51" s="313">
        <f>SUM(SUMIFS(L51:HC51,$K$13:$HB$13,{"エネルギー管理指定工場等*","県域*"}))</f>
        <v>0</v>
      </c>
      <c r="HI51" s="313">
        <f>SUM(SUMIFS(M51:HD51,$K$13:$HB$13,{"エネルギー管理指定工場等*","県域*"}))</f>
        <v>0</v>
      </c>
      <c r="HJ51" s="314"/>
      <c r="HL51" s="219">
        <v>42</v>
      </c>
      <c r="HM51" s="714" t="str">
        <f t="shared" ca="1" si="67"/>
        <v/>
      </c>
      <c r="HN51" s="715" t="str">
        <f ca="1">IF(COUNTIF(HN$10:HN50,OFFSET(A1_原単位2025,5,HL51+2))&gt;=1,"",OFFSET(A1_原単位2025,5,HL51+2)&amp;"")</f>
        <v/>
      </c>
      <c r="HO51" s="716" t="str">
        <f t="shared" ca="1" si="50"/>
        <v/>
      </c>
      <c r="HP51" s="717" t="str">
        <f t="shared" ca="1" si="68"/>
        <v/>
      </c>
      <c r="HQ51" s="714" t="str">
        <f t="shared" ca="1" si="69"/>
        <v/>
      </c>
      <c r="HR51" s="715" t="str">
        <f ca="1">IF(COUNTIF(HR$10:HR50,OFFSET(A1_原単位2025,17,HL51+2))&gt;=1,"",OFFSET(A1_原単位2025,17,HL51+2)&amp;"")</f>
        <v/>
      </c>
      <c r="HS51" s="718" t="str">
        <f t="shared" ca="1" si="53"/>
        <v/>
      </c>
      <c r="HT51" s="719" t="str">
        <f t="shared" ca="1" si="70"/>
        <v/>
      </c>
      <c r="HU51" s="714" t="str">
        <f t="shared" ca="1" si="71"/>
        <v/>
      </c>
      <c r="HV51" s="715" t="str">
        <f ca="1">IF(COUNTIF(HV$10:HV50,OFFSET(A1_原単位2025,29,HL51+2))&gt;=1,"",OFFSET(A1_原単位2025,29,HL51+2)&amp;"")</f>
        <v/>
      </c>
      <c r="HW51" s="718" t="str">
        <f t="shared" ca="1" si="56"/>
        <v/>
      </c>
      <c r="HX51" s="719" t="str">
        <f t="shared" ca="1" si="72"/>
        <v/>
      </c>
      <c r="HY51" s="714" t="str">
        <f t="shared" ca="1" si="73"/>
        <v/>
      </c>
      <c r="HZ51" s="715" t="str">
        <f ca="1">IF(COUNTIF(HZ$10:HZ50,OFFSET(A1_原単位2025,41,HL51+2))&gt;=1,"",OFFSET(A1_原単位2025,41,HL51+2)&amp;"")</f>
        <v/>
      </c>
      <c r="IA51" s="720" t="str">
        <f t="shared" ca="1" si="59"/>
        <v/>
      </c>
      <c r="IB51" s="721" t="str">
        <f t="shared" ca="1" si="74"/>
        <v/>
      </c>
      <c r="IE51" s="159" t="str">
        <f t="shared" ca="1" si="75"/>
        <v/>
      </c>
      <c r="IF51" s="159" t="str">
        <f t="shared" ca="1" si="76"/>
        <v/>
      </c>
      <c r="IG51" s="159" t="str">
        <f t="shared" ca="1" si="77"/>
        <v/>
      </c>
      <c r="IH51" s="159" t="str">
        <f t="shared" ca="1" si="78"/>
        <v/>
      </c>
    </row>
    <row r="52" spans="2:242" s="164" customFormat="1" ht="20.100000000000001" customHeight="1">
      <c r="B52" s="302"/>
      <c r="C52" s="303" t="s">
        <v>591</v>
      </c>
      <c r="D52" s="304"/>
      <c r="E52" s="311"/>
      <c r="F52" s="303" t="s">
        <v>455</v>
      </c>
      <c r="G52" s="306">
        <v>13.2</v>
      </c>
      <c r="H52" s="309"/>
      <c r="I52" s="308"/>
      <c r="J52" s="309"/>
      <c r="K52" s="310"/>
      <c r="L52" s="311"/>
      <c r="M52" s="311"/>
      <c r="N52" s="309"/>
      <c r="O52" s="310"/>
      <c r="P52" s="311"/>
      <c r="Q52" s="311"/>
      <c r="R52" s="309"/>
      <c r="S52" s="310"/>
      <c r="T52" s="311"/>
      <c r="U52" s="311"/>
      <c r="V52" s="309"/>
      <c r="W52" s="310"/>
      <c r="X52" s="311"/>
      <c r="Y52" s="311"/>
      <c r="Z52" s="309"/>
      <c r="AA52" s="310"/>
      <c r="AB52" s="311"/>
      <c r="AC52" s="311"/>
      <c r="AD52" s="309"/>
      <c r="AE52" s="310"/>
      <c r="AF52" s="311"/>
      <c r="AG52" s="311"/>
      <c r="AH52" s="309"/>
      <c r="AI52" s="310"/>
      <c r="AJ52" s="311"/>
      <c r="AK52" s="311"/>
      <c r="AL52" s="309"/>
      <c r="AM52" s="310"/>
      <c r="AN52" s="311"/>
      <c r="AO52" s="311"/>
      <c r="AP52" s="309"/>
      <c r="AQ52" s="310"/>
      <c r="AR52" s="311"/>
      <c r="AS52" s="311"/>
      <c r="AT52" s="309"/>
      <c r="AU52" s="310"/>
      <c r="AV52" s="311"/>
      <c r="AW52" s="311"/>
      <c r="AX52" s="309"/>
      <c r="AY52" s="310"/>
      <c r="AZ52" s="311"/>
      <c r="BA52" s="311"/>
      <c r="BB52" s="309"/>
      <c r="BC52" s="310"/>
      <c r="BD52" s="311"/>
      <c r="BE52" s="311"/>
      <c r="BF52" s="309"/>
      <c r="BG52" s="310"/>
      <c r="BH52" s="311"/>
      <c r="BI52" s="311"/>
      <c r="BJ52" s="309"/>
      <c r="BK52" s="310"/>
      <c r="BL52" s="311"/>
      <c r="BM52" s="311"/>
      <c r="BN52" s="309"/>
      <c r="BO52" s="310"/>
      <c r="BP52" s="311"/>
      <c r="BQ52" s="311"/>
      <c r="BR52" s="309"/>
      <c r="BS52" s="310"/>
      <c r="BT52" s="311"/>
      <c r="BU52" s="311"/>
      <c r="BV52" s="309"/>
      <c r="BW52" s="310"/>
      <c r="BX52" s="311"/>
      <c r="BY52" s="311"/>
      <c r="BZ52" s="309"/>
      <c r="CA52" s="310"/>
      <c r="CB52" s="311"/>
      <c r="CC52" s="311"/>
      <c r="CD52" s="309"/>
      <c r="CE52" s="310"/>
      <c r="CF52" s="311"/>
      <c r="CG52" s="311"/>
      <c r="CH52" s="309"/>
      <c r="CI52" s="310"/>
      <c r="CJ52" s="311"/>
      <c r="CK52" s="311"/>
      <c r="CL52" s="309"/>
      <c r="CM52" s="310"/>
      <c r="CN52" s="311"/>
      <c r="CO52" s="311"/>
      <c r="CP52" s="309"/>
      <c r="CQ52" s="310"/>
      <c r="CR52" s="311"/>
      <c r="CS52" s="311"/>
      <c r="CT52" s="309"/>
      <c r="CU52" s="310"/>
      <c r="CV52" s="311"/>
      <c r="CW52" s="311"/>
      <c r="CX52" s="309"/>
      <c r="CY52" s="310"/>
      <c r="CZ52" s="311"/>
      <c r="DA52" s="311"/>
      <c r="DB52" s="309"/>
      <c r="DC52" s="310"/>
      <c r="DD52" s="311"/>
      <c r="DE52" s="311"/>
      <c r="DF52" s="309"/>
      <c r="DG52" s="310"/>
      <c r="DH52" s="311"/>
      <c r="DI52" s="311"/>
      <c r="DJ52" s="309"/>
      <c r="DK52" s="310"/>
      <c r="DL52" s="311"/>
      <c r="DM52" s="311"/>
      <c r="DN52" s="309"/>
      <c r="DO52" s="310"/>
      <c r="DP52" s="311"/>
      <c r="DQ52" s="311"/>
      <c r="DR52" s="309"/>
      <c r="DS52" s="310"/>
      <c r="DT52" s="311"/>
      <c r="DU52" s="311"/>
      <c r="DV52" s="309"/>
      <c r="DW52" s="310"/>
      <c r="DX52" s="311"/>
      <c r="DY52" s="311"/>
      <c r="DZ52" s="309"/>
      <c r="EA52" s="310"/>
      <c r="EB52" s="311"/>
      <c r="EC52" s="311"/>
      <c r="ED52" s="309"/>
      <c r="EE52" s="310"/>
      <c r="EF52" s="311"/>
      <c r="EG52" s="311"/>
      <c r="EH52" s="309"/>
      <c r="EI52" s="310"/>
      <c r="EJ52" s="311"/>
      <c r="EK52" s="311"/>
      <c r="EL52" s="309"/>
      <c r="EM52" s="310"/>
      <c r="EN52" s="311"/>
      <c r="EO52" s="311"/>
      <c r="EP52" s="309"/>
      <c r="EQ52" s="310"/>
      <c r="ER52" s="311"/>
      <c r="ES52" s="311"/>
      <c r="ET52" s="309"/>
      <c r="EU52" s="310"/>
      <c r="EV52" s="311"/>
      <c r="EW52" s="311"/>
      <c r="EX52" s="309"/>
      <c r="EY52" s="310"/>
      <c r="EZ52" s="311"/>
      <c r="FA52" s="311"/>
      <c r="FB52" s="309"/>
      <c r="FC52" s="310"/>
      <c r="FD52" s="311"/>
      <c r="FE52" s="311"/>
      <c r="FF52" s="309"/>
      <c r="FG52" s="310"/>
      <c r="FH52" s="311"/>
      <c r="FI52" s="311"/>
      <c r="FJ52" s="309"/>
      <c r="FK52" s="310"/>
      <c r="FL52" s="311"/>
      <c r="FM52" s="311"/>
      <c r="FN52" s="309"/>
      <c r="FO52" s="310"/>
      <c r="FP52" s="311"/>
      <c r="FQ52" s="311"/>
      <c r="FR52" s="309"/>
      <c r="FS52" s="310"/>
      <c r="FT52" s="311"/>
      <c r="FU52" s="311"/>
      <c r="FV52" s="309"/>
      <c r="FW52" s="310"/>
      <c r="FX52" s="311"/>
      <c r="FY52" s="311"/>
      <c r="FZ52" s="309"/>
      <c r="GA52" s="310"/>
      <c r="GB52" s="311"/>
      <c r="GC52" s="311"/>
      <c r="GD52" s="309"/>
      <c r="GE52" s="310"/>
      <c r="GF52" s="311"/>
      <c r="GG52" s="311"/>
      <c r="GH52" s="309"/>
      <c r="GI52" s="310"/>
      <c r="GJ52" s="311"/>
      <c r="GK52" s="311"/>
      <c r="GL52" s="309"/>
      <c r="GM52" s="310"/>
      <c r="GN52" s="311"/>
      <c r="GO52" s="311"/>
      <c r="GP52" s="309"/>
      <c r="GQ52" s="310"/>
      <c r="GR52" s="311"/>
      <c r="GS52" s="311"/>
      <c r="GT52" s="309"/>
      <c r="GU52" s="310"/>
      <c r="GV52" s="311"/>
      <c r="GW52" s="311"/>
      <c r="GX52" s="309"/>
      <c r="GY52" s="310"/>
      <c r="GZ52" s="311"/>
      <c r="HA52" s="311"/>
      <c r="HB52" s="309"/>
      <c r="HC52" s="312">
        <f t="shared" si="79"/>
        <v>0</v>
      </c>
      <c r="HD52" s="313">
        <f t="shared" si="79"/>
        <v>0</v>
      </c>
      <c r="HE52" s="313">
        <f t="shared" si="79"/>
        <v>0</v>
      </c>
      <c r="HF52" s="314"/>
      <c r="HG52" s="312">
        <f>SUM(SUMIFS(K52:HB52,$K$13:$HB$13,{"エネルギー管理指定工場等*","県域*"}))</f>
        <v>0</v>
      </c>
      <c r="HH52" s="313">
        <f>SUM(SUMIFS(L52:HC52,$K$13:$HB$13,{"エネルギー管理指定工場等*","県域*"}))</f>
        <v>0</v>
      </c>
      <c r="HI52" s="313">
        <f>SUM(SUMIFS(M52:HD52,$K$13:$HB$13,{"エネルギー管理指定工場等*","県域*"}))</f>
        <v>0</v>
      </c>
      <c r="HJ52" s="314"/>
      <c r="HL52" s="230">
        <v>43</v>
      </c>
      <c r="HM52" s="714" t="str">
        <f t="shared" ca="1" si="67"/>
        <v/>
      </c>
      <c r="HN52" s="715" t="str">
        <f ca="1">IF(COUNTIF(HN$10:HN51,OFFSET(A1_原単位2025,5,HL52+2))&gt;=1,"",OFFSET(A1_原単位2025,5,HL52+2)&amp;"")</f>
        <v/>
      </c>
      <c r="HO52" s="716" t="str">
        <f t="shared" ca="1" si="50"/>
        <v/>
      </c>
      <c r="HP52" s="717" t="str">
        <f t="shared" ca="1" si="68"/>
        <v/>
      </c>
      <c r="HQ52" s="714" t="str">
        <f t="shared" ca="1" si="69"/>
        <v/>
      </c>
      <c r="HR52" s="715" t="str">
        <f ca="1">IF(COUNTIF(HR$10:HR51,OFFSET(A1_原単位2025,17,HL52+2))&gt;=1,"",OFFSET(A1_原単位2025,17,HL52+2)&amp;"")</f>
        <v/>
      </c>
      <c r="HS52" s="718" t="str">
        <f t="shared" ca="1" si="53"/>
        <v/>
      </c>
      <c r="HT52" s="719" t="str">
        <f t="shared" ca="1" si="70"/>
        <v/>
      </c>
      <c r="HU52" s="714" t="str">
        <f t="shared" ca="1" si="71"/>
        <v/>
      </c>
      <c r="HV52" s="715" t="str">
        <f ca="1">IF(COUNTIF(HV$10:HV51,OFFSET(A1_原単位2025,29,HL52+2))&gt;=1,"",OFFSET(A1_原単位2025,29,HL52+2)&amp;"")</f>
        <v/>
      </c>
      <c r="HW52" s="718" t="str">
        <f t="shared" ca="1" si="56"/>
        <v/>
      </c>
      <c r="HX52" s="719" t="str">
        <f t="shared" ca="1" si="72"/>
        <v/>
      </c>
      <c r="HY52" s="714" t="str">
        <f t="shared" ca="1" si="73"/>
        <v/>
      </c>
      <c r="HZ52" s="715" t="str">
        <f ca="1">IF(COUNTIF(HZ$10:HZ51,OFFSET(A1_原単位2025,41,HL52+2))&gt;=1,"",OFFSET(A1_原単位2025,41,HL52+2)&amp;"")</f>
        <v/>
      </c>
      <c r="IA52" s="720" t="str">
        <f t="shared" ca="1" si="59"/>
        <v/>
      </c>
      <c r="IB52" s="721" t="str">
        <f t="shared" ca="1" si="74"/>
        <v/>
      </c>
      <c r="IE52" s="159" t="str">
        <f t="shared" ca="1" si="75"/>
        <v/>
      </c>
      <c r="IF52" s="159" t="str">
        <f t="shared" ca="1" si="76"/>
        <v/>
      </c>
      <c r="IG52" s="159" t="str">
        <f t="shared" ca="1" si="77"/>
        <v/>
      </c>
      <c r="IH52" s="159" t="str">
        <f t="shared" ca="1" si="78"/>
        <v/>
      </c>
    </row>
    <row r="53" spans="2:242" s="164" customFormat="1" ht="20.100000000000001" customHeight="1">
      <c r="B53" s="302"/>
      <c r="C53" s="303" t="s">
        <v>385</v>
      </c>
      <c r="D53" s="304"/>
      <c r="E53" s="305"/>
      <c r="F53" s="303" t="s">
        <v>455</v>
      </c>
      <c r="G53" s="316">
        <v>18</v>
      </c>
      <c r="H53" s="307">
        <v>1.6199999999999999E-2</v>
      </c>
      <c r="I53" s="308"/>
      <c r="J53" s="309"/>
      <c r="K53" s="310"/>
      <c r="L53" s="311"/>
      <c r="M53" s="311"/>
      <c r="N53" s="309"/>
      <c r="O53" s="310"/>
      <c r="P53" s="311"/>
      <c r="Q53" s="311"/>
      <c r="R53" s="309"/>
      <c r="S53" s="310"/>
      <c r="T53" s="311"/>
      <c r="U53" s="311"/>
      <c r="V53" s="309"/>
      <c r="W53" s="310"/>
      <c r="X53" s="311"/>
      <c r="Y53" s="311"/>
      <c r="Z53" s="309"/>
      <c r="AA53" s="310"/>
      <c r="AB53" s="311"/>
      <c r="AC53" s="311"/>
      <c r="AD53" s="309"/>
      <c r="AE53" s="310"/>
      <c r="AF53" s="311"/>
      <c r="AG53" s="311"/>
      <c r="AH53" s="309"/>
      <c r="AI53" s="310"/>
      <c r="AJ53" s="311"/>
      <c r="AK53" s="311"/>
      <c r="AL53" s="309"/>
      <c r="AM53" s="310"/>
      <c r="AN53" s="311"/>
      <c r="AO53" s="311"/>
      <c r="AP53" s="309"/>
      <c r="AQ53" s="310"/>
      <c r="AR53" s="311"/>
      <c r="AS53" s="311"/>
      <c r="AT53" s="309"/>
      <c r="AU53" s="310"/>
      <c r="AV53" s="311"/>
      <c r="AW53" s="311"/>
      <c r="AX53" s="309"/>
      <c r="AY53" s="310"/>
      <c r="AZ53" s="311"/>
      <c r="BA53" s="311"/>
      <c r="BB53" s="309"/>
      <c r="BC53" s="310"/>
      <c r="BD53" s="311"/>
      <c r="BE53" s="311"/>
      <c r="BF53" s="309"/>
      <c r="BG53" s="310"/>
      <c r="BH53" s="311"/>
      <c r="BI53" s="311"/>
      <c r="BJ53" s="309"/>
      <c r="BK53" s="310"/>
      <c r="BL53" s="311"/>
      <c r="BM53" s="311"/>
      <c r="BN53" s="309"/>
      <c r="BO53" s="310"/>
      <c r="BP53" s="311"/>
      <c r="BQ53" s="311"/>
      <c r="BR53" s="309"/>
      <c r="BS53" s="310"/>
      <c r="BT53" s="311"/>
      <c r="BU53" s="311"/>
      <c r="BV53" s="309"/>
      <c r="BW53" s="310"/>
      <c r="BX53" s="311"/>
      <c r="BY53" s="311"/>
      <c r="BZ53" s="309"/>
      <c r="CA53" s="310"/>
      <c r="CB53" s="311"/>
      <c r="CC53" s="311"/>
      <c r="CD53" s="309"/>
      <c r="CE53" s="310"/>
      <c r="CF53" s="311"/>
      <c r="CG53" s="311"/>
      <c r="CH53" s="309"/>
      <c r="CI53" s="310"/>
      <c r="CJ53" s="311"/>
      <c r="CK53" s="311"/>
      <c r="CL53" s="309"/>
      <c r="CM53" s="310"/>
      <c r="CN53" s="311"/>
      <c r="CO53" s="311"/>
      <c r="CP53" s="309"/>
      <c r="CQ53" s="310"/>
      <c r="CR53" s="311"/>
      <c r="CS53" s="311"/>
      <c r="CT53" s="309"/>
      <c r="CU53" s="310"/>
      <c r="CV53" s="311"/>
      <c r="CW53" s="311"/>
      <c r="CX53" s="309"/>
      <c r="CY53" s="310"/>
      <c r="CZ53" s="311"/>
      <c r="DA53" s="311"/>
      <c r="DB53" s="309"/>
      <c r="DC53" s="310"/>
      <c r="DD53" s="311"/>
      <c r="DE53" s="311"/>
      <c r="DF53" s="309"/>
      <c r="DG53" s="310"/>
      <c r="DH53" s="311"/>
      <c r="DI53" s="311"/>
      <c r="DJ53" s="309"/>
      <c r="DK53" s="310"/>
      <c r="DL53" s="311"/>
      <c r="DM53" s="311"/>
      <c r="DN53" s="309"/>
      <c r="DO53" s="310"/>
      <c r="DP53" s="311"/>
      <c r="DQ53" s="311"/>
      <c r="DR53" s="309"/>
      <c r="DS53" s="310"/>
      <c r="DT53" s="311"/>
      <c r="DU53" s="311"/>
      <c r="DV53" s="309"/>
      <c r="DW53" s="310"/>
      <c r="DX53" s="311"/>
      <c r="DY53" s="311"/>
      <c r="DZ53" s="309"/>
      <c r="EA53" s="310"/>
      <c r="EB53" s="311"/>
      <c r="EC53" s="311"/>
      <c r="ED53" s="309"/>
      <c r="EE53" s="310"/>
      <c r="EF53" s="311"/>
      <c r="EG53" s="311"/>
      <c r="EH53" s="309"/>
      <c r="EI53" s="310"/>
      <c r="EJ53" s="311"/>
      <c r="EK53" s="311"/>
      <c r="EL53" s="309"/>
      <c r="EM53" s="310"/>
      <c r="EN53" s="311"/>
      <c r="EO53" s="311"/>
      <c r="EP53" s="309"/>
      <c r="EQ53" s="310"/>
      <c r="ER53" s="311"/>
      <c r="ES53" s="311"/>
      <c r="ET53" s="309"/>
      <c r="EU53" s="310"/>
      <c r="EV53" s="311"/>
      <c r="EW53" s="311"/>
      <c r="EX53" s="309"/>
      <c r="EY53" s="310"/>
      <c r="EZ53" s="311"/>
      <c r="FA53" s="311"/>
      <c r="FB53" s="309"/>
      <c r="FC53" s="310"/>
      <c r="FD53" s="311"/>
      <c r="FE53" s="311"/>
      <c r="FF53" s="309"/>
      <c r="FG53" s="310"/>
      <c r="FH53" s="311"/>
      <c r="FI53" s="311"/>
      <c r="FJ53" s="309"/>
      <c r="FK53" s="310"/>
      <c r="FL53" s="311"/>
      <c r="FM53" s="311"/>
      <c r="FN53" s="309"/>
      <c r="FO53" s="310"/>
      <c r="FP53" s="311"/>
      <c r="FQ53" s="311"/>
      <c r="FR53" s="309"/>
      <c r="FS53" s="310"/>
      <c r="FT53" s="311"/>
      <c r="FU53" s="311"/>
      <c r="FV53" s="309"/>
      <c r="FW53" s="310"/>
      <c r="FX53" s="311"/>
      <c r="FY53" s="311"/>
      <c r="FZ53" s="309"/>
      <c r="GA53" s="310"/>
      <c r="GB53" s="311"/>
      <c r="GC53" s="311"/>
      <c r="GD53" s="309"/>
      <c r="GE53" s="310"/>
      <c r="GF53" s="311"/>
      <c r="GG53" s="311"/>
      <c r="GH53" s="309"/>
      <c r="GI53" s="310"/>
      <c r="GJ53" s="311"/>
      <c r="GK53" s="311"/>
      <c r="GL53" s="309"/>
      <c r="GM53" s="310"/>
      <c r="GN53" s="311"/>
      <c r="GO53" s="311"/>
      <c r="GP53" s="309"/>
      <c r="GQ53" s="310"/>
      <c r="GR53" s="311"/>
      <c r="GS53" s="311"/>
      <c r="GT53" s="309"/>
      <c r="GU53" s="310"/>
      <c r="GV53" s="311"/>
      <c r="GW53" s="311"/>
      <c r="GX53" s="309"/>
      <c r="GY53" s="310"/>
      <c r="GZ53" s="311"/>
      <c r="HA53" s="311"/>
      <c r="HB53" s="309"/>
      <c r="HC53" s="312">
        <f t="shared" si="79"/>
        <v>0</v>
      </c>
      <c r="HD53" s="313">
        <f t="shared" si="79"/>
        <v>0</v>
      </c>
      <c r="HE53" s="313">
        <f t="shared" si="79"/>
        <v>0</v>
      </c>
      <c r="HF53" s="314"/>
      <c r="HG53" s="312">
        <f>SUM(SUMIFS(K53:HB53,$K$13:$HB$13,{"エネルギー管理指定工場等*","県域*"}))</f>
        <v>0</v>
      </c>
      <c r="HH53" s="313">
        <f>SUM(SUMIFS(L53:HC53,$K$13:$HB$13,{"エネルギー管理指定工場等*","県域*"}))</f>
        <v>0</v>
      </c>
      <c r="HI53" s="313">
        <f>SUM(SUMIFS(M53:HD53,$K$13:$HB$13,{"エネルギー管理指定工場等*","県域*"}))</f>
        <v>0</v>
      </c>
      <c r="HJ53" s="314"/>
      <c r="HL53" s="219">
        <v>44</v>
      </c>
      <c r="HM53" s="714" t="str">
        <f t="shared" ca="1" si="67"/>
        <v/>
      </c>
      <c r="HN53" s="715" t="str">
        <f ca="1">IF(COUNTIF(HN$10:HN52,OFFSET(A1_原単位2025,5,HL53+2))&gt;=1,"",OFFSET(A1_原単位2025,5,HL53+2)&amp;"")</f>
        <v/>
      </c>
      <c r="HO53" s="716" t="str">
        <f t="shared" ca="1" si="50"/>
        <v/>
      </c>
      <c r="HP53" s="717" t="str">
        <f t="shared" ca="1" si="68"/>
        <v/>
      </c>
      <c r="HQ53" s="714" t="str">
        <f t="shared" ca="1" si="69"/>
        <v/>
      </c>
      <c r="HR53" s="715" t="str">
        <f ca="1">IF(COUNTIF(HR$10:HR52,OFFSET(A1_原単位2025,17,HL53+2))&gt;=1,"",OFFSET(A1_原単位2025,17,HL53+2)&amp;"")</f>
        <v/>
      </c>
      <c r="HS53" s="718" t="str">
        <f t="shared" ca="1" si="53"/>
        <v/>
      </c>
      <c r="HT53" s="719" t="str">
        <f t="shared" ca="1" si="70"/>
        <v/>
      </c>
      <c r="HU53" s="714" t="str">
        <f t="shared" ca="1" si="71"/>
        <v/>
      </c>
      <c r="HV53" s="715" t="str">
        <f ca="1">IF(COUNTIF(HV$10:HV52,OFFSET(A1_原単位2025,29,HL53+2))&gt;=1,"",OFFSET(A1_原単位2025,29,HL53+2)&amp;"")</f>
        <v/>
      </c>
      <c r="HW53" s="718" t="str">
        <f t="shared" ca="1" si="56"/>
        <v/>
      </c>
      <c r="HX53" s="719" t="str">
        <f t="shared" ca="1" si="72"/>
        <v/>
      </c>
      <c r="HY53" s="714" t="str">
        <f t="shared" ca="1" si="73"/>
        <v/>
      </c>
      <c r="HZ53" s="715" t="str">
        <f ca="1">IF(COUNTIF(HZ$10:HZ52,OFFSET(A1_原単位2025,41,HL53+2))&gt;=1,"",OFFSET(A1_原単位2025,41,HL53+2)&amp;"")</f>
        <v/>
      </c>
      <c r="IA53" s="720" t="str">
        <f t="shared" ca="1" si="59"/>
        <v/>
      </c>
      <c r="IB53" s="721" t="str">
        <f t="shared" ca="1" si="74"/>
        <v/>
      </c>
      <c r="IE53" s="159" t="str">
        <f t="shared" ca="1" si="75"/>
        <v/>
      </c>
      <c r="IF53" s="159" t="str">
        <f t="shared" ca="1" si="76"/>
        <v/>
      </c>
      <c r="IG53" s="159" t="str">
        <f t="shared" ca="1" si="77"/>
        <v/>
      </c>
      <c r="IH53" s="159" t="str">
        <f t="shared" ca="1" si="78"/>
        <v/>
      </c>
    </row>
    <row r="54" spans="2:242" s="164" customFormat="1" ht="20.100000000000001" customHeight="1">
      <c r="B54" s="302"/>
      <c r="C54" s="303" t="s">
        <v>386</v>
      </c>
      <c r="D54" s="304"/>
      <c r="E54" s="305"/>
      <c r="F54" s="303" t="s">
        <v>455</v>
      </c>
      <c r="G54" s="306">
        <v>26.9</v>
      </c>
      <c r="H54" s="307">
        <v>1.66E-2</v>
      </c>
      <c r="I54" s="308"/>
      <c r="J54" s="309"/>
      <c r="K54" s="310"/>
      <c r="L54" s="311"/>
      <c r="M54" s="311"/>
      <c r="N54" s="309"/>
      <c r="O54" s="310"/>
      <c r="P54" s="311"/>
      <c r="Q54" s="311"/>
      <c r="R54" s="309"/>
      <c r="S54" s="310"/>
      <c r="T54" s="311"/>
      <c r="U54" s="311"/>
      <c r="V54" s="309"/>
      <c r="W54" s="310"/>
      <c r="X54" s="311"/>
      <c r="Y54" s="311"/>
      <c r="Z54" s="309"/>
      <c r="AA54" s="310"/>
      <c r="AB54" s="311"/>
      <c r="AC54" s="311"/>
      <c r="AD54" s="309"/>
      <c r="AE54" s="310"/>
      <c r="AF54" s="311"/>
      <c r="AG54" s="311"/>
      <c r="AH54" s="309"/>
      <c r="AI54" s="310"/>
      <c r="AJ54" s="311"/>
      <c r="AK54" s="311"/>
      <c r="AL54" s="309"/>
      <c r="AM54" s="310"/>
      <c r="AN54" s="311"/>
      <c r="AO54" s="311"/>
      <c r="AP54" s="309"/>
      <c r="AQ54" s="310"/>
      <c r="AR54" s="311"/>
      <c r="AS54" s="311"/>
      <c r="AT54" s="309"/>
      <c r="AU54" s="310"/>
      <c r="AV54" s="311"/>
      <c r="AW54" s="311"/>
      <c r="AX54" s="309"/>
      <c r="AY54" s="310"/>
      <c r="AZ54" s="311"/>
      <c r="BA54" s="311"/>
      <c r="BB54" s="309"/>
      <c r="BC54" s="310"/>
      <c r="BD54" s="311"/>
      <c r="BE54" s="311"/>
      <c r="BF54" s="309"/>
      <c r="BG54" s="310"/>
      <c r="BH54" s="311"/>
      <c r="BI54" s="311"/>
      <c r="BJ54" s="309"/>
      <c r="BK54" s="310"/>
      <c r="BL54" s="311"/>
      <c r="BM54" s="311"/>
      <c r="BN54" s="309"/>
      <c r="BO54" s="310"/>
      <c r="BP54" s="311"/>
      <c r="BQ54" s="311"/>
      <c r="BR54" s="309"/>
      <c r="BS54" s="310"/>
      <c r="BT54" s="311"/>
      <c r="BU54" s="311"/>
      <c r="BV54" s="309"/>
      <c r="BW54" s="310"/>
      <c r="BX54" s="311"/>
      <c r="BY54" s="311"/>
      <c r="BZ54" s="309"/>
      <c r="CA54" s="310"/>
      <c r="CB54" s="311"/>
      <c r="CC54" s="311"/>
      <c r="CD54" s="309"/>
      <c r="CE54" s="310"/>
      <c r="CF54" s="311"/>
      <c r="CG54" s="311"/>
      <c r="CH54" s="309"/>
      <c r="CI54" s="310"/>
      <c r="CJ54" s="311"/>
      <c r="CK54" s="311"/>
      <c r="CL54" s="309"/>
      <c r="CM54" s="310"/>
      <c r="CN54" s="311"/>
      <c r="CO54" s="311"/>
      <c r="CP54" s="309"/>
      <c r="CQ54" s="310"/>
      <c r="CR54" s="311"/>
      <c r="CS54" s="311"/>
      <c r="CT54" s="309"/>
      <c r="CU54" s="310"/>
      <c r="CV54" s="311"/>
      <c r="CW54" s="311"/>
      <c r="CX54" s="309"/>
      <c r="CY54" s="310"/>
      <c r="CZ54" s="311"/>
      <c r="DA54" s="311"/>
      <c r="DB54" s="309"/>
      <c r="DC54" s="310"/>
      <c r="DD54" s="311"/>
      <c r="DE54" s="311"/>
      <c r="DF54" s="309"/>
      <c r="DG54" s="310"/>
      <c r="DH54" s="311"/>
      <c r="DI54" s="311"/>
      <c r="DJ54" s="309"/>
      <c r="DK54" s="310"/>
      <c r="DL54" s="311"/>
      <c r="DM54" s="311"/>
      <c r="DN54" s="309"/>
      <c r="DO54" s="310"/>
      <c r="DP54" s="311"/>
      <c r="DQ54" s="311"/>
      <c r="DR54" s="309"/>
      <c r="DS54" s="310"/>
      <c r="DT54" s="311"/>
      <c r="DU54" s="311"/>
      <c r="DV54" s="309"/>
      <c r="DW54" s="310"/>
      <c r="DX54" s="311"/>
      <c r="DY54" s="311"/>
      <c r="DZ54" s="309"/>
      <c r="EA54" s="310"/>
      <c r="EB54" s="311"/>
      <c r="EC54" s="311"/>
      <c r="ED54" s="309"/>
      <c r="EE54" s="310"/>
      <c r="EF54" s="311"/>
      <c r="EG54" s="311"/>
      <c r="EH54" s="309"/>
      <c r="EI54" s="310"/>
      <c r="EJ54" s="311"/>
      <c r="EK54" s="311"/>
      <c r="EL54" s="309"/>
      <c r="EM54" s="310"/>
      <c r="EN54" s="311"/>
      <c r="EO54" s="311"/>
      <c r="EP54" s="309"/>
      <c r="EQ54" s="310"/>
      <c r="ER54" s="311"/>
      <c r="ES54" s="311"/>
      <c r="ET54" s="309"/>
      <c r="EU54" s="310"/>
      <c r="EV54" s="311"/>
      <c r="EW54" s="311"/>
      <c r="EX54" s="309"/>
      <c r="EY54" s="310"/>
      <c r="EZ54" s="311"/>
      <c r="FA54" s="311"/>
      <c r="FB54" s="309"/>
      <c r="FC54" s="310"/>
      <c r="FD54" s="311"/>
      <c r="FE54" s="311"/>
      <c r="FF54" s="309"/>
      <c r="FG54" s="310"/>
      <c r="FH54" s="311"/>
      <c r="FI54" s="311"/>
      <c r="FJ54" s="309"/>
      <c r="FK54" s="310"/>
      <c r="FL54" s="311"/>
      <c r="FM54" s="311"/>
      <c r="FN54" s="309"/>
      <c r="FO54" s="310"/>
      <c r="FP54" s="311"/>
      <c r="FQ54" s="311"/>
      <c r="FR54" s="309"/>
      <c r="FS54" s="310"/>
      <c r="FT54" s="311"/>
      <c r="FU54" s="311"/>
      <c r="FV54" s="309"/>
      <c r="FW54" s="310"/>
      <c r="FX54" s="311"/>
      <c r="FY54" s="311"/>
      <c r="FZ54" s="309"/>
      <c r="GA54" s="310"/>
      <c r="GB54" s="311"/>
      <c r="GC54" s="311"/>
      <c r="GD54" s="309"/>
      <c r="GE54" s="310"/>
      <c r="GF54" s="311"/>
      <c r="GG54" s="311"/>
      <c r="GH54" s="309"/>
      <c r="GI54" s="310"/>
      <c r="GJ54" s="311"/>
      <c r="GK54" s="311"/>
      <c r="GL54" s="309"/>
      <c r="GM54" s="310"/>
      <c r="GN54" s="311"/>
      <c r="GO54" s="311"/>
      <c r="GP54" s="309"/>
      <c r="GQ54" s="310"/>
      <c r="GR54" s="311"/>
      <c r="GS54" s="311"/>
      <c r="GT54" s="309"/>
      <c r="GU54" s="310"/>
      <c r="GV54" s="311"/>
      <c r="GW54" s="311"/>
      <c r="GX54" s="309"/>
      <c r="GY54" s="310"/>
      <c r="GZ54" s="311"/>
      <c r="HA54" s="311"/>
      <c r="HB54" s="309"/>
      <c r="HC54" s="312">
        <f t="shared" si="79"/>
        <v>0</v>
      </c>
      <c r="HD54" s="313">
        <f t="shared" si="79"/>
        <v>0</v>
      </c>
      <c r="HE54" s="313">
        <f t="shared" si="79"/>
        <v>0</v>
      </c>
      <c r="HF54" s="314"/>
      <c r="HG54" s="312">
        <f>SUM(SUMIFS(K54:HB54,$K$13:$HB$13,{"エネルギー管理指定工場等*","県域*"}))</f>
        <v>0</v>
      </c>
      <c r="HH54" s="313">
        <f>SUM(SUMIFS(L54:HC54,$K$13:$HB$13,{"エネルギー管理指定工場等*","県域*"}))</f>
        <v>0</v>
      </c>
      <c r="HI54" s="313">
        <f>SUM(SUMIFS(M54:HD54,$K$13:$HB$13,{"エネルギー管理指定工場等*","県域*"}))</f>
        <v>0</v>
      </c>
      <c r="HJ54" s="314"/>
      <c r="HL54" s="219">
        <v>45</v>
      </c>
      <c r="HM54" s="714" t="str">
        <f t="shared" ca="1" si="67"/>
        <v/>
      </c>
      <c r="HN54" s="715" t="str">
        <f ca="1">IF(COUNTIF(HN$10:HN53,OFFSET(A1_原単位2025,5,HL54+2))&gt;=1,"",OFFSET(A1_原単位2025,5,HL54+2)&amp;"")</f>
        <v/>
      </c>
      <c r="HO54" s="716" t="str">
        <f t="shared" ca="1" si="50"/>
        <v/>
      </c>
      <c r="HP54" s="717" t="str">
        <f t="shared" ca="1" si="68"/>
        <v/>
      </c>
      <c r="HQ54" s="714" t="str">
        <f t="shared" ca="1" si="69"/>
        <v/>
      </c>
      <c r="HR54" s="715" t="str">
        <f ca="1">IF(COUNTIF(HR$10:HR53,OFFSET(A1_原単位2025,17,HL54+2))&gt;=1,"",OFFSET(A1_原単位2025,17,HL54+2)&amp;"")</f>
        <v/>
      </c>
      <c r="HS54" s="718" t="str">
        <f t="shared" ca="1" si="53"/>
        <v/>
      </c>
      <c r="HT54" s="719" t="str">
        <f t="shared" ca="1" si="70"/>
        <v/>
      </c>
      <c r="HU54" s="714" t="str">
        <f t="shared" ca="1" si="71"/>
        <v/>
      </c>
      <c r="HV54" s="715" t="str">
        <f ca="1">IF(COUNTIF(HV$10:HV53,OFFSET(A1_原単位2025,29,HL54+2))&gt;=1,"",OFFSET(A1_原単位2025,29,HL54+2)&amp;"")</f>
        <v/>
      </c>
      <c r="HW54" s="718" t="str">
        <f t="shared" ca="1" si="56"/>
        <v/>
      </c>
      <c r="HX54" s="719" t="str">
        <f t="shared" ca="1" si="72"/>
        <v/>
      </c>
      <c r="HY54" s="714" t="str">
        <f t="shared" ca="1" si="73"/>
        <v/>
      </c>
      <c r="HZ54" s="715" t="str">
        <f ca="1">IF(COUNTIF(HZ$10:HZ53,OFFSET(A1_原単位2025,41,HL54+2))&gt;=1,"",OFFSET(A1_原単位2025,41,HL54+2)&amp;"")</f>
        <v/>
      </c>
      <c r="IA54" s="720" t="str">
        <f t="shared" ca="1" si="59"/>
        <v/>
      </c>
      <c r="IB54" s="721" t="str">
        <f t="shared" ca="1" si="74"/>
        <v/>
      </c>
      <c r="IE54" s="159" t="str">
        <f t="shared" ca="1" si="75"/>
        <v/>
      </c>
      <c r="IF54" s="159" t="str">
        <f t="shared" ca="1" si="76"/>
        <v/>
      </c>
      <c r="IG54" s="159" t="str">
        <f t="shared" ca="1" si="77"/>
        <v/>
      </c>
      <c r="IH54" s="159" t="str">
        <f t="shared" ca="1" si="78"/>
        <v/>
      </c>
    </row>
    <row r="55" spans="2:242" s="164" customFormat="1" ht="20.100000000000001" customHeight="1">
      <c r="B55" s="302"/>
      <c r="C55" s="303" t="s">
        <v>592</v>
      </c>
      <c r="D55" s="304"/>
      <c r="E55" s="305"/>
      <c r="F55" s="303" t="s">
        <v>455</v>
      </c>
      <c r="G55" s="306">
        <v>33.200000000000003</v>
      </c>
      <c r="H55" s="307">
        <v>1.35E-2</v>
      </c>
      <c r="I55" s="308"/>
      <c r="J55" s="309"/>
      <c r="K55" s="310"/>
      <c r="L55" s="311"/>
      <c r="M55" s="311"/>
      <c r="N55" s="309"/>
      <c r="O55" s="310"/>
      <c r="P55" s="311"/>
      <c r="Q55" s="311"/>
      <c r="R55" s="309"/>
      <c r="S55" s="310"/>
      <c r="T55" s="311"/>
      <c r="U55" s="311"/>
      <c r="V55" s="309"/>
      <c r="W55" s="310"/>
      <c r="X55" s="311"/>
      <c r="Y55" s="311"/>
      <c r="Z55" s="309"/>
      <c r="AA55" s="310"/>
      <c r="AB55" s="311"/>
      <c r="AC55" s="311"/>
      <c r="AD55" s="309"/>
      <c r="AE55" s="310"/>
      <c r="AF55" s="311"/>
      <c r="AG55" s="311"/>
      <c r="AH55" s="309"/>
      <c r="AI55" s="310"/>
      <c r="AJ55" s="311"/>
      <c r="AK55" s="311"/>
      <c r="AL55" s="309"/>
      <c r="AM55" s="310"/>
      <c r="AN55" s="311"/>
      <c r="AO55" s="311"/>
      <c r="AP55" s="309"/>
      <c r="AQ55" s="310"/>
      <c r="AR55" s="311"/>
      <c r="AS55" s="311"/>
      <c r="AT55" s="309"/>
      <c r="AU55" s="310"/>
      <c r="AV55" s="311"/>
      <c r="AW55" s="311"/>
      <c r="AX55" s="309"/>
      <c r="AY55" s="310"/>
      <c r="AZ55" s="311"/>
      <c r="BA55" s="311"/>
      <c r="BB55" s="309"/>
      <c r="BC55" s="310"/>
      <c r="BD55" s="311"/>
      <c r="BE55" s="311"/>
      <c r="BF55" s="309"/>
      <c r="BG55" s="310"/>
      <c r="BH55" s="311"/>
      <c r="BI55" s="311"/>
      <c r="BJ55" s="309"/>
      <c r="BK55" s="310"/>
      <c r="BL55" s="311"/>
      <c r="BM55" s="311"/>
      <c r="BN55" s="309"/>
      <c r="BO55" s="310"/>
      <c r="BP55" s="311"/>
      <c r="BQ55" s="311"/>
      <c r="BR55" s="309"/>
      <c r="BS55" s="310"/>
      <c r="BT55" s="311"/>
      <c r="BU55" s="311"/>
      <c r="BV55" s="309"/>
      <c r="BW55" s="310"/>
      <c r="BX55" s="311"/>
      <c r="BY55" s="311"/>
      <c r="BZ55" s="309"/>
      <c r="CA55" s="310"/>
      <c r="CB55" s="311"/>
      <c r="CC55" s="311"/>
      <c r="CD55" s="309"/>
      <c r="CE55" s="310"/>
      <c r="CF55" s="311"/>
      <c r="CG55" s="311"/>
      <c r="CH55" s="309"/>
      <c r="CI55" s="310"/>
      <c r="CJ55" s="311"/>
      <c r="CK55" s="311"/>
      <c r="CL55" s="309"/>
      <c r="CM55" s="310"/>
      <c r="CN55" s="311"/>
      <c r="CO55" s="311"/>
      <c r="CP55" s="309"/>
      <c r="CQ55" s="310"/>
      <c r="CR55" s="311"/>
      <c r="CS55" s="311"/>
      <c r="CT55" s="309"/>
      <c r="CU55" s="310"/>
      <c r="CV55" s="311"/>
      <c r="CW55" s="311"/>
      <c r="CX55" s="309"/>
      <c r="CY55" s="310"/>
      <c r="CZ55" s="311"/>
      <c r="DA55" s="311"/>
      <c r="DB55" s="309"/>
      <c r="DC55" s="310"/>
      <c r="DD55" s="311"/>
      <c r="DE55" s="311"/>
      <c r="DF55" s="309"/>
      <c r="DG55" s="310"/>
      <c r="DH55" s="311"/>
      <c r="DI55" s="311"/>
      <c r="DJ55" s="309"/>
      <c r="DK55" s="310"/>
      <c r="DL55" s="311"/>
      <c r="DM55" s="311"/>
      <c r="DN55" s="309"/>
      <c r="DO55" s="310"/>
      <c r="DP55" s="311"/>
      <c r="DQ55" s="311"/>
      <c r="DR55" s="309"/>
      <c r="DS55" s="310"/>
      <c r="DT55" s="311"/>
      <c r="DU55" s="311"/>
      <c r="DV55" s="309"/>
      <c r="DW55" s="310"/>
      <c r="DX55" s="311"/>
      <c r="DY55" s="311"/>
      <c r="DZ55" s="309"/>
      <c r="EA55" s="310"/>
      <c r="EB55" s="311"/>
      <c r="EC55" s="311"/>
      <c r="ED55" s="309"/>
      <c r="EE55" s="310"/>
      <c r="EF55" s="311"/>
      <c r="EG55" s="311"/>
      <c r="EH55" s="309"/>
      <c r="EI55" s="310"/>
      <c r="EJ55" s="311"/>
      <c r="EK55" s="311"/>
      <c r="EL55" s="309"/>
      <c r="EM55" s="310"/>
      <c r="EN55" s="311"/>
      <c r="EO55" s="311"/>
      <c r="EP55" s="309"/>
      <c r="EQ55" s="310"/>
      <c r="ER55" s="311"/>
      <c r="ES55" s="311"/>
      <c r="ET55" s="309"/>
      <c r="EU55" s="310"/>
      <c r="EV55" s="311"/>
      <c r="EW55" s="311"/>
      <c r="EX55" s="309"/>
      <c r="EY55" s="310"/>
      <c r="EZ55" s="311"/>
      <c r="FA55" s="311"/>
      <c r="FB55" s="309"/>
      <c r="FC55" s="310"/>
      <c r="FD55" s="311"/>
      <c r="FE55" s="311"/>
      <c r="FF55" s="309"/>
      <c r="FG55" s="310"/>
      <c r="FH55" s="311"/>
      <c r="FI55" s="311"/>
      <c r="FJ55" s="309"/>
      <c r="FK55" s="310"/>
      <c r="FL55" s="311"/>
      <c r="FM55" s="311"/>
      <c r="FN55" s="309"/>
      <c r="FO55" s="310"/>
      <c r="FP55" s="311"/>
      <c r="FQ55" s="311"/>
      <c r="FR55" s="309"/>
      <c r="FS55" s="310"/>
      <c r="FT55" s="311"/>
      <c r="FU55" s="311"/>
      <c r="FV55" s="309"/>
      <c r="FW55" s="310"/>
      <c r="FX55" s="311"/>
      <c r="FY55" s="311"/>
      <c r="FZ55" s="309"/>
      <c r="GA55" s="310"/>
      <c r="GB55" s="311"/>
      <c r="GC55" s="311"/>
      <c r="GD55" s="309"/>
      <c r="GE55" s="310"/>
      <c r="GF55" s="311"/>
      <c r="GG55" s="311"/>
      <c r="GH55" s="309"/>
      <c r="GI55" s="310"/>
      <c r="GJ55" s="311"/>
      <c r="GK55" s="311"/>
      <c r="GL55" s="309"/>
      <c r="GM55" s="310"/>
      <c r="GN55" s="311"/>
      <c r="GO55" s="311"/>
      <c r="GP55" s="309"/>
      <c r="GQ55" s="310"/>
      <c r="GR55" s="311"/>
      <c r="GS55" s="311"/>
      <c r="GT55" s="309"/>
      <c r="GU55" s="310"/>
      <c r="GV55" s="311"/>
      <c r="GW55" s="311"/>
      <c r="GX55" s="309"/>
      <c r="GY55" s="310"/>
      <c r="GZ55" s="311"/>
      <c r="HA55" s="311"/>
      <c r="HB55" s="309"/>
      <c r="HC55" s="312">
        <f t="shared" si="79"/>
        <v>0</v>
      </c>
      <c r="HD55" s="313">
        <f t="shared" si="79"/>
        <v>0</v>
      </c>
      <c r="HE55" s="313">
        <f t="shared" si="79"/>
        <v>0</v>
      </c>
      <c r="HF55" s="314"/>
      <c r="HG55" s="312">
        <f>SUM(SUMIFS(K55:HB55,$K$13:$HB$13,{"エネルギー管理指定工場等*","県域*"}))</f>
        <v>0</v>
      </c>
      <c r="HH55" s="313">
        <f>SUM(SUMIFS(L55:HC55,$K$13:$HB$13,{"エネルギー管理指定工場等*","県域*"}))</f>
        <v>0</v>
      </c>
      <c r="HI55" s="313">
        <f>SUM(SUMIFS(M55:HD55,$K$13:$HB$13,{"エネルギー管理指定工場等*","県域*"}))</f>
        <v>0</v>
      </c>
      <c r="HJ55" s="314"/>
      <c r="HL55" s="230">
        <v>46</v>
      </c>
      <c r="HM55" s="714" t="str">
        <f t="shared" ca="1" si="67"/>
        <v/>
      </c>
      <c r="HN55" s="715" t="str">
        <f ca="1">IF(COUNTIF(HN$10:HN54,OFFSET(A1_原単位2025,5,HL55+2))&gt;=1,"",OFFSET(A1_原単位2025,5,HL55+2)&amp;"")</f>
        <v/>
      </c>
      <c r="HO55" s="716" t="str">
        <f t="shared" ca="1" si="50"/>
        <v/>
      </c>
      <c r="HP55" s="717" t="str">
        <f t="shared" ca="1" si="68"/>
        <v/>
      </c>
      <c r="HQ55" s="714" t="str">
        <f t="shared" ca="1" si="69"/>
        <v/>
      </c>
      <c r="HR55" s="715" t="str">
        <f ca="1">IF(COUNTIF(HR$10:HR54,OFFSET(A1_原単位2025,17,HL55+2))&gt;=1,"",OFFSET(A1_原単位2025,17,HL55+2)&amp;"")</f>
        <v/>
      </c>
      <c r="HS55" s="718" t="str">
        <f t="shared" ca="1" si="53"/>
        <v/>
      </c>
      <c r="HT55" s="719" t="str">
        <f t="shared" ca="1" si="70"/>
        <v/>
      </c>
      <c r="HU55" s="714" t="str">
        <f t="shared" ca="1" si="71"/>
        <v/>
      </c>
      <c r="HV55" s="715" t="str">
        <f ca="1">IF(COUNTIF(HV$10:HV54,OFFSET(A1_原単位2025,29,HL55+2))&gt;=1,"",OFFSET(A1_原単位2025,29,HL55+2)&amp;"")</f>
        <v/>
      </c>
      <c r="HW55" s="718" t="str">
        <f t="shared" ca="1" si="56"/>
        <v/>
      </c>
      <c r="HX55" s="719" t="str">
        <f t="shared" ca="1" si="72"/>
        <v/>
      </c>
      <c r="HY55" s="714" t="str">
        <f t="shared" ca="1" si="73"/>
        <v/>
      </c>
      <c r="HZ55" s="715" t="str">
        <f ca="1">IF(COUNTIF(HZ$10:HZ54,OFFSET(A1_原単位2025,41,HL55+2))&gt;=1,"",OFFSET(A1_原単位2025,41,HL55+2)&amp;"")</f>
        <v/>
      </c>
      <c r="IA55" s="720" t="str">
        <f t="shared" ca="1" si="59"/>
        <v/>
      </c>
      <c r="IB55" s="721" t="str">
        <f t="shared" ca="1" si="74"/>
        <v/>
      </c>
      <c r="IE55" s="159" t="str">
        <f t="shared" ca="1" si="75"/>
        <v/>
      </c>
      <c r="IF55" s="159" t="str">
        <f t="shared" ca="1" si="76"/>
        <v/>
      </c>
      <c r="IG55" s="159" t="str">
        <f t="shared" ca="1" si="77"/>
        <v/>
      </c>
      <c r="IH55" s="159" t="str">
        <f t="shared" ca="1" si="78"/>
        <v/>
      </c>
    </row>
    <row r="56" spans="2:242" s="164" customFormat="1" ht="20.100000000000001" customHeight="1">
      <c r="B56" s="302"/>
      <c r="C56" s="303" t="s">
        <v>593</v>
      </c>
      <c r="D56" s="304"/>
      <c r="E56" s="305"/>
      <c r="F56" s="303" t="s">
        <v>455</v>
      </c>
      <c r="G56" s="306">
        <v>29.3</v>
      </c>
      <c r="H56" s="307">
        <v>2.5700000000000001E-2</v>
      </c>
      <c r="I56" s="308"/>
      <c r="J56" s="309"/>
      <c r="K56" s="310"/>
      <c r="L56" s="311"/>
      <c r="M56" s="311"/>
      <c r="N56" s="309"/>
      <c r="O56" s="310"/>
      <c r="P56" s="311"/>
      <c r="Q56" s="311"/>
      <c r="R56" s="309"/>
      <c r="S56" s="310"/>
      <c r="T56" s="311"/>
      <c r="U56" s="311"/>
      <c r="V56" s="309"/>
      <c r="W56" s="310"/>
      <c r="X56" s="311"/>
      <c r="Y56" s="311"/>
      <c r="Z56" s="309"/>
      <c r="AA56" s="310"/>
      <c r="AB56" s="311"/>
      <c r="AC56" s="311"/>
      <c r="AD56" s="309"/>
      <c r="AE56" s="310"/>
      <c r="AF56" s="311"/>
      <c r="AG56" s="311"/>
      <c r="AH56" s="309"/>
      <c r="AI56" s="310"/>
      <c r="AJ56" s="311"/>
      <c r="AK56" s="311"/>
      <c r="AL56" s="309"/>
      <c r="AM56" s="310"/>
      <c r="AN56" s="311"/>
      <c r="AO56" s="311"/>
      <c r="AP56" s="309"/>
      <c r="AQ56" s="310"/>
      <c r="AR56" s="311"/>
      <c r="AS56" s="311"/>
      <c r="AT56" s="309"/>
      <c r="AU56" s="310"/>
      <c r="AV56" s="311"/>
      <c r="AW56" s="311"/>
      <c r="AX56" s="309"/>
      <c r="AY56" s="310"/>
      <c r="AZ56" s="311"/>
      <c r="BA56" s="311"/>
      <c r="BB56" s="309"/>
      <c r="BC56" s="310"/>
      <c r="BD56" s="311"/>
      <c r="BE56" s="311"/>
      <c r="BF56" s="309"/>
      <c r="BG56" s="310"/>
      <c r="BH56" s="311"/>
      <c r="BI56" s="311"/>
      <c r="BJ56" s="309"/>
      <c r="BK56" s="310"/>
      <c r="BL56" s="311"/>
      <c r="BM56" s="311"/>
      <c r="BN56" s="309"/>
      <c r="BO56" s="310"/>
      <c r="BP56" s="311"/>
      <c r="BQ56" s="311"/>
      <c r="BR56" s="309"/>
      <c r="BS56" s="310"/>
      <c r="BT56" s="311"/>
      <c r="BU56" s="311"/>
      <c r="BV56" s="309"/>
      <c r="BW56" s="310"/>
      <c r="BX56" s="311"/>
      <c r="BY56" s="311"/>
      <c r="BZ56" s="309"/>
      <c r="CA56" s="310"/>
      <c r="CB56" s="311"/>
      <c r="CC56" s="311"/>
      <c r="CD56" s="309"/>
      <c r="CE56" s="310"/>
      <c r="CF56" s="311"/>
      <c r="CG56" s="311"/>
      <c r="CH56" s="309"/>
      <c r="CI56" s="310"/>
      <c r="CJ56" s="311"/>
      <c r="CK56" s="311"/>
      <c r="CL56" s="309"/>
      <c r="CM56" s="310"/>
      <c r="CN56" s="311"/>
      <c r="CO56" s="311"/>
      <c r="CP56" s="309"/>
      <c r="CQ56" s="310"/>
      <c r="CR56" s="311"/>
      <c r="CS56" s="311"/>
      <c r="CT56" s="309"/>
      <c r="CU56" s="310"/>
      <c r="CV56" s="311"/>
      <c r="CW56" s="311"/>
      <c r="CX56" s="309"/>
      <c r="CY56" s="310"/>
      <c r="CZ56" s="311"/>
      <c r="DA56" s="311"/>
      <c r="DB56" s="309"/>
      <c r="DC56" s="310"/>
      <c r="DD56" s="311"/>
      <c r="DE56" s="311"/>
      <c r="DF56" s="309"/>
      <c r="DG56" s="310"/>
      <c r="DH56" s="311"/>
      <c r="DI56" s="311"/>
      <c r="DJ56" s="309"/>
      <c r="DK56" s="310"/>
      <c r="DL56" s="311"/>
      <c r="DM56" s="311"/>
      <c r="DN56" s="309"/>
      <c r="DO56" s="310"/>
      <c r="DP56" s="311"/>
      <c r="DQ56" s="311"/>
      <c r="DR56" s="309"/>
      <c r="DS56" s="310"/>
      <c r="DT56" s="311"/>
      <c r="DU56" s="311"/>
      <c r="DV56" s="309"/>
      <c r="DW56" s="310"/>
      <c r="DX56" s="311"/>
      <c r="DY56" s="311"/>
      <c r="DZ56" s="309"/>
      <c r="EA56" s="310"/>
      <c r="EB56" s="311"/>
      <c r="EC56" s="311"/>
      <c r="ED56" s="309"/>
      <c r="EE56" s="310"/>
      <c r="EF56" s="311"/>
      <c r="EG56" s="311"/>
      <c r="EH56" s="309"/>
      <c r="EI56" s="310"/>
      <c r="EJ56" s="311"/>
      <c r="EK56" s="311"/>
      <c r="EL56" s="309"/>
      <c r="EM56" s="310"/>
      <c r="EN56" s="311"/>
      <c r="EO56" s="311"/>
      <c r="EP56" s="309"/>
      <c r="EQ56" s="310"/>
      <c r="ER56" s="311"/>
      <c r="ES56" s="311"/>
      <c r="ET56" s="309"/>
      <c r="EU56" s="310"/>
      <c r="EV56" s="311"/>
      <c r="EW56" s="311"/>
      <c r="EX56" s="309"/>
      <c r="EY56" s="310"/>
      <c r="EZ56" s="311"/>
      <c r="FA56" s="311"/>
      <c r="FB56" s="309"/>
      <c r="FC56" s="310"/>
      <c r="FD56" s="311"/>
      <c r="FE56" s="311"/>
      <c r="FF56" s="309"/>
      <c r="FG56" s="310"/>
      <c r="FH56" s="311"/>
      <c r="FI56" s="311"/>
      <c r="FJ56" s="309"/>
      <c r="FK56" s="310"/>
      <c r="FL56" s="311"/>
      <c r="FM56" s="311"/>
      <c r="FN56" s="309"/>
      <c r="FO56" s="310"/>
      <c r="FP56" s="311"/>
      <c r="FQ56" s="311"/>
      <c r="FR56" s="309"/>
      <c r="FS56" s="310"/>
      <c r="FT56" s="311"/>
      <c r="FU56" s="311"/>
      <c r="FV56" s="309"/>
      <c r="FW56" s="310"/>
      <c r="FX56" s="311"/>
      <c r="FY56" s="311"/>
      <c r="FZ56" s="309"/>
      <c r="GA56" s="310"/>
      <c r="GB56" s="311"/>
      <c r="GC56" s="311"/>
      <c r="GD56" s="309"/>
      <c r="GE56" s="310"/>
      <c r="GF56" s="311"/>
      <c r="GG56" s="311"/>
      <c r="GH56" s="309"/>
      <c r="GI56" s="310"/>
      <c r="GJ56" s="311"/>
      <c r="GK56" s="311"/>
      <c r="GL56" s="309"/>
      <c r="GM56" s="310"/>
      <c r="GN56" s="311"/>
      <c r="GO56" s="311"/>
      <c r="GP56" s="309"/>
      <c r="GQ56" s="310"/>
      <c r="GR56" s="311"/>
      <c r="GS56" s="311"/>
      <c r="GT56" s="309"/>
      <c r="GU56" s="310"/>
      <c r="GV56" s="311"/>
      <c r="GW56" s="311"/>
      <c r="GX56" s="309"/>
      <c r="GY56" s="310"/>
      <c r="GZ56" s="311"/>
      <c r="HA56" s="311"/>
      <c r="HB56" s="309"/>
      <c r="HC56" s="312">
        <f t="shared" si="79"/>
        <v>0</v>
      </c>
      <c r="HD56" s="313">
        <f t="shared" si="79"/>
        <v>0</v>
      </c>
      <c r="HE56" s="313">
        <f t="shared" si="79"/>
        <v>0</v>
      </c>
      <c r="HF56" s="314"/>
      <c r="HG56" s="312">
        <f>SUM(SUMIFS(K56:HB56,$K$13:$HB$13,{"エネルギー管理指定工場等*","県域*"}))</f>
        <v>0</v>
      </c>
      <c r="HH56" s="313">
        <f>SUM(SUMIFS(L56:HC56,$K$13:$HB$13,{"エネルギー管理指定工場等*","県域*"}))</f>
        <v>0</v>
      </c>
      <c r="HI56" s="313">
        <f>SUM(SUMIFS(M56:HD56,$K$13:$HB$13,{"エネルギー管理指定工場等*","県域*"}))</f>
        <v>0</v>
      </c>
      <c r="HJ56" s="314"/>
      <c r="HL56" s="219">
        <v>47</v>
      </c>
      <c r="HM56" s="714" t="str">
        <f t="shared" ca="1" si="67"/>
        <v/>
      </c>
      <c r="HN56" s="715" t="str">
        <f ca="1">IF(COUNTIF(HN$10:HN55,OFFSET(A1_原単位2025,5,HL56+2))&gt;=1,"",OFFSET(A1_原単位2025,5,HL56+2)&amp;"")</f>
        <v/>
      </c>
      <c r="HO56" s="716" t="str">
        <f t="shared" ca="1" si="50"/>
        <v/>
      </c>
      <c r="HP56" s="717" t="str">
        <f t="shared" ca="1" si="68"/>
        <v/>
      </c>
      <c r="HQ56" s="714" t="str">
        <f t="shared" ca="1" si="69"/>
        <v/>
      </c>
      <c r="HR56" s="715" t="str">
        <f ca="1">IF(COUNTIF(HR$10:HR55,OFFSET(A1_原単位2025,17,HL56+2))&gt;=1,"",OFFSET(A1_原単位2025,17,HL56+2)&amp;"")</f>
        <v/>
      </c>
      <c r="HS56" s="718" t="str">
        <f t="shared" ca="1" si="53"/>
        <v/>
      </c>
      <c r="HT56" s="719" t="str">
        <f t="shared" ca="1" si="70"/>
        <v/>
      </c>
      <c r="HU56" s="714" t="str">
        <f t="shared" ca="1" si="71"/>
        <v/>
      </c>
      <c r="HV56" s="715" t="str">
        <f ca="1">IF(COUNTIF(HV$10:HV55,OFFSET(A1_原単位2025,29,HL56+2))&gt;=1,"",OFFSET(A1_原単位2025,29,HL56+2)&amp;"")</f>
        <v/>
      </c>
      <c r="HW56" s="718" t="str">
        <f t="shared" ca="1" si="56"/>
        <v/>
      </c>
      <c r="HX56" s="719" t="str">
        <f t="shared" ca="1" si="72"/>
        <v/>
      </c>
      <c r="HY56" s="714" t="str">
        <f t="shared" ca="1" si="73"/>
        <v/>
      </c>
      <c r="HZ56" s="715" t="str">
        <f ca="1">IF(COUNTIF(HZ$10:HZ55,OFFSET(A1_原単位2025,41,HL56+2))&gt;=1,"",OFFSET(A1_原単位2025,41,HL56+2)&amp;"")</f>
        <v/>
      </c>
      <c r="IA56" s="720" t="str">
        <f t="shared" ca="1" si="59"/>
        <v/>
      </c>
      <c r="IB56" s="721" t="str">
        <f t="shared" ca="1" si="74"/>
        <v/>
      </c>
      <c r="IE56" s="159" t="str">
        <f t="shared" ca="1" si="75"/>
        <v/>
      </c>
      <c r="IF56" s="159" t="str">
        <f t="shared" ca="1" si="76"/>
        <v/>
      </c>
      <c r="IG56" s="159" t="str">
        <f t="shared" ca="1" si="77"/>
        <v/>
      </c>
      <c r="IH56" s="159" t="str">
        <f t="shared" ca="1" si="78"/>
        <v/>
      </c>
    </row>
    <row r="57" spans="2:242" s="164" customFormat="1" ht="20.100000000000001" customHeight="1">
      <c r="B57" s="302"/>
      <c r="C57" s="303" t="s">
        <v>594</v>
      </c>
      <c r="D57" s="304"/>
      <c r="E57" s="305"/>
      <c r="F57" s="303" t="s">
        <v>455</v>
      </c>
      <c r="G57" s="306">
        <v>29.3</v>
      </c>
      <c r="H57" s="307">
        <v>2.3900000000000001E-2</v>
      </c>
      <c r="I57" s="308"/>
      <c r="J57" s="309"/>
      <c r="K57" s="310"/>
      <c r="L57" s="311"/>
      <c r="M57" s="311"/>
      <c r="N57" s="309"/>
      <c r="O57" s="310"/>
      <c r="P57" s="311"/>
      <c r="Q57" s="311"/>
      <c r="R57" s="309"/>
      <c r="S57" s="310"/>
      <c r="T57" s="311"/>
      <c r="U57" s="311"/>
      <c r="V57" s="309"/>
      <c r="W57" s="310"/>
      <c r="X57" s="311"/>
      <c r="Y57" s="311"/>
      <c r="Z57" s="309"/>
      <c r="AA57" s="310"/>
      <c r="AB57" s="311"/>
      <c r="AC57" s="311"/>
      <c r="AD57" s="309"/>
      <c r="AE57" s="310"/>
      <c r="AF57" s="311"/>
      <c r="AG57" s="311"/>
      <c r="AH57" s="309"/>
      <c r="AI57" s="310"/>
      <c r="AJ57" s="311"/>
      <c r="AK57" s="311"/>
      <c r="AL57" s="309"/>
      <c r="AM57" s="310"/>
      <c r="AN57" s="311"/>
      <c r="AO57" s="311"/>
      <c r="AP57" s="309"/>
      <c r="AQ57" s="310"/>
      <c r="AR57" s="311"/>
      <c r="AS57" s="311"/>
      <c r="AT57" s="309"/>
      <c r="AU57" s="310"/>
      <c r="AV57" s="311"/>
      <c r="AW57" s="311"/>
      <c r="AX57" s="309"/>
      <c r="AY57" s="310"/>
      <c r="AZ57" s="311"/>
      <c r="BA57" s="311"/>
      <c r="BB57" s="309"/>
      <c r="BC57" s="310"/>
      <c r="BD57" s="311"/>
      <c r="BE57" s="311"/>
      <c r="BF57" s="309"/>
      <c r="BG57" s="310"/>
      <c r="BH57" s="311"/>
      <c r="BI57" s="311"/>
      <c r="BJ57" s="309"/>
      <c r="BK57" s="310"/>
      <c r="BL57" s="311"/>
      <c r="BM57" s="311"/>
      <c r="BN57" s="309"/>
      <c r="BO57" s="310"/>
      <c r="BP57" s="311"/>
      <c r="BQ57" s="311"/>
      <c r="BR57" s="309"/>
      <c r="BS57" s="310"/>
      <c r="BT57" s="311"/>
      <c r="BU57" s="311"/>
      <c r="BV57" s="309"/>
      <c r="BW57" s="310"/>
      <c r="BX57" s="311"/>
      <c r="BY57" s="311"/>
      <c r="BZ57" s="309"/>
      <c r="CA57" s="310"/>
      <c r="CB57" s="311"/>
      <c r="CC57" s="311"/>
      <c r="CD57" s="309"/>
      <c r="CE57" s="310"/>
      <c r="CF57" s="311"/>
      <c r="CG57" s="311"/>
      <c r="CH57" s="309"/>
      <c r="CI57" s="310"/>
      <c r="CJ57" s="311"/>
      <c r="CK57" s="311"/>
      <c r="CL57" s="309"/>
      <c r="CM57" s="310"/>
      <c r="CN57" s="311"/>
      <c r="CO57" s="311"/>
      <c r="CP57" s="309"/>
      <c r="CQ57" s="310"/>
      <c r="CR57" s="311"/>
      <c r="CS57" s="311"/>
      <c r="CT57" s="309"/>
      <c r="CU57" s="310"/>
      <c r="CV57" s="311"/>
      <c r="CW57" s="311"/>
      <c r="CX57" s="309"/>
      <c r="CY57" s="310"/>
      <c r="CZ57" s="311"/>
      <c r="DA57" s="311"/>
      <c r="DB57" s="309"/>
      <c r="DC57" s="310"/>
      <c r="DD57" s="311"/>
      <c r="DE57" s="311"/>
      <c r="DF57" s="309"/>
      <c r="DG57" s="310"/>
      <c r="DH57" s="311"/>
      <c r="DI57" s="311"/>
      <c r="DJ57" s="309"/>
      <c r="DK57" s="310"/>
      <c r="DL57" s="311"/>
      <c r="DM57" s="311"/>
      <c r="DN57" s="309"/>
      <c r="DO57" s="310"/>
      <c r="DP57" s="311"/>
      <c r="DQ57" s="311"/>
      <c r="DR57" s="309"/>
      <c r="DS57" s="310"/>
      <c r="DT57" s="311"/>
      <c r="DU57" s="311"/>
      <c r="DV57" s="309"/>
      <c r="DW57" s="310"/>
      <c r="DX57" s="311"/>
      <c r="DY57" s="311"/>
      <c r="DZ57" s="309"/>
      <c r="EA57" s="310"/>
      <c r="EB57" s="311"/>
      <c r="EC57" s="311"/>
      <c r="ED57" s="309"/>
      <c r="EE57" s="310"/>
      <c r="EF57" s="311"/>
      <c r="EG57" s="311"/>
      <c r="EH57" s="309"/>
      <c r="EI57" s="310"/>
      <c r="EJ57" s="311"/>
      <c r="EK57" s="311"/>
      <c r="EL57" s="309"/>
      <c r="EM57" s="310"/>
      <c r="EN57" s="311"/>
      <c r="EO57" s="311"/>
      <c r="EP57" s="309"/>
      <c r="EQ57" s="310"/>
      <c r="ER57" s="311"/>
      <c r="ES57" s="311"/>
      <c r="ET57" s="309"/>
      <c r="EU57" s="310"/>
      <c r="EV57" s="311"/>
      <c r="EW57" s="311"/>
      <c r="EX57" s="309"/>
      <c r="EY57" s="310"/>
      <c r="EZ57" s="311"/>
      <c r="FA57" s="311"/>
      <c r="FB57" s="309"/>
      <c r="FC57" s="310"/>
      <c r="FD57" s="311"/>
      <c r="FE57" s="311"/>
      <c r="FF57" s="309"/>
      <c r="FG57" s="310"/>
      <c r="FH57" s="311"/>
      <c r="FI57" s="311"/>
      <c r="FJ57" s="309"/>
      <c r="FK57" s="310"/>
      <c r="FL57" s="311"/>
      <c r="FM57" s="311"/>
      <c r="FN57" s="309"/>
      <c r="FO57" s="310"/>
      <c r="FP57" s="311"/>
      <c r="FQ57" s="311"/>
      <c r="FR57" s="309"/>
      <c r="FS57" s="310"/>
      <c r="FT57" s="311"/>
      <c r="FU57" s="311"/>
      <c r="FV57" s="309"/>
      <c r="FW57" s="310"/>
      <c r="FX57" s="311"/>
      <c r="FY57" s="311"/>
      <c r="FZ57" s="309"/>
      <c r="GA57" s="310"/>
      <c r="GB57" s="311"/>
      <c r="GC57" s="311"/>
      <c r="GD57" s="309"/>
      <c r="GE57" s="310"/>
      <c r="GF57" s="311"/>
      <c r="GG57" s="311"/>
      <c r="GH57" s="309"/>
      <c r="GI57" s="310"/>
      <c r="GJ57" s="311"/>
      <c r="GK57" s="311"/>
      <c r="GL57" s="309"/>
      <c r="GM57" s="310"/>
      <c r="GN57" s="311"/>
      <c r="GO57" s="311"/>
      <c r="GP57" s="309"/>
      <c r="GQ57" s="310"/>
      <c r="GR57" s="311"/>
      <c r="GS57" s="311"/>
      <c r="GT57" s="309"/>
      <c r="GU57" s="310"/>
      <c r="GV57" s="311"/>
      <c r="GW57" s="311"/>
      <c r="GX57" s="309"/>
      <c r="GY57" s="310"/>
      <c r="GZ57" s="311"/>
      <c r="HA57" s="311"/>
      <c r="HB57" s="309"/>
      <c r="HC57" s="312">
        <f t="shared" si="79"/>
        <v>0</v>
      </c>
      <c r="HD57" s="313">
        <f t="shared" si="79"/>
        <v>0</v>
      </c>
      <c r="HE57" s="313">
        <f t="shared" si="79"/>
        <v>0</v>
      </c>
      <c r="HF57" s="314"/>
      <c r="HG57" s="312">
        <f>SUM(SUMIFS(K57:HB57,$K$13:$HB$13,{"エネルギー管理指定工場等*","県域*"}))</f>
        <v>0</v>
      </c>
      <c r="HH57" s="313">
        <f>SUM(SUMIFS(L57:HC57,$K$13:$HB$13,{"エネルギー管理指定工場等*","県域*"}))</f>
        <v>0</v>
      </c>
      <c r="HI57" s="313">
        <f>SUM(SUMIFS(M57:HD57,$K$13:$HB$13,{"エネルギー管理指定工場等*","県域*"}))</f>
        <v>0</v>
      </c>
      <c r="HJ57" s="314"/>
      <c r="HL57" s="230">
        <v>48</v>
      </c>
      <c r="HM57" s="714" t="str">
        <f t="shared" ca="1" si="67"/>
        <v/>
      </c>
      <c r="HN57" s="715" t="str">
        <f ca="1">IF(COUNTIF(HN$10:HN56,OFFSET(A1_原単位2025,5,HL57+2))&gt;=1,"",OFFSET(A1_原単位2025,5,HL57+2)&amp;"")</f>
        <v/>
      </c>
      <c r="HO57" s="716" t="str">
        <f t="shared" ca="1" si="50"/>
        <v/>
      </c>
      <c r="HP57" s="717" t="str">
        <f t="shared" ca="1" si="68"/>
        <v/>
      </c>
      <c r="HQ57" s="714" t="str">
        <f t="shared" ca="1" si="69"/>
        <v/>
      </c>
      <c r="HR57" s="715" t="str">
        <f ca="1">IF(COUNTIF(HR$10:HR56,OFFSET(A1_原単位2025,17,HL57+2))&gt;=1,"",OFFSET(A1_原単位2025,17,HL57+2)&amp;"")</f>
        <v/>
      </c>
      <c r="HS57" s="718" t="str">
        <f t="shared" ca="1" si="53"/>
        <v/>
      </c>
      <c r="HT57" s="719" t="str">
        <f t="shared" ca="1" si="70"/>
        <v/>
      </c>
      <c r="HU57" s="714" t="str">
        <f t="shared" ca="1" si="71"/>
        <v/>
      </c>
      <c r="HV57" s="715" t="str">
        <f ca="1">IF(COUNTIF(HV$10:HV56,OFFSET(A1_原単位2025,29,HL57+2))&gt;=1,"",OFFSET(A1_原単位2025,29,HL57+2)&amp;"")</f>
        <v/>
      </c>
      <c r="HW57" s="718" t="str">
        <f t="shared" ca="1" si="56"/>
        <v/>
      </c>
      <c r="HX57" s="719" t="str">
        <f t="shared" ca="1" si="72"/>
        <v/>
      </c>
      <c r="HY57" s="714" t="str">
        <f t="shared" ca="1" si="73"/>
        <v/>
      </c>
      <c r="HZ57" s="715" t="str">
        <f ca="1">IF(COUNTIF(HZ$10:HZ56,OFFSET(A1_原単位2025,41,HL57+2))&gt;=1,"",OFFSET(A1_原単位2025,41,HL57+2)&amp;"")</f>
        <v/>
      </c>
      <c r="IA57" s="720" t="str">
        <f t="shared" ca="1" si="59"/>
        <v/>
      </c>
      <c r="IB57" s="721" t="str">
        <f t="shared" ca="1" si="74"/>
        <v/>
      </c>
      <c r="IE57" s="159" t="str">
        <f t="shared" ca="1" si="75"/>
        <v/>
      </c>
      <c r="IF57" s="159" t="str">
        <f t="shared" ca="1" si="76"/>
        <v/>
      </c>
      <c r="IG57" s="159" t="str">
        <f t="shared" ca="1" si="77"/>
        <v/>
      </c>
      <c r="IH57" s="159" t="str">
        <f t="shared" ca="1" si="78"/>
        <v/>
      </c>
    </row>
    <row r="58" spans="2:242" s="164" customFormat="1" ht="20.100000000000001" customHeight="1">
      <c r="B58" s="302"/>
      <c r="C58" s="303" t="s">
        <v>595</v>
      </c>
      <c r="D58" s="304"/>
      <c r="E58" s="305"/>
      <c r="F58" s="303" t="s">
        <v>453</v>
      </c>
      <c r="G58" s="306">
        <v>40.200000000000003</v>
      </c>
      <c r="H58" s="307">
        <v>1.7899999999999999E-2</v>
      </c>
      <c r="I58" s="308"/>
      <c r="J58" s="309"/>
      <c r="K58" s="310"/>
      <c r="L58" s="311"/>
      <c r="M58" s="311"/>
      <c r="N58" s="309"/>
      <c r="O58" s="310"/>
      <c r="P58" s="311"/>
      <c r="Q58" s="311"/>
      <c r="R58" s="309"/>
      <c r="S58" s="310"/>
      <c r="T58" s="311"/>
      <c r="U58" s="311"/>
      <c r="V58" s="309"/>
      <c r="W58" s="310"/>
      <c r="X58" s="311"/>
      <c r="Y58" s="311"/>
      <c r="Z58" s="309"/>
      <c r="AA58" s="310"/>
      <c r="AB58" s="311"/>
      <c r="AC58" s="311"/>
      <c r="AD58" s="309"/>
      <c r="AE58" s="310"/>
      <c r="AF58" s="311"/>
      <c r="AG58" s="311"/>
      <c r="AH58" s="309"/>
      <c r="AI58" s="310"/>
      <c r="AJ58" s="311"/>
      <c r="AK58" s="311"/>
      <c r="AL58" s="309"/>
      <c r="AM58" s="310"/>
      <c r="AN58" s="311"/>
      <c r="AO58" s="311"/>
      <c r="AP58" s="309"/>
      <c r="AQ58" s="310"/>
      <c r="AR58" s="311"/>
      <c r="AS58" s="311"/>
      <c r="AT58" s="309"/>
      <c r="AU58" s="310"/>
      <c r="AV58" s="311"/>
      <c r="AW58" s="311"/>
      <c r="AX58" s="309"/>
      <c r="AY58" s="310"/>
      <c r="AZ58" s="311"/>
      <c r="BA58" s="311"/>
      <c r="BB58" s="309"/>
      <c r="BC58" s="310"/>
      <c r="BD58" s="311"/>
      <c r="BE58" s="311"/>
      <c r="BF58" s="309"/>
      <c r="BG58" s="310"/>
      <c r="BH58" s="311"/>
      <c r="BI58" s="311"/>
      <c r="BJ58" s="309"/>
      <c r="BK58" s="310"/>
      <c r="BL58" s="311"/>
      <c r="BM58" s="311"/>
      <c r="BN58" s="309"/>
      <c r="BO58" s="310"/>
      <c r="BP58" s="311"/>
      <c r="BQ58" s="311"/>
      <c r="BR58" s="309"/>
      <c r="BS58" s="310"/>
      <c r="BT58" s="311"/>
      <c r="BU58" s="311"/>
      <c r="BV58" s="309"/>
      <c r="BW58" s="310"/>
      <c r="BX58" s="311"/>
      <c r="BY58" s="311"/>
      <c r="BZ58" s="309"/>
      <c r="CA58" s="310"/>
      <c r="CB58" s="311"/>
      <c r="CC58" s="311"/>
      <c r="CD58" s="309"/>
      <c r="CE58" s="310"/>
      <c r="CF58" s="311"/>
      <c r="CG58" s="311"/>
      <c r="CH58" s="309"/>
      <c r="CI58" s="310"/>
      <c r="CJ58" s="311"/>
      <c r="CK58" s="311"/>
      <c r="CL58" s="309"/>
      <c r="CM58" s="310"/>
      <c r="CN58" s="311"/>
      <c r="CO58" s="311"/>
      <c r="CP58" s="309"/>
      <c r="CQ58" s="310"/>
      <c r="CR58" s="311"/>
      <c r="CS58" s="311"/>
      <c r="CT58" s="309"/>
      <c r="CU58" s="310"/>
      <c r="CV58" s="311"/>
      <c r="CW58" s="311"/>
      <c r="CX58" s="309"/>
      <c r="CY58" s="310"/>
      <c r="CZ58" s="311"/>
      <c r="DA58" s="311"/>
      <c r="DB58" s="309"/>
      <c r="DC58" s="310"/>
      <c r="DD58" s="311"/>
      <c r="DE58" s="311"/>
      <c r="DF58" s="309"/>
      <c r="DG58" s="310"/>
      <c r="DH58" s="311"/>
      <c r="DI58" s="311"/>
      <c r="DJ58" s="309"/>
      <c r="DK58" s="310"/>
      <c r="DL58" s="311"/>
      <c r="DM58" s="311"/>
      <c r="DN58" s="309"/>
      <c r="DO58" s="310"/>
      <c r="DP58" s="311"/>
      <c r="DQ58" s="311"/>
      <c r="DR58" s="309"/>
      <c r="DS58" s="310"/>
      <c r="DT58" s="311"/>
      <c r="DU58" s="311"/>
      <c r="DV58" s="309"/>
      <c r="DW58" s="310"/>
      <c r="DX58" s="311"/>
      <c r="DY58" s="311"/>
      <c r="DZ58" s="309"/>
      <c r="EA58" s="310"/>
      <c r="EB58" s="311"/>
      <c r="EC58" s="311"/>
      <c r="ED58" s="309"/>
      <c r="EE58" s="310"/>
      <c r="EF58" s="311"/>
      <c r="EG58" s="311"/>
      <c r="EH58" s="309"/>
      <c r="EI58" s="310"/>
      <c r="EJ58" s="311"/>
      <c r="EK58" s="311"/>
      <c r="EL58" s="309"/>
      <c r="EM58" s="310"/>
      <c r="EN58" s="311"/>
      <c r="EO58" s="311"/>
      <c r="EP58" s="309"/>
      <c r="EQ58" s="310"/>
      <c r="ER58" s="311"/>
      <c r="ES58" s="311"/>
      <c r="ET58" s="309"/>
      <c r="EU58" s="310"/>
      <c r="EV58" s="311"/>
      <c r="EW58" s="311"/>
      <c r="EX58" s="309"/>
      <c r="EY58" s="310"/>
      <c r="EZ58" s="311"/>
      <c r="FA58" s="311"/>
      <c r="FB58" s="309"/>
      <c r="FC58" s="310"/>
      <c r="FD58" s="311"/>
      <c r="FE58" s="311"/>
      <c r="FF58" s="309"/>
      <c r="FG58" s="310"/>
      <c r="FH58" s="311"/>
      <c r="FI58" s="311"/>
      <c r="FJ58" s="309"/>
      <c r="FK58" s="310"/>
      <c r="FL58" s="311"/>
      <c r="FM58" s="311"/>
      <c r="FN58" s="309"/>
      <c r="FO58" s="310"/>
      <c r="FP58" s="311"/>
      <c r="FQ58" s="311"/>
      <c r="FR58" s="309"/>
      <c r="FS58" s="310"/>
      <c r="FT58" s="311"/>
      <c r="FU58" s="311"/>
      <c r="FV58" s="309"/>
      <c r="FW58" s="310"/>
      <c r="FX58" s="311"/>
      <c r="FY58" s="311"/>
      <c r="FZ58" s="309"/>
      <c r="GA58" s="310"/>
      <c r="GB58" s="311"/>
      <c r="GC58" s="311"/>
      <c r="GD58" s="309"/>
      <c r="GE58" s="310"/>
      <c r="GF58" s="311"/>
      <c r="GG58" s="311"/>
      <c r="GH58" s="309"/>
      <c r="GI58" s="310"/>
      <c r="GJ58" s="311"/>
      <c r="GK58" s="311"/>
      <c r="GL58" s="309"/>
      <c r="GM58" s="310"/>
      <c r="GN58" s="311"/>
      <c r="GO58" s="311"/>
      <c r="GP58" s="309"/>
      <c r="GQ58" s="310"/>
      <c r="GR58" s="311"/>
      <c r="GS58" s="311"/>
      <c r="GT58" s="309"/>
      <c r="GU58" s="310"/>
      <c r="GV58" s="311"/>
      <c r="GW58" s="311"/>
      <c r="GX58" s="309"/>
      <c r="GY58" s="310"/>
      <c r="GZ58" s="311"/>
      <c r="HA58" s="311"/>
      <c r="HB58" s="309"/>
      <c r="HC58" s="312">
        <f t="shared" si="79"/>
        <v>0</v>
      </c>
      <c r="HD58" s="313">
        <f t="shared" si="79"/>
        <v>0</v>
      </c>
      <c r="HE58" s="313">
        <f t="shared" si="79"/>
        <v>0</v>
      </c>
      <c r="HF58" s="314"/>
      <c r="HG58" s="312">
        <f>SUM(SUMIFS(K58:HB58,$K$13:$HB$13,{"エネルギー管理指定工場等*","県域*"}))</f>
        <v>0</v>
      </c>
      <c r="HH58" s="313">
        <f>SUM(SUMIFS(L58:HC58,$K$13:$HB$13,{"エネルギー管理指定工場等*","県域*"}))</f>
        <v>0</v>
      </c>
      <c r="HI58" s="313">
        <f>SUM(SUMIFS(M58:HD58,$K$13:$HB$13,{"エネルギー管理指定工場等*","県域*"}))</f>
        <v>0</v>
      </c>
      <c r="HJ58" s="314"/>
      <c r="HL58" s="219">
        <v>49</v>
      </c>
      <c r="HM58" s="714" t="str">
        <f t="shared" ca="1" si="67"/>
        <v/>
      </c>
      <c r="HN58" s="715" t="str">
        <f ca="1">IF(COUNTIF(HN$10:HN57,OFFSET(A1_原単位2025,5,HL58+2))&gt;=1,"",OFFSET(A1_原単位2025,5,HL58+2)&amp;"")</f>
        <v/>
      </c>
      <c r="HO58" s="716" t="str">
        <f t="shared" ca="1" si="50"/>
        <v/>
      </c>
      <c r="HP58" s="717" t="str">
        <f t="shared" ca="1" si="68"/>
        <v/>
      </c>
      <c r="HQ58" s="714" t="str">
        <f t="shared" ca="1" si="69"/>
        <v/>
      </c>
      <c r="HR58" s="715" t="str">
        <f ca="1">IF(COUNTIF(HR$10:HR57,OFFSET(A1_原単位2025,17,HL58+2))&gt;=1,"",OFFSET(A1_原単位2025,17,HL58+2)&amp;"")</f>
        <v/>
      </c>
      <c r="HS58" s="718" t="str">
        <f t="shared" ca="1" si="53"/>
        <v/>
      </c>
      <c r="HT58" s="719" t="str">
        <f t="shared" ca="1" si="70"/>
        <v/>
      </c>
      <c r="HU58" s="714" t="str">
        <f t="shared" ca="1" si="71"/>
        <v/>
      </c>
      <c r="HV58" s="715" t="str">
        <f ca="1">IF(COUNTIF(HV$10:HV57,OFFSET(A1_原単位2025,29,HL58+2))&gt;=1,"",OFFSET(A1_原単位2025,29,HL58+2)&amp;"")</f>
        <v/>
      </c>
      <c r="HW58" s="718" t="str">
        <f t="shared" ca="1" si="56"/>
        <v/>
      </c>
      <c r="HX58" s="719" t="str">
        <f t="shared" ca="1" si="72"/>
        <v/>
      </c>
      <c r="HY58" s="714" t="str">
        <f t="shared" ca="1" si="73"/>
        <v/>
      </c>
      <c r="HZ58" s="715" t="str">
        <f ca="1">IF(COUNTIF(HZ$10:HZ57,OFFSET(A1_原単位2025,41,HL58+2))&gt;=1,"",OFFSET(A1_原単位2025,41,HL58+2)&amp;"")</f>
        <v/>
      </c>
      <c r="IA58" s="720" t="str">
        <f t="shared" ca="1" si="59"/>
        <v/>
      </c>
      <c r="IB58" s="721" t="str">
        <f t="shared" ca="1" si="74"/>
        <v/>
      </c>
      <c r="IE58" s="159" t="str">
        <f t="shared" ca="1" si="75"/>
        <v/>
      </c>
      <c r="IF58" s="159" t="str">
        <f t="shared" ca="1" si="76"/>
        <v/>
      </c>
      <c r="IG58" s="159" t="str">
        <f t="shared" ca="1" si="77"/>
        <v/>
      </c>
      <c r="IH58" s="159" t="str">
        <f t="shared" ca="1" si="78"/>
        <v/>
      </c>
    </row>
    <row r="59" spans="2:242" s="164" customFormat="1" ht="20.100000000000001" customHeight="1" thickBot="1">
      <c r="B59" s="302"/>
      <c r="C59" s="303" t="s">
        <v>596</v>
      </c>
      <c r="D59" s="304"/>
      <c r="E59" s="305"/>
      <c r="F59" s="303" t="s">
        <v>457</v>
      </c>
      <c r="G59" s="306">
        <v>21.2</v>
      </c>
      <c r="H59" s="309"/>
      <c r="I59" s="308"/>
      <c r="J59" s="309"/>
      <c r="K59" s="310"/>
      <c r="L59" s="311"/>
      <c r="M59" s="311"/>
      <c r="N59" s="309"/>
      <c r="O59" s="310"/>
      <c r="P59" s="311"/>
      <c r="Q59" s="311"/>
      <c r="R59" s="309"/>
      <c r="S59" s="310"/>
      <c r="T59" s="311"/>
      <c r="U59" s="311"/>
      <c r="V59" s="309"/>
      <c r="W59" s="310"/>
      <c r="X59" s="311"/>
      <c r="Y59" s="311"/>
      <c r="Z59" s="309"/>
      <c r="AA59" s="310"/>
      <c r="AB59" s="311"/>
      <c r="AC59" s="311"/>
      <c r="AD59" s="309"/>
      <c r="AE59" s="310"/>
      <c r="AF59" s="311"/>
      <c r="AG59" s="311"/>
      <c r="AH59" s="309"/>
      <c r="AI59" s="310"/>
      <c r="AJ59" s="311"/>
      <c r="AK59" s="311"/>
      <c r="AL59" s="309"/>
      <c r="AM59" s="310"/>
      <c r="AN59" s="311"/>
      <c r="AO59" s="311"/>
      <c r="AP59" s="309"/>
      <c r="AQ59" s="310"/>
      <c r="AR59" s="311"/>
      <c r="AS59" s="311"/>
      <c r="AT59" s="309"/>
      <c r="AU59" s="310"/>
      <c r="AV59" s="311"/>
      <c r="AW59" s="311"/>
      <c r="AX59" s="309"/>
      <c r="AY59" s="310"/>
      <c r="AZ59" s="311"/>
      <c r="BA59" s="311"/>
      <c r="BB59" s="309"/>
      <c r="BC59" s="310"/>
      <c r="BD59" s="311"/>
      <c r="BE59" s="311"/>
      <c r="BF59" s="309"/>
      <c r="BG59" s="310"/>
      <c r="BH59" s="311"/>
      <c r="BI59" s="311"/>
      <c r="BJ59" s="309"/>
      <c r="BK59" s="310"/>
      <c r="BL59" s="311"/>
      <c r="BM59" s="311"/>
      <c r="BN59" s="309"/>
      <c r="BO59" s="310"/>
      <c r="BP59" s="311"/>
      <c r="BQ59" s="311"/>
      <c r="BR59" s="309"/>
      <c r="BS59" s="310"/>
      <c r="BT59" s="311"/>
      <c r="BU59" s="311"/>
      <c r="BV59" s="309"/>
      <c r="BW59" s="310"/>
      <c r="BX59" s="311"/>
      <c r="BY59" s="311"/>
      <c r="BZ59" s="309"/>
      <c r="CA59" s="310"/>
      <c r="CB59" s="311"/>
      <c r="CC59" s="311"/>
      <c r="CD59" s="309"/>
      <c r="CE59" s="310"/>
      <c r="CF59" s="311"/>
      <c r="CG59" s="311"/>
      <c r="CH59" s="309"/>
      <c r="CI59" s="310"/>
      <c r="CJ59" s="311"/>
      <c r="CK59" s="311"/>
      <c r="CL59" s="309"/>
      <c r="CM59" s="310"/>
      <c r="CN59" s="311"/>
      <c r="CO59" s="311"/>
      <c r="CP59" s="309"/>
      <c r="CQ59" s="310"/>
      <c r="CR59" s="311"/>
      <c r="CS59" s="311"/>
      <c r="CT59" s="309"/>
      <c r="CU59" s="310"/>
      <c r="CV59" s="311"/>
      <c r="CW59" s="311"/>
      <c r="CX59" s="309"/>
      <c r="CY59" s="310"/>
      <c r="CZ59" s="311"/>
      <c r="DA59" s="311"/>
      <c r="DB59" s="309"/>
      <c r="DC59" s="310"/>
      <c r="DD59" s="311"/>
      <c r="DE59" s="311"/>
      <c r="DF59" s="309"/>
      <c r="DG59" s="310"/>
      <c r="DH59" s="311"/>
      <c r="DI59" s="311"/>
      <c r="DJ59" s="309"/>
      <c r="DK59" s="310"/>
      <c r="DL59" s="311"/>
      <c r="DM59" s="311"/>
      <c r="DN59" s="309"/>
      <c r="DO59" s="310"/>
      <c r="DP59" s="311"/>
      <c r="DQ59" s="311"/>
      <c r="DR59" s="309"/>
      <c r="DS59" s="310"/>
      <c r="DT59" s="311"/>
      <c r="DU59" s="311"/>
      <c r="DV59" s="309"/>
      <c r="DW59" s="310"/>
      <c r="DX59" s="311"/>
      <c r="DY59" s="311"/>
      <c r="DZ59" s="309"/>
      <c r="EA59" s="310"/>
      <c r="EB59" s="311"/>
      <c r="EC59" s="311"/>
      <c r="ED59" s="309"/>
      <c r="EE59" s="310"/>
      <c r="EF59" s="311"/>
      <c r="EG59" s="311"/>
      <c r="EH59" s="309"/>
      <c r="EI59" s="310"/>
      <c r="EJ59" s="311"/>
      <c r="EK59" s="311"/>
      <c r="EL59" s="309"/>
      <c r="EM59" s="310"/>
      <c r="EN59" s="311"/>
      <c r="EO59" s="311"/>
      <c r="EP59" s="309"/>
      <c r="EQ59" s="310"/>
      <c r="ER59" s="311"/>
      <c r="ES59" s="311"/>
      <c r="ET59" s="309"/>
      <c r="EU59" s="310"/>
      <c r="EV59" s="311"/>
      <c r="EW59" s="311"/>
      <c r="EX59" s="309"/>
      <c r="EY59" s="310"/>
      <c r="EZ59" s="311"/>
      <c r="FA59" s="311"/>
      <c r="FB59" s="309"/>
      <c r="FC59" s="310"/>
      <c r="FD59" s="311"/>
      <c r="FE59" s="311"/>
      <c r="FF59" s="309"/>
      <c r="FG59" s="310"/>
      <c r="FH59" s="311"/>
      <c r="FI59" s="311"/>
      <c r="FJ59" s="309"/>
      <c r="FK59" s="310"/>
      <c r="FL59" s="311"/>
      <c r="FM59" s="311"/>
      <c r="FN59" s="309"/>
      <c r="FO59" s="310"/>
      <c r="FP59" s="311"/>
      <c r="FQ59" s="311"/>
      <c r="FR59" s="309"/>
      <c r="FS59" s="310"/>
      <c r="FT59" s="311"/>
      <c r="FU59" s="311"/>
      <c r="FV59" s="309"/>
      <c r="FW59" s="310"/>
      <c r="FX59" s="311"/>
      <c r="FY59" s="311"/>
      <c r="FZ59" s="309"/>
      <c r="GA59" s="310"/>
      <c r="GB59" s="311"/>
      <c r="GC59" s="311"/>
      <c r="GD59" s="309"/>
      <c r="GE59" s="310"/>
      <c r="GF59" s="311"/>
      <c r="GG59" s="311"/>
      <c r="GH59" s="309"/>
      <c r="GI59" s="310"/>
      <c r="GJ59" s="311"/>
      <c r="GK59" s="311"/>
      <c r="GL59" s="309"/>
      <c r="GM59" s="310"/>
      <c r="GN59" s="311"/>
      <c r="GO59" s="311"/>
      <c r="GP59" s="309"/>
      <c r="GQ59" s="310"/>
      <c r="GR59" s="311"/>
      <c r="GS59" s="311"/>
      <c r="GT59" s="309"/>
      <c r="GU59" s="310"/>
      <c r="GV59" s="311"/>
      <c r="GW59" s="311"/>
      <c r="GX59" s="309"/>
      <c r="GY59" s="310"/>
      <c r="GZ59" s="311"/>
      <c r="HA59" s="311"/>
      <c r="HB59" s="309"/>
      <c r="HC59" s="312">
        <f t="shared" si="79"/>
        <v>0</v>
      </c>
      <c r="HD59" s="313">
        <f t="shared" si="79"/>
        <v>0</v>
      </c>
      <c r="HE59" s="313">
        <f t="shared" si="79"/>
        <v>0</v>
      </c>
      <c r="HF59" s="314"/>
      <c r="HG59" s="312">
        <f>SUM(SUMIFS(K59:HB59,$K$13:$HB$13,{"エネルギー管理指定工場等*","県域*"}))</f>
        <v>0</v>
      </c>
      <c r="HH59" s="313">
        <f>SUM(SUMIFS(L59:HC59,$K$13:$HB$13,{"エネルギー管理指定工場等*","県域*"}))</f>
        <v>0</v>
      </c>
      <c r="HI59" s="313">
        <f>SUM(SUMIFS(M59:HD59,$K$13:$HB$13,{"エネルギー管理指定工場等*","県域*"}))</f>
        <v>0</v>
      </c>
      <c r="HJ59" s="314"/>
      <c r="HL59" s="325">
        <v>50</v>
      </c>
      <c r="HM59" s="724" t="str">
        <f t="shared" ca="1" si="67"/>
        <v/>
      </c>
      <c r="HN59" s="725" t="str">
        <f ca="1">IF(COUNTIF(HN$10:HN58,OFFSET(A1_原単位2025,5,HL59+2))&gt;=1,"",OFFSET(A1_原単位2025,5,HL59+2)&amp;"")</f>
        <v/>
      </c>
      <c r="HO59" s="726" t="str">
        <f t="shared" ca="1" si="50"/>
        <v/>
      </c>
      <c r="HP59" s="727" t="str">
        <f t="shared" ca="1" si="68"/>
        <v/>
      </c>
      <c r="HQ59" s="724" t="str">
        <f t="shared" ca="1" si="69"/>
        <v/>
      </c>
      <c r="HR59" s="725" t="str">
        <f ca="1">IF(COUNTIF(HR$10:HR58,OFFSET(A1_原単位2025,17,HL59+2))&gt;=1,"",OFFSET(A1_原単位2025,17,HL59+2)&amp;"")</f>
        <v/>
      </c>
      <c r="HS59" s="728" t="str">
        <f t="shared" ca="1" si="53"/>
        <v/>
      </c>
      <c r="HT59" s="729" t="str">
        <f t="shared" ca="1" si="70"/>
        <v/>
      </c>
      <c r="HU59" s="724" t="str">
        <f t="shared" ca="1" si="71"/>
        <v/>
      </c>
      <c r="HV59" s="725" t="str">
        <f ca="1">IF(COUNTIF(HV$10:HV58,OFFSET(A1_原単位2025,29,HL59+2))&gt;=1,"",OFFSET(A1_原単位2025,29,HL59+2)&amp;"")</f>
        <v/>
      </c>
      <c r="HW59" s="728" t="str">
        <f t="shared" ca="1" si="56"/>
        <v/>
      </c>
      <c r="HX59" s="729" t="str">
        <f t="shared" ca="1" si="72"/>
        <v/>
      </c>
      <c r="HY59" s="724" t="str">
        <f t="shared" ca="1" si="73"/>
        <v/>
      </c>
      <c r="HZ59" s="725" t="str">
        <f ca="1">IF(COUNTIF(HZ$10:HZ58,OFFSET(A1_原単位2025,41,HL59+2))&gt;=1,"",OFFSET(A1_原単位2025,41,HL59+2)&amp;"")</f>
        <v/>
      </c>
      <c r="IA59" s="730" t="str">
        <f t="shared" ca="1" si="59"/>
        <v/>
      </c>
      <c r="IB59" s="731" t="str">
        <f t="shared" ca="1" si="74"/>
        <v/>
      </c>
      <c r="IE59" s="159" t="str">
        <f t="shared" ca="1" si="75"/>
        <v/>
      </c>
      <c r="IF59" s="159" t="str">
        <f t="shared" ca="1" si="76"/>
        <v/>
      </c>
      <c r="IG59" s="159" t="str">
        <f t="shared" ca="1" si="77"/>
        <v/>
      </c>
      <c r="IH59" s="159" t="str">
        <f t="shared" ca="1" si="78"/>
        <v/>
      </c>
    </row>
    <row r="60" spans="2:242" s="164" customFormat="1" ht="20.100000000000001" customHeight="1">
      <c r="B60" s="302"/>
      <c r="C60" s="303" t="s">
        <v>597</v>
      </c>
      <c r="D60" s="304"/>
      <c r="E60" s="305"/>
      <c r="F60" s="303" t="s">
        <v>455</v>
      </c>
      <c r="G60" s="306">
        <v>17.100000000000001</v>
      </c>
      <c r="H60" s="309"/>
      <c r="I60" s="308"/>
      <c r="J60" s="309"/>
      <c r="K60" s="310"/>
      <c r="L60" s="311"/>
      <c r="M60" s="311"/>
      <c r="N60" s="309"/>
      <c r="O60" s="310"/>
      <c r="P60" s="311"/>
      <c r="Q60" s="311"/>
      <c r="R60" s="309"/>
      <c r="S60" s="310"/>
      <c r="T60" s="311"/>
      <c r="U60" s="311"/>
      <c r="V60" s="309"/>
      <c r="W60" s="310"/>
      <c r="X60" s="311"/>
      <c r="Y60" s="311"/>
      <c r="Z60" s="309"/>
      <c r="AA60" s="310"/>
      <c r="AB60" s="311"/>
      <c r="AC60" s="311"/>
      <c r="AD60" s="309"/>
      <c r="AE60" s="310"/>
      <c r="AF60" s="311"/>
      <c r="AG60" s="311"/>
      <c r="AH60" s="309"/>
      <c r="AI60" s="310"/>
      <c r="AJ60" s="311"/>
      <c r="AK60" s="311"/>
      <c r="AL60" s="309"/>
      <c r="AM60" s="310"/>
      <c r="AN60" s="311"/>
      <c r="AO60" s="311"/>
      <c r="AP60" s="309"/>
      <c r="AQ60" s="310"/>
      <c r="AR60" s="311"/>
      <c r="AS60" s="311"/>
      <c r="AT60" s="309"/>
      <c r="AU60" s="310"/>
      <c r="AV60" s="311"/>
      <c r="AW60" s="311"/>
      <c r="AX60" s="309"/>
      <c r="AY60" s="310"/>
      <c r="AZ60" s="311"/>
      <c r="BA60" s="311"/>
      <c r="BB60" s="309"/>
      <c r="BC60" s="310"/>
      <c r="BD60" s="311"/>
      <c r="BE60" s="311"/>
      <c r="BF60" s="309"/>
      <c r="BG60" s="310"/>
      <c r="BH60" s="311"/>
      <c r="BI60" s="311"/>
      <c r="BJ60" s="309"/>
      <c r="BK60" s="310"/>
      <c r="BL60" s="311"/>
      <c r="BM60" s="311"/>
      <c r="BN60" s="309"/>
      <c r="BO60" s="310"/>
      <c r="BP60" s="311"/>
      <c r="BQ60" s="311"/>
      <c r="BR60" s="309"/>
      <c r="BS60" s="310"/>
      <c r="BT60" s="311"/>
      <c r="BU60" s="311"/>
      <c r="BV60" s="309"/>
      <c r="BW60" s="310"/>
      <c r="BX60" s="311"/>
      <c r="BY60" s="311"/>
      <c r="BZ60" s="309"/>
      <c r="CA60" s="310"/>
      <c r="CB60" s="311"/>
      <c r="CC60" s="311"/>
      <c r="CD60" s="309"/>
      <c r="CE60" s="310"/>
      <c r="CF60" s="311"/>
      <c r="CG60" s="311"/>
      <c r="CH60" s="309"/>
      <c r="CI60" s="310"/>
      <c r="CJ60" s="311"/>
      <c r="CK60" s="311"/>
      <c r="CL60" s="309"/>
      <c r="CM60" s="310"/>
      <c r="CN60" s="311"/>
      <c r="CO60" s="311"/>
      <c r="CP60" s="309"/>
      <c r="CQ60" s="310"/>
      <c r="CR60" s="311"/>
      <c r="CS60" s="311"/>
      <c r="CT60" s="309"/>
      <c r="CU60" s="310"/>
      <c r="CV60" s="311"/>
      <c r="CW60" s="311"/>
      <c r="CX60" s="309"/>
      <c r="CY60" s="310"/>
      <c r="CZ60" s="311"/>
      <c r="DA60" s="311"/>
      <c r="DB60" s="309"/>
      <c r="DC60" s="310"/>
      <c r="DD60" s="311"/>
      <c r="DE60" s="311"/>
      <c r="DF60" s="309"/>
      <c r="DG60" s="310"/>
      <c r="DH60" s="311"/>
      <c r="DI60" s="311"/>
      <c r="DJ60" s="309"/>
      <c r="DK60" s="310"/>
      <c r="DL60" s="311"/>
      <c r="DM60" s="311"/>
      <c r="DN60" s="309"/>
      <c r="DO60" s="310"/>
      <c r="DP60" s="311"/>
      <c r="DQ60" s="311"/>
      <c r="DR60" s="309"/>
      <c r="DS60" s="310"/>
      <c r="DT60" s="311"/>
      <c r="DU60" s="311"/>
      <c r="DV60" s="309"/>
      <c r="DW60" s="310"/>
      <c r="DX60" s="311"/>
      <c r="DY60" s="311"/>
      <c r="DZ60" s="309"/>
      <c r="EA60" s="310"/>
      <c r="EB60" s="311"/>
      <c r="EC60" s="311"/>
      <c r="ED60" s="309"/>
      <c r="EE60" s="310"/>
      <c r="EF60" s="311"/>
      <c r="EG60" s="311"/>
      <c r="EH60" s="309"/>
      <c r="EI60" s="310"/>
      <c r="EJ60" s="311"/>
      <c r="EK60" s="311"/>
      <c r="EL60" s="309"/>
      <c r="EM60" s="310"/>
      <c r="EN60" s="311"/>
      <c r="EO60" s="311"/>
      <c r="EP60" s="309"/>
      <c r="EQ60" s="310"/>
      <c r="ER60" s="311"/>
      <c r="ES60" s="311"/>
      <c r="ET60" s="309"/>
      <c r="EU60" s="310"/>
      <c r="EV60" s="311"/>
      <c r="EW60" s="311"/>
      <c r="EX60" s="309"/>
      <c r="EY60" s="310"/>
      <c r="EZ60" s="311"/>
      <c r="FA60" s="311"/>
      <c r="FB60" s="309"/>
      <c r="FC60" s="310"/>
      <c r="FD60" s="311"/>
      <c r="FE60" s="311"/>
      <c r="FF60" s="309"/>
      <c r="FG60" s="310"/>
      <c r="FH60" s="311"/>
      <c r="FI60" s="311"/>
      <c r="FJ60" s="309"/>
      <c r="FK60" s="310"/>
      <c r="FL60" s="311"/>
      <c r="FM60" s="311"/>
      <c r="FN60" s="309"/>
      <c r="FO60" s="310"/>
      <c r="FP60" s="311"/>
      <c r="FQ60" s="311"/>
      <c r="FR60" s="309"/>
      <c r="FS60" s="310"/>
      <c r="FT60" s="311"/>
      <c r="FU60" s="311"/>
      <c r="FV60" s="309"/>
      <c r="FW60" s="310"/>
      <c r="FX60" s="311"/>
      <c r="FY60" s="311"/>
      <c r="FZ60" s="309"/>
      <c r="GA60" s="310"/>
      <c r="GB60" s="311"/>
      <c r="GC60" s="311"/>
      <c r="GD60" s="309"/>
      <c r="GE60" s="310"/>
      <c r="GF60" s="311"/>
      <c r="GG60" s="311"/>
      <c r="GH60" s="309"/>
      <c r="GI60" s="310"/>
      <c r="GJ60" s="311"/>
      <c r="GK60" s="311"/>
      <c r="GL60" s="309"/>
      <c r="GM60" s="310"/>
      <c r="GN60" s="311"/>
      <c r="GO60" s="311"/>
      <c r="GP60" s="309"/>
      <c r="GQ60" s="310"/>
      <c r="GR60" s="311"/>
      <c r="GS60" s="311"/>
      <c r="GT60" s="309"/>
      <c r="GU60" s="310"/>
      <c r="GV60" s="311"/>
      <c r="GW60" s="311"/>
      <c r="GX60" s="309"/>
      <c r="GY60" s="310"/>
      <c r="GZ60" s="311"/>
      <c r="HA60" s="311"/>
      <c r="HB60" s="309"/>
      <c r="HC60" s="312">
        <f t="shared" si="79"/>
        <v>0</v>
      </c>
      <c r="HD60" s="313">
        <f t="shared" si="79"/>
        <v>0</v>
      </c>
      <c r="HE60" s="313">
        <f t="shared" si="79"/>
        <v>0</v>
      </c>
      <c r="HF60" s="314"/>
      <c r="HG60" s="312">
        <f>SUM(SUMIFS(K60:HB60,$K$13:$HB$13,{"エネルギー管理指定工場等*","県域*"}))</f>
        <v>0</v>
      </c>
      <c r="HH60" s="313">
        <f>SUM(SUMIFS(L60:HC60,$K$13:$HB$13,{"エネルギー管理指定工場等*","県域*"}))</f>
        <v>0</v>
      </c>
      <c r="HI60" s="313">
        <f>SUM(SUMIFS(M60:HD60,$K$13:$HB$13,{"エネルギー管理指定工場等*","県域*"}))</f>
        <v>0</v>
      </c>
      <c r="HJ60" s="314"/>
      <c r="IE60" s="579"/>
      <c r="IF60" s="579"/>
      <c r="IG60" s="579"/>
      <c r="IH60" s="579"/>
    </row>
    <row r="61" spans="2:242" s="164" customFormat="1" ht="20.100000000000001" customHeight="1">
      <c r="B61" s="302"/>
      <c r="C61" s="303" t="s">
        <v>598</v>
      </c>
      <c r="D61" s="304"/>
      <c r="E61" s="305"/>
      <c r="F61" s="303" t="s">
        <v>455</v>
      </c>
      <c r="G61" s="306">
        <v>142</v>
      </c>
      <c r="H61" s="309"/>
      <c r="I61" s="310"/>
      <c r="J61" s="315"/>
      <c r="K61" s="310"/>
      <c r="L61" s="311"/>
      <c r="M61" s="311"/>
      <c r="N61" s="309"/>
      <c r="O61" s="310"/>
      <c r="P61" s="311"/>
      <c r="Q61" s="311"/>
      <c r="R61" s="309"/>
      <c r="S61" s="310"/>
      <c r="T61" s="311"/>
      <c r="U61" s="311"/>
      <c r="V61" s="309"/>
      <c r="W61" s="310"/>
      <c r="X61" s="311"/>
      <c r="Y61" s="311"/>
      <c r="Z61" s="309"/>
      <c r="AA61" s="310"/>
      <c r="AB61" s="311"/>
      <c r="AC61" s="311"/>
      <c r="AD61" s="309"/>
      <c r="AE61" s="310"/>
      <c r="AF61" s="311"/>
      <c r="AG61" s="311"/>
      <c r="AH61" s="309"/>
      <c r="AI61" s="310"/>
      <c r="AJ61" s="311"/>
      <c r="AK61" s="311"/>
      <c r="AL61" s="309"/>
      <c r="AM61" s="310"/>
      <c r="AN61" s="311"/>
      <c r="AO61" s="311"/>
      <c r="AP61" s="309"/>
      <c r="AQ61" s="310"/>
      <c r="AR61" s="311"/>
      <c r="AS61" s="311"/>
      <c r="AT61" s="309"/>
      <c r="AU61" s="310"/>
      <c r="AV61" s="311"/>
      <c r="AW61" s="311"/>
      <c r="AX61" s="309"/>
      <c r="AY61" s="310"/>
      <c r="AZ61" s="311"/>
      <c r="BA61" s="311"/>
      <c r="BB61" s="309"/>
      <c r="BC61" s="310"/>
      <c r="BD61" s="311"/>
      <c r="BE61" s="311"/>
      <c r="BF61" s="309"/>
      <c r="BG61" s="310"/>
      <c r="BH61" s="311"/>
      <c r="BI61" s="311"/>
      <c r="BJ61" s="309"/>
      <c r="BK61" s="310"/>
      <c r="BL61" s="311"/>
      <c r="BM61" s="311"/>
      <c r="BN61" s="309"/>
      <c r="BO61" s="310"/>
      <c r="BP61" s="311"/>
      <c r="BQ61" s="311"/>
      <c r="BR61" s="309"/>
      <c r="BS61" s="310"/>
      <c r="BT61" s="311"/>
      <c r="BU61" s="311"/>
      <c r="BV61" s="309"/>
      <c r="BW61" s="310"/>
      <c r="BX61" s="311"/>
      <c r="BY61" s="311"/>
      <c r="BZ61" s="309"/>
      <c r="CA61" s="310"/>
      <c r="CB61" s="311"/>
      <c r="CC61" s="311"/>
      <c r="CD61" s="309"/>
      <c r="CE61" s="310"/>
      <c r="CF61" s="311"/>
      <c r="CG61" s="311"/>
      <c r="CH61" s="309"/>
      <c r="CI61" s="310"/>
      <c r="CJ61" s="311"/>
      <c r="CK61" s="311"/>
      <c r="CL61" s="309"/>
      <c r="CM61" s="310"/>
      <c r="CN61" s="311"/>
      <c r="CO61" s="311"/>
      <c r="CP61" s="309"/>
      <c r="CQ61" s="310"/>
      <c r="CR61" s="311"/>
      <c r="CS61" s="311"/>
      <c r="CT61" s="309"/>
      <c r="CU61" s="310"/>
      <c r="CV61" s="311"/>
      <c r="CW61" s="311"/>
      <c r="CX61" s="309"/>
      <c r="CY61" s="310"/>
      <c r="CZ61" s="311"/>
      <c r="DA61" s="311"/>
      <c r="DB61" s="309"/>
      <c r="DC61" s="310"/>
      <c r="DD61" s="311"/>
      <c r="DE61" s="311"/>
      <c r="DF61" s="309"/>
      <c r="DG61" s="310"/>
      <c r="DH61" s="311"/>
      <c r="DI61" s="311"/>
      <c r="DJ61" s="309"/>
      <c r="DK61" s="310"/>
      <c r="DL61" s="311"/>
      <c r="DM61" s="311"/>
      <c r="DN61" s="309"/>
      <c r="DO61" s="310"/>
      <c r="DP61" s="311"/>
      <c r="DQ61" s="311"/>
      <c r="DR61" s="309"/>
      <c r="DS61" s="310"/>
      <c r="DT61" s="311"/>
      <c r="DU61" s="311"/>
      <c r="DV61" s="309"/>
      <c r="DW61" s="310"/>
      <c r="DX61" s="311"/>
      <c r="DY61" s="311"/>
      <c r="DZ61" s="309"/>
      <c r="EA61" s="310"/>
      <c r="EB61" s="311"/>
      <c r="EC61" s="311"/>
      <c r="ED61" s="309"/>
      <c r="EE61" s="310"/>
      <c r="EF61" s="311"/>
      <c r="EG61" s="311"/>
      <c r="EH61" s="309"/>
      <c r="EI61" s="310"/>
      <c r="EJ61" s="311"/>
      <c r="EK61" s="311"/>
      <c r="EL61" s="309"/>
      <c r="EM61" s="310"/>
      <c r="EN61" s="311"/>
      <c r="EO61" s="311"/>
      <c r="EP61" s="309"/>
      <c r="EQ61" s="310"/>
      <c r="ER61" s="311"/>
      <c r="ES61" s="311"/>
      <c r="ET61" s="309"/>
      <c r="EU61" s="310"/>
      <c r="EV61" s="311"/>
      <c r="EW61" s="311"/>
      <c r="EX61" s="309"/>
      <c r="EY61" s="310"/>
      <c r="EZ61" s="311"/>
      <c r="FA61" s="311"/>
      <c r="FB61" s="309"/>
      <c r="FC61" s="310"/>
      <c r="FD61" s="311"/>
      <c r="FE61" s="311"/>
      <c r="FF61" s="309"/>
      <c r="FG61" s="310"/>
      <c r="FH61" s="311"/>
      <c r="FI61" s="311"/>
      <c r="FJ61" s="309"/>
      <c r="FK61" s="310"/>
      <c r="FL61" s="311"/>
      <c r="FM61" s="311"/>
      <c r="FN61" s="309"/>
      <c r="FO61" s="310"/>
      <c r="FP61" s="311"/>
      <c r="FQ61" s="311"/>
      <c r="FR61" s="309"/>
      <c r="FS61" s="310"/>
      <c r="FT61" s="311"/>
      <c r="FU61" s="311"/>
      <c r="FV61" s="309"/>
      <c r="FW61" s="310"/>
      <c r="FX61" s="311"/>
      <c r="FY61" s="311"/>
      <c r="FZ61" s="309"/>
      <c r="GA61" s="310"/>
      <c r="GB61" s="311"/>
      <c r="GC61" s="311"/>
      <c r="GD61" s="309"/>
      <c r="GE61" s="310"/>
      <c r="GF61" s="311"/>
      <c r="GG61" s="311"/>
      <c r="GH61" s="309"/>
      <c r="GI61" s="310"/>
      <c r="GJ61" s="311"/>
      <c r="GK61" s="311"/>
      <c r="GL61" s="309"/>
      <c r="GM61" s="310"/>
      <c r="GN61" s="311"/>
      <c r="GO61" s="311"/>
      <c r="GP61" s="309"/>
      <c r="GQ61" s="310"/>
      <c r="GR61" s="311"/>
      <c r="GS61" s="311"/>
      <c r="GT61" s="309"/>
      <c r="GU61" s="310"/>
      <c r="GV61" s="311"/>
      <c r="GW61" s="311"/>
      <c r="GX61" s="309"/>
      <c r="GY61" s="310"/>
      <c r="GZ61" s="311"/>
      <c r="HA61" s="311"/>
      <c r="HB61" s="309"/>
      <c r="HC61" s="312">
        <f t="shared" si="79"/>
        <v>0</v>
      </c>
      <c r="HD61" s="313">
        <f t="shared" si="79"/>
        <v>0</v>
      </c>
      <c r="HE61" s="313">
        <f t="shared" si="79"/>
        <v>0</v>
      </c>
      <c r="HF61" s="314"/>
      <c r="HG61" s="312">
        <f>SUM(SUMIFS(K61:HB61,$K$13:$HB$13,{"エネルギー管理指定工場等*","県域*"}))</f>
        <v>0</v>
      </c>
      <c r="HH61" s="313">
        <f>SUM(SUMIFS(L61:HC61,$K$13:$HB$13,{"エネルギー管理指定工場等*","県域*"}))</f>
        <v>0</v>
      </c>
      <c r="HI61" s="313">
        <f>SUM(SUMIFS(M61:HD61,$K$13:$HB$13,{"エネルギー管理指定工場等*","県域*"}))</f>
        <v>0</v>
      </c>
      <c r="HJ61" s="314"/>
      <c r="IE61" s="579"/>
      <c r="IF61" s="579"/>
      <c r="IG61" s="579"/>
      <c r="IH61" s="579"/>
    </row>
    <row r="62" spans="2:242" s="164" customFormat="1" ht="20.100000000000001" customHeight="1">
      <c r="B62" s="302"/>
      <c r="C62" s="303" t="s">
        <v>394</v>
      </c>
      <c r="D62" s="304"/>
      <c r="E62" s="305"/>
      <c r="F62" s="303" t="s">
        <v>455</v>
      </c>
      <c r="G62" s="306">
        <v>22.5</v>
      </c>
      <c r="H62" s="309"/>
      <c r="I62" s="310"/>
      <c r="J62" s="315"/>
      <c r="K62" s="310"/>
      <c r="L62" s="311"/>
      <c r="M62" s="311"/>
      <c r="N62" s="309"/>
      <c r="O62" s="310"/>
      <c r="P62" s="311"/>
      <c r="Q62" s="311"/>
      <c r="R62" s="309"/>
      <c r="S62" s="310"/>
      <c r="T62" s="311"/>
      <c r="U62" s="311"/>
      <c r="V62" s="309"/>
      <c r="W62" s="310"/>
      <c r="X62" s="311"/>
      <c r="Y62" s="311"/>
      <c r="Z62" s="309"/>
      <c r="AA62" s="310"/>
      <c r="AB62" s="311"/>
      <c r="AC62" s="311"/>
      <c r="AD62" s="309"/>
      <c r="AE62" s="310"/>
      <c r="AF62" s="311"/>
      <c r="AG62" s="311"/>
      <c r="AH62" s="309"/>
      <c r="AI62" s="310"/>
      <c r="AJ62" s="311"/>
      <c r="AK62" s="311"/>
      <c r="AL62" s="309"/>
      <c r="AM62" s="310"/>
      <c r="AN62" s="311"/>
      <c r="AO62" s="311"/>
      <c r="AP62" s="309"/>
      <c r="AQ62" s="310"/>
      <c r="AR62" s="311"/>
      <c r="AS62" s="311"/>
      <c r="AT62" s="309"/>
      <c r="AU62" s="310"/>
      <c r="AV62" s="311"/>
      <c r="AW62" s="311"/>
      <c r="AX62" s="309"/>
      <c r="AY62" s="310"/>
      <c r="AZ62" s="311"/>
      <c r="BA62" s="311"/>
      <c r="BB62" s="309"/>
      <c r="BC62" s="310"/>
      <c r="BD62" s="311"/>
      <c r="BE62" s="311"/>
      <c r="BF62" s="309"/>
      <c r="BG62" s="310"/>
      <c r="BH62" s="311"/>
      <c r="BI62" s="311"/>
      <c r="BJ62" s="309"/>
      <c r="BK62" s="310"/>
      <c r="BL62" s="311"/>
      <c r="BM62" s="311"/>
      <c r="BN62" s="309"/>
      <c r="BO62" s="310"/>
      <c r="BP62" s="311"/>
      <c r="BQ62" s="311"/>
      <c r="BR62" s="309"/>
      <c r="BS62" s="310"/>
      <c r="BT62" s="311"/>
      <c r="BU62" s="311"/>
      <c r="BV62" s="309"/>
      <c r="BW62" s="310"/>
      <c r="BX62" s="311"/>
      <c r="BY62" s="311"/>
      <c r="BZ62" s="309"/>
      <c r="CA62" s="310"/>
      <c r="CB62" s="311"/>
      <c r="CC62" s="311"/>
      <c r="CD62" s="309"/>
      <c r="CE62" s="310"/>
      <c r="CF62" s="311"/>
      <c r="CG62" s="311"/>
      <c r="CH62" s="309"/>
      <c r="CI62" s="310"/>
      <c r="CJ62" s="311"/>
      <c r="CK62" s="311"/>
      <c r="CL62" s="309"/>
      <c r="CM62" s="310"/>
      <c r="CN62" s="311"/>
      <c r="CO62" s="311"/>
      <c r="CP62" s="309"/>
      <c r="CQ62" s="310"/>
      <c r="CR62" s="311"/>
      <c r="CS62" s="311"/>
      <c r="CT62" s="309"/>
      <c r="CU62" s="310"/>
      <c r="CV62" s="311"/>
      <c r="CW62" s="311"/>
      <c r="CX62" s="309"/>
      <c r="CY62" s="310"/>
      <c r="CZ62" s="311"/>
      <c r="DA62" s="311"/>
      <c r="DB62" s="309"/>
      <c r="DC62" s="310"/>
      <c r="DD62" s="311"/>
      <c r="DE62" s="311"/>
      <c r="DF62" s="309"/>
      <c r="DG62" s="310"/>
      <c r="DH62" s="311"/>
      <c r="DI62" s="311"/>
      <c r="DJ62" s="309"/>
      <c r="DK62" s="310"/>
      <c r="DL62" s="311"/>
      <c r="DM62" s="311"/>
      <c r="DN62" s="309"/>
      <c r="DO62" s="310"/>
      <c r="DP62" s="311"/>
      <c r="DQ62" s="311"/>
      <c r="DR62" s="309"/>
      <c r="DS62" s="310"/>
      <c r="DT62" s="311"/>
      <c r="DU62" s="311"/>
      <c r="DV62" s="309"/>
      <c r="DW62" s="310"/>
      <c r="DX62" s="311"/>
      <c r="DY62" s="311"/>
      <c r="DZ62" s="309"/>
      <c r="EA62" s="310"/>
      <c r="EB62" s="311"/>
      <c r="EC62" s="311"/>
      <c r="ED62" s="309"/>
      <c r="EE62" s="310"/>
      <c r="EF62" s="311"/>
      <c r="EG62" s="311"/>
      <c r="EH62" s="309"/>
      <c r="EI62" s="310"/>
      <c r="EJ62" s="311"/>
      <c r="EK62" s="311"/>
      <c r="EL62" s="309"/>
      <c r="EM62" s="310"/>
      <c r="EN62" s="311"/>
      <c r="EO62" s="311"/>
      <c r="EP62" s="309"/>
      <c r="EQ62" s="310"/>
      <c r="ER62" s="311"/>
      <c r="ES62" s="311"/>
      <c r="ET62" s="309"/>
      <c r="EU62" s="310"/>
      <c r="EV62" s="311"/>
      <c r="EW62" s="311"/>
      <c r="EX62" s="309"/>
      <c r="EY62" s="310"/>
      <c r="EZ62" s="311"/>
      <c r="FA62" s="311"/>
      <c r="FB62" s="309"/>
      <c r="FC62" s="310"/>
      <c r="FD62" s="311"/>
      <c r="FE62" s="311"/>
      <c r="FF62" s="309"/>
      <c r="FG62" s="310"/>
      <c r="FH62" s="311"/>
      <c r="FI62" s="311"/>
      <c r="FJ62" s="309"/>
      <c r="FK62" s="310"/>
      <c r="FL62" s="311"/>
      <c r="FM62" s="311"/>
      <c r="FN62" s="309"/>
      <c r="FO62" s="310"/>
      <c r="FP62" s="311"/>
      <c r="FQ62" s="311"/>
      <c r="FR62" s="309"/>
      <c r="FS62" s="310"/>
      <c r="FT62" s="311"/>
      <c r="FU62" s="311"/>
      <c r="FV62" s="309"/>
      <c r="FW62" s="310"/>
      <c r="FX62" s="311"/>
      <c r="FY62" s="311"/>
      <c r="FZ62" s="309"/>
      <c r="GA62" s="310"/>
      <c r="GB62" s="311"/>
      <c r="GC62" s="311"/>
      <c r="GD62" s="309"/>
      <c r="GE62" s="310"/>
      <c r="GF62" s="311"/>
      <c r="GG62" s="311"/>
      <c r="GH62" s="309"/>
      <c r="GI62" s="310"/>
      <c r="GJ62" s="311"/>
      <c r="GK62" s="311"/>
      <c r="GL62" s="309"/>
      <c r="GM62" s="310"/>
      <c r="GN62" s="311"/>
      <c r="GO62" s="311"/>
      <c r="GP62" s="309"/>
      <c r="GQ62" s="310"/>
      <c r="GR62" s="311"/>
      <c r="GS62" s="311"/>
      <c r="GT62" s="309"/>
      <c r="GU62" s="310"/>
      <c r="GV62" s="311"/>
      <c r="GW62" s="311"/>
      <c r="GX62" s="309"/>
      <c r="GY62" s="310"/>
      <c r="GZ62" s="311"/>
      <c r="HA62" s="311"/>
      <c r="HB62" s="309"/>
      <c r="HC62" s="312">
        <f t="shared" si="79"/>
        <v>0</v>
      </c>
      <c r="HD62" s="313">
        <f t="shared" si="79"/>
        <v>0</v>
      </c>
      <c r="HE62" s="313">
        <f t="shared" si="79"/>
        <v>0</v>
      </c>
      <c r="HF62" s="314"/>
      <c r="HG62" s="312">
        <f>SUM(SUMIFS(K62:HB62,$K$13:$HB$13,{"エネルギー管理指定工場等*","県域*"}))</f>
        <v>0</v>
      </c>
      <c r="HH62" s="313">
        <f>SUM(SUMIFS(L62:HC62,$K$13:$HB$13,{"エネルギー管理指定工場等*","県域*"}))</f>
        <v>0</v>
      </c>
      <c r="HI62" s="313">
        <f>SUM(SUMIFS(M62:HD62,$K$13:$HB$13,{"エネルギー管理指定工場等*","県域*"}))</f>
        <v>0</v>
      </c>
      <c r="HJ62" s="314"/>
      <c r="IE62" s="579"/>
      <c r="IF62" s="579"/>
      <c r="IG62" s="579"/>
      <c r="IH62" s="579"/>
    </row>
    <row r="63" spans="2:242" s="164" customFormat="1" ht="20.100000000000001" customHeight="1">
      <c r="B63" s="302"/>
      <c r="C63" s="326" t="s">
        <v>599</v>
      </c>
      <c r="D63" s="303"/>
      <c r="E63" s="311"/>
      <c r="F63" s="323"/>
      <c r="G63" s="310"/>
      <c r="H63" s="315"/>
      <c r="I63" s="310"/>
      <c r="J63" s="315"/>
      <c r="K63" s="310"/>
      <c r="L63" s="311"/>
      <c r="M63" s="311"/>
      <c r="N63" s="309"/>
      <c r="O63" s="310"/>
      <c r="P63" s="311"/>
      <c r="Q63" s="311"/>
      <c r="R63" s="309"/>
      <c r="S63" s="310"/>
      <c r="T63" s="311"/>
      <c r="U63" s="311"/>
      <c r="V63" s="309"/>
      <c r="W63" s="310"/>
      <c r="X63" s="311"/>
      <c r="Y63" s="311"/>
      <c r="Z63" s="309"/>
      <c r="AA63" s="310"/>
      <c r="AB63" s="311"/>
      <c r="AC63" s="311"/>
      <c r="AD63" s="309"/>
      <c r="AE63" s="310"/>
      <c r="AF63" s="311"/>
      <c r="AG63" s="311"/>
      <c r="AH63" s="309"/>
      <c r="AI63" s="310"/>
      <c r="AJ63" s="311"/>
      <c r="AK63" s="311"/>
      <c r="AL63" s="309"/>
      <c r="AM63" s="310"/>
      <c r="AN63" s="311"/>
      <c r="AO63" s="311"/>
      <c r="AP63" s="309"/>
      <c r="AQ63" s="310"/>
      <c r="AR63" s="311"/>
      <c r="AS63" s="311"/>
      <c r="AT63" s="309"/>
      <c r="AU63" s="310"/>
      <c r="AV63" s="311"/>
      <c r="AW63" s="311"/>
      <c r="AX63" s="309"/>
      <c r="AY63" s="310"/>
      <c r="AZ63" s="311"/>
      <c r="BA63" s="311"/>
      <c r="BB63" s="309"/>
      <c r="BC63" s="310"/>
      <c r="BD63" s="311"/>
      <c r="BE63" s="311"/>
      <c r="BF63" s="309"/>
      <c r="BG63" s="310"/>
      <c r="BH63" s="311"/>
      <c r="BI63" s="311"/>
      <c r="BJ63" s="309"/>
      <c r="BK63" s="310"/>
      <c r="BL63" s="311"/>
      <c r="BM63" s="311"/>
      <c r="BN63" s="309"/>
      <c r="BO63" s="310"/>
      <c r="BP63" s="311"/>
      <c r="BQ63" s="311"/>
      <c r="BR63" s="309"/>
      <c r="BS63" s="310"/>
      <c r="BT63" s="311"/>
      <c r="BU63" s="311"/>
      <c r="BV63" s="309"/>
      <c r="BW63" s="310"/>
      <c r="BX63" s="311"/>
      <c r="BY63" s="311"/>
      <c r="BZ63" s="309"/>
      <c r="CA63" s="310"/>
      <c r="CB63" s="311"/>
      <c r="CC63" s="311"/>
      <c r="CD63" s="309"/>
      <c r="CE63" s="310"/>
      <c r="CF63" s="311"/>
      <c r="CG63" s="311"/>
      <c r="CH63" s="309"/>
      <c r="CI63" s="310"/>
      <c r="CJ63" s="311"/>
      <c r="CK63" s="311"/>
      <c r="CL63" s="309"/>
      <c r="CM63" s="310"/>
      <c r="CN63" s="311"/>
      <c r="CO63" s="311"/>
      <c r="CP63" s="309"/>
      <c r="CQ63" s="310"/>
      <c r="CR63" s="311"/>
      <c r="CS63" s="311"/>
      <c r="CT63" s="309"/>
      <c r="CU63" s="310"/>
      <c r="CV63" s="311"/>
      <c r="CW63" s="311"/>
      <c r="CX63" s="309"/>
      <c r="CY63" s="310"/>
      <c r="CZ63" s="311"/>
      <c r="DA63" s="311"/>
      <c r="DB63" s="309"/>
      <c r="DC63" s="310"/>
      <c r="DD63" s="311"/>
      <c r="DE63" s="311"/>
      <c r="DF63" s="309"/>
      <c r="DG63" s="310"/>
      <c r="DH63" s="311"/>
      <c r="DI63" s="311"/>
      <c r="DJ63" s="309"/>
      <c r="DK63" s="310"/>
      <c r="DL63" s="311"/>
      <c r="DM63" s="311"/>
      <c r="DN63" s="309"/>
      <c r="DO63" s="310"/>
      <c r="DP63" s="311"/>
      <c r="DQ63" s="311"/>
      <c r="DR63" s="309"/>
      <c r="DS63" s="310"/>
      <c r="DT63" s="311"/>
      <c r="DU63" s="311"/>
      <c r="DV63" s="309"/>
      <c r="DW63" s="310"/>
      <c r="DX63" s="311"/>
      <c r="DY63" s="311"/>
      <c r="DZ63" s="309"/>
      <c r="EA63" s="310"/>
      <c r="EB63" s="311"/>
      <c r="EC63" s="311"/>
      <c r="ED63" s="309"/>
      <c r="EE63" s="310"/>
      <c r="EF63" s="311"/>
      <c r="EG63" s="311"/>
      <c r="EH63" s="309"/>
      <c r="EI63" s="310"/>
      <c r="EJ63" s="311"/>
      <c r="EK63" s="311"/>
      <c r="EL63" s="309"/>
      <c r="EM63" s="310"/>
      <c r="EN63" s="311"/>
      <c r="EO63" s="311"/>
      <c r="EP63" s="309"/>
      <c r="EQ63" s="310"/>
      <c r="ER63" s="311"/>
      <c r="ES63" s="311"/>
      <c r="ET63" s="309"/>
      <c r="EU63" s="310"/>
      <c r="EV63" s="311"/>
      <c r="EW63" s="311"/>
      <c r="EX63" s="309"/>
      <c r="EY63" s="310"/>
      <c r="EZ63" s="311"/>
      <c r="FA63" s="311"/>
      <c r="FB63" s="309"/>
      <c r="FC63" s="310"/>
      <c r="FD63" s="311"/>
      <c r="FE63" s="311"/>
      <c r="FF63" s="309"/>
      <c r="FG63" s="310"/>
      <c r="FH63" s="311"/>
      <c r="FI63" s="311"/>
      <c r="FJ63" s="309"/>
      <c r="FK63" s="310"/>
      <c r="FL63" s="311"/>
      <c r="FM63" s="311"/>
      <c r="FN63" s="309"/>
      <c r="FO63" s="310"/>
      <c r="FP63" s="311"/>
      <c r="FQ63" s="311"/>
      <c r="FR63" s="309"/>
      <c r="FS63" s="310"/>
      <c r="FT63" s="311"/>
      <c r="FU63" s="311"/>
      <c r="FV63" s="309"/>
      <c r="FW63" s="310"/>
      <c r="FX63" s="311"/>
      <c r="FY63" s="311"/>
      <c r="FZ63" s="309"/>
      <c r="GA63" s="310"/>
      <c r="GB63" s="311"/>
      <c r="GC63" s="311"/>
      <c r="GD63" s="309"/>
      <c r="GE63" s="310"/>
      <c r="GF63" s="311"/>
      <c r="GG63" s="311"/>
      <c r="GH63" s="309"/>
      <c r="GI63" s="310"/>
      <c r="GJ63" s="311"/>
      <c r="GK63" s="311"/>
      <c r="GL63" s="309"/>
      <c r="GM63" s="310"/>
      <c r="GN63" s="311"/>
      <c r="GO63" s="311"/>
      <c r="GP63" s="309"/>
      <c r="GQ63" s="310"/>
      <c r="GR63" s="311"/>
      <c r="GS63" s="311"/>
      <c r="GT63" s="309"/>
      <c r="GU63" s="310"/>
      <c r="GV63" s="311"/>
      <c r="GW63" s="311"/>
      <c r="GX63" s="309"/>
      <c r="GY63" s="310"/>
      <c r="GZ63" s="311"/>
      <c r="HA63" s="311"/>
      <c r="HB63" s="309"/>
      <c r="HC63" s="312">
        <f t="shared" si="79"/>
        <v>0</v>
      </c>
      <c r="HD63" s="313">
        <f t="shared" si="79"/>
        <v>0</v>
      </c>
      <c r="HE63" s="313">
        <f t="shared" si="79"/>
        <v>0</v>
      </c>
      <c r="HF63" s="314"/>
      <c r="HG63" s="312">
        <f>SUM(SUMIFS(K63:HB63,$K$13:$HB$13,{"エネルギー管理指定工場等*","県域*"}))</f>
        <v>0</v>
      </c>
      <c r="HH63" s="313">
        <f>SUM(SUMIFS(L63:HC63,$K$13:$HB$13,{"エネルギー管理指定工場等*","県域*"}))</f>
        <v>0</v>
      </c>
      <c r="HI63" s="313">
        <f>SUM(SUMIFS(M63:HD63,$K$13:$HB$13,{"エネルギー管理指定工場等*","県域*"}))</f>
        <v>0</v>
      </c>
      <c r="HJ63" s="314"/>
      <c r="IE63" s="579"/>
      <c r="IF63" s="579"/>
      <c r="IG63" s="579"/>
      <c r="IH63" s="579"/>
    </row>
    <row r="64" spans="2:242" s="164" customFormat="1" ht="19.8">
      <c r="B64" s="320"/>
      <c r="C64" s="326" t="s">
        <v>600</v>
      </c>
      <c r="D64" s="303"/>
      <c r="E64" s="311"/>
      <c r="F64" s="323"/>
      <c r="G64" s="310"/>
      <c r="H64" s="315"/>
      <c r="I64" s="308"/>
      <c r="J64" s="309"/>
      <c r="K64" s="310"/>
      <c r="L64" s="311"/>
      <c r="M64" s="311"/>
      <c r="N64" s="309"/>
      <c r="O64" s="310"/>
      <c r="P64" s="311"/>
      <c r="Q64" s="311"/>
      <c r="R64" s="309"/>
      <c r="S64" s="310"/>
      <c r="T64" s="311"/>
      <c r="U64" s="311"/>
      <c r="V64" s="309"/>
      <c r="W64" s="310"/>
      <c r="X64" s="311"/>
      <c r="Y64" s="311"/>
      <c r="Z64" s="309"/>
      <c r="AA64" s="310"/>
      <c r="AB64" s="311"/>
      <c r="AC64" s="311"/>
      <c r="AD64" s="309"/>
      <c r="AE64" s="310"/>
      <c r="AF64" s="311"/>
      <c r="AG64" s="311"/>
      <c r="AH64" s="309"/>
      <c r="AI64" s="310"/>
      <c r="AJ64" s="311"/>
      <c r="AK64" s="311"/>
      <c r="AL64" s="309"/>
      <c r="AM64" s="310"/>
      <c r="AN64" s="311"/>
      <c r="AO64" s="311"/>
      <c r="AP64" s="309"/>
      <c r="AQ64" s="310"/>
      <c r="AR64" s="311"/>
      <c r="AS64" s="311"/>
      <c r="AT64" s="309"/>
      <c r="AU64" s="310"/>
      <c r="AV64" s="311"/>
      <c r="AW64" s="311"/>
      <c r="AX64" s="309"/>
      <c r="AY64" s="310"/>
      <c r="AZ64" s="311"/>
      <c r="BA64" s="311"/>
      <c r="BB64" s="309"/>
      <c r="BC64" s="310"/>
      <c r="BD64" s="311"/>
      <c r="BE64" s="311"/>
      <c r="BF64" s="309"/>
      <c r="BG64" s="310"/>
      <c r="BH64" s="311"/>
      <c r="BI64" s="311"/>
      <c r="BJ64" s="309"/>
      <c r="BK64" s="310"/>
      <c r="BL64" s="311"/>
      <c r="BM64" s="311"/>
      <c r="BN64" s="309"/>
      <c r="BO64" s="310"/>
      <c r="BP64" s="311"/>
      <c r="BQ64" s="311"/>
      <c r="BR64" s="309"/>
      <c r="BS64" s="310"/>
      <c r="BT64" s="311"/>
      <c r="BU64" s="311"/>
      <c r="BV64" s="309"/>
      <c r="BW64" s="310"/>
      <c r="BX64" s="311"/>
      <c r="BY64" s="311"/>
      <c r="BZ64" s="309"/>
      <c r="CA64" s="310"/>
      <c r="CB64" s="311"/>
      <c r="CC64" s="311"/>
      <c r="CD64" s="309"/>
      <c r="CE64" s="310"/>
      <c r="CF64" s="311"/>
      <c r="CG64" s="311"/>
      <c r="CH64" s="309"/>
      <c r="CI64" s="310"/>
      <c r="CJ64" s="311"/>
      <c r="CK64" s="311"/>
      <c r="CL64" s="309"/>
      <c r="CM64" s="310"/>
      <c r="CN64" s="311"/>
      <c r="CO64" s="311"/>
      <c r="CP64" s="309"/>
      <c r="CQ64" s="310"/>
      <c r="CR64" s="311"/>
      <c r="CS64" s="311"/>
      <c r="CT64" s="309"/>
      <c r="CU64" s="310"/>
      <c r="CV64" s="311"/>
      <c r="CW64" s="311"/>
      <c r="CX64" s="309"/>
      <c r="CY64" s="310"/>
      <c r="CZ64" s="311"/>
      <c r="DA64" s="311"/>
      <c r="DB64" s="309"/>
      <c r="DC64" s="310"/>
      <c r="DD64" s="311"/>
      <c r="DE64" s="311"/>
      <c r="DF64" s="309"/>
      <c r="DG64" s="310"/>
      <c r="DH64" s="311"/>
      <c r="DI64" s="311"/>
      <c r="DJ64" s="309"/>
      <c r="DK64" s="310"/>
      <c r="DL64" s="311"/>
      <c r="DM64" s="311"/>
      <c r="DN64" s="309"/>
      <c r="DO64" s="310"/>
      <c r="DP64" s="311"/>
      <c r="DQ64" s="311"/>
      <c r="DR64" s="309"/>
      <c r="DS64" s="310"/>
      <c r="DT64" s="311"/>
      <c r="DU64" s="311"/>
      <c r="DV64" s="309"/>
      <c r="DW64" s="310"/>
      <c r="DX64" s="311"/>
      <c r="DY64" s="311"/>
      <c r="DZ64" s="309"/>
      <c r="EA64" s="310"/>
      <c r="EB64" s="311"/>
      <c r="EC64" s="311"/>
      <c r="ED64" s="309"/>
      <c r="EE64" s="310"/>
      <c r="EF64" s="311"/>
      <c r="EG64" s="311"/>
      <c r="EH64" s="309"/>
      <c r="EI64" s="310"/>
      <c r="EJ64" s="311"/>
      <c r="EK64" s="311"/>
      <c r="EL64" s="309"/>
      <c r="EM64" s="310"/>
      <c r="EN64" s="311"/>
      <c r="EO64" s="311"/>
      <c r="EP64" s="309"/>
      <c r="EQ64" s="310"/>
      <c r="ER64" s="311"/>
      <c r="ES64" s="311"/>
      <c r="ET64" s="309"/>
      <c r="EU64" s="310"/>
      <c r="EV64" s="311"/>
      <c r="EW64" s="311"/>
      <c r="EX64" s="309"/>
      <c r="EY64" s="310"/>
      <c r="EZ64" s="311"/>
      <c r="FA64" s="311"/>
      <c r="FB64" s="309"/>
      <c r="FC64" s="310"/>
      <c r="FD64" s="311"/>
      <c r="FE64" s="311"/>
      <c r="FF64" s="309"/>
      <c r="FG64" s="310"/>
      <c r="FH64" s="311"/>
      <c r="FI64" s="311"/>
      <c r="FJ64" s="309"/>
      <c r="FK64" s="310"/>
      <c r="FL64" s="311"/>
      <c r="FM64" s="311"/>
      <c r="FN64" s="309"/>
      <c r="FO64" s="310"/>
      <c r="FP64" s="311"/>
      <c r="FQ64" s="311"/>
      <c r="FR64" s="309"/>
      <c r="FS64" s="310"/>
      <c r="FT64" s="311"/>
      <c r="FU64" s="311"/>
      <c r="FV64" s="309"/>
      <c r="FW64" s="310"/>
      <c r="FX64" s="311"/>
      <c r="FY64" s="311"/>
      <c r="FZ64" s="309"/>
      <c r="GA64" s="310"/>
      <c r="GB64" s="311"/>
      <c r="GC64" s="311"/>
      <c r="GD64" s="309"/>
      <c r="GE64" s="310"/>
      <c r="GF64" s="311"/>
      <c r="GG64" s="311"/>
      <c r="GH64" s="309"/>
      <c r="GI64" s="310"/>
      <c r="GJ64" s="311"/>
      <c r="GK64" s="311"/>
      <c r="GL64" s="309"/>
      <c r="GM64" s="310"/>
      <c r="GN64" s="311"/>
      <c r="GO64" s="311"/>
      <c r="GP64" s="309"/>
      <c r="GQ64" s="310"/>
      <c r="GR64" s="311"/>
      <c r="GS64" s="311"/>
      <c r="GT64" s="309"/>
      <c r="GU64" s="310"/>
      <c r="GV64" s="311"/>
      <c r="GW64" s="311"/>
      <c r="GX64" s="309"/>
      <c r="GY64" s="310"/>
      <c r="GZ64" s="311"/>
      <c r="HA64" s="311"/>
      <c r="HB64" s="309"/>
      <c r="HC64" s="312">
        <f t="shared" si="79"/>
        <v>0</v>
      </c>
      <c r="HD64" s="313">
        <f t="shared" si="79"/>
        <v>0</v>
      </c>
      <c r="HE64" s="313">
        <f t="shared" si="79"/>
        <v>0</v>
      </c>
      <c r="HF64" s="314"/>
      <c r="HG64" s="312">
        <f>SUM(SUMIFS(K64:HB64,$K$13:$HB$13,{"エネルギー管理指定工場等*","県域*"}))</f>
        <v>0</v>
      </c>
      <c r="HH64" s="313">
        <f>SUM(SUMIFS(L64:HC64,$K$13:$HB$13,{"エネルギー管理指定工場等*","県域*"}))</f>
        <v>0</v>
      </c>
      <c r="HI64" s="313">
        <f>SUM(SUMIFS(M64:HD64,$K$13:$HB$13,{"エネルギー管理指定工場等*","県域*"}))</f>
        <v>0</v>
      </c>
      <c r="HJ64" s="314"/>
      <c r="IE64" s="579"/>
      <c r="IF64" s="579"/>
      <c r="IG64" s="579"/>
      <c r="IH64" s="579"/>
    </row>
    <row r="65" spans="2:242" s="164" customFormat="1" ht="20.100000000000001" customHeight="1">
      <c r="B65" s="324" t="s">
        <v>1374</v>
      </c>
      <c r="C65" s="327" t="s">
        <v>1375</v>
      </c>
      <c r="D65" s="328" t="s">
        <v>601</v>
      </c>
      <c r="E65" s="305"/>
      <c r="F65" s="303" t="s">
        <v>461</v>
      </c>
      <c r="G65" s="306">
        <v>1.17</v>
      </c>
      <c r="H65" s="307">
        <v>6.54E-2</v>
      </c>
      <c r="I65" s="308"/>
      <c r="J65" s="309"/>
      <c r="K65" s="310"/>
      <c r="L65" s="329"/>
      <c r="M65" s="311"/>
      <c r="N65" s="315"/>
      <c r="O65" s="310"/>
      <c r="P65" s="329"/>
      <c r="Q65" s="311"/>
      <c r="R65" s="315"/>
      <c r="S65" s="310"/>
      <c r="T65" s="329"/>
      <c r="U65" s="311"/>
      <c r="V65" s="315"/>
      <c r="W65" s="310"/>
      <c r="X65" s="329"/>
      <c r="Y65" s="311"/>
      <c r="Z65" s="315"/>
      <c r="AA65" s="310"/>
      <c r="AB65" s="329"/>
      <c r="AC65" s="311"/>
      <c r="AD65" s="315"/>
      <c r="AE65" s="310"/>
      <c r="AF65" s="329"/>
      <c r="AG65" s="311"/>
      <c r="AH65" s="315"/>
      <c r="AI65" s="310"/>
      <c r="AJ65" s="329"/>
      <c r="AK65" s="311"/>
      <c r="AL65" s="315"/>
      <c r="AM65" s="310"/>
      <c r="AN65" s="329"/>
      <c r="AO65" s="311"/>
      <c r="AP65" s="315"/>
      <c r="AQ65" s="310"/>
      <c r="AR65" s="329"/>
      <c r="AS65" s="311"/>
      <c r="AT65" s="315"/>
      <c r="AU65" s="310"/>
      <c r="AV65" s="329"/>
      <c r="AW65" s="311"/>
      <c r="AX65" s="315"/>
      <c r="AY65" s="310"/>
      <c r="AZ65" s="329"/>
      <c r="BA65" s="311"/>
      <c r="BB65" s="315"/>
      <c r="BC65" s="310"/>
      <c r="BD65" s="329"/>
      <c r="BE65" s="311"/>
      <c r="BF65" s="315"/>
      <c r="BG65" s="310"/>
      <c r="BH65" s="329"/>
      <c r="BI65" s="311"/>
      <c r="BJ65" s="315"/>
      <c r="BK65" s="310"/>
      <c r="BL65" s="329"/>
      <c r="BM65" s="311"/>
      <c r="BN65" s="315"/>
      <c r="BO65" s="310"/>
      <c r="BP65" s="329"/>
      <c r="BQ65" s="311"/>
      <c r="BR65" s="315"/>
      <c r="BS65" s="310"/>
      <c r="BT65" s="329"/>
      <c r="BU65" s="311"/>
      <c r="BV65" s="315"/>
      <c r="BW65" s="310"/>
      <c r="BX65" s="329"/>
      <c r="BY65" s="311"/>
      <c r="BZ65" s="315"/>
      <c r="CA65" s="310"/>
      <c r="CB65" s="329"/>
      <c r="CC65" s="311"/>
      <c r="CD65" s="315"/>
      <c r="CE65" s="310"/>
      <c r="CF65" s="329"/>
      <c r="CG65" s="311"/>
      <c r="CH65" s="315"/>
      <c r="CI65" s="310"/>
      <c r="CJ65" s="329"/>
      <c r="CK65" s="311"/>
      <c r="CL65" s="315"/>
      <c r="CM65" s="310"/>
      <c r="CN65" s="329"/>
      <c r="CO65" s="311"/>
      <c r="CP65" s="315"/>
      <c r="CQ65" s="310"/>
      <c r="CR65" s="329"/>
      <c r="CS65" s="311"/>
      <c r="CT65" s="315"/>
      <c r="CU65" s="310"/>
      <c r="CV65" s="329"/>
      <c r="CW65" s="311"/>
      <c r="CX65" s="315"/>
      <c r="CY65" s="310"/>
      <c r="CZ65" s="329"/>
      <c r="DA65" s="311"/>
      <c r="DB65" s="315"/>
      <c r="DC65" s="310"/>
      <c r="DD65" s="329"/>
      <c r="DE65" s="311"/>
      <c r="DF65" s="315"/>
      <c r="DG65" s="310"/>
      <c r="DH65" s="329"/>
      <c r="DI65" s="311"/>
      <c r="DJ65" s="315"/>
      <c r="DK65" s="310"/>
      <c r="DL65" s="329"/>
      <c r="DM65" s="311"/>
      <c r="DN65" s="315"/>
      <c r="DO65" s="310"/>
      <c r="DP65" s="329"/>
      <c r="DQ65" s="311"/>
      <c r="DR65" s="315"/>
      <c r="DS65" s="310"/>
      <c r="DT65" s="329"/>
      <c r="DU65" s="311"/>
      <c r="DV65" s="315"/>
      <c r="DW65" s="310"/>
      <c r="DX65" s="329"/>
      <c r="DY65" s="311"/>
      <c r="DZ65" s="315"/>
      <c r="EA65" s="310"/>
      <c r="EB65" s="329"/>
      <c r="EC65" s="311"/>
      <c r="ED65" s="315"/>
      <c r="EE65" s="310"/>
      <c r="EF65" s="329"/>
      <c r="EG65" s="311"/>
      <c r="EH65" s="315"/>
      <c r="EI65" s="310"/>
      <c r="EJ65" s="329"/>
      <c r="EK65" s="311"/>
      <c r="EL65" s="315"/>
      <c r="EM65" s="310"/>
      <c r="EN65" s="329"/>
      <c r="EO65" s="311"/>
      <c r="EP65" s="315"/>
      <c r="EQ65" s="310"/>
      <c r="ER65" s="329"/>
      <c r="ES65" s="311"/>
      <c r="ET65" s="315"/>
      <c r="EU65" s="310"/>
      <c r="EV65" s="329"/>
      <c r="EW65" s="311"/>
      <c r="EX65" s="315"/>
      <c r="EY65" s="310"/>
      <c r="EZ65" s="329"/>
      <c r="FA65" s="311"/>
      <c r="FB65" s="315"/>
      <c r="FC65" s="310"/>
      <c r="FD65" s="329"/>
      <c r="FE65" s="311"/>
      <c r="FF65" s="315"/>
      <c r="FG65" s="310"/>
      <c r="FH65" s="329"/>
      <c r="FI65" s="311"/>
      <c r="FJ65" s="315"/>
      <c r="FK65" s="310"/>
      <c r="FL65" s="329"/>
      <c r="FM65" s="311"/>
      <c r="FN65" s="315"/>
      <c r="FO65" s="310"/>
      <c r="FP65" s="329"/>
      <c r="FQ65" s="311"/>
      <c r="FR65" s="315"/>
      <c r="FS65" s="310"/>
      <c r="FT65" s="329"/>
      <c r="FU65" s="311"/>
      <c r="FV65" s="315"/>
      <c r="FW65" s="310"/>
      <c r="FX65" s="329"/>
      <c r="FY65" s="311"/>
      <c r="FZ65" s="315"/>
      <c r="GA65" s="310"/>
      <c r="GB65" s="329"/>
      <c r="GC65" s="311"/>
      <c r="GD65" s="315"/>
      <c r="GE65" s="310"/>
      <c r="GF65" s="329"/>
      <c r="GG65" s="311"/>
      <c r="GH65" s="315"/>
      <c r="GI65" s="310"/>
      <c r="GJ65" s="329"/>
      <c r="GK65" s="311"/>
      <c r="GL65" s="315"/>
      <c r="GM65" s="310"/>
      <c r="GN65" s="329"/>
      <c r="GO65" s="311"/>
      <c r="GP65" s="315"/>
      <c r="GQ65" s="310"/>
      <c r="GR65" s="329"/>
      <c r="GS65" s="311"/>
      <c r="GT65" s="315"/>
      <c r="GU65" s="310"/>
      <c r="GV65" s="329"/>
      <c r="GW65" s="311"/>
      <c r="GX65" s="315"/>
      <c r="GY65" s="310"/>
      <c r="GZ65" s="329"/>
      <c r="HA65" s="311"/>
      <c r="HB65" s="315"/>
      <c r="HC65" s="312">
        <f t="shared" si="79"/>
        <v>0</v>
      </c>
      <c r="HD65" s="330"/>
      <c r="HE65" s="313">
        <f t="shared" si="79"/>
        <v>0</v>
      </c>
      <c r="HF65" s="331">
        <f t="shared" si="79"/>
        <v>0</v>
      </c>
      <c r="HG65" s="312">
        <f>SUM(SUMIFS(K65:HB65,$K$13:$HB$13,{"エネルギー管理指定工場等*","県域*"}))</f>
        <v>0</v>
      </c>
      <c r="HH65" s="330"/>
      <c r="HI65" s="313">
        <f>SUM(SUMIFS(M65:HD65,$K$13:$HB$13,{"エネルギー管理指定工場等*","県域*"}))</f>
        <v>0</v>
      </c>
      <c r="HJ65" s="331">
        <f>SUM(SUMIFS(N65:HE65,$K$13:$HB$13,{"エネルギー管理指定工場等*","県域*"}))</f>
        <v>0</v>
      </c>
      <c r="IE65" s="579"/>
      <c r="IF65" s="579"/>
      <c r="IG65" s="579"/>
      <c r="IH65" s="579"/>
    </row>
    <row r="66" spans="2:242" s="164" customFormat="1" ht="20.100000000000001" customHeight="1">
      <c r="B66" s="302"/>
      <c r="C66" s="319"/>
      <c r="D66" s="332"/>
      <c r="E66" s="333" t="s">
        <v>1376</v>
      </c>
      <c r="F66" s="303" t="s">
        <v>461</v>
      </c>
      <c r="G66" s="306">
        <v>1.17</v>
      </c>
      <c r="H66" s="315"/>
      <c r="I66" s="308"/>
      <c r="J66" s="309"/>
      <c r="K66" s="310"/>
      <c r="L66" s="329"/>
      <c r="M66" s="311"/>
      <c r="N66" s="315"/>
      <c r="O66" s="310"/>
      <c r="P66" s="329"/>
      <c r="Q66" s="311"/>
      <c r="R66" s="315"/>
      <c r="S66" s="310"/>
      <c r="T66" s="329"/>
      <c r="U66" s="311"/>
      <c r="V66" s="315"/>
      <c r="W66" s="310"/>
      <c r="X66" s="329"/>
      <c r="Y66" s="311"/>
      <c r="Z66" s="315"/>
      <c r="AA66" s="310"/>
      <c r="AB66" s="329"/>
      <c r="AC66" s="311"/>
      <c r="AD66" s="315"/>
      <c r="AE66" s="310"/>
      <c r="AF66" s="329"/>
      <c r="AG66" s="311"/>
      <c r="AH66" s="315"/>
      <c r="AI66" s="310"/>
      <c r="AJ66" s="329"/>
      <c r="AK66" s="311"/>
      <c r="AL66" s="315"/>
      <c r="AM66" s="310"/>
      <c r="AN66" s="329"/>
      <c r="AO66" s="311"/>
      <c r="AP66" s="315"/>
      <c r="AQ66" s="310"/>
      <c r="AR66" s="329"/>
      <c r="AS66" s="311"/>
      <c r="AT66" s="315"/>
      <c r="AU66" s="310"/>
      <c r="AV66" s="329"/>
      <c r="AW66" s="311"/>
      <c r="AX66" s="315"/>
      <c r="AY66" s="310"/>
      <c r="AZ66" s="329"/>
      <c r="BA66" s="311"/>
      <c r="BB66" s="315"/>
      <c r="BC66" s="310"/>
      <c r="BD66" s="329"/>
      <c r="BE66" s="311"/>
      <c r="BF66" s="315"/>
      <c r="BG66" s="310"/>
      <c r="BH66" s="329"/>
      <c r="BI66" s="311"/>
      <c r="BJ66" s="315"/>
      <c r="BK66" s="310"/>
      <c r="BL66" s="329"/>
      <c r="BM66" s="311"/>
      <c r="BN66" s="315"/>
      <c r="BO66" s="310"/>
      <c r="BP66" s="329"/>
      <c r="BQ66" s="311"/>
      <c r="BR66" s="315"/>
      <c r="BS66" s="310"/>
      <c r="BT66" s="329"/>
      <c r="BU66" s="311"/>
      <c r="BV66" s="315"/>
      <c r="BW66" s="310"/>
      <c r="BX66" s="329"/>
      <c r="BY66" s="311"/>
      <c r="BZ66" s="315"/>
      <c r="CA66" s="310"/>
      <c r="CB66" s="329"/>
      <c r="CC66" s="311"/>
      <c r="CD66" s="315"/>
      <c r="CE66" s="310"/>
      <c r="CF66" s="329"/>
      <c r="CG66" s="311"/>
      <c r="CH66" s="315"/>
      <c r="CI66" s="310"/>
      <c r="CJ66" s="329"/>
      <c r="CK66" s="311"/>
      <c r="CL66" s="315"/>
      <c r="CM66" s="310"/>
      <c r="CN66" s="329"/>
      <c r="CO66" s="311"/>
      <c r="CP66" s="315"/>
      <c r="CQ66" s="310"/>
      <c r="CR66" s="329"/>
      <c r="CS66" s="311"/>
      <c r="CT66" s="315"/>
      <c r="CU66" s="310"/>
      <c r="CV66" s="329"/>
      <c r="CW66" s="311"/>
      <c r="CX66" s="315"/>
      <c r="CY66" s="310"/>
      <c r="CZ66" s="329"/>
      <c r="DA66" s="311"/>
      <c r="DB66" s="315"/>
      <c r="DC66" s="310"/>
      <c r="DD66" s="329"/>
      <c r="DE66" s="311"/>
      <c r="DF66" s="315"/>
      <c r="DG66" s="310"/>
      <c r="DH66" s="329"/>
      <c r="DI66" s="311"/>
      <c r="DJ66" s="315"/>
      <c r="DK66" s="310"/>
      <c r="DL66" s="329"/>
      <c r="DM66" s="311"/>
      <c r="DN66" s="315"/>
      <c r="DO66" s="310"/>
      <c r="DP66" s="329"/>
      <c r="DQ66" s="311"/>
      <c r="DR66" s="315"/>
      <c r="DS66" s="310"/>
      <c r="DT66" s="329"/>
      <c r="DU66" s="311"/>
      <c r="DV66" s="315"/>
      <c r="DW66" s="310"/>
      <c r="DX66" s="329"/>
      <c r="DY66" s="311"/>
      <c r="DZ66" s="315"/>
      <c r="EA66" s="310"/>
      <c r="EB66" s="329"/>
      <c r="EC66" s="311"/>
      <c r="ED66" s="315"/>
      <c r="EE66" s="310"/>
      <c r="EF66" s="329"/>
      <c r="EG66" s="311"/>
      <c r="EH66" s="315"/>
      <c r="EI66" s="310"/>
      <c r="EJ66" s="329"/>
      <c r="EK66" s="311"/>
      <c r="EL66" s="315"/>
      <c r="EM66" s="310"/>
      <c r="EN66" s="329"/>
      <c r="EO66" s="311"/>
      <c r="EP66" s="315"/>
      <c r="EQ66" s="310"/>
      <c r="ER66" s="329"/>
      <c r="ES66" s="311"/>
      <c r="ET66" s="315"/>
      <c r="EU66" s="310"/>
      <c r="EV66" s="329"/>
      <c r="EW66" s="311"/>
      <c r="EX66" s="315"/>
      <c r="EY66" s="310"/>
      <c r="EZ66" s="329"/>
      <c r="FA66" s="311"/>
      <c r="FB66" s="315"/>
      <c r="FC66" s="310"/>
      <c r="FD66" s="329"/>
      <c r="FE66" s="311"/>
      <c r="FF66" s="315"/>
      <c r="FG66" s="310"/>
      <c r="FH66" s="329"/>
      <c r="FI66" s="311"/>
      <c r="FJ66" s="315"/>
      <c r="FK66" s="310"/>
      <c r="FL66" s="329"/>
      <c r="FM66" s="311"/>
      <c r="FN66" s="315"/>
      <c r="FO66" s="310"/>
      <c r="FP66" s="329"/>
      <c r="FQ66" s="311"/>
      <c r="FR66" s="315"/>
      <c r="FS66" s="310"/>
      <c r="FT66" s="329"/>
      <c r="FU66" s="311"/>
      <c r="FV66" s="315"/>
      <c r="FW66" s="310"/>
      <c r="FX66" s="329"/>
      <c r="FY66" s="311"/>
      <c r="FZ66" s="315"/>
      <c r="GA66" s="310"/>
      <c r="GB66" s="329"/>
      <c r="GC66" s="311"/>
      <c r="GD66" s="315"/>
      <c r="GE66" s="310"/>
      <c r="GF66" s="329"/>
      <c r="GG66" s="311"/>
      <c r="GH66" s="315"/>
      <c r="GI66" s="310"/>
      <c r="GJ66" s="329"/>
      <c r="GK66" s="311"/>
      <c r="GL66" s="315"/>
      <c r="GM66" s="310"/>
      <c r="GN66" s="329"/>
      <c r="GO66" s="311"/>
      <c r="GP66" s="315"/>
      <c r="GQ66" s="310"/>
      <c r="GR66" s="329"/>
      <c r="GS66" s="311"/>
      <c r="GT66" s="315"/>
      <c r="GU66" s="310"/>
      <c r="GV66" s="329"/>
      <c r="GW66" s="311"/>
      <c r="GX66" s="315"/>
      <c r="GY66" s="310"/>
      <c r="GZ66" s="329"/>
      <c r="HA66" s="311"/>
      <c r="HB66" s="315"/>
      <c r="HC66" s="312">
        <f t="shared" si="79"/>
        <v>0</v>
      </c>
      <c r="HD66" s="330"/>
      <c r="HE66" s="313">
        <f t="shared" si="79"/>
        <v>0</v>
      </c>
      <c r="HF66" s="331">
        <f t="shared" si="79"/>
        <v>0</v>
      </c>
      <c r="HG66" s="312">
        <f>SUM(SUMIFS(K66:HB66,$K$13:$HB$13,{"エネルギー管理指定工場等*","県域*"}))</f>
        <v>0</v>
      </c>
      <c r="HH66" s="330"/>
      <c r="HI66" s="313">
        <f>SUM(SUMIFS(M66:HD66,$K$13:$HB$13,{"エネルギー管理指定工場等*","県域*"}))</f>
        <v>0</v>
      </c>
      <c r="HJ66" s="331">
        <f>SUM(SUMIFS(N66:HE66,$K$13:$HB$13,{"エネルギー管理指定工場等*","県域*"}))</f>
        <v>0</v>
      </c>
      <c r="IE66" s="579"/>
      <c r="IF66" s="579"/>
      <c r="IG66" s="579"/>
      <c r="IH66" s="579"/>
    </row>
    <row r="67" spans="2:242" s="164" customFormat="1" ht="20.100000000000001" customHeight="1">
      <c r="B67" s="302"/>
      <c r="C67" s="319"/>
      <c r="D67" s="328" t="s">
        <v>602</v>
      </c>
      <c r="E67" s="305"/>
      <c r="F67" s="303" t="s">
        <v>461</v>
      </c>
      <c r="G67" s="306">
        <v>1.19</v>
      </c>
      <c r="H67" s="334"/>
      <c r="I67" s="308"/>
      <c r="J67" s="309"/>
      <c r="K67" s="310"/>
      <c r="L67" s="329"/>
      <c r="M67" s="311"/>
      <c r="N67" s="315"/>
      <c r="O67" s="310"/>
      <c r="P67" s="329"/>
      <c r="Q67" s="311"/>
      <c r="R67" s="315"/>
      <c r="S67" s="310"/>
      <c r="T67" s="329"/>
      <c r="U67" s="311"/>
      <c r="V67" s="315"/>
      <c r="W67" s="310"/>
      <c r="X67" s="329"/>
      <c r="Y67" s="311"/>
      <c r="Z67" s="315"/>
      <c r="AA67" s="310"/>
      <c r="AB67" s="329"/>
      <c r="AC67" s="311"/>
      <c r="AD67" s="315"/>
      <c r="AE67" s="310"/>
      <c r="AF67" s="329"/>
      <c r="AG67" s="311"/>
      <c r="AH67" s="315"/>
      <c r="AI67" s="310"/>
      <c r="AJ67" s="329"/>
      <c r="AK67" s="311"/>
      <c r="AL67" s="315"/>
      <c r="AM67" s="310"/>
      <c r="AN67" s="329"/>
      <c r="AO67" s="311"/>
      <c r="AP67" s="315"/>
      <c r="AQ67" s="310"/>
      <c r="AR67" s="329"/>
      <c r="AS67" s="311"/>
      <c r="AT67" s="315"/>
      <c r="AU67" s="310"/>
      <c r="AV67" s="329"/>
      <c r="AW67" s="311"/>
      <c r="AX67" s="315"/>
      <c r="AY67" s="310"/>
      <c r="AZ67" s="329"/>
      <c r="BA67" s="311"/>
      <c r="BB67" s="315"/>
      <c r="BC67" s="310"/>
      <c r="BD67" s="329"/>
      <c r="BE67" s="311"/>
      <c r="BF67" s="315"/>
      <c r="BG67" s="310"/>
      <c r="BH67" s="329"/>
      <c r="BI67" s="311"/>
      <c r="BJ67" s="315"/>
      <c r="BK67" s="310"/>
      <c r="BL67" s="329"/>
      <c r="BM67" s="311"/>
      <c r="BN67" s="315"/>
      <c r="BO67" s="310"/>
      <c r="BP67" s="329"/>
      <c r="BQ67" s="311"/>
      <c r="BR67" s="315"/>
      <c r="BS67" s="310"/>
      <c r="BT67" s="329"/>
      <c r="BU67" s="311"/>
      <c r="BV67" s="315"/>
      <c r="BW67" s="310"/>
      <c r="BX67" s="329"/>
      <c r="BY67" s="311"/>
      <c r="BZ67" s="315"/>
      <c r="CA67" s="310"/>
      <c r="CB67" s="329"/>
      <c r="CC67" s="311"/>
      <c r="CD67" s="315"/>
      <c r="CE67" s="310"/>
      <c r="CF67" s="329"/>
      <c r="CG67" s="311"/>
      <c r="CH67" s="315"/>
      <c r="CI67" s="310"/>
      <c r="CJ67" s="329"/>
      <c r="CK67" s="311"/>
      <c r="CL67" s="315"/>
      <c r="CM67" s="310"/>
      <c r="CN67" s="329"/>
      <c r="CO67" s="311"/>
      <c r="CP67" s="315"/>
      <c r="CQ67" s="310"/>
      <c r="CR67" s="329"/>
      <c r="CS67" s="311"/>
      <c r="CT67" s="315"/>
      <c r="CU67" s="310"/>
      <c r="CV67" s="329"/>
      <c r="CW67" s="311"/>
      <c r="CX67" s="315"/>
      <c r="CY67" s="310"/>
      <c r="CZ67" s="329"/>
      <c r="DA67" s="311"/>
      <c r="DB67" s="315"/>
      <c r="DC67" s="310"/>
      <c r="DD67" s="329"/>
      <c r="DE67" s="311"/>
      <c r="DF67" s="315"/>
      <c r="DG67" s="310"/>
      <c r="DH67" s="329"/>
      <c r="DI67" s="311"/>
      <c r="DJ67" s="315"/>
      <c r="DK67" s="310"/>
      <c r="DL67" s="329"/>
      <c r="DM67" s="311"/>
      <c r="DN67" s="315"/>
      <c r="DO67" s="310"/>
      <c r="DP67" s="329"/>
      <c r="DQ67" s="311"/>
      <c r="DR67" s="315"/>
      <c r="DS67" s="310"/>
      <c r="DT67" s="329"/>
      <c r="DU67" s="311"/>
      <c r="DV67" s="315"/>
      <c r="DW67" s="310"/>
      <c r="DX67" s="329"/>
      <c r="DY67" s="311"/>
      <c r="DZ67" s="315"/>
      <c r="EA67" s="310"/>
      <c r="EB67" s="329"/>
      <c r="EC67" s="311"/>
      <c r="ED67" s="315"/>
      <c r="EE67" s="310"/>
      <c r="EF67" s="329"/>
      <c r="EG67" s="311"/>
      <c r="EH67" s="315"/>
      <c r="EI67" s="310"/>
      <c r="EJ67" s="329"/>
      <c r="EK67" s="311"/>
      <c r="EL67" s="315"/>
      <c r="EM67" s="310"/>
      <c r="EN67" s="329"/>
      <c r="EO67" s="311"/>
      <c r="EP67" s="315"/>
      <c r="EQ67" s="310"/>
      <c r="ER67" s="329"/>
      <c r="ES67" s="311"/>
      <c r="ET67" s="315"/>
      <c r="EU67" s="310"/>
      <c r="EV67" s="329"/>
      <c r="EW67" s="311"/>
      <c r="EX67" s="315"/>
      <c r="EY67" s="310"/>
      <c r="EZ67" s="329"/>
      <c r="FA67" s="311"/>
      <c r="FB67" s="315"/>
      <c r="FC67" s="310"/>
      <c r="FD67" s="329"/>
      <c r="FE67" s="311"/>
      <c r="FF67" s="315"/>
      <c r="FG67" s="310"/>
      <c r="FH67" s="329"/>
      <c r="FI67" s="311"/>
      <c r="FJ67" s="315"/>
      <c r="FK67" s="310"/>
      <c r="FL67" s="329"/>
      <c r="FM67" s="311"/>
      <c r="FN67" s="315"/>
      <c r="FO67" s="310"/>
      <c r="FP67" s="329"/>
      <c r="FQ67" s="311"/>
      <c r="FR67" s="315"/>
      <c r="FS67" s="310"/>
      <c r="FT67" s="329"/>
      <c r="FU67" s="311"/>
      <c r="FV67" s="315"/>
      <c r="FW67" s="310"/>
      <c r="FX67" s="329"/>
      <c r="FY67" s="311"/>
      <c r="FZ67" s="315"/>
      <c r="GA67" s="310"/>
      <c r="GB67" s="329"/>
      <c r="GC67" s="311"/>
      <c r="GD67" s="315"/>
      <c r="GE67" s="310"/>
      <c r="GF67" s="329"/>
      <c r="GG67" s="311"/>
      <c r="GH67" s="315"/>
      <c r="GI67" s="310"/>
      <c r="GJ67" s="329"/>
      <c r="GK67" s="311"/>
      <c r="GL67" s="315"/>
      <c r="GM67" s="310"/>
      <c r="GN67" s="329"/>
      <c r="GO67" s="311"/>
      <c r="GP67" s="315"/>
      <c r="GQ67" s="310"/>
      <c r="GR67" s="329"/>
      <c r="GS67" s="311"/>
      <c r="GT67" s="315"/>
      <c r="GU67" s="310"/>
      <c r="GV67" s="329"/>
      <c r="GW67" s="311"/>
      <c r="GX67" s="315"/>
      <c r="GY67" s="310"/>
      <c r="GZ67" s="329"/>
      <c r="HA67" s="311"/>
      <c r="HB67" s="315"/>
      <c r="HC67" s="312">
        <f t="shared" si="79"/>
        <v>0</v>
      </c>
      <c r="HD67" s="330"/>
      <c r="HE67" s="313">
        <f t="shared" si="79"/>
        <v>0</v>
      </c>
      <c r="HF67" s="331">
        <f t="shared" si="79"/>
        <v>0</v>
      </c>
      <c r="HG67" s="312">
        <f>SUM(SUMIFS(K67:HB67,$K$13:$HB$13,{"エネルギー管理指定工場等*","県域*"}))</f>
        <v>0</v>
      </c>
      <c r="HH67" s="330"/>
      <c r="HI67" s="313">
        <f>SUM(SUMIFS(M67:HD67,$K$13:$HB$13,{"エネルギー管理指定工場等*","県域*"}))</f>
        <v>0</v>
      </c>
      <c r="HJ67" s="331">
        <f>SUM(SUMIFS(N67:HE67,$K$13:$HB$13,{"エネルギー管理指定工場等*","県域*"}))</f>
        <v>0</v>
      </c>
      <c r="IE67" s="579"/>
      <c r="IF67" s="579"/>
      <c r="IG67" s="579"/>
      <c r="IH67" s="579"/>
    </row>
    <row r="68" spans="2:242" s="164" customFormat="1" ht="20.100000000000001" customHeight="1">
      <c r="B68" s="302"/>
      <c r="C68" s="319"/>
      <c r="D68" s="332"/>
      <c r="E68" s="333" t="s">
        <v>603</v>
      </c>
      <c r="F68" s="303" t="s">
        <v>461</v>
      </c>
      <c r="G68" s="306">
        <v>1.19</v>
      </c>
      <c r="H68" s="334"/>
      <c r="I68" s="308"/>
      <c r="J68" s="309"/>
      <c r="K68" s="310"/>
      <c r="L68" s="329"/>
      <c r="M68" s="311"/>
      <c r="N68" s="315"/>
      <c r="O68" s="310"/>
      <c r="P68" s="329"/>
      <c r="Q68" s="311"/>
      <c r="R68" s="315"/>
      <c r="S68" s="310"/>
      <c r="T68" s="329"/>
      <c r="U68" s="311"/>
      <c r="V68" s="315"/>
      <c r="W68" s="310"/>
      <c r="X68" s="329"/>
      <c r="Y68" s="311"/>
      <c r="Z68" s="315"/>
      <c r="AA68" s="310"/>
      <c r="AB68" s="329"/>
      <c r="AC68" s="311"/>
      <c r="AD68" s="315"/>
      <c r="AE68" s="310"/>
      <c r="AF68" s="329"/>
      <c r="AG68" s="311"/>
      <c r="AH68" s="315"/>
      <c r="AI68" s="310"/>
      <c r="AJ68" s="329"/>
      <c r="AK68" s="311"/>
      <c r="AL68" s="315"/>
      <c r="AM68" s="310"/>
      <c r="AN68" s="329"/>
      <c r="AO68" s="311"/>
      <c r="AP68" s="315"/>
      <c r="AQ68" s="310"/>
      <c r="AR68" s="329"/>
      <c r="AS68" s="311"/>
      <c r="AT68" s="315"/>
      <c r="AU68" s="310"/>
      <c r="AV68" s="329"/>
      <c r="AW68" s="311"/>
      <c r="AX68" s="315"/>
      <c r="AY68" s="310"/>
      <c r="AZ68" s="329"/>
      <c r="BA68" s="311"/>
      <c r="BB68" s="315"/>
      <c r="BC68" s="310"/>
      <c r="BD68" s="329"/>
      <c r="BE68" s="311"/>
      <c r="BF68" s="315"/>
      <c r="BG68" s="310"/>
      <c r="BH68" s="329"/>
      <c r="BI68" s="311"/>
      <c r="BJ68" s="315"/>
      <c r="BK68" s="310"/>
      <c r="BL68" s="329"/>
      <c r="BM68" s="311"/>
      <c r="BN68" s="315"/>
      <c r="BO68" s="310"/>
      <c r="BP68" s="329"/>
      <c r="BQ68" s="311"/>
      <c r="BR68" s="315"/>
      <c r="BS68" s="310"/>
      <c r="BT68" s="329"/>
      <c r="BU68" s="311"/>
      <c r="BV68" s="315"/>
      <c r="BW68" s="310"/>
      <c r="BX68" s="329"/>
      <c r="BY68" s="311"/>
      <c r="BZ68" s="315"/>
      <c r="CA68" s="310"/>
      <c r="CB68" s="329"/>
      <c r="CC68" s="311"/>
      <c r="CD68" s="315"/>
      <c r="CE68" s="310"/>
      <c r="CF68" s="329"/>
      <c r="CG68" s="311"/>
      <c r="CH68" s="315"/>
      <c r="CI68" s="310"/>
      <c r="CJ68" s="329"/>
      <c r="CK68" s="311"/>
      <c r="CL68" s="315"/>
      <c r="CM68" s="310"/>
      <c r="CN68" s="329"/>
      <c r="CO68" s="311"/>
      <c r="CP68" s="315"/>
      <c r="CQ68" s="310"/>
      <c r="CR68" s="329"/>
      <c r="CS68" s="311"/>
      <c r="CT68" s="315"/>
      <c r="CU68" s="310"/>
      <c r="CV68" s="329"/>
      <c r="CW68" s="311"/>
      <c r="CX68" s="315"/>
      <c r="CY68" s="310"/>
      <c r="CZ68" s="329"/>
      <c r="DA68" s="311"/>
      <c r="DB68" s="315"/>
      <c r="DC68" s="310"/>
      <c r="DD68" s="329"/>
      <c r="DE68" s="311"/>
      <c r="DF68" s="315"/>
      <c r="DG68" s="310"/>
      <c r="DH68" s="329"/>
      <c r="DI68" s="311"/>
      <c r="DJ68" s="315"/>
      <c r="DK68" s="310"/>
      <c r="DL68" s="329"/>
      <c r="DM68" s="311"/>
      <c r="DN68" s="315"/>
      <c r="DO68" s="310"/>
      <c r="DP68" s="329"/>
      <c r="DQ68" s="311"/>
      <c r="DR68" s="315"/>
      <c r="DS68" s="310"/>
      <c r="DT68" s="329"/>
      <c r="DU68" s="311"/>
      <c r="DV68" s="315"/>
      <c r="DW68" s="310"/>
      <c r="DX68" s="329"/>
      <c r="DY68" s="311"/>
      <c r="DZ68" s="315"/>
      <c r="EA68" s="310"/>
      <c r="EB68" s="329"/>
      <c r="EC68" s="311"/>
      <c r="ED68" s="315"/>
      <c r="EE68" s="310"/>
      <c r="EF68" s="329"/>
      <c r="EG68" s="311"/>
      <c r="EH68" s="315"/>
      <c r="EI68" s="310"/>
      <c r="EJ68" s="329"/>
      <c r="EK68" s="311"/>
      <c r="EL68" s="315"/>
      <c r="EM68" s="310"/>
      <c r="EN68" s="329"/>
      <c r="EO68" s="311"/>
      <c r="EP68" s="315"/>
      <c r="EQ68" s="310"/>
      <c r="ER68" s="329"/>
      <c r="ES68" s="311"/>
      <c r="ET68" s="315"/>
      <c r="EU68" s="310"/>
      <c r="EV68" s="329"/>
      <c r="EW68" s="311"/>
      <c r="EX68" s="315"/>
      <c r="EY68" s="310"/>
      <c r="EZ68" s="329"/>
      <c r="FA68" s="311"/>
      <c r="FB68" s="315"/>
      <c r="FC68" s="310"/>
      <c r="FD68" s="329"/>
      <c r="FE68" s="311"/>
      <c r="FF68" s="315"/>
      <c r="FG68" s="310"/>
      <c r="FH68" s="329"/>
      <c r="FI68" s="311"/>
      <c r="FJ68" s="315"/>
      <c r="FK68" s="310"/>
      <c r="FL68" s="329"/>
      <c r="FM68" s="311"/>
      <c r="FN68" s="315"/>
      <c r="FO68" s="310"/>
      <c r="FP68" s="329"/>
      <c r="FQ68" s="311"/>
      <c r="FR68" s="315"/>
      <c r="FS68" s="310"/>
      <c r="FT68" s="329"/>
      <c r="FU68" s="311"/>
      <c r="FV68" s="315"/>
      <c r="FW68" s="310"/>
      <c r="FX68" s="329"/>
      <c r="FY68" s="311"/>
      <c r="FZ68" s="315"/>
      <c r="GA68" s="310"/>
      <c r="GB68" s="329"/>
      <c r="GC68" s="311"/>
      <c r="GD68" s="315"/>
      <c r="GE68" s="310"/>
      <c r="GF68" s="329"/>
      <c r="GG68" s="311"/>
      <c r="GH68" s="315"/>
      <c r="GI68" s="310"/>
      <c r="GJ68" s="329"/>
      <c r="GK68" s="311"/>
      <c r="GL68" s="315"/>
      <c r="GM68" s="310"/>
      <c r="GN68" s="329"/>
      <c r="GO68" s="311"/>
      <c r="GP68" s="315"/>
      <c r="GQ68" s="310"/>
      <c r="GR68" s="329"/>
      <c r="GS68" s="311"/>
      <c r="GT68" s="315"/>
      <c r="GU68" s="310"/>
      <c r="GV68" s="329"/>
      <c r="GW68" s="311"/>
      <c r="GX68" s="315"/>
      <c r="GY68" s="310"/>
      <c r="GZ68" s="329"/>
      <c r="HA68" s="311"/>
      <c r="HB68" s="315"/>
      <c r="HC68" s="312">
        <f t="shared" si="79"/>
        <v>0</v>
      </c>
      <c r="HD68" s="330"/>
      <c r="HE68" s="313">
        <f t="shared" si="79"/>
        <v>0</v>
      </c>
      <c r="HF68" s="331">
        <f t="shared" si="79"/>
        <v>0</v>
      </c>
      <c r="HG68" s="312">
        <f>SUM(SUMIFS(K68:HB68,$K$13:$HB$13,{"エネルギー管理指定工場等*","県域*"}))</f>
        <v>0</v>
      </c>
      <c r="HH68" s="330"/>
      <c r="HI68" s="313">
        <f>SUM(SUMIFS(M68:HD68,$K$13:$HB$13,{"エネルギー管理指定工場等*","県域*"}))</f>
        <v>0</v>
      </c>
      <c r="HJ68" s="331">
        <f>SUM(SUMIFS(N68:HE68,$K$13:$HB$13,{"エネルギー管理指定工場等*","県域*"}))</f>
        <v>0</v>
      </c>
      <c r="IE68" s="579"/>
      <c r="IF68" s="579"/>
      <c r="IG68" s="579"/>
      <c r="IH68" s="579"/>
    </row>
    <row r="69" spans="2:242" s="164" customFormat="1" ht="20.100000000000001" customHeight="1">
      <c r="B69" s="302"/>
      <c r="C69" s="319"/>
      <c r="D69" s="328" t="s">
        <v>604</v>
      </c>
      <c r="E69" s="305"/>
      <c r="F69" s="303" t="s">
        <v>461</v>
      </c>
      <c r="G69" s="306">
        <v>1.19</v>
      </c>
      <c r="H69" s="334"/>
      <c r="I69" s="308"/>
      <c r="J69" s="309"/>
      <c r="K69" s="310"/>
      <c r="L69" s="329"/>
      <c r="M69" s="311"/>
      <c r="N69" s="315"/>
      <c r="O69" s="310"/>
      <c r="P69" s="329"/>
      <c r="Q69" s="311"/>
      <c r="R69" s="315"/>
      <c r="S69" s="310"/>
      <c r="T69" s="329"/>
      <c r="U69" s="311"/>
      <c r="V69" s="315"/>
      <c r="W69" s="310"/>
      <c r="X69" s="329"/>
      <c r="Y69" s="311"/>
      <c r="Z69" s="315"/>
      <c r="AA69" s="310"/>
      <c r="AB69" s="329"/>
      <c r="AC69" s="311"/>
      <c r="AD69" s="315"/>
      <c r="AE69" s="310"/>
      <c r="AF69" s="329"/>
      <c r="AG69" s="311"/>
      <c r="AH69" s="315"/>
      <c r="AI69" s="310"/>
      <c r="AJ69" s="329"/>
      <c r="AK69" s="311"/>
      <c r="AL69" s="315"/>
      <c r="AM69" s="310"/>
      <c r="AN69" s="329"/>
      <c r="AO69" s="311"/>
      <c r="AP69" s="315"/>
      <c r="AQ69" s="310"/>
      <c r="AR69" s="329"/>
      <c r="AS69" s="311"/>
      <c r="AT69" s="315"/>
      <c r="AU69" s="310"/>
      <c r="AV69" s="329"/>
      <c r="AW69" s="311"/>
      <c r="AX69" s="315"/>
      <c r="AY69" s="310"/>
      <c r="AZ69" s="329"/>
      <c r="BA69" s="311"/>
      <c r="BB69" s="315"/>
      <c r="BC69" s="310"/>
      <c r="BD69" s="329"/>
      <c r="BE69" s="311"/>
      <c r="BF69" s="315"/>
      <c r="BG69" s="310"/>
      <c r="BH69" s="329"/>
      <c r="BI69" s="311"/>
      <c r="BJ69" s="315"/>
      <c r="BK69" s="310"/>
      <c r="BL69" s="329"/>
      <c r="BM69" s="311"/>
      <c r="BN69" s="315"/>
      <c r="BO69" s="310"/>
      <c r="BP69" s="329"/>
      <c r="BQ69" s="311"/>
      <c r="BR69" s="315"/>
      <c r="BS69" s="310"/>
      <c r="BT69" s="329"/>
      <c r="BU69" s="311"/>
      <c r="BV69" s="315"/>
      <c r="BW69" s="310"/>
      <c r="BX69" s="329"/>
      <c r="BY69" s="311"/>
      <c r="BZ69" s="315"/>
      <c r="CA69" s="310"/>
      <c r="CB69" s="329"/>
      <c r="CC69" s="311"/>
      <c r="CD69" s="315"/>
      <c r="CE69" s="310"/>
      <c r="CF69" s="329"/>
      <c r="CG69" s="311"/>
      <c r="CH69" s="315"/>
      <c r="CI69" s="310"/>
      <c r="CJ69" s="329"/>
      <c r="CK69" s="311"/>
      <c r="CL69" s="315"/>
      <c r="CM69" s="310"/>
      <c r="CN69" s="329"/>
      <c r="CO69" s="311"/>
      <c r="CP69" s="315"/>
      <c r="CQ69" s="310"/>
      <c r="CR69" s="329"/>
      <c r="CS69" s="311"/>
      <c r="CT69" s="315"/>
      <c r="CU69" s="310"/>
      <c r="CV69" s="329"/>
      <c r="CW69" s="311"/>
      <c r="CX69" s="315"/>
      <c r="CY69" s="310"/>
      <c r="CZ69" s="329"/>
      <c r="DA69" s="311"/>
      <c r="DB69" s="315"/>
      <c r="DC69" s="310"/>
      <c r="DD69" s="329"/>
      <c r="DE69" s="311"/>
      <c r="DF69" s="315"/>
      <c r="DG69" s="310"/>
      <c r="DH69" s="329"/>
      <c r="DI69" s="311"/>
      <c r="DJ69" s="315"/>
      <c r="DK69" s="310"/>
      <c r="DL69" s="329"/>
      <c r="DM69" s="311"/>
      <c r="DN69" s="315"/>
      <c r="DO69" s="310"/>
      <c r="DP69" s="329"/>
      <c r="DQ69" s="311"/>
      <c r="DR69" s="315"/>
      <c r="DS69" s="310"/>
      <c r="DT69" s="329"/>
      <c r="DU69" s="311"/>
      <c r="DV69" s="315"/>
      <c r="DW69" s="310"/>
      <c r="DX69" s="329"/>
      <c r="DY69" s="311"/>
      <c r="DZ69" s="315"/>
      <c r="EA69" s="310"/>
      <c r="EB69" s="329"/>
      <c r="EC69" s="311"/>
      <c r="ED69" s="315"/>
      <c r="EE69" s="310"/>
      <c r="EF69" s="329"/>
      <c r="EG69" s="311"/>
      <c r="EH69" s="315"/>
      <c r="EI69" s="310"/>
      <c r="EJ69" s="329"/>
      <c r="EK69" s="311"/>
      <c r="EL69" s="315"/>
      <c r="EM69" s="310"/>
      <c r="EN69" s="329"/>
      <c r="EO69" s="311"/>
      <c r="EP69" s="315"/>
      <c r="EQ69" s="310"/>
      <c r="ER69" s="329"/>
      <c r="ES69" s="311"/>
      <c r="ET69" s="315"/>
      <c r="EU69" s="310"/>
      <c r="EV69" s="329"/>
      <c r="EW69" s="311"/>
      <c r="EX69" s="315"/>
      <c r="EY69" s="310"/>
      <c r="EZ69" s="329"/>
      <c r="FA69" s="311"/>
      <c r="FB69" s="315"/>
      <c r="FC69" s="310"/>
      <c r="FD69" s="329"/>
      <c r="FE69" s="311"/>
      <c r="FF69" s="315"/>
      <c r="FG69" s="310"/>
      <c r="FH69" s="329"/>
      <c r="FI69" s="311"/>
      <c r="FJ69" s="315"/>
      <c r="FK69" s="310"/>
      <c r="FL69" s="329"/>
      <c r="FM69" s="311"/>
      <c r="FN69" s="315"/>
      <c r="FO69" s="310"/>
      <c r="FP69" s="329"/>
      <c r="FQ69" s="311"/>
      <c r="FR69" s="315"/>
      <c r="FS69" s="310"/>
      <c r="FT69" s="329"/>
      <c r="FU69" s="311"/>
      <c r="FV69" s="315"/>
      <c r="FW69" s="310"/>
      <c r="FX69" s="329"/>
      <c r="FY69" s="311"/>
      <c r="FZ69" s="315"/>
      <c r="GA69" s="310"/>
      <c r="GB69" s="329"/>
      <c r="GC69" s="311"/>
      <c r="GD69" s="315"/>
      <c r="GE69" s="310"/>
      <c r="GF69" s="329"/>
      <c r="GG69" s="311"/>
      <c r="GH69" s="315"/>
      <c r="GI69" s="310"/>
      <c r="GJ69" s="329"/>
      <c r="GK69" s="311"/>
      <c r="GL69" s="315"/>
      <c r="GM69" s="310"/>
      <c r="GN69" s="329"/>
      <c r="GO69" s="311"/>
      <c r="GP69" s="315"/>
      <c r="GQ69" s="310"/>
      <c r="GR69" s="329"/>
      <c r="GS69" s="311"/>
      <c r="GT69" s="315"/>
      <c r="GU69" s="310"/>
      <c r="GV69" s="329"/>
      <c r="GW69" s="311"/>
      <c r="GX69" s="315"/>
      <c r="GY69" s="310"/>
      <c r="GZ69" s="329"/>
      <c r="HA69" s="311"/>
      <c r="HB69" s="315"/>
      <c r="HC69" s="312">
        <f t="shared" si="79"/>
        <v>0</v>
      </c>
      <c r="HD69" s="330"/>
      <c r="HE69" s="313">
        <f t="shared" si="79"/>
        <v>0</v>
      </c>
      <c r="HF69" s="331">
        <f t="shared" si="79"/>
        <v>0</v>
      </c>
      <c r="HG69" s="312">
        <f>SUM(SUMIFS(K69:HB69,$K$13:$HB$13,{"エネルギー管理指定工場等*","県域*"}))</f>
        <v>0</v>
      </c>
      <c r="HH69" s="330"/>
      <c r="HI69" s="313">
        <f>SUM(SUMIFS(M69:HD69,$K$13:$HB$13,{"エネルギー管理指定工場等*","県域*"}))</f>
        <v>0</v>
      </c>
      <c r="HJ69" s="331">
        <f>SUM(SUMIFS(N69:HE69,$K$13:$HB$13,{"エネルギー管理指定工場等*","県域*"}))</f>
        <v>0</v>
      </c>
      <c r="IE69" s="579"/>
      <c r="IF69" s="579"/>
      <c r="IG69" s="579"/>
      <c r="IH69" s="579"/>
    </row>
    <row r="70" spans="2:242" s="164" customFormat="1" ht="20.100000000000001" customHeight="1">
      <c r="B70" s="302"/>
      <c r="C70" s="319"/>
      <c r="D70" s="332"/>
      <c r="E70" s="333" t="s">
        <v>1377</v>
      </c>
      <c r="F70" s="303" t="s">
        <v>461</v>
      </c>
      <c r="G70" s="306">
        <v>1.19</v>
      </c>
      <c r="H70" s="334"/>
      <c r="I70" s="308"/>
      <c r="J70" s="309"/>
      <c r="K70" s="310"/>
      <c r="L70" s="329"/>
      <c r="M70" s="311"/>
      <c r="N70" s="315"/>
      <c r="O70" s="310"/>
      <c r="P70" s="329"/>
      <c r="Q70" s="311"/>
      <c r="R70" s="315"/>
      <c r="S70" s="310"/>
      <c r="T70" s="329"/>
      <c r="U70" s="311"/>
      <c r="V70" s="315"/>
      <c r="W70" s="310"/>
      <c r="X70" s="329"/>
      <c r="Y70" s="311"/>
      <c r="Z70" s="315"/>
      <c r="AA70" s="310"/>
      <c r="AB70" s="329"/>
      <c r="AC70" s="311"/>
      <c r="AD70" s="315"/>
      <c r="AE70" s="310"/>
      <c r="AF70" s="329"/>
      <c r="AG70" s="311"/>
      <c r="AH70" s="315"/>
      <c r="AI70" s="310"/>
      <c r="AJ70" s="329"/>
      <c r="AK70" s="311"/>
      <c r="AL70" s="315"/>
      <c r="AM70" s="310"/>
      <c r="AN70" s="329"/>
      <c r="AO70" s="311"/>
      <c r="AP70" s="315"/>
      <c r="AQ70" s="310"/>
      <c r="AR70" s="329"/>
      <c r="AS70" s="311"/>
      <c r="AT70" s="315"/>
      <c r="AU70" s="310"/>
      <c r="AV70" s="329"/>
      <c r="AW70" s="311"/>
      <c r="AX70" s="315"/>
      <c r="AY70" s="310"/>
      <c r="AZ70" s="329"/>
      <c r="BA70" s="311"/>
      <c r="BB70" s="315"/>
      <c r="BC70" s="310"/>
      <c r="BD70" s="329"/>
      <c r="BE70" s="311"/>
      <c r="BF70" s="315"/>
      <c r="BG70" s="310"/>
      <c r="BH70" s="329"/>
      <c r="BI70" s="311"/>
      <c r="BJ70" s="315"/>
      <c r="BK70" s="310"/>
      <c r="BL70" s="329"/>
      <c r="BM70" s="311"/>
      <c r="BN70" s="315"/>
      <c r="BO70" s="310"/>
      <c r="BP70" s="329"/>
      <c r="BQ70" s="311"/>
      <c r="BR70" s="315"/>
      <c r="BS70" s="310"/>
      <c r="BT70" s="329"/>
      <c r="BU70" s="311"/>
      <c r="BV70" s="315"/>
      <c r="BW70" s="310"/>
      <c r="BX70" s="329"/>
      <c r="BY70" s="311"/>
      <c r="BZ70" s="315"/>
      <c r="CA70" s="310"/>
      <c r="CB70" s="329"/>
      <c r="CC70" s="311"/>
      <c r="CD70" s="315"/>
      <c r="CE70" s="310"/>
      <c r="CF70" s="329"/>
      <c r="CG70" s="311"/>
      <c r="CH70" s="315"/>
      <c r="CI70" s="310"/>
      <c r="CJ70" s="329"/>
      <c r="CK70" s="311"/>
      <c r="CL70" s="315"/>
      <c r="CM70" s="310"/>
      <c r="CN70" s="329"/>
      <c r="CO70" s="311"/>
      <c r="CP70" s="315"/>
      <c r="CQ70" s="310"/>
      <c r="CR70" s="329"/>
      <c r="CS70" s="311"/>
      <c r="CT70" s="315"/>
      <c r="CU70" s="310"/>
      <c r="CV70" s="329"/>
      <c r="CW70" s="311"/>
      <c r="CX70" s="315"/>
      <c r="CY70" s="310"/>
      <c r="CZ70" s="329"/>
      <c r="DA70" s="311"/>
      <c r="DB70" s="315"/>
      <c r="DC70" s="310"/>
      <c r="DD70" s="329"/>
      <c r="DE70" s="311"/>
      <c r="DF70" s="315"/>
      <c r="DG70" s="310"/>
      <c r="DH70" s="329"/>
      <c r="DI70" s="311"/>
      <c r="DJ70" s="315"/>
      <c r="DK70" s="310"/>
      <c r="DL70" s="329"/>
      <c r="DM70" s="311"/>
      <c r="DN70" s="315"/>
      <c r="DO70" s="310"/>
      <c r="DP70" s="329"/>
      <c r="DQ70" s="311"/>
      <c r="DR70" s="315"/>
      <c r="DS70" s="310"/>
      <c r="DT70" s="329"/>
      <c r="DU70" s="311"/>
      <c r="DV70" s="315"/>
      <c r="DW70" s="310"/>
      <c r="DX70" s="329"/>
      <c r="DY70" s="311"/>
      <c r="DZ70" s="315"/>
      <c r="EA70" s="310"/>
      <c r="EB70" s="329"/>
      <c r="EC70" s="311"/>
      <c r="ED70" s="315"/>
      <c r="EE70" s="310"/>
      <c r="EF70" s="329"/>
      <c r="EG70" s="311"/>
      <c r="EH70" s="315"/>
      <c r="EI70" s="310"/>
      <c r="EJ70" s="329"/>
      <c r="EK70" s="311"/>
      <c r="EL70" s="315"/>
      <c r="EM70" s="310"/>
      <c r="EN70" s="329"/>
      <c r="EO70" s="311"/>
      <c r="EP70" s="315"/>
      <c r="EQ70" s="310"/>
      <c r="ER70" s="329"/>
      <c r="ES70" s="311"/>
      <c r="ET70" s="315"/>
      <c r="EU70" s="310"/>
      <c r="EV70" s="329"/>
      <c r="EW70" s="311"/>
      <c r="EX70" s="315"/>
      <c r="EY70" s="310"/>
      <c r="EZ70" s="329"/>
      <c r="FA70" s="311"/>
      <c r="FB70" s="315"/>
      <c r="FC70" s="310"/>
      <c r="FD70" s="329"/>
      <c r="FE70" s="311"/>
      <c r="FF70" s="315"/>
      <c r="FG70" s="310"/>
      <c r="FH70" s="329"/>
      <c r="FI70" s="311"/>
      <c r="FJ70" s="315"/>
      <c r="FK70" s="310"/>
      <c r="FL70" s="329"/>
      <c r="FM70" s="311"/>
      <c r="FN70" s="315"/>
      <c r="FO70" s="310"/>
      <c r="FP70" s="329"/>
      <c r="FQ70" s="311"/>
      <c r="FR70" s="315"/>
      <c r="FS70" s="310"/>
      <c r="FT70" s="329"/>
      <c r="FU70" s="311"/>
      <c r="FV70" s="315"/>
      <c r="FW70" s="310"/>
      <c r="FX70" s="329"/>
      <c r="FY70" s="311"/>
      <c r="FZ70" s="315"/>
      <c r="GA70" s="310"/>
      <c r="GB70" s="329"/>
      <c r="GC70" s="311"/>
      <c r="GD70" s="315"/>
      <c r="GE70" s="310"/>
      <c r="GF70" s="329"/>
      <c r="GG70" s="311"/>
      <c r="GH70" s="315"/>
      <c r="GI70" s="310"/>
      <c r="GJ70" s="329"/>
      <c r="GK70" s="311"/>
      <c r="GL70" s="315"/>
      <c r="GM70" s="310"/>
      <c r="GN70" s="329"/>
      <c r="GO70" s="311"/>
      <c r="GP70" s="315"/>
      <c r="GQ70" s="310"/>
      <c r="GR70" s="329"/>
      <c r="GS70" s="311"/>
      <c r="GT70" s="315"/>
      <c r="GU70" s="310"/>
      <c r="GV70" s="329"/>
      <c r="GW70" s="311"/>
      <c r="GX70" s="315"/>
      <c r="GY70" s="310"/>
      <c r="GZ70" s="329"/>
      <c r="HA70" s="311"/>
      <c r="HB70" s="315"/>
      <c r="HC70" s="312">
        <f t="shared" si="79"/>
        <v>0</v>
      </c>
      <c r="HD70" s="330"/>
      <c r="HE70" s="313">
        <f t="shared" si="79"/>
        <v>0</v>
      </c>
      <c r="HF70" s="331">
        <f t="shared" si="79"/>
        <v>0</v>
      </c>
      <c r="HG70" s="312">
        <f>SUM(SUMIFS(K70:HB70,$K$13:$HB$13,{"エネルギー管理指定工場等*","県域*"}))</f>
        <v>0</v>
      </c>
      <c r="HH70" s="330"/>
      <c r="HI70" s="313">
        <f>SUM(SUMIFS(M70:HD70,$K$13:$HB$13,{"エネルギー管理指定工場等*","県域*"}))</f>
        <v>0</v>
      </c>
      <c r="HJ70" s="331">
        <f>SUM(SUMIFS(N70:HE70,$K$13:$HB$13,{"エネルギー管理指定工場等*","県域*"}))</f>
        <v>0</v>
      </c>
      <c r="IE70" s="579"/>
      <c r="IF70" s="579"/>
      <c r="IG70" s="579"/>
      <c r="IH70" s="579"/>
    </row>
    <row r="71" spans="2:242" s="164" customFormat="1" ht="20.100000000000001" customHeight="1">
      <c r="B71" s="302"/>
      <c r="C71" s="319"/>
      <c r="D71" s="328" t="s">
        <v>605</v>
      </c>
      <c r="E71" s="305"/>
      <c r="F71" s="303" t="s">
        <v>461</v>
      </c>
      <c r="G71" s="306">
        <v>1.19</v>
      </c>
      <c r="H71" s="334"/>
      <c r="I71" s="308"/>
      <c r="J71" s="309"/>
      <c r="K71" s="310"/>
      <c r="L71" s="329"/>
      <c r="M71" s="311"/>
      <c r="N71" s="315"/>
      <c r="O71" s="310"/>
      <c r="P71" s="329"/>
      <c r="Q71" s="311"/>
      <c r="R71" s="315"/>
      <c r="S71" s="310"/>
      <c r="T71" s="329"/>
      <c r="U71" s="311"/>
      <c r="V71" s="315"/>
      <c r="W71" s="310"/>
      <c r="X71" s="329"/>
      <c r="Y71" s="311"/>
      <c r="Z71" s="315"/>
      <c r="AA71" s="310"/>
      <c r="AB71" s="329"/>
      <c r="AC71" s="311"/>
      <c r="AD71" s="315"/>
      <c r="AE71" s="310"/>
      <c r="AF71" s="329"/>
      <c r="AG71" s="311"/>
      <c r="AH71" s="315"/>
      <c r="AI71" s="310"/>
      <c r="AJ71" s="329"/>
      <c r="AK71" s="311"/>
      <c r="AL71" s="315"/>
      <c r="AM71" s="310"/>
      <c r="AN71" s="329"/>
      <c r="AO71" s="311"/>
      <c r="AP71" s="315"/>
      <c r="AQ71" s="310"/>
      <c r="AR71" s="329"/>
      <c r="AS71" s="311"/>
      <c r="AT71" s="315"/>
      <c r="AU71" s="310"/>
      <c r="AV71" s="329"/>
      <c r="AW71" s="311"/>
      <c r="AX71" s="315"/>
      <c r="AY71" s="310"/>
      <c r="AZ71" s="329"/>
      <c r="BA71" s="311"/>
      <c r="BB71" s="315"/>
      <c r="BC71" s="310"/>
      <c r="BD71" s="329"/>
      <c r="BE71" s="311"/>
      <c r="BF71" s="315"/>
      <c r="BG71" s="310"/>
      <c r="BH71" s="329"/>
      <c r="BI71" s="311"/>
      <c r="BJ71" s="315"/>
      <c r="BK71" s="310"/>
      <c r="BL71" s="329"/>
      <c r="BM71" s="311"/>
      <c r="BN71" s="315"/>
      <c r="BO71" s="310"/>
      <c r="BP71" s="329"/>
      <c r="BQ71" s="311"/>
      <c r="BR71" s="315"/>
      <c r="BS71" s="310"/>
      <c r="BT71" s="329"/>
      <c r="BU71" s="311"/>
      <c r="BV71" s="315"/>
      <c r="BW71" s="310"/>
      <c r="BX71" s="329"/>
      <c r="BY71" s="311"/>
      <c r="BZ71" s="315"/>
      <c r="CA71" s="310"/>
      <c r="CB71" s="329"/>
      <c r="CC71" s="311"/>
      <c r="CD71" s="315"/>
      <c r="CE71" s="310"/>
      <c r="CF71" s="329"/>
      <c r="CG71" s="311"/>
      <c r="CH71" s="315"/>
      <c r="CI71" s="310"/>
      <c r="CJ71" s="329"/>
      <c r="CK71" s="311"/>
      <c r="CL71" s="315"/>
      <c r="CM71" s="310"/>
      <c r="CN71" s="329"/>
      <c r="CO71" s="311"/>
      <c r="CP71" s="315"/>
      <c r="CQ71" s="310"/>
      <c r="CR71" s="329"/>
      <c r="CS71" s="311"/>
      <c r="CT71" s="315"/>
      <c r="CU71" s="310"/>
      <c r="CV71" s="329"/>
      <c r="CW71" s="311"/>
      <c r="CX71" s="315"/>
      <c r="CY71" s="310"/>
      <c r="CZ71" s="329"/>
      <c r="DA71" s="311"/>
      <c r="DB71" s="315"/>
      <c r="DC71" s="310"/>
      <c r="DD71" s="329"/>
      <c r="DE71" s="311"/>
      <c r="DF71" s="315"/>
      <c r="DG71" s="310"/>
      <c r="DH71" s="329"/>
      <c r="DI71" s="311"/>
      <c r="DJ71" s="315"/>
      <c r="DK71" s="310"/>
      <c r="DL71" s="329"/>
      <c r="DM71" s="311"/>
      <c r="DN71" s="315"/>
      <c r="DO71" s="310"/>
      <c r="DP71" s="329"/>
      <c r="DQ71" s="311"/>
      <c r="DR71" s="315"/>
      <c r="DS71" s="310"/>
      <c r="DT71" s="329"/>
      <c r="DU71" s="311"/>
      <c r="DV71" s="315"/>
      <c r="DW71" s="310"/>
      <c r="DX71" s="329"/>
      <c r="DY71" s="311"/>
      <c r="DZ71" s="315"/>
      <c r="EA71" s="310"/>
      <c r="EB71" s="329"/>
      <c r="EC71" s="311"/>
      <c r="ED71" s="315"/>
      <c r="EE71" s="310"/>
      <c r="EF71" s="329"/>
      <c r="EG71" s="311"/>
      <c r="EH71" s="315"/>
      <c r="EI71" s="310"/>
      <c r="EJ71" s="329"/>
      <c r="EK71" s="311"/>
      <c r="EL71" s="315"/>
      <c r="EM71" s="310"/>
      <c r="EN71" s="329"/>
      <c r="EO71" s="311"/>
      <c r="EP71" s="315"/>
      <c r="EQ71" s="310"/>
      <c r="ER71" s="329"/>
      <c r="ES71" s="311"/>
      <c r="ET71" s="315"/>
      <c r="EU71" s="310"/>
      <c r="EV71" s="329"/>
      <c r="EW71" s="311"/>
      <c r="EX71" s="315"/>
      <c r="EY71" s="310"/>
      <c r="EZ71" s="329"/>
      <c r="FA71" s="311"/>
      <c r="FB71" s="315"/>
      <c r="FC71" s="310"/>
      <c r="FD71" s="329"/>
      <c r="FE71" s="311"/>
      <c r="FF71" s="315"/>
      <c r="FG71" s="310"/>
      <c r="FH71" s="329"/>
      <c r="FI71" s="311"/>
      <c r="FJ71" s="315"/>
      <c r="FK71" s="310"/>
      <c r="FL71" s="329"/>
      <c r="FM71" s="311"/>
      <c r="FN71" s="315"/>
      <c r="FO71" s="310"/>
      <c r="FP71" s="329"/>
      <c r="FQ71" s="311"/>
      <c r="FR71" s="315"/>
      <c r="FS71" s="310"/>
      <c r="FT71" s="329"/>
      <c r="FU71" s="311"/>
      <c r="FV71" s="315"/>
      <c r="FW71" s="310"/>
      <c r="FX71" s="329"/>
      <c r="FY71" s="311"/>
      <c r="FZ71" s="315"/>
      <c r="GA71" s="310"/>
      <c r="GB71" s="329"/>
      <c r="GC71" s="311"/>
      <c r="GD71" s="315"/>
      <c r="GE71" s="310"/>
      <c r="GF71" s="329"/>
      <c r="GG71" s="311"/>
      <c r="GH71" s="315"/>
      <c r="GI71" s="310"/>
      <c r="GJ71" s="329"/>
      <c r="GK71" s="311"/>
      <c r="GL71" s="315"/>
      <c r="GM71" s="310"/>
      <c r="GN71" s="329"/>
      <c r="GO71" s="311"/>
      <c r="GP71" s="315"/>
      <c r="GQ71" s="310"/>
      <c r="GR71" s="329"/>
      <c r="GS71" s="311"/>
      <c r="GT71" s="315"/>
      <c r="GU71" s="310"/>
      <c r="GV71" s="329"/>
      <c r="GW71" s="311"/>
      <c r="GX71" s="315"/>
      <c r="GY71" s="310"/>
      <c r="GZ71" s="329"/>
      <c r="HA71" s="311"/>
      <c r="HB71" s="315"/>
      <c r="HC71" s="312">
        <f t="shared" si="79"/>
        <v>0</v>
      </c>
      <c r="HD71" s="330"/>
      <c r="HE71" s="313">
        <f t="shared" si="79"/>
        <v>0</v>
      </c>
      <c r="HF71" s="331">
        <f t="shared" si="79"/>
        <v>0</v>
      </c>
      <c r="HG71" s="312">
        <f>SUM(SUMIFS(K71:HB71,$K$13:$HB$13,{"エネルギー管理指定工場等*","県域*"}))</f>
        <v>0</v>
      </c>
      <c r="HH71" s="330"/>
      <c r="HI71" s="313">
        <f>SUM(SUMIFS(M71:HD71,$K$13:$HB$13,{"エネルギー管理指定工場等*","県域*"}))</f>
        <v>0</v>
      </c>
      <c r="HJ71" s="331">
        <f>SUM(SUMIFS(N71:HE71,$K$13:$HB$13,{"エネルギー管理指定工場等*","県域*"}))</f>
        <v>0</v>
      </c>
      <c r="IE71" s="579"/>
      <c r="IF71" s="579"/>
      <c r="IG71" s="579"/>
      <c r="IH71" s="579"/>
    </row>
    <row r="72" spans="2:242" s="164" customFormat="1" ht="20.100000000000001" customHeight="1">
      <c r="B72" s="302"/>
      <c r="C72" s="319"/>
      <c r="D72" s="332"/>
      <c r="E72" s="333" t="s">
        <v>1377</v>
      </c>
      <c r="F72" s="303" t="s">
        <v>461</v>
      </c>
      <c r="G72" s="306">
        <v>1.19</v>
      </c>
      <c r="H72" s="334"/>
      <c r="I72" s="308"/>
      <c r="J72" s="309"/>
      <c r="K72" s="310"/>
      <c r="L72" s="329"/>
      <c r="M72" s="311"/>
      <c r="N72" s="315"/>
      <c r="O72" s="310"/>
      <c r="P72" s="329"/>
      <c r="Q72" s="311"/>
      <c r="R72" s="315"/>
      <c r="S72" s="310"/>
      <c r="T72" s="329"/>
      <c r="U72" s="311"/>
      <c r="V72" s="315"/>
      <c r="W72" s="310"/>
      <c r="X72" s="329"/>
      <c r="Y72" s="311"/>
      <c r="Z72" s="315"/>
      <c r="AA72" s="310"/>
      <c r="AB72" s="329"/>
      <c r="AC72" s="311"/>
      <c r="AD72" s="315"/>
      <c r="AE72" s="310"/>
      <c r="AF72" s="329"/>
      <c r="AG72" s="311"/>
      <c r="AH72" s="315"/>
      <c r="AI72" s="310"/>
      <c r="AJ72" s="329"/>
      <c r="AK72" s="311"/>
      <c r="AL72" s="315"/>
      <c r="AM72" s="310"/>
      <c r="AN72" s="329"/>
      <c r="AO72" s="311"/>
      <c r="AP72" s="315"/>
      <c r="AQ72" s="310"/>
      <c r="AR72" s="329"/>
      <c r="AS72" s="311"/>
      <c r="AT72" s="315"/>
      <c r="AU72" s="310"/>
      <c r="AV72" s="329"/>
      <c r="AW72" s="311"/>
      <c r="AX72" s="315"/>
      <c r="AY72" s="310"/>
      <c r="AZ72" s="329"/>
      <c r="BA72" s="311"/>
      <c r="BB72" s="315"/>
      <c r="BC72" s="310"/>
      <c r="BD72" s="329"/>
      <c r="BE72" s="311"/>
      <c r="BF72" s="315"/>
      <c r="BG72" s="310"/>
      <c r="BH72" s="329"/>
      <c r="BI72" s="311"/>
      <c r="BJ72" s="315"/>
      <c r="BK72" s="310"/>
      <c r="BL72" s="329"/>
      <c r="BM72" s="311"/>
      <c r="BN72" s="315"/>
      <c r="BO72" s="310"/>
      <c r="BP72" s="329"/>
      <c r="BQ72" s="311"/>
      <c r="BR72" s="315"/>
      <c r="BS72" s="310"/>
      <c r="BT72" s="329"/>
      <c r="BU72" s="311"/>
      <c r="BV72" s="315"/>
      <c r="BW72" s="310"/>
      <c r="BX72" s="329"/>
      <c r="BY72" s="311"/>
      <c r="BZ72" s="315"/>
      <c r="CA72" s="310"/>
      <c r="CB72" s="329"/>
      <c r="CC72" s="311"/>
      <c r="CD72" s="315"/>
      <c r="CE72" s="310"/>
      <c r="CF72" s="329"/>
      <c r="CG72" s="311"/>
      <c r="CH72" s="315"/>
      <c r="CI72" s="310"/>
      <c r="CJ72" s="329"/>
      <c r="CK72" s="311"/>
      <c r="CL72" s="315"/>
      <c r="CM72" s="310"/>
      <c r="CN72" s="329"/>
      <c r="CO72" s="311"/>
      <c r="CP72" s="315"/>
      <c r="CQ72" s="310"/>
      <c r="CR72" s="329"/>
      <c r="CS72" s="311"/>
      <c r="CT72" s="315"/>
      <c r="CU72" s="310"/>
      <c r="CV72" s="329"/>
      <c r="CW72" s="311"/>
      <c r="CX72" s="315"/>
      <c r="CY72" s="310"/>
      <c r="CZ72" s="329"/>
      <c r="DA72" s="311"/>
      <c r="DB72" s="315"/>
      <c r="DC72" s="310"/>
      <c r="DD72" s="329"/>
      <c r="DE72" s="311"/>
      <c r="DF72" s="315"/>
      <c r="DG72" s="310"/>
      <c r="DH72" s="329"/>
      <c r="DI72" s="311"/>
      <c r="DJ72" s="315"/>
      <c r="DK72" s="310"/>
      <c r="DL72" s="329"/>
      <c r="DM72" s="311"/>
      <c r="DN72" s="315"/>
      <c r="DO72" s="310"/>
      <c r="DP72" s="329"/>
      <c r="DQ72" s="311"/>
      <c r="DR72" s="315"/>
      <c r="DS72" s="310"/>
      <c r="DT72" s="329"/>
      <c r="DU72" s="311"/>
      <c r="DV72" s="315"/>
      <c r="DW72" s="310"/>
      <c r="DX72" s="329"/>
      <c r="DY72" s="311"/>
      <c r="DZ72" s="315"/>
      <c r="EA72" s="310"/>
      <c r="EB72" s="329"/>
      <c r="EC72" s="311"/>
      <c r="ED72" s="315"/>
      <c r="EE72" s="310"/>
      <c r="EF72" s="329"/>
      <c r="EG72" s="311"/>
      <c r="EH72" s="315"/>
      <c r="EI72" s="310"/>
      <c r="EJ72" s="329"/>
      <c r="EK72" s="311"/>
      <c r="EL72" s="315"/>
      <c r="EM72" s="310"/>
      <c r="EN72" s="329"/>
      <c r="EO72" s="311"/>
      <c r="EP72" s="315"/>
      <c r="EQ72" s="310"/>
      <c r="ER72" s="329"/>
      <c r="ES72" s="311"/>
      <c r="ET72" s="315"/>
      <c r="EU72" s="310"/>
      <c r="EV72" s="329"/>
      <c r="EW72" s="311"/>
      <c r="EX72" s="315"/>
      <c r="EY72" s="310"/>
      <c r="EZ72" s="329"/>
      <c r="FA72" s="311"/>
      <c r="FB72" s="315"/>
      <c r="FC72" s="310"/>
      <c r="FD72" s="329"/>
      <c r="FE72" s="311"/>
      <c r="FF72" s="315"/>
      <c r="FG72" s="310"/>
      <c r="FH72" s="329"/>
      <c r="FI72" s="311"/>
      <c r="FJ72" s="315"/>
      <c r="FK72" s="310"/>
      <c r="FL72" s="329"/>
      <c r="FM72" s="311"/>
      <c r="FN72" s="315"/>
      <c r="FO72" s="310"/>
      <c r="FP72" s="329"/>
      <c r="FQ72" s="311"/>
      <c r="FR72" s="315"/>
      <c r="FS72" s="310"/>
      <c r="FT72" s="329"/>
      <c r="FU72" s="311"/>
      <c r="FV72" s="315"/>
      <c r="FW72" s="310"/>
      <c r="FX72" s="329"/>
      <c r="FY72" s="311"/>
      <c r="FZ72" s="315"/>
      <c r="GA72" s="310"/>
      <c r="GB72" s="329"/>
      <c r="GC72" s="311"/>
      <c r="GD72" s="315"/>
      <c r="GE72" s="310"/>
      <c r="GF72" s="329"/>
      <c r="GG72" s="311"/>
      <c r="GH72" s="315"/>
      <c r="GI72" s="310"/>
      <c r="GJ72" s="329"/>
      <c r="GK72" s="311"/>
      <c r="GL72" s="315"/>
      <c r="GM72" s="310"/>
      <c r="GN72" s="329"/>
      <c r="GO72" s="311"/>
      <c r="GP72" s="315"/>
      <c r="GQ72" s="310"/>
      <c r="GR72" s="329"/>
      <c r="GS72" s="311"/>
      <c r="GT72" s="315"/>
      <c r="GU72" s="310"/>
      <c r="GV72" s="329"/>
      <c r="GW72" s="311"/>
      <c r="GX72" s="315"/>
      <c r="GY72" s="310"/>
      <c r="GZ72" s="329"/>
      <c r="HA72" s="311"/>
      <c r="HB72" s="315"/>
      <c r="HC72" s="312">
        <f t="shared" si="79"/>
        <v>0</v>
      </c>
      <c r="HD72" s="330"/>
      <c r="HE72" s="313">
        <f t="shared" si="79"/>
        <v>0</v>
      </c>
      <c r="HF72" s="331">
        <f t="shared" si="79"/>
        <v>0</v>
      </c>
      <c r="HG72" s="312">
        <f>SUM(SUMIFS(K72:HB72,$K$13:$HB$13,{"エネルギー管理指定工場等*","県域*"}))</f>
        <v>0</v>
      </c>
      <c r="HH72" s="330"/>
      <c r="HI72" s="313">
        <f>SUM(SUMIFS(M72:HD72,$K$13:$HB$13,{"エネルギー管理指定工場等*","県域*"}))</f>
        <v>0</v>
      </c>
      <c r="HJ72" s="331">
        <f>SUM(SUMIFS(N72:HE72,$K$13:$HB$13,{"エネルギー管理指定工場等*","県域*"}))</f>
        <v>0</v>
      </c>
      <c r="IE72" s="579"/>
      <c r="IF72" s="579"/>
      <c r="IG72" s="579"/>
      <c r="IH72" s="579"/>
    </row>
    <row r="73" spans="2:242" s="164" customFormat="1" ht="20.100000000000001" customHeight="1">
      <c r="B73" s="302"/>
      <c r="C73" s="319"/>
      <c r="D73" s="328" t="s">
        <v>606</v>
      </c>
      <c r="E73" s="335"/>
      <c r="F73" s="303" t="s">
        <v>461</v>
      </c>
      <c r="G73" s="336"/>
      <c r="H73" s="315"/>
      <c r="I73" s="308"/>
      <c r="J73" s="309"/>
      <c r="K73" s="310"/>
      <c r="L73" s="329"/>
      <c r="M73" s="311"/>
      <c r="N73" s="315"/>
      <c r="O73" s="310"/>
      <c r="P73" s="329"/>
      <c r="Q73" s="311"/>
      <c r="R73" s="315"/>
      <c r="S73" s="310"/>
      <c r="T73" s="329"/>
      <c r="U73" s="311"/>
      <c r="V73" s="315"/>
      <c r="W73" s="310"/>
      <c r="X73" s="329"/>
      <c r="Y73" s="311"/>
      <c r="Z73" s="315"/>
      <c r="AA73" s="310"/>
      <c r="AB73" s="329"/>
      <c r="AC73" s="311"/>
      <c r="AD73" s="315"/>
      <c r="AE73" s="310"/>
      <c r="AF73" s="329"/>
      <c r="AG73" s="311"/>
      <c r="AH73" s="315"/>
      <c r="AI73" s="310"/>
      <c r="AJ73" s="329"/>
      <c r="AK73" s="311"/>
      <c r="AL73" s="315"/>
      <c r="AM73" s="310"/>
      <c r="AN73" s="329"/>
      <c r="AO73" s="311"/>
      <c r="AP73" s="315"/>
      <c r="AQ73" s="310"/>
      <c r="AR73" s="329"/>
      <c r="AS73" s="311"/>
      <c r="AT73" s="315"/>
      <c r="AU73" s="310"/>
      <c r="AV73" s="329"/>
      <c r="AW73" s="311"/>
      <c r="AX73" s="315"/>
      <c r="AY73" s="310"/>
      <c r="AZ73" s="329"/>
      <c r="BA73" s="311"/>
      <c r="BB73" s="315"/>
      <c r="BC73" s="310"/>
      <c r="BD73" s="329"/>
      <c r="BE73" s="311"/>
      <c r="BF73" s="315"/>
      <c r="BG73" s="310"/>
      <c r="BH73" s="329"/>
      <c r="BI73" s="311"/>
      <c r="BJ73" s="315"/>
      <c r="BK73" s="310"/>
      <c r="BL73" s="329"/>
      <c r="BM73" s="311"/>
      <c r="BN73" s="315"/>
      <c r="BO73" s="310"/>
      <c r="BP73" s="329"/>
      <c r="BQ73" s="311"/>
      <c r="BR73" s="315"/>
      <c r="BS73" s="310"/>
      <c r="BT73" s="329"/>
      <c r="BU73" s="311"/>
      <c r="BV73" s="315"/>
      <c r="BW73" s="310"/>
      <c r="BX73" s="329"/>
      <c r="BY73" s="311"/>
      <c r="BZ73" s="315"/>
      <c r="CA73" s="310"/>
      <c r="CB73" s="329"/>
      <c r="CC73" s="311"/>
      <c r="CD73" s="315"/>
      <c r="CE73" s="310"/>
      <c r="CF73" s="329"/>
      <c r="CG73" s="311"/>
      <c r="CH73" s="315"/>
      <c r="CI73" s="310"/>
      <c r="CJ73" s="329"/>
      <c r="CK73" s="311"/>
      <c r="CL73" s="315"/>
      <c r="CM73" s="310"/>
      <c r="CN73" s="329"/>
      <c r="CO73" s="311"/>
      <c r="CP73" s="315"/>
      <c r="CQ73" s="310"/>
      <c r="CR73" s="329"/>
      <c r="CS73" s="311"/>
      <c r="CT73" s="315"/>
      <c r="CU73" s="310"/>
      <c r="CV73" s="329"/>
      <c r="CW73" s="311"/>
      <c r="CX73" s="315"/>
      <c r="CY73" s="310"/>
      <c r="CZ73" s="329"/>
      <c r="DA73" s="311"/>
      <c r="DB73" s="315"/>
      <c r="DC73" s="310"/>
      <c r="DD73" s="329"/>
      <c r="DE73" s="311"/>
      <c r="DF73" s="315"/>
      <c r="DG73" s="310"/>
      <c r="DH73" s="329"/>
      <c r="DI73" s="311"/>
      <c r="DJ73" s="315"/>
      <c r="DK73" s="310"/>
      <c r="DL73" s="329"/>
      <c r="DM73" s="311"/>
      <c r="DN73" s="315"/>
      <c r="DO73" s="310"/>
      <c r="DP73" s="329"/>
      <c r="DQ73" s="311"/>
      <c r="DR73" s="315"/>
      <c r="DS73" s="310"/>
      <c r="DT73" s="329"/>
      <c r="DU73" s="311"/>
      <c r="DV73" s="315"/>
      <c r="DW73" s="310"/>
      <c r="DX73" s="329"/>
      <c r="DY73" s="311"/>
      <c r="DZ73" s="315"/>
      <c r="EA73" s="310"/>
      <c r="EB73" s="329"/>
      <c r="EC73" s="311"/>
      <c r="ED73" s="315"/>
      <c r="EE73" s="310"/>
      <c r="EF73" s="329"/>
      <c r="EG73" s="311"/>
      <c r="EH73" s="315"/>
      <c r="EI73" s="310"/>
      <c r="EJ73" s="329"/>
      <c r="EK73" s="311"/>
      <c r="EL73" s="315"/>
      <c r="EM73" s="310"/>
      <c r="EN73" s="329"/>
      <c r="EO73" s="311"/>
      <c r="EP73" s="315"/>
      <c r="EQ73" s="310"/>
      <c r="ER73" s="329"/>
      <c r="ES73" s="311"/>
      <c r="ET73" s="315"/>
      <c r="EU73" s="310"/>
      <c r="EV73" s="329"/>
      <c r="EW73" s="311"/>
      <c r="EX73" s="315"/>
      <c r="EY73" s="310"/>
      <c r="EZ73" s="329"/>
      <c r="FA73" s="311"/>
      <c r="FB73" s="315"/>
      <c r="FC73" s="310"/>
      <c r="FD73" s="329"/>
      <c r="FE73" s="311"/>
      <c r="FF73" s="315"/>
      <c r="FG73" s="310"/>
      <c r="FH73" s="329"/>
      <c r="FI73" s="311"/>
      <c r="FJ73" s="315"/>
      <c r="FK73" s="310"/>
      <c r="FL73" s="329"/>
      <c r="FM73" s="311"/>
      <c r="FN73" s="315"/>
      <c r="FO73" s="310"/>
      <c r="FP73" s="329"/>
      <c r="FQ73" s="311"/>
      <c r="FR73" s="315"/>
      <c r="FS73" s="310"/>
      <c r="FT73" s="329"/>
      <c r="FU73" s="311"/>
      <c r="FV73" s="315"/>
      <c r="FW73" s="310"/>
      <c r="FX73" s="329"/>
      <c r="FY73" s="311"/>
      <c r="FZ73" s="315"/>
      <c r="GA73" s="310"/>
      <c r="GB73" s="329"/>
      <c r="GC73" s="311"/>
      <c r="GD73" s="315"/>
      <c r="GE73" s="310"/>
      <c r="GF73" s="329"/>
      <c r="GG73" s="311"/>
      <c r="GH73" s="315"/>
      <c r="GI73" s="310"/>
      <c r="GJ73" s="329"/>
      <c r="GK73" s="311"/>
      <c r="GL73" s="315"/>
      <c r="GM73" s="310"/>
      <c r="GN73" s="329"/>
      <c r="GO73" s="311"/>
      <c r="GP73" s="315"/>
      <c r="GQ73" s="310"/>
      <c r="GR73" s="329"/>
      <c r="GS73" s="311"/>
      <c r="GT73" s="315"/>
      <c r="GU73" s="310"/>
      <c r="GV73" s="329"/>
      <c r="GW73" s="311"/>
      <c r="GX73" s="315"/>
      <c r="GY73" s="310"/>
      <c r="GZ73" s="329"/>
      <c r="HA73" s="311"/>
      <c r="HB73" s="315"/>
      <c r="HC73" s="312">
        <f t="shared" si="79"/>
        <v>0</v>
      </c>
      <c r="HD73" s="330"/>
      <c r="HE73" s="313">
        <f t="shared" si="79"/>
        <v>0</v>
      </c>
      <c r="HF73" s="331">
        <f t="shared" si="79"/>
        <v>0</v>
      </c>
      <c r="HG73" s="312">
        <f>SUM(SUMIFS(K73:HB73,$K$13:$HB$13,{"エネルギー管理指定工場等*","県域*"}))</f>
        <v>0</v>
      </c>
      <c r="HH73" s="330"/>
      <c r="HI73" s="313">
        <f>SUM(SUMIFS(M73:HD73,$K$13:$HB$13,{"エネルギー管理指定工場等*","県域*"}))</f>
        <v>0</v>
      </c>
      <c r="HJ73" s="331">
        <f>SUM(SUMIFS(N73:HE73,$K$13:$HB$13,{"エネルギー管理指定工場等*","県域*"}))</f>
        <v>0</v>
      </c>
      <c r="IE73" s="579"/>
      <c r="IF73" s="579"/>
      <c r="IG73" s="579"/>
      <c r="IH73" s="579"/>
    </row>
    <row r="74" spans="2:242" s="164" customFormat="1" ht="19.8">
      <c r="B74" s="302"/>
      <c r="C74" s="318"/>
      <c r="D74" s="332"/>
      <c r="E74" s="333" t="s">
        <v>1377</v>
      </c>
      <c r="F74" s="303" t="s">
        <v>461</v>
      </c>
      <c r="G74" s="336"/>
      <c r="H74" s="337"/>
      <c r="I74" s="308"/>
      <c r="J74" s="309"/>
      <c r="K74" s="336"/>
      <c r="L74" s="338"/>
      <c r="M74" s="339"/>
      <c r="N74" s="337"/>
      <c r="O74" s="336"/>
      <c r="P74" s="338"/>
      <c r="Q74" s="339"/>
      <c r="R74" s="337"/>
      <c r="S74" s="336"/>
      <c r="T74" s="338"/>
      <c r="U74" s="339"/>
      <c r="V74" s="337"/>
      <c r="W74" s="336"/>
      <c r="X74" s="338"/>
      <c r="Y74" s="339"/>
      <c r="Z74" s="337"/>
      <c r="AA74" s="336"/>
      <c r="AB74" s="338"/>
      <c r="AC74" s="339"/>
      <c r="AD74" s="337"/>
      <c r="AE74" s="336"/>
      <c r="AF74" s="338"/>
      <c r="AG74" s="339"/>
      <c r="AH74" s="337"/>
      <c r="AI74" s="336"/>
      <c r="AJ74" s="338"/>
      <c r="AK74" s="339"/>
      <c r="AL74" s="337"/>
      <c r="AM74" s="336"/>
      <c r="AN74" s="338"/>
      <c r="AO74" s="339"/>
      <c r="AP74" s="337"/>
      <c r="AQ74" s="336"/>
      <c r="AR74" s="338"/>
      <c r="AS74" s="339"/>
      <c r="AT74" s="337"/>
      <c r="AU74" s="336"/>
      <c r="AV74" s="338"/>
      <c r="AW74" s="339"/>
      <c r="AX74" s="337"/>
      <c r="AY74" s="336"/>
      <c r="AZ74" s="338"/>
      <c r="BA74" s="339"/>
      <c r="BB74" s="337"/>
      <c r="BC74" s="336"/>
      <c r="BD74" s="338"/>
      <c r="BE74" s="339"/>
      <c r="BF74" s="337"/>
      <c r="BG74" s="336"/>
      <c r="BH74" s="338"/>
      <c r="BI74" s="339"/>
      <c r="BJ74" s="337"/>
      <c r="BK74" s="336"/>
      <c r="BL74" s="338"/>
      <c r="BM74" s="339"/>
      <c r="BN74" s="337"/>
      <c r="BO74" s="336"/>
      <c r="BP74" s="338"/>
      <c r="BQ74" s="339"/>
      <c r="BR74" s="337"/>
      <c r="BS74" s="336"/>
      <c r="BT74" s="338"/>
      <c r="BU74" s="339"/>
      <c r="BV74" s="337"/>
      <c r="BW74" s="336"/>
      <c r="BX74" s="338"/>
      <c r="BY74" s="339"/>
      <c r="BZ74" s="337"/>
      <c r="CA74" s="336"/>
      <c r="CB74" s="338"/>
      <c r="CC74" s="339"/>
      <c r="CD74" s="337"/>
      <c r="CE74" s="336"/>
      <c r="CF74" s="338"/>
      <c r="CG74" s="339"/>
      <c r="CH74" s="337"/>
      <c r="CI74" s="336"/>
      <c r="CJ74" s="338"/>
      <c r="CK74" s="339"/>
      <c r="CL74" s="337"/>
      <c r="CM74" s="336"/>
      <c r="CN74" s="338"/>
      <c r="CO74" s="339"/>
      <c r="CP74" s="337"/>
      <c r="CQ74" s="336"/>
      <c r="CR74" s="338"/>
      <c r="CS74" s="339"/>
      <c r="CT74" s="337"/>
      <c r="CU74" s="336"/>
      <c r="CV74" s="338"/>
      <c r="CW74" s="339"/>
      <c r="CX74" s="337"/>
      <c r="CY74" s="336"/>
      <c r="CZ74" s="338"/>
      <c r="DA74" s="339"/>
      <c r="DB74" s="337"/>
      <c r="DC74" s="336"/>
      <c r="DD74" s="338"/>
      <c r="DE74" s="339"/>
      <c r="DF74" s="337"/>
      <c r="DG74" s="336"/>
      <c r="DH74" s="338"/>
      <c r="DI74" s="339"/>
      <c r="DJ74" s="337"/>
      <c r="DK74" s="336"/>
      <c r="DL74" s="338"/>
      <c r="DM74" s="339"/>
      <c r="DN74" s="337"/>
      <c r="DO74" s="336"/>
      <c r="DP74" s="338"/>
      <c r="DQ74" s="339"/>
      <c r="DR74" s="337"/>
      <c r="DS74" s="336"/>
      <c r="DT74" s="338"/>
      <c r="DU74" s="339"/>
      <c r="DV74" s="337"/>
      <c r="DW74" s="336"/>
      <c r="DX74" s="338"/>
      <c r="DY74" s="339"/>
      <c r="DZ74" s="337"/>
      <c r="EA74" s="336"/>
      <c r="EB74" s="338"/>
      <c r="EC74" s="339"/>
      <c r="ED74" s="337"/>
      <c r="EE74" s="336"/>
      <c r="EF74" s="338"/>
      <c r="EG74" s="339"/>
      <c r="EH74" s="337"/>
      <c r="EI74" s="336"/>
      <c r="EJ74" s="338"/>
      <c r="EK74" s="339"/>
      <c r="EL74" s="337"/>
      <c r="EM74" s="336"/>
      <c r="EN74" s="338"/>
      <c r="EO74" s="339"/>
      <c r="EP74" s="337"/>
      <c r="EQ74" s="336"/>
      <c r="ER74" s="338"/>
      <c r="ES74" s="339"/>
      <c r="ET74" s="337"/>
      <c r="EU74" s="336"/>
      <c r="EV74" s="338"/>
      <c r="EW74" s="339"/>
      <c r="EX74" s="337"/>
      <c r="EY74" s="336"/>
      <c r="EZ74" s="338"/>
      <c r="FA74" s="339"/>
      <c r="FB74" s="337"/>
      <c r="FC74" s="336"/>
      <c r="FD74" s="338"/>
      <c r="FE74" s="339"/>
      <c r="FF74" s="337"/>
      <c r="FG74" s="336"/>
      <c r="FH74" s="338"/>
      <c r="FI74" s="339"/>
      <c r="FJ74" s="337"/>
      <c r="FK74" s="336"/>
      <c r="FL74" s="338"/>
      <c r="FM74" s="339"/>
      <c r="FN74" s="337"/>
      <c r="FO74" s="336"/>
      <c r="FP74" s="338"/>
      <c r="FQ74" s="339"/>
      <c r="FR74" s="337"/>
      <c r="FS74" s="336"/>
      <c r="FT74" s="338"/>
      <c r="FU74" s="339"/>
      <c r="FV74" s="337"/>
      <c r="FW74" s="336"/>
      <c r="FX74" s="338"/>
      <c r="FY74" s="339"/>
      <c r="FZ74" s="337"/>
      <c r="GA74" s="336"/>
      <c r="GB74" s="338"/>
      <c r="GC74" s="339"/>
      <c r="GD74" s="337"/>
      <c r="GE74" s="336"/>
      <c r="GF74" s="338"/>
      <c r="GG74" s="339"/>
      <c r="GH74" s="337"/>
      <c r="GI74" s="336"/>
      <c r="GJ74" s="338"/>
      <c r="GK74" s="339"/>
      <c r="GL74" s="337"/>
      <c r="GM74" s="336"/>
      <c r="GN74" s="338"/>
      <c r="GO74" s="339"/>
      <c r="GP74" s="337"/>
      <c r="GQ74" s="336"/>
      <c r="GR74" s="338"/>
      <c r="GS74" s="339"/>
      <c r="GT74" s="337"/>
      <c r="GU74" s="336"/>
      <c r="GV74" s="338"/>
      <c r="GW74" s="339"/>
      <c r="GX74" s="337"/>
      <c r="GY74" s="336"/>
      <c r="GZ74" s="338"/>
      <c r="HA74" s="339"/>
      <c r="HB74" s="337"/>
      <c r="HC74" s="340">
        <f t="shared" si="79"/>
        <v>0</v>
      </c>
      <c r="HD74" s="341"/>
      <c r="HE74" s="342">
        <f t="shared" si="79"/>
        <v>0</v>
      </c>
      <c r="HF74" s="343">
        <f t="shared" si="79"/>
        <v>0</v>
      </c>
      <c r="HG74" s="340">
        <f>SUM(SUMIFS(K74:HB74,$K$13:$HB$13,{"エネルギー管理指定工場等*","県域*"}))</f>
        <v>0</v>
      </c>
      <c r="HH74" s="341"/>
      <c r="HI74" s="342">
        <f>SUM(SUMIFS(M74:HD74,$K$13:$HB$13,{"エネルギー管理指定工場等*","県域*"}))</f>
        <v>0</v>
      </c>
      <c r="HJ74" s="343">
        <f>SUM(SUMIFS(N74:HE74,$K$13:$HB$13,{"エネルギー管理指定工場等*","県域*"}))</f>
        <v>0</v>
      </c>
      <c r="IE74" s="579"/>
      <c r="IF74" s="579"/>
      <c r="IG74" s="579"/>
      <c r="IH74" s="579"/>
    </row>
    <row r="75" spans="2:242" s="164" customFormat="1" ht="20.100000000000001" customHeight="1">
      <c r="B75" s="302"/>
      <c r="C75" s="327" t="s">
        <v>1378</v>
      </c>
      <c r="D75" s="303" t="s">
        <v>1379</v>
      </c>
      <c r="E75" s="305"/>
      <c r="F75" s="303" t="s">
        <v>461</v>
      </c>
      <c r="G75" s="336"/>
      <c r="H75" s="334"/>
      <c r="I75" s="308"/>
      <c r="J75" s="309"/>
      <c r="K75" s="336"/>
      <c r="L75" s="338"/>
      <c r="M75" s="339"/>
      <c r="N75" s="337"/>
      <c r="O75" s="336"/>
      <c r="P75" s="338"/>
      <c r="Q75" s="339"/>
      <c r="R75" s="337"/>
      <c r="S75" s="336"/>
      <c r="T75" s="338"/>
      <c r="U75" s="339"/>
      <c r="V75" s="337"/>
      <c r="W75" s="336"/>
      <c r="X75" s="338"/>
      <c r="Y75" s="339"/>
      <c r="Z75" s="337"/>
      <c r="AA75" s="336"/>
      <c r="AB75" s="338"/>
      <c r="AC75" s="339"/>
      <c r="AD75" s="337"/>
      <c r="AE75" s="336"/>
      <c r="AF75" s="338"/>
      <c r="AG75" s="339"/>
      <c r="AH75" s="337"/>
      <c r="AI75" s="336"/>
      <c r="AJ75" s="338"/>
      <c r="AK75" s="339"/>
      <c r="AL75" s="337"/>
      <c r="AM75" s="336"/>
      <c r="AN75" s="338"/>
      <c r="AO75" s="339"/>
      <c r="AP75" s="337"/>
      <c r="AQ75" s="336"/>
      <c r="AR75" s="338"/>
      <c r="AS75" s="339"/>
      <c r="AT75" s="337"/>
      <c r="AU75" s="336"/>
      <c r="AV75" s="338"/>
      <c r="AW75" s="339"/>
      <c r="AX75" s="337"/>
      <c r="AY75" s="336"/>
      <c r="AZ75" s="338"/>
      <c r="BA75" s="339"/>
      <c r="BB75" s="337"/>
      <c r="BC75" s="336"/>
      <c r="BD75" s="338"/>
      <c r="BE75" s="339"/>
      <c r="BF75" s="337"/>
      <c r="BG75" s="336"/>
      <c r="BH75" s="338"/>
      <c r="BI75" s="339"/>
      <c r="BJ75" s="337"/>
      <c r="BK75" s="336"/>
      <c r="BL75" s="338"/>
      <c r="BM75" s="339"/>
      <c r="BN75" s="337"/>
      <c r="BO75" s="336"/>
      <c r="BP75" s="338"/>
      <c r="BQ75" s="339"/>
      <c r="BR75" s="337"/>
      <c r="BS75" s="336"/>
      <c r="BT75" s="338"/>
      <c r="BU75" s="339"/>
      <c r="BV75" s="337"/>
      <c r="BW75" s="336"/>
      <c r="BX75" s="338"/>
      <c r="BY75" s="339"/>
      <c r="BZ75" s="337"/>
      <c r="CA75" s="336"/>
      <c r="CB75" s="338"/>
      <c r="CC75" s="339"/>
      <c r="CD75" s="337"/>
      <c r="CE75" s="336"/>
      <c r="CF75" s="338"/>
      <c r="CG75" s="339"/>
      <c r="CH75" s="337"/>
      <c r="CI75" s="336"/>
      <c r="CJ75" s="338"/>
      <c r="CK75" s="339"/>
      <c r="CL75" s="337"/>
      <c r="CM75" s="336"/>
      <c r="CN75" s="338"/>
      <c r="CO75" s="339"/>
      <c r="CP75" s="337"/>
      <c r="CQ75" s="336"/>
      <c r="CR75" s="338"/>
      <c r="CS75" s="339"/>
      <c r="CT75" s="337"/>
      <c r="CU75" s="336"/>
      <c r="CV75" s="338"/>
      <c r="CW75" s="339"/>
      <c r="CX75" s="337"/>
      <c r="CY75" s="336"/>
      <c r="CZ75" s="338"/>
      <c r="DA75" s="339"/>
      <c r="DB75" s="337"/>
      <c r="DC75" s="336"/>
      <c r="DD75" s="338"/>
      <c r="DE75" s="339"/>
      <c r="DF75" s="337"/>
      <c r="DG75" s="336"/>
      <c r="DH75" s="338"/>
      <c r="DI75" s="339"/>
      <c r="DJ75" s="337"/>
      <c r="DK75" s="336"/>
      <c r="DL75" s="338"/>
      <c r="DM75" s="339"/>
      <c r="DN75" s="337"/>
      <c r="DO75" s="336"/>
      <c r="DP75" s="338"/>
      <c r="DQ75" s="339"/>
      <c r="DR75" s="337"/>
      <c r="DS75" s="336"/>
      <c r="DT75" s="338"/>
      <c r="DU75" s="339"/>
      <c r="DV75" s="337"/>
      <c r="DW75" s="336"/>
      <c r="DX75" s="338"/>
      <c r="DY75" s="339"/>
      <c r="DZ75" s="337"/>
      <c r="EA75" s="336"/>
      <c r="EB75" s="338"/>
      <c r="EC75" s="339"/>
      <c r="ED75" s="337"/>
      <c r="EE75" s="336"/>
      <c r="EF75" s="338"/>
      <c r="EG75" s="339"/>
      <c r="EH75" s="337"/>
      <c r="EI75" s="336"/>
      <c r="EJ75" s="338"/>
      <c r="EK75" s="339"/>
      <c r="EL75" s="337"/>
      <c r="EM75" s="336"/>
      <c r="EN75" s="338"/>
      <c r="EO75" s="339"/>
      <c r="EP75" s="337"/>
      <c r="EQ75" s="336"/>
      <c r="ER75" s="338"/>
      <c r="ES75" s="339"/>
      <c r="ET75" s="337"/>
      <c r="EU75" s="336"/>
      <c r="EV75" s="338"/>
      <c r="EW75" s="339"/>
      <c r="EX75" s="337"/>
      <c r="EY75" s="336"/>
      <c r="EZ75" s="338"/>
      <c r="FA75" s="339"/>
      <c r="FB75" s="337"/>
      <c r="FC75" s="336"/>
      <c r="FD75" s="338"/>
      <c r="FE75" s="339"/>
      <c r="FF75" s="337"/>
      <c r="FG75" s="336"/>
      <c r="FH75" s="338"/>
      <c r="FI75" s="339"/>
      <c r="FJ75" s="337"/>
      <c r="FK75" s="336"/>
      <c r="FL75" s="338"/>
      <c r="FM75" s="339"/>
      <c r="FN75" s="337"/>
      <c r="FO75" s="336"/>
      <c r="FP75" s="338"/>
      <c r="FQ75" s="339"/>
      <c r="FR75" s="337"/>
      <c r="FS75" s="336"/>
      <c r="FT75" s="338"/>
      <c r="FU75" s="339"/>
      <c r="FV75" s="337"/>
      <c r="FW75" s="336"/>
      <c r="FX75" s="338"/>
      <c r="FY75" s="339"/>
      <c r="FZ75" s="337"/>
      <c r="GA75" s="336"/>
      <c r="GB75" s="338"/>
      <c r="GC75" s="339"/>
      <c r="GD75" s="337"/>
      <c r="GE75" s="336"/>
      <c r="GF75" s="338"/>
      <c r="GG75" s="339"/>
      <c r="GH75" s="337"/>
      <c r="GI75" s="336"/>
      <c r="GJ75" s="338"/>
      <c r="GK75" s="339"/>
      <c r="GL75" s="337"/>
      <c r="GM75" s="336"/>
      <c r="GN75" s="338"/>
      <c r="GO75" s="339"/>
      <c r="GP75" s="337"/>
      <c r="GQ75" s="336"/>
      <c r="GR75" s="338"/>
      <c r="GS75" s="339"/>
      <c r="GT75" s="337"/>
      <c r="GU75" s="336"/>
      <c r="GV75" s="338"/>
      <c r="GW75" s="339"/>
      <c r="GX75" s="337"/>
      <c r="GY75" s="336"/>
      <c r="GZ75" s="338"/>
      <c r="HA75" s="339"/>
      <c r="HB75" s="337"/>
      <c r="HC75" s="340">
        <f t="shared" si="79"/>
        <v>0</v>
      </c>
      <c r="HD75" s="341"/>
      <c r="HE75" s="342">
        <f t="shared" si="79"/>
        <v>0</v>
      </c>
      <c r="HF75" s="343">
        <f t="shared" si="79"/>
        <v>0</v>
      </c>
      <c r="HG75" s="340">
        <f>SUM(SUMIFS(K75:HB75,$K$13:$HB$13,{"エネルギー管理指定工場等*","県域*"}))</f>
        <v>0</v>
      </c>
      <c r="HH75" s="341"/>
      <c r="HI75" s="342">
        <f>SUM(SUMIFS(M75:HD75,$K$13:$HB$13,{"エネルギー管理指定工場等*","県域*"}))</f>
        <v>0</v>
      </c>
      <c r="HJ75" s="343">
        <f>SUM(SUMIFS(N75:HE75,$K$13:$HB$13,{"エネルギー管理指定工場等*","県域*"}))</f>
        <v>0</v>
      </c>
      <c r="IE75" s="579"/>
      <c r="IF75" s="579"/>
      <c r="IG75" s="579"/>
      <c r="IH75" s="579"/>
    </row>
    <row r="76" spans="2:242" s="164" customFormat="1" ht="20.100000000000001" customHeight="1">
      <c r="B76" s="302"/>
      <c r="C76" s="319"/>
      <c r="D76" s="303" t="s">
        <v>1380</v>
      </c>
      <c r="E76" s="305"/>
      <c r="F76" s="303" t="s">
        <v>461</v>
      </c>
      <c r="G76" s="336"/>
      <c r="H76" s="334"/>
      <c r="I76" s="308"/>
      <c r="J76" s="309"/>
      <c r="K76" s="336"/>
      <c r="L76" s="338"/>
      <c r="M76" s="339"/>
      <c r="N76" s="337"/>
      <c r="O76" s="336"/>
      <c r="P76" s="338"/>
      <c r="Q76" s="339"/>
      <c r="R76" s="337"/>
      <c r="S76" s="336"/>
      <c r="T76" s="338"/>
      <c r="U76" s="339"/>
      <c r="V76" s="337"/>
      <c r="W76" s="336"/>
      <c r="X76" s="338"/>
      <c r="Y76" s="339"/>
      <c r="Z76" s="337"/>
      <c r="AA76" s="336"/>
      <c r="AB76" s="338"/>
      <c r="AC76" s="339"/>
      <c r="AD76" s="337"/>
      <c r="AE76" s="336"/>
      <c r="AF76" s="338"/>
      <c r="AG76" s="339"/>
      <c r="AH76" s="337"/>
      <c r="AI76" s="336"/>
      <c r="AJ76" s="338"/>
      <c r="AK76" s="339"/>
      <c r="AL76" s="337"/>
      <c r="AM76" s="336"/>
      <c r="AN76" s="338"/>
      <c r="AO76" s="339"/>
      <c r="AP76" s="337"/>
      <c r="AQ76" s="336"/>
      <c r="AR76" s="338"/>
      <c r="AS76" s="339"/>
      <c r="AT76" s="337"/>
      <c r="AU76" s="336"/>
      <c r="AV76" s="338"/>
      <c r="AW76" s="339"/>
      <c r="AX76" s="337"/>
      <c r="AY76" s="336"/>
      <c r="AZ76" s="338"/>
      <c r="BA76" s="339"/>
      <c r="BB76" s="337"/>
      <c r="BC76" s="336"/>
      <c r="BD76" s="338"/>
      <c r="BE76" s="339"/>
      <c r="BF76" s="337"/>
      <c r="BG76" s="336"/>
      <c r="BH76" s="338"/>
      <c r="BI76" s="339"/>
      <c r="BJ76" s="337"/>
      <c r="BK76" s="336"/>
      <c r="BL76" s="338"/>
      <c r="BM76" s="339"/>
      <c r="BN76" s="337"/>
      <c r="BO76" s="336"/>
      <c r="BP76" s="338"/>
      <c r="BQ76" s="339"/>
      <c r="BR76" s="337"/>
      <c r="BS76" s="336"/>
      <c r="BT76" s="338"/>
      <c r="BU76" s="339"/>
      <c r="BV76" s="337"/>
      <c r="BW76" s="336"/>
      <c r="BX76" s="338"/>
      <c r="BY76" s="339"/>
      <c r="BZ76" s="337"/>
      <c r="CA76" s="336"/>
      <c r="CB76" s="338"/>
      <c r="CC76" s="339"/>
      <c r="CD76" s="337"/>
      <c r="CE76" s="336"/>
      <c r="CF76" s="338"/>
      <c r="CG76" s="339"/>
      <c r="CH76" s="337"/>
      <c r="CI76" s="336"/>
      <c r="CJ76" s="338"/>
      <c r="CK76" s="339"/>
      <c r="CL76" s="337"/>
      <c r="CM76" s="336"/>
      <c r="CN76" s="338"/>
      <c r="CO76" s="339"/>
      <c r="CP76" s="337"/>
      <c r="CQ76" s="336"/>
      <c r="CR76" s="338"/>
      <c r="CS76" s="339"/>
      <c r="CT76" s="337"/>
      <c r="CU76" s="336"/>
      <c r="CV76" s="338"/>
      <c r="CW76" s="339"/>
      <c r="CX76" s="337"/>
      <c r="CY76" s="336"/>
      <c r="CZ76" s="338"/>
      <c r="DA76" s="339"/>
      <c r="DB76" s="337"/>
      <c r="DC76" s="336"/>
      <c r="DD76" s="338"/>
      <c r="DE76" s="339"/>
      <c r="DF76" s="337"/>
      <c r="DG76" s="336"/>
      <c r="DH76" s="338"/>
      <c r="DI76" s="339"/>
      <c r="DJ76" s="337"/>
      <c r="DK76" s="336"/>
      <c r="DL76" s="338"/>
      <c r="DM76" s="339"/>
      <c r="DN76" s="337"/>
      <c r="DO76" s="336"/>
      <c r="DP76" s="338"/>
      <c r="DQ76" s="339"/>
      <c r="DR76" s="337"/>
      <c r="DS76" s="336"/>
      <c r="DT76" s="338"/>
      <c r="DU76" s="339"/>
      <c r="DV76" s="337"/>
      <c r="DW76" s="336"/>
      <c r="DX76" s="338"/>
      <c r="DY76" s="339"/>
      <c r="DZ76" s="337"/>
      <c r="EA76" s="336"/>
      <c r="EB76" s="338"/>
      <c r="EC76" s="339"/>
      <c r="ED76" s="337"/>
      <c r="EE76" s="336"/>
      <c r="EF76" s="338"/>
      <c r="EG76" s="339"/>
      <c r="EH76" s="337"/>
      <c r="EI76" s="336"/>
      <c r="EJ76" s="338"/>
      <c r="EK76" s="339"/>
      <c r="EL76" s="337"/>
      <c r="EM76" s="336"/>
      <c r="EN76" s="338"/>
      <c r="EO76" s="339"/>
      <c r="EP76" s="337"/>
      <c r="EQ76" s="336"/>
      <c r="ER76" s="338"/>
      <c r="ES76" s="339"/>
      <c r="ET76" s="337"/>
      <c r="EU76" s="336"/>
      <c r="EV76" s="338"/>
      <c r="EW76" s="339"/>
      <c r="EX76" s="337"/>
      <c r="EY76" s="336"/>
      <c r="EZ76" s="338"/>
      <c r="FA76" s="339"/>
      <c r="FB76" s="337"/>
      <c r="FC76" s="336"/>
      <c r="FD76" s="338"/>
      <c r="FE76" s="339"/>
      <c r="FF76" s="337"/>
      <c r="FG76" s="336"/>
      <c r="FH76" s="338"/>
      <c r="FI76" s="339"/>
      <c r="FJ76" s="337"/>
      <c r="FK76" s="336"/>
      <c r="FL76" s="338"/>
      <c r="FM76" s="339"/>
      <c r="FN76" s="337"/>
      <c r="FO76" s="336"/>
      <c r="FP76" s="338"/>
      <c r="FQ76" s="339"/>
      <c r="FR76" s="337"/>
      <c r="FS76" s="336"/>
      <c r="FT76" s="338"/>
      <c r="FU76" s="339"/>
      <c r="FV76" s="337"/>
      <c r="FW76" s="336"/>
      <c r="FX76" s="338"/>
      <c r="FY76" s="339"/>
      <c r="FZ76" s="337"/>
      <c r="GA76" s="336"/>
      <c r="GB76" s="338"/>
      <c r="GC76" s="339"/>
      <c r="GD76" s="337"/>
      <c r="GE76" s="336"/>
      <c r="GF76" s="338"/>
      <c r="GG76" s="339"/>
      <c r="GH76" s="337"/>
      <c r="GI76" s="336"/>
      <c r="GJ76" s="338"/>
      <c r="GK76" s="339"/>
      <c r="GL76" s="337"/>
      <c r="GM76" s="336"/>
      <c r="GN76" s="338"/>
      <c r="GO76" s="339"/>
      <c r="GP76" s="337"/>
      <c r="GQ76" s="336"/>
      <c r="GR76" s="338"/>
      <c r="GS76" s="339"/>
      <c r="GT76" s="337"/>
      <c r="GU76" s="336"/>
      <c r="GV76" s="338"/>
      <c r="GW76" s="339"/>
      <c r="GX76" s="337"/>
      <c r="GY76" s="336"/>
      <c r="GZ76" s="338"/>
      <c r="HA76" s="339"/>
      <c r="HB76" s="337"/>
      <c r="HC76" s="340">
        <f t="shared" si="79"/>
        <v>0</v>
      </c>
      <c r="HD76" s="341"/>
      <c r="HE76" s="342">
        <f t="shared" si="79"/>
        <v>0</v>
      </c>
      <c r="HF76" s="343">
        <f t="shared" si="79"/>
        <v>0</v>
      </c>
      <c r="HG76" s="340">
        <f>SUM(SUMIFS(K76:HB76,$K$13:$HB$13,{"エネルギー管理指定工場等*","県域*"}))</f>
        <v>0</v>
      </c>
      <c r="HH76" s="341"/>
      <c r="HI76" s="342">
        <f>SUM(SUMIFS(M76:HD76,$K$13:$HB$13,{"エネルギー管理指定工場等*","県域*"}))</f>
        <v>0</v>
      </c>
      <c r="HJ76" s="343">
        <f>SUM(SUMIFS(N76:HE76,$K$13:$HB$13,{"エネルギー管理指定工場等*","県域*"}))</f>
        <v>0</v>
      </c>
      <c r="IE76" s="579"/>
      <c r="IF76" s="579"/>
      <c r="IG76" s="579"/>
      <c r="IH76" s="579"/>
    </row>
    <row r="77" spans="2:242" s="164" customFormat="1" ht="20.100000000000001" customHeight="1">
      <c r="B77" s="302"/>
      <c r="C77" s="319"/>
      <c r="D77" s="303" t="s">
        <v>1381</v>
      </c>
      <c r="E77" s="305"/>
      <c r="F77" s="303" t="s">
        <v>461</v>
      </c>
      <c r="G77" s="336"/>
      <c r="H77" s="334"/>
      <c r="I77" s="308"/>
      <c r="J77" s="309"/>
      <c r="K77" s="336"/>
      <c r="L77" s="338"/>
      <c r="M77" s="339"/>
      <c r="N77" s="337"/>
      <c r="O77" s="336"/>
      <c r="P77" s="338"/>
      <c r="Q77" s="339"/>
      <c r="R77" s="337"/>
      <c r="S77" s="336"/>
      <c r="T77" s="338"/>
      <c r="U77" s="339"/>
      <c r="V77" s="337"/>
      <c r="W77" s="336"/>
      <c r="X77" s="338"/>
      <c r="Y77" s="339"/>
      <c r="Z77" s="337"/>
      <c r="AA77" s="336"/>
      <c r="AB77" s="338"/>
      <c r="AC77" s="339"/>
      <c r="AD77" s="337"/>
      <c r="AE77" s="336"/>
      <c r="AF77" s="338"/>
      <c r="AG77" s="339"/>
      <c r="AH77" s="337"/>
      <c r="AI77" s="336"/>
      <c r="AJ77" s="338"/>
      <c r="AK77" s="339"/>
      <c r="AL77" s="337"/>
      <c r="AM77" s="336"/>
      <c r="AN77" s="338"/>
      <c r="AO77" s="339"/>
      <c r="AP77" s="337"/>
      <c r="AQ77" s="336"/>
      <c r="AR77" s="338"/>
      <c r="AS77" s="339"/>
      <c r="AT77" s="337"/>
      <c r="AU77" s="336"/>
      <c r="AV77" s="338"/>
      <c r="AW77" s="339"/>
      <c r="AX77" s="337"/>
      <c r="AY77" s="336"/>
      <c r="AZ77" s="338"/>
      <c r="BA77" s="339"/>
      <c r="BB77" s="337"/>
      <c r="BC77" s="336"/>
      <c r="BD77" s="338"/>
      <c r="BE77" s="339"/>
      <c r="BF77" s="337"/>
      <c r="BG77" s="336"/>
      <c r="BH77" s="338"/>
      <c r="BI77" s="339"/>
      <c r="BJ77" s="337"/>
      <c r="BK77" s="336"/>
      <c r="BL77" s="338"/>
      <c r="BM77" s="339"/>
      <c r="BN77" s="337"/>
      <c r="BO77" s="336"/>
      <c r="BP77" s="338"/>
      <c r="BQ77" s="339"/>
      <c r="BR77" s="337"/>
      <c r="BS77" s="336"/>
      <c r="BT77" s="338"/>
      <c r="BU77" s="339"/>
      <c r="BV77" s="337"/>
      <c r="BW77" s="336"/>
      <c r="BX77" s="338"/>
      <c r="BY77" s="339"/>
      <c r="BZ77" s="337"/>
      <c r="CA77" s="336"/>
      <c r="CB77" s="338"/>
      <c r="CC77" s="339"/>
      <c r="CD77" s="337"/>
      <c r="CE77" s="336"/>
      <c r="CF77" s="338"/>
      <c r="CG77" s="339"/>
      <c r="CH77" s="337"/>
      <c r="CI77" s="336"/>
      <c r="CJ77" s="338"/>
      <c r="CK77" s="339"/>
      <c r="CL77" s="337"/>
      <c r="CM77" s="336"/>
      <c r="CN77" s="338"/>
      <c r="CO77" s="339"/>
      <c r="CP77" s="337"/>
      <c r="CQ77" s="336"/>
      <c r="CR77" s="338"/>
      <c r="CS77" s="339"/>
      <c r="CT77" s="337"/>
      <c r="CU77" s="336"/>
      <c r="CV77" s="338"/>
      <c r="CW77" s="339"/>
      <c r="CX77" s="337"/>
      <c r="CY77" s="336"/>
      <c r="CZ77" s="338"/>
      <c r="DA77" s="339"/>
      <c r="DB77" s="337"/>
      <c r="DC77" s="336"/>
      <c r="DD77" s="338"/>
      <c r="DE77" s="339"/>
      <c r="DF77" s="337"/>
      <c r="DG77" s="336"/>
      <c r="DH77" s="338"/>
      <c r="DI77" s="339"/>
      <c r="DJ77" s="337"/>
      <c r="DK77" s="336"/>
      <c r="DL77" s="338"/>
      <c r="DM77" s="339"/>
      <c r="DN77" s="337"/>
      <c r="DO77" s="336"/>
      <c r="DP77" s="338"/>
      <c r="DQ77" s="339"/>
      <c r="DR77" s="337"/>
      <c r="DS77" s="336"/>
      <c r="DT77" s="338"/>
      <c r="DU77" s="339"/>
      <c r="DV77" s="337"/>
      <c r="DW77" s="336"/>
      <c r="DX77" s="338"/>
      <c r="DY77" s="339"/>
      <c r="DZ77" s="337"/>
      <c r="EA77" s="336"/>
      <c r="EB77" s="338"/>
      <c r="EC77" s="339"/>
      <c r="ED77" s="337"/>
      <c r="EE77" s="336"/>
      <c r="EF77" s="338"/>
      <c r="EG77" s="339"/>
      <c r="EH77" s="337"/>
      <c r="EI77" s="336"/>
      <c r="EJ77" s="338"/>
      <c r="EK77" s="339"/>
      <c r="EL77" s="337"/>
      <c r="EM77" s="336"/>
      <c r="EN77" s="338"/>
      <c r="EO77" s="339"/>
      <c r="EP77" s="337"/>
      <c r="EQ77" s="336"/>
      <c r="ER77" s="338"/>
      <c r="ES77" s="339"/>
      <c r="ET77" s="337"/>
      <c r="EU77" s="336"/>
      <c r="EV77" s="338"/>
      <c r="EW77" s="339"/>
      <c r="EX77" s="337"/>
      <c r="EY77" s="336"/>
      <c r="EZ77" s="338"/>
      <c r="FA77" s="339"/>
      <c r="FB77" s="337"/>
      <c r="FC77" s="336"/>
      <c r="FD77" s="338"/>
      <c r="FE77" s="339"/>
      <c r="FF77" s="337"/>
      <c r="FG77" s="336"/>
      <c r="FH77" s="338"/>
      <c r="FI77" s="339"/>
      <c r="FJ77" s="337"/>
      <c r="FK77" s="336"/>
      <c r="FL77" s="338"/>
      <c r="FM77" s="339"/>
      <c r="FN77" s="337"/>
      <c r="FO77" s="336"/>
      <c r="FP77" s="338"/>
      <c r="FQ77" s="339"/>
      <c r="FR77" s="337"/>
      <c r="FS77" s="336"/>
      <c r="FT77" s="338"/>
      <c r="FU77" s="339"/>
      <c r="FV77" s="337"/>
      <c r="FW77" s="336"/>
      <c r="FX77" s="338"/>
      <c r="FY77" s="339"/>
      <c r="FZ77" s="337"/>
      <c r="GA77" s="336"/>
      <c r="GB77" s="338"/>
      <c r="GC77" s="339"/>
      <c r="GD77" s="337"/>
      <c r="GE77" s="336"/>
      <c r="GF77" s="338"/>
      <c r="GG77" s="339"/>
      <c r="GH77" s="337"/>
      <c r="GI77" s="336"/>
      <c r="GJ77" s="338"/>
      <c r="GK77" s="339"/>
      <c r="GL77" s="337"/>
      <c r="GM77" s="336"/>
      <c r="GN77" s="338"/>
      <c r="GO77" s="339"/>
      <c r="GP77" s="337"/>
      <c r="GQ77" s="336"/>
      <c r="GR77" s="338"/>
      <c r="GS77" s="339"/>
      <c r="GT77" s="337"/>
      <c r="GU77" s="336"/>
      <c r="GV77" s="338"/>
      <c r="GW77" s="339"/>
      <c r="GX77" s="337"/>
      <c r="GY77" s="336"/>
      <c r="GZ77" s="338"/>
      <c r="HA77" s="339"/>
      <c r="HB77" s="337"/>
      <c r="HC77" s="340">
        <f t="shared" si="79"/>
        <v>0</v>
      </c>
      <c r="HD77" s="341"/>
      <c r="HE77" s="342">
        <f t="shared" si="79"/>
        <v>0</v>
      </c>
      <c r="HF77" s="343">
        <f t="shared" si="79"/>
        <v>0</v>
      </c>
      <c r="HG77" s="340">
        <f>SUM(SUMIFS(K77:HB77,$K$13:$HB$13,{"エネルギー管理指定工場等*","県域*"}))</f>
        <v>0</v>
      </c>
      <c r="HH77" s="341"/>
      <c r="HI77" s="342">
        <f>SUM(SUMIFS(M77:HD77,$K$13:$HB$13,{"エネルギー管理指定工場等*","県域*"}))</f>
        <v>0</v>
      </c>
      <c r="HJ77" s="343">
        <f>SUM(SUMIFS(N77:HE77,$K$13:$HB$13,{"エネルギー管理指定工場等*","県域*"}))</f>
        <v>0</v>
      </c>
      <c r="IE77" s="579"/>
      <c r="IF77" s="579"/>
      <c r="IG77" s="579"/>
      <c r="IH77" s="579"/>
    </row>
    <row r="78" spans="2:242" s="164" customFormat="1" ht="20.100000000000001" customHeight="1">
      <c r="B78" s="302"/>
      <c r="C78" s="319"/>
      <c r="D78" s="303" t="s">
        <v>1382</v>
      </c>
      <c r="E78" s="305"/>
      <c r="F78" s="303" t="s">
        <v>461</v>
      </c>
      <c r="G78" s="336"/>
      <c r="H78" s="309"/>
      <c r="I78" s="308"/>
      <c r="J78" s="309"/>
      <c r="K78" s="336"/>
      <c r="L78" s="338"/>
      <c r="M78" s="339"/>
      <c r="N78" s="337"/>
      <c r="O78" s="336"/>
      <c r="P78" s="338"/>
      <c r="Q78" s="339"/>
      <c r="R78" s="337"/>
      <c r="S78" s="336"/>
      <c r="T78" s="338"/>
      <c r="U78" s="339"/>
      <c r="V78" s="337"/>
      <c r="W78" s="336"/>
      <c r="X78" s="338"/>
      <c r="Y78" s="339"/>
      <c r="Z78" s="337"/>
      <c r="AA78" s="336"/>
      <c r="AB78" s="338"/>
      <c r="AC78" s="339"/>
      <c r="AD78" s="337"/>
      <c r="AE78" s="336"/>
      <c r="AF78" s="338"/>
      <c r="AG78" s="339"/>
      <c r="AH78" s="337"/>
      <c r="AI78" s="336"/>
      <c r="AJ78" s="338"/>
      <c r="AK78" s="339"/>
      <c r="AL78" s="337"/>
      <c r="AM78" s="336"/>
      <c r="AN78" s="338"/>
      <c r="AO78" s="339"/>
      <c r="AP78" s="337"/>
      <c r="AQ78" s="336"/>
      <c r="AR78" s="338"/>
      <c r="AS78" s="339"/>
      <c r="AT78" s="337"/>
      <c r="AU78" s="336"/>
      <c r="AV78" s="338"/>
      <c r="AW78" s="339"/>
      <c r="AX78" s="337"/>
      <c r="AY78" s="336"/>
      <c r="AZ78" s="338"/>
      <c r="BA78" s="339"/>
      <c r="BB78" s="337"/>
      <c r="BC78" s="336"/>
      <c r="BD78" s="338"/>
      <c r="BE78" s="339"/>
      <c r="BF78" s="337"/>
      <c r="BG78" s="336"/>
      <c r="BH78" s="338"/>
      <c r="BI78" s="339"/>
      <c r="BJ78" s="337"/>
      <c r="BK78" s="336"/>
      <c r="BL78" s="338"/>
      <c r="BM78" s="339"/>
      <c r="BN78" s="337"/>
      <c r="BO78" s="336"/>
      <c r="BP78" s="338"/>
      <c r="BQ78" s="339"/>
      <c r="BR78" s="337"/>
      <c r="BS78" s="336"/>
      <c r="BT78" s="338"/>
      <c r="BU78" s="339"/>
      <c r="BV78" s="337"/>
      <c r="BW78" s="336"/>
      <c r="BX78" s="338"/>
      <c r="BY78" s="339"/>
      <c r="BZ78" s="337"/>
      <c r="CA78" s="336"/>
      <c r="CB78" s="338"/>
      <c r="CC78" s="339"/>
      <c r="CD78" s="337"/>
      <c r="CE78" s="336"/>
      <c r="CF78" s="338"/>
      <c r="CG78" s="339"/>
      <c r="CH78" s="337"/>
      <c r="CI78" s="336"/>
      <c r="CJ78" s="338"/>
      <c r="CK78" s="339"/>
      <c r="CL78" s="337"/>
      <c r="CM78" s="336"/>
      <c r="CN78" s="338"/>
      <c r="CO78" s="339"/>
      <c r="CP78" s="337"/>
      <c r="CQ78" s="336"/>
      <c r="CR78" s="338"/>
      <c r="CS78" s="339"/>
      <c r="CT78" s="337"/>
      <c r="CU78" s="336"/>
      <c r="CV78" s="338"/>
      <c r="CW78" s="339"/>
      <c r="CX78" s="337"/>
      <c r="CY78" s="336"/>
      <c r="CZ78" s="338"/>
      <c r="DA78" s="339"/>
      <c r="DB78" s="337"/>
      <c r="DC78" s="336"/>
      <c r="DD78" s="338"/>
      <c r="DE78" s="339"/>
      <c r="DF78" s="337"/>
      <c r="DG78" s="336"/>
      <c r="DH78" s="338"/>
      <c r="DI78" s="339"/>
      <c r="DJ78" s="337"/>
      <c r="DK78" s="336"/>
      <c r="DL78" s="338"/>
      <c r="DM78" s="339"/>
      <c r="DN78" s="337"/>
      <c r="DO78" s="336"/>
      <c r="DP78" s="338"/>
      <c r="DQ78" s="339"/>
      <c r="DR78" s="337"/>
      <c r="DS78" s="336"/>
      <c r="DT78" s="338"/>
      <c r="DU78" s="339"/>
      <c r="DV78" s="337"/>
      <c r="DW78" s="336"/>
      <c r="DX78" s="338"/>
      <c r="DY78" s="339"/>
      <c r="DZ78" s="337"/>
      <c r="EA78" s="336"/>
      <c r="EB78" s="338"/>
      <c r="EC78" s="339"/>
      <c r="ED78" s="337"/>
      <c r="EE78" s="336"/>
      <c r="EF78" s="338"/>
      <c r="EG78" s="339"/>
      <c r="EH78" s="337"/>
      <c r="EI78" s="336"/>
      <c r="EJ78" s="338"/>
      <c r="EK78" s="339"/>
      <c r="EL78" s="337"/>
      <c r="EM78" s="336"/>
      <c r="EN78" s="338"/>
      <c r="EO78" s="339"/>
      <c r="EP78" s="337"/>
      <c r="EQ78" s="336"/>
      <c r="ER78" s="338"/>
      <c r="ES78" s="339"/>
      <c r="ET78" s="337"/>
      <c r="EU78" s="336"/>
      <c r="EV78" s="338"/>
      <c r="EW78" s="339"/>
      <c r="EX78" s="337"/>
      <c r="EY78" s="336"/>
      <c r="EZ78" s="338"/>
      <c r="FA78" s="339"/>
      <c r="FB78" s="337"/>
      <c r="FC78" s="336"/>
      <c r="FD78" s="338"/>
      <c r="FE78" s="339"/>
      <c r="FF78" s="337"/>
      <c r="FG78" s="336"/>
      <c r="FH78" s="338"/>
      <c r="FI78" s="339"/>
      <c r="FJ78" s="337"/>
      <c r="FK78" s="336"/>
      <c r="FL78" s="338"/>
      <c r="FM78" s="339"/>
      <c r="FN78" s="337"/>
      <c r="FO78" s="336"/>
      <c r="FP78" s="338"/>
      <c r="FQ78" s="339"/>
      <c r="FR78" s="337"/>
      <c r="FS78" s="336"/>
      <c r="FT78" s="338"/>
      <c r="FU78" s="339"/>
      <c r="FV78" s="337"/>
      <c r="FW78" s="336"/>
      <c r="FX78" s="338"/>
      <c r="FY78" s="339"/>
      <c r="FZ78" s="337"/>
      <c r="GA78" s="336"/>
      <c r="GB78" s="338"/>
      <c r="GC78" s="339"/>
      <c r="GD78" s="337"/>
      <c r="GE78" s="336"/>
      <c r="GF78" s="338"/>
      <c r="GG78" s="339"/>
      <c r="GH78" s="337"/>
      <c r="GI78" s="336"/>
      <c r="GJ78" s="338"/>
      <c r="GK78" s="339"/>
      <c r="GL78" s="337"/>
      <c r="GM78" s="336"/>
      <c r="GN78" s="338"/>
      <c r="GO78" s="339"/>
      <c r="GP78" s="337"/>
      <c r="GQ78" s="336"/>
      <c r="GR78" s="338"/>
      <c r="GS78" s="339"/>
      <c r="GT78" s="337"/>
      <c r="GU78" s="336"/>
      <c r="GV78" s="338"/>
      <c r="GW78" s="339"/>
      <c r="GX78" s="337"/>
      <c r="GY78" s="336"/>
      <c r="GZ78" s="338"/>
      <c r="HA78" s="339"/>
      <c r="HB78" s="337"/>
      <c r="HC78" s="340">
        <f t="shared" si="79"/>
        <v>0</v>
      </c>
      <c r="HD78" s="341"/>
      <c r="HE78" s="342">
        <f t="shared" si="79"/>
        <v>0</v>
      </c>
      <c r="HF78" s="343">
        <f t="shared" si="79"/>
        <v>0</v>
      </c>
      <c r="HG78" s="340">
        <f>SUM(SUMIFS(K78:HB78,$K$13:$HB$13,{"エネルギー管理指定工場等*","県域*"}))</f>
        <v>0</v>
      </c>
      <c r="HH78" s="341"/>
      <c r="HI78" s="342">
        <f>SUM(SUMIFS(M78:HD78,$K$13:$HB$13,{"エネルギー管理指定工場等*","県域*"}))</f>
        <v>0</v>
      </c>
      <c r="HJ78" s="343">
        <f>SUM(SUMIFS(N78:HE78,$K$13:$HB$13,{"エネルギー管理指定工場等*","県域*"}))</f>
        <v>0</v>
      </c>
      <c r="IE78" s="579"/>
      <c r="IF78" s="579"/>
      <c r="IG78" s="579"/>
      <c r="IH78" s="579"/>
    </row>
    <row r="79" spans="2:242" s="164" customFormat="1" ht="20.100000000000001" customHeight="1">
      <c r="B79" s="302"/>
      <c r="C79" s="319"/>
      <c r="D79" s="303" t="s">
        <v>1383</v>
      </c>
      <c r="E79" s="311"/>
      <c r="F79" s="303" t="s">
        <v>461</v>
      </c>
      <c r="G79" s="336"/>
      <c r="H79" s="337"/>
      <c r="I79" s="308"/>
      <c r="J79" s="309"/>
      <c r="K79" s="336"/>
      <c r="L79" s="338"/>
      <c r="M79" s="339"/>
      <c r="N79" s="337"/>
      <c r="O79" s="336"/>
      <c r="P79" s="338"/>
      <c r="Q79" s="339"/>
      <c r="R79" s="337"/>
      <c r="S79" s="336"/>
      <c r="T79" s="338"/>
      <c r="U79" s="339"/>
      <c r="V79" s="337"/>
      <c r="W79" s="336"/>
      <c r="X79" s="338"/>
      <c r="Y79" s="339"/>
      <c r="Z79" s="337"/>
      <c r="AA79" s="336"/>
      <c r="AB79" s="338"/>
      <c r="AC79" s="339"/>
      <c r="AD79" s="337"/>
      <c r="AE79" s="336"/>
      <c r="AF79" s="338"/>
      <c r="AG79" s="339"/>
      <c r="AH79" s="337"/>
      <c r="AI79" s="336"/>
      <c r="AJ79" s="338"/>
      <c r="AK79" s="339"/>
      <c r="AL79" s="337"/>
      <c r="AM79" s="336"/>
      <c r="AN79" s="338"/>
      <c r="AO79" s="339"/>
      <c r="AP79" s="337"/>
      <c r="AQ79" s="336"/>
      <c r="AR79" s="338"/>
      <c r="AS79" s="339"/>
      <c r="AT79" s="337"/>
      <c r="AU79" s="336"/>
      <c r="AV79" s="338"/>
      <c r="AW79" s="339"/>
      <c r="AX79" s="337"/>
      <c r="AY79" s="336"/>
      <c r="AZ79" s="338"/>
      <c r="BA79" s="339"/>
      <c r="BB79" s="337"/>
      <c r="BC79" s="336"/>
      <c r="BD79" s="338"/>
      <c r="BE79" s="339"/>
      <c r="BF79" s="337"/>
      <c r="BG79" s="336"/>
      <c r="BH79" s="338"/>
      <c r="BI79" s="339"/>
      <c r="BJ79" s="337"/>
      <c r="BK79" s="336"/>
      <c r="BL79" s="338"/>
      <c r="BM79" s="339"/>
      <c r="BN79" s="337"/>
      <c r="BO79" s="336"/>
      <c r="BP79" s="338"/>
      <c r="BQ79" s="339"/>
      <c r="BR79" s="337"/>
      <c r="BS79" s="336"/>
      <c r="BT79" s="338"/>
      <c r="BU79" s="339"/>
      <c r="BV79" s="337"/>
      <c r="BW79" s="336"/>
      <c r="BX79" s="338"/>
      <c r="BY79" s="339"/>
      <c r="BZ79" s="337"/>
      <c r="CA79" s="336"/>
      <c r="CB79" s="338"/>
      <c r="CC79" s="339"/>
      <c r="CD79" s="337"/>
      <c r="CE79" s="336"/>
      <c r="CF79" s="338"/>
      <c r="CG79" s="339"/>
      <c r="CH79" s="337"/>
      <c r="CI79" s="336"/>
      <c r="CJ79" s="338"/>
      <c r="CK79" s="339"/>
      <c r="CL79" s="337"/>
      <c r="CM79" s="336"/>
      <c r="CN79" s="338"/>
      <c r="CO79" s="339"/>
      <c r="CP79" s="337"/>
      <c r="CQ79" s="336"/>
      <c r="CR79" s="338"/>
      <c r="CS79" s="339"/>
      <c r="CT79" s="337"/>
      <c r="CU79" s="336"/>
      <c r="CV79" s="338"/>
      <c r="CW79" s="339"/>
      <c r="CX79" s="337"/>
      <c r="CY79" s="336"/>
      <c r="CZ79" s="338"/>
      <c r="DA79" s="339"/>
      <c r="DB79" s="337"/>
      <c r="DC79" s="336"/>
      <c r="DD79" s="338"/>
      <c r="DE79" s="339"/>
      <c r="DF79" s="337"/>
      <c r="DG79" s="336"/>
      <c r="DH79" s="338"/>
      <c r="DI79" s="339"/>
      <c r="DJ79" s="337"/>
      <c r="DK79" s="336"/>
      <c r="DL79" s="338"/>
      <c r="DM79" s="339"/>
      <c r="DN79" s="337"/>
      <c r="DO79" s="336"/>
      <c r="DP79" s="338"/>
      <c r="DQ79" s="339"/>
      <c r="DR79" s="337"/>
      <c r="DS79" s="336"/>
      <c r="DT79" s="338"/>
      <c r="DU79" s="339"/>
      <c r="DV79" s="337"/>
      <c r="DW79" s="336"/>
      <c r="DX79" s="338"/>
      <c r="DY79" s="339"/>
      <c r="DZ79" s="337"/>
      <c r="EA79" s="336"/>
      <c r="EB79" s="338"/>
      <c r="EC79" s="339"/>
      <c r="ED79" s="337"/>
      <c r="EE79" s="336"/>
      <c r="EF79" s="338"/>
      <c r="EG79" s="339"/>
      <c r="EH79" s="337"/>
      <c r="EI79" s="336"/>
      <c r="EJ79" s="338"/>
      <c r="EK79" s="339"/>
      <c r="EL79" s="337"/>
      <c r="EM79" s="336"/>
      <c r="EN79" s="338"/>
      <c r="EO79" s="339"/>
      <c r="EP79" s="337"/>
      <c r="EQ79" s="336"/>
      <c r="ER79" s="338"/>
      <c r="ES79" s="339"/>
      <c r="ET79" s="337"/>
      <c r="EU79" s="336"/>
      <c r="EV79" s="338"/>
      <c r="EW79" s="339"/>
      <c r="EX79" s="337"/>
      <c r="EY79" s="336"/>
      <c r="EZ79" s="338"/>
      <c r="FA79" s="339"/>
      <c r="FB79" s="337"/>
      <c r="FC79" s="336"/>
      <c r="FD79" s="338"/>
      <c r="FE79" s="339"/>
      <c r="FF79" s="337"/>
      <c r="FG79" s="336"/>
      <c r="FH79" s="338"/>
      <c r="FI79" s="339"/>
      <c r="FJ79" s="337"/>
      <c r="FK79" s="336"/>
      <c r="FL79" s="338"/>
      <c r="FM79" s="339"/>
      <c r="FN79" s="337"/>
      <c r="FO79" s="336"/>
      <c r="FP79" s="338"/>
      <c r="FQ79" s="339"/>
      <c r="FR79" s="337"/>
      <c r="FS79" s="336"/>
      <c r="FT79" s="338"/>
      <c r="FU79" s="339"/>
      <c r="FV79" s="337"/>
      <c r="FW79" s="336"/>
      <c r="FX79" s="338"/>
      <c r="FY79" s="339"/>
      <c r="FZ79" s="337"/>
      <c r="GA79" s="336"/>
      <c r="GB79" s="338"/>
      <c r="GC79" s="339"/>
      <c r="GD79" s="337"/>
      <c r="GE79" s="336"/>
      <c r="GF79" s="338"/>
      <c r="GG79" s="339"/>
      <c r="GH79" s="337"/>
      <c r="GI79" s="336"/>
      <c r="GJ79" s="338"/>
      <c r="GK79" s="339"/>
      <c r="GL79" s="337"/>
      <c r="GM79" s="336"/>
      <c r="GN79" s="338"/>
      <c r="GO79" s="339"/>
      <c r="GP79" s="337"/>
      <c r="GQ79" s="336"/>
      <c r="GR79" s="338"/>
      <c r="GS79" s="339"/>
      <c r="GT79" s="337"/>
      <c r="GU79" s="336"/>
      <c r="GV79" s="338"/>
      <c r="GW79" s="339"/>
      <c r="GX79" s="337"/>
      <c r="GY79" s="336"/>
      <c r="GZ79" s="338"/>
      <c r="HA79" s="339"/>
      <c r="HB79" s="337"/>
      <c r="HC79" s="340">
        <f t="shared" si="79"/>
        <v>0</v>
      </c>
      <c r="HD79" s="341"/>
      <c r="HE79" s="342">
        <f t="shared" si="79"/>
        <v>0</v>
      </c>
      <c r="HF79" s="343">
        <f t="shared" si="79"/>
        <v>0</v>
      </c>
      <c r="HG79" s="340">
        <f>SUM(SUMIFS(K79:HB79,$K$13:$HB$13,{"エネルギー管理指定工場等*","県域*"}))</f>
        <v>0</v>
      </c>
      <c r="HH79" s="341"/>
      <c r="HI79" s="342">
        <f>SUM(SUMIFS(M79:HD79,$K$13:$HB$13,{"エネルギー管理指定工場等*","県域*"}))</f>
        <v>0</v>
      </c>
      <c r="HJ79" s="343">
        <f>SUM(SUMIFS(N79:HE79,$K$13:$HB$13,{"エネルギー管理指定工場等*","県域*"}))</f>
        <v>0</v>
      </c>
      <c r="IE79" s="579"/>
      <c r="IF79" s="579"/>
      <c r="IG79" s="579"/>
      <c r="IH79" s="579"/>
    </row>
    <row r="80" spans="2:242" s="164" customFormat="1" ht="19.8">
      <c r="B80" s="320"/>
      <c r="C80" s="318"/>
      <c r="D80" s="303" t="s">
        <v>1384</v>
      </c>
      <c r="E80" s="311"/>
      <c r="F80" s="303" t="s">
        <v>461</v>
      </c>
      <c r="G80" s="310"/>
      <c r="H80" s="315"/>
      <c r="I80" s="308"/>
      <c r="J80" s="309"/>
      <c r="K80" s="310"/>
      <c r="L80" s="329"/>
      <c r="M80" s="311"/>
      <c r="N80" s="315"/>
      <c r="O80" s="310"/>
      <c r="P80" s="329"/>
      <c r="Q80" s="311"/>
      <c r="R80" s="315"/>
      <c r="S80" s="310"/>
      <c r="T80" s="329"/>
      <c r="U80" s="311"/>
      <c r="V80" s="315"/>
      <c r="W80" s="310"/>
      <c r="X80" s="329"/>
      <c r="Y80" s="311"/>
      <c r="Z80" s="315"/>
      <c r="AA80" s="310"/>
      <c r="AB80" s="329"/>
      <c r="AC80" s="311"/>
      <c r="AD80" s="315"/>
      <c r="AE80" s="310"/>
      <c r="AF80" s="329"/>
      <c r="AG80" s="311"/>
      <c r="AH80" s="315"/>
      <c r="AI80" s="310"/>
      <c r="AJ80" s="329"/>
      <c r="AK80" s="311"/>
      <c r="AL80" s="315"/>
      <c r="AM80" s="310"/>
      <c r="AN80" s="329"/>
      <c r="AO80" s="311"/>
      <c r="AP80" s="315"/>
      <c r="AQ80" s="310"/>
      <c r="AR80" s="329"/>
      <c r="AS80" s="311"/>
      <c r="AT80" s="315"/>
      <c r="AU80" s="310"/>
      <c r="AV80" s="329"/>
      <c r="AW80" s="311"/>
      <c r="AX80" s="315"/>
      <c r="AY80" s="310"/>
      <c r="AZ80" s="329"/>
      <c r="BA80" s="311"/>
      <c r="BB80" s="315"/>
      <c r="BC80" s="310"/>
      <c r="BD80" s="329"/>
      <c r="BE80" s="311"/>
      <c r="BF80" s="315"/>
      <c r="BG80" s="310"/>
      <c r="BH80" s="329"/>
      <c r="BI80" s="311"/>
      <c r="BJ80" s="315"/>
      <c r="BK80" s="310"/>
      <c r="BL80" s="329"/>
      <c r="BM80" s="311"/>
      <c r="BN80" s="315"/>
      <c r="BO80" s="310"/>
      <c r="BP80" s="329"/>
      <c r="BQ80" s="311"/>
      <c r="BR80" s="315"/>
      <c r="BS80" s="310"/>
      <c r="BT80" s="329"/>
      <c r="BU80" s="311"/>
      <c r="BV80" s="315"/>
      <c r="BW80" s="310"/>
      <c r="BX80" s="329"/>
      <c r="BY80" s="311"/>
      <c r="BZ80" s="315"/>
      <c r="CA80" s="310"/>
      <c r="CB80" s="329"/>
      <c r="CC80" s="311"/>
      <c r="CD80" s="315"/>
      <c r="CE80" s="310"/>
      <c r="CF80" s="329"/>
      <c r="CG80" s="311"/>
      <c r="CH80" s="315"/>
      <c r="CI80" s="310"/>
      <c r="CJ80" s="329"/>
      <c r="CK80" s="311"/>
      <c r="CL80" s="315"/>
      <c r="CM80" s="310"/>
      <c r="CN80" s="329"/>
      <c r="CO80" s="311"/>
      <c r="CP80" s="315"/>
      <c r="CQ80" s="310"/>
      <c r="CR80" s="329"/>
      <c r="CS80" s="311"/>
      <c r="CT80" s="315"/>
      <c r="CU80" s="310"/>
      <c r="CV80" s="329"/>
      <c r="CW80" s="311"/>
      <c r="CX80" s="315"/>
      <c r="CY80" s="310"/>
      <c r="CZ80" s="329"/>
      <c r="DA80" s="311"/>
      <c r="DB80" s="315"/>
      <c r="DC80" s="310"/>
      <c r="DD80" s="329"/>
      <c r="DE80" s="311"/>
      <c r="DF80" s="315"/>
      <c r="DG80" s="310"/>
      <c r="DH80" s="329"/>
      <c r="DI80" s="311"/>
      <c r="DJ80" s="315"/>
      <c r="DK80" s="310"/>
      <c r="DL80" s="329"/>
      <c r="DM80" s="311"/>
      <c r="DN80" s="315"/>
      <c r="DO80" s="310"/>
      <c r="DP80" s="329"/>
      <c r="DQ80" s="311"/>
      <c r="DR80" s="315"/>
      <c r="DS80" s="310"/>
      <c r="DT80" s="329"/>
      <c r="DU80" s="311"/>
      <c r="DV80" s="315"/>
      <c r="DW80" s="310"/>
      <c r="DX80" s="329"/>
      <c r="DY80" s="311"/>
      <c r="DZ80" s="315"/>
      <c r="EA80" s="310"/>
      <c r="EB80" s="329"/>
      <c r="EC80" s="311"/>
      <c r="ED80" s="315"/>
      <c r="EE80" s="310"/>
      <c r="EF80" s="329"/>
      <c r="EG80" s="311"/>
      <c r="EH80" s="315"/>
      <c r="EI80" s="310"/>
      <c r="EJ80" s="329"/>
      <c r="EK80" s="311"/>
      <c r="EL80" s="315"/>
      <c r="EM80" s="310"/>
      <c r="EN80" s="329"/>
      <c r="EO80" s="311"/>
      <c r="EP80" s="315"/>
      <c r="EQ80" s="310"/>
      <c r="ER80" s="329"/>
      <c r="ES80" s="311"/>
      <c r="ET80" s="315"/>
      <c r="EU80" s="310"/>
      <c r="EV80" s="329"/>
      <c r="EW80" s="311"/>
      <c r="EX80" s="315"/>
      <c r="EY80" s="310"/>
      <c r="EZ80" s="329"/>
      <c r="FA80" s="311"/>
      <c r="FB80" s="315"/>
      <c r="FC80" s="310"/>
      <c r="FD80" s="329"/>
      <c r="FE80" s="311"/>
      <c r="FF80" s="315"/>
      <c r="FG80" s="310"/>
      <c r="FH80" s="329"/>
      <c r="FI80" s="311"/>
      <c r="FJ80" s="315"/>
      <c r="FK80" s="310"/>
      <c r="FL80" s="329"/>
      <c r="FM80" s="311"/>
      <c r="FN80" s="315"/>
      <c r="FO80" s="310"/>
      <c r="FP80" s="329"/>
      <c r="FQ80" s="311"/>
      <c r="FR80" s="315"/>
      <c r="FS80" s="310"/>
      <c r="FT80" s="329"/>
      <c r="FU80" s="311"/>
      <c r="FV80" s="315"/>
      <c r="FW80" s="310"/>
      <c r="FX80" s="329"/>
      <c r="FY80" s="311"/>
      <c r="FZ80" s="315"/>
      <c r="GA80" s="310"/>
      <c r="GB80" s="329"/>
      <c r="GC80" s="311"/>
      <c r="GD80" s="315"/>
      <c r="GE80" s="310"/>
      <c r="GF80" s="329"/>
      <c r="GG80" s="311"/>
      <c r="GH80" s="315"/>
      <c r="GI80" s="310"/>
      <c r="GJ80" s="329"/>
      <c r="GK80" s="311"/>
      <c r="GL80" s="315"/>
      <c r="GM80" s="310"/>
      <c r="GN80" s="329"/>
      <c r="GO80" s="311"/>
      <c r="GP80" s="315"/>
      <c r="GQ80" s="310"/>
      <c r="GR80" s="329"/>
      <c r="GS80" s="311"/>
      <c r="GT80" s="315"/>
      <c r="GU80" s="310"/>
      <c r="GV80" s="329"/>
      <c r="GW80" s="311"/>
      <c r="GX80" s="315"/>
      <c r="GY80" s="310"/>
      <c r="GZ80" s="329"/>
      <c r="HA80" s="311"/>
      <c r="HB80" s="315"/>
      <c r="HC80" s="312">
        <f t="shared" si="79"/>
        <v>0</v>
      </c>
      <c r="HD80" s="330"/>
      <c r="HE80" s="313">
        <f t="shared" si="79"/>
        <v>0</v>
      </c>
      <c r="HF80" s="331">
        <f t="shared" si="79"/>
        <v>0</v>
      </c>
      <c r="HG80" s="312">
        <f>SUM(SUMIFS(K80:HB80,$K$13:$HB$13,{"エネルギー管理指定工場等*","県域*"}))</f>
        <v>0</v>
      </c>
      <c r="HH80" s="330"/>
      <c r="HI80" s="313">
        <f>SUM(SUMIFS(M80:HD80,$K$13:$HB$13,{"エネルギー管理指定工場等*","県域*"}))</f>
        <v>0</v>
      </c>
      <c r="HJ80" s="331">
        <f>SUM(SUMIFS(N80:HE80,$K$13:$HB$13,{"エネルギー管理指定工場等*","県域*"}))</f>
        <v>0</v>
      </c>
      <c r="IE80" s="579"/>
      <c r="IF80" s="579"/>
      <c r="IG80" s="579"/>
      <c r="IH80" s="579"/>
    </row>
    <row r="81" spans="2:242" s="164" customFormat="1" ht="44.25" customHeight="1">
      <c r="B81" s="302" t="s">
        <v>607</v>
      </c>
      <c r="C81" s="344" t="s">
        <v>608</v>
      </c>
      <c r="D81" s="345" t="s">
        <v>609</v>
      </c>
      <c r="E81" s="270"/>
      <c r="F81" s="346" t="s">
        <v>610</v>
      </c>
      <c r="G81" s="320">
        <v>8.64</v>
      </c>
      <c r="H81" s="347"/>
      <c r="I81" s="348"/>
      <c r="J81" s="349"/>
      <c r="K81" s="348"/>
      <c r="L81" s="350"/>
      <c r="M81" s="350"/>
      <c r="N81" s="347"/>
      <c r="O81" s="348"/>
      <c r="P81" s="350"/>
      <c r="Q81" s="350"/>
      <c r="R81" s="347"/>
      <c r="S81" s="348"/>
      <c r="T81" s="350"/>
      <c r="U81" s="350"/>
      <c r="V81" s="347"/>
      <c r="W81" s="348"/>
      <c r="X81" s="350"/>
      <c r="Y81" s="350"/>
      <c r="Z81" s="347"/>
      <c r="AA81" s="348"/>
      <c r="AB81" s="350"/>
      <c r="AC81" s="350"/>
      <c r="AD81" s="347"/>
      <c r="AE81" s="348"/>
      <c r="AF81" s="350"/>
      <c r="AG81" s="350"/>
      <c r="AH81" s="347"/>
      <c r="AI81" s="348"/>
      <c r="AJ81" s="350"/>
      <c r="AK81" s="350"/>
      <c r="AL81" s="347"/>
      <c r="AM81" s="348"/>
      <c r="AN81" s="350"/>
      <c r="AO81" s="350"/>
      <c r="AP81" s="347"/>
      <c r="AQ81" s="348"/>
      <c r="AR81" s="350"/>
      <c r="AS81" s="350"/>
      <c r="AT81" s="347"/>
      <c r="AU81" s="348"/>
      <c r="AV81" s="350"/>
      <c r="AW81" s="350"/>
      <c r="AX81" s="347"/>
      <c r="AY81" s="348"/>
      <c r="AZ81" s="350"/>
      <c r="BA81" s="350"/>
      <c r="BB81" s="347"/>
      <c r="BC81" s="348"/>
      <c r="BD81" s="350"/>
      <c r="BE81" s="350"/>
      <c r="BF81" s="347"/>
      <c r="BG81" s="348"/>
      <c r="BH81" s="350"/>
      <c r="BI81" s="350"/>
      <c r="BJ81" s="347"/>
      <c r="BK81" s="348"/>
      <c r="BL81" s="350"/>
      <c r="BM81" s="350"/>
      <c r="BN81" s="347"/>
      <c r="BO81" s="348"/>
      <c r="BP81" s="350"/>
      <c r="BQ81" s="350"/>
      <c r="BR81" s="347"/>
      <c r="BS81" s="348"/>
      <c r="BT81" s="350"/>
      <c r="BU81" s="350"/>
      <c r="BV81" s="347"/>
      <c r="BW81" s="348"/>
      <c r="BX81" s="350"/>
      <c r="BY81" s="350"/>
      <c r="BZ81" s="347"/>
      <c r="CA81" s="348"/>
      <c r="CB81" s="350"/>
      <c r="CC81" s="350"/>
      <c r="CD81" s="347"/>
      <c r="CE81" s="348"/>
      <c r="CF81" s="350"/>
      <c r="CG81" s="350"/>
      <c r="CH81" s="347"/>
      <c r="CI81" s="348"/>
      <c r="CJ81" s="350"/>
      <c r="CK81" s="350"/>
      <c r="CL81" s="347"/>
      <c r="CM81" s="348"/>
      <c r="CN81" s="350"/>
      <c r="CO81" s="350"/>
      <c r="CP81" s="347"/>
      <c r="CQ81" s="348"/>
      <c r="CR81" s="350"/>
      <c r="CS81" s="350"/>
      <c r="CT81" s="347"/>
      <c r="CU81" s="348"/>
      <c r="CV81" s="350"/>
      <c r="CW81" s="350"/>
      <c r="CX81" s="347"/>
      <c r="CY81" s="348"/>
      <c r="CZ81" s="350"/>
      <c r="DA81" s="350"/>
      <c r="DB81" s="347"/>
      <c r="DC81" s="348"/>
      <c r="DD81" s="350"/>
      <c r="DE81" s="350"/>
      <c r="DF81" s="347"/>
      <c r="DG81" s="348"/>
      <c r="DH81" s="350"/>
      <c r="DI81" s="350"/>
      <c r="DJ81" s="347"/>
      <c r="DK81" s="348"/>
      <c r="DL81" s="350"/>
      <c r="DM81" s="350"/>
      <c r="DN81" s="347"/>
      <c r="DO81" s="348"/>
      <c r="DP81" s="350"/>
      <c r="DQ81" s="350"/>
      <c r="DR81" s="347"/>
      <c r="DS81" s="348"/>
      <c r="DT81" s="350"/>
      <c r="DU81" s="350"/>
      <c r="DV81" s="347"/>
      <c r="DW81" s="348"/>
      <c r="DX81" s="350"/>
      <c r="DY81" s="350"/>
      <c r="DZ81" s="347"/>
      <c r="EA81" s="348"/>
      <c r="EB81" s="350"/>
      <c r="EC81" s="350"/>
      <c r="ED81" s="347"/>
      <c r="EE81" s="348"/>
      <c r="EF81" s="350"/>
      <c r="EG81" s="350"/>
      <c r="EH81" s="347"/>
      <c r="EI81" s="348"/>
      <c r="EJ81" s="350"/>
      <c r="EK81" s="350"/>
      <c r="EL81" s="347"/>
      <c r="EM81" s="348"/>
      <c r="EN81" s="350"/>
      <c r="EO81" s="350"/>
      <c r="EP81" s="347"/>
      <c r="EQ81" s="348"/>
      <c r="ER81" s="350"/>
      <c r="ES81" s="350"/>
      <c r="ET81" s="347"/>
      <c r="EU81" s="348"/>
      <c r="EV81" s="350"/>
      <c r="EW81" s="350"/>
      <c r="EX81" s="347"/>
      <c r="EY81" s="348"/>
      <c r="EZ81" s="350"/>
      <c r="FA81" s="350"/>
      <c r="FB81" s="347"/>
      <c r="FC81" s="348"/>
      <c r="FD81" s="350"/>
      <c r="FE81" s="350"/>
      <c r="FF81" s="347"/>
      <c r="FG81" s="348"/>
      <c r="FH81" s="350"/>
      <c r="FI81" s="350"/>
      <c r="FJ81" s="347"/>
      <c r="FK81" s="348"/>
      <c r="FL81" s="350"/>
      <c r="FM81" s="350"/>
      <c r="FN81" s="347"/>
      <c r="FO81" s="348"/>
      <c r="FP81" s="350"/>
      <c r="FQ81" s="350"/>
      <c r="FR81" s="347"/>
      <c r="FS81" s="348"/>
      <c r="FT81" s="350"/>
      <c r="FU81" s="350"/>
      <c r="FV81" s="347"/>
      <c r="FW81" s="348"/>
      <c r="FX81" s="350"/>
      <c r="FY81" s="350"/>
      <c r="FZ81" s="347"/>
      <c r="GA81" s="348"/>
      <c r="GB81" s="350"/>
      <c r="GC81" s="350"/>
      <c r="GD81" s="347"/>
      <c r="GE81" s="348"/>
      <c r="GF81" s="350"/>
      <c r="GG81" s="350"/>
      <c r="GH81" s="347"/>
      <c r="GI81" s="348"/>
      <c r="GJ81" s="350"/>
      <c r="GK81" s="350"/>
      <c r="GL81" s="347"/>
      <c r="GM81" s="348"/>
      <c r="GN81" s="350"/>
      <c r="GO81" s="350"/>
      <c r="GP81" s="347"/>
      <c r="GQ81" s="348"/>
      <c r="GR81" s="350"/>
      <c r="GS81" s="350"/>
      <c r="GT81" s="347"/>
      <c r="GU81" s="348"/>
      <c r="GV81" s="350"/>
      <c r="GW81" s="350"/>
      <c r="GX81" s="347"/>
      <c r="GY81" s="348"/>
      <c r="GZ81" s="350"/>
      <c r="HA81" s="350"/>
      <c r="HB81" s="347"/>
      <c r="HC81" s="351">
        <f t="shared" ref="HC81:HC107" si="80">K81+O81+S81+W81+AA81+AE81+AI81+AM81+AQ81+AU81+AY81+BC81+BG81+BK81+BO81+BS81+BW81+CA81+CE81+CI81+CM81+CQ81+CU81+CY81+DC81+DG81+DK81+DO81+DS81+DW81+EA81+EE81+EI81+EM81+EQ81+EU81+EY81+FC81+FG81+FK81+FO81+FS81+FW81+GA81+GE81+GI81+GM81+GQ81+GU81+GY81</f>
        <v>0</v>
      </c>
      <c r="HD81" s="352"/>
      <c r="HE81" s="352"/>
      <c r="HF81" s="353"/>
      <c r="HG81" s="351">
        <f>SUM(SUMIFS(K81:HB81,$K$13:$HB$13,{"エネルギー管理指定工場等*","県域*"}))</f>
        <v>0</v>
      </c>
      <c r="HH81" s="352"/>
      <c r="HI81" s="352"/>
      <c r="HJ81" s="353"/>
      <c r="IE81" s="579"/>
      <c r="IF81" s="579"/>
      <c r="IG81" s="579"/>
      <c r="IH81" s="579"/>
    </row>
    <row r="82" spans="2:242" s="164" customFormat="1" ht="20.100000000000001" customHeight="1">
      <c r="B82" s="302"/>
      <c r="C82" s="318"/>
      <c r="D82" s="354"/>
      <c r="E82" s="326" t="s">
        <v>611</v>
      </c>
      <c r="F82" s="303" t="s">
        <v>610</v>
      </c>
      <c r="G82" s="306">
        <v>8.64</v>
      </c>
      <c r="H82" s="309"/>
      <c r="I82" s="308"/>
      <c r="J82" s="309"/>
      <c r="K82" s="310"/>
      <c r="L82" s="329"/>
      <c r="M82" s="329"/>
      <c r="N82" s="309"/>
      <c r="O82" s="310"/>
      <c r="P82" s="329"/>
      <c r="Q82" s="329"/>
      <c r="R82" s="309"/>
      <c r="S82" s="310"/>
      <c r="T82" s="329"/>
      <c r="U82" s="329"/>
      <c r="V82" s="309"/>
      <c r="W82" s="310"/>
      <c r="X82" s="329"/>
      <c r="Y82" s="329"/>
      <c r="Z82" s="309"/>
      <c r="AA82" s="310"/>
      <c r="AB82" s="329"/>
      <c r="AC82" s="329"/>
      <c r="AD82" s="309"/>
      <c r="AE82" s="310"/>
      <c r="AF82" s="329"/>
      <c r="AG82" s="329"/>
      <c r="AH82" s="309"/>
      <c r="AI82" s="310"/>
      <c r="AJ82" s="329"/>
      <c r="AK82" s="329"/>
      <c r="AL82" s="309"/>
      <c r="AM82" s="310"/>
      <c r="AN82" s="329"/>
      <c r="AO82" s="329"/>
      <c r="AP82" s="309"/>
      <c r="AQ82" s="310"/>
      <c r="AR82" s="329"/>
      <c r="AS82" s="329"/>
      <c r="AT82" s="309"/>
      <c r="AU82" s="310"/>
      <c r="AV82" s="329"/>
      <c r="AW82" s="329"/>
      <c r="AX82" s="309"/>
      <c r="AY82" s="310"/>
      <c r="AZ82" s="329"/>
      <c r="BA82" s="329"/>
      <c r="BB82" s="309"/>
      <c r="BC82" s="310"/>
      <c r="BD82" s="329"/>
      <c r="BE82" s="329"/>
      <c r="BF82" s="309"/>
      <c r="BG82" s="310"/>
      <c r="BH82" s="329"/>
      <c r="BI82" s="329"/>
      <c r="BJ82" s="309"/>
      <c r="BK82" s="310"/>
      <c r="BL82" s="329"/>
      <c r="BM82" s="329"/>
      <c r="BN82" s="309"/>
      <c r="BO82" s="310"/>
      <c r="BP82" s="329"/>
      <c r="BQ82" s="329"/>
      <c r="BR82" s="309"/>
      <c r="BS82" s="310"/>
      <c r="BT82" s="329"/>
      <c r="BU82" s="329"/>
      <c r="BV82" s="309"/>
      <c r="BW82" s="310"/>
      <c r="BX82" s="329"/>
      <c r="BY82" s="329"/>
      <c r="BZ82" s="309"/>
      <c r="CA82" s="310"/>
      <c r="CB82" s="329"/>
      <c r="CC82" s="329"/>
      <c r="CD82" s="309"/>
      <c r="CE82" s="310"/>
      <c r="CF82" s="329"/>
      <c r="CG82" s="329"/>
      <c r="CH82" s="309"/>
      <c r="CI82" s="310"/>
      <c r="CJ82" s="329"/>
      <c r="CK82" s="329"/>
      <c r="CL82" s="309"/>
      <c r="CM82" s="310"/>
      <c r="CN82" s="329"/>
      <c r="CO82" s="329"/>
      <c r="CP82" s="309"/>
      <c r="CQ82" s="310"/>
      <c r="CR82" s="329"/>
      <c r="CS82" s="329"/>
      <c r="CT82" s="309"/>
      <c r="CU82" s="310"/>
      <c r="CV82" s="329"/>
      <c r="CW82" s="329"/>
      <c r="CX82" s="309"/>
      <c r="CY82" s="310"/>
      <c r="CZ82" s="329"/>
      <c r="DA82" s="329"/>
      <c r="DB82" s="309"/>
      <c r="DC82" s="310"/>
      <c r="DD82" s="329"/>
      <c r="DE82" s="329"/>
      <c r="DF82" s="309"/>
      <c r="DG82" s="310"/>
      <c r="DH82" s="329"/>
      <c r="DI82" s="329"/>
      <c r="DJ82" s="309"/>
      <c r="DK82" s="310"/>
      <c r="DL82" s="329"/>
      <c r="DM82" s="329"/>
      <c r="DN82" s="309"/>
      <c r="DO82" s="310"/>
      <c r="DP82" s="329"/>
      <c r="DQ82" s="329"/>
      <c r="DR82" s="309"/>
      <c r="DS82" s="310"/>
      <c r="DT82" s="329"/>
      <c r="DU82" s="329"/>
      <c r="DV82" s="309"/>
      <c r="DW82" s="310"/>
      <c r="DX82" s="329"/>
      <c r="DY82" s="329"/>
      <c r="DZ82" s="309"/>
      <c r="EA82" s="310"/>
      <c r="EB82" s="329"/>
      <c r="EC82" s="329"/>
      <c r="ED82" s="309"/>
      <c r="EE82" s="310"/>
      <c r="EF82" s="329"/>
      <c r="EG82" s="329"/>
      <c r="EH82" s="309"/>
      <c r="EI82" s="310"/>
      <c r="EJ82" s="329"/>
      <c r="EK82" s="329"/>
      <c r="EL82" s="309"/>
      <c r="EM82" s="310"/>
      <c r="EN82" s="329"/>
      <c r="EO82" s="329"/>
      <c r="EP82" s="309"/>
      <c r="EQ82" s="310"/>
      <c r="ER82" s="329"/>
      <c r="ES82" s="329"/>
      <c r="ET82" s="309"/>
      <c r="EU82" s="310"/>
      <c r="EV82" s="329"/>
      <c r="EW82" s="329"/>
      <c r="EX82" s="309"/>
      <c r="EY82" s="310"/>
      <c r="EZ82" s="329"/>
      <c r="FA82" s="329"/>
      <c r="FB82" s="309"/>
      <c r="FC82" s="310"/>
      <c r="FD82" s="329"/>
      <c r="FE82" s="329"/>
      <c r="FF82" s="309"/>
      <c r="FG82" s="310"/>
      <c r="FH82" s="329"/>
      <c r="FI82" s="329"/>
      <c r="FJ82" s="309"/>
      <c r="FK82" s="310"/>
      <c r="FL82" s="329"/>
      <c r="FM82" s="329"/>
      <c r="FN82" s="309"/>
      <c r="FO82" s="310"/>
      <c r="FP82" s="329"/>
      <c r="FQ82" s="329"/>
      <c r="FR82" s="309"/>
      <c r="FS82" s="310"/>
      <c r="FT82" s="329"/>
      <c r="FU82" s="329"/>
      <c r="FV82" s="309"/>
      <c r="FW82" s="310"/>
      <c r="FX82" s="329"/>
      <c r="FY82" s="329"/>
      <c r="FZ82" s="309"/>
      <c r="GA82" s="310"/>
      <c r="GB82" s="329"/>
      <c r="GC82" s="329"/>
      <c r="GD82" s="309"/>
      <c r="GE82" s="310"/>
      <c r="GF82" s="329"/>
      <c r="GG82" s="329"/>
      <c r="GH82" s="309"/>
      <c r="GI82" s="310"/>
      <c r="GJ82" s="329"/>
      <c r="GK82" s="329"/>
      <c r="GL82" s="309"/>
      <c r="GM82" s="310"/>
      <c r="GN82" s="329"/>
      <c r="GO82" s="329"/>
      <c r="GP82" s="309"/>
      <c r="GQ82" s="310"/>
      <c r="GR82" s="329"/>
      <c r="GS82" s="329"/>
      <c r="GT82" s="309"/>
      <c r="GU82" s="310"/>
      <c r="GV82" s="329"/>
      <c r="GW82" s="329"/>
      <c r="GX82" s="309"/>
      <c r="GY82" s="310"/>
      <c r="GZ82" s="329"/>
      <c r="HA82" s="329"/>
      <c r="HB82" s="309"/>
      <c r="HC82" s="312">
        <f t="shared" si="80"/>
        <v>0</v>
      </c>
      <c r="HD82" s="330"/>
      <c r="HE82" s="330"/>
      <c r="HF82" s="314"/>
      <c r="HG82" s="312">
        <f>SUM(SUMIFS(K82:HB82,$K$13:$HB$13,{"エネルギー管理指定工場等*","県域*"}))</f>
        <v>0</v>
      </c>
      <c r="HH82" s="330"/>
      <c r="HI82" s="330"/>
      <c r="HJ82" s="314"/>
      <c r="IE82" s="579"/>
      <c r="IF82" s="579"/>
      <c r="IG82" s="579"/>
      <c r="IH82" s="579"/>
    </row>
    <row r="83" spans="2:242" s="164" customFormat="1" ht="20.100000000000001" customHeight="1">
      <c r="B83" s="302"/>
      <c r="C83" s="327" t="s">
        <v>1385</v>
      </c>
      <c r="D83" s="303" t="s">
        <v>612</v>
      </c>
      <c r="E83" s="305"/>
      <c r="F83" s="303" t="s">
        <v>610</v>
      </c>
      <c r="G83" s="306">
        <v>3.6</v>
      </c>
      <c r="H83" s="309"/>
      <c r="I83" s="310"/>
      <c r="J83" s="315"/>
      <c r="K83" s="310"/>
      <c r="L83" s="329"/>
      <c r="M83" s="329"/>
      <c r="N83" s="309"/>
      <c r="O83" s="310"/>
      <c r="P83" s="329"/>
      <c r="Q83" s="329"/>
      <c r="R83" s="309"/>
      <c r="S83" s="310"/>
      <c r="T83" s="329"/>
      <c r="U83" s="329"/>
      <c r="V83" s="309"/>
      <c r="W83" s="310"/>
      <c r="X83" s="329"/>
      <c r="Y83" s="329"/>
      <c r="Z83" s="309"/>
      <c r="AA83" s="310"/>
      <c r="AB83" s="329"/>
      <c r="AC83" s="329"/>
      <c r="AD83" s="309"/>
      <c r="AE83" s="310"/>
      <c r="AF83" s="329"/>
      <c r="AG83" s="329"/>
      <c r="AH83" s="309"/>
      <c r="AI83" s="310"/>
      <c r="AJ83" s="329"/>
      <c r="AK83" s="329"/>
      <c r="AL83" s="309"/>
      <c r="AM83" s="310"/>
      <c r="AN83" s="329"/>
      <c r="AO83" s="329"/>
      <c r="AP83" s="309"/>
      <c r="AQ83" s="310"/>
      <c r="AR83" s="329"/>
      <c r="AS83" s="329"/>
      <c r="AT83" s="309"/>
      <c r="AU83" s="310"/>
      <c r="AV83" s="329"/>
      <c r="AW83" s="329"/>
      <c r="AX83" s="309"/>
      <c r="AY83" s="310"/>
      <c r="AZ83" s="329"/>
      <c r="BA83" s="329"/>
      <c r="BB83" s="309"/>
      <c r="BC83" s="310"/>
      <c r="BD83" s="329"/>
      <c r="BE83" s="329"/>
      <c r="BF83" s="309"/>
      <c r="BG83" s="310"/>
      <c r="BH83" s="329"/>
      <c r="BI83" s="329"/>
      <c r="BJ83" s="309"/>
      <c r="BK83" s="310"/>
      <c r="BL83" s="329"/>
      <c r="BM83" s="329"/>
      <c r="BN83" s="309"/>
      <c r="BO83" s="310"/>
      <c r="BP83" s="329"/>
      <c r="BQ83" s="329"/>
      <c r="BR83" s="309"/>
      <c r="BS83" s="310"/>
      <c r="BT83" s="329"/>
      <c r="BU83" s="329"/>
      <c r="BV83" s="309"/>
      <c r="BW83" s="310"/>
      <c r="BX83" s="329"/>
      <c r="BY83" s="329"/>
      <c r="BZ83" s="309"/>
      <c r="CA83" s="310"/>
      <c r="CB83" s="329"/>
      <c r="CC83" s="329"/>
      <c r="CD83" s="309"/>
      <c r="CE83" s="310"/>
      <c r="CF83" s="329"/>
      <c r="CG83" s="329"/>
      <c r="CH83" s="309"/>
      <c r="CI83" s="310"/>
      <c r="CJ83" s="329"/>
      <c r="CK83" s="329"/>
      <c r="CL83" s="309"/>
      <c r="CM83" s="310"/>
      <c r="CN83" s="329"/>
      <c r="CO83" s="329"/>
      <c r="CP83" s="309"/>
      <c r="CQ83" s="310"/>
      <c r="CR83" s="329"/>
      <c r="CS83" s="329"/>
      <c r="CT83" s="309"/>
      <c r="CU83" s="310"/>
      <c r="CV83" s="329"/>
      <c r="CW83" s="329"/>
      <c r="CX83" s="309"/>
      <c r="CY83" s="310"/>
      <c r="CZ83" s="329"/>
      <c r="DA83" s="329"/>
      <c r="DB83" s="309"/>
      <c r="DC83" s="310"/>
      <c r="DD83" s="329"/>
      <c r="DE83" s="329"/>
      <c r="DF83" s="309"/>
      <c r="DG83" s="310"/>
      <c r="DH83" s="329"/>
      <c r="DI83" s="329"/>
      <c r="DJ83" s="309"/>
      <c r="DK83" s="310"/>
      <c r="DL83" s="329"/>
      <c r="DM83" s="329"/>
      <c r="DN83" s="309"/>
      <c r="DO83" s="310"/>
      <c r="DP83" s="329"/>
      <c r="DQ83" s="329"/>
      <c r="DR83" s="309"/>
      <c r="DS83" s="310"/>
      <c r="DT83" s="329"/>
      <c r="DU83" s="329"/>
      <c r="DV83" s="309"/>
      <c r="DW83" s="310"/>
      <c r="DX83" s="329"/>
      <c r="DY83" s="329"/>
      <c r="DZ83" s="309"/>
      <c r="EA83" s="310"/>
      <c r="EB83" s="329"/>
      <c r="EC83" s="329"/>
      <c r="ED83" s="309"/>
      <c r="EE83" s="310"/>
      <c r="EF83" s="329"/>
      <c r="EG83" s="329"/>
      <c r="EH83" s="309"/>
      <c r="EI83" s="310"/>
      <c r="EJ83" s="329"/>
      <c r="EK83" s="329"/>
      <c r="EL83" s="309"/>
      <c r="EM83" s="310"/>
      <c r="EN83" s="329"/>
      <c r="EO83" s="329"/>
      <c r="EP83" s="309"/>
      <c r="EQ83" s="310"/>
      <c r="ER83" s="329"/>
      <c r="ES83" s="329"/>
      <c r="ET83" s="309"/>
      <c r="EU83" s="310"/>
      <c r="EV83" s="329"/>
      <c r="EW83" s="329"/>
      <c r="EX83" s="309"/>
      <c r="EY83" s="310"/>
      <c r="EZ83" s="329"/>
      <c r="FA83" s="329"/>
      <c r="FB83" s="309"/>
      <c r="FC83" s="310"/>
      <c r="FD83" s="329"/>
      <c r="FE83" s="329"/>
      <c r="FF83" s="309"/>
      <c r="FG83" s="310"/>
      <c r="FH83" s="329"/>
      <c r="FI83" s="329"/>
      <c r="FJ83" s="309"/>
      <c r="FK83" s="310"/>
      <c r="FL83" s="329"/>
      <c r="FM83" s="329"/>
      <c r="FN83" s="309"/>
      <c r="FO83" s="310"/>
      <c r="FP83" s="329"/>
      <c r="FQ83" s="329"/>
      <c r="FR83" s="309"/>
      <c r="FS83" s="310"/>
      <c r="FT83" s="329"/>
      <c r="FU83" s="329"/>
      <c r="FV83" s="309"/>
      <c r="FW83" s="310"/>
      <c r="FX83" s="329"/>
      <c r="FY83" s="329"/>
      <c r="FZ83" s="309"/>
      <c r="GA83" s="310"/>
      <c r="GB83" s="329"/>
      <c r="GC83" s="329"/>
      <c r="GD83" s="309"/>
      <c r="GE83" s="310"/>
      <c r="GF83" s="329"/>
      <c r="GG83" s="329"/>
      <c r="GH83" s="309"/>
      <c r="GI83" s="310"/>
      <c r="GJ83" s="329"/>
      <c r="GK83" s="329"/>
      <c r="GL83" s="309"/>
      <c r="GM83" s="310"/>
      <c r="GN83" s="329"/>
      <c r="GO83" s="329"/>
      <c r="GP83" s="309"/>
      <c r="GQ83" s="310"/>
      <c r="GR83" s="329"/>
      <c r="GS83" s="329"/>
      <c r="GT83" s="309"/>
      <c r="GU83" s="310"/>
      <c r="GV83" s="329"/>
      <c r="GW83" s="329"/>
      <c r="GX83" s="309"/>
      <c r="GY83" s="310"/>
      <c r="GZ83" s="329"/>
      <c r="HA83" s="329"/>
      <c r="HB83" s="309"/>
      <c r="HC83" s="312">
        <f t="shared" si="80"/>
        <v>0</v>
      </c>
      <c r="HD83" s="330"/>
      <c r="HE83" s="330"/>
      <c r="HF83" s="314"/>
      <c r="HG83" s="312">
        <f>SUM(SUMIFS(K83:HB83,$K$13:$HB$13,{"エネルギー管理指定工場等*","県域*"}))</f>
        <v>0</v>
      </c>
      <c r="HH83" s="330"/>
      <c r="HI83" s="330"/>
      <c r="HJ83" s="314"/>
      <c r="IE83" s="579"/>
      <c r="IF83" s="579"/>
      <c r="IG83" s="579"/>
      <c r="IH83" s="579"/>
    </row>
    <row r="84" spans="2:242" s="164" customFormat="1" ht="20.100000000000001" customHeight="1">
      <c r="B84" s="302"/>
      <c r="C84" s="319"/>
      <c r="D84" s="303" t="s">
        <v>613</v>
      </c>
      <c r="E84" s="305"/>
      <c r="F84" s="303" t="s">
        <v>610</v>
      </c>
      <c r="G84" s="306">
        <v>3.6</v>
      </c>
      <c r="H84" s="309"/>
      <c r="I84" s="308"/>
      <c r="J84" s="309"/>
      <c r="K84" s="310"/>
      <c r="L84" s="329"/>
      <c r="M84" s="329"/>
      <c r="N84" s="309"/>
      <c r="O84" s="310"/>
      <c r="P84" s="329"/>
      <c r="Q84" s="329"/>
      <c r="R84" s="309"/>
      <c r="S84" s="310"/>
      <c r="T84" s="329"/>
      <c r="U84" s="329"/>
      <c r="V84" s="309"/>
      <c r="W84" s="310"/>
      <c r="X84" s="329"/>
      <c r="Y84" s="329"/>
      <c r="Z84" s="309"/>
      <c r="AA84" s="310"/>
      <c r="AB84" s="329"/>
      <c r="AC84" s="329"/>
      <c r="AD84" s="309"/>
      <c r="AE84" s="310"/>
      <c r="AF84" s="329"/>
      <c r="AG84" s="329"/>
      <c r="AH84" s="309"/>
      <c r="AI84" s="310"/>
      <c r="AJ84" s="329"/>
      <c r="AK84" s="329"/>
      <c r="AL84" s="309"/>
      <c r="AM84" s="310"/>
      <c r="AN84" s="329"/>
      <c r="AO84" s="329"/>
      <c r="AP84" s="309"/>
      <c r="AQ84" s="310"/>
      <c r="AR84" s="329"/>
      <c r="AS84" s="329"/>
      <c r="AT84" s="309"/>
      <c r="AU84" s="310"/>
      <c r="AV84" s="329"/>
      <c r="AW84" s="329"/>
      <c r="AX84" s="309"/>
      <c r="AY84" s="310"/>
      <c r="AZ84" s="329"/>
      <c r="BA84" s="329"/>
      <c r="BB84" s="309"/>
      <c r="BC84" s="310"/>
      <c r="BD84" s="329"/>
      <c r="BE84" s="329"/>
      <c r="BF84" s="309"/>
      <c r="BG84" s="310"/>
      <c r="BH84" s="329"/>
      <c r="BI84" s="329"/>
      <c r="BJ84" s="309"/>
      <c r="BK84" s="310"/>
      <c r="BL84" s="329"/>
      <c r="BM84" s="329"/>
      <c r="BN84" s="309"/>
      <c r="BO84" s="310"/>
      <c r="BP84" s="329"/>
      <c r="BQ84" s="329"/>
      <c r="BR84" s="309"/>
      <c r="BS84" s="310"/>
      <c r="BT84" s="329"/>
      <c r="BU84" s="329"/>
      <c r="BV84" s="309"/>
      <c r="BW84" s="310"/>
      <c r="BX84" s="329"/>
      <c r="BY84" s="329"/>
      <c r="BZ84" s="309"/>
      <c r="CA84" s="310"/>
      <c r="CB84" s="329"/>
      <c r="CC84" s="329"/>
      <c r="CD84" s="309"/>
      <c r="CE84" s="310"/>
      <c r="CF84" s="329"/>
      <c r="CG84" s="329"/>
      <c r="CH84" s="309"/>
      <c r="CI84" s="310"/>
      <c r="CJ84" s="329"/>
      <c r="CK84" s="329"/>
      <c r="CL84" s="309"/>
      <c r="CM84" s="310"/>
      <c r="CN84" s="329"/>
      <c r="CO84" s="329"/>
      <c r="CP84" s="309"/>
      <c r="CQ84" s="310"/>
      <c r="CR84" s="329"/>
      <c r="CS84" s="329"/>
      <c r="CT84" s="309"/>
      <c r="CU84" s="310"/>
      <c r="CV84" s="329"/>
      <c r="CW84" s="329"/>
      <c r="CX84" s="309"/>
      <c r="CY84" s="310"/>
      <c r="CZ84" s="329"/>
      <c r="DA84" s="329"/>
      <c r="DB84" s="309"/>
      <c r="DC84" s="310"/>
      <c r="DD84" s="329"/>
      <c r="DE84" s="329"/>
      <c r="DF84" s="309"/>
      <c r="DG84" s="310"/>
      <c r="DH84" s="329"/>
      <c r="DI84" s="329"/>
      <c r="DJ84" s="309"/>
      <c r="DK84" s="310"/>
      <c r="DL84" s="329"/>
      <c r="DM84" s="329"/>
      <c r="DN84" s="309"/>
      <c r="DO84" s="310"/>
      <c r="DP84" s="329"/>
      <c r="DQ84" s="329"/>
      <c r="DR84" s="309"/>
      <c r="DS84" s="310"/>
      <c r="DT84" s="329"/>
      <c r="DU84" s="329"/>
      <c r="DV84" s="309"/>
      <c r="DW84" s="310"/>
      <c r="DX84" s="329"/>
      <c r="DY84" s="329"/>
      <c r="DZ84" s="309"/>
      <c r="EA84" s="310"/>
      <c r="EB84" s="329"/>
      <c r="EC84" s="329"/>
      <c r="ED84" s="309"/>
      <c r="EE84" s="310"/>
      <c r="EF84" s="329"/>
      <c r="EG84" s="329"/>
      <c r="EH84" s="309"/>
      <c r="EI84" s="310"/>
      <c r="EJ84" s="329"/>
      <c r="EK84" s="329"/>
      <c r="EL84" s="309"/>
      <c r="EM84" s="310"/>
      <c r="EN84" s="329"/>
      <c r="EO84" s="329"/>
      <c r="EP84" s="309"/>
      <c r="EQ84" s="310"/>
      <c r="ER84" s="329"/>
      <c r="ES84" s="329"/>
      <c r="ET84" s="309"/>
      <c r="EU84" s="310"/>
      <c r="EV84" s="329"/>
      <c r="EW84" s="329"/>
      <c r="EX84" s="309"/>
      <c r="EY84" s="310"/>
      <c r="EZ84" s="329"/>
      <c r="FA84" s="329"/>
      <c r="FB84" s="309"/>
      <c r="FC84" s="310"/>
      <c r="FD84" s="329"/>
      <c r="FE84" s="329"/>
      <c r="FF84" s="309"/>
      <c r="FG84" s="310"/>
      <c r="FH84" s="329"/>
      <c r="FI84" s="329"/>
      <c r="FJ84" s="309"/>
      <c r="FK84" s="310"/>
      <c r="FL84" s="329"/>
      <c r="FM84" s="329"/>
      <c r="FN84" s="309"/>
      <c r="FO84" s="310"/>
      <c r="FP84" s="329"/>
      <c r="FQ84" s="329"/>
      <c r="FR84" s="309"/>
      <c r="FS84" s="310"/>
      <c r="FT84" s="329"/>
      <c r="FU84" s="329"/>
      <c r="FV84" s="309"/>
      <c r="FW84" s="310"/>
      <c r="FX84" s="329"/>
      <c r="FY84" s="329"/>
      <c r="FZ84" s="309"/>
      <c r="GA84" s="310"/>
      <c r="GB84" s="329"/>
      <c r="GC84" s="329"/>
      <c r="GD84" s="309"/>
      <c r="GE84" s="310"/>
      <c r="GF84" s="329"/>
      <c r="GG84" s="329"/>
      <c r="GH84" s="309"/>
      <c r="GI84" s="310"/>
      <c r="GJ84" s="329"/>
      <c r="GK84" s="329"/>
      <c r="GL84" s="309"/>
      <c r="GM84" s="310"/>
      <c r="GN84" s="329"/>
      <c r="GO84" s="329"/>
      <c r="GP84" s="309"/>
      <c r="GQ84" s="310"/>
      <c r="GR84" s="329"/>
      <c r="GS84" s="329"/>
      <c r="GT84" s="309"/>
      <c r="GU84" s="310"/>
      <c r="GV84" s="329"/>
      <c r="GW84" s="329"/>
      <c r="GX84" s="309"/>
      <c r="GY84" s="310"/>
      <c r="GZ84" s="329"/>
      <c r="HA84" s="329"/>
      <c r="HB84" s="309"/>
      <c r="HC84" s="312">
        <f t="shared" si="80"/>
        <v>0</v>
      </c>
      <c r="HD84" s="330"/>
      <c r="HE84" s="330"/>
      <c r="HF84" s="314"/>
      <c r="HG84" s="312">
        <f>SUM(SUMIFS(K84:HB84,$K$13:$HB$13,{"エネルギー管理指定工場等*","県域*"}))</f>
        <v>0</v>
      </c>
      <c r="HH84" s="330"/>
      <c r="HI84" s="330"/>
      <c r="HJ84" s="314"/>
      <c r="IE84" s="579"/>
      <c r="IF84" s="579"/>
      <c r="IG84" s="579"/>
      <c r="IH84" s="579"/>
    </row>
    <row r="85" spans="2:242" s="164" customFormat="1" ht="20.100000000000001" customHeight="1">
      <c r="B85" s="302"/>
      <c r="C85" s="319"/>
      <c r="D85" s="303" t="s">
        <v>614</v>
      </c>
      <c r="E85" s="305"/>
      <c r="F85" s="303" t="s">
        <v>610</v>
      </c>
      <c r="G85" s="306">
        <v>3.6</v>
      </c>
      <c r="H85" s="309"/>
      <c r="I85" s="310"/>
      <c r="J85" s="315"/>
      <c r="K85" s="310"/>
      <c r="L85" s="329"/>
      <c r="M85" s="329"/>
      <c r="N85" s="309"/>
      <c r="O85" s="310"/>
      <c r="P85" s="329"/>
      <c r="Q85" s="329"/>
      <c r="R85" s="309"/>
      <c r="S85" s="310"/>
      <c r="T85" s="329"/>
      <c r="U85" s="329"/>
      <c r="V85" s="309"/>
      <c r="W85" s="310"/>
      <c r="X85" s="329"/>
      <c r="Y85" s="329"/>
      <c r="Z85" s="309"/>
      <c r="AA85" s="310"/>
      <c r="AB85" s="329"/>
      <c r="AC85" s="329"/>
      <c r="AD85" s="309"/>
      <c r="AE85" s="310"/>
      <c r="AF85" s="329"/>
      <c r="AG85" s="329"/>
      <c r="AH85" s="309"/>
      <c r="AI85" s="310"/>
      <c r="AJ85" s="329"/>
      <c r="AK85" s="329"/>
      <c r="AL85" s="309"/>
      <c r="AM85" s="310"/>
      <c r="AN85" s="329"/>
      <c r="AO85" s="329"/>
      <c r="AP85" s="309"/>
      <c r="AQ85" s="310"/>
      <c r="AR85" s="329"/>
      <c r="AS85" s="329"/>
      <c r="AT85" s="309"/>
      <c r="AU85" s="310"/>
      <c r="AV85" s="329"/>
      <c r="AW85" s="329"/>
      <c r="AX85" s="309"/>
      <c r="AY85" s="310"/>
      <c r="AZ85" s="329"/>
      <c r="BA85" s="329"/>
      <c r="BB85" s="309"/>
      <c r="BC85" s="310"/>
      <c r="BD85" s="329"/>
      <c r="BE85" s="329"/>
      <c r="BF85" s="309"/>
      <c r="BG85" s="310"/>
      <c r="BH85" s="329"/>
      <c r="BI85" s="329"/>
      <c r="BJ85" s="309"/>
      <c r="BK85" s="310"/>
      <c r="BL85" s="329"/>
      <c r="BM85" s="329"/>
      <c r="BN85" s="309"/>
      <c r="BO85" s="310"/>
      <c r="BP85" s="329"/>
      <c r="BQ85" s="329"/>
      <c r="BR85" s="309"/>
      <c r="BS85" s="310"/>
      <c r="BT85" s="329"/>
      <c r="BU85" s="329"/>
      <c r="BV85" s="309"/>
      <c r="BW85" s="310"/>
      <c r="BX85" s="329"/>
      <c r="BY85" s="329"/>
      <c r="BZ85" s="309"/>
      <c r="CA85" s="310"/>
      <c r="CB85" s="329"/>
      <c r="CC85" s="329"/>
      <c r="CD85" s="309"/>
      <c r="CE85" s="310"/>
      <c r="CF85" s="329"/>
      <c r="CG85" s="329"/>
      <c r="CH85" s="309"/>
      <c r="CI85" s="310"/>
      <c r="CJ85" s="329"/>
      <c r="CK85" s="329"/>
      <c r="CL85" s="309"/>
      <c r="CM85" s="310"/>
      <c r="CN85" s="329"/>
      <c r="CO85" s="329"/>
      <c r="CP85" s="309"/>
      <c r="CQ85" s="310"/>
      <c r="CR85" s="329"/>
      <c r="CS85" s="329"/>
      <c r="CT85" s="309"/>
      <c r="CU85" s="310"/>
      <c r="CV85" s="329"/>
      <c r="CW85" s="329"/>
      <c r="CX85" s="309"/>
      <c r="CY85" s="310"/>
      <c r="CZ85" s="329"/>
      <c r="DA85" s="329"/>
      <c r="DB85" s="309"/>
      <c r="DC85" s="310"/>
      <c r="DD85" s="329"/>
      <c r="DE85" s="329"/>
      <c r="DF85" s="309"/>
      <c r="DG85" s="310"/>
      <c r="DH85" s="329"/>
      <c r="DI85" s="329"/>
      <c r="DJ85" s="309"/>
      <c r="DK85" s="310"/>
      <c r="DL85" s="329"/>
      <c r="DM85" s="329"/>
      <c r="DN85" s="309"/>
      <c r="DO85" s="310"/>
      <c r="DP85" s="329"/>
      <c r="DQ85" s="329"/>
      <c r="DR85" s="309"/>
      <c r="DS85" s="310"/>
      <c r="DT85" s="329"/>
      <c r="DU85" s="329"/>
      <c r="DV85" s="309"/>
      <c r="DW85" s="310"/>
      <c r="DX85" s="329"/>
      <c r="DY85" s="329"/>
      <c r="DZ85" s="309"/>
      <c r="EA85" s="310"/>
      <c r="EB85" s="329"/>
      <c r="EC85" s="329"/>
      <c r="ED85" s="309"/>
      <c r="EE85" s="310"/>
      <c r="EF85" s="329"/>
      <c r="EG85" s="329"/>
      <c r="EH85" s="309"/>
      <c r="EI85" s="310"/>
      <c r="EJ85" s="329"/>
      <c r="EK85" s="329"/>
      <c r="EL85" s="309"/>
      <c r="EM85" s="310"/>
      <c r="EN85" s="329"/>
      <c r="EO85" s="329"/>
      <c r="EP85" s="309"/>
      <c r="EQ85" s="310"/>
      <c r="ER85" s="329"/>
      <c r="ES85" s="329"/>
      <c r="ET85" s="309"/>
      <c r="EU85" s="310"/>
      <c r="EV85" s="329"/>
      <c r="EW85" s="329"/>
      <c r="EX85" s="309"/>
      <c r="EY85" s="310"/>
      <c r="EZ85" s="329"/>
      <c r="FA85" s="329"/>
      <c r="FB85" s="309"/>
      <c r="FC85" s="310"/>
      <c r="FD85" s="329"/>
      <c r="FE85" s="329"/>
      <c r="FF85" s="309"/>
      <c r="FG85" s="310"/>
      <c r="FH85" s="329"/>
      <c r="FI85" s="329"/>
      <c r="FJ85" s="309"/>
      <c r="FK85" s="310"/>
      <c r="FL85" s="329"/>
      <c r="FM85" s="329"/>
      <c r="FN85" s="309"/>
      <c r="FO85" s="310"/>
      <c r="FP85" s="329"/>
      <c r="FQ85" s="329"/>
      <c r="FR85" s="309"/>
      <c r="FS85" s="310"/>
      <c r="FT85" s="329"/>
      <c r="FU85" s="329"/>
      <c r="FV85" s="309"/>
      <c r="FW85" s="310"/>
      <c r="FX85" s="329"/>
      <c r="FY85" s="329"/>
      <c r="FZ85" s="309"/>
      <c r="GA85" s="310"/>
      <c r="GB85" s="329"/>
      <c r="GC85" s="329"/>
      <c r="GD85" s="309"/>
      <c r="GE85" s="310"/>
      <c r="GF85" s="329"/>
      <c r="GG85" s="329"/>
      <c r="GH85" s="309"/>
      <c r="GI85" s="310"/>
      <c r="GJ85" s="329"/>
      <c r="GK85" s="329"/>
      <c r="GL85" s="309"/>
      <c r="GM85" s="310"/>
      <c r="GN85" s="329"/>
      <c r="GO85" s="329"/>
      <c r="GP85" s="309"/>
      <c r="GQ85" s="310"/>
      <c r="GR85" s="329"/>
      <c r="GS85" s="329"/>
      <c r="GT85" s="309"/>
      <c r="GU85" s="310"/>
      <c r="GV85" s="329"/>
      <c r="GW85" s="329"/>
      <c r="GX85" s="309"/>
      <c r="GY85" s="310"/>
      <c r="GZ85" s="329"/>
      <c r="HA85" s="329"/>
      <c r="HB85" s="309"/>
      <c r="HC85" s="312">
        <f t="shared" si="80"/>
        <v>0</v>
      </c>
      <c r="HD85" s="330"/>
      <c r="HE85" s="330"/>
      <c r="HF85" s="314"/>
      <c r="HG85" s="312">
        <f>SUM(SUMIFS(K85:HB85,$K$13:$HB$13,{"エネルギー管理指定工場等*","県域*"}))</f>
        <v>0</v>
      </c>
      <c r="HH85" s="330"/>
      <c r="HI85" s="330"/>
      <c r="HJ85" s="314"/>
      <c r="IE85" s="579"/>
      <c r="IF85" s="579"/>
      <c r="IG85" s="579"/>
      <c r="IH85" s="579"/>
    </row>
    <row r="86" spans="2:242" s="164" customFormat="1" ht="20.100000000000001" customHeight="1">
      <c r="B86" s="302"/>
      <c r="C86" s="319"/>
      <c r="D86" s="328" t="s">
        <v>615</v>
      </c>
      <c r="E86" s="335"/>
      <c r="F86" s="303" t="s">
        <v>610</v>
      </c>
      <c r="G86" s="306">
        <v>8.64</v>
      </c>
      <c r="H86" s="315"/>
      <c r="I86" s="310"/>
      <c r="J86" s="315"/>
      <c r="K86" s="310"/>
      <c r="L86" s="329"/>
      <c r="M86" s="329"/>
      <c r="N86" s="309"/>
      <c r="O86" s="310"/>
      <c r="P86" s="329"/>
      <c r="Q86" s="329"/>
      <c r="R86" s="309"/>
      <c r="S86" s="310"/>
      <c r="T86" s="329"/>
      <c r="U86" s="329"/>
      <c r="V86" s="309"/>
      <c r="W86" s="310"/>
      <c r="X86" s="329"/>
      <c r="Y86" s="329"/>
      <c r="Z86" s="309"/>
      <c r="AA86" s="310"/>
      <c r="AB86" s="329"/>
      <c r="AC86" s="329"/>
      <c r="AD86" s="309"/>
      <c r="AE86" s="310"/>
      <c r="AF86" s="329"/>
      <c r="AG86" s="329"/>
      <c r="AH86" s="309"/>
      <c r="AI86" s="310"/>
      <c r="AJ86" s="329"/>
      <c r="AK86" s="329"/>
      <c r="AL86" s="309"/>
      <c r="AM86" s="310"/>
      <c r="AN86" s="329"/>
      <c r="AO86" s="329"/>
      <c r="AP86" s="309"/>
      <c r="AQ86" s="310"/>
      <c r="AR86" s="329"/>
      <c r="AS86" s="329"/>
      <c r="AT86" s="309"/>
      <c r="AU86" s="310"/>
      <c r="AV86" s="329"/>
      <c r="AW86" s="329"/>
      <c r="AX86" s="309"/>
      <c r="AY86" s="310"/>
      <c r="AZ86" s="329"/>
      <c r="BA86" s="329"/>
      <c r="BB86" s="309"/>
      <c r="BC86" s="310"/>
      <c r="BD86" s="329"/>
      <c r="BE86" s="329"/>
      <c r="BF86" s="309"/>
      <c r="BG86" s="310"/>
      <c r="BH86" s="329"/>
      <c r="BI86" s="329"/>
      <c r="BJ86" s="309"/>
      <c r="BK86" s="310"/>
      <c r="BL86" s="329"/>
      <c r="BM86" s="329"/>
      <c r="BN86" s="309"/>
      <c r="BO86" s="310"/>
      <c r="BP86" s="329"/>
      <c r="BQ86" s="329"/>
      <c r="BR86" s="309"/>
      <c r="BS86" s="310"/>
      <c r="BT86" s="329"/>
      <c r="BU86" s="329"/>
      <c r="BV86" s="309"/>
      <c r="BW86" s="310"/>
      <c r="BX86" s="329"/>
      <c r="BY86" s="329"/>
      <c r="BZ86" s="309"/>
      <c r="CA86" s="310"/>
      <c r="CB86" s="329"/>
      <c r="CC86" s="329"/>
      <c r="CD86" s="309"/>
      <c r="CE86" s="310"/>
      <c r="CF86" s="329"/>
      <c r="CG86" s="329"/>
      <c r="CH86" s="309"/>
      <c r="CI86" s="310"/>
      <c r="CJ86" s="329"/>
      <c r="CK86" s="329"/>
      <c r="CL86" s="309"/>
      <c r="CM86" s="310"/>
      <c r="CN86" s="329"/>
      <c r="CO86" s="329"/>
      <c r="CP86" s="309"/>
      <c r="CQ86" s="310"/>
      <c r="CR86" s="329"/>
      <c r="CS86" s="329"/>
      <c r="CT86" s="309"/>
      <c r="CU86" s="310"/>
      <c r="CV86" s="329"/>
      <c r="CW86" s="329"/>
      <c r="CX86" s="309"/>
      <c r="CY86" s="310"/>
      <c r="CZ86" s="329"/>
      <c r="DA86" s="329"/>
      <c r="DB86" s="309"/>
      <c r="DC86" s="310"/>
      <c r="DD86" s="329"/>
      <c r="DE86" s="329"/>
      <c r="DF86" s="309"/>
      <c r="DG86" s="310"/>
      <c r="DH86" s="329"/>
      <c r="DI86" s="329"/>
      <c r="DJ86" s="309"/>
      <c r="DK86" s="310"/>
      <c r="DL86" s="329"/>
      <c r="DM86" s="329"/>
      <c r="DN86" s="309"/>
      <c r="DO86" s="310"/>
      <c r="DP86" s="329"/>
      <c r="DQ86" s="329"/>
      <c r="DR86" s="309"/>
      <c r="DS86" s="310"/>
      <c r="DT86" s="329"/>
      <c r="DU86" s="329"/>
      <c r="DV86" s="309"/>
      <c r="DW86" s="310"/>
      <c r="DX86" s="329"/>
      <c r="DY86" s="329"/>
      <c r="DZ86" s="309"/>
      <c r="EA86" s="310"/>
      <c r="EB86" s="329"/>
      <c r="EC86" s="329"/>
      <c r="ED86" s="309"/>
      <c r="EE86" s="310"/>
      <c r="EF86" s="329"/>
      <c r="EG86" s="329"/>
      <c r="EH86" s="309"/>
      <c r="EI86" s="310"/>
      <c r="EJ86" s="329"/>
      <c r="EK86" s="329"/>
      <c r="EL86" s="309"/>
      <c r="EM86" s="310"/>
      <c r="EN86" s="329"/>
      <c r="EO86" s="329"/>
      <c r="EP86" s="309"/>
      <c r="EQ86" s="310"/>
      <c r="ER86" s="329"/>
      <c r="ES86" s="329"/>
      <c r="ET86" s="309"/>
      <c r="EU86" s="310"/>
      <c r="EV86" s="329"/>
      <c r="EW86" s="329"/>
      <c r="EX86" s="309"/>
      <c r="EY86" s="310"/>
      <c r="EZ86" s="329"/>
      <c r="FA86" s="329"/>
      <c r="FB86" s="309"/>
      <c r="FC86" s="310"/>
      <c r="FD86" s="329"/>
      <c r="FE86" s="329"/>
      <c r="FF86" s="309"/>
      <c r="FG86" s="310"/>
      <c r="FH86" s="329"/>
      <c r="FI86" s="329"/>
      <c r="FJ86" s="309"/>
      <c r="FK86" s="310"/>
      <c r="FL86" s="329"/>
      <c r="FM86" s="329"/>
      <c r="FN86" s="309"/>
      <c r="FO86" s="310"/>
      <c r="FP86" s="329"/>
      <c r="FQ86" s="329"/>
      <c r="FR86" s="309"/>
      <c r="FS86" s="310"/>
      <c r="FT86" s="329"/>
      <c r="FU86" s="329"/>
      <c r="FV86" s="309"/>
      <c r="FW86" s="310"/>
      <c r="FX86" s="329"/>
      <c r="FY86" s="329"/>
      <c r="FZ86" s="309"/>
      <c r="GA86" s="310"/>
      <c r="GB86" s="329"/>
      <c r="GC86" s="329"/>
      <c r="GD86" s="309"/>
      <c r="GE86" s="310"/>
      <c r="GF86" s="329"/>
      <c r="GG86" s="329"/>
      <c r="GH86" s="309"/>
      <c r="GI86" s="310"/>
      <c r="GJ86" s="329"/>
      <c r="GK86" s="329"/>
      <c r="GL86" s="309"/>
      <c r="GM86" s="310"/>
      <c r="GN86" s="329"/>
      <c r="GO86" s="329"/>
      <c r="GP86" s="309"/>
      <c r="GQ86" s="310"/>
      <c r="GR86" s="329"/>
      <c r="GS86" s="329"/>
      <c r="GT86" s="309"/>
      <c r="GU86" s="310"/>
      <c r="GV86" s="329"/>
      <c r="GW86" s="329"/>
      <c r="GX86" s="309"/>
      <c r="GY86" s="310"/>
      <c r="GZ86" s="329"/>
      <c r="HA86" s="329"/>
      <c r="HB86" s="309"/>
      <c r="HC86" s="312">
        <f t="shared" si="80"/>
        <v>0</v>
      </c>
      <c r="HD86" s="330"/>
      <c r="HE86" s="330"/>
      <c r="HF86" s="314"/>
      <c r="HG86" s="312">
        <f>SUM(SUMIFS(K86:HB86,$K$13:$HB$13,{"エネルギー管理指定工場等*","県域*"}))</f>
        <v>0</v>
      </c>
      <c r="HH86" s="330"/>
      <c r="HI86" s="330"/>
      <c r="HJ86" s="314"/>
      <c r="IE86" s="579"/>
      <c r="IF86" s="579"/>
      <c r="IG86" s="579"/>
      <c r="IH86" s="579"/>
    </row>
    <row r="87" spans="2:242" s="164" customFormat="1" ht="20.100000000000001" customHeight="1">
      <c r="B87" s="302"/>
      <c r="C87" s="319"/>
      <c r="D87" s="355"/>
      <c r="E87" s="333" t="s">
        <v>616</v>
      </c>
      <c r="F87" s="303" t="s">
        <v>610</v>
      </c>
      <c r="G87" s="306">
        <v>8.64</v>
      </c>
      <c r="H87" s="315"/>
      <c r="I87" s="308"/>
      <c r="J87" s="309"/>
      <c r="K87" s="310"/>
      <c r="L87" s="329"/>
      <c r="M87" s="329"/>
      <c r="N87" s="309"/>
      <c r="O87" s="310"/>
      <c r="P87" s="329"/>
      <c r="Q87" s="329"/>
      <c r="R87" s="309"/>
      <c r="S87" s="310"/>
      <c r="T87" s="329"/>
      <c r="U87" s="329"/>
      <c r="V87" s="309"/>
      <c r="W87" s="310"/>
      <c r="X87" s="329"/>
      <c r="Y87" s="329"/>
      <c r="Z87" s="309"/>
      <c r="AA87" s="310"/>
      <c r="AB87" s="329"/>
      <c r="AC87" s="329"/>
      <c r="AD87" s="309"/>
      <c r="AE87" s="310"/>
      <c r="AF87" s="329"/>
      <c r="AG87" s="329"/>
      <c r="AH87" s="309"/>
      <c r="AI87" s="310"/>
      <c r="AJ87" s="329"/>
      <c r="AK87" s="329"/>
      <c r="AL87" s="309"/>
      <c r="AM87" s="310"/>
      <c r="AN87" s="329"/>
      <c r="AO87" s="329"/>
      <c r="AP87" s="309"/>
      <c r="AQ87" s="310"/>
      <c r="AR87" s="329"/>
      <c r="AS87" s="329"/>
      <c r="AT87" s="309"/>
      <c r="AU87" s="310"/>
      <c r="AV87" s="329"/>
      <c r="AW87" s="329"/>
      <c r="AX87" s="309"/>
      <c r="AY87" s="310"/>
      <c r="AZ87" s="329"/>
      <c r="BA87" s="329"/>
      <c r="BB87" s="309"/>
      <c r="BC87" s="310"/>
      <c r="BD87" s="329"/>
      <c r="BE87" s="329"/>
      <c r="BF87" s="309"/>
      <c r="BG87" s="310"/>
      <c r="BH87" s="329"/>
      <c r="BI87" s="329"/>
      <c r="BJ87" s="309"/>
      <c r="BK87" s="310"/>
      <c r="BL87" s="329"/>
      <c r="BM87" s="329"/>
      <c r="BN87" s="309"/>
      <c r="BO87" s="310"/>
      <c r="BP87" s="329"/>
      <c r="BQ87" s="329"/>
      <c r="BR87" s="309"/>
      <c r="BS87" s="310"/>
      <c r="BT87" s="329"/>
      <c r="BU87" s="329"/>
      <c r="BV87" s="309"/>
      <c r="BW87" s="310"/>
      <c r="BX87" s="329"/>
      <c r="BY87" s="329"/>
      <c r="BZ87" s="309"/>
      <c r="CA87" s="310"/>
      <c r="CB87" s="329"/>
      <c r="CC87" s="329"/>
      <c r="CD87" s="309"/>
      <c r="CE87" s="310"/>
      <c r="CF87" s="329"/>
      <c r="CG87" s="329"/>
      <c r="CH87" s="309"/>
      <c r="CI87" s="310"/>
      <c r="CJ87" s="329"/>
      <c r="CK87" s="329"/>
      <c r="CL87" s="309"/>
      <c r="CM87" s="310"/>
      <c r="CN87" s="329"/>
      <c r="CO87" s="329"/>
      <c r="CP87" s="309"/>
      <c r="CQ87" s="310"/>
      <c r="CR87" s="329"/>
      <c r="CS87" s="329"/>
      <c r="CT87" s="309"/>
      <c r="CU87" s="310"/>
      <c r="CV87" s="329"/>
      <c r="CW87" s="329"/>
      <c r="CX87" s="309"/>
      <c r="CY87" s="310"/>
      <c r="CZ87" s="329"/>
      <c r="DA87" s="329"/>
      <c r="DB87" s="309"/>
      <c r="DC87" s="310"/>
      <c r="DD87" s="329"/>
      <c r="DE87" s="329"/>
      <c r="DF87" s="309"/>
      <c r="DG87" s="310"/>
      <c r="DH87" s="329"/>
      <c r="DI87" s="329"/>
      <c r="DJ87" s="309"/>
      <c r="DK87" s="310"/>
      <c r="DL87" s="329"/>
      <c r="DM87" s="329"/>
      <c r="DN87" s="309"/>
      <c r="DO87" s="310"/>
      <c r="DP87" s="329"/>
      <c r="DQ87" s="329"/>
      <c r="DR87" s="309"/>
      <c r="DS87" s="310"/>
      <c r="DT87" s="329"/>
      <c r="DU87" s="329"/>
      <c r="DV87" s="309"/>
      <c r="DW87" s="310"/>
      <c r="DX87" s="329"/>
      <c r="DY87" s="329"/>
      <c r="DZ87" s="309"/>
      <c r="EA87" s="310"/>
      <c r="EB87" s="329"/>
      <c r="EC87" s="329"/>
      <c r="ED87" s="309"/>
      <c r="EE87" s="310"/>
      <c r="EF87" s="329"/>
      <c r="EG87" s="329"/>
      <c r="EH87" s="309"/>
      <c r="EI87" s="310"/>
      <c r="EJ87" s="329"/>
      <c r="EK87" s="329"/>
      <c r="EL87" s="309"/>
      <c r="EM87" s="310"/>
      <c r="EN87" s="329"/>
      <c r="EO87" s="329"/>
      <c r="EP87" s="309"/>
      <c r="EQ87" s="310"/>
      <c r="ER87" s="329"/>
      <c r="ES87" s="329"/>
      <c r="ET87" s="309"/>
      <c r="EU87" s="310"/>
      <c r="EV87" s="329"/>
      <c r="EW87" s="329"/>
      <c r="EX87" s="309"/>
      <c r="EY87" s="310"/>
      <c r="EZ87" s="329"/>
      <c r="FA87" s="329"/>
      <c r="FB87" s="309"/>
      <c r="FC87" s="310"/>
      <c r="FD87" s="329"/>
      <c r="FE87" s="329"/>
      <c r="FF87" s="309"/>
      <c r="FG87" s="310"/>
      <c r="FH87" s="329"/>
      <c r="FI87" s="329"/>
      <c r="FJ87" s="309"/>
      <c r="FK87" s="310"/>
      <c r="FL87" s="329"/>
      <c r="FM87" s="329"/>
      <c r="FN87" s="309"/>
      <c r="FO87" s="310"/>
      <c r="FP87" s="329"/>
      <c r="FQ87" s="329"/>
      <c r="FR87" s="309"/>
      <c r="FS87" s="310"/>
      <c r="FT87" s="329"/>
      <c r="FU87" s="329"/>
      <c r="FV87" s="309"/>
      <c r="FW87" s="310"/>
      <c r="FX87" s="329"/>
      <c r="FY87" s="329"/>
      <c r="FZ87" s="309"/>
      <c r="GA87" s="310"/>
      <c r="GB87" s="329"/>
      <c r="GC87" s="329"/>
      <c r="GD87" s="309"/>
      <c r="GE87" s="310"/>
      <c r="GF87" s="329"/>
      <c r="GG87" s="329"/>
      <c r="GH87" s="309"/>
      <c r="GI87" s="310"/>
      <c r="GJ87" s="329"/>
      <c r="GK87" s="329"/>
      <c r="GL87" s="309"/>
      <c r="GM87" s="310"/>
      <c r="GN87" s="329"/>
      <c r="GO87" s="329"/>
      <c r="GP87" s="309"/>
      <c r="GQ87" s="310"/>
      <c r="GR87" s="329"/>
      <c r="GS87" s="329"/>
      <c r="GT87" s="309"/>
      <c r="GU87" s="310"/>
      <c r="GV87" s="329"/>
      <c r="GW87" s="329"/>
      <c r="GX87" s="309"/>
      <c r="GY87" s="310"/>
      <c r="GZ87" s="329"/>
      <c r="HA87" s="329"/>
      <c r="HB87" s="309"/>
      <c r="HC87" s="312">
        <f t="shared" si="80"/>
        <v>0</v>
      </c>
      <c r="HD87" s="330"/>
      <c r="HE87" s="330"/>
      <c r="HF87" s="314"/>
      <c r="HG87" s="312">
        <f>SUM(SUMIFS(K87:HB87,$K$13:$HB$13,{"エネルギー管理指定工場等*","県域*"}))</f>
        <v>0</v>
      </c>
      <c r="HH87" s="330"/>
      <c r="HI87" s="330"/>
      <c r="HJ87" s="314"/>
      <c r="IE87" s="579"/>
      <c r="IF87" s="579"/>
      <c r="IG87" s="579"/>
      <c r="IH87" s="579"/>
    </row>
    <row r="88" spans="2:242" s="164" customFormat="1" ht="20.100000000000001" customHeight="1">
      <c r="B88" s="302"/>
      <c r="C88" s="319"/>
      <c r="D88" s="355"/>
      <c r="E88" s="356" t="s">
        <v>617</v>
      </c>
      <c r="F88" s="303" t="s">
        <v>610</v>
      </c>
      <c r="G88" s="306">
        <v>8.64</v>
      </c>
      <c r="H88" s="315"/>
      <c r="I88" s="308"/>
      <c r="J88" s="309"/>
      <c r="K88" s="310"/>
      <c r="L88" s="329"/>
      <c r="M88" s="329"/>
      <c r="N88" s="309"/>
      <c r="O88" s="310"/>
      <c r="P88" s="329"/>
      <c r="Q88" s="329"/>
      <c r="R88" s="309"/>
      <c r="S88" s="310"/>
      <c r="T88" s="329"/>
      <c r="U88" s="329"/>
      <c r="V88" s="309"/>
      <c r="W88" s="310"/>
      <c r="X88" s="329"/>
      <c r="Y88" s="329"/>
      <c r="Z88" s="309"/>
      <c r="AA88" s="310"/>
      <c r="AB88" s="329"/>
      <c r="AC88" s="329"/>
      <c r="AD88" s="309"/>
      <c r="AE88" s="310"/>
      <c r="AF88" s="329"/>
      <c r="AG88" s="329"/>
      <c r="AH88" s="309"/>
      <c r="AI88" s="310"/>
      <c r="AJ88" s="329"/>
      <c r="AK88" s="329"/>
      <c r="AL88" s="309"/>
      <c r="AM88" s="310"/>
      <c r="AN88" s="329"/>
      <c r="AO88" s="329"/>
      <c r="AP88" s="309"/>
      <c r="AQ88" s="310"/>
      <c r="AR88" s="329"/>
      <c r="AS88" s="329"/>
      <c r="AT88" s="309"/>
      <c r="AU88" s="310"/>
      <c r="AV88" s="329"/>
      <c r="AW88" s="329"/>
      <c r="AX88" s="309"/>
      <c r="AY88" s="310"/>
      <c r="AZ88" s="329"/>
      <c r="BA88" s="329"/>
      <c r="BB88" s="309"/>
      <c r="BC88" s="310"/>
      <c r="BD88" s="329"/>
      <c r="BE88" s="329"/>
      <c r="BF88" s="309"/>
      <c r="BG88" s="310"/>
      <c r="BH88" s="329"/>
      <c r="BI88" s="329"/>
      <c r="BJ88" s="309"/>
      <c r="BK88" s="310"/>
      <c r="BL88" s="329"/>
      <c r="BM88" s="329"/>
      <c r="BN88" s="309"/>
      <c r="BO88" s="310"/>
      <c r="BP88" s="329"/>
      <c r="BQ88" s="329"/>
      <c r="BR88" s="309"/>
      <c r="BS88" s="310"/>
      <c r="BT88" s="329"/>
      <c r="BU88" s="329"/>
      <c r="BV88" s="309"/>
      <c r="BW88" s="310"/>
      <c r="BX88" s="329"/>
      <c r="BY88" s="329"/>
      <c r="BZ88" s="309"/>
      <c r="CA88" s="310"/>
      <c r="CB88" s="329"/>
      <c r="CC88" s="329"/>
      <c r="CD88" s="309"/>
      <c r="CE88" s="310"/>
      <c r="CF88" s="329"/>
      <c r="CG88" s="329"/>
      <c r="CH88" s="309"/>
      <c r="CI88" s="310"/>
      <c r="CJ88" s="329"/>
      <c r="CK88" s="329"/>
      <c r="CL88" s="309"/>
      <c r="CM88" s="310"/>
      <c r="CN88" s="329"/>
      <c r="CO88" s="329"/>
      <c r="CP88" s="309"/>
      <c r="CQ88" s="310"/>
      <c r="CR88" s="329"/>
      <c r="CS88" s="329"/>
      <c r="CT88" s="309"/>
      <c r="CU88" s="310"/>
      <c r="CV88" s="329"/>
      <c r="CW88" s="329"/>
      <c r="CX88" s="309"/>
      <c r="CY88" s="310"/>
      <c r="CZ88" s="329"/>
      <c r="DA88" s="329"/>
      <c r="DB88" s="309"/>
      <c r="DC88" s="310"/>
      <c r="DD88" s="329"/>
      <c r="DE88" s="329"/>
      <c r="DF88" s="309"/>
      <c r="DG88" s="310"/>
      <c r="DH88" s="329"/>
      <c r="DI88" s="329"/>
      <c r="DJ88" s="309"/>
      <c r="DK88" s="310"/>
      <c r="DL88" s="329"/>
      <c r="DM88" s="329"/>
      <c r="DN88" s="309"/>
      <c r="DO88" s="310"/>
      <c r="DP88" s="329"/>
      <c r="DQ88" s="329"/>
      <c r="DR88" s="309"/>
      <c r="DS88" s="310"/>
      <c r="DT88" s="329"/>
      <c r="DU88" s="329"/>
      <c r="DV88" s="309"/>
      <c r="DW88" s="310"/>
      <c r="DX88" s="329"/>
      <c r="DY88" s="329"/>
      <c r="DZ88" s="309"/>
      <c r="EA88" s="310"/>
      <c r="EB88" s="329"/>
      <c r="EC88" s="329"/>
      <c r="ED88" s="309"/>
      <c r="EE88" s="310"/>
      <c r="EF88" s="329"/>
      <c r="EG88" s="329"/>
      <c r="EH88" s="309"/>
      <c r="EI88" s="310"/>
      <c r="EJ88" s="329"/>
      <c r="EK88" s="329"/>
      <c r="EL88" s="309"/>
      <c r="EM88" s="310"/>
      <c r="EN88" s="329"/>
      <c r="EO88" s="329"/>
      <c r="EP88" s="309"/>
      <c r="EQ88" s="310"/>
      <c r="ER88" s="329"/>
      <c r="ES88" s="329"/>
      <c r="ET88" s="309"/>
      <c r="EU88" s="310"/>
      <c r="EV88" s="329"/>
      <c r="EW88" s="329"/>
      <c r="EX88" s="309"/>
      <c r="EY88" s="310"/>
      <c r="EZ88" s="329"/>
      <c r="FA88" s="329"/>
      <c r="FB88" s="309"/>
      <c r="FC88" s="310"/>
      <c r="FD88" s="329"/>
      <c r="FE88" s="329"/>
      <c r="FF88" s="309"/>
      <c r="FG88" s="310"/>
      <c r="FH88" s="329"/>
      <c r="FI88" s="329"/>
      <c r="FJ88" s="309"/>
      <c r="FK88" s="310"/>
      <c r="FL88" s="329"/>
      <c r="FM88" s="329"/>
      <c r="FN88" s="309"/>
      <c r="FO88" s="310"/>
      <c r="FP88" s="329"/>
      <c r="FQ88" s="329"/>
      <c r="FR88" s="309"/>
      <c r="FS88" s="310"/>
      <c r="FT88" s="329"/>
      <c r="FU88" s="329"/>
      <c r="FV88" s="309"/>
      <c r="FW88" s="310"/>
      <c r="FX88" s="329"/>
      <c r="FY88" s="329"/>
      <c r="FZ88" s="309"/>
      <c r="GA88" s="310"/>
      <c r="GB88" s="329"/>
      <c r="GC88" s="329"/>
      <c r="GD88" s="309"/>
      <c r="GE88" s="310"/>
      <c r="GF88" s="329"/>
      <c r="GG88" s="329"/>
      <c r="GH88" s="309"/>
      <c r="GI88" s="310"/>
      <c r="GJ88" s="329"/>
      <c r="GK88" s="329"/>
      <c r="GL88" s="309"/>
      <c r="GM88" s="310"/>
      <c r="GN88" s="329"/>
      <c r="GO88" s="329"/>
      <c r="GP88" s="309"/>
      <c r="GQ88" s="310"/>
      <c r="GR88" s="329"/>
      <c r="GS88" s="329"/>
      <c r="GT88" s="309"/>
      <c r="GU88" s="310"/>
      <c r="GV88" s="329"/>
      <c r="GW88" s="329"/>
      <c r="GX88" s="309"/>
      <c r="GY88" s="310"/>
      <c r="GZ88" s="329"/>
      <c r="HA88" s="329"/>
      <c r="HB88" s="309"/>
      <c r="HC88" s="312">
        <f t="shared" si="80"/>
        <v>0</v>
      </c>
      <c r="HD88" s="330"/>
      <c r="HE88" s="330"/>
      <c r="HF88" s="314"/>
      <c r="HG88" s="312">
        <f>SUM(SUMIFS(K88:HB88,$K$13:$HB$13,{"エネルギー管理指定工場等*","県域*"}))</f>
        <v>0</v>
      </c>
      <c r="HH88" s="330"/>
      <c r="HI88" s="330"/>
      <c r="HJ88" s="314"/>
      <c r="IE88" s="579"/>
      <c r="IF88" s="579"/>
      <c r="IG88" s="579"/>
      <c r="IH88" s="579"/>
    </row>
    <row r="89" spans="2:242" s="164" customFormat="1" ht="20.100000000000001" customHeight="1">
      <c r="B89" s="302"/>
      <c r="C89" s="319"/>
      <c r="D89" s="328" t="s">
        <v>618</v>
      </c>
      <c r="E89" s="335"/>
      <c r="F89" s="303" t="s">
        <v>610</v>
      </c>
      <c r="G89" s="310"/>
      <c r="H89" s="315"/>
      <c r="I89" s="310"/>
      <c r="J89" s="315"/>
      <c r="K89" s="310"/>
      <c r="L89" s="329"/>
      <c r="M89" s="329"/>
      <c r="N89" s="309"/>
      <c r="O89" s="310"/>
      <c r="P89" s="329"/>
      <c r="Q89" s="329"/>
      <c r="R89" s="309"/>
      <c r="S89" s="310"/>
      <c r="T89" s="329"/>
      <c r="U89" s="329"/>
      <c r="V89" s="309"/>
      <c r="W89" s="310"/>
      <c r="X89" s="329"/>
      <c r="Y89" s="329"/>
      <c r="Z89" s="309"/>
      <c r="AA89" s="310"/>
      <c r="AB89" s="329"/>
      <c r="AC89" s="329"/>
      <c r="AD89" s="309"/>
      <c r="AE89" s="310"/>
      <c r="AF89" s="329"/>
      <c r="AG89" s="329"/>
      <c r="AH89" s="309"/>
      <c r="AI89" s="310"/>
      <c r="AJ89" s="329"/>
      <c r="AK89" s="329"/>
      <c r="AL89" s="309"/>
      <c r="AM89" s="310"/>
      <c r="AN89" s="329"/>
      <c r="AO89" s="329"/>
      <c r="AP89" s="309"/>
      <c r="AQ89" s="310"/>
      <c r="AR89" s="329"/>
      <c r="AS89" s="329"/>
      <c r="AT89" s="309"/>
      <c r="AU89" s="310"/>
      <c r="AV89" s="329"/>
      <c r="AW89" s="329"/>
      <c r="AX89" s="309"/>
      <c r="AY89" s="310"/>
      <c r="AZ89" s="329"/>
      <c r="BA89" s="329"/>
      <c r="BB89" s="309"/>
      <c r="BC89" s="310"/>
      <c r="BD89" s="329"/>
      <c r="BE89" s="329"/>
      <c r="BF89" s="309"/>
      <c r="BG89" s="310"/>
      <c r="BH89" s="329"/>
      <c r="BI89" s="329"/>
      <c r="BJ89" s="309"/>
      <c r="BK89" s="310"/>
      <c r="BL89" s="329"/>
      <c r="BM89" s="329"/>
      <c r="BN89" s="309"/>
      <c r="BO89" s="310"/>
      <c r="BP89" s="329"/>
      <c r="BQ89" s="329"/>
      <c r="BR89" s="309"/>
      <c r="BS89" s="310"/>
      <c r="BT89" s="329"/>
      <c r="BU89" s="329"/>
      <c r="BV89" s="309"/>
      <c r="BW89" s="310"/>
      <c r="BX89" s="329"/>
      <c r="BY89" s="329"/>
      <c r="BZ89" s="309"/>
      <c r="CA89" s="310"/>
      <c r="CB89" s="329"/>
      <c r="CC89" s="329"/>
      <c r="CD89" s="309"/>
      <c r="CE89" s="310"/>
      <c r="CF89" s="329"/>
      <c r="CG89" s="329"/>
      <c r="CH89" s="309"/>
      <c r="CI89" s="310"/>
      <c r="CJ89" s="329"/>
      <c r="CK89" s="329"/>
      <c r="CL89" s="309"/>
      <c r="CM89" s="310"/>
      <c r="CN89" s="329"/>
      <c r="CO89" s="329"/>
      <c r="CP89" s="309"/>
      <c r="CQ89" s="310"/>
      <c r="CR89" s="329"/>
      <c r="CS89" s="329"/>
      <c r="CT89" s="309"/>
      <c r="CU89" s="310"/>
      <c r="CV89" s="329"/>
      <c r="CW89" s="329"/>
      <c r="CX89" s="309"/>
      <c r="CY89" s="310"/>
      <c r="CZ89" s="329"/>
      <c r="DA89" s="329"/>
      <c r="DB89" s="309"/>
      <c r="DC89" s="310"/>
      <c r="DD89" s="329"/>
      <c r="DE89" s="329"/>
      <c r="DF89" s="309"/>
      <c r="DG89" s="310"/>
      <c r="DH89" s="329"/>
      <c r="DI89" s="329"/>
      <c r="DJ89" s="309"/>
      <c r="DK89" s="310"/>
      <c r="DL89" s="329"/>
      <c r="DM89" s="329"/>
      <c r="DN89" s="309"/>
      <c r="DO89" s="310"/>
      <c r="DP89" s="329"/>
      <c r="DQ89" s="329"/>
      <c r="DR89" s="309"/>
      <c r="DS89" s="310"/>
      <c r="DT89" s="329"/>
      <c r="DU89" s="329"/>
      <c r="DV89" s="309"/>
      <c r="DW89" s="310"/>
      <c r="DX89" s="329"/>
      <c r="DY89" s="329"/>
      <c r="DZ89" s="309"/>
      <c r="EA89" s="310"/>
      <c r="EB89" s="329"/>
      <c r="EC89" s="329"/>
      <c r="ED89" s="309"/>
      <c r="EE89" s="310"/>
      <c r="EF89" s="329"/>
      <c r="EG89" s="329"/>
      <c r="EH89" s="309"/>
      <c r="EI89" s="310"/>
      <c r="EJ89" s="329"/>
      <c r="EK89" s="329"/>
      <c r="EL89" s="309"/>
      <c r="EM89" s="310"/>
      <c r="EN89" s="329"/>
      <c r="EO89" s="329"/>
      <c r="EP89" s="309"/>
      <c r="EQ89" s="310"/>
      <c r="ER89" s="329"/>
      <c r="ES89" s="329"/>
      <c r="ET89" s="309"/>
      <c r="EU89" s="310"/>
      <c r="EV89" s="329"/>
      <c r="EW89" s="329"/>
      <c r="EX89" s="309"/>
      <c r="EY89" s="310"/>
      <c r="EZ89" s="329"/>
      <c r="FA89" s="329"/>
      <c r="FB89" s="309"/>
      <c r="FC89" s="310"/>
      <c r="FD89" s="329"/>
      <c r="FE89" s="329"/>
      <c r="FF89" s="309"/>
      <c r="FG89" s="310"/>
      <c r="FH89" s="329"/>
      <c r="FI89" s="329"/>
      <c r="FJ89" s="309"/>
      <c r="FK89" s="310"/>
      <c r="FL89" s="329"/>
      <c r="FM89" s="329"/>
      <c r="FN89" s="309"/>
      <c r="FO89" s="310"/>
      <c r="FP89" s="329"/>
      <c r="FQ89" s="329"/>
      <c r="FR89" s="309"/>
      <c r="FS89" s="310"/>
      <c r="FT89" s="329"/>
      <c r="FU89" s="329"/>
      <c r="FV89" s="309"/>
      <c r="FW89" s="310"/>
      <c r="FX89" s="329"/>
      <c r="FY89" s="329"/>
      <c r="FZ89" s="309"/>
      <c r="GA89" s="310"/>
      <c r="GB89" s="329"/>
      <c r="GC89" s="329"/>
      <c r="GD89" s="309"/>
      <c r="GE89" s="310"/>
      <c r="GF89" s="329"/>
      <c r="GG89" s="329"/>
      <c r="GH89" s="309"/>
      <c r="GI89" s="310"/>
      <c r="GJ89" s="329"/>
      <c r="GK89" s="329"/>
      <c r="GL89" s="309"/>
      <c r="GM89" s="310"/>
      <c r="GN89" s="329"/>
      <c r="GO89" s="329"/>
      <c r="GP89" s="309"/>
      <c r="GQ89" s="310"/>
      <c r="GR89" s="329"/>
      <c r="GS89" s="329"/>
      <c r="GT89" s="309"/>
      <c r="GU89" s="310"/>
      <c r="GV89" s="329"/>
      <c r="GW89" s="329"/>
      <c r="GX89" s="309"/>
      <c r="GY89" s="310"/>
      <c r="GZ89" s="329"/>
      <c r="HA89" s="329"/>
      <c r="HB89" s="309"/>
      <c r="HC89" s="312">
        <f t="shared" si="80"/>
        <v>0</v>
      </c>
      <c r="HD89" s="330"/>
      <c r="HE89" s="330"/>
      <c r="HF89" s="314"/>
      <c r="HG89" s="312">
        <f>SUM(SUMIFS(K89:HB89,$K$13:$HB$13,{"エネルギー管理指定工場等*","県域*"}))</f>
        <v>0</v>
      </c>
      <c r="HH89" s="330"/>
      <c r="HI89" s="330"/>
      <c r="HJ89" s="314"/>
      <c r="IE89" s="579"/>
      <c r="IF89" s="579"/>
      <c r="IG89" s="579"/>
      <c r="IH89" s="579"/>
    </row>
    <row r="90" spans="2:242" s="164" customFormat="1" ht="20.100000000000001" customHeight="1">
      <c r="B90" s="302"/>
      <c r="C90" s="319"/>
      <c r="D90" s="355"/>
      <c r="E90" s="333" t="s">
        <v>616</v>
      </c>
      <c r="F90" s="303" t="s">
        <v>610</v>
      </c>
      <c r="G90" s="310"/>
      <c r="H90" s="315"/>
      <c r="I90" s="308"/>
      <c r="J90" s="309"/>
      <c r="K90" s="310"/>
      <c r="L90" s="329"/>
      <c r="M90" s="329"/>
      <c r="N90" s="309"/>
      <c r="O90" s="310"/>
      <c r="P90" s="329"/>
      <c r="Q90" s="329"/>
      <c r="R90" s="309"/>
      <c r="S90" s="310"/>
      <c r="T90" s="329"/>
      <c r="U90" s="329"/>
      <c r="V90" s="309"/>
      <c r="W90" s="310"/>
      <c r="X90" s="329"/>
      <c r="Y90" s="329"/>
      <c r="Z90" s="309"/>
      <c r="AA90" s="310"/>
      <c r="AB90" s="329"/>
      <c r="AC90" s="329"/>
      <c r="AD90" s="309"/>
      <c r="AE90" s="310"/>
      <c r="AF90" s="329"/>
      <c r="AG90" s="329"/>
      <c r="AH90" s="309"/>
      <c r="AI90" s="310"/>
      <c r="AJ90" s="329"/>
      <c r="AK90" s="329"/>
      <c r="AL90" s="309"/>
      <c r="AM90" s="310"/>
      <c r="AN90" s="329"/>
      <c r="AO90" s="329"/>
      <c r="AP90" s="309"/>
      <c r="AQ90" s="310"/>
      <c r="AR90" s="329"/>
      <c r="AS90" s="329"/>
      <c r="AT90" s="309"/>
      <c r="AU90" s="310"/>
      <c r="AV90" s="329"/>
      <c r="AW90" s="329"/>
      <c r="AX90" s="309"/>
      <c r="AY90" s="310"/>
      <c r="AZ90" s="329"/>
      <c r="BA90" s="329"/>
      <c r="BB90" s="309"/>
      <c r="BC90" s="310"/>
      <c r="BD90" s="329"/>
      <c r="BE90" s="329"/>
      <c r="BF90" s="309"/>
      <c r="BG90" s="310"/>
      <c r="BH90" s="329"/>
      <c r="BI90" s="329"/>
      <c r="BJ90" s="309"/>
      <c r="BK90" s="310"/>
      <c r="BL90" s="329"/>
      <c r="BM90" s="329"/>
      <c r="BN90" s="309"/>
      <c r="BO90" s="310"/>
      <c r="BP90" s="329"/>
      <c r="BQ90" s="329"/>
      <c r="BR90" s="309"/>
      <c r="BS90" s="310"/>
      <c r="BT90" s="329"/>
      <c r="BU90" s="329"/>
      <c r="BV90" s="309"/>
      <c r="BW90" s="310"/>
      <c r="BX90" s="329"/>
      <c r="BY90" s="329"/>
      <c r="BZ90" s="309"/>
      <c r="CA90" s="310"/>
      <c r="CB90" s="329"/>
      <c r="CC90" s="329"/>
      <c r="CD90" s="309"/>
      <c r="CE90" s="310"/>
      <c r="CF90" s="329"/>
      <c r="CG90" s="329"/>
      <c r="CH90" s="309"/>
      <c r="CI90" s="310"/>
      <c r="CJ90" s="329"/>
      <c r="CK90" s="329"/>
      <c r="CL90" s="309"/>
      <c r="CM90" s="310"/>
      <c r="CN90" s="329"/>
      <c r="CO90" s="329"/>
      <c r="CP90" s="309"/>
      <c r="CQ90" s="310"/>
      <c r="CR90" s="329"/>
      <c r="CS90" s="329"/>
      <c r="CT90" s="309"/>
      <c r="CU90" s="310"/>
      <c r="CV90" s="329"/>
      <c r="CW90" s="329"/>
      <c r="CX90" s="309"/>
      <c r="CY90" s="310"/>
      <c r="CZ90" s="329"/>
      <c r="DA90" s="329"/>
      <c r="DB90" s="309"/>
      <c r="DC90" s="310"/>
      <c r="DD90" s="329"/>
      <c r="DE90" s="329"/>
      <c r="DF90" s="309"/>
      <c r="DG90" s="310"/>
      <c r="DH90" s="329"/>
      <c r="DI90" s="329"/>
      <c r="DJ90" s="309"/>
      <c r="DK90" s="310"/>
      <c r="DL90" s="329"/>
      <c r="DM90" s="329"/>
      <c r="DN90" s="309"/>
      <c r="DO90" s="310"/>
      <c r="DP90" s="329"/>
      <c r="DQ90" s="329"/>
      <c r="DR90" s="309"/>
      <c r="DS90" s="310"/>
      <c r="DT90" s="329"/>
      <c r="DU90" s="329"/>
      <c r="DV90" s="309"/>
      <c r="DW90" s="310"/>
      <c r="DX90" s="329"/>
      <c r="DY90" s="329"/>
      <c r="DZ90" s="309"/>
      <c r="EA90" s="310"/>
      <c r="EB90" s="329"/>
      <c r="EC90" s="329"/>
      <c r="ED90" s="309"/>
      <c r="EE90" s="310"/>
      <c r="EF90" s="329"/>
      <c r="EG90" s="329"/>
      <c r="EH90" s="309"/>
      <c r="EI90" s="310"/>
      <c r="EJ90" s="329"/>
      <c r="EK90" s="329"/>
      <c r="EL90" s="309"/>
      <c r="EM90" s="310"/>
      <c r="EN90" s="329"/>
      <c r="EO90" s="329"/>
      <c r="EP90" s="309"/>
      <c r="EQ90" s="310"/>
      <c r="ER90" s="329"/>
      <c r="ES90" s="329"/>
      <c r="ET90" s="309"/>
      <c r="EU90" s="310"/>
      <c r="EV90" s="329"/>
      <c r="EW90" s="329"/>
      <c r="EX90" s="309"/>
      <c r="EY90" s="310"/>
      <c r="EZ90" s="329"/>
      <c r="FA90" s="329"/>
      <c r="FB90" s="309"/>
      <c r="FC90" s="310"/>
      <c r="FD90" s="329"/>
      <c r="FE90" s="329"/>
      <c r="FF90" s="309"/>
      <c r="FG90" s="310"/>
      <c r="FH90" s="329"/>
      <c r="FI90" s="329"/>
      <c r="FJ90" s="309"/>
      <c r="FK90" s="310"/>
      <c r="FL90" s="329"/>
      <c r="FM90" s="329"/>
      <c r="FN90" s="309"/>
      <c r="FO90" s="310"/>
      <c r="FP90" s="329"/>
      <c r="FQ90" s="329"/>
      <c r="FR90" s="309"/>
      <c r="FS90" s="310"/>
      <c r="FT90" s="329"/>
      <c r="FU90" s="329"/>
      <c r="FV90" s="309"/>
      <c r="FW90" s="310"/>
      <c r="FX90" s="329"/>
      <c r="FY90" s="329"/>
      <c r="FZ90" s="309"/>
      <c r="GA90" s="310"/>
      <c r="GB90" s="329"/>
      <c r="GC90" s="329"/>
      <c r="GD90" s="309"/>
      <c r="GE90" s="310"/>
      <c r="GF90" s="329"/>
      <c r="GG90" s="329"/>
      <c r="GH90" s="309"/>
      <c r="GI90" s="310"/>
      <c r="GJ90" s="329"/>
      <c r="GK90" s="329"/>
      <c r="GL90" s="309"/>
      <c r="GM90" s="310"/>
      <c r="GN90" s="329"/>
      <c r="GO90" s="329"/>
      <c r="GP90" s="309"/>
      <c r="GQ90" s="310"/>
      <c r="GR90" s="329"/>
      <c r="GS90" s="329"/>
      <c r="GT90" s="309"/>
      <c r="GU90" s="310"/>
      <c r="GV90" s="329"/>
      <c r="GW90" s="329"/>
      <c r="GX90" s="309"/>
      <c r="GY90" s="310"/>
      <c r="GZ90" s="329"/>
      <c r="HA90" s="329"/>
      <c r="HB90" s="309"/>
      <c r="HC90" s="312">
        <f t="shared" si="80"/>
        <v>0</v>
      </c>
      <c r="HD90" s="330"/>
      <c r="HE90" s="330"/>
      <c r="HF90" s="314"/>
      <c r="HG90" s="312">
        <f>SUM(SUMIFS(K90:HB90,$K$13:$HB$13,{"エネルギー管理指定工場等*","県域*"}))</f>
        <v>0</v>
      </c>
      <c r="HH90" s="330"/>
      <c r="HI90" s="330"/>
      <c r="HJ90" s="314"/>
      <c r="IE90" s="579"/>
      <c r="IF90" s="579"/>
      <c r="IG90" s="579"/>
      <c r="IH90" s="579"/>
    </row>
    <row r="91" spans="2:242" s="164" customFormat="1" ht="20.100000000000001" customHeight="1">
      <c r="B91" s="302"/>
      <c r="C91" s="319"/>
      <c r="D91" s="355"/>
      <c r="E91" s="333" t="s">
        <v>617</v>
      </c>
      <c r="F91" s="303" t="s">
        <v>610</v>
      </c>
      <c r="G91" s="310"/>
      <c r="H91" s="315"/>
      <c r="I91" s="308"/>
      <c r="J91" s="309"/>
      <c r="K91" s="310"/>
      <c r="L91" s="329"/>
      <c r="M91" s="329"/>
      <c r="N91" s="309"/>
      <c r="O91" s="310"/>
      <c r="P91" s="329"/>
      <c r="Q91" s="329"/>
      <c r="R91" s="309"/>
      <c r="S91" s="310"/>
      <c r="T91" s="329"/>
      <c r="U91" s="329"/>
      <c r="V91" s="309"/>
      <c r="W91" s="310"/>
      <c r="X91" s="329"/>
      <c r="Y91" s="329"/>
      <c r="Z91" s="309"/>
      <c r="AA91" s="310"/>
      <c r="AB91" s="329"/>
      <c r="AC91" s="329"/>
      <c r="AD91" s="309"/>
      <c r="AE91" s="310"/>
      <c r="AF91" s="329"/>
      <c r="AG91" s="329"/>
      <c r="AH91" s="309"/>
      <c r="AI91" s="310"/>
      <c r="AJ91" s="329"/>
      <c r="AK91" s="329"/>
      <c r="AL91" s="309"/>
      <c r="AM91" s="310"/>
      <c r="AN91" s="329"/>
      <c r="AO91" s="329"/>
      <c r="AP91" s="309"/>
      <c r="AQ91" s="310"/>
      <c r="AR91" s="329"/>
      <c r="AS91" s="329"/>
      <c r="AT91" s="309"/>
      <c r="AU91" s="310"/>
      <c r="AV91" s="329"/>
      <c r="AW91" s="329"/>
      <c r="AX91" s="309"/>
      <c r="AY91" s="310"/>
      <c r="AZ91" s="329"/>
      <c r="BA91" s="329"/>
      <c r="BB91" s="309"/>
      <c r="BC91" s="310"/>
      <c r="BD91" s="329"/>
      <c r="BE91" s="329"/>
      <c r="BF91" s="309"/>
      <c r="BG91" s="310"/>
      <c r="BH91" s="329"/>
      <c r="BI91" s="329"/>
      <c r="BJ91" s="309"/>
      <c r="BK91" s="310"/>
      <c r="BL91" s="329"/>
      <c r="BM91" s="329"/>
      <c r="BN91" s="309"/>
      <c r="BO91" s="310"/>
      <c r="BP91" s="329"/>
      <c r="BQ91" s="329"/>
      <c r="BR91" s="309"/>
      <c r="BS91" s="310"/>
      <c r="BT91" s="329"/>
      <c r="BU91" s="329"/>
      <c r="BV91" s="309"/>
      <c r="BW91" s="310"/>
      <c r="BX91" s="329"/>
      <c r="BY91" s="329"/>
      <c r="BZ91" s="309"/>
      <c r="CA91" s="310"/>
      <c r="CB91" s="329"/>
      <c r="CC91" s="329"/>
      <c r="CD91" s="309"/>
      <c r="CE91" s="310"/>
      <c r="CF91" s="329"/>
      <c r="CG91" s="329"/>
      <c r="CH91" s="309"/>
      <c r="CI91" s="310"/>
      <c r="CJ91" s="329"/>
      <c r="CK91" s="329"/>
      <c r="CL91" s="309"/>
      <c r="CM91" s="310"/>
      <c r="CN91" s="329"/>
      <c r="CO91" s="329"/>
      <c r="CP91" s="309"/>
      <c r="CQ91" s="310"/>
      <c r="CR91" s="329"/>
      <c r="CS91" s="329"/>
      <c r="CT91" s="309"/>
      <c r="CU91" s="310"/>
      <c r="CV91" s="329"/>
      <c r="CW91" s="329"/>
      <c r="CX91" s="309"/>
      <c r="CY91" s="310"/>
      <c r="CZ91" s="329"/>
      <c r="DA91" s="329"/>
      <c r="DB91" s="309"/>
      <c r="DC91" s="310"/>
      <c r="DD91" s="329"/>
      <c r="DE91" s="329"/>
      <c r="DF91" s="309"/>
      <c r="DG91" s="310"/>
      <c r="DH91" s="329"/>
      <c r="DI91" s="329"/>
      <c r="DJ91" s="309"/>
      <c r="DK91" s="310"/>
      <c r="DL91" s="329"/>
      <c r="DM91" s="329"/>
      <c r="DN91" s="309"/>
      <c r="DO91" s="310"/>
      <c r="DP91" s="329"/>
      <c r="DQ91" s="329"/>
      <c r="DR91" s="309"/>
      <c r="DS91" s="310"/>
      <c r="DT91" s="329"/>
      <c r="DU91" s="329"/>
      <c r="DV91" s="309"/>
      <c r="DW91" s="310"/>
      <c r="DX91" s="329"/>
      <c r="DY91" s="329"/>
      <c r="DZ91" s="309"/>
      <c r="EA91" s="310"/>
      <c r="EB91" s="329"/>
      <c r="EC91" s="329"/>
      <c r="ED91" s="309"/>
      <c r="EE91" s="310"/>
      <c r="EF91" s="329"/>
      <c r="EG91" s="329"/>
      <c r="EH91" s="309"/>
      <c r="EI91" s="310"/>
      <c r="EJ91" s="329"/>
      <c r="EK91" s="329"/>
      <c r="EL91" s="309"/>
      <c r="EM91" s="310"/>
      <c r="EN91" s="329"/>
      <c r="EO91" s="329"/>
      <c r="EP91" s="309"/>
      <c r="EQ91" s="310"/>
      <c r="ER91" s="329"/>
      <c r="ES91" s="329"/>
      <c r="ET91" s="309"/>
      <c r="EU91" s="310"/>
      <c r="EV91" s="329"/>
      <c r="EW91" s="329"/>
      <c r="EX91" s="309"/>
      <c r="EY91" s="310"/>
      <c r="EZ91" s="329"/>
      <c r="FA91" s="329"/>
      <c r="FB91" s="309"/>
      <c r="FC91" s="310"/>
      <c r="FD91" s="329"/>
      <c r="FE91" s="329"/>
      <c r="FF91" s="309"/>
      <c r="FG91" s="310"/>
      <c r="FH91" s="329"/>
      <c r="FI91" s="329"/>
      <c r="FJ91" s="309"/>
      <c r="FK91" s="310"/>
      <c r="FL91" s="329"/>
      <c r="FM91" s="329"/>
      <c r="FN91" s="309"/>
      <c r="FO91" s="310"/>
      <c r="FP91" s="329"/>
      <c r="FQ91" s="329"/>
      <c r="FR91" s="309"/>
      <c r="FS91" s="310"/>
      <c r="FT91" s="329"/>
      <c r="FU91" s="329"/>
      <c r="FV91" s="309"/>
      <c r="FW91" s="310"/>
      <c r="FX91" s="329"/>
      <c r="FY91" s="329"/>
      <c r="FZ91" s="309"/>
      <c r="GA91" s="310"/>
      <c r="GB91" s="329"/>
      <c r="GC91" s="329"/>
      <c r="GD91" s="309"/>
      <c r="GE91" s="310"/>
      <c r="GF91" s="329"/>
      <c r="GG91" s="329"/>
      <c r="GH91" s="309"/>
      <c r="GI91" s="310"/>
      <c r="GJ91" s="329"/>
      <c r="GK91" s="329"/>
      <c r="GL91" s="309"/>
      <c r="GM91" s="310"/>
      <c r="GN91" s="329"/>
      <c r="GO91" s="329"/>
      <c r="GP91" s="309"/>
      <c r="GQ91" s="310"/>
      <c r="GR91" s="329"/>
      <c r="GS91" s="329"/>
      <c r="GT91" s="309"/>
      <c r="GU91" s="310"/>
      <c r="GV91" s="329"/>
      <c r="GW91" s="329"/>
      <c r="GX91" s="309"/>
      <c r="GY91" s="310"/>
      <c r="GZ91" s="329"/>
      <c r="HA91" s="329"/>
      <c r="HB91" s="309"/>
      <c r="HC91" s="312">
        <f t="shared" si="80"/>
        <v>0</v>
      </c>
      <c r="HD91" s="330"/>
      <c r="HE91" s="330"/>
      <c r="HF91" s="314"/>
      <c r="HG91" s="312">
        <f>SUM(SUMIFS(K91:HB91,$K$13:$HB$13,{"エネルギー管理指定工場等*","県域*"}))</f>
        <v>0</v>
      </c>
      <c r="HH91" s="330"/>
      <c r="HI91" s="330"/>
      <c r="HJ91" s="314"/>
      <c r="IE91" s="579"/>
      <c r="IF91" s="579"/>
      <c r="IG91" s="579"/>
      <c r="IH91" s="579"/>
    </row>
    <row r="92" spans="2:242" s="164" customFormat="1" ht="20.100000000000001" customHeight="1">
      <c r="B92" s="302"/>
      <c r="C92" s="317" t="s">
        <v>619</v>
      </c>
      <c r="D92" s="328" t="s">
        <v>620</v>
      </c>
      <c r="E92" s="357"/>
      <c r="F92" s="303" t="s">
        <v>610</v>
      </c>
      <c r="G92" s="306">
        <v>3.6</v>
      </c>
      <c r="H92" s="309"/>
      <c r="I92" s="310"/>
      <c r="J92" s="315"/>
      <c r="K92" s="310"/>
      <c r="L92" s="329"/>
      <c r="M92" s="311"/>
      <c r="N92" s="309"/>
      <c r="O92" s="310"/>
      <c r="P92" s="329"/>
      <c r="Q92" s="311"/>
      <c r="R92" s="309"/>
      <c r="S92" s="310"/>
      <c r="T92" s="329"/>
      <c r="U92" s="311"/>
      <c r="V92" s="309"/>
      <c r="W92" s="310"/>
      <c r="X92" s="329"/>
      <c r="Y92" s="311"/>
      <c r="Z92" s="309"/>
      <c r="AA92" s="310"/>
      <c r="AB92" s="329"/>
      <c r="AC92" s="311"/>
      <c r="AD92" s="309"/>
      <c r="AE92" s="310"/>
      <c r="AF92" s="329"/>
      <c r="AG92" s="311"/>
      <c r="AH92" s="309"/>
      <c r="AI92" s="310"/>
      <c r="AJ92" s="329"/>
      <c r="AK92" s="311"/>
      <c r="AL92" s="309"/>
      <c r="AM92" s="310"/>
      <c r="AN92" s="329"/>
      <c r="AO92" s="311"/>
      <c r="AP92" s="309"/>
      <c r="AQ92" s="310"/>
      <c r="AR92" s="329"/>
      <c r="AS92" s="311"/>
      <c r="AT92" s="309"/>
      <c r="AU92" s="310"/>
      <c r="AV92" s="329"/>
      <c r="AW92" s="311"/>
      <c r="AX92" s="309"/>
      <c r="AY92" s="310"/>
      <c r="AZ92" s="329"/>
      <c r="BA92" s="311"/>
      <c r="BB92" s="309"/>
      <c r="BC92" s="310"/>
      <c r="BD92" s="329"/>
      <c r="BE92" s="311"/>
      <c r="BF92" s="309"/>
      <c r="BG92" s="310"/>
      <c r="BH92" s="329"/>
      <c r="BI92" s="311"/>
      <c r="BJ92" s="309"/>
      <c r="BK92" s="310"/>
      <c r="BL92" s="329"/>
      <c r="BM92" s="311"/>
      <c r="BN92" s="309"/>
      <c r="BO92" s="310"/>
      <c r="BP92" s="329"/>
      <c r="BQ92" s="311"/>
      <c r="BR92" s="309"/>
      <c r="BS92" s="310"/>
      <c r="BT92" s="329"/>
      <c r="BU92" s="311"/>
      <c r="BV92" s="309"/>
      <c r="BW92" s="310"/>
      <c r="BX92" s="329"/>
      <c r="BY92" s="311"/>
      <c r="BZ92" s="309"/>
      <c r="CA92" s="310"/>
      <c r="CB92" s="329"/>
      <c r="CC92" s="311"/>
      <c r="CD92" s="309"/>
      <c r="CE92" s="310"/>
      <c r="CF92" s="329"/>
      <c r="CG92" s="311"/>
      <c r="CH92" s="309"/>
      <c r="CI92" s="310"/>
      <c r="CJ92" s="329"/>
      <c r="CK92" s="311"/>
      <c r="CL92" s="309"/>
      <c r="CM92" s="310"/>
      <c r="CN92" s="329"/>
      <c r="CO92" s="311"/>
      <c r="CP92" s="309"/>
      <c r="CQ92" s="310"/>
      <c r="CR92" s="329"/>
      <c r="CS92" s="311"/>
      <c r="CT92" s="309"/>
      <c r="CU92" s="310"/>
      <c r="CV92" s="329"/>
      <c r="CW92" s="311"/>
      <c r="CX92" s="309"/>
      <c r="CY92" s="310"/>
      <c r="CZ92" s="329"/>
      <c r="DA92" s="311"/>
      <c r="DB92" s="309"/>
      <c r="DC92" s="310"/>
      <c r="DD92" s="329"/>
      <c r="DE92" s="311"/>
      <c r="DF92" s="309"/>
      <c r="DG92" s="310"/>
      <c r="DH92" s="329"/>
      <c r="DI92" s="311"/>
      <c r="DJ92" s="309"/>
      <c r="DK92" s="310"/>
      <c r="DL92" s="329"/>
      <c r="DM92" s="311"/>
      <c r="DN92" s="309"/>
      <c r="DO92" s="310"/>
      <c r="DP92" s="329"/>
      <c r="DQ92" s="311"/>
      <c r="DR92" s="309"/>
      <c r="DS92" s="310"/>
      <c r="DT92" s="329"/>
      <c r="DU92" s="311"/>
      <c r="DV92" s="309"/>
      <c r="DW92" s="310"/>
      <c r="DX92" s="329"/>
      <c r="DY92" s="311"/>
      <c r="DZ92" s="309"/>
      <c r="EA92" s="310"/>
      <c r="EB92" s="329"/>
      <c r="EC92" s="311"/>
      <c r="ED92" s="309"/>
      <c r="EE92" s="310"/>
      <c r="EF92" s="329"/>
      <c r="EG92" s="311"/>
      <c r="EH92" s="309"/>
      <c r="EI92" s="310"/>
      <c r="EJ92" s="329"/>
      <c r="EK92" s="311"/>
      <c r="EL92" s="309"/>
      <c r="EM92" s="310"/>
      <c r="EN92" s="329"/>
      <c r="EO92" s="311"/>
      <c r="EP92" s="309"/>
      <c r="EQ92" s="310"/>
      <c r="ER92" s="329"/>
      <c r="ES92" s="311"/>
      <c r="ET92" s="309"/>
      <c r="EU92" s="310"/>
      <c r="EV92" s="329"/>
      <c r="EW92" s="311"/>
      <c r="EX92" s="309"/>
      <c r="EY92" s="310"/>
      <c r="EZ92" s="329"/>
      <c r="FA92" s="311"/>
      <c r="FB92" s="309"/>
      <c r="FC92" s="310"/>
      <c r="FD92" s="329"/>
      <c r="FE92" s="311"/>
      <c r="FF92" s="309"/>
      <c r="FG92" s="310"/>
      <c r="FH92" s="329"/>
      <c r="FI92" s="311"/>
      <c r="FJ92" s="309"/>
      <c r="FK92" s="310"/>
      <c r="FL92" s="329"/>
      <c r="FM92" s="311"/>
      <c r="FN92" s="309"/>
      <c r="FO92" s="310"/>
      <c r="FP92" s="329"/>
      <c r="FQ92" s="311"/>
      <c r="FR92" s="309"/>
      <c r="FS92" s="310"/>
      <c r="FT92" s="329"/>
      <c r="FU92" s="311"/>
      <c r="FV92" s="309"/>
      <c r="FW92" s="310"/>
      <c r="FX92" s="329"/>
      <c r="FY92" s="311"/>
      <c r="FZ92" s="309"/>
      <c r="GA92" s="310"/>
      <c r="GB92" s="329"/>
      <c r="GC92" s="311"/>
      <c r="GD92" s="309"/>
      <c r="GE92" s="310"/>
      <c r="GF92" s="329"/>
      <c r="GG92" s="311"/>
      <c r="GH92" s="309"/>
      <c r="GI92" s="310"/>
      <c r="GJ92" s="329"/>
      <c r="GK92" s="311"/>
      <c r="GL92" s="309"/>
      <c r="GM92" s="310"/>
      <c r="GN92" s="329"/>
      <c r="GO92" s="311"/>
      <c r="GP92" s="309"/>
      <c r="GQ92" s="310"/>
      <c r="GR92" s="329"/>
      <c r="GS92" s="311"/>
      <c r="GT92" s="309"/>
      <c r="GU92" s="310"/>
      <c r="GV92" s="329"/>
      <c r="GW92" s="311"/>
      <c r="GX92" s="309"/>
      <c r="GY92" s="310"/>
      <c r="GZ92" s="329"/>
      <c r="HA92" s="311"/>
      <c r="HB92" s="309"/>
      <c r="HC92" s="312">
        <f t="shared" si="80"/>
        <v>0</v>
      </c>
      <c r="HD92" s="330"/>
      <c r="HE92" s="313">
        <f t="shared" ref="HE92:HE107" si="81">M92+Q92+U92+Y92+AC92+AG92+AK92+AO92+AS92+AW92+BA92+BE92+BI92+BM92+BQ92+BU92+BY92+CC92+CG92+CK92+CO92+CS92+CW92+DA92+DE92+DI92+DM92+DQ92+DU92+DY92+EC92+EG92+EK92+EO92+ES92+EW92+FA92+FE92+FI92+FM92+FQ92+FU92+FY92+GC92+GG92+GK92+GO92+GS92+GW92+HA92</f>
        <v>0</v>
      </c>
      <c r="HF92" s="314"/>
      <c r="HG92" s="312">
        <f>SUM(SUMIFS(K92:HB92,$K$13:$HB$13,{"エネルギー管理指定工場等*","県域*"}))</f>
        <v>0</v>
      </c>
      <c r="HH92" s="330"/>
      <c r="HI92" s="313">
        <f>SUM(SUMIFS(M92:HD92,$K$13:$HB$13,{"エネルギー管理指定工場等*","県域*"}))</f>
        <v>0</v>
      </c>
      <c r="HJ92" s="314"/>
      <c r="IE92" s="579"/>
      <c r="IF92" s="579"/>
      <c r="IG92" s="579"/>
      <c r="IH92" s="579"/>
    </row>
    <row r="93" spans="2:242" s="164" customFormat="1" ht="20.100000000000001" customHeight="1">
      <c r="B93" s="302"/>
      <c r="C93" s="319"/>
      <c r="D93" s="346"/>
      <c r="E93" s="270"/>
      <c r="F93" s="303" t="s">
        <v>463</v>
      </c>
      <c r="G93" s="308"/>
      <c r="H93" s="309"/>
      <c r="I93" s="310"/>
      <c r="J93" s="315"/>
      <c r="K93" s="310"/>
      <c r="L93" s="329"/>
      <c r="M93" s="329"/>
      <c r="N93" s="309"/>
      <c r="O93" s="310"/>
      <c r="P93" s="329"/>
      <c r="Q93" s="329"/>
      <c r="R93" s="309"/>
      <c r="S93" s="310"/>
      <c r="T93" s="329"/>
      <c r="U93" s="329"/>
      <c r="V93" s="309"/>
      <c r="W93" s="310"/>
      <c r="X93" s="329"/>
      <c r="Y93" s="329"/>
      <c r="Z93" s="309"/>
      <c r="AA93" s="310"/>
      <c r="AB93" s="329"/>
      <c r="AC93" s="329"/>
      <c r="AD93" s="309"/>
      <c r="AE93" s="310"/>
      <c r="AF93" s="329"/>
      <c r="AG93" s="329"/>
      <c r="AH93" s="309"/>
      <c r="AI93" s="310"/>
      <c r="AJ93" s="329"/>
      <c r="AK93" s="329"/>
      <c r="AL93" s="309"/>
      <c r="AM93" s="310"/>
      <c r="AN93" s="329"/>
      <c r="AO93" s="329"/>
      <c r="AP93" s="309"/>
      <c r="AQ93" s="310"/>
      <c r="AR93" s="329"/>
      <c r="AS93" s="329"/>
      <c r="AT93" s="309"/>
      <c r="AU93" s="310"/>
      <c r="AV93" s="329"/>
      <c r="AW93" s="329"/>
      <c r="AX93" s="309"/>
      <c r="AY93" s="310"/>
      <c r="AZ93" s="329"/>
      <c r="BA93" s="329"/>
      <c r="BB93" s="309"/>
      <c r="BC93" s="310"/>
      <c r="BD93" s="329"/>
      <c r="BE93" s="329"/>
      <c r="BF93" s="309"/>
      <c r="BG93" s="310"/>
      <c r="BH93" s="329"/>
      <c r="BI93" s="329"/>
      <c r="BJ93" s="309"/>
      <c r="BK93" s="310"/>
      <c r="BL93" s="329"/>
      <c r="BM93" s="329"/>
      <c r="BN93" s="309"/>
      <c r="BO93" s="310"/>
      <c r="BP93" s="329"/>
      <c r="BQ93" s="329"/>
      <c r="BR93" s="309"/>
      <c r="BS93" s="310"/>
      <c r="BT93" s="329"/>
      <c r="BU93" s="329"/>
      <c r="BV93" s="309"/>
      <c r="BW93" s="310"/>
      <c r="BX93" s="329"/>
      <c r="BY93" s="329"/>
      <c r="BZ93" s="309"/>
      <c r="CA93" s="310"/>
      <c r="CB93" s="329"/>
      <c r="CC93" s="329"/>
      <c r="CD93" s="309"/>
      <c r="CE93" s="310"/>
      <c r="CF93" s="329"/>
      <c r="CG93" s="329"/>
      <c r="CH93" s="309"/>
      <c r="CI93" s="310"/>
      <c r="CJ93" s="329"/>
      <c r="CK93" s="329"/>
      <c r="CL93" s="309"/>
      <c r="CM93" s="310"/>
      <c r="CN93" s="329"/>
      <c r="CO93" s="329"/>
      <c r="CP93" s="309"/>
      <c r="CQ93" s="310"/>
      <c r="CR93" s="329"/>
      <c r="CS93" s="329"/>
      <c r="CT93" s="309"/>
      <c r="CU93" s="310"/>
      <c r="CV93" s="329"/>
      <c r="CW93" s="329"/>
      <c r="CX93" s="309"/>
      <c r="CY93" s="310"/>
      <c r="CZ93" s="329"/>
      <c r="DA93" s="329"/>
      <c r="DB93" s="309"/>
      <c r="DC93" s="310"/>
      <c r="DD93" s="329"/>
      <c r="DE93" s="329"/>
      <c r="DF93" s="309"/>
      <c r="DG93" s="310"/>
      <c r="DH93" s="329"/>
      <c r="DI93" s="329"/>
      <c r="DJ93" s="309"/>
      <c r="DK93" s="310"/>
      <c r="DL93" s="329"/>
      <c r="DM93" s="329"/>
      <c r="DN93" s="309"/>
      <c r="DO93" s="310"/>
      <c r="DP93" s="329"/>
      <c r="DQ93" s="329"/>
      <c r="DR93" s="309"/>
      <c r="DS93" s="310"/>
      <c r="DT93" s="329"/>
      <c r="DU93" s="329"/>
      <c r="DV93" s="309"/>
      <c r="DW93" s="310"/>
      <c r="DX93" s="329"/>
      <c r="DY93" s="329"/>
      <c r="DZ93" s="309"/>
      <c r="EA93" s="310"/>
      <c r="EB93" s="329"/>
      <c r="EC93" s="329"/>
      <c r="ED93" s="309"/>
      <c r="EE93" s="310"/>
      <c r="EF93" s="329"/>
      <c r="EG93" s="329"/>
      <c r="EH93" s="309"/>
      <c r="EI93" s="310"/>
      <c r="EJ93" s="329"/>
      <c r="EK93" s="329"/>
      <c r="EL93" s="309"/>
      <c r="EM93" s="310"/>
      <c r="EN93" s="329"/>
      <c r="EO93" s="329"/>
      <c r="EP93" s="309"/>
      <c r="EQ93" s="310"/>
      <c r="ER93" s="329"/>
      <c r="ES93" s="329"/>
      <c r="ET93" s="309"/>
      <c r="EU93" s="310"/>
      <c r="EV93" s="329"/>
      <c r="EW93" s="329"/>
      <c r="EX93" s="309"/>
      <c r="EY93" s="310"/>
      <c r="EZ93" s="329"/>
      <c r="FA93" s="329"/>
      <c r="FB93" s="309"/>
      <c r="FC93" s="310"/>
      <c r="FD93" s="329"/>
      <c r="FE93" s="329"/>
      <c r="FF93" s="309"/>
      <c r="FG93" s="310"/>
      <c r="FH93" s="329"/>
      <c r="FI93" s="329"/>
      <c r="FJ93" s="309"/>
      <c r="FK93" s="310"/>
      <c r="FL93" s="329"/>
      <c r="FM93" s="329"/>
      <c r="FN93" s="309"/>
      <c r="FO93" s="310"/>
      <c r="FP93" s="329"/>
      <c r="FQ93" s="329"/>
      <c r="FR93" s="309"/>
      <c r="FS93" s="310"/>
      <c r="FT93" s="329"/>
      <c r="FU93" s="329"/>
      <c r="FV93" s="309"/>
      <c r="FW93" s="310"/>
      <c r="FX93" s="329"/>
      <c r="FY93" s="329"/>
      <c r="FZ93" s="309"/>
      <c r="GA93" s="310"/>
      <c r="GB93" s="329"/>
      <c r="GC93" s="329"/>
      <c r="GD93" s="309"/>
      <c r="GE93" s="310"/>
      <c r="GF93" s="329"/>
      <c r="GG93" s="329"/>
      <c r="GH93" s="309"/>
      <c r="GI93" s="310"/>
      <c r="GJ93" s="329"/>
      <c r="GK93" s="329"/>
      <c r="GL93" s="309"/>
      <c r="GM93" s="310"/>
      <c r="GN93" s="329"/>
      <c r="GO93" s="329"/>
      <c r="GP93" s="309"/>
      <c r="GQ93" s="310"/>
      <c r="GR93" s="329"/>
      <c r="GS93" s="329"/>
      <c r="GT93" s="309"/>
      <c r="GU93" s="310"/>
      <c r="GV93" s="329"/>
      <c r="GW93" s="329"/>
      <c r="GX93" s="309"/>
      <c r="GY93" s="310"/>
      <c r="GZ93" s="329"/>
      <c r="HA93" s="329"/>
      <c r="HB93" s="309"/>
      <c r="HC93" s="312">
        <f t="shared" si="80"/>
        <v>0</v>
      </c>
      <c r="HD93" s="330"/>
      <c r="HE93" s="330"/>
      <c r="HF93" s="314"/>
      <c r="HG93" s="312">
        <f>SUM(SUMIFS(K93:HB93,$K$13:$HB$13,{"エネルギー管理指定工場等*","県域*"}))</f>
        <v>0</v>
      </c>
      <c r="HH93" s="330"/>
      <c r="HI93" s="330"/>
      <c r="HJ93" s="314"/>
      <c r="IE93" s="579"/>
      <c r="IF93" s="579"/>
      <c r="IG93" s="579"/>
      <c r="IH93" s="579"/>
    </row>
    <row r="94" spans="2:242" s="164" customFormat="1" ht="20.100000000000001" customHeight="1">
      <c r="B94" s="302"/>
      <c r="C94" s="319"/>
      <c r="D94" s="328" t="s">
        <v>621</v>
      </c>
      <c r="E94" s="357"/>
      <c r="F94" s="303" t="s">
        <v>610</v>
      </c>
      <c r="G94" s="306">
        <v>3.6</v>
      </c>
      <c r="H94" s="309"/>
      <c r="I94" s="310"/>
      <c r="J94" s="315"/>
      <c r="K94" s="310"/>
      <c r="L94" s="329"/>
      <c r="M94" s="311"/>
      <c r="N94" s="309"/>
      <c r="O94" s="310"/>
      <c r="P94" s="329"/>
      <c r="Q94" s="311"/>
      <c r="R94" s="309"/>
      <c r="S94" s="310"/>
      <c r="T94" s="329"/>
      <c r="U94" s="311"/>
      <c r="V94" s="309"/>
      <c r="W94" s="310"/>
      <c r="X94" s="329"/>
      <c r="Y94" s="311"/>
      <c r="Z94" s="309"/>
      <c r="AA94" s="310"/>
      <c r="AB94" s="329"/>
      <c r="AC94" s="311"/>
      <c r="AD94" s="309"/>
      <c r="AE94" s="310"/>
      <c r="AF94" s="329"/>
      <c r="AG94" s="311"/>
      <c r="AH94" s="309"/>
      <c r="AI94" s="310"/>
      <c r="AJ94" s="329"/>
      <c r="AK94" s="311"/>
      <c r="AL94" s="309"/>
      <c r="AM94" s="310"/>
      <c r="AN94" s="329"/>
      <c r="AO94" s="311"/>
      <c r="AP94" s="309"/>
      <c r="AQ94" s="310"/>
      <c r="AR94" s="329"/>
      <c r="AS94" s="311"/>
      <c r="AT94" s="309"/>
      <c r="AU94" s="310"/>
      <c r="AV94" s="329"/>
      <c r="AW94" s="311"/>
      <c r="AX94" s="309"/>
      <c r="AY94" s="310"/>
      <c r="AZ94" s="329"/>
      <c r="BA94" s="311"/>
      <c r="BB94" s="309"/>
      <c r="BC94" s="310"/>
      <c r="BD94" s="329"/>
      <c r="BE94" s="311"/>
      <c r="BF94" s="309"/>
      <c r="BG94" s="310"/>
      <c r="BH94" s="329"/>
      <c r="BI94" s="311"/>
      <c r="BJ94" s="309"/>
      <c r="BK94" s="310"/>
      <c r="BL94" s="329"/>
      <c r="BM94" s="311"/>
      <c r="BN94" s="309"/>
      <c r="BO94" s="310"/>
      <c r="BP94" s="329"/>
      <c r="BQ94" s="311"/>
      <c r="BR94" s="309"/>
      <c r="BS94" s="310"/>
      <c r="BT94" s="329"/>
      <c r="BU94" s="311"/>
      <c r="BV94" s="309"/>
      <c r="BW94" s="310"/>
      <c r="BX94" s="329"/>
      <c r="BY94" s="311"/>
      <c r="BZ94" s="309"/>
      <c r="CA94" s="310"/>
      <c r="CB94" s="329"/>
      <c r="CC94" s="311"/>
      <c r="CD94" s="309"/>
      <c r="CE94" s="310"/>
      <c r="CF94" s="329"/>
      <c r="CG94" s="311"/>
      <c r="CH94" s="309"/>
      <c r="CI94" s="310"/>
      <c r="CJ94" s="329"/>
      <c r="CK94" s="311"/>
      <c r="CL94" s="309"/>
      <c r="CM94" s="310"/>
      <c r="CN94" s="329"/>
      <c r="CO94" s="311"/>
      <c r="CP94" s="309"/>
      <c r="CQ94" s="310"/>
      <c r="CR94" s="329"/>
      <c r="CS94" s="311"/>
      <c r="CT94" s="309"/>
      <c r="CU94" s="310"/>
      <c r="CV94" s="329"/>
      <c r="CW94" s="311"/>
      <c r="CX94" s="309"/>
      <c r="CY94" s="310"/>
      <c r="CZ94" s="329"/>
      <c r="DA94" s="311"/>
      <c r="DB94" s="309"/>
      <c r="DC94" s="310"/>
      <c r="DD94" s="329"/>
      <c r="DE94" s="311"/>
      <c r="DF94" s="309"/>
      <c r="DG94" s="310"/>
      <c r="DH94" s="329"/>
      <c r="DI94" s="311"/>
      <c r="DJ94" s="309"/>
      <c r="DK94" s="310"/>
      <c r="DL94" s="329"/>
      <c r="DM94" s="311"/>
      <c r="DN94" s="309"/>
      <c r="DO94" s="310"/>
      <c r="DP94" s="329"/>
      <c r="DQ94" s="311"/>
      <c r="DR94" s="309"/>
      <c r="DS94" s="310"/>
      <c r="DT94" s="329"/>
      <c r="DU94" s="311"/>
      <c r="DV94" s="309"/>
      <c r="DW94" s="310"/>
      <c r="DX94" s="329"/>
      <c r="DY94" s="311"/>
      <c r="DZ94" s="309"/>
      <c r="EA94" s="310"/>
      <c r="EB94" s="329"/>
      <c r="EC94" s="311"/>
      <c r="ED94" s="309"/>
      <c r="EE94" s="310"/>
      <c r="EF94" s="329"/>
      <c r="EG94" s="311"/>
      <c r="EH94" s="309"/>
      <c r="EI94" s="310"/>
      <c r="EJ94" s="329"/>
      <c r="EK94" s="311"/>
      <c r="EL94" s="309"/>
      <c r="EM94" s="310"/>
      <c r="EN94" s="329"/>
      <c r="EO94" s="311"/>
      <c r="EP94" s="309"/>
      <c r="EQ94" s="310"/>
      <c r="ER94" s="329"/>
      <c r="ES94" s="311"/>
      <c r="ET94" s="309"/>
      <c r="EU94" s="310"/>
      <c r="EV94" s="329"/>
      <c r="EW94" s="311"/>
      <c r="EX94" s="309"/>
      <c r="EY94" s="310"/>
      <c r="EZ94" s="329"/>
      <c r="FA94" s="311"/>
      <c r="FB94" s="309"/>
      <c r="FC94" s="310"/>
      <c r="FD94" s="329"/>
      <c r="FE94" s="311"/>
      <c r="FF94" s="309"/>
      <c r="FG94" s="310"/>
      <c r="FH94" s="329"/>
      <c r="FI94" s="311"/>
      <c r="FJ94" s="309"/>
      <c r="FK94" s="310"/>
      <c r="FL94" s="329"/>
      <c r="FM94" s="311"/>
      <c r="FN94" s="309"/>
      <c r="FO94" s="310"/>
      <c r="FP94" s="329"/>
      <c r="FQ94" s="311"/>
      <c r="FR94" s="309"/>
      <c r="FS94" s="310"/>
      <c r="FT94" s="329"/>
      <c r="FU94" s="311"/>
      <c r="FV94" s="309"/>
      <c r="FW94" s="310"/>
      <c r="FX94" s="329"/>
      <c r="FY94" s="311"/>
      <c r="FZ94" s="309"/>
      <c r="GA94" s="310"/>
      <c r="GB94" s="329"/>
      <c r="GC94" s="311"/>
      <c r="GD94" s="309"/>
      <c r="GE94" s="310"/>
      <c r="GF94" s="329"/>
      <c r="GG94" s="311"/>
      <c r="GH94" s="309"/>
      <c r="GI94" s="310"/>
      <c r="GJ94" s="329"/>
      <c r="GK94" s="311"/>
      <c r="GL94" s="309"/>
      <c r="GM94" s="310"/>
      <c r="GN94" s="329"/>
      <c r="GO94" s="311"/>
      <c r="GP94" s="309"/>
      <c r="GQ94" s="310"/>
      <c r="GR94" s="329"/>
      <c r="GS94" s="311"/>
      <c r="GT94" s="309"/>
      <c r="GU94" s="310"/>
      <c r="GV94" s="329"/>
      <c r="GW94" s="311"/>
      <c r="GX94" s="309"/>
      <c r="GY94" s="310"/>
      <c r="GZ94" s="329"/>
      <c r="HA94" s="311"/>
      <c r="HB94" s="309"/>
      <c r="HC94" s="312">
        <f t="shared" si="80"/>
        <v>0</v>
      </c>
      <c r="HD94" s="330"/>
      <c r="HE94" s="313">
        <f t="shared" ref="HE94" si="82">M94+Q94+U94+Y94+AC94+AG94+AK94+AO94+AS94+AW94+BA94+BE94+BI94+BM94+BQ94+BU94+BY94+CC94+CG94+CK94+CO94+CS94+CW94+DA94+DE94+DI94+DM94+DQ94+DU94+DY94+EC94+EG94+EK94+EO94+ES94+EW94+FA94+FE94+FI94+FM94+FQ94+FU94+FY94+GC94+GG94+GK94+GO94+GS94+GW94+HA94</f>
        <v>0</v>
      </c>
      <c r="HF94" s="314"/>
      <c r="HG94" s="312">
        <f>SUM(SUMIFS(K94:HB94,$K$13:$HB$13,{"エネルギー管理指定工場等*","県域*"}))</f>
        <v>0</v>
      </c>
      <c r="HH94" s="330"/>
      <c r="HI94" s="313">
        <f>SUM(SUMIFS(M94:HD94,$K$13:$HB$13,{"エネルギー管理指定工場等*","県域*"}))</f>
        <v>0</v>
      </c>
      <c r="HJ94" s="314"/>
      <c r="IE94" s="579"/>
      <c r="IF94" s="579"/>
      <c r="IG94" s="579"/>
      <c r="IH94" s="579"/>
    </row>
    <row r="95" spans="2:242" s="164" customFormat="1" ht="20.100000000000001" customHeight="1">
      <c r="B95" s="302"/>
      <c r="C95" s="319"/>
      <c r="D95" s="346"/>
      <c r="E95" s="270"/>
      <c r="F95" s="303" t="s">
        <v>463</v>
      </c>
      <c r="G95" s="308"/>
      <c r="H95" s="309"/>
      <c r="I95" s="310"/>
      <c r="J95" s="315"/>
      <c r="K95" s="310"/>
      <c r="L95" s="329"/>
      <c r="M95" s="329"/>
      <c r="N95" s="309"/>
      <c r="O95" s="310"/>
      <c r="P95" s="329"/>
      <c r="Q95" s="329"/>
      <c r="R95" s="309"/>
      <c r="S95" s="310"/>
      <c r="T95" s="329"/>
      <c r="U95" s="329"/>
      <c r="V95" s="309"/>
      <c r="W95" s="310"/>
      <c r="X95" s="329"/>
      <c r="Y95" s="329"/>
      <c r="Z95" s="309"/>
      <c r="AA95" s="310"/>
      <c r="AB95" s="329"/>
      <c r="AC95" s="329"/>
      <c r="AD95" s="309"/>
      <c r="AE95" s="310"/>
      <c r="AF95" s="329"/>
      <c r="AG95" s="329"/>
      <c r="AH95" s="309"/>
      <c r="AI95" s="310"/>
      <c r="AJ95" s="329"/>
      <c r="AK95" s="329"/>
      <c r="AL95" s="309"/>
      <c r="AM95" s="310"/>
      <c r="AN95" s="329"/>
      <c r="AO95" s="329"/>
      <c r="AP95" s="309"/>
      <c r="AQ95" s="310"/>
      <c r="AR95" s="329"/>
      <c r="AS95" s="329"/>
      <c r="AT95" s="309"/>
      <c r="AU95" s="310"/>
      <c r="AV95" s="329"/>
      <c r="AW95" s="329"/>
      <c r="AX95" s="309"/>
      <c r="AY95" s="310"/>
      <c r="AZ95" s="329"/>
      <c r="BA95" s="329"/>
      <c r="BB95" s="309"/>
      <c r="BC95" s="310"/>
      <c r="BD95" s="329"/>
      <c r="BE95" s="329"/>
      <c r="BF95" s="309"/>
      <c r="BG95" s="310"/>
      <c r="BH95" s="329"/>
      <c r="BI95" s="329"/>
      <c r="BJ95" s="309"/>
      <c r="BK95" s="310"/>
      <c r="BL95" s="329"/>
      <c r="BM95" s="329"/>
      <c r="BN95" s="309"/>
      <c r="BO95" s="310"/>
      <c r="BP95" s="329"/>
      <c r="BQ95" s="329"/>
      <c r="BR95" s="309"/>
      <c r="BS95" s="310"/>
      <c r="BT95" s="329"/>
      <c r="BU95" s="329"/>
      <c r="BV95" s="309"/>
      <c r="BW95" s="310"/>
      <c r="BX95" s="329"/>
      <c r="BY95" s="329"/>
      <c r="BZ95" s="309"/>
      <c r="CA95" s="310"/>
      <c r="CB95" s="329"/>
      <c r="CC95" s="329"/>
      <c r="CD95" s="309"/>
      <c r="CE95" s="310"/>
      <c r="CF95" s="329"/>
      <c r="CG95" s="329"/>
      <c r="CH95" s="309"/>
      <c r="CI95" s="310"/>
      <c r="CJ95" s="329"/>
      <c r="CK95" s="329"/>
      <c r="CL95" s="309"/>
      <c r="CM95" s="310"/>
      <c r="CN95" s="329"/>
      <c r="CO95" s="329"/>
      <c r="CP95" s="309"/>
      <c r="CQ95" s="310"/>
      <c r="CR95" s="329"/>
      <c r="CS95" s="329"/>
      <c r="CT95" s="309"/>
      <c r="CU95" s="310"/>
      <c r="CV95" s="329"/>
      <c r="CW95" s="329"/>
      <c r="CX95" s="309"/>
      <c r="CY95" s="310"/>
      <c r="CZ95" s="329"/>
      <c r="DA95" s="329"/>
      <c r="DB95" s="309"/>
      <c r="DC95" s="310"/>
      <c r="DD95" s="329"/>
      <c r="DE95" s="329"/>
      <c r="DF95" s="309"/>
      <c r="DG95" s="310"/>
      <c r="DH95" s="329"/>
      <c r="DI95" s="329"/>
      <c r="DJ95" s="309"/>
      <c r="DK95" s="310"/>
      <c r="DL95" s="329"/>
      <c r="DM95" s="329"/>
      <c r="DN95" s="309"/>
      <c r="DO95" s="310"/>
      <c r="DP95" s="329"/>
      <c r="DQ95" s="329"/>
      <c r="DR95" s="309"/>
      <c r="DS95" s="310"/>
      <c r="DT95" s="329"/>
      <c r="DU95" s="329"/>
      <c r="DV95" s="309"/>
      <c r="DW95" s="310"/>
      <c r="DX95" s="329"/>
      <c r="DY95" s="329"/>
      <c r="DZ95" s="309"/>
      <c r="EA95" s="310"/>
      <c r="EB95" s="329"/>
      <c r="EC95" s="329"/>
      <c r="ED95" s="309"/>
      <c r="EE95" s="310"/>
      <c r="EF95" s="329"/>
      <c r="EG95" s="329"/>
      <c r="EH95" s="309"/>
      <c r="EI95" s="310"/>
      <c r="EJ95" s="329"/>
      <c r="EK95" s="329"/>
      <c r="EL95" s="309"/>
      <c r="EM95" s="310"/>
      <c r="EN95" s="329"/>
      <c r="EO95" s="329"/>
      <c r="EP95" s="309"/>
      <c r="EQ95" s="310"/>
      <c r="ER95" s="329"/>
      <c r="ES95" s="329"/>
      <c r="ET95" s="309"/>
      <c r="EU95" s="310"/>
      <c r="EV95" s="329"/>
      <c r="EW95" s="329"/>
      <c r="EX95" s="309"/>
      <c r="EY95" s="310"/>
      <c r="EZ95" s="329"/>
      <c r="FA95" s="329"/>
      <c r="FB95" s="309"/>
      <c r="FC95" s="310"/>
      <c r="FD95" s="329"/>
      <c r="FE95" s="329"/>
      <c r="FF95" s="309"/>
      <c r="FG95" s="310"/>
      <c r="FH95" s="329"/>
      <c r="FI95" s="329"/>
      <c r="FJ95" s="309"/>
      <c r="FK95" s="310"/>
      <c r="FL95" s="329"/>
      <c r="FM95" s="329"/>
      <c r="FN95" s="309"/>
      <c r="FO95" s="310"/>
      <c r="FP95" s="329"/>
      <c r="FQ95" s="329"/>
      <c r="FR95" s="309"/>
      <c r="FS95" s="310"/>
      <c r="FT95" s="329"/>
      <c r="FU95" s="329"/>
      <c r="FV95" s="309"/>
      <c r="FW95" s="310"/>
      <c r="FX95" s="329"/>
      <c r="FY95" s="329"/>
      <c r="FZ95" s="309"/>
      <c r="GA95" s="310"/>
      <c r="GB95" s="329"/>
      <c r="GC95" s="329"/>
      <c r="GD95" s="309"/>
      <c r="GE95" s="310"/>
      <c r="GF95" s="329"/>
      <c r="GG95" s="329"/>
      <c r="GH95" s="309"/>
      <c r="GI95" s="310"/>
      <c r="GJ95" s="329"/>
      <c r="GK95" s="329"/>
      <c r="GL95" s="309"/>
      <c r="GM95" s="310"/>
      <c r="GN95" s="329"/>
      <c r="GO95" s="329"/>
      <c r="GP95" s="309"/>
      <c r="GQ95" s="310"/>
      <c r="GR95" s="329"/>
      <c r="GS95" s="329"/>
      <c r="GT95" s="309"/>
      <c r="GU95" s="310"/>
      <c r="GV95" s="329"/>
      <c r="GW95" s="329"/>
      <c r="GX95" s="309"/>
      <c r="GY95" s="310"/>
      <c r="GZ95" s="329"/>
      <c r="HA95" s="329"/>
      <c r="HB95" s="309"/>
      <c r="HC95" s="312">
        <f t="shared" si="80"/>
        <v>0</v>
      </c>
      <c r="HD95" s="330"/>
      <c r="HE95" s="330"/>
      <c r="HF95" s="314"/>
      <c r="HG95" s="312">
        <f>SUM(SUMIFS(K95:HB95,$K$13:$HB$13,{"エネルギー管理指定工場等*","県域*"}))</f>
        <v>0</v>
      </c>
      <c r="HH95" s="330"/>
      <c r="HI95" s="330"/>
      <c r="HJ95" s="314"/>
      <c r="IE95" s="579"/>
      <c r="IF95" s="579"/>
      <c r="IG95" s="579"/>
      <c r="IH95" s="579"/>
    </row>
    <row r="96" spans="2:242" s="164" customFormat="1" ht="20.100000000000001" customHeight="1">
      <c r="B96" s="302"/>
      <c r="C96" s="319"/>
      <c r="D96" s="328" t="s">
        <v>622</v>
      </c>
      <c r="E96" s="357"/>
      <c r="F96" s="303" t="s">
        <v>610</v>
      </c>
      <c r="G96" s="306">
        <v>3.6</v>
      </c>
      <c r="H96" s="309"/>
      <c r="I96" s="310"/>
      <c r="J96" s="315"/>
      <c r="K96" s="310"/>
      <c r="L96" s="329"/>
      <c r="M96" s="311"/>
      <c r="N96" s="309"/>
      <c r="O96" s="310"/>
      <c r="P96" s="329"/>
      <c r="Q96" s="311"/>
      <c r="R96" s="309"/>
      <c r="S96" s="310"/>
      <c r="T96" s="329"/>
      <c r="U96" s="311"/>
      <c r="V96" s="309"/>
      <c r="W96" s="310"/>
      <c r="X96" s="329"/>
      <c r="Y96" s="311"/>
      <c r="Z96" s="309"/>
      <c r="AA96" s="310"/>
      <c r="AB96" s="329"/>
      <c r="AC96" s="311"/>
      <c r="AD96" s="309"/>
      <c r="AE96" s="310"/>
      <c r="AF96" s="329"/>
      <c r="AG96" s="311"/>
      <c r="AH96" s="309"/>
      <c r="AI96" s="310"/>
      <c r="AJ96" s="329"/>
      <c r="AK96" s="311"/>
      <c r="AL96" s="309"/>
      <c r="AM96" s="310"/>
      <c r="AN96" s="329"/>
      <c r="AO96" s="311"/>
      <c r="AP96" s="309"/>
      <c r="AQ96" s="310"/>
      <c r="AR96" s="329"/>
      <c r="AS96" s="311"/>
      <c r="AT96" s="309"/>
      <c r="AU96" s="310"/>
      <c r="AV96" s="329"/>
      <c r="AW96" s="311"/>
      <c r="AX96" s="309"/>
      <c r="AY96" s="310"/>
      <c r="AZ96" s="329"/>
      <c r="BA96" s="311"/>
      <c r="BB96" s="309"/>
      <c r="BC96" s="310"/>
      <c r="BD96" s="329"/>
      <c r="BE96" s="311"/>
      <c r="BF96" s="309"/>
      <c r="BG96" s="310"/>
      <c r="BH96" s="329"/>
      <c r="BI96" s="311"/>
      <c r="BJ96" s="309"/>
      <c r="BK96" s="310"/>
      <c r="BL96" s="329"/>
      <c r="BM96" s="311"/>
      <c r="BN96" s="309"/>
      <c r="BO96" s="310"/>
      <c r="BP96" s="329"/>
      <c r="BQ96" s="311"/>
      <c r="BR96" s="309"/>
      <c r="BS96" s="310"/>
      <c r="BT96" s="329"/>
      <c r="BU96" s="311"/>
      <c r="BV96" s="309"/>
      <c r="BW96" s="310"/>
      <c r="BX96" s="329"/>
      <c r="BY96" s="311"/>
      <c r="BZ96" s="309"/>
      <c r="CA96" s="310"/>
      <c r="CB96" s="329"/>
      <c r="CC96" s="311"/>
      <c r="CD96" s="309"/>
      <c r="CE96" s="310"/>
      <c r="CF96" s="329"/>
      <c r="CG96" s="311"/>
      <c r="CH96" s="309"/>
      <c r="CI96" s="310"/>
      <c r="CJ96" s="329"/>
      <c r="CK96" s="311"/>
      <c r="CL96" s="309"/>
      <c r="CM96" s="310"/>
      <c r="CN96" s="329"/>
      <c r="CO96" s="311"/>
      <c r="CP96" s="309"/>
      <c r="CQ96" s="310"/>
      <c r="CR96" s="329"/>
      <c r="CS96" s="311"/>
      <c r="CT96" s="309"/>
      <c r="CU96" s="310"/>
      <c r="CV96" s="329"/>
      <c r="CW96" s="311"/>
      <c r="CX96" s="309"/>
      <c r="CY96" s="310"/>
      <c r="CZ96" s="329"/>
      <c r="DA96" s="311"/>
      <c r="DB96" s="309"/>
      <c r="DC96" s="310"/>
      <c r="DD96" s="329"/>
      <c r="DE96" s="311"/>
      <c r="DF96" s="309"/>
      <c r="DG96" s="310"/>
      <c r="DH96" s="329"/>
      <c r="DI96" s="311"/>
      <c r="DJ96" s="309"/>
      <c r="DK96" s="310"/>
      <c r="DL96" s="329"/>
      <c r="DM96" s="311"/>
      <c r="DN96" s="309"/>
      <c r="DO96" s="310"/>
      <c r="DP96" s="329"/>
      <c r="DQ96" s="311"/>
      <c r="DR96" s="309"/>
      <c r="DS96" s="310"/>
      <c r="DT96" s="329"/>
      <c r="DU96" s="311"/>
      <c r="DV96" s="309"/>
      <c r="DW96" s="310"/>
      <c r="DX96" s="329"/>
      <c r="DY96" s="311"/>
      <c r="DZ96" s="309"/>
      <c r="EA96" s="310"/>
      <c r="EB96" s="329"/>
      <c r="EC96" s="311"/>
      <c r="ED96" s="309"/>
      <c r="EE96" s="310"/>
      <c r="EF96" s="329"/>
      <c r="EG96" s="311"/>
      <c r="EH96" s="309"/>
      <c r="EI96" s="310"/>
      <c r="EJ96" s="329"/>
      <c r="EK96" s="311"/>
      <c r="EL96" s="309"/>
      <c r="EM96" s="310"/>
      <c r="EN96" s="329"/>
      <c r="EO96" s="311"/>
      <c r="EP96" s="309"/>
      <c r="EQ96" s="310"/>
      <c r="ER96" s="329"/>
      <c r="ES96" s="311"/>
      <c r="ET96" s="309"/>
      <c r="EU96" s="310"/>
      <c r="EV96" s="329"/>
      <c r="EW96" s="311"/>
      <c r="EX96" s="309"/>
      <c r="EY96" s="310"/>
      <c r="EZ96" s="329"/>
      <c r="FA96" s="311"/>
      <c r="FB96" s="309"/>
      <c r="FC96" s="310"/>
      <c r="FD96" s="329"/>
      <c r="FE96" s="311"/>
      <c r="FF96" s="309"/>
      <c r="FG96" s="310"/>
      <c r="FH96" s="329"/>
      <c r="FI96" s="311"/>
      <c r="FJ96" s="309"/>
      <c r="FK96" s="310"/>
      <c r="FL96" s="329"/>
      <c r="FM96" s="311"/>
      <c r="FN96" s="309"/>
      <c r="FO96" s="310"/>
      <c r="FP96" s="329"/>
      <c r="FQ96" s="311"/>
      <c r="FR96" s="309"/>
      <c r="FS96" s="310"/>
      <c r="FT96" s="329"/>
      <c r="FU96" s="311"/>
      <c r="FV96" s="309"/>
      <c r="FW96" s="310"/>
      <c r="FX96" s="329"/>
      <c r="FY96" s="311"/>
      <c r="FZ96" s="309"/>
      <c r="GA96" s="310"/>
      <c r="GB96" s="329"/>
      <c r="GC96" s="311"/>
      <c r="GD96" s="309"/>
      <c r="GE96" s="310"/>
      <c r="GF96" s="329"/>
      <c r="GG96" s="311"/>
      <c r="GH96" s="309"/>
      <c r="GI96" s="310"/>
      <c r="GJ96" s="329"/>
      <c r="GK96" s="311"/>
      <c r="GL96" s="309"/>
      <c r="GM96" s="310"/>
      <c r="GN96" s="329"/>
      <c r="GO96" s="311"/>
      <c r="GP96" s="309"/>
      <c r="GQ96" s="310"/>
      <c r="GR96" s="329"/>
      <c r="GS96" s="311"/>
      <c r="GT96" s="309"/>
      <c r="GU96" s="310"/>
      <c r="GV96" s="329"/>
      <c r="GW96" s="311"/>
      <c r="GX96" s="309"/>
      <c r="GY96" s="310"/>
      <c r="GZ96" s="329"/>
      <c r="HA96" s="311"/>
      <c r="HB96" s="309"/>
      <c r="HC96" s="312">
        <f t="shared" si="80"/>
        <v>0</v>
      </c>
      <c r="HD96" s="330"/>
      <c r="HE96" s="313">
        <f t="shared" si="81"/>
        <v>0</v>
      </c>
      <c r="HF96" s="314"/>
      <c r="HG96" s="312">
        <f>SUM(SUMIFS(K96:HB96,$K$13:$HB$13,{"エネルギー管理指定工場等*","県域*"}))</f>
        <v>0</v>
      </c>
      <c r="HH96" s="330"/>
      <c r="HI96" s="313">
        <f>SUM(SUMIFS(M96:HD96,$K$13:$HB$13,{"エネルギー管理指定工場等*","県域*"}))</f>
        <v>0</v>
      </c>
      <c r="HJ96" s="314"/>
      <c r="IE96" s="579"/>
      <c r="IF96" s="579"/>
      <c r="IG96" s="579"/>
      <c r="IH96" s="579"/>
    </row>
    <row r="97" spans="2:242" s="164" customFormat="1" ht="20.100000000000001" customHeight="1">
      <c r="B97" s="302"/>
      <c r="C97" s="319"/>
      <c r="D97" s="346"/>
      <c r="E97" s="270"/>
      <c r="F97" s="303" t="s">
        <v>463</v>
      </c>
      <c r="G97" s="308"/>
      <c r="H97" s="309"/>
      <c r="I97" s="310"/>
      <c r="J97" s="315"/>
      <c r="K97" s="310"/>
      <c r="L97" s="329"/>
      <c r="M97" s="329"/>
      <c r="N97" s="309"/>
      <c r="O97" s="310"/>
      <c r="P97" s="329"/>
      <c r="Q97" s="329"/>
      <c r="R97" s="309"/>
      <c r="S97" s="310"/>
      <c r="T97" s="329"/>
      <c r="U97" s="329"/>
      <c r="V97" s="309"/>
      <c r="W97" s="310"/>
      <c r="X97" s="329"/>
      <c r="Y97" s="329"/>
      <c r="Z97" s="309"/>
      <c r="AA97" s="310"/>
      <c r="AB97" s="329"/>
      <c r="AC97" s="329"/>
      <c r="AD97" s="309"/>
      <c r="AE97" s="310"/>
      <c r="AF97" s="329"/>
      <c r="AG97" s="329"/>
      <c r="AH97" s="309"/>
      <c r="AI97" s="310"/>
      <c r="AJ97" s="329"/>
      <c r="AK97" s="329"/>
      <c r="AL97" s="309"/>
      <c r="AM97" s="310"/>
      <c r="AN97" s="329"/>
      <c r="AO97" s="329"/>
      <c r="AP97" s="309"/>
      <c r="AQ97" s="310"/>
      <c r="AR97" s="329"/>
      <c r="AS97" s="329"/>
      <c r="AT97" s="309"/>
      <c r="AU97" s="310"/>
      <c r="AV97" s="329"/>
      <c r="AW97" s="329"/>
      <c r="AX97" s="309"/>
      <c r="AY97" s="310"/>
      <c r="AZ97" s="329"/>
      <c r="BA97" s="329"/>
      <c r="BB97" s="309"/>
      <c r="BC97" s="310"/>
      <c r="BD97" s="329"/>
      <c r="BE97" s="329"/>
      <c r="BF97" s="309"/>
      <c r="BG97" s="310"/>
      <c r="BH97" s="329"/>
      <c r="BI97" s="329"/>
      <c r="BJ97" s="309"/>
      <c r="BK97" s="310"/>
      <c r="BL97" s="329"/>
      <c r="BM97" s="329"/>
      <c r="BN97" s="309"/>
      <c r="BO97" s="310"/>
      <c r="BP97" s="329"/>
      <c r="BQ97" s="329"/>
      <c r="BR97" s="309"/>
      <c r="BS97" s="310"/>
      <c r="BT97" s="329"/>
      <c r="BU97" s="329"/>
      <c r="BV97" s="309"/>
      <c r="BW97" s="310"/>
      <c r="BX97" s="329"/>
      <c r="BY97" s="329"/>
      <c r="BZ97" s="309"/>
      <c r="CA97" s="310"/>
      <c r="CB97" s="329"/>
      <c r="CC97" s="329"/>
      <c r="CD97" s="309"/>
      <c r="CE97" s="310"/>
      <c r="CF97" s="329"/>
      <c r="CG97" s="329"/>
      <c r="CH97" s="309"/>
      <c r="CI97" s="310"/>
      <c r="CJ97" s="329"/>
      <c r="CK97" s="329"/>
      <c r="CL97" s="309"/>
      <c r="CM97" s="310"/>
      <c r="CN97" s="329"/>
      <c r="CO97" s="329"/>
      <c r="CP97" s="309"/>
      <c r="CQ97" s="310"/>
      <c r="CR97" s="329"/>
      <c r="CS97" s="329"/>
      <c r="CT97" s="309"/>
      <c r="CU97" s="310"/>
      <c r="CV97" s="329"/>
      <c r="CW97" s="329"/>
      <c r="CX97" s="309"/>
      <c r="CY97" s="310"/>
      <c r="CZ97" s="329"/>
      <c r="DA97" s="329"/>
      <c r="DB97" s="309"/>
      <c r="DC97" s="310"/>
      <c r="DD97" s="329"/>
      <c r="DE97" s="329"/>
      <c r="DF97" s="309"/>
      <c r="DG97" s="310"/>
      <c r="DH97" s="329"/>
      <c r="DI97" s="329"/>
      <c r="DJ97" s="309"/>
      <c r="DK97" s="310"/>
      <c r="DL97" s="329"/>
      <c r="DM97" s="329"/>
      <c r="DN97" s="309"/>
      <c r="DO97" s="310"/>
      <c r="DP97" s="329"/>
      <c r="DQ97" s="329"/>
      <c r="DR97" s="309"/>
      <c r="DS97" s="310"/>
      <c r="DT97" s="329"/>
      <c r="DU97" s="329"/>
      <c r="DV97" s="309"/>
      <c r="DW97" s="310"/>
      <c r="DX97" s="329"/>
      <c r="DY97" s="329"/>
      <c r="DZ97" s="309"/>
      <c r="EA97" s="310"/>
      <c r="EB97" s="329"/>
      <c r="EC97" s="329"/>
      <c r="ED97" s="309"/>
      <c r="EE97" s="310"/>
      <c r="EF97" s="329"/>
      <c r="EG97" s="329"/>
      <c r="EH97" s="309"/>
      <c r="EI97" s="310"/>
      <c r="EJ97" s="329"/>
      <c r="EK97" s="329"/>
      <c r="EL97" s="309"/>
      <c r="EM97" s="310"/>
      <c r="EN97" s="329"/>
      <c r="EO97" s="329"/>
      <c r="EP97" s="309"/>
      <c r="EQ97" s="310"/>
      <c r="ER97" s="329"/>
      <c r="ES97" s="329"/>
      <c r="ET97" s="309"/>
      <c r="EU97" s="310"/>
      <c r="EV97" s="329"/>
      <c r="EW97" s="329"/>
      <c r="EX97" s="309"/>
      <c r="EY97" s="310"/>
      <c r="EZ97" s="329"/>
      <c r="FA97" s="329"/>
      <c r="FB97" s="309"/>
      <c r="FC97" s="310"/>
      <c r="FD97" s="329"/>
      <c r="FE97" s="329"/>
      <c r="FF97" s="309"/>
      <c r="FG97" s="310"/>
      <c r="FH97" s="329"/>
      <c r="FI97" s="329"/>
      <c r="FJ97" s="309"/>
      <c r="FK97" s="310"/>
      <c r="FL97" s="329"/>
      <c r="FM97" s="329"/>
      <c r="FN97" s="309"/>
      <c r="FO97" s="310"/>
      <c r="FP97" s="329"/>
      <c r="FQ97" s="329"/>
      <c r="FR97" s="309"/>
      <c r="FS97" s="310"/>
      <c r="FT97" s="329"/>
      <c r="FU97" s="329"/>
      <c r="FV97" s="309"/>
      <c r="FW97" s="310"/>
      <c r="FX97" s="329"/>
      <c r="FY97" s="329"/>
      <c r="FZ97" s="309"/>
      <c r="GA97" s="310"/>
      <c r="GB97" s="329"/>
      <c r="GC97" s="329"/>
      <c r="GD97" s="309"/>
      <c r="GE97" s="310"/>
      <c r="GF97" s="329"/>
      <c r="GG97" s="329"/>
      <c r="GH97" s="309"/>
      <c r="GI97" s="310"/>
      <c r="GJ97" s="329"/>
      <c r="GK97" s="329"/>
      <c r="GL97" s="309"/>
      <c r="GM97" s="310"/>
      <c r="GN97" s="329"/>
      <c r="GO97" s="329"/>
      <c r="GP97" s="309"/>
      <c r="GQ97" s="310"/>
      <c r="GR97" s="329"/>
      <c r="GS97" s="329"/>
      <c r="GT97" s="309"/>
      <c r="GU97" s="310"/>
      <c r="GV97" s="329"/>
      <c r="GW97" s="329"/>
      <c r="GX97" s="309"/>
      <c r="GY97" s="310"/>
      <c r="GZ97" s="329"/>
      <c r="HA97" s="329"/>
      <c r="HB97" s="309"/>
      <c r="HC97" s="312">
        <f t="shared" si="80"/>
        <v>0</v>
      </c>
      <c r="HD97" s="330"/>
      <c r="HE97" s="330"/>
      <c r="HF97" s="314"/>
      <c r="HG97" s="312">
        <f>SUM(SUMIFS(K97:HB97,$K$13:$HB$13,{"エネルギー管理指定工場等*","県域*"}))</f>
        <v>0</v>
      </c>
      <c r="HH97" s="330"/>
      <c r="HI97" s="330"/>
      <c r="HJ97" s="314"/>
      <c r="IE97" s="579"/>
      <c r="IF97" s="579"/>
      <c r="IG97" s="579"/>
      <c r="IH97" s="579"/>
    </row>
    <row r="98" spans="2:242" s="164" customFormat="1" ht="20.100000000000001" customHeight="1">
      <c r="B98" s="302"/>
      <c r="C98" s="319"/>
      <c r="D98" s="328" t="s">
        <v>623</v>
      </c>
      <c r="E98" s="357"/>
      <c r="F98" s="303" t="s">
        <v>610</v>
      </c>
      <c r="G98" s="306">
        <v>3.6</v>
      </c>
      <c r="H98" s="309"/>
      <c r="I98" s="310"/>
      <c r="J98" s="315"/>
      <c r="K98" s="310"/>
      <c r="L98" s="329"/>
      <c r="M98" s="311"/>
      <c r="N98" s="309"/>
      <c r="O98" s="310"/>
      <c r="P98" s="329"/>
      <c r="Q98" s="311"/>
      <c r="R98" s="309"/>
      <c r="S98" s="310"/>
      <c r="T98" s="329"/>
      <c r="U98" s="311"/>
      <c r="V98" s="309"/>
      <c r="W98" s="310"/>
      <c r="X98" s="329"/>
      <c r="Y98" s="311"/>
      <c r="Z98" s="309"/>
      <c r="AA98" s="310"/>
      <c r="AB98" s="329"/>
      <c r="AC98" s="311"/>
      <c r="AD98" s="309"/>
      <c r="AE98" s="310"/>
      <c r="AF98" s="329"/>
      <c r="AG98" s="311"/>
      <c r="AH98" s="309"/>
      <c r="AI98" s="310"/>
      <c r="AJ98" s="329"/>
      <c r="AK98" s="311"/>
      <c r="AL98" s="309"/>
      <c r="AM98" s="310"/>
      <c r="AN98" s="329"/>
      <c r="AO98" s="311"/>
      <c r="AP98" s="309"/>
      <c r="AQ98" s="310"/>
      <c r="AR98" s="329"/>
      <c r="AS98" s="311"/>
      <c r="AT98" s="309"/>
      <c r="AU98" s="310"/>
      <c r="AV98" s="329"/>
      <c r="AW98" s="311"/>
      <c r="AX98" s="309"/>
      <c r="AY98" s="310"/>
      <c r="AZ98" s="329"/>
      <c r="BA98" s="311"/>
      <c r="BB98" s="309"/>
      <c r="BC98" s="310"/>
      <c r="BD98" s="329"/>
      <c r="BE98" s="311"/>
      <c r="BF98" s="309"/>
      <c r="BG98" s="310"/>
      <c r="BH98" s="329"/>
      <c r="BI98" s="311"/>
      <c r="BJ98" s="309"/>
      <c r="BK98" s="310"/>
      <c r="BL98" s="329"/>
      <c r="BM98" s="311"/>
      <c r="BN98" s="309"/>
      <c r="BO98" s="310"/>
      <c r="BP98" s="329"/>
      <c r="BQ98" s="311"/>
      <c r="BR98" s="309"/>
      <c r="BS98" s="310"/>
      <c r="BT98" s="329"/>
      <c r="BU98" s="311"/>
      <c r="BV98" s="309"/>
      <c r="BW98" s="310"/>
      <c r="BX98" s="329"/>
      <c r="BY98" s="311"/>
      <c r="BZ98" s="309"/>
      <c r="CA98" s="310"/>
      <c r="CB98" s="329"/>
      <c r="CC98" s="311"/>
      <c r="CD98" s="309"/>
      <c r="CE98" s="310"/>
      <c r="CF98" s="329"/>
      <c r="CG98" s="311"/>
      <c r="CH98" s="309"/>
      <c r="CI98" s="310"/>
      <c r="CJ98" s="329"/>
      <c r="CK98" s="311"/>
      <c r="CL98" s="309"/>
      <c r="CM98" s="310"/>
      <c r="CN98" s="329"/>
      <c r="CO98" s="311"/>
      <c r="CP98" s="309"/>
      <c r="CQ98" s="310"/>
      <c r="CR98" s="329"/>
      <c r="CS98" s="311"/>
      <c r="CT98" s="309"/>
      <c r="CU98" s="310"/>
      <c r="CV98" s="329"/>
      <c r="CW98" s="311"/>
      <c r="CX98" s="309"/>
      <c r="CY98" s="310"/>
      <c r="CZ98" s="329"/>
      <c r="DA98" s="311"/>
      <c r="DB98" s="309"/>
      <c r="DC98" s="310"/>
      <c r="DD98" s="329"/>
      <c r="DE98" s="311"/>
      <c r="DF98" s="309"/>
      <c r="DG98" s="310"/>
      <c r="DH98" s="329"/>
      <c r="DI98" s="311"/>
      <c r="DJ98" s="309"/>
      <c r="DK98" s="310"/>
      <c r="DL98" s="329"/>
      <c r="DM98" s="311"/>
      <c r="DN98" s="309"/>
      <c r="DO98" s="310"/>
      <c r="DP98" s="329"/>
      <c r="DQ98" s="311"/>
      <c r="DR98" s="309"/>
      <c r="DS98" s="310"/>
      <c r="DT98" s="329"/>
      <c r="DU98" s="311"/>
      <c r="DV98" s="309"/>
      <c r="DW98" s="310"/>
      <c r="DX98" s="329"/>
      <c r="DY98" s="311"/>
      <c r="DZ98" s="309"/>
      <c r="EA98" s="310"/>
      <c r="EB98" s="329"/>
      <c r="EC98" s="311"/>
      <c r="ED98" s="309"/>
      <c r="EE98" s="310"/>
      <c r="EF98" s="329"/>
      <c r="EG98" s="311"/>
      <c r="EH98" s="309"/>
      <c r="EI98" s="310"/>
      <c r="EJ98" s="329"/>
      <c r="EK98" s="311"/>
      <c r="EL98" s="309"/>
      <c r="EM98" s="310"/>
      <c r="EN98" s="329"/>
      <c r="EO98" s="311"/>
      <c r="EP98" s="309"/>
      <c r="EQ98" s="310"/>
      <c r="ER98" s="329"/>
      <c r="ES98" s="311"/>
      <c r="ET98" s="309"/>
      <c r="EU98" s="310"/>
      <c r="EV98" s="329"/>
      <c r="EW98" s="311"/>
      <c r="EX98" s="309"/>
      <c r="EY98" s="310"/>
      <c r="EZ98" s="329"/>
      <c r="FA98" s="311"/>
      <c r="FB98" s="309"/>
      <c r="FC98" s="310"/>
      <c r="FD98" s="329"/>
      <c r="FE98" s="311"/>
      <c r="FF98" s="309"/>
      <c r="FG98" s="310"/>
      <c r="FH98" s="329"/>
      <c r="FI98" s="311"/>
      <c r="FJ98" s="309"/>
      <c r="FK98" s="310"/>
      <c r="FL98" s="329"/>
      <c r="FM98" s="311"/>
      <c r="FN98" s="309"/>
      <c r="FO98" s="310"/>
      <c r="FP98" s="329"/>
      <c r="FQ98" s="311"/>
      <c r="FR98" s="309"/>
      <c r="FS98" s="310"/>
      <c r="FT98" s="329"/>
      <c r="FU98" s="311"/>
      <c r="FV98" s="309"/>
      <c r="FW98" s="310"/>
      <c r="FX98" s="329"/>
      <c r="FY98" s="311"/>
      <c r="FZ98" s="309"/>
      <c r="GA98" s="310"/>
      <c r="GB98" s="329"/>
      <c r="GC98" s="311"/>
      <c r="GD98" s="309"/>
      <c r="GE98" s="310"/>
      <c r="GF98" s="329"/>
      <c r="GG98" s="311"/>
      <c r="GH98" s="309"/>
      <c r="GI98" s="310"/>
      <c r="GJ98" s="329"/>
      <c r="GK98" s="311"/>
      <c r="GL98" s="309"/>
      <c r="GM98" s="310"/>
      <c r="GN98" s="329"/>
      <c r="GO98" s="311"/>
      <c r="GP98" s="309"/>
      <c r="GQ98" s="310"/>
      <c r="GR98" s="329"/>
      <c r="GS98" s="311"/>
      <c r="GT98" s="309"/>
      <c r="GU98" s="310"/>
      <c r="GV98" s="329"/>
      <c r="GW98" s="311"/>
      <c r="GX98" s="309"/>
      <c r="GY98" s="310"/>
      <c r="GZ98" s="329"/>
      <c r="HA98" s="311"/>
      <c r="HB98" s="309"/>
      <c r="HC98" s="312">
        <f t="shared" si="80"/>
        <v>0</v>
      </c>
      <c r="HD98" s="330"/>
      <c r="HE98" s="313">
        <f t="shared" si="81"/>
        <v>0</v>
      </c>
      <c r="HF98" s="314"/>
      <c r="HG98" s="312">
        <f>SUM(SUMIFS(K98:HB98,$K$13:$HB$13,{"エネルギー管理指定工場等*","県域*"}))</f>
        <v>0</v>
      </c>
      <c r="HH98" s="330"/>
      <c r="HI98" s="313">
        <f>SUM(SUMIFS(M98:HD98,$K$13:$HB$13,{"エネルギー管理指定工場等*","県域*"}))</f>
        <v>0</v>
      </c>
      <c r="HJ98" s="314"/>
      <c r="IE98" s="579"/>
      <c r="IF98" s="579"/>
      <c r="IG98" s="579"/>
      <c r="IH98" s="579"/>
    </row>
    <row r="99" spans="2:242" s="164" customFormat="1" ht="19.8">
      <c r="B99" s="302"/>
      <c r="C99" s="318"/>
      <c r="D99" s="346"/>
      <c r="E99" s="270"/>
      <c r="F99" s="303" t="s">
        <v>463</v>
      </c>
      <c r="G99" s="308"/>
      <c r="H99" s="309"/>
      <c r="I99" s="310"/>
      <c r="J99" s="315"/>
      <c r="K99" s="310"/>
      <c r="L99" s="329"/>
      <c r="M99" s="329"/>
      <c r="N99" s="309"/>
      <c r="O99" s="310"/>
      <c r="P99" s="329"/>
      <c r="Q99" s="329"/>
      <c r="R99" s="309"/>
      <c r="S99" s="310"/>
      <c r="T99" s="329"/>
      <c r="U99" s="329"/>
      <c r="V99" s="309"/>
      <c r="W99" s="310"/>
      <c r="X99" s="329"/>
      <c r="Y99" s="329"/>
      <c r="Z99" s="309"/>
      <c r="AA99" s="310"/>
      <c r="AB99" s="329"/>
      <c r="AC99" s="329"/>
      <c r="AD99" s="309"/>
      <c r="AE99" s="310"/>
      <c r="AF99" s="329"/>
      <c r="AG99" s="329"/>
      <c r="AH99" s="309"/>
      <c r="AI99" s="310"/>
      <c r="AJ99" s="329"/>
      <c r="AK99" s="329"/>
      <c r="AL99" s="309"/>
      <c r="AM99" s="310"/>
      <c r="AN99" s="329"/>
      <c r="AO99" s="329"/>
      <c r="AP99" s="309"/>
      <c r="AQ99" s="310"/>
      <c r="AR99" s="329"/>
      <c r="AS99" s="329"/>
      <c r="AT99" s="309"/>
      <c r="AU99" s="310"/>
      <c r="AV99" s="329"/>
      <c r="AW99" s="329"/>
      <c r="AX99" s="309"/>
      <c r="AY99" s="310"/>
      <c r="AZ99" s="329"/>
      <c r="BA99" s="329"/>
      <c r="BB99" s="309"/>
      <c r="BC99" s="310"/>
      <c r="BD99" s="329"/>
      <c r="BE99" s="329"/>
      <c r="BF99" s="309"/>
      <c r="BG99" s="310"/>
      <c r="BH99" s="329"/>
      <c r="BI99" s="329"/>
      <c r="BJ99" s="309"/>
      <c r="BK99" s="310"/>
      <c r="BL99" s="329"/>
      <c r="BM99" s="329"/>
      <c r="BN99" s="309"/>
      <c r="BO99" s="310"/>
      <c r="BP99" s="329"/>
      <c r="BQ99" s="329"/>
      <c r="BR99" s="309"/>
      <c r="BS99" s="310"/>
      <c r="BT99" s="329"/>
      <c r="BU99" s="329"/>
      <c r="BV99" s="309"/>
      <c r="BW99" s="310"/>
      <c r="BX99" s="329"/>
      <c r="BY99" s="329"/>
      <c r="BZ99" s="309"/>
      <c r="CA99" s="310"/>
      <c r="CB99" s="329"/>
      <c r="CC99" s="329"/>
      <c r="CD99" s="309"/>
      <c r="CE99" s="310"/>
      <c r="CF99" s="329"/>
      <c r="CG99" s="329"/>
      <c r="CH99" s="309"/>
      <c r="CI99" s="310"/>
      <c r="CJ99" s="329"/>
      <c r="CK99" s="329"/>
      <c r="CL99" s="309"/>
      <c r="CM99" s="310"/>
      <c r="CN99" s="329"/>
      <c r="CO99" s="329"/>
      <c r="CP99" s="309"/>
      <c r="CQ99" s="310"/>
      <c r="CR99" s="329"/>
      <c r="CS99" s="329"/>
      <c r="CT99" s="309"/>
      <c r="CU99" s="310"/>
      <c r="CV99" s="329"/>
      <c r="CW99" s="329"/>
      <c r="CX99" s="309"/>
      <c r="CY99" s="310"/>
      <c r="CZ99" s="329"/>
      <c r="DA99" s="329"/>
      <c r="DB99" s="309"/>
      <c r="DC99" s="310"/>
      <c r="DD99" s="329"/>
      <c r="DE99" s="329"/>
      <c r="DF99" s="309"/>
      <c r="DG99" s="310"/>
      <c r="DH99" s="329"/>
      <c r="DI99" s="329"/>
      <c r="DJ99" s="309"/>
      <c r="DK99" s="310"/>
      <c r="DL99" s="329"/>
      <c r="DM99" s="329"/>
      <c r="DN99" s="309"/>
      <c r="DO99" s="310"/>
      <c r="DP99" s="329"/>
      <c r="DQ99" s="329"/>
      <c r="DR99" s="309"/>
      <c r="DS99" s="310"/>
      <c r="DT99" s="329"/>
      <c r="DU99" s="329"/>
      <c r="DV99" s="309"/>
      <c r="DW99" s="310"/>
      <c r="DX99" s="329"/>
      <c r="DY99" s="329"/>
      <c r="DZ99" s="309"/>
      <c r="EA99" s="310"/>
      <c r="EB99" s="329"/>
      <c r="EC99" s="329"/>
      <c r="ED99" s="309"/>
      <c r="EE99" s="310"/>
      <c r="EF99" s="329"/>
      <c r="EG99" s="329"/>
      <c r="EH99" s="309"/>
      <c r="EI99" s="310"/>
      <c r="EJ99" s="329"/>
      <c r="EK99" s="329"/>
      <c r="EL99" s="309"/>
      <c r="EM99" s="310"/>
      <c r="EN99" s="329"/>
      <c r="EO99" s="329"/>
      <c r="EP99" s="309"/>
      <c r="EQ99" s="310"/>
      <c r="ER99" s="329"/>
      <c r="ES99" s="329"/>
      <c r="ET99" s="309"/>
      <c r="EU99" s="310"/>
      <c r="EV99" s="329"/>
      <c r="EW99" s="329"/>
      <c r="EX99" s="309"/>
      <c r="EY99" s="310"/>
      <c r="EZ99" s="329"/>
      <c r="FA99" s="329"/>
      <c r="FB99" s="309"/>
      <c r="FC99" s="310"/>
      <c r="FD99" s="329"/>
      <c r="FE99" s="329"/>
      <c r="FF99" s="309"/>
      <c r="FG99" s="310"/>
      <c r="FH99" s="329"/>
      <c r="FI99" s="329"/>
      <c r="FJ99" s="309"/>
      <c r="FK99" s="310"/>
      <c r="FL99" s="329"/>
      <c r="FM99" s="329"/>
      <c r="FN99" s="309"/>
      <c r="FO99" s="310"/>
      <c r="FP99" s="329"/>
      <c r="FQ99" s="329"/>
      <c r="FR99" s="309"/>
      <c r="FS99" s="310"/>
      <c r="FT99" s="329"/>
      <c r="FU99" s="329"/>
      <c r="FV99" s="309"/>
      <c r="FW99" s="310"/>
      <c r="FX99" s="329"/>
      <c r="FY99" s="329"/>
      <c r="FZ99" s="309"/>
      <c r="GA99" s="310"/>
      <c r="GB99" s="329"/>
      <c r="GC99" s="329"/>
      <c r="GD99" s="309"/>
      <c r="GE99" s="310"/>
      <c r="GF99" s="329"/>
      <c r="GG99" s="329"/>
      <c r="GH99" s="309"/>
      <c r="GI99" s="310"/>
      <c r="GJ99" s="329"/>
      <c r="GK99" s="329"/>
      <c r="GL99" s="309"/>
      <c r="GM99" s="310"/>
      <c r="GN99" s="329"/>
      <c r="GO99" s="329"/>
      <c r="GP99" s="309"/>
      <c r="GQ99" s="310"/>
      <c r="GR99" s="329"/>
      <c r="GS99" s="329"/>
      <c r="GT99" s="309"/>
      <c r="GU99" s="310"/>
      <c r="GV99" s="329"/>
      <c r="GW99" s="329"/>
      <c r="GX99" s="309"/>
      <c r="GY99" s="310"/>
      <c r="GZ99" s="329"/>
      <c r="HA99" s="329"/>
      <c r="HB99" s="309"/>
      <c r="HC99" s="312">
        <f t="shared" si="80"/>
        <v>0</v>
      </c>
      <c r="HD99" s="330"/>
      <c r="HE99" s="330"/>
      <c r="HF99" s="314"/>
      <c r="HG99" s="312">
        <f>SUM(SUMIFS(K99:HB99,$K$13:$HB$13,{"エネルギー管理指定工場等*","県域*"}))</f>
        <v>0</v>
      </c>
      <c r="HH99" s="330"/>
      <c r="HI99" s="330"/>
      <c r="HJ99" s="314"/>
      <c r="IE99" s="579"/>
      <c r="IF99" s="579"/>
      <c r="IG99" s="579"/>
      <c r="IH99" s="579"/>
    </row>
    <row r="100" spans="2:242" s="164" customFormat="1" ht="20.100000000000001" customHeight="1">
      <c r="B100" s="302"/>
      <c r="C100" s="327" t="s">
        <v>1386</v>
      </c>
      <c r="D100" s="358"/>
      <c r="E100" s="335"/>
      <c r="F100" s="303" t="s">
        <v>610</v>
      </c>
      <c r="G100" s="310"/>
      <c r="H100" s="315"/>
      <c r="I100" s="310"/>
      <c r="J100" s="315"/>
      <c r="K100" s="310"/>
      <c r="L100" s="329"/>
      <c r="M100" s="311"/>
      <c r="N100" s="309"/>
      <c r="O100" s="310"/>
      <c r="P100" s="329"/>
      <c r="Q100" s="311"/>
      <c r="R100" s="309"/>
      <c r="S100" s="310"/>
      <c r="T100" s="329"/>
      <c r="U100" s="311"/>
      <c r="V100" s="309"/>
      <c r="W100" s="310"/>
      <c r="X100" s="329"/>
      <c r="Y100" s="311"/>
      <c r="Z100" s="309"/>
      <c r="AA100" s="310"/>
      <c r="AB100" s="329"/>
      <c r="AC100" s="311"/>
      <c r="AD100" s="309"/>
      <c r="AE100" s="310"/>
      <c r="AF100" s="329"/>
      <c r="AG100" s="311"/>
      <c r="AH100" s="309"/>
      <c r="AI100" s="310"/>
      <c r="AJ100" s="329"/>
      <c r="AK100" s="311"/>
      <c r="AL100" s="309"/>
      <c r="AM100" s="310"/>
      <c r="AN100" s="329"/>
      <c r="AO100" s="311"/>
      <c r="AP100" s="309"/>
      <c r="AQ100" s="310"/>
      <c r="AR100" s="329"/>
      <c r="AS100" s="311"/>
      <c r="AT100" s="309"/>
      <c r="AU100" s="310"/>
      <c r="AV100" s="329"/>
      <c r="AW100" s="311"/>
      <c r="AX100" s="309"/>
      <c r="AY100" s="310"/>
      <c r="AZ100" s="329"/>
      <c r="BA100" s="311"/>
      <c r="BB100" s="309"/>
      <c r="BC100" s="310"/>
      <c r="BD100" s="329"/>
      <c r="BE100" s="311"/>
      <c r="BF100" s="309"/>
      <c r="BG100" s="310"/>
      <c r="BH100" s="329"/>
      <c r="BI100" s="311"/>
      <c r="BJ100" s="309"/>
      <c r="BK100" s="310"/>
      <c r="BL100" s="329"/>
      <c r="BM100" s="311"/>
      <c r="BN100" s="309"/>
      <c r="BO100" s="310"/>
      <c r="BP100" s="329"/>
      <c r="BQ100" s="311"/>
      <c r="BR100" s="309"/>
      <c r="BS100" s="310"/>
      <c r="BT100" s="329"/>
      <c r="BU100" s="311"/>
      <c r="BV100" s="309"/>
      <c r="BW100" s="310"/>
      <c r="BX100" s="329"/>
      <c r="BY100" s="311"/>
      <c r="BZ100" s="309"/>
      <c r="CA100" s="310"/>
      <c r="CB100" s="329"/>
      <c r="CC100" s="311"/>
      <c r="CD100" s="309"/>
      <c r="CE100" s="310"/>
      <c r="CF100" s="329"/>
      <c r="CG100" s="311"/>
      <c r="CH100" s="309"/>
      <c r="CI100" s="310"/>
      <c r="CJ100" s="329"/>
      <c r="CK100" s="311"/>
      <c r="CL100" s="309"/>
      <c r="CM100" s="310"/>
      <c r="CN100" s="329"/>
      <c r="CO100" s="311"/>
      <c r="CP100" s="309"/>
      <c r="CQ100" s="310"/>
      <c r="CR100" s="329"/>
      <c r="CS100" s="311"/>
      <c r="CT100" s="309"/>
      <c r="CU100" s="310"/>
      <c r="CV100" s="329"/>
      <c r="CW100" s="311"/>
      <c r="CX100" s="309"/>
      <c r="CY100" s="310"/>
      <c r="CZ100" s="329"/>
      <c r="DA100" s="311"/>
      <c r="DB100" s="309"/>
      <c r="DC100" s="310"/>
      <c r="DD100" s="329"/>
      <c r="DE100" s="311"/>
      <c r="DF100" s="309"/>
      <c r="DG100" s="310"/>
      <c r="DH100" s="329"/>
      <c r="DI100" s="311"/>
      <c r="DJ100" s="309"/>
      <c r="DK100" s="310"/>
      <c r="DL100" s="329"/>
      <c r="DM100" s="311"/>
      <c r="DN100" s="309"/>
      <c r="DO100" s="310"/>
      <c r="DP100" s="329"/>
      <c r="DQ100" s="311"/>
      <c r="DR100" s="309"/>
      <c r="DS100" s="310"/>
      <c r="DT100" s="329"/>
      <c r="DU100" s="311"/>
      <c r="DV100" s="309"/>
      <c r="DW100" s="310"/>
      <c r="DX100" s="329"/>
      <c r="DY100" s="311"/>
      <c r="DZ100" s="309"/>
      <c r="EA100" s="310"/>
      <c r="EB100" s="329"/>
      <c r="EC100" s="311"/>
      <c r="ED100" s="309"/>
      <c r="EE100" s="310"/>
      <c r="EF100" s="329"/>
      <c r="EG100" s="311"/>
      <c r="EH100" s="309"/>
      <c r="EI100" s="310"/>
      <c r="EJ100" s="329"/>
      <c r="EK100" s="311"/>
      <c r="EL100" s="309"/>
      <c r="EM100" s="310"/>
      <c r="EN100" s="329"/>
      <c r="EO100" s="311"/>
      <c r="EP100" s="309"/>
      <c r="EQ100" s="310"/>
      <c r="ER100" s="329"/>
      <c r="ES100" s="311"/>
      <c r="ET100" s="309"/>
      <c r="EU100" s="310"/>
      <c r="EV100" s="329"/>
      <c r="EW100" s="311"/>
      <c r="EX100" s="309"/>
      <c r="EY100" s="310"/>
      <c r="EZ100" s="329"/>
      <c r="FA100" s="311"/>
      <c r="FB100" s="309"/>
      <c r="FC100" s="310"/>
      <c r="FD100" s="329"/>
      <c r="FE100" s="311"/>
      <c r="FF100" s="309"/>
      <c r="FG100" s="310"/>
      <c r="FH100" s="329"/>
      <c r="FI100" s="311"/>
      <c r="FJ100" s="309"/>
      <c r="FK100" s="310"/>
      <c r="FL100" s="329"/>
      <c r="FM100" s="311"/>
      <c r="FN100" s="309"/>
      <c r="FO100" s="310"/>
      <c r="FP100" s="329"/>
      <c r="FQ100" s="311"/>
      <c r="FR100" s="309"/>
      <c r="FS100" s="310"/>
      <c r="FT100" s="329"/>
      <c r="FU100" s="311"/>
      <c r="FV100" s="309"/>
      <c r="FW100" s="310"/>
      <c r="FX100" s="329"/>
      <c r="FY100" s="311"/>
      <c r="FZ100" s="309"/>
      <c r="GA100" s="310"/>
      <c r="GB100" s="329"/>
      <c r="GC100" s="311"/>
      <c r="GD100" s="309"/>
      <c r="GE100" s="310"/>
      <c r="GF100" s="329"/>
      <c r="GG100" s="311"/>
      <c r="GH100" s="309"/>
      <c r="GI100" s="310"/>
      <c r="GJ100" s="329"/>
      <c r="GK100" s="311"/>
      <c r="GL100" s="309"/>
      <c r="GM100" s="310"/>
      <c r="GN100" s="329"/>
      <c r="GO100" s="311"/>
      <c r="GP100" s="309"/>
      <c r="GQ100" s="310"/>
      <c r="GR100" s="329"/>
      <c r="GS100" s="311"/>
      <c r="GT100" s="309"/>
      <c r="GU100" s="310"/>
      <c r="GV100" s="329"/>
      <c r="GW100" s="311"/>
      <c r="GX100" s="309"/>
      <c r="GY100" s="310"/>
      <c r="GZ100" s="329"/>
      <c r="HA100" s="311"/>
      <c r="HB100" s="309"/>
      <c r="HC100" s="312">
        <f t="shared" si="80"/>
        <v>0</v>
      </c>
      <c r="HD100" s="330"/>
      <c r="HE100" s="313">
        <f t="shared" si="81"/>
        <v>0</v>
      </c>
      <c r="HF100" s="314"/>
      <c r="HG100" s="312">
        <f>SUM(SUMIFS(K100:HB100,$K$13:$HB$13,{"エネルギー管理指定工場等*","県域*"}))</f>
        <v>0</v>
      </c>
      <c r="HH100" s="330"/>
      <c r="HI100" s="313">
        <f>SUM(SUMIFS(M100:HD100,$K$13:$HB$13,{"エネルギー管理指定工場等*","県域*"}))</f>
        <v>0</v>
      </c>
      <c r="HJ100" s="314"/>
      <c r="IE100" s="579"/>
      <c r="IF100" s="579"/>
      <c r="IG100" s="579"/>
      <c r="IH100" s="579"/>
    </row>
    <row r="101" spans="2:242" s="164" customFormat="1" ht="20.100000000000001" customHeight="1">
      <c r="B101" s="302"/>
      <c r="C101" s="319"/>
      <c r="D101" s="359"/>
      <c r="E101" s="360"/>
      <c r="F101" s="303" t="s">
        <v>463</v>
      </c>
      <c r="G101" s="310"/>
      <c r="H101" s="315"/>
      <c r="I101" s="310"/>
      <c r="J101" s="315"/>
      <c r="K101" s="310"/>
      <c r="L101" s="329"/>
      <c r="M101" s="329"/>
      <c r="N101" s="309"/>
      <c r="O101" s="310"/>
      <c r="P101" s="329"/>
      <c r="Q101" s="329"/>
      <c r="R101" s="309"/>
      <c r="S101" s="310"/>
      <c r="T101" s="329"/>
      <c r="U101" s="329"/>
      <c r="V101" s="309"/>
      <c r="W101" s="310"/>
      <c r="X101" s="329"/>
      <c r="Y101" s="329"/>
      <c r="Z101" s="309"/>
      <c r="AA101" s="310"/>
      <c r="AB101" s="329"/>
      <c r="AC101" s="329"/>
      <c r="AD101" s="309"/>
      <c r="AE101" s="310"/>
      <c r="AF101" s="329"/>
      <c r="AG101" s="329"/>
      <c r="AH101" s="309"/>
      <c r="AI101" s="310"/>
      <c r="AJ101" s="329"/>
      <c r="AK101" s="329"/>
      <c r="AL101" s="309"/>
      <c r="AM101" s="310"/>
      <c r="AN101" s="329"/>
      <c r="AO101" s="329"/>
      <c r="AP101" s="309"/>
      <c r="AQ101" s="310"/>
      <c r="AR101" s="329"/>
      <c r="AS101" s="329"/>
      <c r="AT101" s="309"/>
      <c r="AU101" s="310"/>
      <c r="AV101" s="329"/>
      <c r="AW101" s="329"/>
      <c r="AX101" s="309"/>
      <c r="AY101" s="310"/>
      <c r="AZ101" s="329"/>
      <c r="BA101" s="329"/>
      <c r="BB101" s="309"/>
      <c r="BC101" s="310"/>
      <c r="BD101" s="329"/>
      <c r="BE101" s="329"/>
      <c r="BF101" s="309"/>
      <c r="BG101" s="310"/>
      <c r="BH101" s="329"/>
      <c r="BI101" s="329"/>
      <c r="BJ101" s="309"/>
      <c r="BK101" s="310"/>
      <c r="BL101" s="329"/>
      <c r="BM101" s="329"/>
      <c r="BN101" s="309"/>
      <c r="BO101" s="310"/>
      <c r="BP101" s="329"/>
      <c r="BQ101" s="329"/>
      <c r="BR101" s="309"/>
      <c r="BS101" s="310"/>
      <c r="BT101" s="329"/>
      <c r="BU101" s="329"/>
      <c r="BV101" s="309"/>
      <c r="BW101" s="310"/>
      <c r="BX101" s="329"/>
      <c r="BY101" s="329"/>
      <c r="BZ101" s="309"/>
      <c r="CA101" s="310"/>
      <c r="CB101" s="329"/>
      <c r="CC101" s="329"/>
      <c r="CD101" s="309"/>
      <c r="CE101" s="310"/>
      <c r="CF101" s="329"/>
      <c r="CG101" s="329"/>
      <c r="CH101" s="309"/>
      <c r="CI101" s="310"/>
      <c r="CJ101" s="329"/>
      <c r="CK101" s="329"/>
      <c r="CL101" s="309"/>
      <c r="CM101" s="310"/>
      <c r="CN101" s="329"/>
      <c r="CO101" s="329"/>
      <c r="CP101" s="309"/>
      <c r="CQ101" s="310"/>
      <c r="CR101" s="329"/>
      <c r="CS101" s="329"/>
      <c r="CT101" s="309"/>
      <c r="CU101" s="310"/>
      <c r="CV101" s="329"/>
      <c r="CW101" s="329"/>
      <c r="CX101" s="309"/>
      <c r="CY101" s="310"/>
      <c r="CZ101" s="329"/>
      <c r="DA101" s="329"/>
      <c r="DB101" s="309"/>
      <c r="DC101" s="310"/>
      <c r="DD101" s="329"/>
      <c r="DE101" s="329"/>
      <c r="DF101" s="309"/>
      <c r="DG101" s="310"/>
      <c r="DH101" s="329"/>
      <c r="DI101" s="329"/>
      <c r="DJ101" s="309"/>
      <c r="DK101" s="310"/>
      <c r="DL101" s="329"/>
      <c r="DM101" s="329"/>
      <c r="DN101" s="309"/>
      <c r="DO101" s="310"/>
      <c r="DP101" s="329"/>
      <c r="DQ101" s="329"/>
      <c r="DR101" s="309"/>
      <c r="DS101" s="310"/>
      <c r="DT101" s="329"/>
      <c r="DU101" s="329"/>
      <c r="DV101" s="309"/>
      <c r="DW101" s="310"/>
      <c r="DX101" s="329"/>
      <c r="DY101" s="329"/>
      <c r="DZ101" s="309"/>
      <c r="EA101" s="310"/>
      <c r="EB101" s="329"/>
      <c r="EC101" s="329"/>
      <c r="ED101" s="309"/>
      <c r="EE101" s="310"/>
      <c r="EF101" s="329"/>
      <c r="EG101" s="329"/>
      <c r="EH101" s="309"/>
      <c r="EI101" s="310"/>
      <c r="EJ101" s="329"/>
      <c r="EK101" s="329"/>
      <c r="EL101" s="309"/>
      <c r="EM101" s="310"/>
      <c r="EN101" s="329"/>
      <c r="EO101" s="329"/>
      <c r="EP101" s="309"/>
      <c r="EQ101" s="310"/>
      <c r="ER101" s="329"/>
      <c r="ES101" s="329"/>
      <c r="ET101" s="309"/>
      <c r="EU101" s="310"/>
      <c r="EV101" s="329"/>
      <c r="EW101" s="329"/>
      <c r="EX101" s="309"/>
      <c r="EY101" s="310"/>
      <c r="EZ101" s="329"/>
      <c r="FA101" s="329"/>
      <c r="FB101" s="309"/>
      <c r="FC101" s="310"/>
      <c r="FD101" s="329"/>
      <c r="FE101" s="329"/>
      <c r="FF101" s="309"/>
      <c r="FG101" s="310"/>
      <c r="FH101" s="329"/>
      <c r="FI101" s="329"/>
      <c r="FJ101" s="309"/>
      <c r="FK101" s="310"/>
      <c r="FL101" s="329"/>
      <c r="FM101" s="329"/>
      <c r="FN101" s="309"/>
      <c r="FO101" s="310"/>
      <c r="FP101" s="329"/>
      <c r="FQ101" s="329"/>
      <c r="FR101" s="309"/>
      <c r="FS101" s="310"/>
      <c r="FT101" s="329"/>
      <c r="FU101" s="329"/>
      <c r="FV101" s="309"/>
      <c r="FW101" s="310"/>
      <c r="FX101" s="329"/>
      <c r="FY101" s="329"/>
      <c r="FZ101" s="309"/>
      <c r="GA101" s="310"/>
      <c r="GB101" s="329"/>
      <c r="GC101" s="329"/>
      <c r="GD101" s="309"/>
      <c r="GE101" s="310"/>
      <c r="GF101" s="329"/>
      <c r="GG101" s="329"/>
      <c r="GH101" s="309"/>
      <c r="GI101" s="310"/>
      <c r="GJ101" s="329"/>
      <c r="GK101" s="329"/>
      <c r="GL101" s="309"/>
      <c r="GM101" s="310"/>
      <c r="GN101" s="329"/>
      <c r="GO101" s="329"/>
      <c r="GP101" s="309"/>
      <c r="GQ101" s="310"/>
      <c r="GR101" s="329"/>
      <c r="GS101" s="329"/>
      <c r="GT101" s="309"/>
      <c r="GU101" s="310"/>
      <c r="GV101" s="329"/>
      <c r="GW101" s="329"/>
      <c r="GX101" s="309"/>
      <c r="GY101" s="310"/>
      <c r="GZ101" s="329"/>
      <c r="HA101" s="329"/>
      <c r="HB101" s="309"/>
      <c r="HC101" s="312">
        <f t="shared" si="80"/>
        <v>0</v>
      </c>
      <c r="HD101" s="330"/>
      <c r="HE101" s="330"/>
      <c r="HF101" s="314"/>
      <c r="HG101" s="312">
        <f>SUM(SUMIFS(K101:HB101,$K$13:$HB$13,{"エネルギー管理指定工場等*","県域*"}))</f>
        <v>0</v>
      </c>
      <c r="HH101" s="330"/>
      <c r="HI101" s="330"/>
      <c r="HJ101" s="314"/>
      <c r="IE101" s="579"/>
      <c r="IF101" s="579"/>
      <c r="IG101" s="579"/>
      <c r="IH101" s="579"/>
    </row>
    <row r="102" spans="2:242" s="164" customFormat="1" ht="20.100000000000001" customHeight="1">
      <c r="B102" s="302"/>
      <c r="C102" s="327"/>
      <c r="D102" s="358"/>
      <c r="E102" s="335"/>
      <c r="F102" s="303" t="s">
        <v>610</v>
      </c>
      <c r="G102" s="310"/>
      <c r="H102" s="315"/>
      <c r="I102" s="310"/>
      <c r="J102" s="315"/>
      <c r="K102" s="310"/>
      <c r="L102" s="329"/>
      <c r="M102" s="311"/>
      <c r="N102" s="309"/>
      <c r="O102" s="310"/>
      <c r="P102" s="329"/>
      <c r="Q102" s="311"/>
      <c r="R102" s="309"/>
      <c r="S102" s="310"/>
      <c r="T102" s="329"/>
      <c r="U102" s="311"/>
      <c r="V102" s="309"/>
      <c r="W102" s="310"/>
      <c r="X102" s="329"/>
      <c r="Y102" s="311"/>
      <c r="Z102" s="309"/>
      <c r="AA102" s="310"/>
      <c r="AB102" s="329"/>
      <c r="AC102" s="311"/>
      <c r="AD102" s="309"/>
      <c r="AE102" s="310"/>
      <c r="AF102" s="329"/>
      <c r="AG102" s="311"/>
      <c r="AH102" s="309"/>
      <c r="AI102" s="310"/>
      <c r="AJ102" s="329"/>
      <c r="AK102" s="311"/>
      <c r="AL102" s="309"/>
      <c r="AM102" s="310"/>
      <c r="AN102" s="329"/>
      <c r="AO102" s="311"/>
      <c r="AP102" s="309"/>
      <c r="AQ102" s="310"/>
      <c r="AR102" s="329"/>
      <c r="AS102" s="311"/>
      <c r="AT102" s="309"/>
      <c r="AU102" s="310"/>
      <c r="AV102" s="329"/>
      <c r="AW102" s="311"/>
      <c r="AX102" s="309"/>
      <c r="AY102" s="310"/>
      <c r="AZ102" s="329"/>
      <c r="BA102" s="311"/>
      <c r="BB102" s="309"/>
      <c r="BC102" s="310"/>
      <c r="BD102" s="329"/>
      <c r="BE102" s="311"/>
      <c r="BF102" s="309"/>
      <c r="BG102" s="310"/>
      <c r="BH102" s="329"/>
      <c r="BI102" s="311"/>
      <c r="BJ102" s="309"/>
      <c r="BK102" s="310"/>
      <c r="BL102" s="329"/>
      <c r="BM102" s="311"/>
      <c r="BN102" s="309"/>
      <c r="BO102" s="310"/>
      <c r="BP102" s="329"/>
      <c r="BQ102" s="311"/>
      <c r="BR102" s="309"/>
      <c r="BS102" s="310"/>
      <c r="BT102" s="329"/>
      <c r="BU102" s="311"/>
      <c r="BV102" s="309"/>
      <c r="BW102" s="310"/>
      <c r="BX102" s="329"/>
      <c r="BY102" s="311"/>
      <c r="BZ102" s="309"/>
      <c r="CA102" s="310"/>
      <c r="CB102" s="329"/>
      <c r="CC102" s="311"/>
      <c r="CD102" s="309"/>
      <c r="CE102" s="310"/>
      <c r="CF102" s="329"/>
      <c r="CG102" s="311"/>
      <c r="CH102" s="309"/>
      <c r="CI102" s="310"/>
      <c r="CJ102" s="329"/>
      <c r="CK102" s="311"/>
      <c r="CL102" s="309"/>
      <c r="CM102" s="310"/>
      <c r="CN102" s="329"/>
      <c r="CO102" s="311"/>
      <c r="CP102" s="309"/>
      <c r="CQ102" s="310"/>
      <c r="CR102" s="329"/>
      <c r="CS102" s="311"/>
      <c r="CT102" s="309"/>
      <c r="CU102" s="310"/>
      <c r="CV102" s="329"/>
      <c r="CW102" s="311"/>
      <c r="CX102" s="309"/>
      <c r="CY102" s="310"/>
      <c r="CZ102" s="329"/>
      <c r="DA102" s="311"/>
      <c r="DB102" s="309"/>
      <c r="DC102" s="310"/>
      <c r="DD102" s="329"/>
      <c r="DE102" s="311"/>
      <c r="DF102" s="309"/>
      <c r="DG102" s="310"/>
      <c r="DH102" s="329"/>
      <c r="DI102" s="311"/>
      <c r="DJ102" s="309"/>
      <c r="DK102" s="310"/>
      <c r="DL102" s="329"/>
      <c r="DM102" s="311"/>
      <c r="DN102" s="309"/>
      <c r="DO102" s="310"/>
      <c r="DP102" s="329"/>
      <c r="DQ102" s="311"/>
      <c r="DR102" s="309"/>
      <c r="DS102" s="310"/>
      <c r="DT102" s="329"/>
      <c r="DU102" s="311"/>
      <c r="DV102" s="309"/>
      <c r="DW102" s="310"/>
      <c r="DX102" s="329"/>
      <c r="DY102" s="311"/>
      <c r="DZ102" s="309"/>
      <c r="EA102" s="310"/>
      <c r="EB102" s="329"/>
      <c r="EC102" s="311"/>
      <c r="ED102" s="309"/>
      <c r="EE102" s="310"/>
      <c r="EF102" s="329"/>
      <c r="EG102" s="311"/>
      <c r="EH102" s="309"/>
      <c r="EI102" s="310"/>
      <c r="EJ102" s="329"/>
      <c r="EK102" s="311"/>
      <c r="EL102" s="309"/>
      <c r="EM102" s="310"/>
      <c r="EN102" s="329"/>
      <c r="EO102" s="311"/>
      <c r="EP102" s="309"/>
      <c r="EQ102" s="310"/>
      <c r="ER102" s="329"/>
      <c r="ES102" s="311"/>
      <c r="ET102" s="309"/>
      <c r="EU102" s="310"/>
      <c r="EV102" s="329"/>
      <c r="EW102" s="311"/>
      <c r="EX102" s="309"/>
      <c r="EY102" s="310"/>
      <c r="EZ102" s="329"/>
      <c r="FA102" s="311"/>
      <c r="FB102" s="309"/>
      <c r="FC102" s="310"/>
      <c r="FD102" s="329"/>
      <c r="FE102" s="311"/>
      <c r="FF102" s="309"/>
      <c r="FG102" s="310"/>
      <c r="FH102" s="329"/>
      <c r="FI102" s="311"/>
      <c r="FJ102" s="309"/>
      <c r="FK102" s="310"/>
      <c r="FL102" s="329"/>
      <c r="FM102" s="311"/>
      <c r="FN102" s="309"/>
      <c r="FO102" s="310"/>
      <c r="FP102" s="329"/>
      <c r="FQ102" s="311"/>
      <c r="FR102" s="309"/>
      <c r="FS102" s="310"/>
      <c r="FT102" s="329"/>
      <c r="FU102" s="311"/>
      <c r="FV102" s="309"/>
      <c r="FW102" s="310"/>
      <c r="FX102" s="329"/>
      <c r="FY102" s="311"/>
      <c r="FZ102" s="309"/>
      <c r="GA102" s="310"/>
      <c r="GB102" s="329"/>
      <c r="GC102" s="311"/>
      <c r="GD102" s="309"/>
      <c r="GE102" s="310"/>
      <c r="GF102" s="329"/>
      <c r="GG102" s="311"/>
      <c r="GH102" s="309"/>
      <c r="GI102" s="310"/>
      <c r="GJ102" s="329"/>
      <c r="GK102" s="311"/>
      <c r="GL102" s="309"/>
      <c r="GM102" s="310"/>
      <c r="GN102" s="329"/>
      <c r="GO102" s="311"/>
      <c r="GP102" s="309"/>
      <c r="GQ102" s="310"/>
      <c r="GR102" s="329"/>
      <c r="GS102" s="311"/>
      <c r="GT102" s="309"/>
      <c r="GU102" s="310"/>
      <c r="GV102" s="329"/>
      <c r="GW102" s="311"/>
      <c r="GX102" s="309"/>
      <c r="GY102" s="310"/>
      <c r="GZ102" s="329"/>
      <c r="HA102" s="311"/>
      <c r="HB102" s="309"/>
      <c r="HC102" s="312">
        <f t="shared" si="80"/>
        <v>0</v>
      </c>
      <c r="HD102" s="330"/>
      <c r="HE102" s="313">
        <f t="shared" si="81"/>
        <v>0</v>
      </c>
      <c r="HF102" s="314"/>
      <c r="HG102" s="312">
        <f>SUM(SUMIFS(K102:HB102,$K$13:$HB$13,{"エネルギー管理指定工場等*","県域*"}))</f>
        <v>0</v>
      </c>
      <c r="HH102" s="330"/>
      <c r="HI102" s="313">
        <f>SUM(SUMIFS(M102:HD102,$K$13:$HB$13,{"エネルギー管理指定工場等*","県域*"}))</f>
        <v>0</v>
      </c>
      <c r="HJ102" s="314"/>
      <c r="IE102" s="579"/>
      <c r="IF102" s="579"/>
      <c r="IG102" s="579"/>
      <c r="IH102" s="579"/>
    </row>
    <row r="103" spans="2:242" s="164" customFormat="1" ht="20.100000000000001" customHeight="1">
      <c r="B103" s="302"/>
      <c r="C103" s="318"/>
      <c r="D103" s="359"/>
      <c r="E103" s="360"/>
      <c r="F103" s="303" t="s">
        <v>463</v>
      </c>
      <c r="G103" s="310"/>
      <c r="H103" s="315"/>
      <c r="I103" s="310"/>
      <c r="J103" s="315"/>
      <c r="K103" s="310"/>
      <c r="L103" s="329"/>
      <c r="M103" s="329"/>
      <c r="N103" s="309"/>
      <c r="O103" s="310"/>
      <c r="P103" s="329"/>
      <c r="Q103" s="329"/>
      <c r="R103" s="309"/>
      <c r="S103" s="310"/>
      <c r="T103" s="329"/>
      <c r="U103" s="329"/>
      <c r="V103" s="309"/>
      <c r="W103" s="310"/>
      <c r="X103" s="329"/>
      <c r="Y103" s="329"/>
      <c r="Z103" s="309"/>
      <c r="AA103" s="310"/>
      <c r="AB103" s="329"/>
      <c r="AC103" s="329"/>
      <c r="AD103" s="309"/>
      <c r="AE103" s="310"/>
      <c r="AF103" s="329"/>
      <c r="AG103" s="329"/>
      <c r="AH103" s="309"/>
      <c r="AI103" s="310"/>
      <c r="AJ103" s="329"/>
      <c r="AK103" s="329"/>
      <c r="AL103" s="309"/>
      <c r="AM103" s="310"/>
      <c r="AN103" s="329"/>
      <c r="AO103" s="329"/>
      <c r="AP103" s="309"/>
      <c r="AQ103" s="310"/>
      <c r="AR103" s="329"/>
      <c r="AS103" s="329"/>
      <c r="AT103" s="309"/>
      <c r="AU103" s="310"/>
      <c r="AV103" s="329"/>
      <c r="AW103" s="329"/>
      <c r="AX103" s="309"/>
      <c r="AY103" s="310"/>
      <c r="AZ103" s="329"/>
      <c r="BA103" s="329"/>
      <c r="BB103" s="309"/>
      <c r="BC103" s="310"/>
      <c r="BD103" s="329"/>
      <c r="BE103" s="329"/>
      <c r="BF103" s="309"/>
      <c r="BG103" s="310"/>
      <c r="BH103" s="329"/>
      <c r="BI103" s="329"/>
      <c r="BJ103" s="309"/>
      <c r="BK103" s="310"/>
      <c r="BL103" s="329"/>
      <c r="BM103" s="329"/>
      <c r="BN103" s="309"/>
      <c r="BO103" s="310"/>
      <c r="BP103" s="329"/>
      <c r="BQ103" s="329"/>
      <c r="BR103" s="309"/>
      <c r="BS103" s="310"/>
      <c r="BT103" s="329"/>
      <c r="BU103" s="329"/>
      <c r="BV103" s="309"/>
      <c r="BW103" s="310"/>
      <c r="BX103" s="329"/>
      <c r="BY103" s="329"/>
      <c r="BZ103" s="309"/>
      <c r="CA103" s="310"/>
      <c r="CB103" s="329"/>
      <c r="CC103" s="329"/>
      <c r="CD103" s="309"/>
      <c r="CE103" s="310"/>
      <c r="CF103" s="329"/>
      <c r="CG103" s="329"/>
      <c r="CH103" s="309"/>
      <c r="CI103" s="310"/>
      <c r="CJ103" s="329"/>
      <c r="CK103" s="329"/>
      <c r="CL103" s="309"/>
      <c r="CM103" s="310"/>
      <c r="CN103" s="329"/>
      <c r="CO103" s="329"/>
      <c r="CP103" s="309"/>
      <c r="CQ103" s="310"/>
      <c r="CR103" s="329"/>
      <c r="CS103" s="329"/>
      <c r="CT103" s="309"/>
      <c r="CU103" s="310"/>
      <c r="CV103" s="329"/>
      <c r="CW103" s="329"/>
      <c r="CX103" s="309"/>
      <c r="CY103" s="310"/>
      <c r="CZ103" s="329"/>
      <c r="DA103" s="329"/>
      <c r="DB103" s="309"/>
      <c r="DC103" s="310"/>
      <c r="DD103" s="329"/>
      <c r="DE103" s="329"/>
      <c r="DF103" s="309"/>
      <c r="DG103" s="310"/>
      <c r="DH103" s="329"/>
      <c r="DI103" s="329"/>
      <c r="DJ103" s="309"/>
      <c r="DK103" s="310"/>
      <c r="DL103" s="329"/>
      <c r="DM103" s="329"/>
      <c r="DN103" s="309"/>
      <c r="DO103" s="310"/>
      <c r="DP103" s="329"/>
      <c r="DQ103" s="329"/>
      <c r="DR103" s="309"/>
      <c r="DS103" s="310"/>
      <c r="DT103" s="329"/>
      <c r="DU103" s="329"/>
      <c r="DV103" s="309"/>
      <c r="DW103" s="310"/>
      <c r="DX103" s="329"/>
      <c r="DY103" s="329"/>
      <c r="DZ103" s="309"/>
      <c r="EA103" s="310"/>
      <c r="EB103" s="329"/>
      <c r="EC103" s="329"/>
      <c r="ED103" s="309"/>
      <c r="EE103" s="310"/>
      <c r="EF103" s="329"/>
      <c r="EG103" s="329"/>
      <c r="EH103" s="309"/>
      <c r="EI103" s="310"/>
      <c r="EJ103" s="329"/>
      <c r="EK103" s="329"/>
      <c r="EL103" s="309"/>
      <c r="EM103" s="310"/>
      <c r="EN103" s="329"/>
      <c r="EO103" s="329"/>
      <c r="EP103" s="309"/>
      <c r="EQ103" s="310"/>
      <c r="ER103" s="329"/>
      <c r="ES103" s="329"/>
      <c r="ET103" s="309"/>
      <c r="EU103" s="310"/>
      <c r="EV103" s="329"/>
      <c r="EW103" s="329"/>
      <c r="EX103" s="309"/>
      <c r="EY103" s="310"/>
      <c r="EZ103" s="329"/>
      <c r="FA103" s="329"/>
      <c r="FB103" s="309"/>
      <c r="FC103" s="310"/>
      <c r="FD103" s="329"/>
      <c r="FE103" s="329"/>
      <c r="FF103" s="309"/>
      <c r="FG103" s="310"/>
      <c r="FH103" s="329"/>
      <c r="FI103" s="329"/>
      <c r="FJ103" s="309"/>
      <c r="FK103" s="310"/>
      <c r="FL103" s="329"/>
      <c r="FM103" s="329"/>
      <c r="FN103" s="309"/>
      <c r="FO103" s="310"/>
      <c r="FP103" s="329"/>
      <c r="FQ103" s="329"/>
      <c r="FR103" s="309"/>
      <c r="FS103" s="310"/>
      <c r="FT103" s="329"/>
      <c r="FU103" s="329"/>
      <c r="FV103" s="309"/>
      <c r="FW103" s="310"/>
      <c r="FX103" s="329"/>
      <c r="FY103" s="329"/>
      <c r="FZ103" s="309"/>
      <c r="GA103" s="310"/>
      <c r="GB103" s="329"/>
      <c r="GC103" s="329"/>
      <c r="GD103" s="309"/>
      <c r="GE103" s="310"/>
      <c r="GF103" s="329"/>
      <c r="GG103" s="329"/>
      <c r="GH103" s="309"/>
      <c r="GI103" s="310"/>
      <c r="GJ103" s="329"/>
      <c r="GK103" s="329"/>
      <c r="GL103" s="309"/>
      <c r="GM103" s="310"/>
      <c r="GN103" s="329"/>
      <c r="GO103" s="329"/>
      <c r="GP103" s="309"/>
      <c r="GQ103" s="310"/>
      <c r="GR103" s="329"/>
      <c r="GS103" s="329"/>
      <c r="GT103" s="309"/>
      <c r="GU103" s="310"/>
      <c r="GV103" s="329"/>
      <c r="GW103" s="329"/>
      <c r="GX103" s="309"/>
      <c r="GY103" s="310"/>
      <c r="GZ103" s="329"/>
      <c r="HA103" s="329"/>
      <c r="HB103" s="309"/>
      <c r="HC103" s="312">
        <f t="shared" si="80"/>
        <v>0</v>
      </c>
      <c r="HD103" s="330"/>
      <c r="HE103" s="330"/>
      <c r="HF103" s="314"/>
      <c r="HG103" s="312">
        <f>SUM(SUMIFS(K103:HB103,$K$13:$HB$13,{"エネルギー管理指定工場等*","県域*"}))</f>
        <v>0</v>
      </c>
      <c r="HH103" s="330"/>
      <c r="HI103" s="330"/>
      <c r="HJ103" s="314"/>
      <c r="IE103" s="579"/>
      <c r="IF103" s="579"/>
      <c r="IG103" s="579"/>
      <c r="IH103" s="579"/>
    </row>
    <row r="104" spans="2:242" s="164" customFormat="1" ht="20.100000000000001" customHeight="1">
      <c r="B104" s="302"/>
      <c r="C104" s="327" t="s">
        <v>1387</v>
      </c>
      <c r="D104" s="303" t="s">
        <v>1388</v>
      </c>
      <c r="E104" s="335"/>
      <c r="F104" s="303" t="s">
        <v>610</v>
      </c>
      <c r="G104" s="306">
        <v>8.64</v>
      </c>
      <c r="H104" s="315"/>
      <c r="I104" s="310"/>
      <c r="J104" s="315"/>
      <c r="K104" s="310"/>
      <c r="L104" s="329"/>
      <c r="M104" s="311"/>
      <c r="N104" s="309"/>
      <c r="O104" s="310"/>
      <c r="P104" s="329"/>
      <c r="Q104" s="311"/>
      <c r="R104" s="309"/>
      <c r="S104" s="310"/>
      <c r="T104" s="329"/>
      <c r="U104" s="311"/>
      <c r="V104" s="309"/>
      <c r="W104" s="310"/>
      <c r="X104" s="329"/>
      <c r="Y104" s="311"/>
      <c r="Z104" s="309"/>
      <c r="AA104" s="310"/>
      <c r="AB104" s="329"/>
      <c r="AC104" s="311"/>
      <c r="AD104" s="309"/>
      <c r="AE104" s="310"/>
      <c r="AF104" s="329"/>
      <c r="AG104" s="311"/>
      <c r="AH104" s="309"/>
      <c r="AI104" s="310"/>
      <c r="AJ104" s="329"/>
      <c r="AK104" s="311"/>
      <c r="AL104" s="309"/>
      <c r="AM104" s="310"/>
      <c r="AN104" s="329"/>
      <c r="AO104" s="311"/>
      <c r="AP104" s="309"/>
      <c r="AQ104" s="310"/>
      <c r="AR104" s="329"/>
      <c r="AS104" s="311"/>
      <c r="AT104" s="309"/>
      <c r="AU104" s="310"/>
      <c r="AV104" s="329"/>
      <c r="AW104" s="311"/>
      <c r="AX104" s="309"/>
      <c r="AY104" s="310"/>
      <c r="AZ104" s="329"/>
      <c r="BA104" s="311"/>
      <c r="BB104" s="309"/>
      <c r="BC104" s="310"/>
      <c r="BD104" s="329"/>
      <c r="BE104" s="311"/>
      <c r="BF104" s="309"/>
      <c r="BG104" s="310"/>
      <c r="BH104" s="329"/>
      <c r="BI104" s="311"/>
      <c r="BJ104" s="309"/>
      <c r="BK104" s="310"/>
      <c r="BL104" s="329"/>
      <c r="BM104" s="311"/>
      <c r="BN104" s="309"/>
      <c r="BO104" s="310"/>
      <c r="BP104" s="329"/>
      <c r="BQ104" s="311"/>
      <c r="BR104" s="309"/>
      <c r="BS104" s="310"/>
      <c r="BT104" s="329"/>
      <c r="BU104" s="311"/>
      <c r="BV104" s="309"/>
      <c r="BW104" s="310"/>
      <c r="BX104" s="329"/>
      <c r="BY104" s="311"/>
      <c r="BZ104" s="309"/>
      <c r="CA104" s="310"/>
      <c r="CB104" s="329"/>
      <c r="CC104" s="311"/>
      <c r="CD104" s="309"/>
      <c r="CE104" s="310"/>
      <c r="CF104" s="329"/>
      <c r="CG104" s="311"/>
      <c r="CH104" s="309"/>
      <c r="CI104" s="310"/>
      <c r="CJ104" s="329"/>
      <c r="CK104" s="311"/>
      <c r="CL104" s="309"/>
      <c r="CM104" s="310"/>
      <c r="CN104" s="329"/>
      <c r="CO104" s="311"/>
      <c r="CP104" s="309"/>
      <c r="CQ104" s="310"/>
      <c r="CR104" s="329"/>
      <c r="CS104" s="311"/>
      <c r="CT104" s="309"/>
      <c r="CU104" s="310"/>
      <c r="CV104" s="329"/>
      <c r="CW104" s="311"/>
      <c r="CX104" s="309"/>
      <c r="CY104" s="310"/>
      <c r="CZ104" s="329"/>
      <c r="DA104" s="311"/>
      <c r="DB104" s="309"/>
      <c r="DC104" s="310"/>
      <c r="DD104" s="329"/>
      <c r="DE104" s="311"/>
      <c r="DF104" s="309"/>
      <c r="DG104" s="310"/>
      <c r="DH104" s="329"/>
      <c r="DI104" s="311"/>
      <c r="DJ104" s="309"/>
      <c r="DK104" s="310"/>
      <c r="DL104" s="329"/>
      <c r="DM104" s="311"/>
      <c r="DN104" s="309"/>
      <c r="DO104" s="310"/>
      <c r="DP104" s="329"/>
      <c r="DQ104" s="311"/>
      <c r="DR104" s="309"/>
      <c r="DS104" s="310"/>
      <c r="DT104" s="329"/>
      <c r="DU104" s="311"/>
      <c r="DV104" s="309"/>
      <c r="DW104" s="310"/>
      <c r="DX104" s="329"/>
      <c r="DY104" s="311"/>
      <c r="DZ104" s="309"/>
      <c r="EA104" s="310"/>
      <c r="EB104" s="329"/>
      <c r="EC104" s="311"/>
      <c r="ED104" s="309"/>
      <c r="EE104" s="310"/>
      <c r="EF104" s="329"/>
      <c r="EG104" s="311"/>
      <c r="EH104" s="309"/>
      <c r="EI104" s="310"/>
      <c r="EJ104" s="329"/>
      <c r="EK104" s="311"/>
      <c r="EL104" s="309"/>
      <c r="EM104" s="310"/>
      <c r="EN104" s="329"/>
      <c r="EO104" s="311"/>
      <c r="EP104" s="309"/>
      <c r="EQ104" s="310"/>
      <c r="ER104" s="329"/>
      <c r="ES104" s="311"/>
      <c r="ET104" s="309"/>
      <c r="EU104" s="310"/>
      <c r="EV104" s="329"/>
      <c r="EW104" s="311"/>
      <c r="EX104" s="309"/>
      <c r="EY104" s="310"/>
      <c r="EZ104" s="329"/>
      <c r="FA104" s="311"/>
      <c r="FB104" s="309"/>
      <c r="FC104" s="310"/>
      <c r="FD104" s="329"/>
      <c r="FE104" s="311"/>
      <c r="FF104" s="309"/>
      <c r="FG104" s="310"/>
      <c r="FH104" s="329"/>
      <c r="FI104" s="311"/>
      <c r="FJ104" s="309"/>
      <c r="FK104" s="310"/>
      <c r="FL104" s="329"/>
      <c r="FM104" s="311"/>
      <c r="FN104" s="309"/>
      <c r="FO104" s="310"/>
      <c r="FP104" s="329"/>
      <c r="FQ104" s="311"/>
      <c r="FR104" s="309"/>
      <c r="FS104" s="310"/>
      <c r="FT104" s="329"/>
      <c r="FU104" s="311"/>
      <c r="FV104" s="309"/>
      <c r="FW104" s="310"/>
      <c r="FX104" s="329"/>
      <c r="FY104" s="311"/>
      <c r="FZ104" s="309"/>
      <c r="GA104" s="310"/>
      <c r="GB104" s="329"/>
      <c r="GC104" s="311"/>
      <c r="GD104" s="309"/>
      <c r="GE104" s="310"/>
      <c r="GF104" s="329"/>
      <c r="GG104" s="311"/>
      <c r="GH104" s="309"/>
      <c r="GI104" s="310"/>
      <c r="GJ104" s="329"/>
      <c r="GK104" s="311"/>
      <c r="GL104" s="309"/>
      <c r="GM104" s="310"/>
      <c r="GN104" s="329"/>
      <c r="GO104" s="311"/>
      <c r="GP104" s="309"/>
      <c r="GQ104" s="310"/>
      <c r="GR104" s="329"/>
      <c r="GS104" s="311"/>
      <c r="GT104" s="309"/>
      <c r="GU104" s="310"/>
      <c r="GV104" s="329"/>
      <c r="GW104" s="311"/>
      <c r="GX104" s="309"/>
      <c r="GY104" s="310"/>
      <c r="GZ104" s="329"/>
      <c r="HA104" s="311"/>
      <c r="HB104" s="309"/>
      <c r="HC104" s="312">
        <f t="shared" si="80"/>
        <v>0</v>
      </c>
      <c r="HD104" s="330"/>
      <c r="HE104" s="313">
        <f t="shared" si="81"/>
        <v>0</v>
      </c>
      <c r="HF104" s="314"/>
      <c r="HG104" s="312">
        <f>SUM(SUMIFS(K104:HB104,$K$13:$HB$13,{"エネルギー管理指定工場等*","県域*"}))</f>
        <v>0</v>
      </c>
      <c r="HH104" s="330"/>
      <c r="HI104" s="313">
        <f>SUM(SUMIFS(M104:HD104,$K$13:$HB$13,{"エネルギー管理指定工場等*","県域*"}))</f>
        <v>0</v>
      </c>
      <c r="HJ104" s="314"/>
      <c r="IE104" s="579"/>
      <c r="IF104" s="579"/>
      <c r="IG104" s="579"/>
      <c r="IH104" s="579"/>
    </row>
    <row r="105" spans="2:242" s="164" customFormat="1" ht="20.100000000000001" customHeight="1">
      <c r="B105" s="302"/>
      <c r="C105" s="318"/>
      <c r="D105" s="303" t="s">
        <v>624</v>
      </c>
      <c r="E105" s="335"/>
      <c r="F105" s="303" t="s">
        <v>610</v>
      </c>
      <c r="G105" s="306">
        <v>8.64</v>
      </c>
      <c r="H105" s="315"/>
      <c r="I105" s="310"/>
      <c r="J105" s="315"/>
      <c r="K105" s="310"/>
      <c r="L105" s="329"/>
      <c r="M105" s="311"/>
      <c r="N105" s="309"/>
      <c r="O105" s="310"/>
      <c r="P105" s="329"/>
      <c r="Q105" s="311"/>
      <c r="R105" s="309"/>
      <c r="S105" s="310"/>
      <c r="T105" s="329"/>
      <c r="U105" s="311"/>
      <c r="V105" s="309"/>
      <c r="W105" s="310"/>
      <c r="X105" s="329"/>
      <c r="Y105" s="311"/>
      <c r="Z105" s="309"/>
      <c r="AA105" s="310"/>
      <c r="AB105" s="329"/>
      <c r="AC105" s="311"/>
      <c r="AD105" s="309"/>
      <c r="AE105" s="310"/>
      <c r="AF105" s="329"/>
      <c r="AG105" s="311"/>
      <c r="AH105" s="309"/>
      <c r="AI105" s="310"/>
      <c r="AJ105" s="329"/>
      <c r="AK105" s="311"/>
      <c r="AL105" s="309"/>
      <c r="AM105" s="310"/>
      <c r="AN105" s="329"/>
      <c r="AO105" s="311"/>
      <c r="AP105" s="309"/>
      <c r="AQ105" s="310"/>
      <c r="AR105" s="329"/>
      <c r="AS105" s="311"/>
      <c r="AT105" s="309"/>
      <c r="AU105" s="310"/>
      <c r="AV105" s="329"/>
      <c r="AW105" s="311"/>
      <c r="AX105" s="309"/>
      <c r="AY105" s="310"/>
      <c r="AZ105" s="329"/>
      <c r="BA105" s="311"/>
      <c r="BB105" s="309"/>
      <c r="BC105" s="310"/>
      <c r="BD105" s="329"/>
      <c r="BE105" s="311"/>
      <c r="BF105" s="309"/>
      <c r="BG105" s="310"/>
      <c r="BH105" s="329"/>
      <c r="BI105" s="311"/>
      <c r="BJ105" s="309"/>
      <c r="BK105" s="310"/>
      <c r="BL105" s="329"/>
      <c r="BM105" s="311"/>
      <c r="BN105" s="309"/>
      <c r="BO105" s="310"/>
      <c r="BP105" s="329"/>
      <c r="BQ105" s="311"/>
      <c r="BR105" s="309"/>
      <c r="BS105" s="310"/>
      <c r="BT105" s="329"/>
      <c r="BU105" s="311"/>
      <c r="BV105" s="309"/>
      <c r="BW105" s="310"/>
      <c r="BX105" s="329"/>
      <c r="BY105" s="311"/>
      <c r="BZ105" s="309"/>
      <c r="CA105" s="310"/>
      <c r="CB105" s="329"/>
      <c r="CC105" s="311"/>
      <c r="CD105" s="309"/>
      <c r="CE105" s="310"/>
      <c r="CF105" s="329"/>
      <c r="CG105" s="311"/>
      <c r="CH105" s="309"/>
      <c r="CI105" s="310"/>
      <c r="CJ105" s="329"/>
      <c r="CK105" s="311"/>
      <c r="CL105" s="309"/>
      <c r="CM105" s="310"/>
      <c r="CN105" s="329"/>
      <c r="CO105" s="311"/>
      <c r="CP105" s="309"/>
      <c r="CQ105" s="310"/>
      <c r="CR105" s="329"/>
      <c r="CS105" s="311"/>
      <c r="CT105" s="309"/>
      <c r="CU105" s="310"/>
      <c r="CV105" s="329"/>
      <c r="CW105" s="311"/>
      <c r="CX105" s="309"/>
      <c r="CY105" s="310"/>
      <c r="CZ105" s="329"/>
      <c r="DA105" s="311"/>
      <c r="DB105" s="309"/>
      <c r="DC105" s="310"/>
      <c r="DD105" s="329"/>
      <c r="DE105" s="311"/>
      <c r="DF105" s="309"/>
      <c r="DG105" s="310"/>
      <c r="DH105" s="329"/>
      <c r="DI105" s="311"/>
      <c r="DJ105" s="309"/>
      <c r="DK105" s="310"/>
      <c r="DL105" s="329"/>
      <c r="DM105" s="311"/>
      <c r="DN105" s="309"/>
      <c r="DO105" s="310"/>
      <c r="DP105" s="329"/>
      <c r="DQ105" s="311"/>
      <c r="DR105" s="309"/>
      <c r="DS105" s="310"/>
      <c r="DT105" s="329"/>
      <c r="DU105" s="311"/>
      <c r="DV105" s="309"/>
      <c r="DW105" s="310"/>
      <c r="DX105" s="329"/>
      <c r="DY105" s="311"/>
      <c r="DZ105" s="309"/>
      <c r="EA105" s="310"/>
      <c r="EB105" s="329"/>
      <c r="EC105" s="311"/>
      <c r="ED105" s="309"/>
      <c r="EE105" s="310"/>
      <c r="EF105" s="329"/>
      <c r="EG105" s="311"/>
      <c r="EH105" s="309"/>
      <c r="EI105" s="310"/>
      <c r="EJ105" s="329"/>
      <c r="EK105" s="311"/>
      <c r="EL105" s="309"/>
      <c r="EM105" s="310"/>
      <c r="EN105" s="329"/>
      <c r="EO105" s="311"/>
      <c r="EP105" s="309"/>
      <c r="EQ105" s="310"/>
      <c r="ER105" s="329"/>
      <c r="ES105" s="311"/>
      <c r="ET105" s="309"/>
      <c r="EU105" s="310"/>
      <c r="EV105" s="329"/>
      <c r="EW105" s="311"/>
      <c r="EX105" s="309"/>
      <c r="EY105" s="310"/>
      <c r="EZ105" s="329"/>
      <c r="FA105" s="311"/>
      <c r="FB105" s="309"/>
      <c r="FC105" s="310"/>
      <c r="FD105" s="329"/>
      <c r="FE105" s="311"/>
      <c r="FF105" s="309"/>
      <c r="FG105" s="310"/>
      <c r="FH105" s="329"/>
      <c r="FI105" s="311"/>
      <c r="FJ105" s="309"/>
      <c r="FK105" s="310"/>
      <c r="FL105" s="329"/>
      <c r="FM105" s="311"/>
      <c r="FN105" s="309"/>
      <c r="FO105" s="310"/>
      <c r="FP105" s="329"/>
      <c r="FQ105" s="311"/>
      <c r="FR105" s="309"/>
      <c r="FS105" s="310"/>
      <c r="FT105" s="329"/>
      <c r="FU105" s="311"/>
      <c r="FV105" s="309"/>
      <c r="FW105" s="310"/>
      <c r="FX105" s="329"/>
      <c r="FY105" s="311"/>
      <c r="FZ105" s="309"/>
      <c r="GA105" s="310"/>
      <c r="GB105" s="329"/>
      <c r="GC105" s="311"/>
      <c r="GD105" s="309"/>
      <c r="GE105" s="310"/>
      <c r="GF105" s="329"/>
      <c r="GG105" s="311"/>
      <c r="GH105" s="309"/>
      <c r="GI105" s="310"/>
      <c r="GJ105" s="329"/>
      <c r="GK105" s="311"/>
      <c r="GL105" s="309"/>
      <c r="GM105" s="310"/>
      <c r="GN105" s="329"/>
      <c r="GO105" s="311"/>
      <c r="GP105" s="309"/>
      <c r="GQ105" s="310"/>
      <c r="GR105" s="329"/>
      <c r="GS105" s="311"/>
      <c r="GT105" s="309"/>
      <c r="GU105" s="310"/>
      <c r="GV105" s="329"/>
      <c r="GW105" s="311"/>
      <c r="GX105" s="309"/>
      <c r="GY105" s="310"/>
      <c r="GZ105" s="329"/>
      <c r="HA105" s="311"/>
      <c r="HB105" s="309"/>
      <c r="HC105" s="312">
        <f t="shared" si="80"/>
        <v>0</v>
      </c>
      <c r="HD105" s="330"/>
      <c r="HE105" s="313">
        <f t="shared" si="81"/>
        <v>0</v>
      </c>
      <c r="HF105" s="314"/>
      <c r="HG105" s="312">
        <f>SUM(SUMIFS(K105:HB105,$K$13:$HB$13,{"エネルギー管理指定工場等*","県域*"}))</f>
        <v>0</v>
      </c>
      <c r="HH105" s="330"/>
      <c r="HI105" s="313">
        <f>SUM(SUMIFS(M105:HD105,$K$13:$HB$13,{"エネルギー管理指定工場等*","県域*"}))</f>
        <v>0</v>
      </c>
      <c r="HJ105" s="314"/>
      <c r="IE105" s="579"/>
      <c r="IF105" s="579"/>
      <c r="IG105" s="579"/>
      <c r="IH105" s="579"/>
    </row>
    <row r="106" spans="2:242" s="164" customFormat="1" ht="20.100000000000001" customHeight="1">
      <c r="B106" s="302"/>
      <c r="C106" s="327" t="s">
        <v>1389</v>
      </c>
      <c r="D106" s="303" t="s">
        <v>1388</v>
      </c>
      <c r="E106" s="335"/>
      <c r="F106" s="303" t="s">
        <v>610</v>
      </c>
      <c r="G106" s="306">
        <v>8.64</v>
      </c>
      <c r="H106" s="315"/>
      <c r="I106" s="310"/>
      <c r="J106" s="315"/>
      <c r="K106" s="310"/>
      <c r="L106" s="329"/>
      <c r="M106" s="311"/>
      <c r="N106" s="309"/>
      <c r="O106" s="310"/>
      <c r="P106" s="329"/>
      <c r="Q106" s="311"/>
      <c r="R106" s="309"/>
      <c r="S106" s="310"/>
      <c r="T106" s="329"/>
      <c r="U106" s="311"/>
      <c r="V106" s="309"/>
      <c r="W106" s="310"/>
      <c r="X106" s="329"/>
      <c r="Y106" s="311"/>
      <c r="Z106" s="309"/>
      <c r="AA106" s="310"/>
      <c r="AB106" s="329"/>
      <c r="AC106" s="311"/>
      <c r="AD106" s="309"/>
      <c r="AE106" s="310"/>
      <c r="AF106" s="329"/>
      <c r="AG106" s="311"/>
      <c r="AH106" s="309"/>
      <c r="AI106" s="310"/>
      <c r="AJ106" s="329"/>
      <c r="AK106" s="311"/>
      <c r="AL106" s="309"/>
      <c r="AM106" s="310"/>
      <c r="AN106" s="329"/>
      <c r="AO106" s="311"/>
      <c r="AP106" s="309"/>
      <c r="AQ106" s="310"/>
      <c r="AR106" s="329"/>
      <c r="AS106" s="311"/>
      <c r="AT106" s="309"/>
      <c r="AU106" s="310"/>
      <c r="AV106" s="329"/>
      <c r="AW106" s="311"/>
      <c r="AX106" s="309"/>
      <c r="AY106" s="310"/>
      <c r="AZ106" s="329"/>
      <c r="BA106" s="311"/>
      <c r="BB106" s="309"/>
      <c r="BC106" s="310"/>
      <c r="BD106" s="329"/>
      <c r="BE106" s="311"/>
      <c r="BF106" s="309"/>
      <c r="BG106" s="310"/>
      <c r="BH106" s="329"/>
      <c r="BI106" s="311"/>
      <c r="BJ106" s="309"/>
      <c r="BK106" s="310"/>
      <c r="BL106" s="329"/>
      <c r="BM106" s="311"/>
      <c r="BN106" s="309"/>
      <c r="BO106" s="310"/>
      <c r="BP106" s="329"/>
      <c r="BQ106" s="311"/>
      <c r="BR106" s="309"/>
      <c r="BS106" s="310"/>
      <c r="BT106" s="329"/>
      <c r="BU106" s="311"/>
      <c r="BV106" s="309"/>
      <c r="BW106" s="310"/>
      <c r="BX106" s="329"/>
      <c r="BY106" s="311"/>
      <c r="BZ106" s="309"/>
      <c r="CA106" s="310"/>
      <c r="CB106" s="329"/>
      <c r="CC106" s="311"/>
      <c r="CD106" s="309"/>
      <c r="CE106" s="310"/>
      <c r="CF106" s="329"/>
      <c r="CG106" s="311"/>
      <c r="CH106" s="309"/>
      <c r="CI106" s="310"/>
      <c r="CJ106" s="329"/>
      <c r="CK106" s="311"/>
      <c r="CL106" s="309"/>
      <c r="CM106" s="310"/>
      <c r="CN106" s="329"/>
      <c r="CO106" s="311"/>
      <c r="CP106" s="309"/>
      <c r="CQ106" s="310"/>
      <c r="CR106" s="329"/>
      <c r="CS106" s="311"/>
      <c r="CT106" s="309"/>
      <c r="CU106" s="310"/>
      <c r="CV106" s="329"/>
      <c r="CW106" s="311"/>
      <c r="CX106" s="309"/>
      <c r="CY106" s="310"/>
      <c r="CZ106" s="329"/>
      <c r="DA106" s="311"/>
      <c r="DB106" s="309"/>
      <c r="DC106" s="310"/>
      <c r="DD106" s="329"/>
      <c r="DE106" s="311"/>
      <c r="DF106" s="309"/>
      <c r="DG106" s="310"/>
      <c r="DH106" s="329"/>
      <c r="DI106" s="311"/>
      <c r="DJ106" s="309"/>
      <c r="DK106" s="310"/>
      <c r="DL106" s="329"/>
      <c r="DM106" s="311"/>
      <c r="DN106" s="309"/>
      <c r="DO106" s="310"/>
      <c r="DP106" s="329"/>
      <c r="DQ106" s="311"/>
      <c r="DR106" s="309"/>
      <c r="DS106" s="310"/>
      <c r="DT106" s="329"/>
      <c r="DU106" s="311"/>
      <c r="DV106" s="309"/>
      <c r="DW106" s="310"/>
      <c r="DX106" s="329"/>
      <c r="DY106" s="311"/>
      <c r="DZ106" s="309"/>
      <c r="EA106" s="310"/>
      <c r="EB106" s="329"/>
      <c r="EC106" s="311"/>
      <c r="ED106" s="309"/>
      <c r="EE106" s="310"/>
      <c r="EF106" s="329"/>
      <c r="EG106" s="311"/>
      <c r="EH106" s="309"/>
      <c r="EI106" s="310"/>
      <c r="EJ106" s="329"/>
      <c r="EK106" s="311"/>
      <c r="EL106" s="309"/>
      <c r="EM106" s="310"/>
      <c r="EN106" s="329"/>
      <c r="EO106" s="311"/>
      <c r="EP106" s="309"/>
      <c r="EQ106" s="310"/>
      <c r="ER106" s="329"/>
      <c r="ES106" s="311"/>
      <c r="ET106" s="309"/>
      <c r="EU106" s="310"/>
      <c r="EV106" s="329"/>
      <c r="EW106" s="311"/>
      <c r="EX106" s="309"/>
      <c r="EY106" s="310"/>
      <c r="EZ106" s="329"/>
      <c r="FA106" s="311"/>
      <c r="FB106" s="309"/>
      <c r="FC106" s="310"/>
      <c r="FD106" s="329"/>
      <c r="FE106" s="311"/>
      <c r="FF106" s="309"/>
      <c r="FG106" s="310"/>
      <c r="FH106" s="329"/>
      <c r="FI106" s="311"/>
      <c r="FJ106" s="309"/>
      <c r="FK106" s="310"/>
      <c r="FL106" s="329"/>
      <c r="FM106" s="311"/>
      <c r="FN106" s="309"/>
      <c r="FO106" s="310"/>
      <c r="FP106" s="329"/>
      <c r="FQ106" s="311"/>
      <c r="FR106" s="309"/>
      <c r="FS106" s="310"/>
      <c r="FT106" s="329"/>
      <c r="FU106" s="311"/>
      <c r="FV106" s="309"/>
      <c r="FW106" s="310"/>
      <c r="FX106" s="329"/>
      <c r="FY106" s="311"/>
      <c r="FZ106" s="309"/>
      <c r="GA106" s="310"/>
      <c r="GB106" s="329"/>
      <c r="GC106" s="311"/>
      <c r="GD106" s="309"/>
      <c r="GE106" s="310"/>
      <c r="GF106" s="329"/>
      <c r="GG106" s="311"/>
      <c r="GH106" s="309"/>
      <c r="GI106" s="310"/>
      <c r="GJ106" s="329"/>
      <c r="GK106" s="311"/>
      <c r="GL106" s="309"/>
      <c r="GM106" s="310"/>
      <c r="GN106" s="329"/>
      <c r="GO106" s="311"/>
      <c r="GP106" s="309"/>
      <c r="GQ106" s="310"/>
      <c r="GR106" s="329"/>
      <c r="GS106" s="311"/>
      <c r="GT106" s="309"/>
      <c r="GU106" s="310"/>
      <c r="GV106" s="329"/>
      <c r="GW106" s="311"/>
      <c r="GX106" s="309"/>
      <c r="GY106" s="310"/>
      <c r="GZ106" s="329"/>
      <c r="HA106" s="311"/>
      <c r="HB106" s="309"/>
      <c r="HC106" s="312">
        <f t="shared" si="80"/>
        <v>0</v>
      </c>
      <c r="HD106" s="330"/>
      <c r="HE106" s="313">
        <f t="shared" si="81"/>
        <v>0</v>
      </c>
      <c r="HF106" s="314"/>
      <c r="HG106" s="312">
        <f>SUM(SUMIFS(K106:HB106,$K$13:$HB$13,{"エネルギー管理指定工場等*","県域*"}))</f>
        <v>0</v>
      </c>
      <c r="HH106" s="330"/>
      <c r="HI106" s="313">
        <f>SUM(SUMIFS(M106:HD106,$K$13:$HB$13,{"エネルギー管理指定工場等*","県域*"}))</f>
        <v>0</v>
      </c>
      <c r="HJ106" s="314"/>
      <c r="IE106" s="579"/>
      <c r="IF106" s="579"/>
      <c r="IG106" s="579"/>
      <c r="IH106" s="579"/>
    </row>
    <row r="107" spans="2:242" s="164" customFormat="1" ht="20.100000000000001" customHeight="1" thickBot="1">
      <c r="B107" s="361"/>
      <c r="C107" s="362"/>
      <c r="D107" s="363" t="s">
        <v>624</v>
      </c>
      <c r="E107" s="335"/>
      <c r="F107" s="363" t="s">
        <v>610</v>
      </c>
      <c r="G107" s="364">
        <v>8.64</v>
      </c>
      <c r="H107" s="365"/>
      <c r="I107" s="366"/>
      <c r="J107" s="365"/>
      <c r="K107" s="366"/>
      <c r="L107" s="367"/>
      <c r="M107" s="368"/>
      <c r="N107" s="369"/>
      <c r="O107" s="366"/>
      <c r="P107" s="367"/>
      <c r="Q107" s="368"/>
      <c r="R107" s="369"/>
      <c r="S107" s="366"/>
      <c r="T107" s="367"/>
      <c r="U107" s="368"/>
      <c r="V107" s="369"/>
      <c r="W107" s="366"/>
      <c r="X107" s="367"/>
      <c r="Y107" s="368"/>
      <c r="Z107" s="369"/>
      <c r="AA107" s="366"/>
      <c r="AB107" s="367"/>
      <c r="AC107" s="368"/>
      <c r="AD107" s="369"/>
      <c r="AE107" s="366"/>
      <c r="AF107" s="367"/>
      <c r="AG107" s="368"/>
      <c r="AH107" s="369"/>
      <c r="AI107" s="366"/>
      <c r="AJ107" s="367"/>
      <c r="AK107" s="368"/>
      <c r="AL107" s="369"/>
      <c r="AM107" s="366"/>
      <c r="AN107" s="367"/>
      <c r="AO107" s="368"/>
      <c r="AP107" s="369"/>
      <c r="AQ107" s="366"/>
      <c r="AR107" s="367"/>
      <c r="AS107" s="368"/>
      <c r="AT107" s="369"/>
      <c r="AU107" s="366"/>
      <c r="AV107" s="367"/>
      <c r="AW107" s="368"/>
      <c r="AX107" s="369"/>
      <c r="AY107" s="366"/>
      <c r="AZ107" s="367"/>
      <c r="BA107" s="368"/>
      <c r="BB107" s="369"/>
      <c r="BC107" s="366"/>
      <c r="BD107" s="367"/>
      <c r="BE107" s="368"/>
      <c r="BF107" s="369"/>
      <c r="BG107" s="366"/>
      <c r="BH107" s="367"/>
      <c r="BI107" s="368"/>
      <c r="BJ107" s="369"/>
      <c r="BK107" s="366"/>
      <c r="BL107" s="367"/>
      <c r="BM107" s="368"/>
      <c r="BN107" s="369"/>
      <c r="BO107" s="366"/>
      <c r="BP107" s="367"/>
      <c r="BQ107" s="368"/>
      <c r="BR107" s="369"/>
      <c r="BS107" s="366"/>
      <c r="BT107" s="367"/>
      <c r="BU107" s="368"/>
      <c r="BV107" s="369"/>
      <c r="BW107" s="366"/>
      <c r="BX107" s="367"/>
      <c r="BY107" s="368"/>
      <c r="BZ107" s="369"/>
      <c r="CA107" s="366"/>
      <c r="CB107" s="367"/>
      <c r="CC107" s="368"/>
      <c r="CD107" s="369"/>
      <c r="CE107" s="366"/>
      <c r="CF107" s="367"/>
      <c r="CG107" s="368"/>
      <c r="CH107" s="369"/>
      <c r="CI107" s="366"/>
      <c r="CJ107" s="367"/>
      <c r="CK107" s="368"/>
      <c r="CL107" s="369"/>
      <c r="CM107" s="366"/>
      <c r="CN107" s="367"/>
      <c r="CO107" s="368"/>
      <c r="CP107" s="369"/>
      <c r="CQ107" s="366"/>
      <c r="CR107" s="367"/>
      <c r="CS107" s="368"/>
      <c r="CT107" s="369"/>
      <c r="CU107" s="366"/>
      <c r="CV107" s="367"/>
      <c r="CW107" s="368"/>
      <c r="CX107" s="369"/>
      <c r="CY107" s="366"/>
      <c r="CZ107" s="367"/>
      <c r="DA107" s="368"/>
      <c r="DB107" s="369"/>
      <c r="DC107" s="366"/>
      <c r="DD107" s="367"/>
      <c r="DE107" s="368"/>
      <c r="DF107" s="369"/>
      <c r="DG107" s="366"/>
      <c r="DH107" s="367"/>
      <c r="DI107" s="368"/>
      <c r="DJ107" s="369"/>
      <c r="DK107" s="366"/>
      <c r="DL107" s="367"/>
      <c r="DM107" s="368"/>
      <c r="DN107" s="369"/>
      <c r="DO107" s="366"/>
      <c r="DP107" s="367"/>
      <c r="DQ107" s="368"/>
      <c r="DR107" s="369"/>
      <c r="DS107" s="366"/>
      <c r="DT107" s="367"/>
      <c r="DU107" s="368"/>
      <c r="DV107" s="369"/>
      <c r="DW107" s="366"/>
      <c r="DX107" s="367"/>
      <c r="DY107" s="368"/>
      <c r="DZ107" s="369"/>
      <c r="EA107" s="366"/>
      <c r="EB107" s="367"/>
      <c r="EC107" s="368"/>
      <c r="ED107" s="369"/>
      <c r="EE107" s="366"/>
      <c r="EF107" s="367"/>
      <c r="EG107" s="368"/>
      <c r="EH107" s="369"/>
      <c r="EI107" s="366"/>
      <c r="EJ107" s="367"/>
      <c r="EK107" s="368"/>
      <c r="EL107" s="369"/>
      <c r="EM107" s="366"/>
      <c r="EN107" s="367"/>
      <c r="EO107" s="368"/>
      <c r="EP107" s="369"/>
      <c r="EQ107" s="366"/>
      <c r="ER107" s="367"/>
      <c r="ES107" s="368"/>
      <c r="ET107" s="369"/>
      <c r="EU107" s="366"/>
      <c r="EV107" s="367"/>
      <c r="EW107" s="368"/>
      <c r="EX107" s="369"/>
      <c r="EY107" s="366"/>
      <c r="EZ107" s="367"/>
      <c r="FA107" s="368"/>
      <c r="FB107" s="369"/>
      <c r="FC107" s="366"/>
      <c r="FD107" s="367"/>
      <c r="FE107" s="368"/>
      <c r="FF107" s="369"/>
      <c r="FG107" s="366"/>
      <c r="FH107" s="367"/>
      <c r="FI107" s="368"/>
      <c r="FJ107" s="369"/>
      <c r="FK107" s="366"/>
      <c r="FL107" s="367"/>
      <c r="FM107" s="368"/>
      <c r="FN107" s="369"/>
      <c r="FO107" s="366"/>
      <c r="FP107" s="367"/>
      <c r="FQ107" s="368"/>
      <c r="FR107" s="369"/>
      <c r="FS107" s="366"/>
      <c r="FT107" s="367"/>
      <c r="FU107" s="368"/>
      <c r="FV107" s="369"/>
      <c r="FW107" s="366"/>
      <c r="FX107" s="367"/>
      <c r="FY107" s="368"/>
      <c r="FZ107" s="369"/>
      <c r="GA107" s="366"/>
      <c r="GB107" s="367"/>
      <c r="GC107" s="368"/>
      <c r="GD107" s="369"/>
      <c r="GE107" s="366"/>
      <c r="GF107" s="367"/>
      <c r="GG107" s="368"/>
      <c r="GH107" s="369"/>
      <c r="GI107" s="366"/>
      <c r="GJ107" s="367"/>
      <c r="GK107" s="368"/>
      <c r="GL107" s="369"/>
      <c r="GM107" s="366"/>
      <c r="GN107" s="367"/>
      <c r="GO107" s="368"/>
      <c r="GP107" s="369"/>
      <c r="GQ107" s="366"/>
      <c r="GR107" s="367"/>
      <c r="GS107" s="368"/>
      <c r="GT107" s="369"/>
      <c r="GU107" s="366"/>
      <c r="GV107" s="367"/>
      <c r="GW107" s="368"/>
      <c r="GX107" s="369"/>
      <c r="GY107" s="366"/>
      <c r="GZ107" s="367"/>
      <c r="HA107" s="368"/>
      <c r="HB107" s="369"/>
      <c r="HC107" s="370">
        <f t="shared" si="80"/>
        <v>0</v>
      </c>
      <c r="HD107" s="371"/>
      <c r="HE107" s="372">
        <f t="shared" si="81"/>
        <v>0</v>
      </c>
      <c r="HF107" s="373"/>
      <c r="HG107" s="370">
        <f>SUM(SUMIFS(K107:HB107,$K$13:$HB$13,{"エネルギー管理指定工場等*","県域*"}))</f>
        <v>0</v>
      </c>
      <c r="HH107" s="371"/>
      <c r="HI107" s="372">
        <f>SUM(SUMIFS(M107:HD107,$K$13:$HB$13,{"エネルギー管理指定工場等*","県域*"}))</f>
        <v>0</v>
      </c>
      <c r="HJ107" s="373"/>
      <c r="IE107" s="579"/>
      <c r="IF107" s="579"/>
      <c r="IG107" s="579"/>
      <c r="IH107" s="579"/>
    </row>
    <row r="108" spans="2:242" s="164" customFormat="1" ht="20.100000000000001" customHeight="1">
      <c r="B108" s="290" t="s">
        <v>625</v>
      </c>
      <c r="C108" s="374" t="s">
        <v>626</v>
      </c>
      <c r="D108" s="375"/>
      <c r="E108" s="376"/>
      <c r="F108" s="376"/>
      <c r="G108" s="258"/>
      <c r="H108" s="256"/>
      <c r="I108" s="377"/>
      <c r="J108" s="378"/>
      <c r="K108" s="297"/>
      <c r="L108" s="379"/>
      <c r="M108" s="380"/>
      <c r="N108" s="381"/>
      <c r="O108" s="297"/>
      <c r="P108" s="379"/>
      <c r="Q108" s="380"/>
      <c r="R108" s="381"/>
      <c r="S108" s="297"/>
      <c r="T108" s="379"/>
      <c r="U108" s="380"/>
      <c r="V108" s="381"/>
      <c r="W108" s="297"/>
      <c r="X108" s="379"/>
      <c r="Y108" s="380"/>
      <c r="Z108" s="381"/>
      <c r="AA108" s="297"/>
      <c r="AB108" s="379"/>
      <c r="AC108" s="380"/>
      <c r="AD108" s="381"/>
      <c r="AE108" s="297"/>
      <c r="AF108" s="379"/>
      <c r="AG108" s="380"/>
      <c r="AH108" s="381"/>
      <c r="AI108" s="297"/>
      <c r="AJ108" s="379"/>
      <c r="AK108" s="380"/>
      <c r="AL108" s="381"/>
      <c r="AM108" s="297"/>
      <c r="AN108" s="379"/>
      <c r="AO108" s="380"/>
      <c r="AP108" s="381"/>
      <c r="AQ108" s="297"/>
      <c r="AR108" s="379"/>
      <c r="AS108" s="380"/>
      <c r="AT108" s="381"/>
      <c r="AU108" s="297"/>
      <c r="AV108" s="379"/>
      <c r="AW108" s="380"/>
      <c r="AX108" s="381"/>
      <c r="AY108" s="297"/>
      <c r="AZ108" s="379"/>
      <c r="BA108" s="380"/>
      <c r="BB108" s="381"/>
      <c r="BC108" s="297"/>
      <c r="BD108" s="379"/>
      <c r="BE108" s="380"/>
      <c r="BF108" s="381"/>
      <c r="BG108" s="297"/>
      <c r="BH108" s="379"/>
      <c r="BI108" s="380"/>
      <c r="BJ108" s="381"/>
      <c r="BK108" s="297"/>
      <c r="BL108" s="379"/>
      <c r="BM108" s="380"/>
      <c r="BN108" s="381"/>
      <c r="BO108" s="297"/>
      <c r="BP108" s="379"/>
      <c r="BQ108" s="380"/>
      <c r="BR108" s="381"/>
      <c r="BS108" s="297"/>
      <c r="BT108" s="379"/>
      <c r="BU108" s="380"/>
      <c r="BV108" s="381"/>
      <c r="BW108" s="297"/>
      <c r="BX108" s="379"/>
      <c r="BY108" s="380"/>
      <c r="BZ108" s="381"/>
      <c r="CA108" s="297"/>
      <c r="CB108" s="379"/>
      <c r="CC108" s="380"/>
      <c r="CD108" s="381"/>
      <c r="CE108" s="297"/>
      <c r="CF108" s="379"/>
      <c r="CG108" s="380"/>
      <c r="CH108" s="381"/>
      <c r="CI108" s="297"/>
      <c r="CJ108" s="379"/>
      <c r="CK108" s="380"/>
      <c r="CL108" s="381"/>
      <c r="CM108" s="297"/>
      <c r="CN108" s="379"/>
      <c r="CO108" s="380"/>
      <c r="CP108" s="381"/>
      <c r="CQ108" s="297"/>
      <c r="CR108" s="379"/>
      <c r="CS108" s="380"/>
      <c r="CT108" s="381"/>
      <c r="CU108" s="297"/>
      <c r="CV108" s="379"/>
      <c r="CW108" s="380"/>
      <c r="CX108" s="381"/>
      <c r="CY108" s="297"/>
      <c r="CZ108" s="379"/>
      <c r="DA108" s="380"/>
      <c r="DB108" s="381"/>
      <c r="DC108" s="297"/>
      <c r="DD108" s="379"/>
      <c r="DE108" s="380"/>
      <c r="DF108" s="381"/>
      <c r="DG108" s="297"/>
      <c r="DH108" s="379"/>
      <c r="DI108" s="380"/>
      <c r="DJ108" s="381"/>
      <c r="DK108" s="297"/>
      <c r="DL108" s="379"/>
      <c r="DM108" s="380"/>
      <c r="DN108" s="381"/>
      <c r="DO108" s="297"/>
      <c r="DP108" s="379"/>
      <c r="DQ108" s="380"/>
      <c r="DR108" s="381"/>
      <c r="DS108" s="297"/>
      <c r="DT108" s="379"/>
      <c r="DU108" s="380"/>
      <c r="DV108" s="381"/>
      <c r="DW108" s="297"/>
      <c r="DX108" s="379"/>
      <c r="DY108" s="380"/>
      <c r="DZ108" s="381"/>
      <c r="EA108" s="297"/>
      <c r="EB108" s="379"/>
      <c r="EC108" s="380"/>
      <c r="ED108" s="381"/>
      <c r="EE108" s="297"/>
      <c r="EF108" s="379"/>
      <c r="EG108" s="380"/>
      <c r="EH108" s="381"/>
      <c r="EI108" s="297"/>
      <c r="EJ108" s="379"/>
      <c r="EK108" s="380"/>
      <c r="EL108" s="381"/>
      <c r="EM108" s="297"/>
      <c r="EN108" s="379"/>
      <c r="EO108" s="380"/>
      <c r="EP108" s="381"/>
      <c r="EQ108" s="297"/>
      <c r="ER108" s="379"/>
      <c r="ES108" s="380"/>
      <c r="ET108" s="381"/>
      <c r="EU108" s="297"/>
      <c r="EV108" s="379"/>
      <c r="EW108" s="380"/>
      <c r="EX108" s="381"/>
      <c r="EY108" s="297"/>
      <c r="EZ108" s="379"/>
      <c r="FA108" s="380"/>
      <c r="FB108" s="381"/>
      <c r="FC108" s="297"/>
      <c r="FD108" s="379"/>
      <c r="FE108" s="380"/>
      <c r="FF108" s="381"/>
      <c r="FG108" s="297"/>
      <c r="FH108" s="379"/>
      <c r="FI108" s="380"/>
      <c r="FJ108" s="381"/>
      <c r="FK108" s="297"/>
      <c r="FL108" s="379"/>
      <c r="FM108" s="380"/>
      <c r="FN108" s="381"/>
      <c r="FO108" s="297"/>
      <c r="FP108" s="379"/>
      <c r="FQ108" s="380"/>
      <c r="FR108" s="381"/>
      <c r="FS108" s="297"/>
      <c r="FT108" s="379"/>
      <c r="FU108" s="380"/>
      <c r="FV108" s="381"/>
      <c r="FW108" s="297"/>
      <c r="FX108" s="379"/>
      <c r="FY108" s="380"/>
      <c r="FZ108" s="381"/>
      <c r="GA108" s="297"/>
      <c r="GB108" s="379"/>
      <c r="GC108" s="380"/>
      <c r="GD108" s="381"/>
      <c r="GE108" s="297"/>
      <c r="GF108" s="379"/>
      <c r="GG108" s="380"/>
      <c r="GH108" s="381"/>
      <c r="GI108" s="297"/>
      <c r="GJ108" s="379"/>
      <c r="GK108" s="380"/>
      <c r="GL108" s="381"/>
      <c r="GM108" s="297"/>
      <c r="GN108" s="379"/>
      <c r="GO108" s="380"/>
      <c r="GP108" s="381"/>
      <c r="GQ108" s="297"/>
      <c r="GR108" s="379"/>
      <c r="GS108" s="380"/>
      <c r="GT108" s="381"/>
      <c r="GU108" s="297"/>
      <c r="GV108" s="379"/>
      <c r="GW108" s="380"/>
      <c r="GX108" s="381"/>
      <c r="GY108" s="297"/>
      <c r="GZ108" s="379"/>
      <c r="HA108" s="380"/>
      <c r="HB108" s="381"/>
      <c r="HC108" s="156"/>
      <c r="HD108" s="156"/>
      <c r="HE108" s="156"/>
      <c r="HF108" s="156"/>
      <c r="HG108" s="156"/>
      <c r="HH108" s="156"/>
      <c r="HI108" s="156"/>
      <c r="HJ108" s="156"/>
      <c r="IE108" s="579"/>
      <c r="IF108" s="579"/>
      <c r="IG108" s="579"/>
      <c r="IH108" s="579"/>
    </row>
    <row r="109" spans="2:242" s="164" customFormat="1" ht="20.100000000000001" customHeight="1">
      <c r="B109" s="302"/>
      <c r="C109" s="303" t="s">
        <v>510</v>
      </c>
      <c r="D109" s="382"/>
      <c r="E109" s="304"/>
      <c r="F109" s="304"/>
      <c r="G109" s="304"/>
      <c r="H109" s="383"/>
      <c r="I109" s="384"/>
      <c r="J109" s="385"/>
      <c r="K109" s="310"/>
      <c r="L109" s="386"/>
      <c r="M109" s="387"/>
      <c r="N109" s="388"/>
      <c r="O109" s="310"/>
      <c r="P109" s="386"/>
      <c r="Q109" s="387"/>
      <c r="R109" s="388"/>
      <c r="S109" s="310"/>
      <c r="T109" s="386"/>
      <c r="U109" s="387"/>
      <c r="V109" s="388"/>
      <c r="W109" s="310"/>
      <c r="X109" s="386"/>
      <c r="Y109" s="387"/>
      <c r="Z109" s="388"/>
      <c r="AA109" s="310"/>
      <c r="AB109" s="386"/>
      <c r="AC109" s="387"/>
      <c r="AD109" s="388"/>
      <c r="AE109" s="310"/>
      <c r="AF109" s="386"/>
      <c r="AG109" s="387"/>
      <c r="AH109" s="388"/>
      <c r="AI109" s="310"/>
      <c r="AJ109" s="386"/>
      <c r="AK109" s="387"/>
      <c r="AL109" s="388"/>
      <c r="AM109" s="310"/>
      <c r="AN109" s="386"/>
      <c r="AO109" s="387"/>
      <c r="AP109" s="388"/>
      <c r="AQ109" s="310"/>
      <c r="AR109" s="386"/>
      <c r="AS109" s="387"/>
      <c r="AT109" s="388"/>
      <c r="AU109" s="310"/>
      <c r="AV109" s="386"/>
      <c r="AW109" s="387"/>
      <c r="AX109" s="388"/>
      <c r="AY109" s="310"/>
      <c r="AZ109" s="386"/>
      <c r="BA109" s="387"/>
      <c r="BB109" s="388"/>
      <c r="BC109" s="310"/>
      <c r="BD109" s="386"/>
      <c r="BE109" s="387"/>
      <c r="BF109" s="388"/>
      <c r="BG109" s="310"/>
      <c r="BH109" s="386"/>
      <c r="BI109" s="387"/>
      <c r="BJ109" s="388"/>
      <c r="BK109" s="310"/>
      <c r="BL109" s="386"/>
      <c r="BM109" s="387"/>
      <c r="BN109" s="388"/>
      <c r="BO109" s="310"/>
      <c r="BP109" s="386"/>
      <c r="BQ109" s="387"/>
      <c r="BR109" s="388"/>
      <c r="BS109" s="310"/>
      <c r="BT109" s="386"/>
      <c r="BU109" s="387"/>
      <c r="BV109" s="388"/>
      <c r="BW109" s="310"/>
      <c r="BX109" s="386"/>
      <c r="BY109" s="387"/>
      <c r="BZ109" s="388"/>
      <c r="CA109" s="310"/>
      <c r="CB109" s="386"/>
      <c r="CC109" s="387"/>
      <c r="CD109" s="388"/>
      <c r="CE109" s="310"/>
      <c r="CF109" s="386"/>
      <c r="CG109" s="387"/>
      <c r="CH109" s="388"/>
      <c r="CI109" s="310"/>
      <c r="CJ109" s="386"/>
      <c r="CK109" s="387"/>
      <c r="CL109" s="388"/>
      <c r="CM109" s="310"/>
      <c r="CN109" s="386"/>
      <c r="CO109" s="387"/>
      <c r="CP109" s="388"/>
      <c r="CQ109" s="310"/>
      <c r="CR109" s="386"/>
      <c r="CS109" s="387"/>
      <c r="CT109" s="388"/>
      <c r="CU109" s="310"/>
      <c r="CV109" s="386"/>
      <c r="CW109" s="387"/>
      <c r="CX109" s="388"/>
      <c r="CY109" s="310"/>
      <c r="CZ109" s="386"/>
      <c r="DA109" s="387"/>
      <c r="DB109" s="388"/>
      <c r="DC109" s="310"/>
      <c r="DD109" s="386"/>
      <c r="DE109" s="387"/>
      <c r="DF109" s="388"/>
      <c r="DG109" s="310"/>
      <c r="DH109" s="386"/>
      <c r="DI109" s="387"/>
      <c r="DJ109" s="388"/>
      <c r="DK109" s="310"/>
      <c r="DL109" s="386"/>
      <c r="DM109" s="387"/>
      <c r="DN109" s="388"/>
      <c r="DO109" s="310"/>
      <c r="DP109" s="386"/>
      <c r="DQ109" s="387"/>
      <c r="DR109" s="388"/>
      <c r="DS109" s="310"/>
      <c r="DT109" s="386"/>
      <c r="DU109" s="387"/>
      <c r="DV109" s="388"/>
      <c r="DW109" s="310"/>
      <c r="DX109" s="386"/>
      <c r="DY109" s="387"/>
      <c r="DZ109" s="388"/>
      <c r="EA109" s="310"/>
      <c r="EB109" s="386"/>
      <c r="EC109" s="387"/>
      <c r="ED109" s="388"/>
      <c r="EE109" s="310"/>
      <c r="EF109" s="386"/>
      <c r="EG109" s="387"/>
      <c r="EH109" s="388"/>
      <c r="EI109" s="310"/>
      <c r="EJ109" s="386"/>
      <c r="EK109" s="387"/>
      <c r="EL109" s="388"/>
      <c r="EM109" s="310"/>
      <c r="EN109" s="386"/>
      <c r="EO109" s="387"/>
      <c r="EP109" s="388"/>
      <c r="EQ109" s="310"/>
      <c r="ER109" s="386"/>
      <c r="ES109" s="387"/>
      <c r="ET109" s="388"/>
      <c r="EU109" s="310"/>
      <c r="EV109" s="386"/>
      <c r="EW109" s="387"/>
      <c r="EX109" s="388"/>
      <c r="EY109" s="310"/>
      <c r="EZ109" s="386"/>
      <c r="FA109" s="387"/>
      <c r="FB109" s="388"/>
      <c r="FC109" s="310"/>
      <c r="FD109" s="386"/>
      <c r="FE109" s="387"/>
      <c r="FF109" s="388"/>
      <c r="FG109" s="310"/>
      <c r="FH109" s="386"/>
      <c r="FI109" s="387"/>
      <c r="FJ109" s="388"/>
      <c r="FK109" s="310"/>
      <c r="FL109" s="386"/>
      <c r="FM109" s="387"/>
      <c r="FN109" s="388"/>
      <c r="FO109" s="310"/>
      <c r="FP109" s="386"/>
      <c r="FQ109" s="387"/>
      <c r="FR109" s="388"/>
      <c r="FS109" s="310"/>
      <c r="FT109" s="386"/>
      <c r="FU109" s="387"/>
      <c r="FV109" s="388"/>
      <c r="FW109" s="310"/>
      <c r="FX109" s="386"/>
      <c r="FY109" s="387"/>
      <c r="FZ109" s="388"/>
      <c r="GA109" s="310"/>
      <c r="GB109" s="386"/>
      <c r="GC109" s="387"/>
      <c r="GD109" s="388"/>
      <c r="GE109" s="310"/>
      <c r="GF109" s="386"/>
      <c r="GG109" s="387"/>
      <c r="GH109" s="388"/>
      <c r="GI109" s="310"/>
      <c r="GJ109" s="386"/>
      <c r="GK109" s="387"/>
      <c r="GL109" s="388"/>
      <c r="GM109" s="310"/>
      <c r="GN109" s="386"/>
      <c r="GO109" s="387"/>
      <c r="GP109" s="388"/>
      <c r="GQ109" s="310"/>
      <c r="GR109" s="386"/>
      <c r="GS109" s="387"/>
      <c r="GT109" s="388"/>
      <c r="GU109" s="310"/>
      <c r="GV109" s="386"/>
      <c r="GW109" s="387"/>
      <c r="GX109" s="388"/>
      <c r="GY109" s="310"/>
      <c r="GZ109" s="386"/>
      <c r="HA109" s="387"/>
      <c r="HB109" s="388"/>
      <c r="HC109" s="156"/>
      <c r="HD109" s="156"/>
      <c r="HE109" s="156"/>
      <c r="HF109" s="156"/>
      <c r="HG109" s="156"/>
      <c r="HH109" s="156"/>
      <c r="HI109" s="156"/>
      <c r="HJ109" s="156"/>
      <c r="IE109" s="579"/>
      <c r="IF109" s="579"/>
      <c r="IG109" s="579"/>
      <c r="IH109" s="579"/>
    </row>
    <row r="110" spans="2:242" s="164" customFormat="1" ht="20.100000000000001" customHeight="1" thickBot="1">
      <c r="B110" s="361"/>
      <c r="C110" s="389" t="s">
        <v>1357</v>
      </c>
      <c r="D110" s="390"/>
      <c r="E110" s="278"/>
      <c r="F110" s="278"/>
      <c r="G110" s="391"/>
      <c r="H110" s="392"/>
      <c r="I110" s="393"/>
      <c r="J110" s="394"/>
      <c r="K110" s="366"/>
      <c r="L110" s="395"/>
      <c r="M110" s="396"/>
      <c r="N110" s="397"/>
      <c r="O110" s="366"/>
      <c r="P110" s="395"/>
      <c r="Q110" s="396"/>
      <c r="R110" s="397"/>
      <c r="S110" s="366"/>
      <c r="T110" s="395"/>
      <c r="U110" s="396"/>
      <c r="V110" s="397"/>
      <c r="W110" s="366"/>
      <c r="X110" s="395"/>
      <c r="Y110" s="396"/>
      <c r="Z110" s="397"/>
      <c r="AA110" s="366"/>
      <c r="AB110" s="395"/>
      <c r="AC110" s="396"/>
      <c r="AD110" s="397"/>
      <c r="AE110" s="366"/>
      <c r="AF110" s="395"/>
      <c r="AG110" s="396"/>
      <c r="AH110" s="397"/>
      <c r="AI110" s="366"/>
      <c r="AJ110" s="395"/>
      <c r="AK110" s="396"/>
      <c r="AL110" s="397"/>
      <c r="AM110" s="366"/>
      <c r="AN110" s="395"/>
      <c r="AO110" s="396"/>
      <c r="AP110" s="397"/>
      <c r="AQ110" s="366"/>
      <c r="AR110" s="395"/>
      <c r="AS110" s="396"/>
      <c r="AT110" s="397"/>
      <c r="AU110" s="366"/>
      <c r="AV110" s="395"/>
      <c r="AW110" s="396"/>
      <c r="AX110" s="397"/>
      <c r="AY110" s="366"/>
      <c r="AZ110" s="395"/>
      <c r="BA110" s="396"/>
      <c r="BB110" s="397"/>
      <c r="BC110" s="366"/>
      <c r="BD110" s="395"/>
      <c r="BE110" s="396"/>
      <c r="BF110" s="397"/>
      <c r="BG110" s="366"/>
      <c r="BH110" s="395"/>
      <c r="BI110" s="396"/>
      <c r="BJ110" s="397"/>
      <c r="BK110" s="366"/>
      <c r="BL110" s="395"/>
      <c r="BM110" s="396"/>
      <c r="BN110" s="397"/>
      <c r="BO110" s="366"/>
      <c r="BP110" s="395"/>
      <c r="BQ110" s="396"/>
      <c r="BR110" s="397"/>
      <c r="BS110" s="366"/>
      <c r="BT110" s="395"/>
      <c r="BU110" s="396"/>
      <c r="BV110" s="397"/>
      <c r="BW110" s="366"/>
      <c r="BX110" s="395"/>
      <c r="BY110" s="396"/>
      <c r="BZ110" s="397"/>
      <c r="CA110" s="366"/>
      <c r="CB110" s="395"/>
      <c r="CC110" s="396"/>
      <c r="CD110" s="397"/>
      <c r="CE110" s="366"/>
      <c r="CF110" s="395"/>
      <c r="CG110" s="396"/>
      <c r="CH110" s="397"/>
      <c r="CI110" s="366"/>
      <c r="CJ110" s="395"/>
      <c r="CK110" s="396"/>
      <c r="CL110" s="397"/>
      <c r="CM110" s="366"/>
      <c r="CN110" s="395"/>
      <c r="CO110" s="396"/>
      <c r="CP110" s="397"/>
      <c r="CQ110" s="366"/>
      <c r="CR110" s="395"/>
      <c r="CS110" s="396"/>
      <c r="CT110" s="397"/>
      <c r="CU110" s="366"/>
      <c r="CV110" s="395"/>
      <c r="CW110" s="396"/>
      <c r="CX110" s="397"/>
      <c r="CY110" s="366"/>
      <c r="CZ110" s="395"/>
      <c r="DA110" s="396"/>
      <c r="DB110" s="397"/>
      <c r="DC110" s="366"/>
      <c r="DD110" s="395"/>
      <c r="DE110" s="396"/>
      <c r="DF110" s="397"/>
      <c r="DG110" s="366"/>
      <c r="DH110" s="395"/>
      <c r="DI110" s="396"/>
      <c r="DJ110" s="397"/>
      <c r="DK110" s="366"/>
      <c r="DL110" s="395"/>
      <c r="DM110" s="396"/>
      <c r="DN110" s="397"/>
      <c r="DO110" s="366"/>
      <c r="DP110" s="395"/>
      <c r="DQ110" s="396"/>
      <c r="DR110" s="397"/>
      <c r="DS110" s="366"/>
      <c r="DT110" s="395"/>
      <c r="DU110" s="396"/>
      <c r="DV110" s="397"/>
      <c r="DW110" s="366"/>
      <c r="DX110" s="395"/>
      <c r="DY110" s="396"/>
      <c r="DZ110" s="397"/>
      <c r="EA110" s="366"/>
      <c r="EB110" s="395"/>
      <c r="EC110" s="396"/>
      <c r="ED110" s="397"/>
      <c r="EE110" s="366"/>
      <c r="EF110" s="395"/>
      <c r="EG110" s="396"/>
      <c r="EH110" s="397"/>
      <c r="EI110" s="366"/>
      <c r="EJ110" s="395"/>
      <c r="EK110" s="396"/>
      <c r="EL110" s="397"/>
      <c r="EM110" s="366"/>
      <c r="EN110" s="395"/>
      <c r="EO110" s="396"/>
      <c r="EP110" s="397"/>
      <c r="EQ110" s="366"/>
      <c r="ER110" s="395"/>
      <c r="ES110" s="396"/>
      <c r="ET110" s="397"/>
      <c r="EU110" s="366"/>
      <c r="EV110" s="395"/>
      <c r="EW110" s="396"/>
      <c r="EX110" s="397"/>
      <c r="EY110" s="366"/>
      <c r="EZ110" s="395"/>
      <c r="FA110" s="396"/>
      <c r="FB110" s="397"/>
      <c r="FC110" s="366"/>
      <c r="FD110" s="395"/>
      <c r="FE110" s="396"/>
      <c r="FF110" s="397"/>
      <c r="FG110" s="366"/>
      <c r="FH110" s="395"/>
      <c r="FI110" s="396"/>
      <c r="FJ110" s="397"/>
      <c r="FK110" s="366"/>
      <c r="FL110" s="395"/>
      <c r="FM110" s="396"/>
      <c r="FN110" s="397"/>
      <c r="FO110" s="366"/>
      <c r="FP110" s="395"/>
      <c r="FQ110" s="396"/>
      <c r="FR110" s="397"/>
      <c r="FS110" s="366"/>
      <c r="FT110" s="395"/>
      <c r="FU110" s="396"/>
      <c r="FV110" s="397"/>
      <c r="FW110" s="366"/>
      <c r="FX110" s="395"/>
      <c r="FY110" s="396"/>
      <c r="FZ110" s="397"/>
      <c r="GA110" s="366"/>
      <c r="GB110" s="395"/>
      <c r="GC110" s="396"/>
      <c r="GD110" s="397"/>
      <c r="GE110" s="366"/>
      <c r="GF110" s="395"/>
      <c r="GG110" s="396"/>
      <c r="GH110" s="397"/>
      <c r="GI110" s="366"/>
      <c r="GJ110" s="395"/>
      <c r="GK110" s="396"/>
      <c r="GL110" s="397"/>
      <c r="GM110" s="366"/>
      <c r="GN110" s="395"/>
      <c r="GO110" s="396"/>
      <c r="GP110" s="397"/>
      <c r="GQ110" s="366"/>
      <c r="GR110" s="395"/>
      <c r="GS110" s="396"/>
      <c r="GT110" s="397"/>
      <c r="GU110" s="366"/>
      <c r="GV110" s="395"/>
      <c r="GW110" s="396"/>
      <c r="GX110" s="397"/>
      <c r="GY110" s="366"/>
      <c r="GZ110" s="395"/>
      <c r="HA110" s="396"/>
      <c r="HB110" s="397"/>
      <c r="HC110" s="156"/>
      <c r="HD110" s="156"/>
      <c r="HE110" s="156"/>
      <c r="HF110" s="156"/>
      <c r="HG110" s="156"/>
      <c r="HH110" s="156"/>
      <c r="HI110" s="156"/>
      <c r="HJ110" s="156"/>
      <c r="IE110" s="579"/>
      <c r="IF110" s="579"/>
      <c r="IG110" s="579"/>
      <c r="IH110" s="579"/>
    </row>
    <row r="111" spans="2:242" s="164" customFormat="1" ht="20.100000000000001" customHeight="1" thickBot="1">
      <c r="B111" s="398" t="s">
        <v>1390</v>
      </c>
      <c r="C111" s="399" t="s">
        <v>628</v>
      </c>
      <c r="D111" s="399" t="s">
        <v>464</v>
      </c>
      <c r="E111" s="399" t="s">
        <v>1391</v>
      </c>
      <c r="F111" s="400" t="s">
        <v>1392</v>
      </c>
      <c r="G111" s="400" t="s">
        <v>465</v>
      </c>
      <c r="H111" s="401" t="s">
        <v>629</v>
      </c>
      <c r="I111" s="402"/>
      <c r="J111" s="403"/>
      <c r="K111" s="404" t="s">
        <v>1369</v>
      </c>
      <c r="L111" s="405" t="s">
        <v>1370</v>
      </c>
      <c r="M111" s="405" t="s">
        <v>1371</v>
      </c>
      <c r="N111" s="406"/>
      <c r="O111" s="404" t="s">
        <v>1369</v>
      </c>
      <c r="P111" s="405" t="s">
        <v>1370</v>
      </c>
      <c r="Q111" s="405" t="s">
        <v>1371</v>
      </c>
      <c r="R111" s="406"/>
      <c r="S111" s="404" t="s">
        <v>1369</v>
      </c>
      <c r="T111" s="405" t="s">
        <v>1370</v>
      </c>
      <c r="U111" s="405" t="s">
        <v>1371</v>
      </c>
      <c r="V111" s="406"/>
      <c r="W111" s="404" t="s">
        <v>1369</v>
      </c>
      <c r="X111" s="405" t="s">
        <v>1370</v>
      </c>
      <c r="Y111" s="405" t="s">
        <v>1371</v>
      </c>
      <c r="Z111" s="406"/>
      <c r="AA111" s="404" t="s">
        <v>1369</v>
      </c>
      <c r="AB111" s="405" t="s">
        <v>1370</v>
      </c>
      <c r="AC111" s="405" t="s">
        <v>1371</v>
      </c>
      <c r="AD111" s="406"/>
      <c r="AE111" s="404" t="s">
        <v>1369</v>
      </c>
      <c r="AF111" s="405" t="s">
        <v>1370</v>
      </c>
      <c r="AG111" s="405" t="s">
        <v>1371</v>
      </c>
      <c r="AH111" s="282"/>
      <c r="AI111" s="404" t="s">
        <v>1369</v>
      </c>
      <c r="AJ111" s="405" t="s">
        <v>1370</v>
      </c>
      <c r="AK111" s="405" t="s">
        <v>1371</v>
      </c>
      <c r="AL111" s="282"/>
      <c r="AM111" s="404" t="s">
        <v>1369</v>
      </c>
      <c r="AN111" s="405" t="s">
        <v>1370</v>
      </c>
      <c r="AO111" s="405" t="s">
        <v>1371</v>
      </c>
      <c r="AP111" s="282"/>
      <c r="AQ111" s="404" t="s">
        <v>1369</v>
      </c>
      <c r="AR111" s="405" t="s">
        <v>1370</v>
      </c>
      <c r="AS111" s="405" t="s">
        <v>1371</v>
      </c>
      <c r="AT111" s="282"/>
      <c r="AU111" s="404" t="s">
        <v>1369</v>
      </c>
      <c r="AV111" s="405" t="s">
        <v>1370</v>
      </c>
      <c r="AW111" s="405" t="s">
        <v>1371</v>
      </c>
      <c r="AX111" s="282"/>
      <c r="AY111" s="404" t="s">
        <v>1369</v>
      </c>
      <c r="AZ111" s="405" t="s">
        <v>1370</v>
      </c>
      <c r="BA111" s="405" t="s">
        <v>1371</v>
      </c>
      <c r="BB111" s="282"/>
      <c r="BC111" s="404" t="s">
        <v>1369</v>
      </c>
      <c r="BD111" s="405" t="s">
        <v>1370</v>
      </c>
      <c r="BE111" s="405" t="s">
        <v>1371</v>
      </c>
      <c r="BF111" s="282"/>
      <c r="BG111" s="404" t="s">
        <v>1369</v>
      </c>
      <c r="BH111" s="405" t="s">
        <v>1370</v>
      </c>
      <c r="BI111" s="405" t="s">
        <v>1371</v>
      </c>
      <c r="BJ111" s="282"/>
      <c r="BK111" s="404" t="s">
        <v>1369</v>
      </c>
      <c r="BL111" s="405" t="s">
        <v>1370</v>
      </c>
      <c r="BM111" s="405" t="s">
        <v>1371</v>
      </c>
      <c r="BN111" s="282"/>
      <c r="BO111" s="404" t="s">
        <v>1369</v>
      </c>
      <c r="BP111" s="405" t="s">
        <v>1370</v>
      </c>
      <c r="BQ111" s="405" t="s">
        <v>1371</v>
      </c>
      <c r="BR111" s="282"/>
      <c r="BS111" s="404" t="s">
        <v>1369</v>
      </c>
      <c r="BT111" s="405" t="s">
        <v>1370</v>
      </c>
      <c r="BU111" s="405" t="s">
        <v>1371</v>
      </c>
      <c r="BV111" s="282"/>
      <c r="BW111" s="404" t="s">
        <v>630</v>
      </c>
      <c r="BX111" s="405" t="s">
        <v>570</v>
      </c>
      <c r="BY111" s="405" t="s">
        <v>571</v>
      </c>
      <c r="BZ111" s="282" t="s">
        <v>572</v>
      </c>
      <c r="CA111" s="404" t="s">
        <v>630</v>
      </c>
      <c r="CB111" s="405" t="s">
        <v>570</v>
      </c>
      <c r="CC111" s="405" t="s">
        <v>571</v>
      </c>
      <c r="CD111" s="282" t="s">
        <v>572</v>
      </c>
      <c r="CE111" s="404" t="s">
        <v>630</v>
      </c>
      <c r="CF111" s="405" t="s">
        <v>570</v>
      </c>
      <c r="CG111" s="405" t="s">
        <v>571</v>
      </c>
      <c r="CH111" s="282" t="s">
        <v>572</v>
      </c>
      <c r="CI111" s="404" t="s">
        <v>630</v>
      </c>
      <c r="CJ111" s="405" t="s">
        <v>570</v>
      </c>
      <c r="CK111" s="405" t="s">
        <v>571</v>
      </c>
      <c r="CL111" s="282" t="s">
        <v>572</v>
      </c>
      <c r="CM111" s="404" t="s">
        <v>630</v>
      </c>
      <c r="CN111" s="405" t="s">
        <v>570</v>
      </c>
      <c r="CO111" s="405" t="s">
        <v>571</v>
      </c>
      <c r="CP111" s="282" t="s">
        <v>572</v>
      </c>
      <c r="CQ111" s="404" t="s">
        <v>630</v>
      </c>
      <c r="CR111" s="405" t="s">
        <v>570</v>
      </c>
      <c r="CS111" s="405" t="s">
        <v>571</v>
      </c>
      <c r="CT111" s="282" t="s">
        <v>572</v>
      </c>
      <c r="CU111" s="404" t="s">
        <v>630</v>
      </c>
      <c r="CV111" s="405" t="s">
        <v>570</v>
      </c>
      <c r="CW111" s="405" t="s">
        <v>571</v>
      </c>
      <c r="CX111" s="282" t="s">
        <v>572</v>
      </c>
      <c r="CY111" s="404" t="s">
        <v>630</v>
      </c>
      <c r="CZ111" s="405" t="s">
        <v>570</v>
      </c>
      <c r="DA111" s="405" t="s">
        <v>571</v>
      </c>
      <c r="DB111" s="282" t="s">
        <v>572</v>
      </c>
      <c r="DC111" s="404" t="s">
        <v>630</v>
      </c>
      <c r="DD111" s="405" t="s">
        <v>570</v>
      </c>
      <c r="DE111" s="405" t="s">
        <v>571</v>
      </c>
      <c r="DF111" s="282" t="s">
        <v>572</v>
      </c>
      <c r="DG111" s="404" t="s">
        <v>630</v>
      </c>
      <c r="DH111" s="405" t="s">
        <v>570</v>
      </c>
      <c r="DI111" s="405" t="s">
        <v>571</v>
      </c>
      <c r="DJ111" s="282" t="s">
        <v>572</v>
      </c>
      <c r="DK111" s="404" t="s">
        <v>630</v>
      </c>
      <c r="DL111" s="405" t="s">
        <v>570</v>
      </c>
      <c r="DM111" s="405" t="s">
        <v>571</v>
      </c>
      <c r="DN111" s="282" t="s">
        <v>572</v>
      </c>
      <c r="DO111" s="404" t="s">
        <v>630</v>
      </c>
      <c r="DP111" s="405" t="s">
        <v>570</v>
      </c>
      <c r="DQ111" s="405" t="s">
        <v>571</v>
      </c>
      <c r="DR111" s="282" t="s">
        <v>572</v>
      </c>
      <c r="DS111" s="404" t="s">
        <v>630</v>
      </c>
      <c r="DT111" s="405" t="s">
        <v>570</v>
      </c>
      <c r="DU111" s="405" t="s">
        <v>571</v>
      </c>
      <c r="DV111" s="282" t="s">
        <v>572</v>
      </c>
      <c r="DW111" s="404" t="s">
        <v>630</v>
      </c>
      <c r="DX111" s="405" t="s">
        <v>570</v>
      </c>
      <c r="DY111" s="405" t="s">
        <v>571</v>
      </c>
      <c r="DZ111" s="282" t="s">
        <v>572</v>
      </c>
      <c r="EA111" s="404" t="s">
        <v>630</v>
      </c>
      <c r="EB111" s="405" t="s">
        <v>570</v>
      </c>
      <c r="EC111" s="405" t="s">
        <v>571</v>
      </c>
      <c r="ED111" s="282" t="s">
        <v>572</v>
      </c>
      <c r="EE111" s="404" t="s">
        <v>630</v>
      </c>
      <c r="EF111" s="405" t="s">
        <v>570</v>
      </c>
      <c r="EG111" s="405" t="s">
        <v>571</v>
      </c>
      <c r="EH111" s="282" t="s">
        <v>572</v>
      </c>
      <c r="EI111" s="404" t="s">
        <v>630</v>
      </c>
      <c r="EJ111" s="405" t="s">
        <v>570</v>
      </c>
      <c r="EK111" s="405" t="s">
        <v>571</v>
      </c>
      <c r="EL111" s="282" t="s">
        <v>572</v>
      </c>
      <c r="EM111" s="404" t="s">
        <v>630</v>
      </c>
      <c r="EN111" s="405" t="s">
        <v>570</v>
      </c>
      <c r="EO111" s="405" t="s">
        <v>571</v>
      </c>
      <c r="EP111" s="282" t="s">
        <v>572</v>
      </c>
      <c r="EQ111" s="404" t="s">
        <v>630</v>
      </c>
      <c r="ER111" s="405" t="s">
        <v>570</v>
      </c>
      <c r="ES111" s="405" t="s">
        <v>571</v>
      </c>
      <c r="ET111" s="282" t="s">
        <v>572</v>
      </c>
      <c r="EU111" s="404" t="s">
        <v>630</v>
      </c>
      <c r="EV111" s="405" t="s">
        <v>570</v>
      </c>
      <c r="EW111" s="405" t="s">
        <v>571</v>
      </c>
      <c r="EX111" s="282" t="s">
        <v>572</v>
      </c>
      <c r="EY111" s="404" t="s">
        <v>630</v>
      </c>
      <c r="EZ111" s="405" t="s">
        <v>570</v>
      </c>
      <c r="FA111" s="405" t="s">
        <v>571</v>
      </c>
      <c r="FB111" s="282" t="s">
        <v>572</v>
      </c>
      <c r="FC111" s="404" t="s">
        <v>630</v>
      </c>
      <c r="FD111" s="405" t="s">
        <v>570</v>
      </c>
      <c r="FE111" s="405" t="s">
        <v>571</v>
      </c>
      <c r="FF111" s="282" t="s">
        <v>572</v>
      </c>
      <c r="FG111" s="404" t="s">
        <v>630</v>
      </c>
      <c r="FH111" s="405" t="s">
        <v>570</v>
      </c>
      <c r="FI111" s="405" t="s">
        <v>571</v>
      </c>
      <c r="FJ111" s="282" t="s">
        <v>572</v>
      </c>
      <c r="FK111" s="404" t="s">
        <v>630</v>
      </c>
      <c r="FL111" s="405" t="s">
        <v>570</v>
      </c>
      <c r="FM111" s="405" t="s">
        <v>571</v>
      </c>
      <c r="FN111" s="282" t="s">
        <v>572</v>
      </c>
      <c r="FO111" s="404" t="s">
        <v>630</v>
      </c>
      <c r="FP111" s="405" t="s">
        <v>570</v>
      </c>
      <c r="FQ111" s="405" t="s">
        <v>571</v>
      </c>
      <c r="FR111" s="282" t="s">
        <v>572</v>
      </c>
      <c r="FS111" s="404" t="s">
        <v>630</v>
      </c>
      <c r="FT111" s="405" t="s">
        <v>570</v>
      </c>
      <c r="FU111" s="405" t="s">
        <v>571</v>
      </c>
      <c r="FV111" s="282" t="s">
        <v>572</v>
      </c>
      <c r="FW111" s="404" t="s">
        <v>630</v>
      </c>
      <c r="FX111" s="405" t="s">
        <v>570</v>
      </c>
      <c r="FY111" s="405" t="s">
        <v>571</v>
      </c>
      <c r="FZ111" s="282" t="s">
        <v>572</v>
      </c>
      <c r="GA111" s="404" t="s">
        <v>630</v>
      </c>
      <c r="GB111" s="405" t="s">
        <v>570</v>
      </c>
      <c r="GC111" s="405" t="s">
        <v>571</v>
      </c>
      <c r="GD111" s="282" t="s">
        <v>572</v>
      </c>
      <c r="GE111" s="404" t="s">
        <v>630</v>
      </c>
      <c r="GF111" s="405" t="s">
        <v>570</v>
      </c>
      <c r="GG111" s="405" t="s">
        <v>571</v>
      </c>
      <c r="GH111" s="282" t="s">
        <v>572</v>
      </c>
      <c r="GI111" s="404" t="s">
        <v>630</v>
      </c>
      <c r="GJ111" s="405" t="s">
        <v>570</v>
      </c>
      <c r="GK111" s="405" t="s">
        <v>571</v>
      </c>
      <c r="GL111" s="282" t="s">
        <v>572</v>
      </c>
      <c r="GM111" s="404" t="s">
        <v>630</v>
      </c>
      <c r="GN111" s="405" t="s">
        <v>570</v>
      </c>
      <c r="GO111" s="405" t="s">
        <v>571</v>
      </c>
      <c r="GP111" s="282" t="s">
        <v>572</v>
      </c>
      <c r="GQ111" s="404" t="s">
        <v>630</v>
      </c>
      <c r="GR111" s="405" t="s">
        <v>570</v>
      </c>
      <c r="GS111" s="405" t="s">
        <v>571</v>
      </c>
      <c r="GT111" s="282" t="s">
        <v>572</v>
      </c>
      <c r="GU111" s="404" t="s">
        <v>630</v>
      </c>
      <c r="GV111" s="405" t="s">
        <v>570</v>
      </c>
      <c r="GW111" s="405" t="s">
        <v>571</v>
      </c>
      <c r="GX111" s="282" t="s">
        <v>572</v>
      </c>
      <c r="GY111" s="404" t="s">
        <v>630</v>
      </c>
      <c r="GZ111" s="405" t="s">
        <v>570</v>
      </c>
      <c r="HA111" s="405" t="s">
        <v>571</v>
      </c>
      <c r="HB111" s="282" t="s">
        <v>572</v>
      </c>
      <c r="HC111" s="407" t="s">
        <v>630</v>
      </c>
      <c r="HD111" s="408" t="s">
        <v>570</v>
      </c>
      <c r="HE111" s="408" t="s">
        <v>571</v>
      </c>
      <c r="HF111" s="409" t="s">
        <v>572</v>
      </c>
      <c r="HG111" s="407" t="s">
        <v>630</v>
      </c>
      <c r="HH111" s="408" t="s">
        <v>570</v>
      </c>
      <c r="HI111" s="408" t="s">
        <v>571</v>
      </c>
      <c r="HJ111" s="409" t="s">
        <v>572</v>
      </c>
      <c r="IE111" s="579"/>
      <c r="IF111" s="579"/>
      <c r="IG111" s="579"/>
      <c r="IH111" s="579"/>
    </row>
    <row r="112" spans="2:242" s="164" customFormat="1" ht="20.100000000000001" customHeight="1">
      <c r="B112" s="410" t="s">
        <v>1393</v>
      </c>
      <c r="C112" s="411"/>
      <c r="D112" s="411"/>
      <c r="E112" s="411"/>
      <c r="F112" s="411"/>
      <c r="G112" s="412"/>
      <c r="H112" s="413"/>
      <c r="I112" s="414"/>
      <c r="J112" s="415"/>
      <c r="K112" s="416"/>
      <c r="L112" s="411"/>
      <c r="M112" s="411"/>
      <c r="N112" s="417"/>
      <c r="O112" s="416"/>
      <c r="P112" s="411"/>
      <c r="Q112" s="411"/>
      <c r="R112" s="417"/>
      <c r="S112" s="416"/>
      <c r="T112" s="411"/>
      <c r="U112" s="411"/>
      <c r="V112" s="417"/>
      <c r="W112" s="416"/>
      <c r="X112" s="411"/>
      <c r="Y112" s="411"/>
      <c r="Z112" s="417"/>
      <c r="AA112" s="416"/>
      <c r="AB112" s="411"/>
      <c r="AC112" s="411"/>
      <c r="AD112" s="417"/>
      <c r="AE112" s="416"/>
      <c r="AF112" s="411"/>
      <c r="AG112" s="411"/>
      <c r="AH112" s="417"/>
      <c r="AI112" s="416"/>
      <c r="AJ112" s="411"/>
      <c r="AK112" s="411"/>
      <c r="AL112" s="417"/>
      <c r="AM112" s="416"/>
      <c r="AN112" s="411"/>
      <c r="AO112" s="411"/>
      <c r="AP112" s="417"/>
      <c r="AQ112" s="416"/>
      <c r="AR112" s="411"/>
      <c r="AS112" s="411"/>
      <c r="AT112" s="417"/>
      <c r="AU112" s="416"/>
      <c r="AV112" s="411"/>
      <c r="AW112" s="411"/>
      <c r="AX112" s="417"/>
      <c r="AY112" s="416"/>
      <c r="AZ112" s="411"/>
      <c r="BA112" s="411"/>
      <c r="BB112" s="417"/>
      <c r="BC112" s="416"/>
      <c r="BD112" s="411"/>
      <c r="BE112" s="411"/>
      <c r="BF112" s="417"/>
      <c r="BG112" s="416"/>
      <c r="BH112" s="411"/>
      <c r="BI112" s="411"/>
      <c r="BJ112" s="417"/>
      <c r="BK112" s="416"/>
      <c r="BL112" s="411"/>
      <c r="BM112" s="411"/>
      <c r="BN112" s="417"/>
      <c r="BO112" s="416"/>
      <c r="BP112" s="411"/>
      <c r="BQ112" s="411"/>
      <c r="BR112" s="417"/>
      <c r="BS112" s="416"/>
      <c r="BT112" s="411"/>
      <c r="BU112" s="411"/>
      <c r="BV112" s="417"/>
      <c r="BW112" s="416"/>
      <c r="BX112" s="411"/>
      <c r="BY112" s="411"/>
      <c r="BZ112" s="417"/>
      <c r="CA112" s="416"/>
      <c r="CB112" s="411"/>
      <c r="CC112" s="411"/>
      <c r="CD112" s="417"/>
      <c r="CE112" s="416"/>
      <c r="CF112" s="411"/>
      <c r="CG112" s="411"/>
      <c r="CH112" s="417"/>
      <c r="CI112" s="416"/>
      <c r="CJ112" s="411"/>
      <c r="CK112" s="411"/>
      <c r="CL112" s="417"/>
      <c r="CM112" s="416"/>
      <c r="CN112" s="411"/>
      <c r="CO112" s="411"/>
      <c r="CP112" s="417"/>
      <c r="CQ112" s="416"/>
      <c r="CR112" s="411"/>
      <c r="CS112" s="411"/>
      <c r="CT112" s="417"/>
      <c r="CU112" s="416"/>
      <c r="CV112" s="411"/>
      <c r="CW112" s="411"/>
      <c r="CX112" s="417"/>
      <c r="CY112" s="416"/>
      <c r="CZ112" s="411"/>
      <c r="DA112" s="411"/>
      <c r="DB112" s="417"/>
      <c r="DC112" s="416"/>
      <c r="DD112" s="411"/>
      <c r="DE112" s="411"/>
      <c r="DF112" s="417"/>
      <c r="DG112" s="416"/>
      <c r="DH112" s="411"/>
      <c r="DI112" s="411"/>
      <c r="DJ112" s="417"/>
      <c r="DK112" s="416"/>
      <c r="DL112" s="411"/>
      <c r="DM112" s="411"/>
      <c r="DN112" s="417"/>
      <c r="DO112" s="416"/>
      <c r="DP112" s="411"/>
      <c r="DQ112" s="411"/>
      <c r="DR112" s="417"/>
      <c r="DS112" s="416"/>
      <c r="DT112" s="411"/>
      <c r="DU112" s="411"/>
      <c r="DV112" s="417"/>
      <c r="DW112" s="416"/>
      <c r="DX112" s="411"/>
      <c r="DY112" s="411"/>
      <c r="DZ112" s="417"/>
      <c r="EA112" s="416"/>
      <c r="EB112" s="411"/>
      <c r="EC112" s="411"/>
      <c r="ED112" s="417"/>
      <c r="EE112" s="416"/>
      <c r="EF112" s="411"/>
      <c r="EG112" s="411"/>
      <c r="EH112" s="417"/>
      <c r="EI112" s="416"/>
      <c r="EJ112" s="411"/>
      <c r="EK112" s="411"/>
      <c r="EL112" s="417"/>
      <c r="EM112" s="416"/>
      <c r="EN112" s="411"/>
      <c r="EO112" s="411"/>
      <c r="EP112" s="417"/>
      <c r="EQ112" s="416"/>
      <c r="ER112" s="411"/>
      <c r="ES112" s="411"/>
      <c r="ET112" s="417"/>
      <c r="EU112" s="416"/>
      <c r="EV112" s="411"/>
      <c r="EW112" s="411"/>
      <c r="EX112" s="417"/>
      <c r="EY112" s="416"/>
      <c r="EZ112" s="411"/>
      <c r="FA112" s="411"/>
      <c r="FB112" s="417"/>
      <c r="FC112" s="416"/>
      <c r="FD112" s="411"/>
      <c r="FE112" s="411"/>
      <c r="FF112" s="417"/>
      <c r="FG112" s="416"/>
      <c r="FH112" s="411"/>
      <c r="FI112" s="411"/>
      <c r="FJ112" s="417"/>
      <c r="FK112" s="416"/>
      <c r="FL112" s="411"/>
      <c r="FM112" s="411"/>
      <c r="FN112" s="417"/>
      <c r="FO112" s="416"/>
      <c r="FP112" s="411"/>
      <c r="FQ112" s="411"/>
      <c r="FR112" s="417"/>
      <c r="FS112" s="416"/>
      <c r="FT112" s="411"/>
      <c r="FU112" s="411"/>
      <c r="FV112" s="417"/>
      <c r="FW112" s="416"/>
      <c r="FX112" s="411"/>
      <c r="FY112" s="411"/>
      <c r="FZ112" s="417"/>
      <c r="GA112" s="416"/>
      <c r="GB112" s="411"/>
      <c r="GC112" s="411"/>
      <c r="GD112" s="417"/>
      <c r="GE112" s="416"/>
      <c r="GF112" s="411"/>
      <c r="GG112" s="411"/>
      <c r="GH112" s="417"/>
      <c r="GI112" s="416"/>
      <c r="GJ112" s="411"/>
      <c r="GK112" s="411"/>
      <c r="GL112" s="417"/>
      <c r="GM112" s="416"/>
      <c r="GN112" s="411"/>
      <c r="GO112" s="411"/>
      <c r="GP112" s="417"/>
      <c r="GQ112" s="416"/>
      <c r="GR112" s="411"/>
      <c r="GS112" s="411"/>
      <c r="GT112" s="417"/>
      <c r="GU112" s="416"/>
      <c r="GV112" s="411"/>
      <c r="GW112" s="411"/>
      <c r="GX112" s="417"/>
      <c r="GY112" s="416"/>
      <c r="GZ112" s="411"/>
      <c r="HA112" s="411"/>
      <c r="HB112" s="417"/>
      <c r="HC112" s="418">
        <f t="shared" ref="HC112:HF143" si="83">K112+O112+S112+W112+AA112+AE112+AI112+AM112+AQ112+AU112+AY112+BC112+BG112+BK112+BO112+BS112+BW112+CA112+CE112+CI112+CM112+CQ112+CU112+CY112+DC112+DG112+DK112+DO112+DS112+DW112+EA112+EE112+EI112+EM112+EQ112+EU112+EY112+FC112+FG112+FK112+FO112+FS112+FW112+GA112+GE112+GI112+GM112+GQ112+GU112+GY112</f>
        <v>0</v>
      </c>
      <c r="HD112" s="419">
        <f t="shared" si="83"/>
        <v>0</v>
      </c>
      <c r="HE112" s="419">
        <f t="shared" si="83"/>
        <v>0</v>
      </c>
      <c r="HF112" s="420"/>
      <c r="HG112" s="418">
        <f>SUM(SUMIFS(K112:HB112,$K$13:$HB$13,{"エネルギー管理指定工場等*","県域*"}))</f>
        <v>0</v>
      </c>
      <c r="HH112" s="419">
        <f>SUM(SUMIFS(L112:HC112,$K$13:$HB$13,{"エネルギー管理指定工場等*","県域*"}))</f>
        <v>0</v>
      </c>
      <c r="HI112" s="419">
        <f>SUM(SUMIFS(M112:HD112,$K$13:$HB$13,{"エネルギー管理指定工場等*","県域*"}))</f>
        <v>0</v>
      </c>
      <c r="HJ112" s="420"/>
      <c r="IE112" s="579"/>
      <c r="IF112" s="579"/>
      <c r="IG112" s="579"/>
      <c r="IH112" s="579"/>
    </row>
    <row r="113" spans="2:242" s="164" customFormat="1" ht="20.100000000000001" customHeight="1">
      <c r="B113" s="421" t="s">
        <v>1394</v>
      </c>
      <c r="C113" s="422"/>
      <c r="D113" s="422"/>
      <c r="E113" s="422"/>
      <c r="F113" s="422"/>
      <c r="G113" s="423"/>
      <c r="H113" s="424"/>
      <c r="I113" s="425"/>
      <c r="J113" s="426"/>
      <c r="K113" s="427"/>
      <c r="L113" s="422"/>
      <c r="M113" s="422"/>
      <c r="N113" s="428"/>
      <c r="O113" s="427"/>
      <c r="P113" s="422"/>
      <c r="Q113" s="422"/>
      <c r="R113" s="428"/>
      <c r="S113" s="427"/>
      <c r="T113" s="422"/>
      <c r="U113" s="422"/>
      <c r="V113" s="428"/>
      <c r="W113" s="427"/>
      <c r="X113" s="422"/>
      <c r="Y113" s="422"/>
      <c r="Z113" s="428"/>
      <c r="AA113" s="427"/>
      <c r="AB113" s="422"/>
      <c r="AC113" s="422"/>
      <c r="AD113" s="428"/>
      <c r="AE113" s="427"/>
      <c r="AF113" s="422"/>
      <c r="AG113" s="422"/>
      <c r="AH113" s="428"/>
      <c r="AI113" s="427"/>
      <c r="AJ113" s="422"/>
      <c r="AK113" s="422"/>
      <c r="AL113" s="428"/>
      <c r="AM113" s="427"/>
      <c r="AN113" s="422"/>
      <c r="AO113" s="422"/>
      <c r="AP113" s="428"/>
      <c r="AQ113" s="427"/>
      <c r="AR113" s="422"/>
      <c r="AS113" s="422"/>
      <c r="AT113" s="428"/>
      <c r="AU113" s="427"/>
      <c r="AV113" s="422"/>
      <c r="AW113" s="422"/>
      <c r="AX113" s="428"/>
      <c r="AY113" s="427"/>
      <c r="AZ113" s="422"/>
      <c r="BA113" s="422"/>
      <c r="BB113" s="428"/>
      <c r="BC113" s="427"/>
      <c r="BD113" s="422"/>
      <c r="BE113" s="422"/>
      <c r="BF113" s="428"/>
      <c r="BG113" s="427"/>
      <c r="BH113" s="422"/>
      <c r="BI113" s="422"/>
      <c r="BJ113" s="428"/>
      <c r="BK113" s="427"/>
      <c r="BL113" s="422"/>
      <c r="BM113" s="422"/>
      <c r="BN113" s="428"/>
      <c r="BO113" s="427"/>
      <c r="BP113" s="422"/>
      <c r="BQ113" s="422"/>
      <c r="BR113" s="428"/>
      <c r="BS113" s="427"/>
      <c r="BT113" s="422"/>
      <c r="BU113" s="422"/>
      <c r="BV113" s="428"/>
      <c r="BW113" s="427"/>
      <c r="BX113" s="422"/>
      <c r="BY113" s="422"/>
      <c r="BZ113" s="428"/>
      <c r="CA113" s="427"/>
      <c r="CB113" s="422"/>
      <c r="CC113" s="422"/>
      <c r="CD113" s="428"/>
      <c r="CE113" s="427"/>
      <c r="CF113" s="422"/>
      <c r="CG113" s="422"/>
      <c r="CH113" s="428"/>
      <c r="CI113" s="427"/>
      <c r="CJ113" s="422"/>
      <c r="CK113" s="422"/>
      <c r="CL113" s="428"/>
      <c r="CM113" s="427"/>
      <c r="CN113" s="422"/>
      <c r="CO113" s="422"/>
      <c r="CP113" s="428"/>
      <c r="CQ113" s="427"/>
      <c r="CR113" s="422"/>
      <c r="CS113" s="422"/>
      <c r="CT113" s="428"/>
      <c r="CU113" s="427"/>
      <c r="CV113" s="422"/>
      <c r="CW113" s="422"/>
      <c r="CX113" s="428"/>
      <c r="CY113" s="427"/>
      <c r="CZ113" s="422"/>
      <c r="DA113" s="422"/>
      <c r="DB113" s="428"/>
      <c r="DC113" s="427"/>
      <c r="DD113" s="422"/>
      <c r="DE113" s="422"/>
      <c r="DF113" s="428"/>
      <c r="DG113" s="427"/>
      <c r="DH113" s="422"/>
      <c r="DI113" s="422"/>
      <c r="DJ113" s="428"/>
      <c r="DK113" s="427"/>
      <c r="DL113" s="422"/>
      <c r="DM113" s="422"/>
      <c r="DN113" s="428"/>
      <c r="DO113" s="427"/>
      <c r="DP113" s="422"/>
      <c r="DQ113" s="422"/>
      <c r="DR113" s="428"/>
      <c r="DS113" s="427"/>
      <c r="DT113" s="422"/>
      <c r="DU113" s="422"/>
      <c r="DV113" s="428"/>
      <c r="DW113" s="427"/>
      <c r="DX113" s="422"/>
      <c r="DY113" s="422"/>
      <c r="DZ113" s="428"/>
      <c r="EA113" s="427"/>
      <c r="EB113" s="422"/>
      <c r="EC113" s="422"/>
      <c r="ED113" s="428"/>
      <c r="EE113" s="427"/>
      <c r="EF113" s="422"/>
      <c r="EG113" s="422"/>
      <c r="EH113" s="428"/>
      <c r="EI113" s="427"/>
      <c r="EJ113" s="422"/>
      <c r="EK113" s="422"/>
      <c r="EL113" s="428"/>
      <c r="EM113" s="427"/>
      <c r="EN113" s="422"/>
      <c r="EO113" s="422"/>
      <c r="EP113" s="428"/>
      <c r="EQ113" s="427"/>
      <c r="ER113" s="422"/>
      <c r="ES113" s="422"/>
      <c r="ET113" s="428"/>
      <c r="EU113" s="427"/>
      <c r="EV113" s="422"/>
      <c r="EW113" s="422"/>
      <c r="EX113" s="428"/>
      <c r="EY113" s="427"/>
      <c r="EZ113" s="422"/>
      <c r="FA113" s="422"/>
      <c r="FB113" s="428"/>
      <c r="FC113" s="427"/>
      <c r="FD113" s="422"/>
      <c r="FE113" s="422"/>
      <c r="FF113" s="428"/>
      <c r="FG113" s="427"/>
      <c r="FH113" s="422"/>
      <c r="FI113" s="422"/>
      <c r="FJ113" s="428"/>
      <c r="FK113" s="427"/>
      <c r="FL113" s="422"/>
      <c r="FM113" s="422"/>
      <c r="FN113" s="428"/>
      <c r="FO113" s="427"/>
      <c r="FP113" s="422"/>
      <c r="FQ113" s="422"/>
      <c r="FR113" s="428"/>
      <c r="FS113" s="427"/>
      <c r="FT113" s="422"/>
      <c r="FU113" s="422"/>
      <c r="FV113" s="428"/>
      <c r="FW113" s="427"/>
      <c r="FX113" s="422"/>
      <c r="FY113" s="422"/>
      <c r="FZ113" s="428"/>
      <c r="GA113" s="427"/>
      <c r="GB113" s="422"/>
      <c r="GC113" s="422"/>
      <c r="GD113" s="428"/>
      <c r="GE113" s="427"/>
      <c r="GF113" s="422"/>
      <c r="GG113" s="422"/>
      <c r="GH113" s="428"/>
      <c r="GI113" s="427"/>
      <c r="GJ113" s="422"/>
      <c r="GK113" s="422"/>
      <c r="GL113" s="428"/>
      <c r="GM113" s="427"/>
      <c r="GN113" s="422"/>
      <c r="GO113" s="422"/>
      <c r="GP113" s="428"/>
      <c r="GQ113" s="427"/>
      <c r="GR113" s="422"/>
      <c r="GS113" s="422"/>
      <c r="GT113" s="428"/>
      <c r="GU113" s="427"/>
      <c r="GV113" s="422"/>
      <c r="GW113" s="422"/>
      <c r="GX113" s="428"/>
      <c r="GY113" s="427"/>
      <c r="GZ113" s="422"/>
      <c r="HA113" s="422"/>
      <c r="HB113" s="428"/>
      <c r="HC113" s="429">
        <f t="shared" si="83"/>
        <v>0</v>
      </c>
      <c r="HD113" s="430">
        <f t="shared" si="83"/>
        <v>0</v>
      </c>
      <c r="HE113" s="430">
        <f t="shared" si="83"/>
        <v>0</v>
      </c>
      <c r="HF113" s="431"/>
      <c r="HG113" s="429">
        <f>SUM(SUMIFS(K113:HB113,$K$13:$HB$13,{"エネルギー管理指定工場等*","県域*"}))</f>
        <v>0</v>
      </c>
      <c r="HH113" s="432">
        <f>SUM(SUMIFS(L113:HC113,$K$13:$HB$13,{"エネルギー管理指定工場等*","県域*"}))</f>
        <v>0</v>
      </c>
      <c r="HI113" s="432">
        <f>SUM(SUMIFS(M113:HD113,$K$13:$HB$13,{"エネルギー管理指定工場等*","県域*"}))</f>
        <v>0</v>
      </c>
      <c r="HJ113" s="433"/>
      <c r="IE113" s="579"/>
      <c r="IF113" s="579"/>
      <c r="IG113" s="579"/>
      <c r="IH113" s="579"/>
    </row>
    <row r="114" spans="2:242" s="164" customFormat="1" ht="20.100000000000001" customHeight="1">
      <c r="B114" s="421" t="s">
        <v>1395</v>
      </c>
      <c r="C114" s="422"/>
      <c r="D114" s="422"/>
      <c r="E114" s="422"/>
      <c r="F114" s="422"/>
      <c r="G114" s="423"/>
      <c r="H114" s="424"/>
      <c r="I114" s="425"/>
      <c r="J114" s="426"/>
      <c r="K114" s="427"/>
      <c r="L114" s="422"/>
      <c r="M114" s="422"/>
      <c r="N114" s="428"/>
      <c r="O114" s="427"/>
      <c r="P114" s="422"/>
      <c r="Q114" s="422"/>
      <c r="R114" s="428"/>
      <c r="S114" s="427"/>
      <c r="T114" s="422"/>
      <c r="U114" s="422"/>
      <c r="V114" s="428"/>
      <c r="W114" s="427"/>
      <c r="X114" s="422"/>
      <c r="Y114" s="422"/>
      <c r="Z114" s="428"/>
      <c r="AA114" s="427"/>
      <c r="AB114" s="422"/>
      <c r="AC114" s="422"/>
      <c r="AD114" s="428"/>
      <c r="AE114" s="427"/>
      <c r="AF114" s="422"/>
      <c r="AG114" s="422"/>
      <c r="AH114" s="428"/>
      <c r="AI114" s="427"/>
      <c r="AJ114" s="422"/>
      <c r="AK114" s="422"/>
      <c r="AL114" s="428"/>
      <c r="AM114" s="427"/>
      <c r="AN114" s="422"/>
      <c r="AO114" s="422"/>
      <c r="AP114" s="428"/>
      <c r="AQ114" s="427"/>
      <c r="AR114" s="422"/>
      <c r="AS114" s="422"/>
      <c r="AT114" s="428"/>
      <c r="AU114" s="427"/>
      <c r="AV114" s="422"/>
      <c r="AW114" s="422"/>
      <c r="AX114" s="428"/>
      <c r="AY114" s="427"/>
      <c r="AZ114" s="422"/>
      <c r="BA114" s="422"/>
      <c r="BB114" s="428"/>
      <c r="BC114" s="427"/>
      <c r="BD114" s="422"/>
      <c r="BE114" s="422"/>
      <c r="BF114" s="428"/>
      <c r="BG114" s="427"/>
      <c r="BH114" s="422"/>
      <c r="BI114" s="422"/>
      <c r="BJ114" s="428"/>
      <c r="BK114" s="427"/>
      <c r="BL114" s="422"/>
      <c r="BM114" s="422"/>
      <c r="BN114" s="428"/>
      <c r="BO114" s="427"/>
      <c r="BP114" s="422"/>
      <c r="BQ114" s="422"/>
      <c r="BR114" s="428"/>
      <c r="BS114" s="427"/>
      <c r="BT114" s="422"/>
      <c r="BU114" s="422"/>
      <c r="BV114" s="428"/>
      <c r="BW114" s="427"/>
      <c r="BX114" s="422"/>
      <c r="BY114" s="422"/>
      <c r="BZ114" s="428"/>
      <c r="CA114" s="427"/>
      <c r="CB114" s="422"/>
      <c r="CC114" s="422"/>
      <c r="CD114" s="428"/>
      <c r="CE114" s="427"/>
      <c r="CF114" s="422"/>
      <c r="CG114" s="422"/>
      <c r="CH114" s="428"/>
      <c r="CI114" s="427"/>
      <c r="CJ114" s="422"/>
      <c r="CK114" s="422"/>
      <c r="CL114" s="428"/>
      <c r="CM114" s="427"/>
      <c r="CN114" s="422"/>
      <c r="CO114" s="422"/>
      <c r="CP114" s="428"/>
      <c r="CQ114" s="427"/>
      <c r="CR114" s="422"/>
      <c r="CS114" s="422"/>
      <c r="CT114" s="428"/>
      <c r="CU114" s="427"/>
      <c r="CV114" s="422"/>
      <c r="CW114" s="422"/>
      <c r="CX114" s="428"/>
      <c r="CY114" s="427"/>
      <c r="CZ114" s="422"/>
      <c r="DA114" s="422"/>
      <c r="DB114" s="428"/>
      <c r="DC114" s="427"/>
      <c r="DD114" s="422"/>
      <c r="DE114" s="422"/>
      <c r="DF114" s="428"/>
      <c r="DG114" s="427"/>
      <c r="DH114" s="422"/>
      <c r="DI114" s="422"/>
      <c r="DJ114" s="428"/>
      <c r="DK114" s="427"/>
      <c r="DL114" s="422"/>
      <c r="DM114" s="422"/>
      <c r="DN114" s="428"/>
      <c r="DO114" s="427"/>
      <c r="DP114" s="422"/>
      <c r="DQ114" s="422"/>
      <c r="DR114" s="428"/>
      <c r="DS114" s="427"/>
      <c r="DT114" s="422"/>
      <c r="DU114" s="422"/>
      <c r="DV114" s="428"/>
      <c r="DW114" s="427"/>
      <c r="DX114" s="422"/>
      <c r="DY114" s="422"/>
      <c r="DZ114" s="428"/>
      <c r="EA114" s="427"/>
      <c r="EB114" s="422"/>
      <c r="EC114" s="422"/>
      <c r="ED114" s="428"/>
      <c r="EE114" s="427"/>
      <c r="EF114" s="422"/>
      <c r="EG114" s="422"/>
      <c r="EH114" s="428"/>
      <c r="EI114" s="427"/>
      <c r="EJ114" s="422"/>
      <c r="EK114" s="422"/>
      <c r="EL114" s="428"/>
      <c r="EM114" s="427"/>
      <c r="EN114" s="422"/>
      <c r="EO114" s="422"/>
      <c r="EP114" s="428"/>
      <c r="EQ114" s="427"/>
      <c r="ER114" s="422"/>
      <c r="ES114" s="422"/>
      <c r="ET114" s="428"/>
      <c r="EU114" s="427"/>
      <c r="EV114" s="422"/>
      <c r="EW114" s="422"/>
      <c r="EX114" s="428"/>
      <c r="EY114" s="427"/>
      <c r="EZ114" s="422"/>
      <c r="FA114" s="422"/>
      <c r="FB114" s="428"/>
      <c r="FC114" s="427"/>
      <c r="FD114" s="422"/>
      <c r="FE114" s="422"/>
      <c r="FF114" s="428"/>
      <c r="FG114" s="427"/>
      <c r="FH114" s="422"/>
      <c r="FI114" s="422"/>
      <c r="FJ114" s="428"/>
      <c r="FK114" s="427"/>
      <c r="FL114" s="422"/>
      <c r="FM114" s="422"/>
      <c r="FN114" s="428"/>
      <c r="FO114" s="427"/>
      <c r="FP114" s="422"/>
      <c r="FQ114" s="422"/>
      <c r="FR114" s="428"/>
      <c r="FS114" s="427"/>
      <c r="FT114" s="422"/>
      <c r="FU114" s="422"/>
      <c r="FV114" s="428"/>
      <c r="FW114" s="427"/>
      <c r="FX114" s="422"/>
      <c r="FY114" s="422"/>
      <c r="FZ114" s="428"/>
      <c r="GA114" s="427"/>
      <c r="GB114" s="422"/>
      <c r="GC114" s="422"/>
      <c r="GD114" s="428"/>
      <c r="GE114" s="427"/>
      <c r="GF114" s="422"/>
      <c r="GG114" s="422"/>
      <c r="GH114" s="428"/>
      <c r="GI114" s="427"/>
      <c r="GJ114" s="422"/>
      <c r="GK114" s="422"/>
      <c r="GL114" s="428"/>
      <c r="GM114" s="427"/>
      <c r="GN114" s="422"/>
      <c r="GO114" s="422"/>
      <c r="GP114" s="428"/>
      <c r="GQ114" s="427"/>
      <c r="GR114" s="422"/>
      <c r="GS114" s="422"/>
      <c r="GT114" s="428"/>
      <c r="GU114" s="427"/>
      <c r="GV114" s="422"/>
      <c r="GW114" s="422"/>
      <c r="GX114" s="428"/>
      <c r="GY114" s="427"/>
      <c r="GZ114" s="422"/>
      <c r="HA114" s="422"/>
      <c r="HB114" s="428"/>
      <c r="HC114" s="434">
        <f t="shared" si="83"/>
        <v>0</v>
      </c>
      <c r="HD114" s="432">
        <f t="shared" si="83"/>
        <v>0</v>
      </c>
      <c r="HE114" s="432">
        <f t="shared" si="83"/>
        <v>0</v>
      </c>
      <c r="HF114" s="433"/>
      <c r="HG114" s="434">
        <f>SUM(SUMIFS(K114:HB114,$K$13:$HB$13,{"エネルギー管理指定工場等*","県域*"}))</f>
        <v>0</v>
      </c>
      <c r="HH114" s="432">
        <f>SUM(SUMIFS(L114:HC114,$K$13:$HB$13,{"エネルギー管理指定工場等*","県域*"}))</f>
        <v>0</v>
      </c>
      <c r="HI114" s="432">
        <f>SUM(SUMIFS(M114:HD114,$K$13:$HB$13,{"エネルギー管理指定工場等*","県域*"}))</f>
        <v>0</v>
      </c>
      <c r="HJ114" s="433"/>
      <c r="IE114" s="579"/>
      <c r="IF114" s="579"/>
      <c r="IG114" s="579"/>
      <c r="IH114" s="579"/>
    </row>
    <row r="115" spans="2:242" s="164" customFormat="1" ht="20.100000000000001" customHeight="1">
      <c r="B115" s="421" t="s">
        <v>1396</v>
      </c>
      <c r="C115" s="422"/>
      <c r="D115" s="422"/>
      <c r="E115" s="422"/>
      <c r="F115" s="422"/>
      <c r="G115" s="423"/>
      <c r="H115" s="424"/>
      <c r="I115" s="425"/>
      <c r="J115" s="426"/>
      <c r="K115" s="427"/>
      <c r="L115" s="422"/>
      <c r="M115" s="422"/>
      <c r="N115" s="428"/>
      <c r="O115" s="427"/>
      <c r="P115" s="422"/>
      <c r="Q115" s="422"/>
      <c r="R115" s="428"/>
      <c r="S115" s="427"/>
      <c r="T115" s="422"/>
      <c r="U115" s="422"/>
      <c r="V115" s="428"/>
      <c r="W115" s="427"/>
      <c r="X115" s="422"/>
      <c r="Y115" s="422"/>
      <c r="Z115" s="428"/>
      <c r="AA115" s="427"/>
      <c r="AB115" s="422"/>
      <c r="AC115" s="422"/>
      <c r="AD115" s="428"/>
      <c r="AE115" s="427"/>
      <c r="AF115" s="422"/>
      <c r="AG115" s="422"/>
      <c r="AH115" s="428"/>
      <c r="AI115" s="427"/>
      <c r="AJ115" s="422"/>
      <c r="AK115" s="422"/>
      <c r="AL115" s="428"/>
      <c r="AM115" s="427"/>
      <c r="AN115" s="422"/>
      <c r="AO115" s="422"/>
      <c r="AP115" s="428"/>
      <c r="AQ115" s="427"/>
      <c r="AR115" s="422"/>
      <c r="AS115" s="422"/>
      <c r="AT115" s="428"/>
      <c r="AU115" s="427"/>
      <c r="AV115" s="422"/>
      <c r="AW115" s="422"/>
      <c r="AX115" s="428"/>
      <c r="AY115" s="427"/>
      <c r="AZ115" s="422"/>
      <c r="BA115" s="422"/>
      <c r="BB115" s="428"/>
      <c r="BC115" s="427"/>
      <c r="BD115" s="422"/>
      <c r="BE115" s="422"/>
      <c r="BF115" s="428"/>
      <c r="BG115" s="427"/>
      <c r="BH115" s="422"/>
      <c r="BI115" s="422"/>
      <c r="BJ115" s="428"/>
      <c r="BK115" s="427"/>
      <c r="BL115" s="422"/>
      <c r="BM115" s="422"/>
      <c r="BN115" s="428"/>
      <c r="BO115" s="427"/>
      <c r="BP115" s="422"/>
      <c r="BQ115" s="422"/>
      <c r="BR115" s="428"/>
      <c r="BS115" s="427"/>
      <c r="BT115" s="422"/>
      <c r="BU115" s="422"/>
      <c r="BV115" s="428"/>
      <c r="BW115" s="427"/>
      <c r="BX115" s="422"/>
      <c r="BY115" s="422"/>
      <c r="BZ115" s="428"/>
      <c r="CA115" s="427"/>
      <c r="CB115" s="422"/>
      <c r="CC115" s="422"/>
      <c r="CD115" s="428"/>
      <c r="CE115" s="427"/>
      <c r="CF115" s="422"/>
      <c r="CG115" s="422"/>
      <c r="CH115" s="428"/>
      <c r="CI115" s="427"/>
      <c r="CJ115" s="422"/>
      <c r="CK115" s="422"/>
      <c r="CL115" s="428"/>
      <c r="CM115" s="427"/>
      <c r="CN115" s="422"/>
      <c r="CO115" s="422"/>
      <c r="CP115" s="428"/>
      <c r="CQ115" s="427"/>
      <c r="CR115" s="422"/>
      <c r="CS115" s="422"/>
      <c r="CT115" s="428"/>
      <c r="CU115" s="427"/>
      <c r="CV115" s="422"/>
      <c r="CW115" s="422"/>
      <c r="CX115" s="428"/>
      <c r="CY115" s="427"/>
      <c r="CZ115" s="422"/>
      <c r="DA115" s="422"/>
      <c r="DB115" s="428"/>
      <c r="DC115" s="427"/>
      <c r="DD115" s="422"/>
      <c r="DE115" s="422"/>
      <c r="DF115" s="428"/>
      <c r="DG115" s="427"/>
      <c r="DH115" s="422"/>
      <c r="DI115" s="422"/>
      <c r="DJ115" s="428"/>
      <c r="DK115" s="427"/>
      <c r="DL115" s="422"/>
      <c r="DM115" s="422"/>
      <c r="DN115" s="428"/>
      <c r="DO115" s="427"/>
      <c r="DP115" s="422"/>
      <c r="DQ115" s="422"/>
      <c r="DR115" s="428"/>
      <c r="DS115" s="427"/>
      <c r="DT115" s="422"/>
      <c r="DU115" s="422"/>
      <c r="DV115" s="428"/>
      <c r="DW115" s="427"/>
      <c r="DX115" s="422"/>
      <c r="DY115" s="422"/>
      <c r="DZ115" s="428"/>
      <c r="EA115" s="427"/>
      <c r="EB115" s="422"/>
      <c r="EC115" s="422"/>
      <c r="ED115" s="428"/>
      <c r="EE115" s="427"/>
      <c r="EF115" s="422"/>
      <c r="EG115" s="422"/>
      <c r="EH115" s="428"/>
      <c r="EI115" s="427"/>
      <c r="EJ115" s="422"/>
      <c r="EK115" s="422"/>
      <c r="EL115" s="428"/>
      <c r="EM115" s="427"/>
      <c r="EN115" s="422"/>
      <c r="EO115" s="422"/>
      <c r="EP115" s="428"/>
      <c r="EQ115" s="427"/>
      <c r="ER115" s="422"/>
      <c r="ES115" s="422"/>
      <c r="ET115" s="428"/>
      <c r="EU115" s="427"/>
      <c r="EV115" s="422"/>
      <c r="EW115" s="422"/>
      <c r="EX115" s="428"/>
      <c r="EY115" s="427"/>
      <c r="EZ115" s="422"/>
      <c r="FA115" s="422"/>
      <c r="FB115" s="428"/>
      <c r="FC115" s="427"/>
      <c r="FD115" s="422"/>
      <c r="FE115" s="422"/>
      <c r="FF115" s="428"/>
      <c r="FG115" s="427"/>
      <c r="FH115" s="422"/>
      <c r="FI115" s="422"/>
      <c r="FJ115" s="428"/>
      <c r="FK115" s="427"/>
      <c r="FL115" s="422"/>
      <c r="FM115" s="422"/>
      <c r="FN115" s="428"/>
      <c r="FO115" s="427"/>
      <c r="FP115" s="422"/>
      <c r="FQ115" s="422"/>
      <c r="FR115" s="428"/>
      <c r="FS115" s="427"/>
      <c r="FT115" s="422"/>
      <c r="FU115" s="422"/>
      <c r="FV115" s="428"/>
      <c r="FW115" s="427"/>
      <c r="FX115" s="422"/>
      <c r="FY115" s="422"/>
      <c r="FZ115" s="428"/>
      <c r="GA115" s="427"/>
      <c r="GB115" s="422"/>
      <c r="GC115" s="422"/>
      <c r="GD115" s="428"/>
      <c r="GE115" s="427"/>
      <c r="GF115" s="422"/>
      <c r="GG115" s="422"/>
      <c r="GH115" s="428"/>
      <c r="GI115" s="427"/>
      <c r="GJ115" s="422"/>
      <c r="GK115" s="422"/>
      <c r="GL115" s="428"/>
      <c r="GM115" s="427"/>
      <c r="GN115" s="422"/>
      <c r="GO115" s="422"/>
      <c r="GP115" s="428"/>
      <c r="GQ115" s="427"/>
      <c r="GR115" s="422"/>
      <c r="GS115" s="422"/>
      <c r="GT115" s="428"/>
      <c r="GU115" s="427"/>
      <c r="GV115" s="422"/>
      <c r="GW115" s="422"/>
      <c r="GX115" s="428"/>
      <c r="GY115" s="427"/>
      <c r="GZ115" s="422"/>
      <c r="HA115" s="422"/>
      <c r="HB115" s="428"/>
      <c r="HC115" s="434">
        <f t="shared" si="83"/>
        <v>0</v>
      </c>
      <c r="HD115" s="432">
        <f t="shared" si="83"/>
        <v>0</v>
      </c>
      <c r="HE115" s="432">
        <f t="shared" si="83"/>
        <v>0</v>
      </c>
      <c r="HF115" s="433"/>
      <c r="HG115" s="434">
        <f>SUM(SUMIFS(K115:HB115,$K$13:$HB$13,{"エネルギー管理指定工場等*","県域*"}))</f>
        <v>0</v>
      </c>
      <c r="HH115" s="432">
        <f>SUM(SUMIFS(L115:HC115,$K$13:$HB$13,{"エネルギー管理指定工場等*","県域*"}))</f>
        <v>0</v>
      </c>
      <c r="HI115" s="432">
        <f>SUM(SUMIFS(M115:HD115,$K$13:$HB$13,{"エネルギー管理指定工場等*","県域*"}))</f>
        <v>0</v>
      </c>
      <c r="HJ115" s="433"/>
      <c r="IE115" s="579"/>
      <c r="IF115" s="579"/>
      <c r="IG115" s="579"/>
      <c r="IH115" s="579"/>
    </row>
    <row r="116" spans="2:242" s="164" customFormat="1" ht="20.100000000000001" customHeight="1">
      <c r="B116" s="421" t="s">
        <v>1397</v>
      </c>
      <c r="C116" s="422"/>
      <c r="D116" s="422"/>
      <c r="E116" s="422"/>
      <c r="F116" s="422"/>
      <c r="G116" s="423"/>
      <c r="H116" s="424"/>
      <c r="I116" s="435"/>
      <c r="J116" s="436"/>
      <c r="K116" s="427"/>
      <c r="L116" s="422"/>
      <c r="M116" s="422"/>
      <c r="N116" s="428"/>
      <c r="O116" s="427"/>
      <c r="P116" s="422"/>
      <c r="Q116" s="422"/>
      <c r="R116" s="428"/>
      <c r="S116" s="427"/>
      <c r="T116" s="422"/>
      <c r="U116" s="422"/>
      <c r="V116" s="428"/>
      <c r="W116" s="427"/>
      <c r="X116" s="422"/>
      <c r="Y116" s="422"/>
      <c r="Z116" s="428"/>
      <c r="AA116" s="427"/>
      <c r="AB116" s="422"/>
      <c r="AC116" s="422"/>
      <c r="AD116" s="428"/>
      <c r="AE116" s="427"/>
      <c r="AF116" s="422"/>
      <c r="AG116" s="422"/>
      <c r="AH116" s="428"/>
      <c r="AI116" s="427"/>
      <c r="AJ116" s="422"/>
      <c r="AK116" s="422"/>
      <c r="AL116" s="428"/>
      <c r="AM116" s="427"/>
      <c r="AN116" s="422"/>
      <c r="AO116" s="422"/>
      <c r="AP116" s="428"/>
      <c r="AQ116" s="427"/>
      <c r="AR116" s="422"/>
      <c r="AS116" s="422"/>
      <c r="AT116" s="428"/>
      <c r="AU116" s="427"/>
      <c r="AV116" s="422"/>
      <c r="AW116" s="422"/>
      <c r="AX116" s="428"/>
      <c r="AY116" s="427"/>
      <c r="AZ116" s="422"/>
      <c r="BA116" s="422"/>
      <c r="BB116" s="428"/>
      <c r="BC116" s="427"/>
      <c r="BD116" s="422"/>
      <c r="BE116" s="422"/>
      <c r="BF116" s="428"/>
      <c r="BG116" s="427"/>
      <c r="BH116" s="422"/>
      <c r="BI116" s="422"/>
      <c r="BJ116" s="428"/>
      <c r="BK116" s="427"/>
      <c r="BL116" s="422"/>
      <c r="BM116" s="422"/>
      <c r="BN116" s="428"/>
      <c r="BO116" s="427"/>
      <c r="BP116" s="422"/>
      <c r="BQ116" s="422"/>
      <c r="BR116" s="428"/>
      <c r="BS116" s="427"/>
      <c r="BT116" s="422"/>
      <c r="BU116" s="422"/>
      <c r="BV116" s="428"/>
      <c r="BW116" s="427"/>
      <c r="BX116" s="422"/>
      <c r="BY116" s="422"/>
      <c r="BZ116" s="428"/>
      <c r="CA116" s="427"/>
      <c r="CB116" s="422"/>
      <c r="CC116" s="422"/>
      <c r="CD116" s="428"/>
      <c r="CE116" s="427"/>
      <c r="CF116" s="422"/>
      <c r="CG116" s="422"/>
      <c r="CH116" s="428"/>
      <c r="CI116" s="427"/>
      <c r="CJ116" s="422"/>
      <c r="CK116" s="422"/>
      <c r="CL116" s="428"/>
      <c r="CM116" s="427"/>
      <c r="CN116" s="422"/>
      <c r="CO116" s="422"/>
      <c r="CP116" s="428"/>
      <c r="CQ116" s="427"/>
      <c r="CR116" s="422"/>
      <c r="CS116" s="422"/>
      <c r="CT116" s="428"/>
      <c r="CU116" s="427"/>
      <c r="CV116" s="422"/>
      <c r="CW116" s="422"/>
      <c r="CX116" s="428"/>
      <c r="CY116" s="427"/>
      <c r="CZ116" s="422"/>
      <c r="DA116" s="422"/>
      <c r="DB116" s="428"/>
      <c r="DC116" s="427"/>
      <c r="DD116" s="422"/>
      <c r="DE116" s="422"/>
      <c r="DF116" s="428"/>
      <c r="DG116" s="427"/>
      <c r="DH116" s="422"/>
      <c r="DI116" s="422"/>
      <c r="DJ116" s="428"/>
      <c r="DK116" s="427"/>
      <c r="DL116" s="422"/>
      <c r="DM116" s="422"/>
      <c r="DN116" s="428"/>
      <c r="DO116" s="427"/>
      <c r="DP116" s="422"/>
      <c r="DQ116" s="422"/>
      <c r="DR116" s="428"/>
      <c r="DS116" s="427"/>
      <c r="DT116" s="422"/>
      <c r="DU116" s="422"/>
      <c r="DV116" s="428"/>
      <c r="DW116" s="427"/>
      <c r="DX116" s="422"/>
      <c r="DY116" s="422"/>
      <c r="DZ116" s="428"/>
      <c r="EA116" s="427"/>
      <c r="EB116" s="422"/>
      <c r="EC116" s="422"/>
      <c r="ED116" s="428"/>
      <c r="EE116" s="427"/>
      <c r="EF116" s="422"/>
      <c r="EG116" s="422"/>
      <c r="EH116" s="428"/>
      <c r="EI116" s="427"/>
      <c r="EJ116" s="422"/>
      <c r="EK116" s="422"/>
      <c r="EL116" s="428"/>
      <c r="EM116" s="427"/>
      <c r="EN116" s="422"/>
      <c r="EO116" s="422"/>
      <c r="EP116" s="428"/>
      <c r="EQ116" s="427"/>
      <c r="ER116" s="422"/>
      <c r="ES116" s="422"/>
      <c r="ET116" s="428"/>
      <c r="EU116" s="427"/>
      <c r="EV116" s="422"/>
      <c r="EW116" s="422"/>
      <c r="EX116" s="428"/>
      <c r="EY116" s="427"/>
      <c r="EZ116" s="422"/>
      <c r="FA116" s="422"/>
      <c r="FB116" s="428"/>
      <c r="FC116" s="427"/>
      <c r="FD116" s="422"/>
      <c r="FE116" s="422"/>
      <c r="FF116" s="428"/>
      <c r="FG116" s="427"/>
      <c r="FH116" s="422"/>
      <c r="FI116" s="422"/>
      <c r="FJ116" s="428"/>
      <c r="FK116" s="427"/>
      <c r="FL116" s="422"/>
      <c r="FM116" s="422"/>
      <c r="FN116" s="428"/>
      <c r="FO116" s="427"/>
      <c r="FP116" s="422"/>
      <c r="FQ116" s="422"/>
      <c r="FR116" s="428"/>
      <c r="FS116" s="427"/>
      <c r="FT116" s="422"/>
      <c r="FU116" s="422"/>
      <c r="FV116" s="428"/>
      <c r="FW116" s="427"/>
      <c r="FX116" s="422"/>
      <c r="FY116" s="422"/>
      <c r="FZ116" s="428"/>
      <c r="GA116" s="427"/>
      <c r="GB116" s="422"/>
      <c r="GC116" s="422"/>
      <c r="GD116" s="428"/>
      <c r="GE116" s="427"/>
      <c r="GF116" s="422"/>
      <c r="GG116" s="422"/>
      <c r="GH116" s="428"/>
      <c r="GI116" s="427"/>
      <c r="GJ116" s="422"/>
      <c r="GK116" s="422"/>
      <c r="GL116" s="428"/>
      <c r="GM116" s="427"/>
      <c r="GN116" s="422"/>
      <c r="GO116" s="422"/>
      <c r="GP116" s="428"/>
      <c r="GQ116" s="427"/>
      <c r="GR116" s="422"/>
      <c r="GS116" s="422"/>
      <c r="GT116" s="428"/>
      <c r="GU116" s="427"/>
      <c r="GV116" s="422"/>
      <c r="GW116" s="422"/>
      <c r="GX116" s="428"/>
      <c r="GY116" s="427"/>
      <c r="GZ116" s="422"/>
      <c r="HA116" s="422"/>
      <c r="HB116" s="428"/>
      <c r="HC116" s="434">
        <f t="shared" si="83"/>
        <v>0</v>
      </c>
      <c r="HD116" s="432">
        <f t="shared" si="83"/>
        <v>0</v>
      </c>
      <c r="HE116" s="432">
        <f t="shared" si="83"/>
        <v>0</v>
      </c>
      <c r="HF116" s="433"/>
      <c r="HG116" s="434">
        <f>SUM(SUMIFS(K116:HB116,$K$13:$HB$13,{"エネルギー管理指定工場等*","県域*"}))</f>
        <v>0</v>
      </c>
      <c r="HH116" s="432">
        <f>SUM(SUMIFS(L116:HC116,$K$13:$HB$13,{"エネルギー管理指定工場等*","県域*"}))</f>
        <v>0</v>
      </c>
      <c r="HI116" s="432">
        <f>SUM(SUMIFS(M116:HD116,$K$13:$HB$13,{"エネルギー管理指定工場等*","県域*"}))</f>
        <v>0</v>
      </c>
      <c r="HJ116" s="433"/>
      <c r="IE116" s="579"/>
      <c r="IF116" s="579"/>
      <c r="IG116" s="579"/>
      <c r="IH116" s="579"/>
    </row>
    <row r="117" spans="2:242" s="164" customFormat="1" ht="20.100000000000001" customHeight="1">
      <c r="B117" s="421" t="s">
        <v>1398</v>
      </c>
      <c r="C117" s="437"/>
      <c r="D117" s="437"/>
      <c r="E117" s="437"/>
      <c r="F117" s="422"/>
      <c r="G117" s="423"/>
      <c r="H117" s="438"/>
      <c r="I117" s="439"/>
      <c r="J117" s="440"/>
      <c r="K117" s="441"/>
      <c r="L117" s="437"/>
      <c r="M117" s="437"/>
      <c r="N117" s="442"/>
      <c r="O117" s="441"/>
      <c r="P117" s="437"/>
      <c r="Q117" s="437"/>
      <c r="R117" s="442"/>
      <c r="S117" s="441"/>
      <c r="T117" s="437"/>
      <c r="U117" s="437"/>
      <c r="V117" s="442"/>
      <c r="W117" s="441"/>
      <c r="X117" s="437"/>
      <c r="Y117" s="437"/>
      <c r="Z117" s="442"/>
      <c r="AA117" s="441"/>
      <c r="AB117" s="437"/>
      <c r="AC117" s="437"/>
      <c r="AD117" s="442"/>
      <c r="AE117" s="441"/>
      <c r="AF117" s="437"/>
      <c r="AG117" s="437"/>
      <c r="AH117" s="442"/>
      <c r="AI117" s="441"/>
      <c r="AJ117" s="437"/>
      <c r="AK117" s="437"/>
      <c r="AL117" s="442"/>
      <c r="AM117" s="441"/>
      <c r="AN117" s="437"/>
      <c r="AO117" s="437"/>
      <c r="AP117" s="442"/>
      <c r="AQ117" s="441"/>
      <c r="AR117" s="437"/>
      <c r="AS117" s="437"/>
      <c r="AT117" s="442"/>
      <c r="AU117" s="441"/>
      <c r="AV117" s="437"/>
      <c r="AW117" s="437"/>
      <c r="AX117" s="442"/>
      <c r="AY117" s="441"/>
      <c r="AZ117" s="437"/>
      <c r="BA117" s="437"/>
      <c r="BB117" s="442"/>
      <c r="BC117" s="441"/>
      <c r="BD117" s="437"/>
      <c r="BE117" s="437"/>
      <c r="BF117" s="442"/>
      <c r="BG117" s="441"/>
      <c r="BH117" s="437"/>
      <c r="BI117" s="437"/>
      <c r="BJ117" s="442"/>
      <c r="BK117" s="441"/>
      <c r="BL117" s="437"/>
      <c r="BM117" s="437"/>
      <c r="BN117" s="442"/>
      <c r="BO117" s="441"/>
      <c r="BP117" s="437"/>
      <c r="BQ117" s="437"/>
      <c r="BR117" s="442"/>
      <c r="BS117" s="441"/>
      <c r="BT117" s="437"/>
      <c r="BU117" s="437"/>
      <c r="BV117" s="442"/>
      <c r="BW117" s="441"/>
      <c r="BX117" s="437"/>
      <c r="BY117" s="437"/>
      <c r="BZ117" s="442"/>
      <c r="CA117" s="441"/>
      <c r="CB117" s="437"/>
      <c r="CC117" s="437"/>
      <c r="CD117" s="442"/>
      <c r="CE117" s="441"/>
      <c r="CF117" s="437"/>
      <c r="CG117" s="437"/>
      <c r="CH117" s="442"/>
      <c r="CI117" s="441"/>
      <c r="CJ117" s="437"/>
      <c r="CK117" s="437"/>
      <c r="CL117" s="442"/>
      <c r="CM117" s="441"/>
      <c r="CN117" s="437"/>
      <c r="CO117" s="437"/>
      <c r="CP117" s="442"/>
      <c r="CQ117" s="441"/>
      <c r="CR117" s="437"/>
      <c r="CS117" s="437"/>
      <c r="CT117" s="442"/>
      <c r="CU117" s="441"/>
      <c r="CV117" s="437"/>
      <c r="CW117" s="437"/>
      <c r="CX117" s="442"/>
      <c r="CY117" s="441"/>
      <c r="CZ117" s="437"/>
      <c r="DA117" s="437"/>
      <c r="DB117" s="442"/>
      <c r="DC117" s="441"/>
      <c r="DD117" s="437"/>
      <c r="DE117" s="437"/>
      <c r="DF117" s="442"/>
      <c r="DG117" s="441"/>
      <c r="DH117" s="437"/>
      <c r="DI117" s="437"/>
      <c r="DJ117" s="442"/>
      <c r="DK117" s="441"/>
      <c r="DL117" s="437"/>
      <c r="DM117" s="437"/>
      <c r="DN117" s="442"/>
      <c r="DO117" s="441"/>
      <c r="DP117" s="437"/>
      <c r="DQ117" s="437"/>
      <c r="DR117" s="442"/>
      <c r="DS117" s="441"/>
      <c r="DT117" s="437"/>
      <c r="DU117" s="437"/>
      <c r="DV117" s="442"/>
      <c r="DW117" s="441"/>
      <c r="DX117" s="437"/>
      <c r="DY117" s="437"/>
      <c r="DZ117" s="442"/>
      <c r="EA117" s="441"/>
      <c r="EB117" s="437"/>
      <c r="EC117" s="437"/>
      <c r="ED117" s="442"/>
      <c r="EE117" s="441"/>
      <c r="EF117" s="437"/>
      <c r="EG117" s="437"/>
      <c r="EH117" s="442"/>
      <c r="EI117" s="441"/>
      <c r="EJ117" s="437"/>
      <c r="EK117" s="437"/>
      <c r="EL117" s="442"/>
      <c r="EM117" s="441"/>
      <c r="EN117" s="437"/>
      <c r="EO117" s="437"/>
      <c r="EP117" s="442"/>
      <c r="EQ117" s="441"/>
      <c r="ER117" s="437"/>
      <c r="ES117" s="437"/>
      <c r="ET117" s="442"/>
      <c r="EU117" s="441"/>
      <c r="EV117" s="437"/>
      <c r="EW117" s="437"/>
      <c r="EX117" s="442"/>
      <c r="EY117" s="441"/>
      <c r="EZ117" s="437"/>
      <c r="FA117" s="437"/>
      <c r="FB117" s="442"/>
      <c r="FC117" s="441"/>
      <c r="FD117" s="437"/>
      <c r="FE117" s="437"/>
      <c r="FF117" s="442"/>
      <c r="FG117" s="441"/>
      <c r="FH117" s="437"/>
      <c r="FI117" s="437"/>
      <c r="FJ117" s="442"/>
      <c r="FK117" s="441"/>
      <c r="FL117" s="437"/>
      <c r="FM117" s="437"/>
      <c r="FN117" s="442"/>
      <c r="FO117" s="441"/>
      <c r="FP117" s="437"/>
      <c r="FQ117" s="437"/>
      <c r="FR117" s="442"/>
      <c r="FS117" s="441"/>
      <c r="FT117" s="437"/>
      <c r="FU117" s="437"/>
      <c r="FV117" s="442"/>
      <c r="FW117" s="441"/>
      <c r="FX117" s="437"/>
      <c r="FY117" s="437"/>
      <c r="FZ117" s="442"/>
      <c r="GA117" s="441"/>
      <c r="GB117" s="437"/>
      <c r="GC117" s="437"/>
      <c r="GD117" s="442"/>
      <c r="GE117" s="441"/>
      <c r="GF117" s="437"/>
      <c r="GG117" s="437"/>
      <c r="GH117" s="442"/>
      <c r="GI117" s="441"/>
      <c r="GJ117" s="437"/>
      <c r="GK117" s="437"/>
      <c r="GL117" s="442"/>
      <c r="GM117" s="441"/>
      <c r="GN117" s="437"/>
      <c r="GO117" s="437"/>
      <c r="GP117" s="442"/>
      <c r="GQ117" s="441"/>
      <c r="GR117" s="437"/>
      <c r="GS117" s="437"/>
      <c r="GT117" s="442"/>
      <c r="GU117" s="441"/>
      <c r="GV117" s="437"/>
      <c r="GW117" s="437"/>
      <c r="GX117" s="442"/>
      <c r="GY117" s="441"/>
      <c r="GZ117" s="437"/>
      <c r="HA117" s="437"/>
      <c r="HB117" s="442"/>
      <c r="HC117" s="429">
        <f t="shared" si="83"/>
        <v>0</v>
      </c>
      <c r="HD117" s="430">
        <f t="shared" si="83"/>
        <v>0</v>
      </c>
      <c r="HE117" s="430">
        <f t="shared" si="83"/>
        <v>0</v>
      </c>
      <c r="HF117" s="431"/>
      <c r="HG117" s="429">
        <f>SUM(SUMIFS(K117:HB117,$K$13:$HB$13,{"エネルギー管理指定工場等*","県域*"}))</f>
        <v>0</v>
      </c>
      <c r="HH117" s="430">
        <f>SUM(SUMIFS(L117:HC117,$K$13:$HB$13,{"エネルギー管理指定工場等*","県域*"}))</f>
        <v>0</v>
      </c>
      <c r="HI117" s="430">
        <f>SUM(SUMIFS(M117:HD117,$K$13:$HB$13,{"エネルギー管理指定工場等*","県域*"}))</f>
        <v>0</v>
      </c>
      <c r="HJ117" s="431"/>
      <c r="IE117" s="579"/>
      <c r="IF117" s="579"/>
      <c r="IG117" s="579"/>
      <c r="IH117" s="579"/>
    </row>
    <row r="118" spans="2:242" s="164" customFormat="1" ht="20.100000000000001" customHeight="1">
      <c r="B118" s="421" t="s">
        <v>1399</v>
      </c>
      <c r="C118" s="422"/>
      <c r="D118" s="422"/>
      <c r="E118" s="422"/>
      <c r="F118" s="422"/>
      <c r="G118" s="423"/>
      <c r="H118" s="424"/>
      <c r="I118" s="425"/>
      <c r="J118" s="426"/>
      <c r="K118" s="427"/>
      <c r="L118" s="422"/>
      <c r="M118" s="422"/>
      <c r="N118" s="428"/>
      <c r="O118" s="427"/>
      <c r="P118" s="422"/>
      <c r="Q118" s="422"/>
      <c r="R118" s="428"/>
      <c r="S118" s="427"/>
      <c r="T118" s="422"/>
      <c r="U118" s="422"/>
      <c r="V118" s="428"/>
      <c r="W118" s="427"/>
      <c r="X118" s="422"/>
      <c r="Y118" s="422"/>
      <c r="Z118" s="428"/>
      <c r="AA118" s="427"/>
      <c r="AB118" s="422"/>
      <c r="AC118" s="422"/>
      <c r="AD118" s="428"/>
      <c r="AE118" s="427"/>
      <c r="AF118" s="422"/>
      <c r="AG118" s="422"/>
      <c r="AH118" s="428"/>
      <c r="AI118" s="427"/>
      <c r="AJ118" s="422"/>
      <c r="AK118" s="422"/>
      <c r="AL118" s="428"/>
      <c r="AM118" s="427"/>
      <c r="AN118" s="422"/>
      <c r="AO118" s="422"/>
      <c r="AP118" s="428"/>
      <c r="AQ118" s="427"/>
      <c r="AR118" s="422"/>
      <c r="AS118" s="422"/>
      <c r="AT118" s="428"/>
      <c r="AU118" s="427"/>
      <c r="AV118" s="422"/>
      <c r="AW118" s="422"/>
      <c r="AX118" s="428"/>
      <c r="AY118" s="427"/>
      <c r="AZ118" s="422"/>
      <c r="BA118" s="422"/>
      <c r="BB118" s="428"/>
      <c r="BC118" s="427"/>
      <c r="BD118" s="422"/>
      <c r="BE118" s="422"/>
      <c r="BF118" s="428"/>
      <c r="BG118" s="427"/>
      <c r="BH118" s="422"/>
      <c r="BI118" s="422"/>
      <c r="BJ118" s="428"/>
      <c r="BK118" s="427"/>
      <c r="BL118" s="422"/>
      <c r="BM118" s="422"/>
      <c r="BN118" s="428"/>
      <c r="BO118" s="427"/>
      <c r="BP118" s="422"/>
      <c r="BQ118" s="422"/>
      <c r="BR118" s="428"/>
      <c r="BS118" s="427"/>
      <c r="BT118" s="422"/>
      <c r="BU118" s="422"/>
      <c r="BV118" s="428"/>
      <c r="BW118" s="427"/>
      <c r="BX118" s="422"/>
      <c r="BY118" s="422"/>
      <c r="BZ118" s="428"/>
      <c r="CA118" s="427"/>
      <c r="CB118" s="422"/>
      <c r="CC118" s="422"/>
      <c r="CD118" s="428"/>
      <c r="CE118" s="427"/>
      <c r="CF118" s="422"/>
      <c r="CG118" s="422"/>
      <c r="CH118" s="428"/>
      <c r="CI118" s="427"/>
      <c r="CJ118" s="422"/>
      <c r="CK118" s="422"/>
      <c r="CL118" s="428"/>
      <c r="CM118" s="427"/>
      <c r="CN118" s="422"/>
      <c r="CO118" s="422"/>
      <c r="CP118" s="428"/>
      <c r="CQ118" s="427"/>
      <c r="CR118" s="422"/>
      <c r="CS118" s="422"/>
      <c r="CT118" s="428"/>
      <c r="CU118" s="427"/>
      <c r="CV118" s="422"/>
      <c r="CW118" s="422"/>
      <c r="CX118" s="428"/>
      <c r="CY118" s="427"/>
      <c r="CZ118" s="422"/>
      <c r="DA118" s="422"/>
      <c r="DB118" s="428"/>
      <c r="DC118" s="427"/>
      <c r="DD118" s="422"/>
      <c r="DE118" s="422"/>
      <c r="DF118" s="428"/>
      <c r="DG118" s="427"/>
      <c r="DH118" s="422"/>
      <c r="DI118" s="422"/>
      <c r="DJ118" s="428"/>
      <c r="DK118" s="427"/>
      <c r="DL118" s="422"/>
      <c r="DM118" s="422"/>
      <c r="DN118" s="428"/>
      <c r="DO118" s="427"/>
      <c r="DP118" s="422"/>
      <c r="DQ118" s="422"/>
      <c r="DR118" s="428"/>
      <c r="DS118" s="427"/>
      <c r="DT118" s="422"/>
      <c r="DU118" s="422"/>
      <c r="DV118" s="428"/>
      <c r="DW118" s="427"/>
      <c r="DX118" s="422"/>
      <c r="DY118" s="422"/>
      <c r="DZ118" s="428"/>
      <c r="EA118" s="427"/>
      <c r="EB118" s="422"/>
      <c r="EC118" s="422"/>
      <c r="ED118" s="428"/>
      <c r="EE118" s="427"/>
      <c r="EF118" s="422"/>
      <c r="EG118" s="422"/>
      <c r="EH118" s="428"/>
      <c r="EI118" s="427"/>
      <c r="EJ118" s="422"/>
      <c r="EK118" s="422"/>
      <c r="EL118" s="428"/>
      <c r="EM118" s="427"/>
      <c r="EN118" s="422"/>
      <c r="EO118" s="422"/>
      <c r="EP118" s="428"/>
      <c r="EQ118" s="427"/>
      <c r="ER118" s="422"/>
      <c r="ES118" s="422"/>
      <c r="ET118" s="428"/>
      <c r="EU118" s="427"/>
      <c r="EV118" s="422"/>
      <c r="EW118" s="422"/>
      <c r="EX118" s="428"/>
      <c r="EY118" s="427"/>
      <c r="EZ118" s="422"/>
      <c r="FA118" s="422"/>
      <c r="FB118" s="428"/>
      <c r="FC118" s="427"/>
      <c r="FD118" s="422"/>
      <c r="FE118" s="422"/>
      <c r="FF118" s="428"/>
      <c r="FG118" s="427"/>
      <c r="FH118" s="422"/>
      <c r="FI118" s="422"/>
      <c r="FJ118" s="428"/>
      <c r="FK118" s="427"/>
      <c r="FL118" s="422"/>
      <c r="FM118" s="422"/>
      <c r="FN118" s="428"/>
      <c r="FO118" s="427"/>
      <c r="FP118" s="422"/>
      <c r="FQ118" s="422"/>
      <c r="FR118" s="428"/>
      <c r="FS118" s="427"/>
      <c r="FT118" s="422"/>
      <c r="FU118" s="422"/>
      <c r="FV118" s="428"/>
      <c r="FW118" s="427"/>
      <c r="FX118" s="422"/>
      <c r="FY118" s="422"/>
      <c r="FZ118" s="428"/>
      <c r="GA118" s="427"/>
      <c r="GB118" s="422"/>
      <c r="GC118" s="422"/>
      <c r="GD118" s="428"/>
      <c r="GE118" s="427"/>
      <c r="GF118" s="422"/>
      <c r="GG118" s="422"/>
      <c r="GH118" s="428"/>
      <c r="GI118" s="427"/>
      <c r="GJ118" s="422"/>
      <c r="GK118" s="422"/>
      <c r="GL118" s="428"/>
      <c r="GM118" s="427"/>
      <c r="GN118" s="422"/>
      <c r="GO118" s="422"/>
      <c r="GP118" s="428"/>
      <c r="GQ118" s="427"/>
      <c r="GR118" s="422"/>
      <c r="GS118" s="422"/>
      <c r="GT118" s="428"/>
      <c r="GU118" s="427"/>
      <c r="GV118" s="422"/>
      <c r="GW118" s="422"/>
      <c r="GX118" s="428"/>
      <c r="GY118" s="427"/>
      <c r="GZ118" s="422"/>
      <c r="HA118" s="422"/>
      <c r="HB118" s="428"/>
      <c r="HC118" s="434">
        <f t="shared" si="83"/>
        <v>0</v>
      </c>
      <c r="HD118" s="432">
        <f t="shared" si="83"/>
        <v>0</v>
      </c>
      <c r="HE118" s="432">
        <f t="shared" si="83"/>
        <v>0</v>
      </c>
      <c r="HF118" s="433"/>
      <c r="HG118" s="434">
        <f>SUM(SUMIFS(K118:HB118,$K$13:$HB$13,{"エネルギー管理指定工場等*","県域*"}))</f>
        <v>0</v>
      </c>
      <c r="HH118" s="432">
        <f>SUM(SUMIFS(L118:HC118,$K$13:$HB$13,{"エネルギー管理指定工場等*","県域*"}))</f>
        <v>0</v>
      </c>
      <c r="HI118" s="432">
        <f>SUM(SUMIFS(M118:HD118,$K$13:$HB$13,{"エネルギー管理指定工場等*","県域*"}))</f>
        <v>0</v>
      </c>
      <c r="HJ118" s="433"/>
      <c r="IE118" s="579"/>
      <c r="IF118" s="579"/>
      <c r="IG118" s="579"/>
      <c r="IH118" s="579"/>
    </row>
    <row r="119" spans="2:242" s="164" customFormat="1" ht="20.100000000000001" customHeight="1">
      <c r="B119" s="421" t="s">
        <v>1400</v>
      </c>
      <c r="C119" s="422"/>
      <c r="D119" s="422"/>
      <c r="E119" s="422"/>
      <c r="F119" s="422"/>
      <c r="G119" s="423"/>
      <c r="H119" s="424"/>
      <c r="I119" s="425"/>
      <c r="J119" s="426"/>
      <c r="K119" s="427"/>
      <c r="L119" s="422"/>
      <c r="M119" s="422"/>
      <c r="N119" s="428"/>
      <c r="O119" s="427"/>
      <c r="P119" s="422"/>
      <c r="Q119" s="422"/>
      <c r="R119" s="428"/>
      <c r="S119" s="427"/>
      <c r="T119" s="422"/>
      <c r="U119" s="422"/>
      <c r="V119" s="428"/>
      <c r="W119" s="427"/>
      <c r="X119" s="422"/>
      <c r="Y119" s="422"/>
      <c r="Z119" s="428"/>
      <c r="AA119" s="427"/>
      <c r="AB119" s="422"/>
      <c r="AC119" s="422"/>
      <c r="AD119" s="428"/>
      <c r="AE119" s="427"/>
      <c r="AF119" s="422"/>
      <c r="AG119" s="422"/>
      <c r="AH119" s="428"/>
      <c r="AI119" s="427"/>
      <c r="AJ119" s="422"/>
      <c r="AK119" s="422"/>
      <c r="AL119" s="428"/>
      <c r="AM119" s="427"/>
      <c r="AN119" s="422"/>
      <c r="AO119" s="422"/>
      <c r="AP119" s="428"/>
      <c r="AQ119" s="427"/>
      <c r="AR119" s="422"/>
      <c r="AS119" s="422"/>
      <c r="AT119" s="428"/>
      <c r="AU119" s="427"/>
      <c r="AV119" s="422"/>
      <c r="AW119" s="422"/>
      <c r="AX119" s="428"/>
      <c r="AY119" s="427"/>
      <c r="AZ119" s="422"/>
      <c r="BA119" s="422"/>
      <c r="BB119" s="428"/>
      <c r="BC119" s="427"/>
      <c r="BD119" s="422"/>
      <c r="BE119" s="422"/>
      <c r="BF119" s="428"/>
      <c r="BG119" s="427"/>
      <c r="BH119" s="422"/>
      <c r="BI119" s="422"/>
      <c r="BJ119" s="428"/>
      <c r="BK119" s="427"/>
      <c r="BL119" s="422"/>
      <c r="BM119" s="422"/>
      <c r="BN119" s="428"/>
      <c r="BO119" s="427"/>
      <c r="BP119" s="422"/>
      <c r="BQ119" s="422"/>
      <c r="BR119" s="428"/>
      <c r="BS119" s="427"/>
      <c r="BT119" s="422"/>
      <c r="BU119" s="422"/>
      <c r="BV119" s="428"/>
      <c r="BW119" s="427"/>
      <c r="BX119" s="422"/>
      <c r="BY119" s="422"/>
      <c r="BZ119" s="428"/>
      <c r="CA119" s="427"/>
      <c r="CB119" s="422"/>
      <c r="CC119" s="422"/>
      <c r="CD119" s="428"/>
      <c r="CE119" s="427"/>
      <c r="CF119" s="422"/>
      <c r="CG119" s="422"/>
      <c r="CH119" s="428"/>
      <c r="CI119" s="427"/>
      <c r="CJ119" s="422"/>
      <c r="CK119" s="422"/>
      <c r="CL119" s="428"/>
      <c r="CM119" s="427"/>
      <c r="CN119" s="422"/>
      <c r="CO119" s="422"/>
      <c r="CP119" s="428"/>
      <c r="CQ119" s="427"/>
      <c r="CR119" s="422"/>
      <c r="CS119" s="422"/>
      <c r="CT119" s="428"/>
      <c r="CU119" s="427"/>
      <c r="CV119" s="422"/>
      <c r="CW119" s="422"/>
      <c r="CX119" s="428"/>
      <c r="CY119" s="427"/>
      <c r="CZ119" s="422"/>
      <c r="DA119" s="422"/>
      <c r="DB119" s="428"/>
      <c r="DC119" s="427"/>
      <c r="DD119" s="422"/>
      <c r="DE119" s="422"/>
      <c r="DF119" s="428"/>
      <c r="DG119" s="427"/>
      <c r="DH119" s="422"/>
      <c r="DI119" s="422"/>
      <c r="DJ119" s="428"/>
      <c r="DK119" s="427"/>
      <c r="DL119" s="422"/>
      <c r="DM119" s="422"/>
      <c r="DN119" s="428"/>
      <c r="DO119" s="427"/>
      <c r="DP119" s="422"/>
      <c r="DQ119" s="422"/>
      <c r="DR119" s="428"/>
      <c r="DS119" s="427"/>
      <c r="DT119" s="422"/>
      <c r="DU119" s="422"/>
      <c r="DV119" s="428"/>
      <c r="DW119" s="427"/>
      <c r="DX119" s="422"/>
      <c r="DY119" s="422"/>
      <c r="DZ119" s="428"/>
      <c r="EA119" s="427"/>
      <c r="EB119" s="422"/>
      <c r="EC119" s="422"/>
      <c r="ED119" s="428"/>
      <c r="EE119" s="427"/>
      <c r="EF119" s="422"/>
      <c r="EG119" s="422"/>
      <c r="EH119" s="428"/>
      <c r="EI119" s="427"/>
      <c r="EJ119" s="422"/>
      <c r="EK119" s="422"/>
      <c r="EL119" s="428"/>
      <c r="EM119" s="427"/>
      <c r="EN119" s="422"/>
      <c r="EO119" s="422"/>
      <c r="EP119" s="428"/>
      <c r="EQ119" s="427"/>
      <c r="ER119" s="422"/>
      <c r="ES119" s="422"/>
      <c r="ET119" s="428"/>
      <c r="EU119" s="427"/>
      <c r="EV119" s="422"/>
      <c r="EW119" s="422"/>
      <c r="EX119" s="428"/>
      <c r="EY119" s="427"/>
      <c r="EZ119" s="422"/>
      <c r="FA119" s="422"/>
      <c r="FB119" s="428"/>
      <c r="FC119" s="427"/>
      <c r="FD119" s="422"/>
      <c r="FE119" s="422"/>
      <c r="FF119" s="428"/>
      <c r="FG119" s="427"/>
      <c r="FH119" s="422"/>
      <c r="FI119" s="422"/>
      <c r="FJ119" s="428"/>
      <c r="FK119" s="427"/>
      <c r="FL119" s="422"/>
      <c r="FM119" s="422"/>
      <c r="FN119" s="428"/>
      <c r="FO119" s="427"/>
      <c r="FP119" s="422"/>
      <c r="FQ119" s="422"/>
      <c r="FR119" s="428"/>
      <c r="FS119" s="427"/>
      <c r="FT119" s="422"/>
      <c r="FU119" s="422"/>
      <c r="FV119" s="428"/>
      <c r="FW119" s="427"/>
      <c r="FX119" s="422"/>
      <c r="FY119" s="422"/>
      <c r="FZ119" s="428"/>
      <c r="GA119" s="427"/>
      <c r="GB119" s="422"/>
      <c r="GC119" s="422"/>
      <c r="GD119" s="428"/>
      <c r="GE119" s="427"/>
      <c r="GF119" s="422"/>
      <c r="GG119" s="422"/>
      <c r="GH119" s="428"/>
      <c r="GI119" s="427"/>
      <c r="GJ119" s="422"/>
      <c r="GK119" s="422"/>
      <c r="GL119" s="428"/>
      <c r="GM119" s="427"/>
      <c r="GN119" s="422"/>
      <c r="GO119" s="422"/>
      <c r="GP119" s="428"/>
      <c r="GQ119" s="427"/>
      <c r="GR119" s="422"/>
      <c r="GS119" s="422"/>
      <c r="GT119" s="428"/>
      <c r="GU119" s="427"/>
      <c r="GV119" s="422"/>
      <c r="GW119" s="422"/>
      <c r="GX119" s="428"/>
      <c r="GY119" s="427"/>
      <c r="GZ119" s="422"/>
      <c r="HA119" s="422"/>
      <c r="HB119" s="428"/>
      <c r="HC119" s="434">
        <f t="shared" si="83"/>
        <v>0</v>
      </c>
      <c r="HD119" s="432">
        <f t="shared" si="83"/>
        <v>0</v>
      </c>
      <c r="HE119" s="432">
        <f t="shared" si="83"/>
        <v>0</v>
      </c>
      <c r="HF119" s="433"/>
      <c r="HG119" s="434">
        <f>SUM(SUMIFS(K119:HB119,$K$13:$HB$13,{"エネルギー管理指定工場等*","県域*"}))</f>
        <v>0</v>
      </c>
      <c r="HH119" s="432">
        <f>SUM(SUMIFS(L119:HC119,$K$13:$HB$13,{"エネルギー管理指定工場等*","県域*"}))</f>
        <v>0</v>
      </c>
      <c r="HI119" s="432">
        <f>SUM(SUMIFS(M119:HD119,$K$13:$HB$13,{"エネルギー管理指定工場等*","県域*"}))</f>
        <v>0</v>
      </c>
      <c r="HJ119" s="433"/>
      <c r="IE119" s="579"/>
      <c r="IF119" s="579"/>
      <c r="IG119" s="579"/>
      <c r="IH119" s="579"/>
    </row>
    <row r="120" spans="2:242" s="164" customFormat="1" ht="20.100000000000001" customHeight="1">
      <c r="B120" s="421" t="s">
        <v>1401</v>
      </c>
      <c r="C120" s="422"/>
      <c r="D120" s="422"/>
      <c r="E120" s="422"/>
      <c r="F120" s="422"/>
      <c r="G120" s="423"/>
      <c r="H120" s="424"/>
      <c r="I120" s="425"/>
      <c r="J120" s="426"/>
      <c r="K120" s="427"/>
      <c r="L120" s="422"/>
      <c r="M120" s="422"/>
      <c r="N120" s="428"/>
      <c r="O120" s="427"/>
      <c r="P120" s="422"/>
      <c r="Q120" s="422"/>
      <c r="R120" s="428"/>
      <c r="S120" s="427"/>
      <c r="T120" s="422"/>
      <c r="U120" s="422"/>
      <c r="V120" s="428"/>
      <c r="W120" s="427"/>
      <c r="X120" s="422"/>
      <c r="Y120" s="422"/>
      <c r="Z120" s="428"/>
      <c r="AA120" s="427"/>
      <c r="AB120" s="422"/>
      <c r="AC120" s="422"/>
      <c r="AD120" s="428"/>
      <c r="AE120" s="427"/>
      <c r="AF120" s="422"/>
      <c r="AG120" s="422"/>
      <c r="AH120" s="428"/>
      <c r="AI120" s="427"/>
      <c r="AJ120" s="422"/>
      <c r="AK120" s="422"/>
      <c r="AL120" s="428"/>
      <c r="AM120" s="427"/>
      <c r="AN120" s="422"/>
      <c r="AO120" s="422"/>
      <c r="AP120" s="428"/>
      <c r="AQ120" s="427"/>
      <c r="AR120" s="422"/>
      <c r="AS120" s="422"/>
      <c r="AT120" s="428"/>
      <c r="AU120" s="427"/>
      <c r="AV120" s="422"/>
      <c r="AW120" s="422"/>
      <c r="AX120" s="428"/>
      <c r="AY120" s="427"/>
      <c r="AZ120" s="422"/>
      <c r="BA120" s="422"/>
      <c r="BB120" s="428"/>
      <c r="BC120" s="427"/>
      <c r="BD120" s="422"/>
      <c r="BE120" s="422"/>
      <c r="BF120" s="428"/>
      <c r="BG120" s="427"/>
      <c r="BH120" s="422"/>
      <c r="BI120" s="422"/>
      <c r="BJ120" s="428"/>
      <c r="BK120" s="427"/>
      <c r="BL120" s="422"/>
      <c r="BM120" s="422"/>
      <c r="BN120" s="428"/>
      <c r="BO120" s="427"/>
      <c r="BP120" s="422"/>
      <c r="BQ120" s="422"/>
      <c r="BR120" s="428"/>
      <c r="BS120" s="427"/>
      <c r="BT120" s="422"/>
      <c r="BU120" s="422"/>
      <c r="BV120" s="428"/>
      <c r="BW120" s="427"/>
      <c r="BX120" s="422"/>
      <c r="BY120" s="422"/>
      <c r="BZ120" s="428"/>
      <c r="CA120" s="427"/>
      <c r="CB120" s="422"/>
      <c r="CC120" s="422"/>
      <c r="CD120" s="428"/>
      <c r="CE120" s="427"/>
      <c r="CF120" s="422"/>
      <c r="CG120" s="422"/>
      <c r="CH120" s="428"/>
      <c r="CI120" s="427"/>
      <c r="CJ120" s="422"/>
      <c r="CK120" s="422"/>
      <c r="CL120" s="428"/>
      <c r="CM120" s="427"/>
      <c r="CN120" s="422"/>
      <c r="CO120" s="422"/>
      <c r="CP120" s="428"/>
      <c r="CQ120" s="427"/>
      <c r="CR120" s="422"/>
      <c r="CS120" s="422"/>
      <c r="CT120" s="428"/>
      <c r="CU120" s="427"/>
      <c r="CV120" s="422"/>
      <c r="CW120" s="422"/>
      <c r="CX120" s="428"/>
      <c r="CY120" s="427"/>
      <c r="CZ120" s="422"/>
      <c r="DA120" s="422"/>
      <c r="DB120" s="428"/>
      <c r="DC120" s="427"/>
      <c r="DD120" s="422"/>
      <c r="DE120" s="422"/>
      <c r="DF120" s="428"/>
      <c r="DG120" s="427"/>
      <c r="DH120" s="422"/>
      <c r="DI120" s="422"/>
      <c r="DJ120" s="428"/>
      <c r="DK120" s="427"/>
      <c r="DL120" s="422"/>
      <c r="DM120" s="422"/>
      <c r="DN120" s="428"/>
      <c r="DO120" s="427"/>
      <c r="DP120" s="422"/>
      <c r="DQ120" s="422"/>
      <c r="DR120" s="428"/>
      <c r="DS120" s="427"/>
      <c r="DT120" s="422"/>
      <c r="DU120" s="422"/>
      <c r="DV120" s="428"/>
      <c r="DW120" s="427"/>
      <c r="DX120" s="422"/>
      <c r="DY120" s="422"/>
      <c r="DZ120" s="428"/>
      <c r="EA120" s="427"/>
      <c r="EB120" s="422"/>
      <c r="EC120" s="422"/>
      <c r="ED120" s="428"/>
      <c r="EE120" s="427"/>
      <c r="EF120" s="422"/>
      <c r="EG120" s="422"/>
      <c r="EH120" s="428"/>
      <c r="EI120" s="427"/>
      <c r="EJ120" s="422"/>
      <c r="EK120" s="422"/>
      <c r="EL120" s="428"/>
      <c r="EM120" s="427"/>
      <c r="EN120" s="422"/>
      <c r="EO120" s="422"/>
      <c r="EP120" s="428"/>
      <c r="EQ120" s="427"/>
      <c r="ER120" s="422"/>
      <c r="ES120" s="422"/>
      <c r="ET120" s="428"/>
      <c r="EU120" s="427"/>
      <c r="EV120" s="422"/>
      <c r="EW120" s="422"/>
      <c r="EX120" s="428"/>
      <c r="EY120" s="427"/>
      <c r="EZ120" s="422"/>
      <c r="FA120" s="422"/>
      <c r="FB120" s="428"/>
      <c r="FC120" s="427"/>
      <c r="FD120" s="422"/>
      <c r="FE120" s="422"/>
      <c r="FF120" s="428"/>
      <c r="FG120" s="427"/>
      <c r="FH120" s="422"/>
      <c r="FI120" s="422"/>
      <c r="FJ120" s="428"/>
      <c r="FK120" s="427"/>
      <c r="FL120" s="422"/>
      <c r="FM120" s="422"/>
      <c r="FN120" s="428"/>
      <c r="FO120" s="427"/>
      <c r="FP120" s="422"/>
      <c r="FQ120" s="422"/>
      <c r="FR120" s="428"/>
      <c r="FS120" s="427"/>
      <c r="FT120" s="422"/>
      <c r="FU120" s="422"/>
      <c r="FV120" s="428"/>
      <c r="FW120" s="427"/>
      <c r="FX120" s="422"/>
      <c r="FY120" s="422"/>
      <c r="FZ120" s="428"/>
      <c r="GA120" s="427"/>
      <c r="GB120" s="422"/>
      <c r="GC120" s="422"/>
      <c r="GD120" s="428"/>
      <c r="GE120" s="427"/>
      <c r="GF120" s="422"/>
      <c r="GG120" s="422"/>
      <c r="GH120" s="428"/>
      <c r="GI120" s="427"/>
      <c r="GJ120" s="422"/>
      <c r="GK120" s="422"/>
      <c r="GL120" s="428"/>
      <c r="GM120" s="427"/>
      <c r="GN120" s="422"/>
      <c r="GO120" s="422"/>
      <c r="GP120" s="428"/>
      <c r="GQ120" s="427"/>
      <c r="GR120" s="422"/>
      <c r="GS120" s="422"/>
      <c r="GT120" s="428"/>
      <c r="GU120" s="427"/>
      <c r="GV120" s="422"/>
      <c r="GW120" s="422"/>
      <c r="GX120" s="428"/>
      <c r="GY120" s="427"/>
      <c r="GZ120" s="422"/>
      <c r="HA120" s="422"/>
      <c r="HB120" s="428"/>
      <c r="HC120" s="434">
        <f t="shared" si="83"/>
        <v>0</v>
      </c>
      <c r="HD120" s="432">
        <f t="shared" si="83"/>
        <v>0</v>
      </c>
      <c r="HE120" s="432">
        <f t="shared" si="83"/>
        <v>0</v>
      </c>
      <c r="HF120" s="433"/>
      <c r="HG120" s="434">
        <f>SUM(SUMIFS(K120:HB120,$K$13:$HB$13,{"エネルギー管理指定工場等*","県域*"}))</f>
        <v>0</v>
      </c>
      <c r="HH120" s="432">
        <f>SUM(SUMIFS(L120:HC120,$K$13:$HB$13,{"エネルギー管理指定工場等*","県域*"}))</f>
        <v>0</v>
      </c>
      <c r="HI120" s="432">
        <f>SUM(SUMIFS(M120:HD120,$K$13:$HB$13,{"エネルギー管理指定工場等*","県域*"}))</f>
        <v>0</v>
      </c>
      <c r="HJ120" s="433"/>
      <c r="IE120" s="579"/>
      <c r="IF120" s="579"/>
      <c r="IG120" s="579"/>
      <c r="IH120" s="579"/>
    </row>
    <row r="121" spans="2:242" s="164" customFormat="1" ht="20.100000000000001" customHeight="1">
      <c r="B121" s="443" t="s">
        <v>1402</v>
      </c>
      <c r="C121" s="422"/>
      <c r="D121" s="422"/>
      <c r="E121" s="422"/>
      <c r="F121" s="444"/>
      <c r="G121" s="445"/>
      <c r="H121" s="424"/>
      <c r="I121" s="425"/>
      <c r="J121" s="426"/>
      <c r="K121" s="427"/>
      <c r="L121" s="422"/>
      <c r="M121" s="422"/>
      <c r="N121" s="428"/>
      <c r="O121" s="427"/>
      <c r="P121" s="422"/>
      <c r="Q121" s="422"/>
      <c r="R121" s="428"/>
      <c r="S121" s="427"/>
      <c r="T121" s="422"/>
      <c r="U121" s="422"/>
      <c r="V121" s="428"/>
      <c r="W121" s="427"/>
      <c r="X121" s="422"/>
      <c r="Y121" s="422"/>
      <c r="Z121" s="428"/>
      <c r="AA121" s="427"/>
      <c r="AB121" s="422"/>
      <c r="AC121" s="422"/>
      <c r="AD121" s="428"/>
      <c r="AE121" s="427"/>
      <c r="AF121" s="422"/>
      <c r="AG121" s="422"/>
      <c r="AH121" s="428"/>
      <c r="AI121" s="427"/>
      <c r="AJ121" s="422"/>
      <c r="AK121" s="422"/>
      <c r="AL121" s="428"/>
      <c r="AM121" s="427"/>
      <c r="AN121" s="422"/>
      <c r="AO121" s="422"/>
      <c r="AP121" s="428"/>
      <c r="AQ121" s="427"/>
      <c r="AR121" s="422"/>
      <c r="AS121" s="422"/>
      <c r="AT121" s="428"/>
      <c r="AU121" s="427"/>
      <c r="AV121" s="422"/>
      <c r="AW121" s="422"/>
      <c r="AX121" s="428"/>
      <c r="AY121" s="427"/>
      <c r="AZ121" s="422"/>
      <c r="BA121" s="422"/>
      <c r="BB121" s="428"/>
      <c r="BC121" s="427"/>
      <c r="BD121" s="422"/>
      <c r="BE121" s="422"/>
      <c r="BF121" s="428"/>
      <c r="BG121" s="427"/>
      <c r="BH121" s="422"/>
      <c r="BI121" s="422"/>
      <c r="BJ121" s="428"/>
      <c r="BK121" s="427"/>
      <c r="BL121" s="422"/>
      <c r="BM121" s="422"/>
      <c r="BN121" s="428"/>
      <c r="BO121" s="427"/>
      <c r="BP121" s="422"/>
      <c r="BQ121" s="422"/>
      <c r="BR121" s="428"/>
      <c r="BS121" s="427"/>
      <c r="BT121" s="422"/>
      <c r="BU121" s="422"/>
      <c r="BV121" s="428"/>
      <c r="BW121" s="427"/>
      <c r="BX121" s="422"/>
      <c r="BY121" s="422"/>
      <c r="BZ121" s="428"/>
      <c r="CA121" s="427"/>
      <c r="CB121" s="422"/>
      <c r="CC121" s="422"/>
      <c r="CD121" s="428"/>
      <c r="CE121" s="427"/>
      <c r="CF121" s="422"/>
      <c r="CG121" s="422"/>
      <c r="CH121" s="428"/>
      <c r="CI121" s="427"/>
      <c r="CJ121" s="422"/>
      <c r="CK121" s="422"/>
      <c r="CL121" s="428"/>
      <c r="CM121" s="427"/>
      <c r="CN121" s="422"/>
      <c r="CO121" s="422"/>
      <c r="CP121" s="428"/>
      <c r="CQ121" s="427"/>
      <c r="CR121" s="422"/>
      <c r="CS121" s="422"/>
      <c r="CT121" s="428"/>
      <c r="CU121" s="427"/>
      <c r="CV121" s="422"/>
      <c r="CW121" s="422"/>
      <c r="CX121" s="428"/>
      <c r="CY121" s="427"/>
      <c r="CZ121" s="422"/>
      <c r="DA121" s="422"/>
      <c r="DB121" s="428"/>
      <c r="DC121" s="427"/>
      <c r="DD121" s="422"/>
      <c r="DE121" s="422"/>
      <c r="DF121" s="428"/>
      <c r="DG121" s="427"/>
      <c r="DH121" s="422"/>
      <c r="DI121" s="422"/>
      <c r="DJ121" s="428"/>
      <c r="DK121" s="427"/>
      <c r="DL121" s="422"/>
      <c r="DM121" s="422"/>
      <c r="DN121" s="428"/>
      <c r="DO121" s="427"/>
      <c r="DP121" s="422"/>
      <c r="DQ121" s="422"/>
      <c r="DR121" s="428"/>
      <c r="DS121" s="427"/>
      <c r="DT121" s="422"/>
      <c r="DU121" s="422"/>
      <c r="DV121" s="428"/>
      <c r="DW121" s="427"/>
      <c r="DX121" s="422"/>
      <c r="DY121" s="422"/>
      <c r="DZ121" s="428"/>
      <c r="EA121" s="427"/>
      <c r="EB121" s="422"/>
      <c r="EC121" s="422"/>
      <c r="ED121" s="428"/>
      <c r="EE121" s="427"/>
      <c r="EF121" s="422"/>
      <c r="EG121" s="422"/>
      <c r="EH121" s="428"/>
      <c r="EI121" s="427"/>
      <c r="EJ121" s="422"/>
      <c r="EK121" s="422"/>
      <c r="EL121" s="428"/>
      <c r="EM121" s="427"/>
      <c r="EN121" s="422"/>
      <c r="EO121" s="422"/>
      <c r="EP121" s="428"/>
      <c r="EQ121" s="427"/>
      <c r="ER121" s="422"/>
      <c r="ES121" s="422"/>
      <c r="ET121" s="428"/>
      <c r="EU121" s="427"/>
      <c r="EV121" s="422"/>
      <c r="EW121" s="422"/>
      <c r="EX121" s="428"/>
      <c r="EY121" s="427"/>
      <c r="EZ121" s="422"/>
      <c r="FA121" s="422"/>
      <c r="FB121" s="428"/>
      <c r="FC121" s="427"/>
      <c r="FD121" s="422"/>
      <c r="FE121" s="422"/>
      <c r="FF121" s="428"/>
      <c r="FG121" s="427"/>
      <c r="FH121" s="422"/>
      <c r="FI121" s="422"/>
      <c r="FJ121" s="428"/>
      <c r="FK121" s="427"/>
      <c r="FL121" s="422"/>
      <c r="FM121" s="422"/>
      <c r="FN121" s="428"/>
      <c r="FO121" s="427"/>
      <c r="FP121" s="422"/>
      <c r="FQ121" s="422"/>
      <c r="FR121" s="428"/>
      <c r="FS121" s="427"/>
      <c r="FT121" s="422"/>
      <c r="FU121" s="422"/>
      <c r="FV121" s="428"/>
      <c r="FW121" s="427"/>
      <c r="FX121" s="422"/>
      <c r="FY121" s="422"/>
      <c r="FZ121" s="428"/>
      <c r="GA121" s="427"/>
      <c r="GB121" s="422"/>
      <c r="GC121" s="422"/>
      <c r="GD121" s="428"/>
      <c r="GE121" s="427"/>
      <c r="GF121" s="422"/>
      <c r="GG121" s="422"/>
      <c r="GH121" s="428"/>
      <c r="GI121" s="427"/>
      <c r="GJ121" s="422"/>
      <c r="GK121" s="422"/>
      <c r="GL121" s="428"/>
      <c r="GM121" s="427"/>
      <c r="GN121" s="422"/>
      <c r="GO121" s="422"/>
      <c r="GP121" s="428"/>
      <c r="GQ121" s="427"/>
      <c r="GR121" s="422"/>
      <c r="GS121" s="422"/>
      <c r="GT121" s="428"/>
      <c r="GU121" s="427"/>
      <c r="GV121" s="422"/>
      <c r="GW121" s="422"/>
      <c r="GX121" s="428"/>
      <c r="GY121" s="427"/>
      <c r="GZ121" s="422"/>
      <c r="HA121" s="422"/>
      <c r="HB121" s="428"/>
      <c r="HC121" s="446">
        <f t="shared" si="83"/>
        <v>0</v>
      </c>
      <c r="HD121" s="447">
        <f t="shared" si="83"/>
        <v>0</v>
      </c>
      <c r="HE121" s="447">
        <f t="shared" si="83"/>
        <v>0</v>
      </c>
      <c r="HF121" s="448"/>
      <c r="HG121" s="446">
        <f>SUM(SUMIFS(K121:HB121,$K$13:$HB$13,{"エネルギー管理指定工場等*","県域*"}))</f>
        <v>0</v>
      </c>
      <c r="HH121" s="447">
        <f>SUM(SUMIFS(L121:HC121,$K$13:$HB$13,{"エネルギー管理指定工場等*","県域*"}))</f>
        <v>0</v>
      </c>
      <c r="HI121" s="447">
        <f>SUM(SUMIFS(M121:HD121,$K$13:$HB$13,{"エネルギー管理指定工場等*","県域*"}))</f>
        <v>0</v>
      </c>
      <c r="HJ121" s="448"/>
      <c r="IE121" s="579"/>
      <c r="IF121" s="579"/>
      <c r="IG121" s="579"/>
      <c r="IH121" s="579"/>
    </row>
    <row r="122" spans="2:242" s="164" customFormat="1" ht="20.100000000000001" customHeight="1">
      <c r="B122" s="410" t="s">
        <v>1403</v>
      </c>
      <c r="C122" s="411"/>
      <c r="D122" s="411"/>
      <c r="E122" s="411"/>
      <c r="F122" s="411"/>
      <c r="G122" s="411"/>
      <c r="H122" s="436"/>
      <c r="I122" s="425"/>
      <c r="J122" s="426"/>
      <c r="K122" s="416"/>
      <c r="L122" s="449"/>
      <c r="M122" s="411"/>
      <c r="N122" s="450"/>
      <c r="O122" s="416"/>
      <c r="P122" s="449"/>
      <c r="Q122" s="411"/>
      <c r="R122" s="450"/>
      <c r="S122" s="416"/>
      <c r="T122" s="449"/>
      <c r="U122" s="411"/>
      <c r="V122" s="450"/>
      <c r="W122" s="416"/>
      <c r="X122" s="449"/>
      <c r="Y122" s="411"/>
      <c r="Z122" s="450"/>
      <c r="AA122" s="416"/>
      <c r="AB122" s="449"/>
      <c r="AC122" s="411"/>
      <c r="AD122" s="450"/>
      <c r="AE122" s="416"/>
      <c r="AF122" s="449"/>
      <c r="AG122" s="411"/>
      <c r="AH122" s="450"/>
      <c r="AI122" s="416"/>
      <c r="AJ122" s="449"/>
      <c r="AK122" s="411"/>
      <c r="AL122" s="450"/>
      <c r="AM122" s="416"/>
      <c r="AN122" s="449"/>
      <c r="AO122" s="411"/>
      <c r="AP122" s="450"/>
      <c r="AQ122" s="416"/>
      <c r="AR122" s="449"/>
      <c r="AS122" s="411"/>
      <c r="AT122" s="450"/>
      <c r="AU122" s="416"/>
      <c r="AV122" s="449"/>
      <c r="AW122" s="411"/>
      <c r="AX122" s="450"/>
      <c r="AY122" s="416"/>
      <c r="AZ122" s="449"/>
      <c r="BA122" s="411"/>
      <c r="BB122" s="450"/>
      <c r="BC122" s="416"/>
      <c r="BD122" s="449"/>
      <c r="BE122" s="411"/>
      <c r="BF122" s="450"/>
      <c r="BG122" s="416"/>
      <c r="BH122" s="449"/>
      <c r="BI122" s="411"/>
      <c r="BJ122" s="450"/>
      <c r="BK122" s="416"/>
      <c r="BL122" s="449"/>
      <c r="BM122" s="411"/>
      <c r="BN122" s="450"/>
      <c r="BO122" s="416"/>
      <c r="BP122" s="449"/>
      <c r="BQ122" s="411"/>
      <c r="BR122" s="450"/>
      <c r="BS122" s="416"/>
      <c r="BT122" s="449"/>
      <c r="BU122" s="411"/>
      <c r="BV122" s="450"/>
      <c r="BW122" s="416"/>
      <c r="BX122" s="449"/>
      <c r="BY122" s="411"/>
      <c r="BZ122" s="411"/>
      <c r="CA122" s="416"/>
      <c r="CB122" s="449"/>
      <c r="CC122" s="411"/>
      <c r="CD122" s="411"/>
      <c r="CE122" s="416"/>
      <c r="CF122" s="449"/>
      <c r="CG122" s="411"/>
      <c r="CH122" s="411"/>
      <c r="CI122" s="416"/>
      <c r="CJ122" s="449"/>
      <c r="CK122" s="411"/>
      <c r="CL122" s="411"/>
      <c r="CM122" s="416"/>
      <c r="CN122" s="449"/>
      <c r="CO122" s="411"/>
      <c r="CP122" s="411"/>
      <c r="CQ122" s="416"/>
      <c r="CR122" s="449"/>
      <c r="CS122" s="411"/>
      <c r="CT122" s="411"/>
      <c r="CU122" s="416"/>
      <c r="CV122" s="449"/>
      <c r="CW122" s="411"/>
      <c r="CX122" s="411"/>
      <c r="CY122" s="416"/>
      <c r="CZ122" s="449"/>
      <c r="DA122" s="411"/>
      <c r="DB122" s="411"/>
      <c r="DC122" s="416"/>
      <c r="DD122" s="449"/>
      <c r="DE122" s="411"/>
      <c r="DF122" s="411"/>
      <c r="DG122" s="416"/>
      <c r="DH122" s="449"/>
      <c r="DI122" s="411"/>
      <c r="DJ122" s="411"/>
      <c r="DK122" s="416"/>
      <c r="DL122" s="449"/>
      <c r="DM122" s="411"/>
      <c r="DN122" s="411"/>
      <c r="DO122" s="416"/>
      <c r="DP122" s="449"/>
      <c r="DQ122" s="411"/>
      <c r="DR122" s="411"/>
      <c r="DS122" s="416"/>
      <c r="DT122" s="449"/>
      <c r="DU122" s="411"/>
      <c r="DV122" s="411"/>
      <c r="DW122" s="416"/>
      <c r="DX122" s="449"/>
      <c r="DY122" s="411"/>
      <c r="DZ122" s="411"/>
      <c r="EA122" s="416"/>
      <c r="EB122" s="449"/>
      <c r="EC122" s="411"/>
      <c r="ED122" s="411"/>
      <c r="EE122" s="416"/>
      <c r="EF122" s="449"/>
      <c r="EG122" s="411"/>
      <c r="EH122" s="411"/>
      <c r="EI122" s="416"/>
      <c r="EJ122" s="449"/>
      <c r="EK122" s="411"/>
      <c r="EL122" s="411"/>
      <c r="EM122" s="416"/>
      <c r="EN122" s="449"/>
      <c r="EO122" s="411"/>
      <c r="EP122" s="411"/>
      <c r="EQ122" s="416"/>
      <c r="ER122" s="449"/>
      <c r="ES122" s="411"/>
      <c r="ET122" s="411"/>
      <c r="EU122" s="416"/>
      <c r="EV122" s="449"/>
      <c r="EW122" s="411"/>
      <c r="EX122" s="411"/>
      <c r="EY122" s="416"/>
      <c r="EZ122" s="449"/>
      <c r="FA122" s="411"/>
      <c r="FB122" s="411"/>
      <c r="FC122" s="416"/>
      <c r="FD122" s="449"/>
      <c r="FE122" s="411"/>
      <c r="FF122" s="411"/>
      <c r="FG122" s="416"/>
      <c r="FH122" s="449"/>
      <c r="FI122" s="411"/>
      <c r="FJ122" s="411"/>
      <c r="FK122" s="416"/>
      <c r="FL122" s="449"/>
      <c r="FM122" s="411"/>
      <c r="FN122" s="411"/>
      <c r="FO122" s="416"/>
      <c r="FP122" s="449"/>
      <c r="FQ122" s="411"/>
      <c r="FR122" s="411"/>
      <c r="FS122" s="416"/>
      <c r="FT122" s="449"/>
      <c r="FU122" s="411"/>
      <c r="FV122" s="411"/>
      <c r="FW122" s="416"/>
      <c r="FX122" s="449"/>
      <c r="FY122" s="411"/>
      <c r="FZ122" s="411"/>
      <c r="GA122" s="416"/>
      <c r="GB122" s="449"/>
      <c r="GC122" s="411"/>
      <c r="GD122" s="411"/>
      <c r="GE122" s="416"/>
      <c r="GF122" s="449"/>
      <c r="GG122" s="411"/>
      <c r="GH122" s="411"/>
      <c r="GI122" s="416"/>
      <c r="GJ122" s="449"/>
      <c r="GK122" s="411"/>
      <c r="GL122" s="411"/>
      <c r="GM122" s="416"/>
      <c r="GN122" s="449"/>
      <c r="GO122" s="411"/>
      <c r="GP122" s="411"/>
      <c r="GQ122" s="416"/>
      <c r="GR122" s="449"/>
      <c r="GS122" s="411"/>
      <c r="GT122" s="411"/>
      <c r="GU122" s="416"/>
      <c r="GV122" s="449"/>
      <c r="GW122" s="411"/>
      <c r="GX122" s="411"/>
      <c r="GY122" s="416"/>
      <c r="GZ122" s="449"/>
      <c r="HA122" s="411"/>
      <c r="HB122" s="411"/>
      <c r="HC122" s="418">
        <f t="shared" si="83"/>
        <v>0</v>
      </c>
      <c r="HD122" s="451"/>
      <c r="HE122" s="419">
        <f t="shared" si="83"/>
        <v>0</v>
      </c>
      <c r="HF122" s="419">
        <f t="shared" si="83"/>
        <v>0</v>
      </c>
      <c r="HG122" s="418">
        <f>SUM(SUMIFS(K122:HB122,$K$13:$HB$13,{"エネルギー管理指定工場等*","県域*"}))</f>
        <v>0</v>
      </c>
      <c r="HH122" s="451"/>
      <c r="HI122" s="419">
        <f>SUM(SUMIFS(M122:HD122,$K$13:$HB$13,{"エネルギー管理指定工場等*","県域*"}))</f>
        <v>0</v>
      </c>
      <c r="HJ122" s="452">
        <f>SUM(SUMIFS(N122:HE122,$K$13:$HB$13,{"エネルギー管理指定工場等*","県域*"}))</f>
        <v>0</v>
      </c>
      <c r="IE122" s="579"/>
      <c r="IF122" s="579"/>
      <c r="IG122" s="579"/>
      <c r="IH122" s="579"/>
    </row>
    <row r="123" spans="2:242" s="164" customFormat="1" ht="20.100000000000001" customHeight="1">
      <c r="B123" s="421" t="s">
        <v>1404</v>
      </c>
      <c r="C123" s="422"/>
      <c r="D123" s="422"/>
      <c r="E123" s="422"/>
      <c r="F123" s="422"/>
      <c r="G123" s="422"/>
      <c r="H123" s="453"/>
      <c r="I123" s="425"/>
      <c r="J123" s="426"/>
      <c r="K123" s="427"/>
      <c r="L123" s="454"/>
      <c r="M123" s="422"/>
      <c r="N123" s="455"/>
      <c r="O123" s="427"/>
      <c r="P123" s="454"/>
      <c r="Q123" s="422"/>
      <c r="R123" s="455"/>
      <c r="S123" s="427"/>
      <c r="T123" s="454"/>
      <c r="U123" s="422"/>
      <c r="V123" s="455"/>
      <c r="W123" s="427"/>
      <c r="X123" s="454"/>
      <c r="Y123" s="422"/>
      <c r="Z123" s="455"/>
      <c r="AA123" s="427"/>
      <c r="AB123" s="454"/>
      <c r="AC123" s="422"/>
      <c r="AD123" s="455"/>
      <c r="AE123" s="427"/>
      <c r="AF123" s="454"/>
      <c r="AG123" s="422"/>
      <c r="AH123" s="455"/>
      <c r="AI123" s="427"/>
      <c r="AJ123" s="454"/>
      <c r="AK123" s="422"/>
      <c r="AL123" s="455"/>
      <c r="AM123" s="427"/>
      <c r="AN123" s="454"/>
      <c r="AO123" s="422"/>
      <c r="AP123" s="455"/>
      <c r="AQ123" s="427"/>
      <c r="AR123" s="454"/>
      <c r="AS123" s="422"/>
      <c r="AT123" s="455"/>
      <c r="AU123" s="427"/>
      <c r="AV123" s="454"/>
      <c r="AW123" s="422"/>
      <c r="AX123" s="455"/>
      <c r="AY123" s="427"/>
      <c r="AZ123" s="454"/>
      <c r="BA123" s="422"/>
      <c r="BB123" s="455"/>
      <c r="BC123" s="427"/>
      <c r="BD123" s="454"/>
      <c r="BE123" s="422"/>
      <c r="BF123" s="455"/>
      <c r="BG123" s="427"/>
      <c r="BH123" s="454"/>
      <c r="BI123" s="422"/>
      <c r="BJ123" s="455"/>
      <c r="BK123" s="427"/>
      <c r="BL123" s="454"/>
      <c r="BM123" s="422"/>
      <c r="BN123" s="455"/>
      <c r="BO123" s="427"/>
      <c r="BP123" s="454"/>
      <c r="BQ123" s="422"/>
      <c r="BR123" s="455"/>
      <c r="BS123" s="427"/>
      <c r="BT123" s="454"/>
      <c r="BU123" s="422"/>
      <c r="BV123" s="455"/>
      <c r="BW123" s="427"/>
      <c r="BX123" s="454"/>
      <c r="BY123" s="422"/>
      <c r="BZ123" s="422"/>
      <c r="CA123" s="427"/>
      <c r="CB123" s="454"/>
      <c r="CC123" s="422"/>
      <c r="CD123" s="422"/>
      <c r="CE123" s="427"/>
      <c r="CF123" s="454"/>
      <c r="CG123" s="422"/>
      <c r="CH123" s="422"/>
      <c r="CI123" s="427"/>
      <c r="CJ123" s="454"/>
      <c r="CK123" s="422"/>
      <c r="CL123" s="422"/>
      <c r="CM123" s="427"/>
      <c r="CN123" s="454"/>
      <c r="CO123" s="422"/>
      <c r="CP123" s="422"/>
      <c r="CQ123" s="427"/>
      <c r="CR123" s="454"/>
      <c r="CS123" s="422"/>
      <c r="CT123" s="422"/>
      <c r="CU123" s="427"/>
      <c r="CV123" s="454"/>
      <c r="CW123" s="422"/>
      <c r="CX123" s="422"/>
      <c r="CY123" s="427"/>
      <c r="CZ123" s="454"/>
      <c r="DA123" s="422"/>
      <c r="DB123" s="422"/>
      <c r="DC123" s="427"/>
      <c r="DD123" s="454"/>
      <c r="DE123" s="422"/>
      <c r="DF123" s="422"/>
      <c r="DG123" s="427"/>
      <c r="DH123" s="454"/>
      <c r="DI123" s="422"/>
      <c r="DJ123" s="422"/>
      <c r="DK123" s="427"/>
      <c r="DL123" s="454"/>
      <c r="DM123" s="422"/>
      <c r="DN123" s="422"/>
      <c r="DO123" s="427"/>
      <c r="DP123" s="454"/>
      <c r="DQ123" s="422"/>
      <c r="DR123" s="422"/>
      <c r="DS123" s="427"/>
      <c r="DT123" s="454"/>
      <c r="DU123" s="422"/>
      <c r="DV123" s="422"/>
      <c r="DW123" s="427"/>
      <c r="DX123" s="454"/>
      <c r="DY123" s="422"/>
      <c r="DZ123" s="422"/>
      <c r="EA123" s="427"/>
      <c r="EB123" s="454"/>
      <c r="EC123" s="422"/>
      <c r="ED123" s="422"/>
      <c r="EE123" s="427"/>
      <c r="EF123" s="454"/>
      <c r="EG123" s="422"/>
      <c r="EH123" s="422"/>
      <c r="EI123" s="427"/>
      <c r="EJ123" s="454"/>
      <c r="EK123" s="422"/>
      <c r="EL123" s="422"/>
      <c r="EM123" s="427"/>
      <c r="EN123" s="454"/>
      <c r="EO123" s="422"/>
      <c r="EP123" s="422"/>
      <c r="EQ123" s="427"/>
      <c r="ER123" s="454"/>
      <c r="ES123" s="422"/>
      <c r="ET123" s="422"/>
      <c r="EU123" s="427"/>
      <c r="EV123" s="454"/>
      <c r="EW123" s="422"/>
      <c r="EX123" s="422"/>
      <c r="EY123" s="427"/>
      <c r="EZ123" s="454"/>
      <c r="FA123" s="422"/>
      <c r="FB123" s="422"/>
      <c r="FC123" s="427"/>
      <c r="FD123" s="454"/>
      <c r="FE123" s="422"/>
      <c r="FF123" s="422"/>
      <c r="FG123" s="427"/>
      <c r="FH123" s="454"/>
      <c r="FI123" s="422"/>
      <c r="FJ123" s="422"/>
      <c r="FK123" s="427"/>
      <c r="FL123" s="454"/>
      <c r="FM123" s="422"/>
      <c r="FN123" s="422"/>
      <c r="FO123" s="427"/>
      <c r="FP123" s="454"/>
      <c r="FQ123" s="422"/>
      <c r="FR123" s="422"/>
      <c r="FS123" s="427"/>
      <c r="FT123" s="454"/>
      <c r="FU123" s="422"/>
      <c r="FV123" s="422"/>
      <c r="FW123" s="427"/>
      <c r="FX123" s="454"/>
      <c r="FY123" s="422"/>
      <c r="FZ123" s="422"/>
      <c r="GA123" s="427"/>
      <c r="GB123" s="454"/>
      <c r="GC123" s="422"/>
      <c r="GD123" s="422"/>
      <c r="GE123" s="427"/>
      <c r="GF123" s="454"/>
      <c r="GG123" s="422"/>
      <c r="GH123" s="422"/>
      <c r="GI123" s="427"/>
      <c r="GJ123" s="454"/>
      <c r="GK123" s="422"/>
      <c r="GL123" s="422"/>
      <c r="GM123" s="427"/>
      <c r="GN123" s="454"/>
      <c r="GO123" s="422"/>
      <c r="GP123" s="422"/>
      <c r="GQ123" s="427"/>
      <c r="GR123" s="454"/>
      <c r="GS123" s="422"/>
      <c r="GT123" s="422"/>
      <c r="GU123" s="427"/>
      <c r="GV123" s="454"/>
      <c r="GW123" s="422"/>
      <c r="GX123" s="422"/>
      <c r="GY123" s="427"/>
      <c r="GZ123" s="454"/>
      <c r="HA123" s="422"/>
      <c r="HB123" s="422"/>
      <c r="HC123" s="434">
        <f t="shared" si="83"/>
        <v>0</v>
      </c>
      <c r="HD123" s="456"/>
      <c r="HE123" s="432">
        <f t="shared" si="83"/>
        <v>0</v>
      </c>
      <c r="HF123" s="432">
        <f t="shared" si="83"/>
        <v>0</v>
      </c>
      <c r="HG123" s="434">
        <f>SUM(SUMIFS(K123:HB123,$K$13:$HB$13,{"エネルギー管理指定工場等*","県域*"}))</f>
        <v>0</v>
      </c>
      <c r="HH123" s="456"/>
      <c r="HI123" s="432">
        <f>SUM(SUMIFS(M123:HD123,$K$13:$HB$13,{"エネルギー管理指定工場等*","県域*"}))</f>
        <v>0</v>
      </c>
      <c r="HJ123" s="457">
        <f>SUM(SUMIFS(N123:HE123,$K$13:$HB$13,{"エネルギー管理指定工場等*","県域*"}))</f>
        <v>0</v>
      </c>
      <c r="IE123" s="579"/>
      <c r="IF123" s="579"/>
      <c r="IG123" s="579"/>
      <c r="IH123" s="579"/>
    </row>
    <row r="124" spans="2:242" s="164" customFormat="1" ht="20.100000000000001" customHeight="1">
      <c r="B124" s="443" t="s">
        <v>1405</v>
      </c>
      <c r="C124" s="458"/>
      <c r="D124" s="458"/>
      <c r="E124" s="458"/>
      <c r="F124" s="444"/>
      <c r="G124" s="444"/>
      <c r="H124" s="459"/>
      <c r="I124" s="425"/>
      <c r="J124" s="426"/>
      <c r="K124" s="460"/>
      <c r="L124" s="461"/>
      <c r="M124" s="458"/>
      <c r="N124" s="462"/>
      <c r="O124" s="460"/>
      <c r="P124" s="461"/>
      <c r="Q124" s="458"/>
      <c r="R124" s="462"/>
      <c r="S124" s="460"/>
      <c r="T124" s="461"/>
      <c r="U124" s="458"/>
      <c r="V124" s="462"/>
      <c r="W124" s="460"/>
      <c r="X124" s="461"/>
      <c r="Y124" s="458"/>
      <c r="Z124" s="462"/>
      <c r="AA124" s="460"/>
      <c r="AB124" s="461"/>
      <c r="AC124" s="458"/>
      <c r="AD124" s="462"/>
      <c r="AE124" s="460"/>
      <c r="AF124" s="461"/>
      <c r="AG124" s="458"/>
      <c r="AH124" s="462"/>
      <c r="AI124" s="460"/>
      <c r="AJ124" s="461"/>
      <c r="AK124" s="458"/>
      <c r="AL124" s="462"/>
      <c r="AM124" s="460"/>
      <c r="AN124" s="461"/>
      <c r="AO124" s="458"/>
      <c r="AP124" s="462"/>
      <c r="AQ124" s="460"/>
      <c r="AR124" s="461"/>
      <c r="AS124" s="458"/>
      <c r="AT124" s="462"/>
      <c r="AU124" s="460"/>
      <c r="AV124" s="461"/>
      <c r="AW124" s="458"/>
      <c r="AX124" s="462"/>
      <c r="AY124" s="460"/>
      <c r="AZ124" s="461"/>
      <c r="BA124" s="458"/>
      <c r="BB124" s="462"/>
      <c r="BC124" s="460"/>
      <c r="BD124" s="461"/>
      <c r="BE124" s="458"/>
      <c r="BF124" s="462"/>
      <c r="BG124" s="460"/>
      <c r="BH124" s="461"/>
      <c r="BI124" s="458"/>
      <c r="BJ124" s="462"/>
      <c r="BK124" s="460"/>
      <c r="BL124" s="461"/>
      <c r="BM124" s="458"/>
      <c r="BN124" s="462"/>
      <c r="BO124" s="460"/>
      <c r="BP124" s="461"/>
      <c r="BQ124" s="458"/>
      <c r="BR124" s="462"/>
      <c r="BS124" s="460"/>
      <c r="BT124" s="461"/>
      <c r="BU124" s="458"/>
      <c r="BV124" s="462"/>
      <c r="BW124" s="460"/>
      <c r="BX124" s="461"/>
      <c r="BY124" s="458"/>
      <c r="BZ124" s="458"/>
      <c r="CA124" s="460"/>
      <c r="CB124" s="461"/>
      <c r="CC124" s="458"/>
      <c r="CD124" s="458"/>
      <c r="CE124" s="460"/>
      <c r="CF124" s="461"/>
      <c r="CG124" s="458"/>
      <c r="CH124" s="458"/>
      <c r="CI124" s="460"/>
      <c r="CJ124" s="461"/>
      <c r="CK124" s="458"/>
      <c r="CL124" s="458"/>
      <c r="CM124" s="460"/>
      <c r="CN124" s="461"/>
      <c r="CO124" s="458"/>
      <c r="CP124" s="458"/>
      <c r="CQ124" s="460"/>
      <c r="CR124" s="461"/>
      <c r="CS124" s="458"/>
      <c r="CT124" s="458"/>
      <c r="CU124" s="460"/>
      <c r="CV124" s="461"/>
      <c r="CW124" s="458"/>
      <c r="CX124" s="458"/>
      <c r="CY124" s="460"/>
      <c r="CZ124" s="461"/>
      <c r="DA124" s="458"/>
      <c r="DB124" s="458"/>
      <c r="DC124" s="460"/>
      <c r="DD124" s="461"/>
      <c r="DE124" s="458"/>
      <c r="DF124" s="458"/>
      <c r="DG124" s="460"/>
      <c r="DH124" s="461"/>
      <c r="DI124" s="458"/>
      <c r="DJ124" s="458"/>
      <c r="DK124" s="460"/>
      <c r="DL124" s="461"/>
      <c r="DM124" s="458"/>
      <c r="DN124" s="458"/>
      <c r="DO124" s="460"/>
      <c r="DP124" s="461"/>
      <c r="DQ124" s="458"/>
      <c r="DR124" s="458"/>
      <c r="DS124" s="460"/>
      <c r="DT124" s="461"/>
      <c r="DU124" s="458"/>
      <c r="DV124" s="458"/>
      <c r="DW124" s="460"/>
      <c r="DX124" s="461"/>
      <c r="DY124" s="458"/>
      <c r="DZ124" s="458"/>
      <c r="EA124" s="460"/>
      <c r="EB124" s="461"/>
      <c r="EC124" s="458"/>
      <c r="ED124" s="458"/>
      <c r="EE124" s="460"/>
      <c r="EF124" s="461"/>
      <c r="EG124" s="458"/>
      <c r="EH124" s="458"/>
      <c r="EI124" s="460"/>
      <c r="EJ124" s="461"/>
      <c r="EK124" s="458"/>
      <c r="EL124" s="458"/>
      <c r="EM124" s="460"/>
      <c r="EN124" s="461"/>
      <c r="EO124" s="458"/>
      <c r="EP124" s="458"/>
      <c r="EQ124" s="460"/>
      <c r="ER124" s="461"/>
      <c r="ES124" s="458"/>
      <c r="ET124" s="458"/>
      <c r="EU124" s="460"/>
      <c r="EV124" s="461"/>
      <c r="EW124" s="458"/>
      <c r="EX124" s="458"/>
      <c r="EY124" s="460"/>
      <c r="EZ124" s="461"/>
      <c r="FA124" s="458"/>
      <c r="FB124" s="458"/>
      <c r="FC124" s="460"/>
      <c r="FD124" s="461"/>
      <c r="FE124" s="458"/>
      <c r="FF124" s="458"/>
      <c r="FG124" s="460"/>
      <c r="FH124" s="461"/>
      <c r="FI124" s="458"/>
      <c r="FJ124" s="458"/>
      <c r="FK124" s="460"/>
      <c r="FL124" s="461"/>
      <c r="FM124" s="458"/>
      <c r="FN124" s="458"/>
      <c r="FO124" s="460"/>
      <c r="FP124" s="461"/>
      <c r="FQ124" s="458"/>
      <c r="FR124" s="458"/>
      <c r="FS124" s="460"/>
      <c r="FT124" s="461"/>
      <c r="FU124" s="458"/>
      <c r="FV124" s="458"/>
      <c r="FW124" s="460"/>
      <c r="FX124" s="461"/>
      <c r="FY124" s="458"/>
      <c r="FZ124" s="458"/>
      <c r="GA124" s="460"/>
      <c r="GB124" s="461"/>
      <c r="GC124" s="458"/>
      <c r="GD124" s="458"/>
      <c r="GE124" s="460"/>
      <c r="GF124" s="461"/>
      <c r="GG124" s="458"/>
      <c r="GH124" s="458"/>
      <c r="GI124" s="460"/>
      <c r="GJ124" s="461"/>
      <c r="GK124" s="458"/>
      <c r="GL124" s="458"/>
      <c r="GM124" s="460"/>
      <c r="GN124" s="461"/>
      <c r="GO124" s="458"/>
      <c r="GP124" s="458"/>
      <c r="GQ124" s="460"/>
      <c r="GR124" s="461"/>
      <c r="GS124" s="458"/>
      <c r="GT124" s="458"/>
      <c r="GU124" s="460"/>
      <c r="GV124" s="461"/>
      <c r="GW124" s="458"/>
      <c r="GX124" s="458"/>
      <c r="GY124" s="460"/>
      <c r="GZ124" s="461"/>
      <c r="HA124" s="458"/>
      <c r="HB124" s="458"/>
      <c r="HC124" s="463">
        <f t="shared" si="83"/>
        <v>0</v>
      </c>
      <c r="HD124" s="464"/>
      <c r="HE124" s="465">
        <f t="shared" si="83"/>
        <v>0</v>
      </c>
      <c r="HF124" s="465">
        <f t="shared" si="83"/>
        <v>0</v>
      </c>
      <c r="HG124" s="463">
        <f>SUM(SUMIFS(K124:HB124,$K$13:$HB$13,{"エネルギー管理指定工場等*","県域*"}))</f>
        <v>0</v>
      </c>
      <c r="HH124" s="464"/>
      <c r="HI124" s="465">
        <f>SUM(SUMIFS(M124:HD124,$K$13:$HB$13,{"エネルギー管理指定工場等*","県域*"}))</f>
        <v>0</v>
      </c>
      <c r="HJ124" s="466">
        <f>SUM(SUMIFS(N124:HE124,$K$13:$HB$13,{"エネルギー管理指定工場等*","県域*"}))</f>
        <v>0</v>
      </c>
      <c r="IE124" s="579"/>
      <c r="IF124" s="579"/>
      <c r="IG124" s="579"/>
      <c r="IH124" s="579"/>
    </row>
    <row r="125" spans="2:242" s="164" customFormat="1" ht="20.100000000000001" customHeight="1">
      <c r="B125" s="410" t="s">
        <v>1406</v>
      </c>
      <c r="C125" s="411"/>
      <c r="D125" s="411"/>
      <c r="E125" s="411"/>
      <c r="F125" s="411"/>
      <c r="G125" s="411"/>
      <c r="H125" s="436"/>
      <c r="I125" s="425"/>
      <c r="J125" s="426"/>
      <c r="K125" s="416"/>
      <c r="L125" s="449"/>
      <c r="M125" s="411"/>
      <c r="N125" s="450"/>
      <c r="O125" s="416"/>
      <c r="P125" s="449"/>
      <c r="Q125" s="411"/>
      <c r="R125" s="450"/>
      <c r="S125" s="416"/>
      <c r="T125" s="449"/>
      <c r="U125" s="411"/>
      <c r="V125" s="450"/>
      <c r="W125" s="416"/>
      <c r="X125" s="449"/>
      <c r="Y125" s="411"/>
      <c r="Z125" s="450"/>
      <c r="AA125" s="416"/>
      <c r="AB125" s="449"/>
      <c r="AC125" s="411"/>
      <c r="AD125" s="450"/>
      <c r="AE125" s="416"/>
      <c r="AF125" s="449"/>
      <c r="AG125" s="411"/>
      <c r="AH125" s="450"/>
      <c r="AI125" s="416"/>
      <c r="AJ125" s="449"/>
      <c r="AK125" s="411"/>
      <c r="AL125" s="450"/>
      <c r="AM125" s="416"/>
      <c r="AN125" s="449"/>
      <c r="AO125" s="411"/>
      <c r="AP125" s="450"/>
      <c r="AQ125" s="416"/>
      <c r="AR125" s="449"/>
      <c r="AS125" s="411"/>
      <c r="AT125" s="450"/>
      <c r="AU125" s="416"/>
      <c r="AV125" s="449"/>
      <c r="AW125" s="411"/>
      <c r="AX125" s="450"/>
      <c r="AY125" s="416"/>
      <c r="AZ125" s="449"/>
      <c r="BA125" s="411"/>
      <c r="BB125" s="450"/>
      <c r="BC125" s="416"/>
      <c r="BD125" s="449"/>
      <c r="BE125" s="411"/>
      <c r="BF125" s="450"/>
      <c r="BG125" s="416"/>
      <c r="BH125" s="449"/>
      <c r="BI125" s="411"/>
      <c r="BJ125" s="450"/>
      <c r="BK125" s="416"/>
      <c r="BL125" s="449"/>
      <c r="BM125" s="411"/>
      <c r="BN125" s="450"/>
      <c r="BO125" s="416"/>
      <c r="BP125" s="449"/>
      <c r="BQ125" s="411"/>
      <c r="BR125" s="450"/>
      <c r="BS125" s="416"/>
      <c r="BT125" s="449"/>
      <c r="BU125" s="411"/>
      <c r="BV125" s="450"/>
      <c r="BW125" s="416"/>
      <c r="BX125" s="449"/>
      <c r="BY125" s="411"/>
      <c r="BZ125" s="411"/>
      <c r="CA125" s="416"/>
      <c r="CB125" s="449"/>
      <c r="CC125" s="411"/>
      <c r="CD125" s="411"/>
      <c r="CE125" s="416"/>
      <c r="CF125" s="449"/>
      <c r="CG125" s="411"/>
      <c r="CH125" s="411"/>
      <c r="CI125" s="416"/>
      <c r="CJ125" s="449"/>
      <c r="CK125" s="411"/>
      <c r="CL125" s="411"/>
      <c r="CM125" s="416"/>
      <c r="CN125" s="449"/>
      <c r="CO125" s="411"/>
      <c r="CP125" s="411"/>
      <c r="CQ125" s="416"/>
      <c r="CR125" s="449"/>
      <c r="CS125" s="411"/>
      <c r="CT125" s="411"/>
      <c r="CU125" s="416"/>
      <c r="CV125" s="449"/>
      <c r="CW125" s="411"/>
      <c r="CX125" s="411"/>
      <c r="CY125" s="416"/>
      <c r="CZ125" s="449"/>
      <c r="DA125" s="411"/>
      <c r="DB125" s="411"/>
      <c r="DC125" s="416"/>
      <c r="DD125" s="449"/>
      <c r="DE125" s="411"/>
      <c r="DF125" s="411"/>
      <c r="DG125" s="416"/>
      <c r="DH125" s="449"/>
      <c r="DI125" s="411"/>
      <c r="DJ125" s="411"/>
      <c r="DK125" s="416"/>
      <c r="DL125" s="449"/>
      <c r="DM125" s="411"/>
      <c r="DN125" s="411"/>
      <c r="DO125" s="416"/>
      <c r="DP125" s="449"/>
      <c r="DQ125" s="411"/>
      <c r="DR125" s="411"/>
      <c r="DS125" s="416"/>
      <c r="DT125" s="449"/>
      <c r="DU125" s="411"/>
      <c r="DV125" s="411"/>
      <c r="DW125" s="416"/>
      <c r="DX125" s="449"/>
      <c r="DY125" s="411"/>
      <c r="DZ125" s="411"/>
      <c r="EA125" s="416"/>
      <c r="EB125" s="449"/>
      <c r="EC125" s="411"/>
      <c r="ED125" s="411"/>
      <c r="EE125" s="416"/>
      <c r="EF125" s="449"/>
      <c r="EG125" s="411"/>
      <c r="EH125" s="411"/>
      <c r="EI125" s="416"/>
      <c r="EJ125" s="449"/>
      <c r="EK125" s="411"/>
      <c r="EL125" s="411"/>
      <c r="EM125" s="416"/>
      <c r="EN125" s="449"/>
      <c r="EO125" s="411"/>
      <c r="EP125" s="411"/>
      <c r="EQ125" s="416"/>
      <c r="ER125" s="449"/>
      <c r="ES125" s="411"/>
      <c r="ET125" s="411"/>
      <c r="EU125" s="416"/>
      <c r="EV125" s="449"/>
      <c r="EW125" s="411"/>
      <c r="EX125" s="411"/>
      <c r="EY125" s="416"/>
      <c r="EZ125" s="449"/>
      <c r="FA125" s="411"/>
      <c r="FB125" s="411"/>
      <c r="FC125" s="416"/>
      <c r="FD125" s="449"/>
      <c r="FE125" s="411"/>
      <c r="FF125" s="411"/>
      <c r="FG125" s="416"/>
      <c r="FH125" s="449"/>
      <c r="FI125" s="411"/>
      <c r="FJ125" s="411"/>
      <c r="FK125" s="416"/>
      <c r="FL125" s="449"/>
      <c r="FM125" s="411"/>
      <c r="FN125" s="411"/>
      <c r="FO125" s="416"/>
      <c r="FP125" s="449"/>
      <c r="FQ125" s="411"/>
      <c r="FR125" s="411"/>
      <c r="FS125" s="416"/>
      <c r="FT125" s="449"/>
      <c r="FU125" s="411"/>
      <c r="FV125" s="411"/>
      <c r="FW125" s="416"/>
      <c r="FX125" s="449"/>
      <c r="FY125" s="411"/>
      <c r="FZ125" s="411"/>
      <c r="GA125" s="416"/>
      <c r="GB125" s="449"/>
      <c r="GC125" s="411"/>
      <c r="GD125" s="411"/>
      <c r="GE125" s="416"/>
      <c r="GF125" s="449"/>
      <c r="GG125" s="411"/>
      <c r="GH125" s="411"/>
      <c r="GI125" s="416"/>
      <c r="GJ125" s="449"/>
      <c r="GK125" s="411"/>
      <c r="GL125" s="411"/>
      <c r="GM125" s="416"/>
      <c r="GN125" s="449"/>
      <c r="GO125" s="411"/>
      <c r="GP125" s="411"/>
      <c r="GQ125" s="416"/>
      <c r="GR125" s="449"/>
      <c r="GS125" s="411"/>
      <c r="GT125" s="411"/>
      <c r="GU125" s="416"/>
      <c r="GV125" s="449"/>
      <c r="GW125" s="411"/>
      <c r="GX125" s="411"/>
      <c r="GY125" s="416"/>
      <c r="GZ125" s="449"/>
      <c r="HA125" s="411"/>
      <c r="HB125" s="411"/>
      <c r="HC125" s="418">
        <f t="shared" si="83"/>
        <v>0</v>
      </c>
      <c r="HD125" s="451"/>
      <c r="HE125" s="419">
        <f t="shared" si="83"/>
        <v>0</v>
      </c>
      <c r="HF125" s="419">
        <f t="shared" si="83"/>
        <v>0</v>
      </c>
      <c r="HG125" s="418">
        <f>SUM(SUMIFS(K125:HB125,$K$13:$HB$13,{"エネルギー管理指定工場等*","県域*"}))</f>
        <v>0</v>
      </c>
      <c r="HH125" s="451"/>
      <c r="HI125" s="419">
        <f>SUM(SUMIFS(M125:HD125,$K$13:$HB$13,{"エネルギー管理指定工場等*","県域*"}))</f>
        <v>0</v>
      </c>
      <c r="HJ125" s="452">
        <f>SUM(SUMIFS(N125:HE125,$K$13:$HB$13,{"エネルギー管理指定工場等*","県域*"}))</f>
        <v>0</v>
      </c>
      <c r="IE125" s="579"/>
      <c r="IF125" s="579"/>
      <c r="IG125" s="579"/>
      <c r="IH125" s="579"/>
    </row>
    <row r="126" spans="2:242" s="164" customFormat="1" ht="20.100000000000001" customHeight="1">
      <c r="B126" s="421" t="s">
        <v>1407</v>
      </c>
      <c r="C126" s="422"/>
      <c r="D126" s="422"/>
      <c r="E126" s="422"/>
      <c r="F126" s="422"/>
      <c r="G126" s="422"/>
      <c r="H126" s="453"/>
      <c r="I126" s="425"/>
      <c r="J126" s="426"/>
      <c r="K126" s="427"/>
      <c r="L126" s="454"/>
      <c r="M126" s="422"/>
      <c r="N126" s="455"/>
      <c r="O126" s="427"/>
      <c r="P126" s="454"/>
      <c r="Q126" s="422"/>
      <c r="R126" s="455"/>
      <c r="S126" s="427"/>
      <c r="T126" s="454"/>
      <c r="U126" s="422"/>
      <c r="V126" s="455"/>
      <c r="W126" s="427"/>
      <c r="X126" s="454"/>
      <c r="Y126" s="422"/>
      <c r="Z126" s="455"/>
      <c r="AA126" s="427"/>
      <c r="AB126" s="454"/>
      <c r="AC126" s="422"/>
      <c r="AD126" s="455"/>
      <c r="AE126" s="427"/>
      <c r="AF126" s="454"/>
      <c r="AG126" s="422"/>
      <c r="AH126" s="455"/>
      <c r="AI126" s="427"/>
      <c r="AJ126" s="454"/>
      <c r="AK126" s="422"/>
      <c r="AL126" s="455"/>
      <c r="AM126" s="427"/>
      <c r="AN126" s="454"/>
      <c r="AO126" s="422"/>
      <c r="AP126" s="455"/>
      <c r="AQ126" s="427"/>
      <c r="AR126" s="454"/>
      <c r="AS126" s="422"/>
      <c r="AT126" s="455"/>
      <c r="AU126" s="427"/>
      <c r="AV126" s="454"/>
      <c r="AW126" s="422"/>
      <c r="AX126" s="455"/>
      <c r="AY126" s="427"/>
      <c r="AZ126" s="454"/>
      <c r="BA126" s="422"/>
      <c r="BB126" s="455"/>
      <c r="BC126" s="427"/>
      <c r="BD126" s="454"/>
      <c r="BE126" s="422"/>
      <c r="BF126" s="455"/>
      <c r="BG126" s="427"/>
      <c r="BH126" s="454"/>
      <c r="BI126" s="422"/>
      <c r="BJ126" s="455"/>
      <c r="BK126" s="427"/>
      <c r="BL126" s="454"/>
      <c r="BM126" s="422"/>
      <c r="BN126" s="455"/>
      <c r="BO126" s="427"/>
      <c r="BP126" s="454"/>
      <c r="BQ126" s="422"/>
      <c r="BR126" s="455"/>
      <c r="BS126" s="427"/>
      <c r="BT126" s="454"/>
      <c r="BU126" s="422"/>
      <c r="BV126" s="455"/>
      <c r="BW126" s="427"/>
      <c r="BX126" s="454"/>
      <c r="BY126" s="422"/>
      <c r="BZ126" s="422"/>
      <c r="CA126" s="427"/>
      <c r="CB126" s="454"/>
      <c r="CC126" s="422"/>
      <c r="CD126" s="422"/>
      <c r="CE126" s="427"/>
      <c r="CF126" s="454"/>
      <c r="CG126" s="422"/>
      <c r="CH126" s="422"/>
      <c r="CI126" s="427"/>
      <c r="CJ126" s="454"/>
      <c r="CK126" s="422"/>
      <c r="CL126" s="422"/>
      <c r="CM126" s="427"/>
      <c r="CN126" s="454"/>
      <c r="CO126" s="422"/>
      <c r="CP126" s="422"/>
      <c r="CQ126" s="427"/>
      <c r="CR126" s="454"/>
      <c r="CS126" s="422"/>
      <c r="CT126" s="422"/>
      <c r="CU126" s="427"/>
      <c r="CV126" s="454"/>
      <c r="CW126" s="422"/>
      <c r="CX126" s="422"/>
      <c r="CY126" s="427"/>
      <c r="CZ126" s="454"/>
      <c r="DA126" s="422"/>
      <c r="DB126" s="422"/>
      <c r="DC126" s="427"/>
      <c r="DD126" s="454"/>
      <c r="DE126" s="422"/>
      <c r="DF126" s="422"/>
      <c r="DG126" s="427"/>
      <c r="DH126" s="454"/>
      <c r="DI126" s="422"/>
      <c r="DJ126" s="422"/>
      <c r="DK126" s="427"/>
      <c r="DL126" s="454"/>
      <c r="DM126" s="422"/>
      <c r="DN126" s="422"/>
      <c r="DO126" s="427"/>
      <c r="DP126" s="454"/>
      <c r="DQ126" s="422"/>
      <c r="DR126" s="422"/>
      <c r="DS126" s="427"/>
      <c r="DT126" s="454"/>
      <c r="DU126" s="422"/>
      <c r="DV126" s="422"/>
      <c r="DW126" s="427"/>
      <c r="DX126" s="454"/>
      <c r="DY126" s="422"/>
      <c r="DZ126" s="422"/>
      <c r="EA126" s="427"/>
      <c r="EB126" s="454"/>
      <c r="EC126" s="422"/>
      <c r="ED126" s="422"/>
      <c r="EE126" s="427"/>
      <c r="EF126" s="454"/>
      <c r="EG126" s="422"/>
      <c r="EH126" s="422"/>
      <c r="EI126" s="427"/>
      <c r="EJ126" s="454"/>
      <c r="EK126" s="422"/>
      <c r="EL126" s="422"/>
      <c r="EM126" s="427"/>
      <c r="EN126" s="454"/>
      <c r="EO126" s="422"/>
      <c r="EP126" s="422"/>
      <c r="EQ126" s="427"/>
      <c r="ER126" s="454"/>
      <c r="ES126" s="422"/>
      <c r="ET126" s="422"/>
      <c r="EU126" s="427"/>
      <c r="EV126" s="454"/>
      <c r="EW126" s="422"/>
      <c r="EX126" s="422"/>
      <c r="EY126" s="427"/>
      <c r="EZ126" s="454"/>
      <c r="FA126" s="422"/>
      <c r="FB126" s="422"/>
      <c r="FC126" s="427"/>
      <c r="FD126" s="454"/>
      <c r="FE126" s="422"/>
      <c r="FF126" s="422"/>
      <c r="FG126" s="427"/>
      <c r="FH126" s="454"/>
      <c r="FI126" s="422"/>
      <c r="FJ126" s="422"/>
      <c r="FK126" s="427"/>
      <c r="FL126" s="454"/>
      <c r="FM126" s="422"/>
      <c r="FN126" s="422"/>
      <c r="FO126" s="427"/>
      <c r="FP126" s="454"/>
      <c r="FQ126" s="422"/>
      <c r="FR126" s="422"/>
      <c r="FS126" s="427"/>
      <c r="FT126" s="454"/>
      <c r="FU126" s="422"/>
      <c r="FV126" s="422"/>
      <c r="FW126" s="427"/>
      <c r="FX126" s="454"/>
      <c r="FY126" s="422"/>
      <c r="FZ126" s="422"/>
      <c r="GA126" s="427"/>
      <c r="GB126" s="454"/>
      <c r="GC126" s="422"/>
      <c r="GD126" s="422"/>
      <c r="GE126" s="427"/>
      <c r="GF126" s="454"/>
      <c r="GG126" s="422"/>
      <c r="GH126" s="422"/>
      <c r="GI126" s="427"/>
      <c r="GJ126" s="454"/>
      <c r="GK126" s="422"/>
      <c r="GL126" s="422"/>
      <c r="GM126" s="427"/>
      <c r="GN126" s="454"/>
      <c r="GO126" s="422"/>
      <c r="GP126" s="422"/>
      <c r="GQ126" s="427"/>
      <c r="GR126" s="454"/>
      <c r="GS126" s="422"/>
      <c r="GT126" s="422"/>
      <c r="GU126" s="427"/>
      <c r="GV126" s="454"/>
      <c r="GW126" s="422"/>
      <c r="GX126" s="422"/>
      <c r="GY126" s="427"/>
      <c r="GZ126" s="454"/>
      <c r="HA126" s="422"/>
      <c r="HB126" s="422"/>
      <c r="HC126" s="434">
        <f t="shared" si="83"/>
        <v>0</v>
      </c>
      <c r="HD126" s="456"/>
      <c r="HE126" s="432">
        <f t="shared" si="83"/>
        <v>0</v>
      </c>
      <c r="HF126" s="432">
        <f t="shared" si="83"/>
        <v>0</v>
      </c>
      <c r="HG126" s="434">
        <f>SUM(SUMIFS(K126:HB126,$K$13:$HB$13,{"エネルギー管理指定工場等*","県域*"}))</f>
        <v>0</v>
      </c>
      <c r="HH126" s="456"/>
      <c r="HI126" s="432">
        <f>SUM(SUMIFS(M126:HD126,$K$13:$HB$13,{"エネルギー管理指定工場等*","県域*"}))</f>
        <v>0</v>
      </c>
      <c r="HJ126" s="457">
        <f>SUM(SUMIFS(N126:HE126,$K$13:$HB$13,{"エネルギー管理指定工場等*","県域*"}))</f>
        <v>0</v>
      </c>
      <c r="IE126" s="579"/>
      <c r="IF126" s="579"/>
      <c r="IG126" s="579"/>
      <c r="IH126" s="579"/>
    </row>
    <row r="127" spans="2:242" s="164" customFormat="1" ht="20.100000000000001" customHeight="1">
      <c r="B127" s="443" t="s">
        <v>1408</v>
      </c>
      <c r="C127" s="444"/>
      <c r="D127" s="444"/>
      <c r="E127" s="444"/>
      <c r="F127" s="444"/>
      <c r="G127" s="444"/>
      <c r="H127" s="467"/>
      <c r="I127" s="425"/>
      <c r="J127" s="426"/>
      <c r="K127" s="468"/>
      <c r="L127" s="469"/>
      <c r="M127" s="444"/>
      <c r="N127" s="470"/>
      <c r="O127" s="468"/>
      <c r="P127" s="469"/>
      <c r="Q127" s="444"/>
      <c r="R127" s="470"/>
      <c r="S127" s="468"/>
      <c r="T127" s="469"/>
      <c r="U127" s="444"/>
      <c r="V127" s="470"/>
      <c r="W127" s="468"/>
      <c r="X127" s="469"/>
      <c r="Y127" s="444"/>
      <c r="Z127" s="470"/>
      <c r="AA127" s="468"/>
      <c r="AB127" s="469"/>
      <c r="AC127" s="444"/>
      <c r="AD127" s="470"/>
      <c r="AE127" s="468"/>
      <c r="AF127" s="469"/>
      <c r="AG127" s="444"/>
      <c r="AH127" s="470"/>
      <c r="AI127" s="468"/>
      <c r="AJ127" s="469"/>
      <c r="AK127" s="444"/>
      <c r="AL127" s="470"/>
      <c r="AM127" s="468"/>
      <c r="AN127" s="469"/>
      <c r="AO127" s="444"/>
      <c r="AP127" s="470"/>
      <c r="AQ127" s="468"/>
      <c r="AR127" s="469"/>
      <c r="AS127" s="444"/>
      <c r="AT127" s="470"/>
      <c r="AU127" s="468"/>
      <c r="AV127" s="469"/>
      <c r="AW127" s="444"/>
      <c r="AX127" s="470"/>
      <c r="AY127" s="468"/>
      <c r="AZ127" s="469"/>
      <c r="BA127" s="444"/>
      <c r="BB127" s="470"/>
      <c r="BC127" s="468"/>
      <c r="BD127" s="469"/>
      <c r="BE127" s="444"/>
      <c r="BF127" s="470"/>
      <c r="BG127" s="468"/>
      <c r="BH127" s="469"/>
      <c r="BI127" s="444"/>
      <c r="BJ127" s="470"/>
      <c r="BK127" s="468"/>
      <c r="BL127" s="469"/>
      <c r="BM127" s="444"/>
      <c r="BN127" s="470"/>
      <c r="BO127" s="468"/>
      <c r="BP127" s="469"/>
      <c r="BQ127" s="444"/>
      <c r="BR127" s="470"/>
      <c r="BS127" s="468"/>
      <c r="BT127" s="469"/>
      <c r="BU127" s="444"/>
      <c r="BV127" s="470"/>
      <c r="BW127" s="468"/>
      <c r="BX127" s="469"/>
      <c r="BY127" s="444"/>
      <c r="BZ127" s="444"/>
      <c r="CA127" s="468"/>
      <c r="CB127" s="469"/>
      <c r="CC127" s="444"/>
      <c r="CD127" s="444"/>
      <c r="CE127" s="468"/>
      <c r="CF127" s="469"/>
      <c r="CG127" s="444"/>
      <c r="CH127" s="444"/>
      <c r="CI127" s="468"/>
      <c r="CJ127" s="469"/>
      <c r="CK127" s="444"/>
      <c r="CL127" s="444"/>
      <c r="CM127" s="468"/>
      <c r="CN127" s="469"/>
      <c r="CO127" s="444"/>
      <c r="CP127" s="444"/>
      <c r="CQ127" s="468"/>
      <c r="CR127" s="469"/>
      <c r="CS127" s="444"/>
      <c r="CT127" s="444"/>
      <c r="CU127" s="468"/>
      <c r="CV127" s="469"/>
      <c r="CW127" s="444"/>
      <c r="CX127" s="444"/>
      <c r="CY127" s="468"/>
      <c r="CZ127" s="469"/>
      <c r="DA127" s="444"/>
      <c r="DB127" s="444"/>
      <c r="DC127" s="468"/>
      <c r="DD127" s="469"/>
      <c r="DE127" s="444"/>
      <c r="DF127" s="444"/>
      <c r="DG127" s="468"/>
      <c r="DH127" s="469"/>
      <c r="DI127" s="444"/>
      <c r="DJ127" s="444"/>
      <c r="DK127" s="468"/>
      <c r="DL127" s="469"/>
      <c r="DM127" s="444"/>
      <c r="DN127" s="444"/>
      <c r="DO127" s="468"/>
      <c r="DP127" s="469"/>
      <c r="DQ127" s="444"/>
      <c r="DR127" s="444"/>
      <c r="DS127" s="468"/>
      <c r="DT127" s="469"/>
      <c r="DU127" s="444"/>
      <c r="DV127" s="444"/>
      <c r="DW127" s="468"/>
      <c r="DX127" s="469"/>
      <c r="DY127" s="444"/>
      <c r="DZ127" s="444"/>
      <c r="EA127" s="468"/>
      <c r="EB127" s="469"/>
      <c r="EC127" s="444"/>
      <c r="ED127" s="444"/>
      <c r="EE127" s="468"/>
      <c r="EF127" s="469"/>
      <c r="EG127" s="444"/>
      <c r="EH127" s="444"/>
      <c r="EI127" s="468"/>
      <c r="EJ127" s="469"/>
      <c r="EK127" s="444"/>
      <c r="EL127" s="444"/>
      <c r="EM127" s="468"/>
      <c r="EN127" s="469"/>
      <c r="EO127" s="444"/>
      <c r="EP127" s="444"/>
      <c r="EQ127" s="468"/>
      <c r="ER127" s="469"/>
      <c r="ES127" s="444"/>
      <c r="ET127" s="444"/>
      <c r="EU127" s="468"/>
      <c r="EV127" s="469"/>
      <c r="EW127" s="444"/>
      <c r="EX127" s="444"/>
      <c r="EY127" s="468"/>
      <c r="EZ127" s="469"/>
      <c r="FA127" s="444"/>
      <c r="FB127" s="444"/>
      <c r="FC127" s="468"/>
      <c r="FD127" s="469"/>
      <c r="FE127" s="444"/>
      <c r="FF127" s="444"/>
      <c r="FG127" s="468"/>
      <c r="FH127" s="469"/>
      <c r="FI127" s="444"/>
      <c r="FJ127" s="444"/>
      <c r="FK127" s="468"/>
      <c r="FL127" s="469"/>
      <c r="FM127" s="444"/>
      <c r="FN127" s="444"/>
      <c r="FO127" s="468"/>
      <c r="FP127" s="469"/>
      <c r="FQ127" s="444"/>
      <c r="FR127" s="444"/>
      <c r="FS127" s="468"/>
      <c r="FT127" s="469"/>
      <c r="FU127" s="444"/>
      <c r="FV127" s="444"/>
      <c r="FW127" s="468"/>
      <c r="FX127" s="469"/>
      <c r="FY127" s="444"/>
      <c r="FZ127" s="444"/>
      <c r="GA127" s="468"/>
      <c r="GB127" s="469"/>
      <c r="GC127" s="444"/>
      <c r="GD127" s="444"/>
      <c r="GE127" s="468"/>
      <c r="GF127" s="469"/>
      <c r="GG127" s="444"/>
      <c r="GH127" s="444"/>
      <c r="GI127" s="468"/>
      <c r="GJ127" s="469"/>
      <c r="GK127" s="444"/>
      <c r="GL127" s="444"/>
      <c r="GM127" s="468"/>
      <c r="GN127" s="469"/>
      <c r="GO127" s="444"/>
      <c r="GP127" s="444"/>
      <c r="GQ127" s="468"/>
      <c r="GR127" s="469"/>
      <c r="GS127" s="444"/>
      <c r="GT127" s="444"/>
      <c r="GU127" s="468"/>
      <c r="GV127" s="469"/>
      <c r="GW127" s="444"/>
      <c r="GX127" s="444"/>
      <c r="GY127" s="468"/>
      <c r="GZ127" s="469"/>
      <c r="HA127" s="444"/>
      <c r="HB127" s="444"/>
      <c r="HC127" s="446">
        <f t="shared" si="83"/>
        <v>0</v>
      </c>
      <c r="HD127" s="471"/>
      <c r="HE127" s="447">
        <f t="shared" si="83"/>
        <v>0</v>
      </c>
      <c r="HF127" s="447">
        <f t="shared" si="83"/>
        <v>0</v>
      </c>
      <c r="HG127" s="446">
        <f>SUM(SUMIFS(K127:HB127,$K$13:$HB$13,{"エネルギー管理指定工場等*","県域*"}))</f>
        <v>0</v>
      </c>
      <c r="HH127" s="471"/>
      <c r="HI127" s="447">
        <f>SUM(SUMIFS(M127:HD127,$K$13:$HB$13,{"エネルギー管理指定工場等*","県域*"}))</f>
        <v>0</v>
      </c>
      <c r="HJ127" s="472">
        <f>SUM(SUMIFS(N127:HE127,$K$13:$HB$13,{"エネルギー管理指定工場等*","県域*"}))</f>
        <v>0</v>
      </c>
      <c r="IE127" s="579"/>
      <c r="IF127" s="579"/>
      <c r="IG127" s="579"/>
      <c r="IH127" s="579"/>
    </row>
    <row r="128" spans="2:242" s="164" customFormat="1" ht="20.100000000000001" customHeight="1">
      <c r="B128" s="410" t="s">
        <v>1409</v>
      </c>
      <c r="C128" s="473"/>
      <c r="D128" s="473"/>
      <c r="E128" s="473"/>
      <c r="F128" s="411"/>
      <c r="G128" s="411"/>
      <c r="H128" s="474"/>
      <c r="I128" s="425"/>
      <c r="J128" s="426"/>
      <c r="K128" s="475"/>
      <c r="L128" s="476"/>
      <c r="M128" s="473"/>
      <c r="N128" s="477"/>
      <c r="O128" s="475"/>
      <c r="P128" s="476"/>
      <c r="Q128" s="473"/>
      <c r="R128" s="477"/>
      <c r="S128" s="475"/>
      <c r="T128" s="476"/>
      <c r="U128" s="473"/>
      <c r="V128" s="477"/>
      <c r="W128" s="475"/>
      <c r="X128" s="476"/>
      <c r="Y128" s="473"/>
      <c r="Z128" s="477"/>
      <c r="AA128" s="475"/>
      <c r="AB128" s="476"/>
      <c r="AC128" s="473"/>
      <c r="AD128" s="477"/>
      <c r="AE128" s="475"/>
      <c r="AF128" s="476"/>
      <c r="AG128" s="473"/>
      <c r="AH128" s="477"/>
      <c r="AI128" s="475"/>
      <c r="AJ128" s="476"/>
      <c r="AK128" s="473"/>
      <c r="AL128" s="477"/>
      <c r="AM128" s="475"/>
      <c r="AN128" s="476"/>
      <c r="AO128" s="473"/>
      <c r="AP128" s="477"/>
      <c r="AQ128" s="475"/>
      <c r="AR128" s="476"/>
      <c r="AS128" s="473"/>
      <c r="AT128" s="477"/>
      <c r="AU128" s="475"/>
      <c r="AV128" s="476"/>
      <c r="AW128" s="473"/>
      <c r="AX128" s="477"/>
      <c r="AY128" s="475"/>
      <c r="AZ128" s="476"/>
      <c r="BA128" s="473"/>
      <c r="BB128" s="477"/>
      <c r="BC128" s="475"/>
      <c r="BD128" s="476"/>
      <c r="BE128" s="473"/>
      <c r="BF128" s="477"/>
      <c r="BG128" s="475"/>
      <c r="BH128" s="476"/>
      <c r="BI128" s="473"/>
      <c r="BJ128" s="477"/>
      <c r="BK128" s="475"/>
      <c r="BL128" s="476"/>
      <c r="BM128" s="473"/>
      <c r="BN128" s="477"/>
      <c r="BO128" s="475"/>
      <c r="BP128" s="476"/>
      <c r="BQ128" s="473"/>
      <c r="BR128" s="477"/>
      <c r="BS128" s="475"/>
      <c r="BT128" s="476"/>
      <c r="BU128" s="473"/>
      <c r="BV128" s="477"/>
      <c r="BW128" s="475"/>
      <c r="BX128" s="476"/>
      <c r="BY128" s="473"/>
      <c r="BZ128" s="473"/>
      <c r="CA128" s="475"/>
      <c r="CB128" s="476"/>
      <c r="CC128" s="473"/>
      <c r="CD128" s="473"/>
      <c r="CE128" s="475"/>
      <c r="CF128" s="476"/>
      <c r="CG128" s="473"/>
      <c r="CH128" s="473"/>
      <c r="CI128" s="475"/>
      <c r="CJ128" s="476"/>
      <c r="CK128" s="473"/>
      <c r="CL128" s="473"/>
      <c r="CM128" s="475"/>
      <c r="CN128" s="476"/>
      <c r="CO128" s="473"/>
      <c r="CP128" s="473"/>
      <c r="CQ128" s="475"/>
      <c r="CR128" s="476"/>
      <c r="CS128" s="473"/>
      <c r="CT128" s="473"/>
      <c r="CU128" s="475"/>
      <c r="CV128" s="476"/>
      <c r="CW128" s="473"/>
      <c r="CX128" s="473"/>
      <c r="CY128" s="475"/>
      <c r="CZ128" s="476"/>
      <c r="DA128" s="473"/>
      <c r="DB128" s="473"/>
      <c r="DC128" s="475"/>
      <c r="DD128" s="476"/>
      <c r="DE128" s="473"/>
      <c r="DF128" s="473"/>
      <c r="DG128" s="475"/>
      <c r="DH128" s="476"/>
      <c r="DI128" s="473"/>
      <c r="DJ128" s="473"/>
      <c r="DK128" s="475"/>
      <c r="DL128" s="476"/>
      <c r="DM128" s="473"/>
      <c r="DN128" s="473"/>
      <c r="DO128" s="475"/>
      <c r="DP128" s="476"/>
      <c r="DQ128" s="473"/>
      <c r="DR128" s="473"/>
      <c r="DS128" s="475"/>
      <c r="DT128" s="476"/>
      <c r="DU128" s="473"/>
      <c r="DV128" s="473"/>
      <c r="DW128" s="475"/>
      <c r="DX128" s="476"/>
      <c r="DY128" s="473"/>
      <c r="DZ128" s="473"/>
      <c r="EA128" s="475"/>
      <c r="EB128" s="476"/>
      <c r="EC128" s="473"/>
      <c r="ED128" s="473"/>
      <c r="EE128" s="475"/>
      <c r="EF128" s="476"/>
      <c r="EG128" s="473"/>
      <c r="EH128" s="473"/>
      <c r="EI128" s="475"/>
      <c r="EJ128" s="476"/>
      <c r="EK128" s="473"/>
      <c r="EL128" s="473"/>
      <c r="EM128" s="475"/>
      <c r="EN128" s="476"/>
      <c r="EO128" s="473"/>
      <c r="EP128" s="473"/>
      <c r="EQ128" s="475"/>
      <c r="ER128" s="476"/>
      <c r="ES128" s="473"/>
      <c r="ET128" s="473"/>
      <c r="EU128" s="475"/>
      <c r="EV128" s="476"/>
      <c r="EW128" s="473"/>
      <c r="EX128" s="473"/>
      <c r="EY128" s="475"/>
      <c r="EZ128" s="476"/>
      <c r="FA128" s="473"/>
      <c r="FB128" s="473"/>
      <c r="FC128" s="475"/>
      <c r="FD128" s="476"/>
      <c r="FE128" s="473"/>
      <c r="FF128" s="473"/>
      <c r="FG128" s="475"/>
      <c r="FH128" s="476"/>
      <c r="FI128" s="473"/>
      <c r="FJ128" s="473"/>
      <c r="FK128" s="475"/>
      <c r="FL128" s="476"/>
      <c r="FM128" s="473"/>
      <c r="FN128" s="473"/>
      <c r="FO128" s="475"/>
      <c r="FP128" s="476"/>
      <c r="FQ128" s="473"/>
      <c r="FR128" s="473"/>
      <c r="FS128" s="475"/>
      <c r="FT128" s="476"/>
      <c r="FU128" s="473"/>
      <c r="FV128" s="473"/>
      <c r="FW128" s="475"/>
      <c r="FX128" s="476"/>
      <c r="FY128" s="473"/>
      <c r="FZ128" s="473"/>
      <c r="GA128" s="475"/>
      <c r="GB128" s="476"/>
      <c r="GC128" s="473"/>
      <c r="GD128" s="473"/>
      <c r="GE128" s="475"/>
      <c r="GF128" s="476"/>
      <c r="GG128" s="473"/>
      <c r="GH128" s="473"/>
      <c r="GI128" s="475"/>
      <c r="GJ128" s="476"/>
      <c r="GK128" s="473"/>
      <c r="GL128" s="473"/>
      <c r="GM128" s="475"/>
      <c r="GN128" s="476"/>
      <c r="GO128" s="473"/>
      <c r="GP128" s="473"/>
      <c r="GQ128" s="475"/>
      <c r="GR128" s="476"/>
      <c r="GS128" s="473"/>
      <c r="GT128" s="473"/>
      <c r="GU128" s="475"/>
      <c r="GV128" s="476"/>
      <c r="GW128" s="473"/>
      <c r="GX128" s="473"/>
      <c r="GY128" s="475"/>
      <c r="GZ128" s="476"/>
      <c r="HA128" s="473"/>
      <c r="HB128" s="473"/>
      <c r="HC128" s="478">
        <f t="shared" si="83"/>
        <v>0</v>
      </c>
      <c r="HD128" s="479"/>
      <c r="HE128" s="480">
        <f t="shared" si="83"/>
        <v>0</v>
      </c>
      <c r="HF128" s="480">
        <f t="shared" si="83"/>
        <v>0</v>
      </c>
      <c r="HG128" s="478">
        <f>SUM(SUMIFS(K128:HB128,$K$13:$HB$13,{"エネルギー管理指定工場等*","県域*"}))</f>
        <v>0</v>
      </c>
      <c r="HH128" s="479"/>
      <c r="HI128" s="480">
        <f>SUM(SUMIFS(M128:HD128,$K$13:$HB$13,{"エネルギー管理指定工場等*","県域*"}))</f>
        <v>0</v>
      </c>
      <c r="HJ128" s="481">
        <f>SUM(SUMIFS(N128:HE128,$K$13:$HB$13,{"エネルギー管理指定工場等*","県域*"}))</f>
        <v>0</v>
      </c>
      <c r="IE128" s="579"/>
      <c r="IF128" s="579"/>
      <c r="IG128" s="579"/>
      <c r="IH128" s="579"/>
    </row>
    <row r="129" spans="1:242" s="164" customFormat="1" ht="20.100000000000001" customHeight="1">
      <c r="B129" s="421" t="s">
        <v>1410</v>
      </c>
      <c r="C129" s="458"/>
      <c r="D129" s="458"/>
      <c r="E129" s="458"/>
      <c r="F129" s="422"/>
      <c r="G129" s="422"/>
      <c r="H129" s="459"/>
      <c r="I129" s="425"/>
      <c r="J129" s="426"/>
      <c r="K129" s="460"/>
      <c r="L129" s="461"/>
      <c r="M129" s="458"/>
      <c r="N129" s="462"/>
      <c r="O129" s="460"/>
      <c r="P129" s="461"/>
      <c r="Q129" s="458"/>
      <c r="R129" s="462"/>
      <c r="S129" s="460"/>
      <c r="T129" s="461"/>
      <c r="U129" s="458"/>
      <c r="V129" s="462"/>
      <c r="W129" s="460"/>
      <c r="X129" s="461"/>
      <c r="Y129" s="458"/>
      <c r="Z129" s="462"/>
      <c r="AA129" s="460"/>
      <c r="AB129" s="461"/>
      <c r="AC129" s="458"/>
      <c r="AD129" s="462"/>
      <c r="AE129" s="460"/>
      <c r="AF129" s="461"/>
      <c r="AG129" s="458"/>
      <c r="AH129" s="462"/>
      <c r="AI129" s="460"/>
      <c r="AJ129" s="461"/>
      <c r="AK129" s="458"/>
      <c r="AL129" s="462"/>
      <c r="AM129" s="460"/>
      <c r="AN129" s="461"/>
      <c r="AO129" s="458"/>
      <c r="AP129" s="462"/>
      <c r="AQ129" s="460"/>
      <c r="AR129" s="461"/>
      <c r="AS129" s="458"/>
      <c r="AT129" s="462"/>
      <c r="AU129" s="460"/>
      <c r="AV129" s="461"/>
      <c r="AW129" s="458"/>
      <c r="AX129" s="462"/>
      <c r="AY129" s="460"/>
      <c r="AZ129" s="461"/>
      <c r="BA129" s="458"/>
      <c r="BB129" s="462"/>
      <c r="BC129" s="460"/>
      <c r="BD129" s="461"/>
      <c r="BE129" s="458"/>
      <c r="BF129" s="462"/>
      <c r="BG129" s="460"/>
      <c r="BH129" s="461"/>
      <c r="BI129" s="458"/>
      <c r="BJ129" s="462"/>
      <c r="BK129" s="460"/>
      <c r="BL129" s="461"/>
      <c r="BM129" s="458"/>
      <c r="BN129" s="462"/>
      <c r="BO129" s="460"/>
      <c r="BP129" s="461"/>
      <c r="BQ129" s="458"/>
      <c r="BR129" s="462"/>
      <c r="BS129" s="460"/>
      <c r="BT129" s="461"/>
      <c r="BU129" s="458"/>
      <c r="BV129" s="462"/>
      <c r="BW129" s="460"/>
      <c r="BX129" s="461"/>
      <c r="BY129" s="458"/>
      <c r="BZ129" s="458"/>
      <c r="CA129" s="460"/>
      <c r="CB129" s="461"/>
      <c r="CC129" s="458"/>
      <c r="CD129" s="458"/>
      <c r="CE129" s="460"/>
      <c r="CF129" s="461"/>
      <c r="CG129" s="458"/>
      <c r="CH129" s="458"/>
      <c r="CI129" s="460"/>
      <c r="CJ129" s="461"/>
      <c r="CK129" s="458"/>
      <c r="CL129" s="458"/>
      <c r="CM129" s="460"/>
      <c r="CN129" s="461"/>
      <c r="CO129" s="458"/>
      <c r="CP129" s="458"/>
      <c r="CQ129" s="460"/>
      <c r="CR129" s="461"/>
      <c r="CS129" s="458"/>
      <c r="CT129" s="458"/>
      <c r="CU129" s="460"/>
      <c r="CV129" s="461"/>
      <c r="CW129" s="458"/>
      <c r="CX129" s="458"/>
      <c r="CY129" s="460"/>
      <c r="CZ129" s="461"/>
      <c r="DA129" s="458"/>
      <c r="DB129" s="458"/>
      <c r="DC129" s="460"/>
      <c r="DD129" s="461"/>
      <c r="DE129" s="458"/>
      <c r="DF129" s="458"/>
      <c r="DG129" s="460"/>
      <c r="DH129" s="461"/>
      <c r="DI129" s="458"/>
      <c r="DJ129" s="458"/>
      <c r="DK129" s="460"/>
      <c r="DL129" s="461"/>
      <c r="DM129" s="458"/>
      <c r="DN129" s="458"/>
      <c r="DO129" s="460"/>
      <c r="DP129" s="461"/>
      <c r="DQ129" s="458"/>
      <c r="DR129" s="458"/>
      <c r="DS129" s="460"/>
      <c r="DT129" s="461"/>
      <c r="DU129" s="458"/>
      <c r="DV129" s="458"/>
      <c r="DW129" s="460"/>
      <c r="DX129" s="461"/>
      <c r="DY129" s="458"/>
      <c r="DZ129" s="458"/>
      <c r="EA129" s="460"/>
      <c r="EB129" s="461"/>
      <c r="EC129" s="458"/>
      <c r="ED129" s="458"/>
      <c r="EE129" s="460"/>
      <c r="EF129" s="461"/>
      <c r="EG129" s="458"/>
      <c r="EH129" s="458"/>
      <c r="EI129" s="460"/>
      <c r="EJ129" s="461"/>
      <c r="EK129" s="458"/>
      <c r="EL129" s="458"/>
      <c r="EM129" s="460"/>
      <c r="EN129" s="461"/>
      <c r="EO129" s="458"/>
      <c r="EP129" s="458"/>
      <c r="EQ129" s="460"/>
      <c r="ER129" s="461"/>
      <c r="ES129" s="458"/>
      <c r="ET129" s="458"/>
      <c r="EU129" s="460"/>
      <c r="EV129" s="461"/>
      <c r="EW129" s="458"/>
      <c r="EX129" s="458"/>
      <c r="EY129" s="460"/>
      <c r="EZ129" s="461"/>
      <c r="FA129" s="458"/>
      <c r="FB129" s="458"/>
      <c r="FC129" s="460"/>
      <c r="FD129" s="461"/>
      <c r="FE129" s="458"/>
      <c r="FF129" s="458"/>
      <c r="FG129" s="460"/>
      <c r="FH129" s="461"/>
      <c r="FI129" s="458"/>
      <c r="FJ129" s="458"/>
      <c r="FK129" s="460"/>
      <c r="FL129" s="461"/>
      <c r="FM129" s="458"/>
      <c r="FN129" s="458"/>
      <c r="FO129" s="460"/>
      <c r="FP129" s="461"/>
      <c r="FQ129" s="458"/>
      <c r="FR129" s="458"/>
      <c r="FS129" s="460"/>
      <c r="FT129" s="461"/>
      <c r="FU129" s="458"/>
      <c r="FV129" s="458"/>
      <c r="FW129" s="460"/>
      <c r="FX129" s="461"/>
      <c r="FY129" s="458"/>
      <c r="FZ129" s="458"/>
      <c r="GA129" s="460"/>
      <c r="GB129" s="461"/>
      <c r="GC129" s="458"/>
      <c r="GD129" s="458"/>
      <c r="GE129" s="460"/>
      <c r="GF129" s="461"/>
      <c r="GG129" s="458"/>
      <c r="GH129" s="458"/>
      <c r="GI129" s="460"/>
      <c r="GJ129" s="461"/>
      <c r="GK129" s="458"/>
      <c r="GL129" s="458"/>
      <c r="GM129" s="460"/>
      <c r="GN129" s="461"/>
      <c r="GO129" s="458"/>
      <c r="GP129" s="458"/>
      <c r="GQ129" s="460"/>
      <c r="GR129" s="461"/>
      <c r="GS129" s="458"/>
      <c r="GT129" s="458"/>
      <c r="GU129" s="460"/>
      <c r="GV129" s="461"/>
      <c r="GW129" s="458"/>
      <c r="GX129" s="458"/>
      <c r="GY129" s="460"/>
      <c r="GZ129" s="461"/>
      <c r="HA129" s="458"/>
      <c r="HB129" s="458"/>
      <c r="HC129" s="463">
        <f t="shared" si="83"/>
        <v>0</v>
      </c>
      <c r="HD129" s="464"/>
      <c r="HE129" s="465">
        <f t="shared" si="83"/>
        <v>0</v>
      </c>
      <c r="HF129" s="465">
        <f t="shared" si="83"/>
        <v>0</v>
      </c>
      <c r="HG129" s="463">
        <f>SUM(SUMIFS(K129:HB129,$K$13:$HB$13,{"エネルギー管理指定工場等*","県域*"}))</f>
        <v>0</v>
      </c>
      <c r="HH129" s="464"/>
      <c r="HI129" s="465">
        <f>SUM(SUMIFS(M129:HD129,$K$13:$HB$13,{"エネルギー管理指定工場等*","県域*"}))</f>
        <v>0</v>
      </c>
      <c r="HJ129" s="466">
        <f>SUM(SUMIFS(N129:HE129,$K$13:$HB$13,{"エネルギー管理指定工場等*","県域*"}))</f>
        <v>0</v>
      </c>
      <c r="IE129" s="579"/>
      <c r="IF129" s="579"/>
      <c r="IG129" s="579"/>
      <c r="IH129" s="579"/>
    </row>
    <row r="130" spans="1:242" ht="20.100000000000001" customHeight="1">
      <c r="A130" s="164"/>
      <c r="B130" s="443" t="s">
        <v>1411</v>
      </c>
      <c r="C130" s="444"/>
      <c r="D130" s="444"/>
      <c r="E130" s="444"/>
      <c r="F130" s="444"/>
      <c r="G130" s="444"/>
      <c r="H130" s="467"/>
      <c r="I130" s="425"/>
      <c r="J130" s="426"/>
      <c r="K130" s="468"/>
      <c r="L130" s="469"/>
      <c r="M130" s="444"/>
      <c r="N130" s="470"/>
      <c r="O130" s="468"/>
      <c r="P130" s="469"/>
      <c r="Q130" s="444"/>
      <c r="R130" s="470"/>
      <c r="S130" s="468"/>
      <c r="T130" s="469"/>
      <c r="U130" s="444"/>
      <c r="V130" s="470"/>
      <c r="W130" s="468"/>
      <c r="X130" s="469"/>
      <c r="Y130" s="444"/>
      <c r="Z130" s="470"/>
      <c r="AA130" s="468"/>
      <c r="AB130" s="469"/>
      <c r="AC130" s="444"/>
      <c r="AD130" s="470"/>
      <c r="AE130" s="468"/>
      <c r="AF130" s="469"/>
      <c r="AG130" s="444"/>
      <c r="AH130" s="470"/>
      <c r="AI130" s="468"/>
      <c r="AJ130" s="469"/>
      <c r="AK130" s="444"/>
      <c r="AL130" s="470"/>
      <c r="AM130" s="468"/>
      <c r="AN130" s="469"/>
      <c r="AO130" s="444"/>
      <c r="AP130" s="470"/>
      <c r="AQ130" s="468"/>
      <c r="AR130" s="469"/>
      <c r="AS130" s="444"/>
      <c r="AT130" s="470"/>
      <c r="AU130" s="468"/>
      <c r="AV130" s="469"/>
      <c r="AW130" s="444"/>
      <c r="AX130" s="470"/>
      <c r="AY130" s="468"/>
      <c r="AZ130" s="469"/>
      <c r="BA130" s="444"/>
      <c r="BB130" s="470"/>
      <c r="BC130" s="468"/>
      <c r="BD130" s="469"/>
      <c r="BE130" s="444"/>
      <c r="BF130" s="470"/>
      <c r="BG130" s="468"/>
      <c r="BH130" s="469"/>
      <c r="BI130" s="444"/>
      <c r="BJ130" s="470"/>
      <c r="BK130" s="468"/>
      <c r="BL130" s="469"/>
      <c r="BM130" s="444"/>
      <c r="BN130" s="470"/>
      <c r="BO130" s="468"/>
      <c r="BP130" s="469"/>
      <c r="BQ130" s="444"/>
      <c r="BR130" s="470"/>
      <c r="BS130" s="468"/>
      <c r="BT130" s="469"/>
      <c r="BU130" s="444"/>
      <c r="BV130" s="470"/>
      <c r="BW130" s="468"/>
      <c r="BX130" s="469"/>
      <c r="BY130" s="444"/>
      <c r="BZ130" s="444"/>
      <c r="CA130" s="468"/>
      <c r="CB130" s="469"/>
      <c r="CC130" s="444"/>
      <c r="CD130" s="444"/>
      <c r="CE130" s="468"/>
      <c r="CF130" s="469"/>
      <c r="CG130" s="444"/>
      <c r="CH130" s="444"/>
      <c r="CI130" s="468"/>
      <c r="CJ130" s="469"/>
      <c r="CK130" s="444"/>
      <c r="CL130" s="444"/>
      <c r="CM130" s="468"/>
      <c r="CN130" s="469"/>
      <c r="CO130" s="444"/>
      <c r="CP130" s="444"/>
      <c r="CQ130" s="468"/>
      <c r="CR130" s="469"/>
      <c r="CS130" s="444"/>
      <c r="CT130" s="444"/>
      <c r="CU130" s="468"/>
      <c r="CV130" s="469"/>
      <c r="CW130" s="444"/>
      <c r="CX130" s="444"/>
      <c r="CY130" s="468"/>
      <c r="CZ130" s="469"/>
      <c r="DA130" s="444"/>
      <c r="DB130" s="444"/>
      <c r="DC130" s="468"/>
      <c r="DD130" s="469"/>
      <c r="DE130" s="444"/>
      <c r="DF130" s="444"/>
      <c r="DG130" s="468"/>
      <c r="DH130" s="469"/>
      <c r="DI130" s="444"/>
      <c r="DJ130" s="444"/>
      <c r="DK130" s="468"/>
      <c r="DL130" s="469"/>
      <c r="DM130" s="444"/>
      <c r="DN130" s="444"/>
      <c r="DO130" s="468"/>
      <c r="DP130" s="469"/>
      <c r="DQ130" s="444"/>
      <c r="DR130" s="444"/>
      <c r="DS130" s="468"/>
      <c r="DT130" s="469"/>
      <c r="DU130" s="444"/>
      <c r="DV130" s="444"/>
      <c r="DW130" s="468"/>
      <c r="DX130" s="469"/>
      <c r="DY130" s="444"/>
      <c r="DZ130" s="444"/>
      <c r="EA130" s="468"/>
      <c r="EB130" s="469"/>
      <c r="EC130" s="444"/>
      <c r="ED130" s="444"/>
      <c r="EE130" s="468"/>
      <c r="EF130" s="469"/>
      <c r="EG130" s="444"/>
      <c r="EH130" s="444"/>
      <c r="EI130" s="468"/>
      <c r="EJ130" s="469"/>
      <c r="EK130" s="444"/>
      <c r="EL130" s="444"/>
      <c r="EM130" s="468"/>
      <c r="EN130" s="469"/>
      <c r="EO130" s="444"/>
      <c r="EP130" s="444"/>
      <c r="EQ130" s="468"/>
      <c r="ER130" s="469"/>
      <c r="ES130" s="444"/>
      <c r="ET130" s="444"/>
      <c r="EU130" s="468"/>
      <c r="EV130" s="469"/>
      <c r="EW130" s="444"/>
      <c r="EX130" s="444"/>
      <c r="EY130" s="468"/>
      <c r="EZ130" s="469"/>
      <c r="FA130" s="444"/>
      <c r="FB130" s="444"/>
      <c r="FC130" s="468"/>
      <c r="FD130" s="469"/>
      <c r="FE130" s="444"/>
      <c r="FF130" s="444"/>
      <c r="FG130" s="468"/>
      <c r="FH130" s="469"/>
      <c r="FI130" s="444"/>
      <c r="FJ130" s="444"/>
      <c r="FK130" s="468"/>
      <c r="FL130" s="469"/>
      <c r="FM130" s="444"/>
      <c r="FN130" s="444"/>
      <c r="FO130" s="468"/>
      <c r="FP130" s="469"/>
      <c r="FQ130" s="444"/>
      <c r="FR130" s="444"/>
      <c r="FS130" s="468"/>
      <c r="FT130" s="469"/>
      <c r="FU130" s="444"/>
      <c r="FV130" s="444"/>
      <c r="FW130" s="468"/>
      <c r="FX130" s="469"/>
      <c r="FY130" s="444"/>
      <c r="FZ130" s="444"/>
      <c r="GA130" s="468"/>
      <c r="GB130" s="469"/>
      <c r="GC130" s="444"/>
      <c r="GD130" s="444"/>
      <c r="GE130" s="468"/>
      <c r="GF130" s="469"/>
      <c r="GG130" s="444"/>
      <c r="GH130" s="444"/>
      <c r="GI130" s="468"/>
      <c r="GJ130" s="469"/>
      <c r="GK130" s="444"/>
      <c r="GL130" s="444"/>
      <c r="GM130" s="468"/>
      <c r="GN130" s="469"/>
      <c r="GO130" s="444"/>
      <c r="GP130" s="444"/>
      <c r="GQ130" s="468"/>
      <c r="GR130" s="469"/>
      <c r="GS130" s="444"/>
      <c r="GT130" s="444"/>
      <c r="GU130" s="468"/>
      <c r="GV130" s="469"/>
      <c r="GW130" s="444"/>
      <c r="GX130" s="444"/>
      <c r="GY130" s="468"/>
      <c r="GZ130" s="469"/>
      <c r="HA130" s="444"/>
      <c r="HB130" s="444"/>
      <c r="HC130" s="446">
        <f t="shared" si="83"/>
        <v>0</v>
      </c>
      <c r="HD130" s="471"/>
      <c r="HE130" s="447">
        <f t="shared" si="83"/>
        <v>0</v>
      </c>
      <c r="HF130" s="447">
        <f t="shared" si="83"/>
        <v>0</v>
      </c>
      <c r="HG130" s="446">
        <f>SUM(SUMIFS(K130:HB130,$K$13:$HB$13,{"エネルギー管理指定工場等*","県域*"}))</f>
        <v>0</v>
      </c>
      <c r="HH130" s="471"/>
      <c r="HI130" s="447">
        <f>SUM(SUMIFS(M130:HD130,$K$13:$HB$13,{"エネルギー管理指定工場等*","県域*"}))</f>
        <v>0</v>
      </c>
      <c r="HJ130" s="472">
        <f>SUM(SUMIFS(N130:HE130,$K$13:$HB$13,{"エネルギー管理指定工場等*","県域*"}))</f>
        <v>0</v>
      </c>
      <c r="HK130" s="164"/>
    </row>
    <row r="131" spans="1:242" ht="20.100000000000001" customHeight="1">
      <c r="A131" s="164"/>
      <c r="B131" s="410" t="s">
        <v>1412</v>
      </c>
      <c r="C131" s="411"/>
      <c r="D131" s="411"/>
      <c r="E131" s="411"/>
      <c r="F131" s="411"/>
      <c r="G131" s="411"/>
      <c r="H131" s="436"/>
      <c r="I131" s="425"/>
      <c r="J131" s="426"/>
      <c r="K131" s="416"/>
      <c r="L131" s="449"/>
      <c r="M131" s="449"/>
      <c r="N131" s="417"/>
      <c r="O131" s="416"/>
      <c r="P131" s="449"/>
      <c r="Q131" s="449"/>
      <c r="R131" s="417"/>
      <c r="S131" s="416"/>
      <c r="T131" s="449"/>
      <c r="U131" s="449"/>
      <c r="V131" s="417"/>
      <c r="W131" s="416"/>
      <c r="X131" s="449"/>
      <c r="Y131" s="449"/>
      <c r="Z131" s="417"/>
      <c r="AA131" s="416"/>
      <c r="AB131" s="449"/>
      <c r="AC131" s="449"/>
      <c r="AD131" s="417"/>
      <c r="AE131" s="416"/>
      <c r="AF131" s="449"/>
      <c r="AG131" s="449"/>
      <c r="AH131" s="417"/>
      <c r="AI131" s="416"/>
      <c r="AJ131" s="449"/>
      <c r="AK131" s="449"/>
      <c r="AL131" s="417"/>
      <c r="AM131" s="416"/>
      <c r="AN131" s="449"/>
      <c r="AO131" s="449"/>
      <c r="AP131" s="417"/>
      <c r="AQ131" s="416"/>
      <c r="AR131" s="449"/>
      <c r="AS131" s="449"/>
      <c r="AT131" s="417"/>
      <c r="AU131" s="416"/>
      <c r="AV131" s="449"/>
      <c r="AW131" s="449"/>
      <c r="AX131" s="417"/>
      <c r="AY131" s="416"/>
      <c r="AZ131" s="449"/>
      <c r="BA131" s="449"/>
      <c r="BB131" s="417"/>
      <c r="BC131" s="416"/>
      <c r="BD131" s="449"/>
      <c r="BE131" s="449"/>
      <c r="BF131" s="417"/>
      <c r="BG131" s="416"/>
      <c r="BH131" s="449"/>
      <c r="BI131" s="449"/>
      <c r="BJ131" s="417"/>
      <c r="BK131" s="416"/>
      <c r="BL131" s="449"/>
      <c r="BM131" s="449"/>
      <c r="BN131" s="417"/>
      <c r="BO131" s="416"/>
      <c r="BP131" s="449"/>
      <c r="BQ131" s="449"/>
      <c r="BR131" s="417"/>
      <c r="BS131" s="416"/>
      <c r="BT131" s="449"/>
      <c r="BU131" s="449"/>
      <c r="BV131" s="417"/>
      <c r="BW131" s="416"/>
      <c r="BX131" s="449"/>
      <c r="BY131" s="449"/>
      <c r="BZ131" s="417"/>
      <c r="CA131" s="416"/>
      <c r="CB131" s="449"/>
      <c r="CC131" s="449"/>
      <c r="CD131" s="417"/>
      <c r="CE131" s="416"/>
      <c r="CF131" s="449"/>
      <c r="CG131" s="449"/>
      <c r="CH131" s="417"/>
      <c r="CI131" s="416"/>
      <c r="CJ131" s="449"/>
      <c r="CK131" s="449"/>
      <c r="CL131" s="417"/>
      <c r="CM131" s="416"/>
      <c r="CN131" s="449"/>
      <c r="CO131" s="449"/>
      <c r="CP131" s="417"/>
      <c r="CQ131" s="416"/>
      <c r="CR131" s="449"/>
      <c r="CS131" s="449"/>
      <c r="CT131" s="417"/>
      <c r="CU131" s="416"/>
      <c r="CV131" s="449"/>
      <c r="CW131" s="449"/>
      <c r="CX131" s="417"/>
      <c r="CY131" s="416"/>
      <c r="CZ131" s="449"/>
      <c r="DA131" s="449"/>
      <c r="DB131" s="417"/>
      <c r="DC131" s="416"/>
      <c r="DD131" s="449"/>
      <c r="DE131" s="449"/>
      <c r="DF131" s="417"/>
      <c r="DG131" s="416"/>
      <c r="DH131" s="449"/>
      <c r="DI131" s="449"/>
      <c r="DJ131" s="417"/>
      <c r="DK131" s="416"/>
      <c r="DL131" s="449"/>
      <c r="DM131" s="449"/>
      <c r="DN131" s="417"/>
      <c r="DO131" s="416"/>
      <c r="DP131" s="449"/>
      <c r="DQ131" s="449"/>
      <c r="DR131" s="417"/>
      <c r="DS131" s="416"/>
      <c r="DT131" s="449"/>
      <c r="DU131" s="449"/>
      <c r="DV131" s="417"/>
      <c r="DW131" s="416"/>
      <c r="DX131" s="449"/>
      <c r="DY131" s="449"/>
      <c r="DZ131" s="417"/>
      <c r="EA131" s="416"/>
      <c r="EB131" s="449"/>
      <c r="EC131" s="449"/>
      <c r="ED131" s="417"/>
      <c r="EE131" s="416"/>
      <c r="EF131" s="449"/>
      <c r="EG131" s="449"/>
      <c r="EH131" s="417"/>
      <c r="EI131" s="416"/>
      <c r="EJ131" s="449"/>
      <c r="EK131" s="449"/>
      <c r="EL131" s="417"/>
      <c r="EM131" s="416"/>
      <c r="EN131" s="449"/>
      <c r="EO131" s="449"/>
      <c r="EP131" s="417"/>
      <c r="EQ131" s="416"/>
      <c r="ER131" s="449"/>
      <c r="ES131" s="449"/>
      <c r="ET131" s="417"/>
      <c r="EU131" s="416"/>
      <c r="EV131" s="449"/>
      <c r="EW131" s="449"/>
      <c r="EX131" s="417"/>
      <c r="EY131" s="416"/>
      <c r="EZ131" s="449"/>
      <c r="FA131" s="449"/>
      <c r="FB131" s="417"/>
      <c r="FC131" s="416"/>
      <c r="FD131" s="449"/>
      <c r="FE131" s="449"/>
      <c r="FF131" s="417"/>
      <c r="FG131" s="416"/>
      <c r="FH131" s="449"/>
      <c r="FI131" s="449"/>
      <c r="FJ131" s="417"/>
      <c r="FK131" s="416"/>
      <c r="FL131" s="449"/>
      <c r="FM131" s="449"/>
      <c r="FN131" s="417"/>
      <c r="FO131" s="416"/>
      <c r="FP131" s="449"/>
      <c r="FQ131" s="449"/>
      <c r="FR131" s="417"/>
      <c r="FS131" s="416"/>
      <c r="FT131" s="449"/>
      <c r="FU131" s="449"/>
      <c r="FV131" s="417"/>
      <c r="FW131" s="416"/>
      <c r="FX131" s="449"/>
      <c r="FY131" s="449"/>
      <c r="FZ131" s="417"/>
      <c r="GA131" s="416"/>
      <c r="GB131" s="449"/>
      <c r="GC131" s="449"/>
      <c r="GD131" s="417"/>
      <c r="GE131" s="416"/>
      <c r="GF131" s="449"/>
      <c r="GG131" s="449"/>
      <c r="GH131" s="417"/>
      <c r="GI131" s="416"/>
      <c r="GJ131" s="449"/>
      <c r="GK131" s="449"/>
      <c r="GL131" s="417"/>
      <c r="GM131" s="416"/>
      <c r="GN131" s="449"/>
      <c r="GO131" s="449"/>
      <c r="GP131" s="417"/>
      <c r="GQ131" s="416"/>
      <c r="GR131" s="449"/>
      <c r="GS131" s="449"/>
      <c r="GT131" s="417"/>
      <c r="GU131" s="416"/>
      <c r="GV131" s="449"/>
      <c r="GW131" s="449"/>
      <c r="GX131" s="417"/>
      <c r="GY131" s="416"/>
      <c r="GZ131" s="449"/>
      <c r="HA131" s="449"/>
      <c r="HB131" s="417"/>
      <c r="HC131" s="418">
        <f t="shared" si="83"/>
        <v>0</v>
      </c>
      <c r="HD131" s="451"/>
      <c r="HE131" s="451"/>
      <c r="HF131" s="420"/>
      <c r="HG131" s="418">
        <f>SUM(SUMIFS(K131:HB131,$K$13:$HB$13,{"エネルギー管理指定工場等*","県域*"}))</f>
        <v>0</v>
      </c>
      <c r="HH131" s="451"/>
      <c r="HI131" s="451"/>
      <c r="HJ131" s="420"/>
    </row>
    <row r="132" spans="1:242" ht="20.100000000000001" customHeight="1">
      <c r="A132" s="164"/>
      <c r="B132" s="421" t="s">
        <v>1413</v>
      </c>
      <c r="C132" s="422"/>
      <c r="D132" s="422"/>
      <c r="E132" s="422"/>
      <c r="F132" s="422"/>
      <c r="G132" s="422"/>
      <c r="H132" s="453"/>
      <c r="I132" s="425"/>
      <c r="J132" s="426"/>
      <c r="K132" s="427"/>
      <c r="L132" s="454"/>
      <c r="M132" s="454"/>
      <c r="N132" s="428"/>
      <c r="O132" s="427"/>
      <c r="P132" s="454"/>
      <c r="Q132" s="454"/>
      <c r="R132" s="428"/>
      <c r="S132" s="427"/>
      <c r="T132" s="454"/>
      <c r="U132" s="454"/>
      <c r="V132" s="428"/>
      <c r="W132" s="427"/>
      <c r="X132" s="454"/>
      <c r="Y132" s="454"/>
      <c r="Z132" s="428"/>
      <c r="AA132" s="427"/>
      <c r="AB132" s="454"/>
      <c r="AC132" s="454"/>
      <c r="AD132" s="428"/>
      <c r="AE132" s="427"/>
      <c r="AF132" s="454"/>
      <c r="AG132" s="454"/>
      <c r="AH132" s="428"/>
      <c r="AI132" s="427"/>
      <c r="AJ132" s="454"/>
      <c r="AK132" s="454"/>
      <c r="AL132" s="428"/>
      <c r="AM132" s="427"/>
      <c r="AN132" s="454"/>
      <c r="AO132" s="454"/>
      <c r="AP132" s="428"/>
      <c r="AQ132" s="427"/>
      <c r="AR132" s="454"/>
      <c r="AS132" s="454"/>
      <c r="AT132" s="428"/>
      <c r="AU132" s="427"/>
      <c r="AV132" s="454"/>
      <c r="AW132" s="454"/>
      <c r="AX132" s="428"/>
      <c r="AY132" s="427"/>
      <c r="AZ132" s="454"/>
      <c r="BA132" s="454"/>
      <c r="BB132" s="428"/>
      <c r="BC132" s="427"/>
      <c r="BD132" s="454"/>
      <c r="BE132" s="454"/>
      <c r="BF132" s="428"/>
      <c r="BG132" s="427"/>
      <c r="BH132" s="454"/>
      <c r="BI132" s="454"/>
      <c r="BJ132" s="428"/>
      <c r="BK132" s="427"/>
      <c r="BL132" s="454"/>
      <c r="BM132" s="454"/>
      <c r="BN132" s="428"/>
      <c r="BO132" s="427"/>
      <c r="BP132" s="454"/>
      <c r="BQ132" s="454"/>
      <c r="BR132" s="428"/>
      <c r="BS132" s="427"/>
      <c r="BT132" s="454"/>
      <c r="BU132" s="454"/>
      <c r="BV132" s="428"/>
      <c r="BW132" s="427"/>
      <c r="BX132" s="454"/>
      <c r="BY132" s="454"/>
      <c r="BZ132" s="428"/>
      <c r="CA132" s="427"/>
      <c r="CB132" s="454"/>
      <c r="CC132" s="454"/>
      <c r="CD132" s="428"/>
      <c r="CE132" s="427"/>
      <c r="CF132" s="454"/>
      <c r="CG132" s="454"/>
      <c r="CH132" s="428"/>
      <c r="CI132" s="427"/>
      <c r="CJ132" s="454"/>
      <c r="CK132" s="454"/>
      <c r="CL132" s="428"/>
      <c r="CM132" s="427"/>
      <c r="CN132" s="454"/>
      <c r="CO132" s="454"/>
      <c r="CP132" s="428"/>
      <c r="CQ132" s="427"/>
      <c r="CR132" s="454"/>
      <c r="CS132" s="454"/>
      <c r="CT132" s="428"/>
      <c r="CU132" s="427"/>
      <c r="CV132" s="454"/>
      <c r="CW132" s="454"/>
      <c r="CX132" s="428"/>
      <c r="CY132" s="427"/>
      <c r="CZ132" s="454"/>
      <c r="DA132" s="454"/>
      <c r="DB132" s="428"/>
      <c r="DC132" s="427"/>
      <c r="DD132" s="454"/>
      <c r="DE132" s="454"/>
      <c r="DF132" s="428"/>
      <c r="DG132" s="427"/>
      <c r="DH132" s="454"/>
      <c r="DI132" s="454"/>
      <c r="DJ132" s="428"/>
      <c r="DK132" s="427"/>
      <c r="DL132" s="454"/>
      <c r="DM132" s="454"/>
      <c r="DN132" s="428"/>
      <c r="DO132" s="427"/>
      <c r="DP132" s="454"/>
      <c r="DQ132" s="454"/>
      <c r="DR132" s="428"/>
      <c r="DS132" s="427"/>
      <c r="DT132" s="454"/>
      <c r="DU132" s="454"/>
      <c r="DV132" s="428"/>
      <c r="DW132" s="427"/>
      <c r="DX132" s="454"/>
      <c r="DY132" s="454"/>
      <c r="DZ132" s="428"/>
      <c r="EA132" s="427"/>
      <c r="EB132" s="454"/>
      <c r="EC132" s="454"/>
      <c r="ED132" s="428"/>
      <c r="EE132" s="427"/>
      <c r="EF132" s="454"/>
      <c r="EG132" s="454"/>
      <c r="EH132" s="428"/>
      <c r="EI132" s="427"/>
      <c r="EJ132" s="454"/>
      <c r="EK132" s="454"/>
      <c r="EL132" s="428"/>
      <c r="EM132" s="427"/>
      <c r="EN132" s="454"/>
      <c r="EO132" s="454"/>
      <c r="EP132" s="428"/>
      <c r="EQ132" s="427"/>
      <c r="ER132" s="454"/>
      <c r="ES132" s="454"/>
      <c r="ET132" s="428"/>
      <c r="EU132" s="427"/>
      <c r="EV132" s="454"/>
      <c r="EW132" s="454"/>
      <c r="EX132" s="428"/>
      <c r="EY132" s="427"/>
      <c r="EZ132" s="454"/>
      <c r="FA132" s="454"/>
      <c r="FB132" s="428"/>
      <c r="FC132" s="427"/>
      <c r="FD132" s="454"/>
      <c r="FE132" s="454"/>
      <c r="FF132" s="428"/>
      <c r="FG132" s="427"/>
      <c r="FH132" s="454"/>
      <c r="FI132" s="454"/>
      <c r="FJ132" s="428"/>
      <c r="FK132" s="427"/>
      <c r="FL132" s="454"/>
      <c r="FM132" s="454"/>
      <c r="FN132" s="428"/>
      <c r="FO132" s="427"/>
      <c r="FP132" s="454"/>
      <c r="FQ132" s="454"/>
      <c r="FR132" s="428"/>
      <c r="FS132" s="427"/>
      <c r="FT132" s="454"/>
      <c r="FU132" s="454"/>
      <c r="FV132" s="428"/>
      <c r="FW132" s="427"/>
      <c r="FX132" s="454"/>
      <c r="FY132" s="454"/>
      <c r="FZ132" s="428"/>
      <c r="GA132" s="427"/>
      <c r="GB132" s="454"/>
      <c r="GC132" s="454"/>
      <c r="GD132" s="428"/>
      <c r="GE132" s="427"/>
      <c r="GF132" s="454"/>
      <c r="GG132" s="454"/>
      <c r="GH132" s="428"/>
      <c r="GI132" s="427"/>
      <c r="GJ132" s="454"/>
      <c r="GK132" s="454"/>
      <c r="GL132" s="428"/>
      <c r="GM132" s="427"/>
      <c r="GN132" s="454"/>
      <c r="GO132" s="454"/>
      <c r="GP132" s="428"/>
      <c r="GQ132" s="427"/>
      <c r="GR132" s="454"/>
      <c r="GS132" s="454"/>
      <c r="GT132" s="428"/>
      <c r="GU132" s="427"/>
      <c r="GV132" s="454"/>
      <c r="GW132" s="454"/>
      <c r="GX132" s="428"/>
      <c r="GY132" s="427"/>
      <c r="GZ132" s="454"/>
      <c r="HA132" s="454"/>
      <c r="HB132" s="428"/>
      <c r="HC132" s="434">
        <f t="shared" si="83"/>
        <v>0</v>
      </c>
      <c r="HD132" s="456"/>
      <c r="HE132" s="456"/>
      <c r="HF132" s="433"/>
      <c r="HG132" s="434">
        <f>SUM(SUMIFS(K132:HB132,$K$13:$HB$13,{"エネルギー管理指定工場等*","県域*"}))</f>
        <v>0</v>
      </c>
      <c r="HH132" s="456"/>
      <c r="HI132" s="456"/>
      <c r="HJ132" s="433"/>
    </row>
    <row r="133" spans="1:242" ht="20.100000000000001" customHeight="1">
      <c r="A133" s="164"/>
      <c r="B133" s="421" t="s">
        <v>1414</v>
      </c>
      <c r="C133" s="422"/>
      <c r="D133" s="422"/>
      <c r="E133" s="422"/>
      <c r="F133" s="422"/>
      <c r="G133" s="422"/>
      <c r="H133" s="453"/>
      <c r="I133" s="425"/>
      <c r="J133" s="426"/>
      <c r="K133" s="427"/>
      <c r="L133" s="454"/>
      <c r="M133" s="454"/>
      <c r="N133" s="428"/>
      <c r="O133" s="427"/>
      <c r="P133" s="454"/>
      <c r="Q133" s="454"/>
      <c r="R133" s="428"/>
      <c r="S133" s="427"/>
      <c r="T133" s="454"/>
      <c r="U133" s="454"/>
      <c r="V133" s="428"/>
      <c r="W133" s="427"/>
      <c r="X133" s="454"/>
      <c r="Y133" s="454"/>
      <c r="Z133" s="428"/>
      <c r="AA133" s="427"/>
      <c r="AB133" s="454"/>
      <c r="AC133" s="454"/>
      <c r="AD133" s="428"/>
      <c r="AE133" s="427"/>
      <c r="AF133" s="454"/>
      <c r="AG133" s="454"/>
      <c r="AH133" s="428"/>
      <c r="AI133" s="427"/>
      <c r="AJ133" s="454"/>
      <c r="AK133" s="454"/>
      <c r="AL133" s="428"/>
      <c r="AM133" s="427"/>
      <c r="AN133" s="454"/>
      <c r="AO133" s="454"/>
      <c r="AP133" s="428"/>
      <c r="AQ133" s="427"/>
      <c r="AR133" s="454"/>
      <c r="AS133" s="454"/>
      <c r="AT133" s="428"/>
      <c r="AU133" s="427"/>
      <c r="AV133" s="454"/>
      <c r="AW133" s="454"/>
      <c r="AX133" s="428"/>
      <c r="AY133" s="427"/>
      <c r="AZ133" s="454"/>
      <c r="BA133" s="454"/>
      <c r="BB133" s="428"/>
      <c r="BC133" s="427"/>
      <c r="BD133" s="454"/>
      <c r="BE133" s="454"/>
      <c r="BF133" s="428"/>
      <c r="BG133" s="427"/>
      <c r="BH133" s="454"/>
      <c r="BI133" s="454"/>
      <c r="BJ133" s="428"/>
      <c r="BK133" s="427"/>
      <c r="BL133" s="454"/>
      <c r="BM133" s="454"/>
      <c r="BN133" s="428"/>
      <c r="BO133" s="427"/>
      <c r="BP133" s="454"/>
      <c r="BQ133" s="454"/>
      <c r="BR133" s="428"/>
      <c r="BS133" s="427"/>
      <c r="BT133" s="454"/>
      <c r="BU133" s="454"/>
      <c r="BV133" s="428"/>
      <c r="BW133" s="427"/>
      <c r="BX133" s="454"/>
      <c r="BY133" s="454"/>
      <c r="BZ133" s="428"/>
      <c r="CA133" s="427"/>
      <c r="CB133" s="454"/>
      <c r="CC133" s="454"/>
      <c r="CD133" s="428"/>
      <c r="CE133" s="427"/>
      <c r="CF133" s="454"/>
      <c r="CG133" s="454"/>
      <c r="CH133" s="428"/>
      <c r="CI133" s="427"/>
      <c r="CJ133" s="454"/>
      <c r="CK133" s="454"/>
      <c r="CL133" s="428"/>
      <c r="CM133" s="427"/>
      <c r="CN133" s="454"/>
      <c r="CO133" s="454"/>
      <c r="CP133" s="428"/>
      <c r="CQ133" s="427"/>
      <c r="CR133" s="454"/>
      <c r="CS133" s="454"/>
      <c r="CT133" s="428"/>
      <c r="CU133" s="427"/>
      <c r="CV133" s="454"/>
      <c r="CW133" s="454"/>
      <c r="CX133" s="428"/>
      <c r="CY133" s="427"/>
      <c r="CZ133" s="454"/>
      <c r="DA133" s="454"/>
      <c r="DB133" s="428"/>
      <c r="DC133" s="427"/>
      <c r="DD133" s="454"/>
      <c r="DE133" s="454"/>
      <c r="DF133" s="428"/>
      <c r="DG133" s="427"/>
      <c r="DH133" s="454"/>
      <c r="DI133" s="454"/>
      <c r="DJ133" s="428"/>
      <c r="DK133" s="427"/>
      <c r="DL133" s="454"/>
      <c r="DM133" s="454"/>
      <c r="DN133" s="428"/>
      <c r="DO133" s="427"/>
      <c r="DP133" s="454"/>
      <c r="DQ133" s="454"/>
      <c r="DR133" s="428"/>
      <c r="DS133" s="427"/>
      <c r="DT133" s="454"/>
      <c r="DU133" s="454"/>
      <c r="DV133" s="428"/>
      <c r="DW133" s="427"/>
      <c r="DX133" s="454"/>
      <c r="DY133" s="454"/>
      <c r="DZ133" s="428"/>
      <c r="EA133" s="427"/>
      <c r="EB133" s="454"/>
      <c r="EC133" s="454"/>
      <c r="ED133" s="428"/>
      <c r="EE133" s="427"/>
      <c r="EF133" s="454"/>
      <c r="EG133" s="454"/>
      <c r="EH133" s="428"/>
      <c r="EI133" s="427"/>
      <c r="EJ133" s="454"/>
      <c r="EK133" s="454"/>
      <c r="EL133" s="428"/>
      <c r="EM133" s="427"/>
      <c r="EN133" s="454"/>
      <c r="EO133" s="454"/>
      <c r="EP133" s="428"/>
      <c r="EQ133" s="427"/>
      <c r="ER133" s="454"/>
      <c r="ES133" s="454"/>
      <c r="ET133" s="428"/>
      <c r="EU133" s="427"/>
      <c r="EV133" s="454"/>
      <c r="EW133" s="454"/>
      <c r="EX133" s="428"/>
      <c r="EY133" s="427"/>
      <c r="EZ133" s="454"/>
      <c r="FA133" s="454"/>
      <c r="FB133" s="428"/>
      <c r="FC133" s="427"/>
      <c r="FD133" s="454"/>
      <c r="FE133" s="454"/>
      <c r="FF133" s="428"/>
      <c r="FG133" s="427"/>
      <c r="FH133" s="454"/>
      <c r="FI133" s="454"/>
      <c r="FJ133" s="428"/>
      <c r="FK133" s="427"/>
      <c r="FL133" s="454"/>
      <c r="FM133" s="454"/>
      <c r="FN133" s="428"/>
      <c r="FO133" s="427"/>
      <c r="FP133" s="454"/>
      <c r="FQ133" s="454"/>
      <c r="FR133" s="428"/>
      <c r="FS133" s="427"/>
      <c r="FT133" s="454"/>
      <c r="FU133" s="454"/>
      <c r="FV133" s="428"/>
      <c r="FW133" s="427"/>
      <c r="FX133" s="454"/>
      <c r="FY133" s="454"/>
      <c r="FZ133" s="428"/>
      <c r="GA133" s="427"/>
      <c r="GB133" s="454"/>
      <c r="GC133" s="454"/>
      <c r="GD133" s="428"/>
      <c r="GE133" s="427"/>
      <c r="GF133" s="454"/>
      <c r="GG133" s="454"/>
      <c r="GH133" s="428"/>
      <c r="GI133" s="427"/>
      <c r="GJ133" s="454"/>
      <c r="GK133" s="454"/>
      <c r="GL133" s="428"/>
      <c r="GM133" s="427"/>
      <c r="GN133" s="454"/>
      <c r="GO133" s="454"/>
      <c r="GP133" s="428"/>
      <c r="GQ133" s="427"/>
      <c r="GR133" s="454"/>
      <c r="GS133" s="454"/>
      <c r="GT133" s="428"/>
      <c r="GU133" s="427"/>
      <c r="GV133" s="454"/>
      <c r="GW133" s="454"/>
      <c r="GX133" s="428"/>
      <c r="GY133" s="427"/>
      <c r="GZ133" s="454"/>
      <c r="HA133" s="454"/>
      <c r="HB133" s="428"/>
      <c r="HC133" s="434">
        <f t="shared" si="83"/>
        <v>0</v>
      </c>
      <c r="HD133" s="456"/>
      <c r="HE133" s="456"/>
      <c r="HF133" s="433"/>
      <c r="HG133" s="434">
        <f>SUM(SUMIFS(K133:HB133,$K$13:$HB$13,{"エネルギー管理指定工場等*","県域*"}))</f>
        <v>0</v>
      </c>
      <c r="HH133" s="456"/>
      <c r="HI133" s="456"/>
      <c r="HJ133" s="433"/>
    </row>
    <row r="134" spans="1:242" ht="20.100000000000001" customHeight="1">
      <c r="A134" s="164"/>
      <c r="B134" s="421" t="s">
        <v>1415</v>
      </c>
      <c r="C134" s="422"/>
      <c r="D134" s="422"/>
      <c r="E134" s="422"/>
      <c r="F134" s="422"/>
      <c r="G134" s="422"/>
      <c r="H134" s="453"/>
      <c r="I134" s="425"/>
      <c r="J134" s="426"/>
      <c r="K134" s="427"/>
      <c r="L134" s="454"/>
      <c r="M134" s="454"/>
      <c r="N134" s="428"/>
      <c r="O134" s="427"/>
      <c r="P134" s="454"/>
      <c r="Q134" s="454"/>
      <c r="R134" s="428"/>
      <c r="S134" s="427"/>
      <c r="T134" s="454"/>
      <c r="U134" s="454"/>
      <c r="V134" s="428"/>
      <c r="W134" s="427"/>
      <c r="X134" s="454"/>
      <c r="Y134" s="454"/>
      <c r="Z134" s="428"/>
      <c r="AA134" s="427"/>
      <c r="AB134" s="454"/>
      <c r="AC134" s="454"/>
      <c r="AD134" s="428"/>
      <c r="AE134" s="427"/>
      <c r="AF134" s="454"/>
      <c r="AG134" s="454"/>
      <c r="AH134" s="428"/>
      <c r="AI134" s="427"/>
      <c r="AJ134" s="454"/>
      <c r="AK134" s="454"/>
      <c r="AL134" s="428"/>
      <c r="AM134" s="427"/>
      <c r="AN134" s="454"/>
      <c r="AO134" s="454"/>
      <c r="AP134" s="428"/>
      <c r="AQ134" s="427"/>
      <c r="AR134" s="454"/>
      <c r="AS134" s="454"/>
      <c r="AT134" s="428"/>
      <c r="AU134" s="427"/>
      <c r="AV134" s="454"/>
      <c r="AW134" s="454"/>
      <c r="AX134" s="428"/>
      <c r="AY134" s="427"/>
      <c r="AZ134" s="454"/>
      <c r="BA134" s="454"/>
      <c r="BB134" s="428"/>
      <c r="BC134" s="427"/>
      <c r="BD134" s="454"/>
      <c r="BE134" s="454"/>
      <c r="BF134" s="428"/>
      <c r="BG134" s="427"/>
      <c r="BH134" s="454"/>
      <c r="BI134" s="454"/>
      <c r="BJ134" s="428"/>
      <c r="BK134" s="427"/>
      <c r="BL134" s="454"/>
      <c r="BM134" s="454"/>
      <c r="BN134" s="428"/>
      <c r="BO134" s="427"/>
      <c r="BP134" s="454"/>
      <c r="BQ134" s="454"/>
      <c r="BR134" s="428"/>
      <c r="BS134" s="427"/>
      <c r="BT134" s="454"/>
      <c r="BU134" s="454"/>
      <c r="BV134" s="428"/>
      <c r="BW134" s="427"/>
      <c r="BX134" s="454"/>
      <c r="BY134" s="454"/>
      <c r="BZ134" s="428"/>
      <c r="CA134" s="427"/>
      <c r="CB134" s="454"/>
      <c r="CC134" s="454"/>
      <c r="CD134" s="428"/>
      <c r="CE134" s="427"/>
      <c r="CF134" s="454"/>
      <c r="CG134" s="454"/>
      <c r="CH134" s="428"/>
      <c r="CI134" s="427"/>
      <c r="CJ134" s="454"/>
      <c r="CK134" s="454"/>
      <c r="CL134" s="428"/>
      <c r="CM134" s="427"/>
      <c r="CN134" s="454"/>
      <c r="CO134" s="454"/>
      <c r="CP134" s="428"/>
      <c r="CQ134" s="427"/>
      <c r="CR134" s="454"/>
      <c r="CS134" s="454"/>
      <c r="CT134" s="428"/>
      <c r="CU134" s="427"/>
      <c r="CV134" s="454"/>
      <c r="CW134" s="454"/>
      <c r="CX134" s="428"/>
      <c r="CY134" s="427"/>
      <c r="CZ134" s="454"/>
      <c r="DA134" s="454"/>
      <c r="DB134" s="428"/>
      <c r="DC134" s="427"/>
      <c r="DD134" s="454"/>
      <c r="DE134" s="454"/>
      <c r="DF134" s="428"/>
      <c r="DG134" s="427"/>
      <c r="DH134" s="454"/>
      <c r="DI134" s="454"/>
      <c r="DJ134" s="428"/>
      <c r="DK134" s="427"/>
      <c r="DL134" s="454"/>
      <c r="DM134" s="454"/>
      <c r="DN134" s="428"/>
      <c r="DO134" s="427"/>
      <c r="DP134" s="454"/>
      <c r="DQ134" s="454"/>
      <c r="DR134" s="428"/>
      <c r="DS134" s="427"/>
      <c r="DT134" s="454"/>
      <c r="DU134" s="454"/>
      <c r="DV134" s="428"/>
      <c r="DW134" s="427"/>
      <c r="DX134" s="454"/>
      <c r="DY134" s="454"/>
      <c r="DZ134" s="428"/>
      <c r="EA134" s="427"/>
      <c r="EB134" s="454"/>
      <c r="EC134" s="454"/>
      <c r="ED134" s="428"/>
      <c r="EE134" s="427"/>
      <c r="EF134" s="454"/>
      <c r="EG134" s="454"/>
      <c r="EH134" s="428"/>
      <c r="EI134" s="427"/>
      <c r="EJ134" s="454"/>
      <c r="EK134" s="454"/>
      <c r="EL134" s="428"/>
      <c r="EM134" s="427"/>
      <c r="EN134" s="454"/>
      <c r="EO134" s="454"/>
      <c r="EP134" s="428"/>
      <c r="EQ134" s="427"/>
      <c r="ER134" s="454"/>
      <c r="ES134" s="454"/>
      <c r="ET134" s="428"/>
      <c r="EU134" s="427"/>
      <c r="EV134" s="454"/>
      <c r="EW134" s="454"/>
      <c r="EX134" s="428"/>
      <c r="EY134" s="427"/>
      <c r="EZ134" s="454"/>
      <c r="FA134" s="454"/>
      <c r="FB134" s="428"/>
      <c r="FC134" s="427"/>
      <c r="FD134" s="454"/>
      <c r="FE134" s="454"/>
      <c r="FF134" s="428"/>
      <c r="FG134" s="427"/>
      <c r="FH134" s="454"/>
      <c r="FI134" s="454"/>
      <c r="FJ134" s="428"/>
      <c r="FK134" s="427"/>
      <c r="FL134" s="454"/>
      <c r="FM134" s="454"/>
      <c r="FN134" s="428"/>
      <c r="FO134" s="427"/>
      <c r="FP134" s="454"/>
      <c r="FQ134" s="454"/>
      <c r="FR134" s="428"/>
      <c r="FS134" s="427"/>
      <c r="FT134" s="454"/>
      <c r="FU134" s="454"/>
      <c r="FV134" s="428"/>
      <c r="FW134" s="427"/>
      <c r="FX134" s="454"/>
      <c r="FY134" s="454"/>
      <c r="FZ134" s="428"/>
      <c r="GA134" s="427"/>
      <c r="GB134" s="454"/>
      <c r="GC134" s="454"/>
      <c r="GD134" s="428"/>
      <c r="GE134" s="427"/>
      <c r="GF134" s="454"/>
      <c r="GG134" s="454"/>
      <c r="GH134" s="428"/>
      <c r="GI134" s="427"/>
      <c r="GJ134" s="454"/>
      <c r="GK134" s="454"/>
      <c r="GL134" s="428"/>
      <c r="GM134" s="427"/>
      <c r="GN134" s="454"/>
      <c r="GO134" s="454"/>
      <c r="GP134" s="428"/>
      <c r="GQ134" s="427"/>
      <c r="GR134" s="454"/>
      <c r="GS134" s="454"/>
      <c r="GT134" s="428"/>
      <c r="GU134" s="427"/>
      <c r="GV134" s="454"/>
      <c r="GW134" s="454"/>
      <c r="GX134" s="428"/>
      <c r="GY134" s="427"/>
      <c r="GZ134" s="454"/>
      <c r="HA134" s="454"/>
      <c r="HB134" s="428"/>
      <c r="HC134" s="434">
        <f t="shared" si="83"/>
        <v>0</v>
      </c>
      <c r="HD134" s="456"/>
      <c r="HE134" s="456"/>
      <c r="HF134" s="433"/>
      <c r="HG134" s="434">
        <f>SUM(SUMIFS(K134:HB134,$K$13:$HB$13,{"エネルギー管理指定工場等*","県域*"}))</f>
        <v>0</v>
      </c>
      <c r="HH134" s="456"/>
      <c r="HI134" s="456"/>
      <c r="HJ134" s="433"/>
    </row>
    <row r="135" spans="1:242" ht="20.100000000000001" customHeight="1">
      <c r="A135" s="164"/>
      <c r="B135" s="421" t="s">
        <v>1416</v>
      </c>
      <c r="C135" s="422"/>
      <c r="D135" s="422"/>
      <c r="E135" s="422"/>
      <c r="F135" s="422"/>
      <c r="G135" s="422"/>
      <c r="H135" s="453"/>
      <c r="I135" s="425"/>
      <c r="J135" s="426"/>
      <c r="K135" s="427"/>
      <c r="L135" s="454"/>
      <c r="M135" s="454"/>
      <c r="N135" s="428"/>
      <c r="O135" s="427"/>
      <c r="P135" s="454"/>
      <c r="Q135" s="454"/>
      <c r="R135" s="428"/>
      <c r="S135" s="427"/>
      <c r="T135" s="454"/>
      <c r="U135" s="454"/>
      <c r="V135" s="428"/>
      <c r="W135" s="427"/>
      <c r="X135" s="454"/>
      <c r="Y135" s="454"/>
      <c r="Z135" s="428"/>
      <c r="AA135" s="427"/>
      <c r="AB135" s="454"/>
      <c r="AC135" s="454"/>
      <c r="AD135" s="428"/>
      <c r="AE135" s="427"/>
      <c r="AF135" s="454"/>
      <c r="AG135" s="454"/>
      <c r="AH135" s="428"/>
      <c r="AI135" s="427"/>
      <c r="AJ135" s="454"/>
      <c r="AK135" s="454"/>
      <c r="AL135" s="428"/>
      <c r="AM135" s="427"/>
      <c r="AN135" s="454"/>
      <c r="AO135" s="454"/>
      <c r="AP135" s="428"/>
      <c r="AQ135" s="427"/>
      <c r="AR135" s="454"/>
      <c r="AS135" s="454"/>
      <c r="AT135" s="428"/>
      <c r="AU135" s="427"/>
      <c r="AV135" s="454"/>
      <c r="AW135" s="454"/>
      <c r="AX135" s="428"/>
      <c r="AY135" s="427"/>
      <c r="AZ135" s="454"/>
      <c r="BA135" s="454"/>
      <c r="BB135" s="428"/>
      <c r="BC135" s="427"/>
      <c r="BD135" s="454"/>
      <c r="BE135" s="454"/>
      <c r="BF135" s="428"/>
      <c r="BG135" s="427"/>
      <c r="BH135" s="454"/>
      <c r="BI135" s="454"/>
      <c r="BJ135" s="428"/>
      <c r="BK135" s="427"/>
      <c r="BL135" s="454"/>
      <c r="BM135" s="454"/>
      <c r="BN135" s="428"/>
      <c r="BO135" s="427"/>
      <c r="BP135" s="454"/>
      <c r="BQ135" s="454"/>
      <c r="BR135" s="428"/>
      <c r="BS135" s="427"/>
      <c r="BT135" s="454"/>
      <c r="BU135" s="454"/>
      <c r="BV135" s="428"/>
      <c r="BW135" s="427"/>
      <c r="BX135" s="454"/>
      <c r="BY135" s="454"/>
      <c r="BZ135" s="428"/>
      <c r="CA135" s="427"/>
      <c r="CB135" s="454"/>
      <c r="CC135" s="454"/>
      <c r="CD135" s="428"/>
      <c r="CE135" s="427"/>
      <c r="CF135" s="454"/>
      <c r="CG135" s="454"/>
      <c r="CH135" s="428"/>
      <c r="CI135" s="427"/>
      <c r="CJ135" s="454"/>
      <c r="CK135" s="454"/>
      <c r="CL135" s="428"/>
      <c r="CM135" s="427"/>
      <c r="CN135" s="454"/>
      <c r="CO135" s="454"/>
      <c r="CP135" s="428"/>
      <c r="CQ135" s="427"/>
      <c r="CR135" s="454"/>
      <c r="CS135" s="454"/>
      <c r="CT135" s="428"/>
      <c r="CU135" s="427"/>
      <c r="CV135" s="454"/>
      <c r="CW135" s="454"/>
      <c r="CX135" s="428"/>
      <c r="CY135" s="427"/>
      <c r="CZ135" s="454"/>
      <c r="DA135" s="454"/>
      <c r="DB135" s="428"/>
      <c r="DC135" s="427"/>
      <c r="DD135" s="454"/>
      <c r="DE135" s="454"/>
      <c r="DF135" s="428"/>
      <c r="DG135" s="427"/>
      <c r="DH135" s="454"/>
      <c r="DI135" s="454"/>
      <c r="DJ135" s="428"/>
      <c r="DK135" s="427"/>
      <c r="DL135" s="454"/>
      <c r="DM135" s="454"/>
      <c r="DN135" s="428"/>
      <c r="DO135" s="427"/>
      <c r="DP135" s="454"/>
      <c r="DQ135" s="454"/>
      <c r="DR135" s="428"/>
      <c r="DS135" s="427"/>
      <c r="DT135" s="454"/>
      <c r="DU135" s="454"/>
      <c r="DV135" s="428"/>
      <c r="DW135" s="427"/>
      <c r="DX135" s="454"/>
      <c r="DY135" s="454"/>
      <c r="DZ135" s="428"/>
      <c r="EA135" s="427"/>
      <c r="EB135" s="454"/>
      <c r="EC135" s="454"/>
      <c r="ED135" s="428"/>
      <c r="EE135" s="427"/>
      <c r="EF135" s="454"/>
      <c r="EG135" s="454"/>
      <c r="EH135" s="428"/>
      <c r="EI135" s="427"/>
      <c r="EJ135" s="454"/>
      <c r="EK135" s="454"/>
      <c r="EL135" s="428"/>
      <c r="EM135" s="427"/>
      <c r="EN135" s="454"/>
      <c r="EO135" s="454"/>
      <c r="EP135" s="428"/>
      <c r="EQ135" s="427"/>
      <c r="ER135" s="454"/>
      <c r="ES135" s="454"/>
      <c r="ET135" s="428"/>
      <c r="EU135" s="427"/>
      <c r="EV135" s="454"/>
      <c r="EW135" s="454"/>
      <c r="EX135" s="428"/>
      <c r="EY135" s="427"/>
      <c r="EZ135" s="454"/>
      <c r="FA135" s="454"/>
      <c r="FB135" s="428"/>
      <c r="FC135" s="427"/>
      <c r="FD135" s="454"/>
      <c r="FE135" s="454"/>
      <c r="FF135" s="428"/>
      <c r="FG135" s="427"/>
      <c r="FH135" s="454"/>
      <c r="FI135" s="454"/>
      <c r="FJ135" s="428"/>
      <c r="FK135" s="427"/>
      <c r="FL135" s="454"/>
      <c r="FM135" s="454"/>
      <c r="FN135" s="428"/>
      <c r="FO135" s="427"/>
      <c r="FP135" s="454"/>
      <c r="FQ135" s="454"/>
      <c r="FR135" s="428"/>
      <c r="FS135" s="427"/>
      <c r="FT135" s="454"/>
      <c r="FU135" s="454"/>
      <c r="FV135" s="428"/>
      <c r="FW135" s="427"/>
      <c r="FX135" s="454"/>
      <c r="FY135" s="454"/>
      <c r="FZ135" s="428"/>
      <c r="GA135" s="427"/>
      <c r="GB135" s="454"/>
      <c r="GC135" s="454"/>
      <c r="GD135" s="428"/>
      <c r="GE135" s="427"/>
      <c r="GF135" s="454"/>
      <c r="GG135" s="454"/>
      <c r="GH135" s="428"/>
      <c r="GI135" s="427"/>
      <c r="GJ135" s="454"/>
      <c r="GK135" s="454"/>
      <c r="GL135" s="428"/>
      <c r="GM135" s="427"/>
      <c r="GN135" s="454"/>
      <c r="GO135" s="454"/>
      <c r="GP135" s="428"/>
      <c r="GQ135" s="427"/>
      <c r="GR135" s="454"/>
      <c r="GS135" s="454"/>
      <c r="GT135" s="428"/>
      <c r="GU135" s="427"/>
      <c r="GV135" s="454"/>
      <c r="GW135" s="454"/>
      <c r="GX135" s="428"/>
      <c r="GY135" s="427"/>
      <c r="GZ135" s="454"/>
      <c r="HA135" s="454"/>
      <c r="HB135" s="428"/>
      <c r="HC135" s="434">
        <f t="shared" si="83"/>
        <v>0</v>
      </c>
      <c r="HD135" s="456"/>
      <c r="HE135" s="456"/>
      <c r="HF135" s="433"/>
      <c r="HG135" s="434">
        <f>SUM(SUMIFS(K135:HB135,$K$13:$HB$13,{"エネルギー管理指定工場等*","県域*"}))</f>
        <v>0</v>
      </c>
      <c r="HH135" s="456"/>
      <c r="HI135" s="456"/>
      <c r="HJ135" s="433"/>
    </row>
    <row r="136" spans="1:242" ht="20.100000000000001" customHeight="1">
      <c r="A136" s="164"/>
      <c r="B136" s="421" t="s">
        <v>1417</v>
      </c>
      <c r="C136" s="422"/>
      <c r="D136" s="422"/>
      <c r="E136" s="422"/>
      <c r="F136" s="422"/>
      <c r="G136" s="422"/>
      <c r="H136" s="453"/>
      <c r="I136" s="425"/>
      <c r="J136" s="426"/>
      <c r="K136" s="427"/>
      <c r="L136" s="454"/>
      <c r="M136" s="454"/>
      <c r="N136" s="428"/>
      <c r="O136" s="427"/>
      <c r="P136" s="454"/>
      <c r="Q136" s="454"/>
      <c r="R136" s="428"/>
      <c r="S136" s="427"/>
      <c r="T136" s="454"/>
      <c r="U136" s="454"/>
      <c r="V136" s="428"/>
      <c r="W136" s="427"/>
      <c r="X136" s="454"/>
      <c r="Y136" s="454"/>
      <c r="Z136" s="428"/>
      <c r="AA136" s="427"/>
      <c r="AB136" s="454"/>
      <c r="AC136" s="454"/>
      <c r="AD136" s="428"/>
      <c r="AE136" s="427"/>
      <c r="AF136" s="454"/>
      <c r="AG136" s="454"/>
      <c r="AH136" s="428"/>
      <c r="AI136" s="427"/>
      <c r="AJ136" s="454"/>
      <c r="AK136" s="454"/>
      <c r="AL136" s="428"/>
      <c r="AM136" s="427"/>
      <c r="AN136" s="454"/>
      <c r="AO136" s="454"/>
      <c r="AP136" s="428"/>
      <c r="AQ136" s="427"/>
      <c r="AR136" s="454"/>
      <c r="AS136" s="454"/>
      <c r="AT136" s="428"/>
      <c r="AU136" s="427"/>
      <c r="AV136" s="454"/>
      <c r="AW136" s="454"/>
      <c r="AX136" s="428"/>
      <c r="AY136" s="427"/>
      <c r="AZ136" s="454"/>
      <c r="BA136" s="454"/>
      <c r="BB136" s="428"/>
      <c r="BC136" s="427"/>
      <c r="BD136" s="454"/>
      <c r="BE136" s="454"/>
      <c r="BF136" s="428"/>
      <c r="BG136" s="427"/>
      <c r="BH136" s="454"/>
      <c r="BI136" s="454"/>
      <c r="BJ136" s="428"/>
      <c r="BK136" s="427"/>
      <c r="BL136" s="454"/>
      <c r="BM136" s="454"/>
      <c r="BN136" s="428"/>
      <c r="BO136" s="427"/>
      <c r="BP136" s="454"/>
      <c r="BQ136" s="454"/>
      <c r="BR136" s="428"/>
      <c r="BS136" s="427"/>
      <c r="BT136" s="454"/>
      <c r="BU136" s="454"/>
      <c r="BV136" s="428"/>
      <c r="BW136" s="427"/>
      <c r="BX136" s="454"/>
      <c r="BY136" s="454"/>
      <c r="BZ136" s="428"/>
      <c r="CA136" s="427"/>
      <c r="CB136" s="454"/>
      <c r="CC136" s="454"/>
      <c r="CD136" s="428"/>
      <c r="CE136" s="427"/>
      <c r="CF136" s="454"/>
      <c r="CG136" s="454"/>
      <c r="CH136" s="428"/>
      <c r="CI136" s="427"/>
      <c r="CJ136" s="454"/>
      <c r="CK136" s="454"/>
      <c r="CL136" s="428"/>
      <c r="CM136" s="427"/>
      <c r="CN136" s="454"/>
      <c r="CO136" s="454"/>
      <c r="CP136" s="428"/>
      <c r="CQ136" s="427"/>
      <c r="CR136" s="454"/>
      <c r="CS136" s="454"/>
      <c r="CT136" s="428"/>
      <c r="CU136" s="427"/>
      <c r="CV136" s="454"/>
      <c r="CW136" s="454"/>
      <c r="CX136" s="428"/>
      <c r="CY136" s="427"/>
      <c r="CZ136" s="454"/>
      <c r="DA136" s="454"/>
      <c r="DB136" s="428"/>
      <c r="DC136" s="427"/>
      <c r="DD136" s="454"/>
      <c r="DE136" s="454"/>
      <c r="DF136" s="428"/>
      <c r="DG136" s="427"/>
      <c r="DH136" s="454"/>
      <c r="DI136" s="454"/>
      <c r="DJ136" s="428"/>
      <c r="DK136" s="427"/>
      <c r="DL136" s="454"/>
      <c r="DM136" s="454"/>
      <c r="DN136" s="428"/>
      <c r="DO136" s="427"/>
      <c r="DP136" s="454"/>
      <c r="DQ136" s="454"/>
      <c r="DR136" s="428"/>
      <c r="DS136" s="427"/>
      <c r="DT136" s="454"/>
      <c r="DU136" s="454"/>
      <c r="DV136" s="428"/>
      <c r="DW136" s="427"/>
      <c r="DX136" s="454"/>
      <c r="DY136" s="454"/>
      <c r="DZ136" s="428"/>
      <c r="EA136" s="427"/>
      <c r="EB136" s="454"/>
      <c r="EC136" s="454"/>
      <c r="ED136" s="428"/>
      <c r="EE136" s="427"/>
      <c r="EF136" s="454"/>
      <c r="EG136" s="454"/>
      <c r="EH136" s="428"/>
      <c r="EI136" s="427"/>
      <c r="EJ136" s="454"/>
      <c r="EK136" s="454"/>
      <c r="EL136" s="428"/>
      <c r="EM136" s="427"/>
      <c r="EN136" s="454"/>
      <c r="EO136" s="454"/>
      <c r="EP136" s="428"/>
      <c r="EQ136" s="427"/>
      <c r="ER136" s="454"/>
      <c r="ES136" s="454"/>
      <c r="ET136" s="428"/>
      <c r="EU136" s="427"/>
      <c r="EV136" s="454"/>
      <c r="EW136" s="454"/>
      <c r="EX136" s="428"/>
      <c r="EY136" s="427"/>
      <c r="EZ136" s="454"/>
      <c r="FA136" s="454"/>
      <c r="FB136" s="428"/>
      <c r="FC136" s="427"/>
      <c r="FD136" s="454"/>
      <c r="FE136" s="454"/>
      <c r="FF136" s="428"/>
      <c r="FG136" s="427"/>
      <c r="FH136" s="454"/>
      <c r="FI136" s="454"/>
      <c r="FJ136" s="428"/>
      <c r="FK136" s="427"/>
      <c r="FL136" s="454"/>
      <c r="FM136" s="454"/>
      <c r="FN136" s="428"/>
      <c r="FO136" s="427"/>
      <c r="FP136" s="454"/>
      <c r="FQ136" s="454"/>
      <c r="FR136" s="428"/>
      <c r="FS136" s="427"/>
      <c r="FT136" s="454"/>
      <c r="FU136" s="454"/>
      <c r="FV136" s="428"/>
      <c r="FW136" s="427"/>
      <c r="FX136" s="454"/>
      <c r="FY136" s="454"/>
      <c r="FZ136" s="428"/>
      <c r="GA136" s="427"/>
      <c r="GB136" s="454"/>
      <c r="GC136" s="454"/>
      <c r="GD136" s="428"/>
      <c r="GE136" s="427"/>
      <c r="GF136" s="454"/>
      <c r="GG136" s="454"/>
      <c r="GH136" s="428"/>
      <c r="GI136" s="427"/>
      <c r="GJ136" s="454"/>
      <c r="GK136" s="454"/>
      <c r="GL136" s="428"/>
      <c r="GM136" s="427"/>
      <c r="GN136" s="454"/>
      <c r="GO136" s="454"/>
      <c r="GP136" s="428"/>
      <c r="GQ136" s="427"/>
      <c r="GR136" s="454"/>
      <c r="GS136" s="454"/>
      <c r="GT136" s="428"/>
      <c r="GU136" s="427"/>
      <c r="GV136" s="454"/>
      <c r="GW136" s="454"/>
      <c r="GX136" s="428"/>
      <c r="GY136" s="427"/>
      <c r="GZ136" s="454"/>
      <c r="HA136" s="454"/>
      <c r="HB136" s="428"/>
      <c r="HC136" s="434">
        <f t="shared" si="83"/>
        <v>0</v>
      </c>
      <c r="HD136" s="456"/>
      <c r="HE136" s="456"/>
      <c r="HF136" s="433"/>
      <c r="HG136" s="434">
        <f>SUM(SUMIFS(K136:HB136,$K$13:$HB$13,{"エネルギー管理指定工場等*","県域*"}))</f>
        <v>0</v>
      </c>
      <c r="HH136" s="456"/>
      <c r="HI136" s="456"/>
      <c r="HJ136" s="433"/>
    </row>
    <row r="137" spans="1:242" ht="20.100000000000001" customHeight="1">
      <c r="A137" s="164"/>
      <c r="B137" s="421" t="s">
        <v>1418</v>
      </c>
      <c r="C137" s="422"/>
      <c r="D137" s="422"/>
      <c r="E137" s="422"/>
      <c r="F137" s="422"/>
      <c r="G137" s="422"/>
      <c r="H137" s="453"/>
      <c r="I137" s="425"/>
      <c r="J137" s="426"/>
      <c r="K137" s="427"/>
      <c r="L137" s="454"/>
      <c r="M137" s="454"/>
      <c r="N137" s="428"/>
      <c r="O137" s="427"/>
      <c r="P137" s="454"/>
      <c r="Q137" s="454"/>
      <c r="R137" s="428"/>
      <c r="S137" s="427"/>
      <c r="T137" s="454"/>
      <c r="U137" s="454"/>
      <c r="V137" s="428"/>
      <c r="W137" s="427"/>
      <c r="X137" s="454"/>
      <c r="Y137" s="454"/>
      <c r="Z137" s="428"/>
      <c r="AA137" s="427"/>
      <c r="AB137" s="454"/>
      <c r="AC137" s="454"/>
      <c r="AD137" s="428"/>
      <c r="AE137" s="427"/>
      <c r="AF137" s="454"/>
      <c r="AG137" s="454"/>
      <c r="AH137" s="428"/>
      <c r="AI137" s="427"/>
      <c r="AJ137" s="454"/>
      <c r="AK137" s="454"/>
      <c r="AL137" s="428"/>
      <c r="AM137" s="427"/>
      <c r="AN137" s="454"/>
      <c r="AO137" s="454"/>
      <c r="AP137" s="428"/>
      <c r="AQ137" s="427"/>
      <c r="AR137" s="454"/>
      <c r="AS137" s="454"/>
      <c r="AT137" s="428"/>
      <c r="AU137" s="427"/>
      <c r="AV137" s="454"/>
      <c r="AW137" s="454"/>
      <c r="AX137" s="428"/>
      <c r="AY137" s="427"/>
      <c r="AZ137" s="454"/>
      <c r="BA137" s="454"/>
      <c r="BB137" s="428"/>
      <c r="BC137" s="427"/>
      <c r="BD137" s="454"/>
      <c r="BE137" s="454"/>
      <c r="BF137" s="428"/>
      <c r="BG137" s="427"/>
      <c r="BH137" s="454"/>
      <c r="BI137" s="454"/>
      <c r="BJ137" s="428"/>
      <c r="BK137" s="427"/>
      <c r="BL137" s="454"/>
      <c r="BM137" s="454"/>
      <c r="BN137" s="428"/>
      <c r="BO137" s="427"/>
      <c r="BP137" s="454"/>
      <c r="BQ137" s="454"/>
      <c r="BR137" s="428"/>
      <c r="BS137" s="427"/>
      <c r="BT137" s="454"/>
      <c r="BU137" s="454"/>
      <c r="BV137" s="428"/>
      <c r="BW137" s="427"/>
      <c r="BX137" s="454"/>
      <c r="BY137" s="454"/>
      <c r="BZ137" s="428"/>
      <c r="CA137" s="427"/>
      <c r="CB137" s="454"/>
      <c r="CC137" s="454"/>
      <c r="CD137" s="428"/>
      <c r="CE137" s="427"/>
      <c r="CF137" s="454"/>
      <c r="CG137" s="454"/>
      <c r="CH137" s="428"/>
      <c r="CI137" s="427"/>
      <c r="CJ137" s="454"/>
      <c r="CK137" s="454"/>
      <c r="CL137" s="428"/>
      <c r="CM137" s="427"/>
      <c r="CN137" s="454"/>
      <c r="CO137" s="454"/>
      <c r="CP137" s="428"/>
      <c r="CQ137" s="427"/>
      <c r="CR137" s="454"/>
      <c r="CS137" s="454"/>
      <c r="CT137" s="428"/>
      <c r="CU137" s="427"/>
      <c r="CV137" s="454"/>
      <c r="CW137" s="454"/>
      <c r="CX137" s="428"/>
      <c r="CY137" s="427"/>
      <c r="CZ137" s="454"/>
      <c r="DA137" s="454"/>
      <c r="DB137" s="428"/>
      <c r="DC137" s="427"/>
      <c r="DD137" s="454"/>
      <c r="DE137" s="454"/>
      <c r="DF137" s="428"/>
      <c r="DG137" s="427"/>
      <c r="DH137" s="454"/>
      <c r="DI137" s="454"/>
      <c r="DJ137" s="428"/>
      <c r="DK137" s="427"/>
      <c r="DL137" s="454"/>
      <c r="DM137" s="454"/>
      <c r="DN137" s="428"/>
      <c r="DO137" s="427"/>
      <c r="DP137" s="454"/>
      <c r="DQ137" s="454"/>
      <c r="DR137" s="428"/>
      <c r="DS137" s="427"/>
      <c r="DT137" s="454"/>
      <c r="DU137" s="454"/>
      <c r="DV137" s="428"/>
      <c r="DW137" s="427"/>
      <c r="DX137" s="454"/>
      <c r="DY137" s="454"/>
      <c r="DZ137" s="428"/>
      <c r="EA137" s="427"/>
      <c r="EB137" s="454"/>
      <c r="EC137" s="454"/>
      <c r="ED137" s="428"/>
      <c r="EE137" s="427"/>
      <c r="EF137" s="454"/>
      <c r="EG137" s="454"/>
      <c r="EH137" s="428"/>
      <c r="EI137" s="427"/>
      <c r="EJ137" s="454"/>
      <c r="EK137" s="454"/>
      <c r="EL137" s="428"/>
      <c r="EM137" s="427"/>
      <c r="EN137" s="454"/>
      <c r="EO137" s="454"/>
      <c r="EP137" s="428"/>
      <c r="EQ137" s="427"/>
      <c r="ER137" s="454"/>
      <c r="ES137" s="454"/>
      <c r="ET137" s="428"/>
      <c r="EU137" s="427"/>
      <c r="EV137" s="454"/>
      <c r="EW137" s="454"/>
      <c r="EX137" s="428"/>
      <c r="EY137" s="427"/>
      <c r="EZ137" s="454"/>
      <c r="FA137" s="454"/>
      <c r="FB137" s="428"/>
      <c r="FC137" s="427"/>
      <c r="FD137" s="454"/>
      <c r="FE137" s="454"/>
      <c r="FF137" s="428"/>
      <c r="FG137" s="427"/>
      <c r="FH137" s="454"/>
      <c r="FI137" s="454"/>
      <c r="FJ137" s="428"/>
      <c r="FK137" s="427"/>
      <c r="FL137" s="454"/>
      <c r="FM137" s="454"/>
      <c r="FN137" s="428"/>
      <c r="FO137" s="427"/>
      <c r="FP137" s="454"/>
      <c r="FQ137" s="454"/>
      <c r="FR137" s="428"/>
      <c r="FS137" s="427"/>
      <c r="FT137" s="454"/>
      <c r="FU137" s="454"/>
      <c r="FV137" s="428"/>
      <c r="FW137" s="427"/>
      <c r="FX137" s="454"/>
      <c r="FY137" s="454"/>
      <c r="FZ137" s="428"/>
      <c r="GA137" s="427"/>
      <c r="GB137" s="454"/>
      <c r="GC137" s="454"/>
      <c r="GD137" s="428"/>
      <c r="GE137" s="427"/>
      <c r="GF137" s="454"/>
      <c r="GG137" s="454"/>
      <c r="GH137" s="428"/>
      <c r="GI137" s="427"/>
      <c r="GJ137" s="454"/>
      <c r="GK137" s="454"/>
      <c r="GL137" s="428"/>
      <c r="GM137" s="427"/>
      <c r="GN137" s="454"/>
      <c r="GO137" s="454"/>
      <c r="GP137" s="428"/>
      <c r="GQ137" s="427"/>
      <c r="GR137" s="454"/>
      <c r="GS137" s="454"/>
      <c r="GT137" s="428"/>
      <c r="GU137" s="427"/>
      <c r="GV137" s="454"/>
      <c r="GW137" s="454"/>
      <c r="GX137" s="428"/>
      <c r="GY137" s="427"/>
      <c r="GZ137" s="454"/>
      <c r="HA137" s="454"/>
      <c r="HB137" s="428"/>
      <c r="HC137" s="434">
        <f t="shared" si="83"/>
        <v>0</v>
      </c>
      <c r="HD137" s="456"/>
      <c r="HE137" s="456"/>
      <c r="HF137" s="433"/>
      <c r="HG137" s="434">
        <f>SUM(SUMIFS(K137:HB137,$K$13:$HB$13,{"エネルギー管理指定工場等*","県域*"}))</f>
        <v>0</v>
      </c>
      <c r="HH137" s="456"/>
      <c r="HI137" s="456"/>
      <c r="HJ137" s="433"/>
    </row>
    <row r="138" spans="1:242" ht="20.100000000000001" customHeight="1">
      <c r="A138" s="164"/>
      <c r="B138" s="421" t="s">
        <v>1419</v>
      </c>
      <c r="C138" s="422"/>
      <c r="D138" s="422"/>
      <c r="E138" s="422"/>
      <c r="F138" s="422"/>
      <c r="G138" s="422"/>
      <c r="H138" s="453"/>
      <c r="I138" s="425"/>
      <c r="J138" s="426"/>
      <c r="K138" s="427"/>
      <c r="L138" s="454"/>
      <c r="M138" s="454"/>
      <c r="N138" s="428"/>
      <c r="O138" s="427"/>
      <c r="P138" s="454"/>
      <c r="Q138" s="454"/>
      <c r="R138" s="428"/>
      <c r="S138" s="427"/>
      <c r="T138" s="454"/>
      <c r="U138" s="454"/>
      <c r="V138" s="428"/>
      <c r="W138" s="427"/>
      <c r="X138" s="454"/>
      <c r="Y138" s="454"/>
      <c r="Z138" s="428"/>
      <c r="AA138" s="427"/>
      <c r="AB138" s="454"/>
      <c r="AC138" s="454"/>
      <c r="AD138" s="428"/>
      <c r="AE138" s="427"/>
      <c r="AF138" s="454"/>
      <c r="AG138" s="454"/>
      <c r="AH138" s="428"/>
      <c r="AI138" s="427"/>
      <c r="AJ138" s="454"/>
      <c r="AK138" s="454"/>
      <c r="AL138" s="428"/>
      <c r="AM138" s="427"/>
      <c r="AN138" s="454"/>
      <c r="AO138" s="454"/>
      <c r="AP138" s="428"/>
      <c r="AQ138" s="427"/>
      <c r="AR138" s="454"/>
      <c r="AS138" s="454"/>
      <c r="AT138" s="428"/>
      <c r="AU138" s="427"/>
      <c r="AV138" s="454"/>
      <c r="AW138" s="454"/>
      <c r="AX138" s="428"/>
      <c r="AY138" s="427"/>
      <c r="AZ138" s="454"/>
      <c r="BA138" s="454"/>
      <c r="BB138" s="428"/>
      <c r="BC138" s="427"/>
      <c r="BD138" s="454"/>
      <c r="BE138" s="454"/>
      <c r="BF138" s="428"/>
      <c r="BG138" s="427"/>
      <c r="BH138" s="454"/>
      <c r="BI138" s="454"/>
      <c r="BJ138" s="428"/>
      <c r="BK138" s="427"/>
      <c r="BL138" s="454"/>
      <c r="BM138" s="454"/>
      <c r="BN138" s="428"/>
      <c r="BO138" s="427"/>
      <c r="BP138" s="454"/>
      <c r="BQ138" s="454"/>
      <c r="BR138" s="428"/>
      <c r="BS138" s="427"/>
      <c r="BT138" s="454"/>
      <c r="BU138" s="454"/>
      <c r="BV138" s="428"/>
      <c r="BW138" s="427"/>
      <c r="BX138" s="454"/>
      <c r="BY138" s="454"/>
      <c r="BZ138" s="428"/>
      <c r="CA138" s="427"/>
      <c r="CB138" s="454"/>
      <c r="CC138" s="454"/>
      <c r="CD138" s="428"/>
      <c r="CE138" s="427"/>
      <c r="CF138" s="454"/>
      <c r="CG138" s="454"/>
      <c r="CH138" s="428"/>
      <c r="CI138" s="427"/>
      <c r="CJ138" s="454"/>
      <c r="CK138" s="454"/>
      <c r="CL138" s="428"/>
      <c r="CM138" s="427"/>
      <c r="CN138" s="454"/>
      <c r="CO138" s="454"/>
      <c r="CP138" s="428"/>
      <c r="CQ138" s="427"/>
      <c r="CR138" s="454"/>
      <c r="CS138" s="454"/>
      <c r="CT138" s="428"/>
      <c r="CU138" s="427"/>
      <c r="CV138" s="454"/>
      <c r="CW138" s="454"/>
      <c r="CX138" s="428"/>
      <c r="CY138" s="427"/>
      <c r="CZ138" s="454"/>
      <c r="DA138" s="454"/>
      <c r="DB138" s="428"/>
      <c r="DC138" s="427"/>
      <c r="DD138" s="454"/>
      <c r="DE138" s="454"/>
      <c r="DF138" s="428"/>
      <c r="DG138" s="427"/>
      <c r="DH138" s="454"/>
      <c r="DI138" s="454"/>
      <c r="DJ138" s="428"/>
      <c r="DK138" s="427"/>
      <c r="DL138" s="454"/>
      <c r="DM138" s="454"/>
      <c r="DN138" s="428"/>
      <c r="DO138" s="427"/>
      <c r="DP138" s="454"/>
      <c r="DQ138" s="454"/>
      <c r="DR138" s="428"/>
      <c r="DS138" s="427"/>
      <c r="DT138" s="454"/>
      <c r="DU138" s="454"/>
      <c r="DV138" s="428"/>
      <c r="DW138" s="427"/>
      <c r="DX138" s="454"/>
      <c r="DY138" s="454"/>
      <c r="DZ138" s="428"/>
      <c r="EA138" s="427"/>
      <c r="EB138" s="454"/>
      <c r="EC138" s="454"/>
      <c r="ED138" s="428"/>
      <c r="EE138" s="427"/>
      <c r="EF138" s="454"/>
      <c r="EG138" s="454"/>
      <c r="EH138" s="428"/>
      <c r="EI138" s="427"/>
      <c r="EJ138" s="454"/>
      <c r="EK138" s="454"/>
      <c r="EL138" s="428"/>
      <c r="EM138" s="427"/>
      <c r="EN138" s="454"/>
      <c r="EO138" s="454"/>
      <c r="EP138" s="428"/>
      <c r="EQ138" s="427"/>
      <c r="ER138" s="454"/>
      <c r="ES138" s="454"/>
      <c r="ET138" s="428"/>
      <c r="EU138" s="427"/>
      <c r="EV138" s="454"/>
      <c r="EW138" s="454"/>
      <c r="EX138" s="428"/>
      <c r="EY138" s="427"/>
      <c r="EZ138" s="454"/>
      <c r="FA138" s="454"/>
      <c r="FB138" s="428"/>
      <c r="FC138" s="427"/>
      <c r="FD138" s="454"/>
      <c r="FE138" s="454"/>
      <c r="FF138" s="428"/>
      <c r="FG138" s="427"/>
      <c r="FH138" s="454"/>
      <c r="FI138" s="454"/>
      <c r="FJ138" s="428"/>
      <c r="FK138" s="427"/>
      <c r="FL138" s="454"/>
      <c r="FM138" s="454"/>
      <c r="FN138" s="428"/>
      <c r="FO138" s="427"/>
      <c r="FP138" s="454"/>
      <c r="FQ138" s="454"/>
      <c r="FR138" s="428"/>
      <c r="FS138" s="427"/>
      <c r="FT138" s="454"/>
      <c r="FU138" s="454"/>
      <c r="FV138" s="428"/>
      <c r="FW138" s="427"/>
      <c r="FX138" s="454"/>
      <c r="FY138" s="454"/>
      <c r="FZ138" s="428"/>
      <c r="GA138" s="427"/>
      <c r="GB138" s="454"/>
      <c r="GC138" s="454"/>
      <c r="GD138" s="428"/>
      <c r="GE138" s="427"/>
      <c r="GF138" s="454"/>
      <c r="GG138" s="454"/>
      <c r="GH138" s="428"/>
      <c r="GI138" s="427"/>
      <c r="GJ138" s="454"/>
      <c r="GK138" s="454"/>
      <c r="GL138" s="428"/>
      <c r="GM138" s="427"/>
      <c r="GN138" s="454"/>
      <c r="GO138" s="454"/>
      <c r="GP138" s="428"/>
      <c r="GQ138" s="427"/>
      <c r="GR138" s="454"/>
      <c r="GS138" s="454"/>
      <c r="GT138" s="428"/>
      <c r="GU138" s="427"/>
      <c r="GV138" s="454"/>
      <c r="GW138" s="454"/>
      <c r="GX138" s="428"/>
      <c r="GY138" s="427"/>
      <c r="GZ138" s="454"/>
      <c r="HA138" s="454"/>
      <c r="HB138" s="428"/>
      <c r="HC138" s="434">
        <f t="shared" si="83"/>
        <v>0</v>
      </c>
      <c r="HD138" s="456"/>
      <c r="HE138" s="456"/>
      <c r="HF138" s="433"/>
      <c r="HG138" s="434">
        <f>SUM(SUMIFS(K138:HB138,$K$13:$HB$13,{"エネルギー管理指定工場等*","県域*"}))</f>
        <v>0</v>
      </c>
      <c r="HH138" s="456"/>
      <c r="HI138" s="456"/>
      <c r="HJ138" s="433"/>
    </row>
    <row r="139" spans="1:242" ht="20.100000000000001" customHeight="1">
      <c r="A139" s="164"/>
      <c r="B139" s="421" t="s">
        <v>1420</v>
      </c>
      <c r="C139" s="422"/>
      <c r="D139" s="422"/>
      <c r="E139" s="422"/>
      <c r="F139" s="422"/>
      <c r="G139" s="422"/>
      <c r="H139" s="453"/>
      <c r="I139" s="425"/>
      <c r="J139" s="426"/>
      <c r="K139" s="427"/>
      <c r="L139" s="454"/>
      <c r="M139" s="454"/>
      <c r="N139" s="428"/>
      <c r="O139" s="427"/>
      <c r="P139" s="454"/>
      <c r="Q139" s="454"/>
      <c r="R139" s="428"/>
      <c r="S139" s="427"/>
      <c r="T139" s="454"/>
      <c r="U139" s="454"/>
      <c r="V139" s="428"/>
      <c r="W139" s="427"/>
      <c r="X139" s="454"/>
      <c r="Y139" s="454"/>
      <c r="Z139" s="428"/>
      <c r="AA139" s="427"/>
      <c r="AB139" s="454"/>
      <c r="AC139" s="454"/>
      <c r="AD139" s="428"/>
      <c r="AE139" s="427"/>
      <c r="AF139" s="454"/>
      <c r="AG139" s="454"/>
      <c r="AH139" s="428"/>
      <c r="AI139" s="427"/>
      <c r="AJ139" s="454"/>
      <c r="AK139" s="454"/>
      <c r="AL139" s="428"/>
      <c r="AM139" s="427"/>
      <c r="AN139" s="454"/>
      <c r="AO139" s="454"/>
      <c r="AP139" s="428"/>
      <c r="AQ139" s="427"/>
      <c r="AR139" s="454"/>
      <c r="AS139" s="454"/>
      <c r="AT139" s="428"/>
      <c r="AU139" s="427"/>
      <c r="AV139" s="454"/>
      <c r="AW139" s="454"/>
      <c r="AX139" s="428"/>
      <c r="AY139" s="427"/>
      <c r="AZ139" s="454"/>
      <c r="BA139" s="454"/>
      <c r="BB139" s="428"/>
      <c r="BC139" s="427"/>
      <c r="BD139" s="454"/>
      <c r="BE139" s="454"/>
      <c r="BF139" s="428"/>
      <c r="BG139" s="427"/>
      <c r="BH139" s="454"/>
      <c r="BI139" s="454"/>
      <c r="BJ139" s="428"/>
      <c r="BK139" s="427"/>
      <c r="BL139" s="454"/>
      <c r="BM139" s="454"/>
      <c r="BN139" s="428"/>
      <c r="BO139" s="427"/>
      <c r="BP139" s="454"/>
      <c r="BQ139" s="454"/>
      <c r="BR139" s="428"/>
      <c r="BS139" s="427"/>
      <c r="BT139" s="454"/>
      <c r="BU139" s="454"/>
      <c r="BV139" s="428"/>
      <c r="BW139" s="427"/>
      <c r="BX139" s="454"/>
      <c r="BY139" s="454"/>
      <c r="BZ139" s="428"/>
      <c r="CA139" s="427"/>
      <c r="CB139" s="454"/>
      <c r="CC139" s="454"/>
      <c r="CD139" s="428"/>
      <c r="CE139" s="427"/>
      <c r="CF139" s="454"/>
      <c r="CG139" s="454"/>
      <c r="CH139" s="428"/>
      <c r="CI139" s="427"/>
      <c r="CJ139" s="454"/>
      <c r="CK139" s="454"/>
      <c r="CL139" s="428"/>
      <c r="CM139" s="427"/>
      <c r="CN139" s="454"/>
      <c r="CO139" s="454"/>
      <c r="CP139" s="428"/>
      <c r="CQ139" s="427"/>
      <c r="CR139" s="454"/>
      <c r="CS139" s="454"/>
      <c r="CT139" s="428"/>
      <c r="CU139" s="427"/>
      <c r="CV139" s="454"/>
      <c r="CW139" s="454"/>
      <c r="CX139" s="428"/>
      <c r="CY139" s="427"/>
      <c r="CZ139" s="454"/>
      <c r="DA139" s="454"/>
      <c r="DB139" s="428"/>
      <c r="DC139" s="427"/>
      <c r="DD139" s="454"/>
      <c r="DE139" s="454"/>
      <c r="DF139" s="428"/>
      <c r="DG139" s="427"/>
      <c r="DH139" s="454"/>
      <c r="DI139" s="454"/>
      <c r="DJ139" s="428"/>
      <c r="DK139" s="427"/>
      <c r="DL139" s="454"/>
      <c r="DM139" s="454"/>
      <c r="DN139" s="428"/>
      <c r="DO139" s="427"/>
      <c r="DP139" s="454"/>
      <c r="DQ139" s="454"/>
      <c r="DR139" s="428"/>
      <c r="DS139" s="427"/>
      <c r="DT139" s="454"/>
      <c r="DU139" s="454"/>
      <c r="DV139" s="428"/>
      <c r="DW139" s="427"/>
      <c r="DX139" s="454"/>
      <c r="DY139" s="454"/>
      <c r="DZ139" s="428"/>
      <c r="EA139" s="427"/>
      <c r="EB139" s="454"/>
      <c r="EC139" s="454"/>
      <c r="ED139" s="428"/>
      <c r="EE139" s="427"/>
      <c r="EF139" s="454"/>
      <c r="EG139" s="454"/>
      <c r="EH139" s="428"/>
      <c r="EI139" s="427"/>
      <c r="EJ139" s="454"/>
      <c r="EK139" s="454"/>
      <c r="EL139" s="428"/>
      <c r="EM139" s="427"/>
      <c r="EN139" s="454"/>
      <c r="EO139" s="454"/>
      <c r="EP139" s="428"/>
      <c r="EQ139" s="427"/>
      <c r="ER139" s="454"/>
      <c r="ES139" s="454"/>
      <c r="ET139" s="428"/>
      <c r="EU139" s="427"/>
      <c r="EV139" s="454"/>
      <c r="EW139" s="454"/>
      <c r="EX139" s="428"/>
      <c r="EY139" s="427"/>
      <c r="EZ139" s="454"/>
      <c r="FA139" s="454"/>
      <c r="FB139" s="428"/>
      <c r="FC139" s="427"/>
      <c r="FD139" s="454"/>
      <c r="FE139" s="454"/>
      <c r="FF139" s="428"/>
      <c r="FG139" s="427"/>
      <c r="FH139" s="454"/>
      <c r="FI139" s="454"/>
      <c r="FJ139" s="428"/>
      <c r="FK139" s="427"/>
      <c r="FL139" s="454"/>
      <c r="FM139" s="454"/>
      <c r="FN139" s="428"/>
      <c r="FO139" s="427"/>
      <c r="FP139" s="454"/>
      <c r="FQ139" s="454"/>
      <c r="FR139" s="428"/>
      <c r="FS139" s="427"/>
      <c r="FT139" s="454"/>
      <c r="FU139" s="454"/>
      <c r="FV139" s="428"/>
      <c r="FW139" s="427"/>
      <c r="FX139" s="454"/>
      <c r="FY139" s="454"/>
      <c r="FZ139" s="428"/>
      <c r="GA139" s="427"/>
      <c r="GB139" s="454"/>
      <c r="GC139" s="454"/>
      <c r="GD139" s="428"/>
      <c r="GE139" s="427"/>
      <c r="GF139" s="454"/>
      <c r="GG139" s="454"/>
      <c r="GH139" s="428"/>
      <c r="GI139" s="427"/>
      <c r="GJ139" s="454"/>
      <c r="GK139" s="454"/>
      <c r="GL139" s="428"/>
      <c r="GM139" s="427"/>
      <c r="GN139" s="454"/>
      <c r="GO139" s="454"/>
      <c r="GP139" s="428"/>
      <c r="GQ139" s="427"/>
      <c r="GR139" s="454"/>
      <c r="GS139" s="454"/>
      <c r="GT139" s="428"/>
      <c r="GU139" s="427"/>
      <c r="GV139" s="454"/>
      <c r="GW139" s="454"/>
      <c r="GX139" s="428"/>
      <c r="GY139" s="427"/>
      <c r="GZ139" s="454"/>
      <c r="HA139" s="454"/>
      <c r="HB139" s="428"/>
      <c r="HC139" s="434">
        <f t="shared" si="83"/>
        <v>0</v>
      </c>
      <c r="HD139" s="456"/>
      <c r="HE139" s="456"/>
      <c r="HF139" s="433"/>
      <c r="HG139" s="434">
        <f>SUM(SUMIFS(K139:HB139,$K$13:$HB$13,{"エネルギー管理指定工場等*","県域*"}))</f>
        <v>0</v>
      </c>
      <c r="HH139" s="456"/>
      <c r="HI139" s="456"/>
      <c r="HJ139" s="433"/>
    </row>
    <row r="140" spans="1:242" ht="20.100000000000001" customHeight="1">
      <c r="A140" s="164"/>
      <c r="B140" s="443" t="s">
        <v>1421</v>
      </c>
      <c r="C140" s="444"/>
      <c r="D140" s="444"/>
      <c r="E140" s="444"/>
      <c r="F140" s="444"/>
      <c r="G140" s="444"/>
      <c r="H140" s="467"/>
      <c r="I140" s="425"/>
      <c r="J140" s="426"/>
      <c r="K140" s="468"/>
      <c r="L140" s="469"/>
      <c r="M140" s="469"/>
      <c r="N140" s="482"/>
      <c r="O140" s="468"/>
      <c r="P140" s="469"/>
      <c r="Q140" s="469"/>
      <c r="R140" s="482"/>
      <c r="S140" s="468"/>
      <c r="T140" s="469"/>
      <c r="U140" s="469"/>
      <c r="V140" s="482"/>
      <c r="W140" s="468"/>
      <c r="X140" s="469"/>
      <c r="Y140" s="469"/>
      <c r="Z140" s="482"/>
      <c r="AA140" s="468"/>
      <c r="AB140" s="469"/>
      <c r="AC140" s="469"/>
      <c r="AD140" s="482"/>
      <c r="AE140" s="468"/>
      <c r="AF140" s="469"/>
      <c r="AG140" s="469"/>
      <c r="AH140" s="482"/>
      <c r="AI140" s="468"/>
      <c r="AJ140" s="469"/>
      <c r="AK140" s="469"/>
      <c r="AL140" s="482"/>
      <c r="AM140" s="468"/>
      <c r="AN140" s="469"/>
      <c r="AO140" s="469"/>
      <c r="AP140" s="482"/>
      <c r="AQ140" s="468"/>
      <c r="AR140" s="469"/>
      <c r="AS140" s="469"/>
      <c r="AT140" s="482"/>
      <c r="AU140" s="468"/>
      <c r="AV140" s="469"/>
      <c r="AW140" s="469"/>
      <c r="AX140" s="482"/>
      <c r="AY140" s="468"/>
      <c r="AZ140" s="469"/>
      <c r="BA140" s="469"/>
      <c r="BB140" s="482"/>
      <c r="BC140" s="468"/>
      <c r="BD140" s="469"/>
      <c r="BE140" s="469"/>
      <c r="BF140" s="482"/>
      <c r="BG140" s="468"/>
      <c r="BH140" s="469"/>
      <c r="BI140" s="469"/>
      <c r="BJ140" s="482"/>
      <c r="BK140" s="468"/>
      <c r="BL140" s="469"/>
      <c r="BM140" s="469"/>
      <c r="BN140" s="482"/>
      <c r="BO140" s="468"/>
      <c r="BP140" s="469"/>
      <c r="BQ140" s="469"/>
      <c r="BR140" s="482"/>
      <c r="BS140" s="468"/>
      <c r="BT140" s="469"/>
      <c r="BU140" s="469"/>
      <c r="BV140" s="482"/>
      <c r="BW140" s="468"/>
      <c r="BX140" s="469"/>
      <c r="BY140" s="469"/>
      <c r="BZ140" s="482"/>
      <c r="CA140" s="468"/>
      <c r="CB140" s="469"/>
      <c r="CC140" s="469"/>
      <c r="CD140" s="482"/>
      <c r="CE140" s="468"/>
      <c r="CF140" s="469"/>
      <c r="CG140" s="469"/>
      <c r="CH140" s="482"/>
      <c r="CI140" s="468"/>
      <c r="CJ140" s="469"/>
      <c r="CK140" s="469"/>
      <c r="CL140" s="482"/>
      <c r="CM140" s="468"/>
      <c r="CN140" s="469"/>
      <c r="CO140" s="469"/>
      <c r="CP140" s="482"/>
      <c r="CQ140" s="468"/>
      <c r="CR140" s="469"/>
      <c r="CS140" s="469"/>
      <c r="CT140" s="482"/>
      <c r="CU140" s="468"/>
      <c r="CV140" s="469"/>
      <c r="CW140" s="469"/>
      <c r="CX140" s="482"/>
      <c r="CY140" s="468"/>
      <c r="CZ140" s="469"/>
      <c r="DA140" s="469"/>
      <c r="DB140" s="482"/>
      <c r="DC140" s="468"/>
      <c r="DD140" s="469"/>
      <c r="DE140" s="469"/>
      <c r="DF140" s="482"/>
      <c r="DG140" s="468"/>
      <c r="DH140" s="469"/>
      <c r="DI140" s="469"/>
      <c r="DJ140" s="482"/>
      <c r="DK140" s="468"/>
      <c r="DL140" s="469"/>
      <c r="DM140" s="469"/>
      <c r="DN140" s="482"/>
      <c r="DO140" s="468"/>
      <c r="DP140" s="469"/>
      <c r="DQ140" s="469"/>
      <c r="DR140" s="482"/>
      <c r="DS140" s="468"/>
      <c r="DT140" s="469"/>
      <c r="DU140" s="469"/>
      <c r="DV140" s="482"/>
      <c r="DW140" s="468"/>
      <c r="DX140" s="469"/>
      <c r="DY140" s="469"/>
      <c r="DZ140" s="482"/>
      <c r="EA140" s="468"/>
      <c r="EB140" s="469"/>
      <c r="EC140" s="469"/>
      <c r="ED140" s="482"/>
      <c r="EE140" s="468"/>
      <c r="EF140" s="469"/>
      <c r="EG140" s="469"/>
      <c r="EH140" s="482"/>
      <c r="EI140" s="468"/>
      <c r="EJ140" s="469"/>
      <c r="EK140" s="469"/>
      <c r="EL140" s="482"/>
      <c r="EM140" s="468"/>
      <c r="EN140" s="469"/>
      <c r="EO140" s="469"/>
      <c r="EP140" s="482"/>
      <c r="EQ140" s="468"/>
      <c r="ER140" s="469"/>
      <c r="ES140" s="469"/>
      <c r="ET140" s="482"/>
      <c r="EU140" s="468"/>
      <c r="EV140" s="469"/>
      <c r="EW140" s="469"/>
      <c r="EX140" s="482"/>
      <c r="EY140" s="468"/>
      <c r="EZ140" s="469"/>
      <c r="FA140" s="469"/>
      <c r="FB140" s="482"/>
      <c r="FC140" s="468"/>
      <c r="FD140" s="469"/>
      <c r="FE140" s="469"/>
      <c r="FF140" s="482"/>
      <c r="FG140" s="468"/>
      <c r="FH140" s="469"/>
      <c r="FI140" s="469"/>
      <c r="FJ140" s="482"/>
      <c r="FK140" s="468"/>
      <c r="FL140" s="469"/>
      <c r="FM140" s="469"/>
      <c r="FN140" s="482"/>
      <c r="FO140" s="468"/>
      <c r="FP140" s="469"/>
      <c r="FQ140" s="469"/>
      <c r="FR140" s="482"/>
      <c r="FS140" s="468"/>
      <c r="FT140" s="469"/>
      <c r="FU140" s="469"/>
      <c r="FV140" s="482"/>
      <c r="FW140" s="468"/>
      <c r="FX140" s="469"/>
      <c r="FY140" s="469"/>
      <c r="FZ140" s="482"/>
      <c r="GA140" s="468"/>
      <c r="GB140" s="469"/>
      <c r="GC140" s="469"/>
      <c r="GD140" s="482"/>
      <c r="GE140" s="468"/>
      <c r="GF140" s="469"/>
      <c r="GG140" s="469"/>
      <c r="GH140" s="482"/>
      <c r="GI140" s="468"/>
      <c r="GJ140" s="469"/>
      <c r="GK140" s="469"/>
      <c r="GL140" s="482"/>
      <c r="GM140" s="468"/>
      <c r="GN140" s="469"/>
      <c r="GO140" s="469"/>
      <c r="GP140" s="482"/>
      <c r="GQ140" s="468"/>
      <c r="GR140" s="469"/>
      <c r="GS140" s="469"/>
      <c r="GT140" s="482"/>
      <c r="GU140" s="468"/>
      <c r="GV140" s="469"/>
      <c r="GW140" s="469"/>
      <c r="GX140" s="482"/>
      <c r="GY140" s="468"/>
      <c r="GZ140" s="469"/>
      <c r="HA140" s="469"/>
      <c r="HB140" s="482"/>
      <c r="HC140" s="446">
        <f t="shared" si="83"/>
        <v>0</v>
      </c>
      <c r="HD140" s="471"/>
      <c r="HE140" s="471"/>
      <c r="HF140" s="448"/>
      <c r="HG140" s="446">
        <f>SUM(SUMIFS(K140:HB140,$K$13:$HB$13,{"エネルギー管理指定工場等*","県域*"}))</f>
        <v>0</v>
      </c>
      <c r="HH140" s="471"/>
      <c r="HI140" s="471"/>
      <c r="HJ140" s="448"/>
    </row>
    <row r="141" spans="1:242" ht="20.100000000000001" customHeight="1">
      <c r="A141" s="164"/>
      <c r="B141" s="410" t="s">
        <v>1422</v>
      </c>
      <c r="C141" s="411"/>
      <c r="D141" s="411"/>
      <c r="E141" s="411"/>
      <c r="F141" s="411"/>
      <c r="G141" s="411"/>
      <c r="H141" s="436"/>
      <c r="I141" s="425"/>
      <c r="J141" s="426"/>
      <c r="K141" s="416"/>
      <c r="L141" s="449"/>
      <c r="M141" s="449"/>
      <c r="N141" s="417"/>
      <c r="O141" s="416"/>
      <c r="P141" s="449"/>
      <c r="Q141" s="449"/>
      <c r="R141" s="417"/>
      <c r="S141" s="416"/>
      <c r="T141" s="449"/>
      <c r="U141" s="449"/>
      <c r="V141" s="417"/>
      <c r="W141" s="416"/>
      <c r="X141" s="449"/>
      <c r="Y141" s="449"/>
      <c r="Z141" s="417"/>
      <c r="AA141" s="416"/>
      <c r="AB141" s="449"/>
      <c r="AC141" s="449"/>
      <c r="AD141" s="417"/>
      <c r="AE141" s="416"/>
      <c r="AF141" s="449"/>
      <c r="AG141" s="449"/>
      <c r="AH141" s="417"/>
      <c r="AI141" s="416"/>
      <c r="AJ141" s="449"/>
      <c r="AK141" s="449"/>
      <c r="AL141" s="417"/>
      <c r="AM141" s="416"/>
      <c r="AN141" s="449"/>
      <c r="AO141" s="449"/>
      <c r="AP141" s="417"/>
      <c r="AQ141" s="416"/>
      <c r="AR141" s="449"/>
      <c r="AS141" s="449"/>
      <c r="AT141" s="417"/>
      <c r="AU141" s="416"/>
      <c r="AV141" s="449"/>
      <c r="AW141" s="449"/>
      <c r="AX141" s="417"/>
      <c r="AY141" s="416"/>
      <c r="AZ141" s="449"/>
      <c r="BA141" s="449"/>
      <c r="BB141" s="417"/>
      <c r="BC141" s="416"/>
      <c r="BD141" s="449"/>
      <c r="BE141" s="449"/>
      <c r="BF141" s="417"/>
      <c r="BG141" s="416"/>
      <c r="BH141" s="449"/>
      <c r="BI141" s="449"/>
      <c r="BJ141" s="417"/>
      <c r="BK141" s="416"/>
      <c r="BL141" s="449"/>
      <c r="BM141" s="449"/>
      <c r="BN141" s="417"/>
      <c r="BO141" s="416"/>
      <c r="BP141" s="449"/>
      <c r="BQ141" s="449"/>
      <c r="BR141" s="417"/>
      <c r="BS141" s="416"/>
      <c r="BT141" s="449"/>
      <c r="BU141" s="449"/>
      <c r="BV141" s="417"/>
      <c r="BW141" s="416"/>
      <c r="BX141" s="449"/>
      <c r="BY141" s="449"/>
      <c r="BZ141" s="417"/>
      <c r="CA141" s="416"/>
      <c r="CB141" s="449"/>
      <c r="CC141" s="449"/>
      <c r="CD141" s="417"/>
      <c r="CE141" s="416"/>
      <c r="CF141" s="449"/>
      <c r="CG141" s="449"/>
      <c r="CH141" s="417"/>
      <c r="CI141" s="416"/>
      <c r="CJ141" s="449"/>
      <c r="CK141" s="449"/>
      <c r="CL141" s="417"/>
      <c r="CM141" s="416"/>
      <c r="CN141" s="449"/>
      <c r="CO141" s="449"/>
      <c r="CP141" s="417"/>
      <c r="CQ141" s="416"/>
      <c r="CR141" s="449"/>
      <c r="CS141" s="449"/>
      <c r="CT141" s="417"/>
      <c r="CU141" s="416"/>
      <c r="CV141" s="449"/>
      <c r="CW141" s="449"/>
      <c r="CX141" s="417"/>
      <c r="CY141" s="416"/>
      <c r="CZ141" s="449"/>
      <c r="DA141" s="449"/>
      <c r="DB141" s="417"/>
      <c r="DC141" s="416"/>
      <c r="DD141" s="449"/>
      <c r="DE141" s="449"/>
      <c r="DF141" s="417"/>
      <c r="DG141" s="416"/>
      <c r="DH141" s="449"/>
      <c r="DI141" s="449"/>
      <c r="DJ141" s="417"/>
      <c r="DK141" s="416"/>
      <c r="DL141" s="449"/>
      <c r="DM141" s="449"/>
      <c r="DN141" s="417"/>
      <c r="DO141" s="416"/>
      <c r="DP141" s="449"/>
      <c r="DQ141" s="449"/>
      <c r="DR141" s="417"/>
      <c r="DS141" s="416"/>
      <c r="DT141" s="449"/>
      <c r="DU141" s="449"/>
      <c r="DV141" s="417"/>
      <c r="DW141" s="416"/>
      <c r="DX141" s="449"/>
      <c r="DY141" s="449"/>
      <c r="DZ141" s="417"/>
      <c r="EA141" s="416"/>
      <c r="EB141" s="449"/>
      <c r="EC141" s="449"/>
      <c r="ED141" s="417"/>
      <c r="EE141" s="416"/>
      <c r="EF141" s="449"/>
      <c r="EG141" s="449"/>
      <c r="EH141" s="417"/>
      <c r="EI141" s="416"/>
      <c r="EJ141" s="449"/>
      <c r="EK141" s="449"/>
      <c r="EL141" s="417"/>
      <c r="EM141" s="416"/>
      <c r="EN141" s="449"/>
      <c r="EO141" s="449"/>
      <c r="EP141" s="417"/>
      <c r="EQ141" s="416"/>
      <c r="ER141" s="449"/>
      <c r="ES141" s="449"/>
      <c r="ET141" s="417"/>
      <c r="EU141" s="416"/>
      <c r="EV141" s="449"/>
      <c r="EW141" s="449"/>
      <c r="EX141" s="417"/>
      <c r="EY141" s="416"/>
      <c r="EZ141" s="449"/>
      <c r="FA141" s="449"/>
      <c r="FB141" s="417"/>
      <c r="FC141" s="416"/>
      <c r="FD141" s="449"/>
      <c r="FE141" s="449"/>
      <c r="FF141" s="417"/>
      <c r="FG141" s="416"/>
      <c r="FH141" s="449"/>
      <c r="FI141" s="449"/>
      <c r="FJ141" s="417"/>
      <c r="FK141" s="416"/>
      <c r="FL141" s="449"/>
      <c r="FM141" s="449"/>
      <c r="FN141" s="417"/>
      <c r="FO141" s="416"/>
      <c r="FP141" s="449"/>
      <c r="FQ141" s="449"/>
      <c r="FR141" s="417"/>
      <c r="FS141" s="416"/>
      <c r="FT141" s="449"/>
      <c r="FU141" s="449"/>
      <c r="FV141" s="417"/>
      <c r="FW141" s="416"/>
      <c r="FX141" s="449"/>
      <c r="FY141" s="449"/>
      <c r="FZ141" s="417"/>
      <c r="GA141" s="416"/>
      <c r="GB141" s="449"/>
      <c r="GC141" s="449"/>
      <c r="GD141" s="417"/>
      <c r="GE141" s="416"/>
      <c r="GF141" s="449"/>
      <c r="GG141" s="449"/>
      <c r="GH141" s="417"/>
      <c r="GI141" s="416"/>
      <c r="GJ141" s="449"/>
      <c r="GK141" s="449"/>
      <c r="GL141" s="417"/>
      <c r="GM141" s="416"/>
      <c r="GN141" s="449"/>
      <c r="GO141" s="449"/>
      <c r="GP141" s="417"/>
      <c r="GQ141" s="416"/>
      <c r="GR141" s="449"/>
      <c r="GS141" s="449"/>
      <c r="GT141" s="417"/>
      <c r="GU141" s="416"/>
      <c r="GV141" s="449"/>
      <c r="GW141" s="449"/>
      <c r="GX141" s="417"/>
      <c r="GY141" s="416"/>
      <c r="GZ141" s="449"/>
      <c r="HA141" s="449"/>
      <c r="HB141" s="417"/>
      <c r="HC141" s="418">
        <f t="shared" si="83"/>
        <v>0</v>
      </c>
      <c r="HD141" s="451"/>
      <c r="HE141" s="451"/>
      <c r="HF141" s="420"/>
      <c r="HG141" s="418">
        <f>SUM(SUMIFS(K141:HB141,$K$13:$HB$13,{"エネルギー管理指定工場等*","県域*"}))</f>
        <v>0</v>
      </c>
      <c r="HH141" s="451"/>
      <c r="HI141" s="451"/>
      <c r="HJ141" s="420"/>
    </row>
    <row r="142" spans="1:242" ht="20.100000000000001" customHeight="1">
      <c r="A142" s="164"/>
      <c r="B142" s="421" t="s">
        <v>1423</v>
      </c>
      <c r="C142" s="422"/>
      <c r="D142" s="422"/>
      <c r="E142" s="422"/>
      <c r="F142" s="422"/>
      <c r="G142" s="422"/>
      <c r="H142" s="453"/>
      <c r="I142" s="425"/>
      <c r="J142" s="426"/>
      <c r="K142" s="427"/>
      <c r="L142" s="454"/>
      <c r="M142" s="454"/>
      <c r="N142" s="428"/>
      <c r="O142" s="427"/>
      <c r="P142" s="454"/>
      <c r="Q142" s="454"/>
      <c r="R142" s="428"/>
      <c r="S142" s="427"/>
      <c r="T142" s="454"/>
      <c r="U142" s="454"/>
      <c r="V142" s="428"/>
      <c r="W142" s="427"/>
      <c r="X142" s="454"/>
      <c r="Y142" s="454"/>
      <c r="Z142" s="428"/>
      <c r="AA142" s="427"/>
      <c r="AB142" s="454"/>
      <c r="AC142" s="454"/>
      <c r="AD142" s="428"/>
      <c r="AE142" s="427"/>
      <c r="AF142" s="454"/>
      <c r="AG142" s="454"/>
      <c r="AH142" s="428"/>
      <c r="AI142" s="427"/>
      <c r="AJ142" s="454"/>
      <c r="AK142" s="454"/>
      <c r="AL142" s="428"/>
      <c r="AM142" s="427"/>
      <c r="AN142" s="454"/>
      <c r="AO142" s="454"/>
      <c r="AP142" s="428"/>
      <c r="AQ142" s="427"/>
      <c r="AR142" s="454"/>
      <c r="AS142" s="454"/>
      <c r="AT142" s="428"/>
      <c r="AU142" s="427"/>
      <c r="AV142" s="454"/>
      <c r="AW142" s="454"/>
      <c r="AX142" s="428"/>
      <c r="AY142" s="427"/>
      <c r="AZ142" s="454"/>
      <c r="BA142" s="454"/>
      <c r="BB142" s="428"/>
      <c r="BC142" s="427"/>
      <c r="BD142" s="454"/>
      <c r="BE142" s="454"/>
      <c r="BF142" s="428"/>
      <c r="BG142" s="427"/>
      <c r="BH142" s="454"/>
      <c r="BI142" s="454"/>
      <c r="BJ142" s="428"/>
      <c r="BK142" s="427"/>
      <c r="BL142" s="454"/>
      <c r="BM142" s="454"/>
      <c r="BN142" s="428"/>
      <c r="BO142" s="427"/>
      <c r="BP142" s="454"/>
      <c r="BQ142" s="454"/>
      <c r="BR142" s="428"/>
      <c r="BS142" s="427"/>
      <c r="BT142" s="454"/>
      <c r="BU142" s="454"/>
      <c r="BV142" s="428"/>
      <c r="BW142" s="427"/>
      <c r="BX142" s="454"/>
      <c r="BY142" s="454"/>
      <c r="BZ142" s="428"/>
      <c r="CA142" s="427"/>
      <c r="CB142" s="454"/>
      <c r="CC142" s="454"/>
      <c r="CD142" s="428"/>
      <c r="CE142" s="427"/>
      <c r="CF142" s="454"/>
      <c r="CG142" s="454"/>
      <c r="CH142" s="428"/>
      <c r="CI142" s="427"/>
      <c r="CJ142" s="454"/>
      <c r="CK142" s="454"/>
      <c r="CL142" s="428"/>
      <c r="CM142" s="427"/>
      <c r="CN142" s="454"/>
      <c r="CO142" s="454"/>
      <c r="CP142" s="428"/>
      <c r="CQ142" s="427"/>
      <c r="CR142" s="454"/>
      <c r="CS142" s="454"/>
      <c r="CT142" s="428"/>
      <c r="CU142" s="427"/>
      <c r="CV142" s="454"/>
      <c r="CW142" s="454"/>
      <c r="CX142" s="428"/>
      <c r="CY142" s="427"/>
      <c r="CZ142" s="454"/>
      <c r="DA142" s="454"/>
      <c r="DB142" s="428"/>
      <c r="DC142" s="427"/>
      <c r="DD142" s="454"/>
      <c r="DE142" s="454"/>
      <c r="DF142" s="428"/>
      <c r="DG142" s="427"/>
      <c r="DH142" s="454"/>
      <c r="DI142" s="454"/>
      <c r="DJ142" s="428"/>
      <c r="DK142" s="427"/>
      <c r="DL142" s="454"/>
      <c r="DM142" s="454"/>
      <c r="DN142" s="428"/>
      <c r="DO142" s="427"/>
      <c r="DP142" s="454"/>
      <c r="DQ142" s="454"/>
      <c r="DR142" s="428"/>
      <c r="DS142" s="427"/>
      <c r="DT142" s="454"/>
      <c r="DU142" s="454"/>
      <c r="DV142" s="428"/>
      <c r="DW142" s="427"/>
      <c r="DX142" s="454"/>
      <c r="DY142" s="454"/>
      <c r="DZ142" s="428"/>
      <c r="EA142" s="427"/>
      <c r="EB142" s="454"/>
      <c r="EC142" s="454"/>
      <c r="ED142" s="428"/>
      <c r="EE142" s="427"/>
      <c r="EF142" s="454"/>
      <c r="EG142" s="454"/>
      <c r="EH142" s="428"/>
      <c r="EI142" s="427"/>
      <c r="EJ142" s="454"/>
      <c r="EK142" s="454"/>
      <c r="EL142" s="428"/>
      <c r="EM142" s="427"/>
      <c r="EN142" s="454"/>
      <c r="EO142" s="454"/>
      <c r="EP142" s="428"/>
      <c r="EQ142" s="427"/>
      <c r="ER142" s="454"/>
      <c r="ES142" s="454"/>
      <c r="ET142" s="428"/>
      <c r="EU142" s="427"/>
      <c r="EV142" s="454"/>
      <c r="EW142" s="454"/>
      <c r="EX142" s="428"/>
      <c r="EY142" s="427"/>
      <c r="EZ142" s="454"/>
      <c r="FA142" s="454"/>
      <c r="FB142" s="428"/>
      <c r="FC142" s="427"/>
      <c r="FD142" s="454"/>
      <c r="FE142" s="454"/>
      <c r="FF142" s="428"/>
      <c r="FG142" s="427"/>
      <c r="FH142" s="454"/>
      <c r="FI142" s="454"/>
      <c r="FJ142" s="428"/>
      <c r="FK142" s="427"/>
      <c r="FL142" s="454"/>
      <c r="FM142" s="454"/>
      <c r="FN142" s="428"/>
      <c r="FO142" s="427"/>
      <c r="FP142" s="454"/>
      <c r="FQ142" s="454"/>
      <c r="FR142" s="428"/>
      <c r="FS142" s="427"/>
      <c r="FT142" s="454"/>
      <c r="FU142" s="454"/>
      <c r="FV142" s="428"/>
      <c r="FW142" s="427"/>
      <c r="FX142" s="454"/>
      <c r="FY142" s="454"/>
      <c r="FZ142" s="428"/>
      <c r="GA142" s="427"/>
      <c r="GB142" s="454"/>
      <c r="GC142" s="454"/>
      <c r="GD142" s="428"/>
      <c r="GE142" s="427"/>
      <c r="GF142" s="454"/>
      <c r="GG142" s="454"/>
      <c r="GH142" s="428"/>
      <c r="GI142" s="427"/>
      <c r="GJ142" s="454"/>
      <c r="GK142" s="454"/>
      <c r="GL142" s="428"/>
      <c r="GM142" s="427"/>
      <c r="GN142" s="454"/>
      <c r="GO142" s="454"/>
      <c r="GP142" s="428"/>
      <c r="GQ142" s="427"/>
      <c r="GR142" s="454"/>
      <c r="GS142" s="454"/>
      <c r="GT142" s="428"/>
      <c r="GU142" s="427"/>
      <c r="GV142" s="454"/>
      <c r="GW142" s="454"/>
      <c r="GX142" s="428"/>
      <c r="GY142" s="427"/>
      <c r="GZ142" s="454"/>
      <c r="HA142" s="454"/>
      <c r="HB142" s="428"/>
      <c r="HC142" s="434">
        <f t="shared" si="83"/>
        <v>0</v>
      </c>
      <c r="HD142" s="456"/>
      <c r="HE142" s="456"/>
      <c r="HF142" s="433"/>
      <c r="HG142" s="434">
        <f>SUM(SUMIFS(K142:HB142,$K$13:$HB$13,{"エネルギー管理指定工場等*","県域*"}))</f>
        <v>0</v>
      </c>
      <c r="HH142" s="456"/>
      <c r="HI142" s="456"/>
      <c r="HJ142" s="433"/>
    </row>
    <row r="143" spans="1:242" ht="20.100000000000001" customHeight="1">
      <c r="A143" s="164"/>
      <c r="B143" s="421" t="s">
        <v>1424</v>
      </c>
      <c r="C143" s="422"/>
      <c r="D143" s="422"/>
      <c r="E143" s="422"/>
      <c r="F143" s="422"/>
      <c r="G143" s="422"/>
      <c r="H143" s="453"/>
      <c r="I143" s="425"/>
      <c r="J143" s="426"/>
      <c r="K143" s="427"/>
      <c r="L143" s="454"/>
      <c r="M143" s="454"/>
      <c r="N143" s="428"/>
      <c r="O143" s="427"/>
      <c r="P143" s="454"/>
      <c r="Q143" s="454"/>
      <c r="R143" s="428"/>
      <c r="S143" s="427"/>
      <c r="T143" s="454"/>
      <c r="U143" s="454"/>
      <c r="V143" s="428"/>
      <c r="W143" s="427"/>
      <c r="X143" s="454"/>
      <c r="Y143" s="454"/>
      <c r="Z143" s="428"/>
      <c r="AA143" s="427"/>
      <c r="AB143" s="454"/>
      <c r="AC143" s="454"/>
      <c r="AD143" s="428"/>
      <c r="AE143" s="427"/>
      <c r="AF143" s="454"/>
      <c r="AG143" s="454"/>
      <c r="AH143" s="428"/>
      <c r="AI143" s="427"/>
      <c r="AJ143" s="454"/>
      <c r="AK143" s="454"/>
      <c r="AL143" s="428"/>
      <c r="AM143" s="427"/>
      <c r="AN143" s="454"/>
      <c r="AO143" s="454"/>
      <c r="AP143" s="428"/>
      <c r="AQ143" s="427"/>
      <c r="AR143" s="454"/>
      <c r="AS143" s="454"/>
      <c r="AT143" s="428"/>
      <c r="AU143" s="427"/>
      <c r="AV143" s="454"/>
      <c r="AW143" s="454"/>
      <c r="AX143" s="428"/>
      <c r="AY143" s="427"/>
      <c r="AZ143" s="454"/>
      <c r="BA143" s="454"/>
      <c r="BB143" s="428"/>
      <c r="BC143" s="427"/>
      <c r="BD143" s="454"/>
      <c r="BE143" s="454"/>
      <c r="BF143" s="428"/>
      <c r="BG143" s="427"/>
      <c r="BH143" s="454"/>
      <c r="BI143" s="454"/>
      <c r="BJ143" s="428"/>
      <c r="BK143" s="427"/>
      <c r="BL143" s="454"/>
      <c r="BM143" s="454"/>
      <c r="BN143" s="428"/>
      <c r="BO143" s="427"/>
      <c r="BP143" s="454"/>
      <c r="BQ143" s="454"/>
      <c r="BR143" s="428"/>
      <c r="BS143" s="427"/>
      <c r="BT143" s="454"/>
      <c r="BU143" s="454"/>
      <c r="BV143" s="428"/>
      <c r="BW143" s="427"/>
      <c r="BX143" s="454"/>
      <c r="BY143" s="454"/>
      <c r="BZ143" s="428"/>
      <c r="CA143" s="427"/>
      <c r="CB143" s="454"/>
      <c r="CC143" s="454"/>
      <c r="CD143" s="428"/>
      <c r="CE143" s="427"/>
      <c r="CF143" s="454"/>
      <c r="CG143" s="454"/>
      <c r="CH143" s="428"/>
      <c r="CI143" s="427"/>
      <c r="CJ143" s="454"/>
      <c r="CK143" s="454"/>
      <c r="CL143" s="428"/>
      <c r="CM143" s="427"/>
      <c r="CN143" s="454"/>
      <c r="CO143" s="454"/>
      <c r="CP143" s="428"/>
      <c r="CQ143" s="427"/>
      <c r="CR143" s="454"/>
      <c r="CS143" s="454"/>
      <c r="CT143" s="428"/>
      <c r="CU143" s="427"/>
      <c r="CV143" s="454"/>
      <c r="CW143" s="454"/>
      <c r="CX143" s="428"/>
      <c r="CY143" s="427"/>
      <c r="CZ143" s="454"/>
      <c r="DA143" s="454"/>
      <c r="DB143" s="428"/>
      <c r="DC143" s="427"/>
      <c r="DD143" s="454"/>
      <c r="DE143" s="454"/>
      <c r="DF143" s="428"/>
      <c r="DG143" s="427"/>
      <c r="DH143" s="454"/>
      <c r="DI143" s="454"/>
      <c r="DJ143" s="428"/>
      <c r="DK143" s="427"/>
      <c r="DL143" s="454"/>
      <c r="DM143" s="454"/>
      <c r="DN143" s="428"/>
      <c r="DO143" s="427"/>
      <c r="DP143" s="454"/>
      <c r="DQ143" s="454"/>
      <c r="DR143" s="428"/>
      <c r="DS143" s="427"/>
      <c r="DT143" s="454"/>
      <c r="DU143" s="454"/>
      <c r="DV143" s="428"/>
      <c r="DW143" s="427"/>
      <c r="DX143" s="454"/>
      <c r="DY143" s="454"/>
      <c r="DZ143" s="428"/>
      <c r="EA143" s="427"/>
      <c r="EB143" s="454"/>
      <c r="EC143" s="454"/>
      <c r="ED143" s="428"/>
      <c r="EE143" s="427"/>
      <c r="EF143" s="454"/>
      <c r="EG143" s="454"/>
      <c r="EH143" s="428"/>
      <c r="EI143" s="427"/>
      <c r="EJ143" s="454"/>
      <c r="EK143" s="454"/>
      <c r="EL143" s="428"/>
      <c r="EM143" s="427"/>
      <c r="EN143" s="454"/>
      <c r="EO143" s="454"/>
      <c r="EP143" s="428"/>
      <c r="EQ143" s="427"/>
      <c r="ER143" s="454"/>
      <c r="ES143" s="454"/>
      <c r="ET143" s="428"/>
      <c r="EU143" s="427"/>
      <c r="EV143" s="454"/>
      <c r="EW143" s="454"/>
      <c r="EX143" s="428"/>
      <c r="EY143" s="427"/>
      <c r="EZ143" s="454"/>
      <c r="FA143" s="454"/>
      <c r="FB143" s="428"/>
      <c r="FC143" s="427"/>
      <c r="FD143" s="454"/>
      <c r="FE143" s="454"/>
      <c r="FF143" s="428"/>
      <c r="FG143" s="427"/>
      <c r="FH143" s="454"/>
      <c r="FI143" s="454"/>
      <c r="FJ143" s="428"/>
      <c r="FK143" s="427"/>
      <c r="FL143" s="454"/>
      <c r="FM143" s="454"/>
      <c r="FN143" s="428"/>
      <c r="FO143" s="427"/>
      <c r="FP143" s="454"/>
      <c r="FQ143" s="454"/>
      <c r="FR143" s="428"/>
      <c r="FS143" s="427"/>
      <c r="FT143" s="454"/>
      <c r="FU143" s="454"/>
      <c r="FV143" s="428"/>
      <c r="FW143" s="427"/>
      <c r="FX143" s="454"/>
      <c r="FY143" s="454"/>
      <c r="FZ143" s="428"/>
      <c r="GA143" s="427"/>
      <c r="GB143" s="454"/>
      <c r="GC143" s="454"/>
      <c r="GD143" s="428"/>
      <c r="GE143" s="427"/>
      <c r="GF143" s="454"/>
      <c r="GG143" s="454"/>
      <c r="GH143" s="428"/>
      <c r="GI143" s="427"/>
      <c r="GJ143" s="454"/>
      <c r="GK143" s="454"/>
      <c r="GL143" s="428"/>
      <c r="GM143" s="427"/>
      <c r="GN143" s="454"/>
      <c r="GO143" s="454"/>
      <c r="GP143" s="428"/>
      <c r="GQ143" s="427"/>
      <c r="GR143" s="454"/>
      <c r="GS143" s="454"/>
      <c r="GT143" s="428"/>
      <c r="GU143" s="427"/>
      <c r="GV143" s="454"/>
      <c r="GW143" s="454"/>
      <c r="GX143" s="428"/>
      <c r="GY143" s="427"/>
      <c r="GZ143" s="454"/>
      <c r="HA143" s="454"/>
      <c r="HB143" s="428"/>
      <c r="HC143" s="434">
        <f t="shared" si="83"/>
        <v>0</v>
      </c>
      <c r="HD143" s="456"/>
      <c r="HE143" s="456"/>
      <c r="HF143" s="433"/>
      <c r="HG143" s="434">
        <f>SUM(SUMIFS(K143:HB143,$K$13:$HB$13,{"エネルギー管理指定工場等*","県域*"}))</f>
        <v>0</v>
      </c>
      <c r="HH143" s="456"/>
      <c r="HI143" s="456"/>
      <c r="HJ143" s="433"/>
    </row>
    <row r="144" spans="1:242" ht="20.100000000000001" customHeight="1">
      <c r="A144" s="164"/>
      <c r="B144" s="421" t="s">
        <v>1425</v>
      </c>
      <c r="C144" s="422"/>
      <c r="D144" s="422"/>
      <c r="E144" s="422"/>
      <c r="F144" s="422"/>
      <c r="G144" s="422"/>
      <c r="H144" s="453"/>
      <c r="I144" s="425"/>
      <c r="J144" s="426"/>
      <c r="K144" s="427"/>
      <c r="L144" s="454"/>
      <c r="M144" s="454"/>
      <c r="N144" s="428"/>
      <c r="O144" s="427"/>
      <c r="P144" s="454"/>
      <c r="Q144" s="454"/>
      <c r="R144" s="428"/>
      <c r="S144" s="427"/>
      <c r="T144" s="454"/>
      <c r="U144" s="454"/>
      <c r="V144" s="428"/>
      <c r="W144" s="427"/>
      <c r="X144" s="454"/>
      <c r="Y144" s="454"/>
      <c r="Z144" s="428"/>
      <c r="AA144" s="427"/>
      <c r="AB144" s="454"/>
      <c r="AC144" s="454"/>
      <c r="AD144" s="428"/>
      <c r="AE144" s="427"/>
      <c r="AF144" s="454"/>
      <c r="AG144" s="454"/>
      <c r="AH144" s="428"/>
      <c r="AI144" s="427"/>
      <c r="AJ144" s="454"/>
      <c r="AK144" s="454"/>
      <c r="AL144" s="428"/>
      <c r="AM144" s="427"/>
      <c r="AN144" s="454"/>
      <c r="AO144" s="454"/>
      <c r="AP144" s="428"/>
      <c r="AQ144" s="427"/>
      <c r="AR144" s="454"/>
      <c r="AS144" s="454"/>
      <c r="AT144" s="428"/>
      <c r="AU144" s="427"/>
      <c r="AV144" s="454"/>
      <c r="AW144" s="454"/>
      <c r="AX144" s="428"/>
      <c r="AY144" s="427"/>
      <c r="AZ144" s="454"/>
      <c r="BA144" s="454"/>
      <c r="BB144" s="428"/>
      <c r="BC144" s="427"/>
      <c r="BD144" s="454"/>
      <c r="BE144" s="454"/>
      <c r="BF144" s="428"/>
      <c r="BG144" s="427"/>
      <c r="BH144" s="454"/>
      <c r="BI144" s="454"/>
      <c r="BJ144" s="428"/>
      <c r="BK144" s="427"/>
      <c r="BL144" s="454"/>
      <c r="BM144" s="454"/>
      <c r="BN144" s="428"/>
      <c r="BO144" s="427"/>
      <c r="BP144" s="454"/>
      <c r="BQ144" s="454"/>
      <c r="BR144" s="428"/>
      <c r="BS144" s="427"/>
      <c r="BT144" s="454"/>
      <c r="BU144" s="454"/>
      <c r="BV144" s="428"/>
      <c r="BW144" s="427"/>
      <c r="BX144" s="454"/>
      <c r="BY144" s="454"/>
      <c r="BZ144" s="428"/>
      <c r="CA144" s="427"/>
      <c r="CB144" s="454"/>
      <c r="CC144" s="454"/>
      <c r="CD144" s="428"/>
      <c r="CE144" s="427"/>
      <c r="CF144" s="454"/>
      <c r="CG144" s="454"/>
      <c r="CH144" s="428"/>
      <c r="CI144" s="427"/>
      <c r="CJ144" s="454"/>
      <c r="CK144" s="454"/>
      <c r="CL144" s="428"/>
      <c r="CM144" s="427"/>
      <c r="CN144" s="454"/>
      <c r="CO144" s="454"/>
      <c r="CP144" s="428"/>
      <c r="CQ144" s="427"/>
      <c r="CR144" s="454"/>
      <c r="CS144" s="454"/>
      <c r="CT144" s="428"/>
      <c r="CU144" s="427"/>
      <c r="CV144" s="454"/>
      <c r="CW144" s="454"/>
      <c r="CX144" s="428"/>
      <c r="CY144" s="427"/>
      <c r="CZ144" s="454"/>
      <c r="DA144" s="454"/>
      <c r="DB144" s="428"/>
      <c r="DC144" s="427"/>
      <c r="DD144" s="454"/>
      <c r="DE144" s="454"/>
      <c r="DF144" s="428"/>
      <c r="DG144" s="427"/>
      <c r="DH144" s="454"/>
      <c r="DI144" s="454"/>
      <c r="DJ144" s="428"/>
      <c r="DK144" s="427"/>
      <c r="DL144" s="454"/>
      <c r="DM144" s="454"/>
      <c r="DN144" s="428"/>
      <c r="DO144" s="427"/>
      <c r="DP144" s="454"/>
      <c r="DQ144" s="454"/>
      <c r="DR144" s="428"/>
      <c r="DS144" s="427"/>
      <c r="DT144" s="454"/>
      <c r="DU144" s="454"/>
      <c r="DV144" s="428"/>
      <c r="DW144" s="427"/>
      <c r="DX144" s="454"/>
      <c r="DY144" s="454"/>
      <c r="DZ144" s="428"/>
      <c r="EA144" s="427"/>
      <c r="EB144" s="454"/>
      <c r="EC144" s="454"/>
      <c r="ED144" s="428"/>
      <c r="EE144" s="427"/>
      <c r="EF144" s="454"/>
      <c r="EG144" s="454"/>
      <c r="EH144" s="428"/>
      <c r="EI144" s="427"/>
      <c r="EJ144" s="454"/>
      <c r="EK144" s="454"/>
      <c r="EL144" s="428"/>
      <c r="EM144" s="427"/>
      <c r="EN144" s="454"/>
      <c r="EO144" s="454"/>
      <c r="EP144" s="428"/>
      <c r="EQ144" s="427"/>
      <c r="ER144" s="454"/>
      <c r="ES144" s="454"/>
      <c r="ET144" s="428"/>
      <c r="EU144" s="427"/>
      <c r="EV144" s="454"/>
      <c r="EW144" s="454"/>
      <c r="EX144" s="428"/>
      <c r="EY144" s="427"/>
      <c r="EZ144" s="454"/>
      <c r="FA144" s="454"/>
      <c r="FB144" s="428"/>
      <c r="FC144" s="427"/>
      <c r="FD144" s="454"/>
      <c r="FE144" s="454"/>
      <c r="FF144" s="428"/>
      <c r="FG144" s="427"/>
      <c r="FH144" s="454"/>
      <c r="FI144" s="454"/>
      <c r="FJ144" s="428"/>
      <c r="FK144" s="427"/>
      <c r="FL144" s="454"/>
      <c r="FM144" s="454"/>
      <c r="FN144" s="428"/>
      <c r="FO144" s="427"/>
      <c r="FP144" s="454"/>
      <c r="FQ144" s="454"/>
      <c r="FR144" s="428"/>
      <c r="FS144" s="427"/>
      <c r="FT144" s="454"/>
      <c r="FU144" s="454"/>
      <c r="FV144" s="428"/>
      <c r="FW144" s="427"/>
      <c r="FX144" s="454"/>
      <c r="FY144" s="454"/>
      <c r="FZ144" s="428"/>
      <c r="GA144" s="427"/>
      <c r="GB144" s="454"/>
      <c r="GC144" s="454"/>
      <c r="GD144" s="428"/>
      <c r="GE144" s="427"/>
      <c r="GF144" s="454"/>
      <c r="GG144" s="454"/>
      <c r="GH144" s="428"/>
      <c r="GI144" s="427"/>
      <c r="GJ144" s="454"/>
      <c r="GK144" s="454"/>
      <c r="GL144" s="428"/>
      <c r="GM144" s="427"/>
      <c r="GN144" s="454"/>
      <c r="GO144" s="454"/>
      <c r="GP144" s="428"/>
      <c r="GQ144" s="427"/>
      <c r="GR144" s="454"/>
      <c r="GS144" s="454"/>
      <c r="GT144" s="428"/>
      <c r="GU144" s="427"/>
      <c r="GV144" s="454"/>
      <c r="GW144" s="454"/>
      <c r="GX144" s="428"/>
      <c r="GY144" s="427"/>
      <c r="GZ144" s="454"/>
      <c r="HA144" s="454"/>
      <c r="HB144" s="428"/>
      <c r="HC144" s="434">
        <f t="shared" ref="HC144:HC160" si="84">K144+O144+S144+W144+AA144+AE144+AI144+AM144+AQ144+AU144+AY144+BC144+BG144+BK144+BO144+BS144+BW144+CA144+CE144+CI144+CM144+CQ144+CU144+CY144+DC144+DG144+DK144+DO144+DS144+DW144+EA144+EE144+EI144+EM144+EQ144+EU144+EY144+FC144+FG144+FK144+FO144+FS144+FW144+GA144+GE144+GI144+GM144+GQ144+GU144+GY144</f>
        <v>0</v>
      </c>
      <c r="HD144" s="456"/>
      <c r="HE144" s="456"/>
      <c r="HF144" s="433"/>
      <c r="HG144" s="434">
        <f>SUM(SUMIFS(K144:HB144,$K$13:$HB$13,{"エネルギー管理指定工場等*","県域*"}))</f>
        <v>0</v>
      </c>
      <c r="HH144" s="456"/>
      <c r="HI144" s="456"/>
      <c r="HJ144" s="433"/>
    </row>
    <row r="145" spans="1:218" ht="20.100000000000001" customHeight="1">
      <c r="A145" s="164"/>
      <c r="B145" s="421" t="s">
        <v>1426</v>
      </c>
      <c r="C145" s="422"/>
      <c r="D145" s="422"/>
      <c r="E145" s="422"/>
      <c r="F145" s="422"/>
      <c r="G145" s="422"/>
      <c r="H145" s="453"/>
      <c r="I145" s="425"/>
      <c r="J145" s="426"/>
      <c r="K145" s="427"/>
      <c r="L145" s="454"/>
      <c r="M145" s="454"/>
      <c r="N145" s="428"/>
      <c r="O145" s="427"/>
      <c r="P145" s="454"/>
      <c r="Q145" s="454"/>
      <c r="R145" s="428"/>
      <c r="S145" s="427"/>
      <c r="T145" s="454"/>
      <c r="U145" s="454"/>
      <c r="V145" s="428"/>
      <c r="W145" s="427"/>
      <c r="X145" s="454"/>
      <c r="Y145" s="454"/>
      <c r="Z145" s="428"/>
      <c r="AA145" s="427"/>
      <c r="AB145" s="454"/>
      <c r="AC145" s="454"/>
      <c r="AD145" s="428"/>
      <c r="AE145" s="427"/>
      <c r="AF145" s="454"/>
      <c r="AG145" s="454"/>
      <c r="AH145" s="428"/>
      <c r="AI145" s="427"/>
      <c r="AJ145" s="454"/>
      <c r="AK145" s="454"/>
      <c r="AL145" s="428"/>
      <c r="AM145" s="427"/>
      <c r="AN145" s="454"/>
      <c r="AO145" s="454"/>
      <c r="AP145" s="428"/>
      <c r="AQ145" s="427"/>
      <c r="AR145" s="454"/>
      <c r="AS145" s="454"/>
      <c r="AT145" s="428"/>
      <c r="AU145" s="427"/>
      <c r="AV145" s="454"/>
      <c r="AW145" s="454"/>
      <c r="AX145" s="428"/>
      <c r="AY145" s="427"/>
      <c r="AZ145" s="454"/>
      <c r="BA145" s="454"/>
      <c r="BB145" s="428"/>
      <c r="BC145" s="427"/>
      <c r="BD145" s="454"/>
      <c r="BE145" s="454"/>
      <c r="BF145" s="428"/>
      <c r="BG145" s="427"/>
      <c r="BH145" s="454"/>
      <c r="BI145" s="454"/>
      <c r="BJ145" s="428"/>
      <c r="BK145" s="427"/>
      <c r="BL145" s="454"/>
      <c r="BM145" s="454"/>
      <c r="BN145" s="428"/>
      <c r="BO145" s="427"/>
      <c r="BP145" s="454"/>
      <c r="BQ145" s="454"/>
      <c r="BR145" s="428"/>
      <c r="BS145" s="427"/>
      <c r="BT145" s="454"/>
      <c r="BU145" s="454"/>
      <c r="BV145" s="428"/>
      <c r="BW145" s="427"/>
      <c r="BX145" s="454"/>
      <c r="BY145" s="454"/>
      <c r="BZ145" s="428"/>
      <c r="CA145" s="427"/>
      <c r="CB145" s="454"/>
      <c r="CC145" s="454"/>
      <c r="CD145" s="428"/>
      <c r="CE145" s="427"/>
      <c r="CF145" s="454"/>
      <c r="CG145" s="454"/>
      <c r="CH145" s="428"/>
      <c r="CI145" s="427"/>
      <c r="CJ145" s="454"/>
      <c r="CK145" s="454"/>
      <c r="CL145" s="428"/>
      <c r="CM145" s="427"/>
      <c r="CN145" s="454"/>
      <c r="CO145" s="454"/>
      <c r="CP145" s="428"/>
      <c r="CQ145" s="427"/>
      <c r="CR145" s="454"/>
      <c r="CS145" s="454"/>
      <c r="CT145" s="428"/>
      <c r="CU145" s="427"/>
      <c r="CV145" s="454"/>
      <c r="CW145" s="454"/>
      <c r="CX145" s="428"/>
      <c r="CY145" s="427"/>
      <c r="CZ145" s="454"/>
      <c r="DA145" s="454"/>
      <c r="DB145" s="428"/>
      <c r="DC145" s="427"/>
      <c r="DD145" s="454"/>
      <c r="DE145" s="454"/>
      <c r="DF145" s="428"/>
      <c r="DG145" s="427"/>
      <c r="DH145" s="454"/>
      <c r="DI145" s="454"/>
      <c r="DJ145" s="428"/>
      <c r="DK145" s="427"/>
      <c r="DL145" s="454"/>
      <c r="DM145" s="454"/>
      <c r="DN145" s="428"/>
      <c r="DO145" s="427"/>
      <c r="DP145" s="454"/>
      <c r="DQ145" s="454"/>
      <c r="DR145" s="428"/>
      <c r="DS145" s="427"/>
      <c r="DT145" s="454"/>
      <c r="DU145" s="454"/>
      <c r="DV145" s="428"/>
      <c r="DW145" s="427"/>
      <c r="DX145" s="454"/>
      <c r="DY145" s="454"/>
      <c r="DZ145" s="428"/>
      <c r="EA145" s="427"/>
      <c r="EB145" s="454"/>
      <c r="EC145" s="454"/>
      <c r="ED145" s="428"/>
      <c r="EE145" s="427"/>
      <c r="EF145" s="454"/>
      <c r="EG145" s="454"/>
      <c r="EH145" s="428"/>
      <c r="EI145" s="427"/>
      <c r="EJ145" s="454"/>
      <c r="EK145" s="454"/>
      <c r="EL145" s="428"/>
      <c r="EM145" s="427"/>
      <c r="EN145" s="454"/>
      <c r="EO145" s="454"/>
      <c r="EP145" s="428"/>
      <c r="EQ145" s="427"/>
      <c r="ER145" s="454"/>
      <c r="ES145" s="454"/>
      <c r="ET145" s="428"/>
      <c r="EU145" s="427"/>
      <c r="EV145" s="454"/>
      <c r="EW145" s="454"/>
      <c r="EX145" s="428"/>
      <c r="EY145" s="427"/>
      <c r="EZ145" s="454"/>
      <c r="FA145" s="454"/>
      <c r="FB145" s="428"/>
      <c r="FC145" s="427"/>
      <c r="FD145" s="454"/>
      <c r="FE145" s="454"/>
      <c r="FF145" s="428"/>
      <c r="FG145" s="427"/>
      <c r="FH145" s="454"/>
      <c r="FI145" s="454"/>
      <c r="FJ145" s="428"/>
      <c r="FK145" s="427"/>
      <c r="FL145" s="454"/>
      <c r="FM145" s="454"/>
      <c r="FN145" s="428"/>
      <c r="FO145" s="427"/>
      <c r="FP145" s="454"/>
      <c r="FQ145" s="454"/>
      <c r="FR145" s="428"/>
      <c r="FS145" s="427"/>
      <c r="FT145" s="454"/>
      <c r="FU145" s="454"/>
      <c r="FV145" s="428"/>
      <c r="FW145" s="427"/>
      <c r="FX145" s="454"/>
      <c r="FY145" s="454"/>
      <c r="FZ145" s="428"/>
      <c r="GA145" s="427"/>
      <c r="GB145" s="454"/>
      <c r="GC145" s="454"/>
      <c r="GD145" s="428"/>
      <c r="GE145" s="427"/>
      <c r="GF145" s="454"/>
      <c r="GG145" s="454"/>
      <c r="GH145" s="428"/>
      <c r="GI145" s="427"/>
      <c r="GJ145" s="454"/>
      <c r="GK145" s="454"/>
      <c r="GL145" s="428"/>
      <c r="GM145" s="427"/>
      <c r="GN145" s="454"/>
      <c r="GO145" s="454"/>
      <c r="GP145" s="428"/>
      <c r="GQ145" s="427"/>
      <c r="GR145" s="454"/>
      <c r="GS145" s="454"/>
      <c r="GT145" s="428"/>
      <c r="GU145" s="427"/>
      <c r="GV145" s="454"/>
      <c r="GW145" s="454"/>
      <c r="GX145" s="428"/>
      <c r="GY145" s="427"/>
      <c r="GZ145" s="454"/>
      <c r="HA145" s="454"/>
      <c r="HB145" s="428"/>
      <c r="HC145" s="434">
        <f t="shared" si="84"/>
        <v>0</v>
      </c>
      <c r="HD145" s="456"/>
      <c r="HE145" s="456"/>
      <c r="HF145" s="433"/>
      <c r="HG145" s="434">
        <f>SUM(SUMIFS(K145:HB145,$K$13:$HB$13,{"エネルギー管理指定工場等*","県域*"}))</f>
        <v>0</v>
      </c>
      <c r="HH145" s="456"/>
      <c r="HI145" s="456"/>
      <c r="HJ145" s="433"/>
    </row>
    <row r="146" spans="1:218" ht="20.100000000000001" customHeight="1">
      <c r="A146" s="164"/>
      <c r="B146" s="421" t="s">
        <v>1427</v>
      </c>
      <c r="C146" s="422"/>
      <c r="D146" s="422"/>
      <c r="E146" s="422"/>
      <c r="F146" s="422"/>
      <c r="G146" s="422"/>
      <c r="H146" s="453"/>
      <c r="I146" s="425"/>
      <c r="J146" s="426"/>
      <c r="K146" s="427"/>
      <c r="L146" s="454"/>
      <c r="M146" s="454"/>
      <c r="N146" s="428"/>
      <c r="O146" s="427"/>
      <c r="P146" s="454"/>
      <c r="Q146" s="454"/>
      <c r="R146" s="428"/>
      <c r="S146" s="427"/>
      <c r="T146" s="454"/>
      <c r="U146" s="454"/>
      <c r="V146" s="428"/>
      <c r="W146" s="427"/>
      <c r="X146" s="454"/>
      <c r="Y146" s="454"/>
      <c r="Z146" s="428"/>
      <c r="AA146" s="427"/>
      <c r="AB146" s="454"/>
      <c r="AC146" s="454"/>
      <c r="AD146" s="428"/>
      <c r="AE146" s="427"/>
      <c r="AF146" s="454"/>
      <c r="AG146" s="454"/>
      <c r="AH146" s="428"/>
      <c r="AI146" s="427"/>
      <c r="AJ146" s="454"/>
      <c r="AK146" s="454"/>
      <c r="AL146" s="428"/>
      <c r="AM146" s="427"/>
      <c r="AN146" s="454"/>
      <c r="AO146" s="454"/>
      <c r="AP146" s="428"/>
      <c r="AQ146" s="427"/>
      <c r="AR146" s="454"/>
      <c r="AS146" s="454"/>
      <c r="AT146" s="428"/>
      <c r="AU146" s="427"/>
      <c r="AV146" s="454"/>
      <c r="AW146" s="454"/>
      <c r="AX146" s="428"/>
      <c r="AY146" s="427"/>
      <c r="AZ146" s="454"/>
      <c r="BA146" s="454"/>
      <c r="BB146" s="428"/>
      <c r="BC146" s="427"/>
      <c r="BD146" s="454"/>
      <c r="BE146" s="454"/>
      <c r="BF146" s="428"/>
      <c r="BG146" s="427"/>
      <c r="BH146" s="454"/>
      <c r="BI146" s="454"/>
      <c r="BJ146" s="428"/>
      <c r="BK146" s="427"/>
      <c r="BL146" s="454"/>
      <c r="BM146" s="454"/>
      <c r="BN146" s="428"/>
      <c r="BO146" s="427"/>
      <c r="BP146" s="454"/>
      <c r="BQ146" s="454"/>
      <c r="BR146" s="428"/>
      <c r="BS146" s="427"/>
      <c r="BT146" s="454"/>
      <c r="BU146" s="454"/>
      <c r="BV146" s="428"/>
      <c r="BW146" s="427"/>
      <c r="BX146" s="454"/>
      <c r="BY146" s="454"/>
      <c r="BZ146" s="428"/>
      <c r="CA146" s="427"/>
      <c r="CB146" s="454"/>
      <c r="CC146" s="454"/>
      <c r="CD146" s="428"/>
      <c r="CE146" s="427"/>
      <c r="CF146" s="454"/>
      <c r="CG146" s="454"/>
      <c r="CH146" s="428"/>
      <c r="CI146" s="427"/>
      <c r="CJ146" s="454"/>
      <c r="CK146" s="454"/>
      <c r="CL146" s="428"/>
      <c r="CM146" s="427"/>
      <c r="CN146" s="454"/>
      <c r="CO146" s="454"/>
      <c r="CP146" s="428"/>
      <c r="CQ146" s="427"/>
      <c r="CR146" s="454"/>
      <c r="CS146" s="454"/>
      <c r="CT146" s="428"/>
      <c r="CU146" s="427"/>
      <c r="CV146" s="454"/>
      <c r="CW146" s="454"/>
      <c r="CX146" s="428"/>
      <c r="CY146" s="427"/>
      <c r="CZ146" s="454"/>
      <c r="DA146" s="454"/>
      <c r="DB146" s="428"/>
      <c r="DC146" s="427"/>
      <c r="DD146" s="454"/>
      <c r="DE146" s="454"/>
      <c r="DF146" s="428"/>
      <c r="DG146" s="427"/>
      <c r="DH146" s="454"/>
      <c r="DI146" s="454"/>
      <c r="DJ146" s="428"/>
      <c r="DK146" s="427"/>
      <c r="DL146" s="454"/>
      <c r="DM146" s="454"/>
      <c r="DN146" s="428"/>
      <c r="DO146" s="427"/>
      <c r="DP146" s="454"/>
      <c r="DQ146" s="454"/>
      <c r="DR146" s="428"/>
      <c r="DS146" s="427"/>
      <c r="DT146" s="454"/>
      <c r="DU146" s="454"/>
      <c r="DV146" s="428"/>
      <c r="DW146" s="427"/>
      <c r="DX146" s="454"/>
      <c r="DY146" s="454"/>
      <c r="DZ146" s="428"/>
      <c r="EA146" s="427"/>
      <c r="EB146" s="454"/>
      <c r="EC146" s="454"/>
      <c r="ED146" s="428"/>
      <c r="EE146" s="427"/>
      <c r="EF146" s="454"/>
      <c r="EG146" s="454"/>
      <c r="EH146" s="428"/>
      <c r="EI146" s="427"/>
      <c r="EJ146" s="454"/>
      <c r="EK146" s="454"/>
      <c r="EL146" s="428"/>
      <c r="EM146" s="427"/>
      <c r="EN146" s="454"/>
      <c r="EO146" s="454"/>
      <c r="EP146" s="428"/>
      <c r="EQ146" s="427"/>
      <c r="ER146" s="454"/>
      <c r="ES146" s="454"/>
      <c r="ET146" s="428"/>
      <c r="EU146" s="427"/>
      <c r="EV146" s="454"/>
      <c r="EW146" s="454"/>
      <c r="EX146" s="428"/>
      <c r="EY146" s="427"/>
      <c r="EZ146" s="454"/>
      <c r="FA146" s="454"/>
      <c r="FB146" s="428"/>
      <c r="FC146" s="427"/>
      <c r="FD146" s="454"/>
      <c r="FE146" s="454"/>
      <c r="FF146" s="428"/>
      <c r="FG146" s="427"/>
      <c r="FH146" s="454"/>
      <c r="FI146" s="454"/>
      <c r="FJ146" s="428"/>
      <c r="FK146" s="427"/>
      <c r="FL146" s="454"/>
      <c r="FM146" s="454"/>
      <c r="FN146" s="428"/>
      <c r="FO146" s="427"/>
      <c r="FP146" s="454"/>
      <c r="FQ146" s="454"/>
      <c r="FR146" s="428"/>
      <c r="FS146" s="427"/>
      <c r="FT146" s="454"/>
      <c r="FU146" s="454"/>
      <c r="FV146" s="428"/>
      <c r="FW146" s="427"/>
      <c r="FX146" s="454"/>
      <c r="FY146" s="454"/>
      <c r="FZ146" s="428"/>
      <c r="GA146" s="427"/>
      <c r="GB146" s="454"/>
      <c r="GC146" s="454"/>
      <c r="GD146" s="428"/>
      <c r="GE146" s="427"/>
      <c r="GF146" s="454"/>
      <c r="GG146" s="454"/>
      <c r="GH146" s="428"/>
      <c r="GI146" s="427"/>
      <c r="GJ146" s="454"/>
      <c r="GK146" s="454"/>
      <c r="GL146" s="428"/>
      <c r="GM146" s="427"/>
      <c r="GN146" s="454"/>
      <c r="GO146" s="454"/>
      <c r="GP146" s="428"/>
      <c r="GQ146" s="427"/>
      <c r="GR146" s="454"/>
      <c r="GS146" s="454"/>
      <c r="GT146" s="428"/>
      <c r="GU146" s="427"/>
      <c r="GV146" s="454"/>
      <c r="GW146" s="454"/>
      <c r="GX146" s="428"/>
      <c r="GY146" s="427"/>
      <c r="GZ146" s="454"/>
      <c r="HA146" s="454"/>
      <c r="HB146" s="428"/>
      <c r="HC146" s="434">
        <f t="shared" si="84"/>
        <v>0</v>
      </c>
      <c r="HD146" s="456"/>
      <c r="HE146" s="456"/>
      <c r="HF146" s="433"/>
      <c r="HG146" s="434">
        <f>SUM(SUMIFS(K146:HB146,$K$13:$HB$13,{"エネルギー管理指定工場等*","県域*"}))</f>
        <v>0</v>
      </c>
      <c r="HH146" s="456"/>
      <c r="HI146" s="456"/>
      <c r="HJ146" s="433"/>
    </row>
    <row r="147" spans="1:218" ht="20.100000000000001" customHeight="1">
      <c r="A147" s="164"/>
      <c r="B147" s="421" t="s">
        <v>1428</v>
      </c>
      <c r="C147" s="422"/>
      <c r="D147" s="422"/>
      <c r="E147" s="422"/>
      <c r="F147" s="422"/>
      <c r="G147" s="422"/>
      <c r="H147" s="453"/>
      <c r="I147" s="425"/>
      <c r="J147" s="426"/>
      <c r="K147" s="427"/>
      <c r="L147" s="454"/>
      <c r="M147" s="454"/>
      <c r="N147" s="428"/>
      <c r="O147" s="427"/>
      <c r="P147" s="454"/>
      <c r="Q147" s="454"/>
      <c r="R147" s="428"/>
      <c r="S147" s="427"/>
      <c r="T147" s="454"/>
      <c r="U147" s="454"/>
      <c r="V147" s="428"/>
      <c r="W147" s="427"/>
      <c r="X147" s="454"/>
      <c r="Y147" s="454"/>
      <c r="Z147" s="428"/>
      <c r="AA147" s="427"/>
      <c r="AB147" s="454"/>
      <c r="AC147" s="454"/>
      <c r="AD147" s="428"/>
      <c r="AE147" s="427"/>
      <c r="AF147" s="454"/>
      <c r="AG147" s="454"/>
      <c r="AH147" s="428"/>
      <c r="AI147" s="427"/>
      <c r="AJ147" s="454"/>
      <c r="AK147" s="454"/>
      <c r="AL147" s="428"/>
      <c r="AM147" s="427"/>
      <c r="AN147" s="454"/>
      <c r="AO147" s="454"/>
      <c r="AP147" s="428"/>
      <c r="AQ147" s="427"/>
      <c r="AR147" s="454"/>
      <c r="AS147" s="454"/>
      <c r="AT147" s="428"/>
      <c r="AU147" s="427"/>
      <c r="AV147" s="454"/>
      <c r="AW147" s="454"/>
      <c r="AX147" s="428"/>
      <c r="AY147" s="427"/>
      <c r="AZ147" s="454"/>
      <c r="BA147" s="454"/>
      <c r="BB147" s="428"/>
      <c r="BC147" s="427"/>
      <c r="BD147" s="454"/>
      <c r="BE147" s="454"/>
      <c r="BF147" s="428"/>
      <c r="BG147" s="427"/>
      <c r="BH147" s="454"/>
      <c r="BI147" s="454"/>
      <c r="BJ147" s="428"/>
      <c r="BK147" s="427"/>
      <c r="BL147" s="454"/>
      <c r="BM147" s="454"/>
      <c r="BN147" s="428"/>
      <c r="BO147" s="427"/>
      <c r="BP147" s="454"/>
      <c r="BQ147" s="454"/>
      <c r="BR147" s="428"/>
      <c r="BS147" s="427"/>
      <c r="BT147" s="454"/>
      <c r="BU147" s="454"/>
      <c r="BV147" s="428"/>
      <c r="BW147" s="427"/>
      <c r="BX147" s="454"/>
      <c r="BY147" s="454"/>
      <c r="BZ147" s="428"/>
      <c r="CA147" s="427"/>
      <c r="CB147" s="454"/>
      <c r="CC147" s="454"/>
      <c r="CD147" s="428"/>
      <c r="CE147" s="427"/>
      <c r="CF147" s="454"/>
      <c r="CG147" s="454"/>
      <c r="CH147" s="428"/>
      <c r="CI147" s="427"/>
      <c r="CJ147" s="454"/>
      <c r="CK147" s="454"/>
      <c r="CL147" s="428"/>
      <c r="CM147" s="427"/>
      <c r="CN147" s="454"/>
      <c r="CO147" s="454"/>
      <c r="CP147" s="428"/>
      <c r="CQ147" s="427"/>
      <c r="CR147" s="454"/>
      <c r="CS147" s="454"/>
      <c r="CT147" s="428"/>
      <c r="CU147" s="427"/>
      <c r="CV147" s="454"/>
      <c r="CW147" s="454"/>
      <c r="CX147" s="428"/>
      <c r="CY147" s="427"/>
      <c r="CZ147" s="454"/>
      <c r="DA147" s="454"/>
      <c r="DB147" s="428"/>
      <c r="DC147" s="427"/>
      <c r="DD147" s="454"/>
      <c r="DE147" s="454"/>
      <c r="DF147" s="428"/>
      <c r="DG147" s="427"/>
      <c r="DH147" s="454"/>
      <c r="DI147" s="454"/>
      <c r="DJ147" s="428"/>
      <c r="DK147" s="427"/>
      <c r="DL147" s="454"/>
      <c r="DM147" s="454"/>
      <c r="DN147" s="428"/>
      <c r="DO147" s="427"/>
      <c r="DP147" s="454"/>
      <c r="DQ147" s="454"/>
      <c r="DR147" s="428"/>
      <c r="DS147" s="427"/>
      <c r="DT147" s="454"/>
      <c r="DU147" s="454"/>
      <c r="DV147" s="428"/>
      <c r="DW147" s="427"/>
      <c r="DX147" s="454"/>
      <c r="DY147" s="454"/>
      <c r="DZ147" s="428"/>
      <c r="EA147" s="427"/>
      <c r="EB147" s="454"/>
      <c r="EC147" s="454"/>
      <c r="ED147" s="428"/>
      <c r="EE147" s="427"/>
      <c r="EF147" s="454"/>
      <c r="EG147" s="454"/>
      <c r="EH147" s="428"/>
      <c r="EI147" s="427"/>
      <c r="EJ147" s="454"/>
      <c r="EK147" s="454"/>
      <c r="EL147" s="428"/>
      <c r="EM147" s="427"/>
      <c r="EN147" s="454"/>
      <c r="EO147" s="454"/>
      <c r="EP147" s="428"/>
      <c r="EQ147" s="427"/>
      <c r="ER147" s="454"/>
      <c r="ES147" s="454"/>
      <c r="ET147" s="428"/>
      <c r="EU147" s="427"/>
      <c r="EV147" s="454"/>
      <c r="EW147" s="454"/>
      <c r="EX147" s="428"/>
      <c r="EY147" s="427"/>
      <c r="EZ147" s="454"/>
      <c r="FA147" s="454"/>
      <c r="FB147" s="428"/>
      <c r="FC147" s="427"/>
      <c r="FD147" s="454"/>
      <c r="FE147" s="454"/>
      <c r="FF147" s="428"/>
      <c r="FG147" s="427"/>
      <c r="FH147" s="454"/>
      <c r="FI147" s="454"/>
      <c r="FJ147" s="428"/>
      <c r="FK147" s="427"/>
      <c r="FL147" s="454"/>
      <c r="FM147" s="454"/>
      <c r="FN147" s="428"/>
      <c r="FO147" s="427"/>
      <c r="FP147" s="454"/>
      <c r="FQ147" s="454"/>
      <c r="FR147" s="428"/>
      <c r="FS147" s="427"/>
      <c r="FT147" s="454"/>
      <c r="FU147" s="454"/>
      <c r="FV147" s="428"/>
      <c r="FW147" s="427"/>
      <c r="FX147" s="454"/>
      <c r="FY147" s="454"/>
      <c r="FZ147" s="428"/>
      <c r="GA147" s="427"/>
      <c r="GB147" s="454"/>
      <c r="GC147" s="454"/>
      <c r="GD147" s="428"/>
      <c r="GE147" s="427"/>
      <c r="GF147" s="454"/>
      <c r="GG147" s="454"/>
      <c r="GH147" s="428"/>
      <c r="GI147" s="427"/>
      <c r="GJ147" s="454"/>
      <c r="GK147" s="454"/>
      <c r="GL147" s="428"/>
      <c r="GM147" s="427"/>
      <c r="GN147" s="454"/>
      <c r="GO147" s="454"/>
      <c r="GP147" s="428"/>
      <c r="GQ147" s="427"/>
      <c r="GR147" s="454"/>
      <c r="GS147" s="454"/>
      <c r="GT147" s="428"/>
      <c r="GU147" s="427"/>
      <c r="GV147" s="454"/>
      <c r="GW147" s="454"/>
      <c r="GX147" s="428"/>
      <c r="GY147" s="427"/>
      <c r="GZ147" s="454"/>
      <c r="HA147" s="454"/>
      <c r="HB147" s="428"/>
      <c r="HC147" s="434">
        <f t="shared" si="84"/>
        <v>0</v>
      </c>
      <c r="HD147" s="456"/>
      <c r="HE147" s="456"/>
      <c r="HF147" s="433"/>
      <c r="HG147" s="434">
        <f>SUM(SUMIFS(K147:HB147,$K$13:$HB$13,{"エネルギー管理指定工場等*","県域*"}))</f>
        <v>0</v>
      </c>
      <c r="HH147" s="456"/>
      <c r="HI147" s="456"/>
      <c r="HJ147" s="433"/>
    </row>
    <row r="148" spans="1:218" ht="20.100000000000001" customHeight="1">
      <c r="A148" s="164"/>
      <c r="B148" s="421" t="s">
        <v>1429</v>
      </c>
      <c r="C148" s="422"/>
      <c r="D148" s="422"/>
      <c r="E148" s="422"/>
      <c r="F148" s="422"/>
      <c r="G148" s="422"/>
      <c r="H148" s="453"/>
      <c r="I148" s="425"/>
      <c r="J148" s="426"/>
      <c r="K148" s="427"/>
      <c r="L148" s="454"/>
      <c r="M148" s="454"/>
      <c r="N148" s="428"/>
      <c r="O148" s="427"/>
      <c r="P148" s="454"/>
      <c r="Q148" s="454"/>
      <c r="R148" s="428"/>
      <c r="S148" s="427"/>
      <c r="T148" s="454"/>
      <c r="U148" s="454"/>
      <c r="V148" s="428"/>
      <c r="W148" s="427"/>
      <c r="X148" s="454"/>
      <c r="Y148" s="454"/>
      <c r="Z148" s="428"/>
      <c r="AA148" s="427"/>
      <c r="AB148" s="454"/>
      <c r="AC148" s="454"/>
      <c r="AD148" s="428"/>
      <c r="AE148" s="427"/>
      <c r="AF148" s="454"/>
      <c r="AG148" s="454"/>
      <c r="AH148" s="428"/>
      <c r="AI148" s="427"/>
      <c r="AJ148" s="454"/>
      <c r="AK148" s="454"/>
      <c r="AL148" s="428"/>
      <c r="AM148" s="427"/>
      <c r="AN148" s="454"/>
      <c r="AO148" s="454"/>
      <c r="AP148" s="428"/>
      <c r="AQ148" s="427"/>
      <c r="AR148" s="454"/>
      <c r="AS148" s="454"/>
      <c r="AT148" s="428"/>
      <c r="AU148" s="427"/>
      <c r="AV148" s="454"/>
      <c r="AW148" s="454"/>
      <c r="AX148" s="428"/>
      <c r="AY148" s="427"/>
      <c r="AZ148" s="454"/>
      <c r="BA148" s="454"/>
      <c r="BB148" s="428"/>
      <c r="BC148" s="427"/>
      <c r="BD148" s="454"/>
      <c r="BE148" s="454"/>
      <c r="BF148" s="428"/>
      <c r="BG148" s="427"/>
      <c r="BH148" s="454"/>
      <c r="BI148" s="454"/>
      <c r="BJ148" s="428"/>
      <c r="BK148" s="427"/>
      <c r="BL148" s="454"/>
      <c r="BM148" s="454"/>
      <c r="BN148" s="428"/>
      <c r="BO148" s="427"/>
      <c r="BP148" s="454"/>
      <c r="BQ148" s="454"/>
      <c r="BR148" s="428"/>
      <c r="BS148" s="427"/>
      <c r="BT148" s="454"/>
      <c r="BU148" s="454"/>
      <c r="BV148" s="428"/>
      <c r="BW148" s="427"/>
      <c r="BX148" s="454"/>
      <c r="BY148" s="454"/>
      <c r="BZ148" s="428"/>
      <c r="CA148" s="427"/>
      <c r="CB148" s="454"/>
      <c r="CC148" s="454"/>
      <c r="CD148" s="428"/>
      <c r="CE148" s="427"/>
      <c r="CF148" s="454"/>
      <c r="CG148" s="454"/>
      <c r="CH148" s="428"/>
      <c r="CI148" s="427"/>
      <c r="CJ148" s="454"/>
      <c r="CK148" s="454"/>
      <c r="CL148" s="428"/>
      <c r="CM148" s="427"/>
      <c r="CN148" s="454"/>
      <c r="CO148" s="454"/>
      <c r="CP148" s="428"/>
      <c r="CQ148" s="427"/>
      <c r="CR148" s="454"/>
      <c r="CS148" s="454"/>
      <c r="CT148" s="428"/>
      <c r="CU148" s="427"/>
      <c r="CV148" s="454"/>
      <c r="CW148" s="454"/>
      <c r="CX148" s="428"/>
      <c r="CY148" s="427"/>
      <c r="CZ148" s="454"/>
      <c r="DA148" s="454"/>
      <c r="DB148" s="428"/>
      <c r="DC148" s="427"/>
      <c r="DD148" s="454"/>
      <c r="DE148" s="454"/>
      <c r="DF148" s="428"/>
      <c r="DG148" s="427"/>
      <c r="DH148" s="454"/>
      <c r="DI148" s="454"/>
      <c r="DJ148" s="428"/>
      <c r="DK148" s="427"/>
      <c r="DL148" s="454"/>
      <c r="DM148" s="454"/>
      <c r="DN148" s="428"/>
      <c r="DO148" s="427"/>
      <c r="DP148" s="454"/>
      <c r="DQ148" s="454"/>
      <c r="DR148" s="428"/>
      <c r="DS148" s="427"/>
      <c r="DT148" s="454"/>
      <c r="DU148" s="454"/>
      <c r="DV148" s="428"/>
      <c r="DW148" s="427"/>
      <c r="DX148" s="454"/>
      <c r="DY148" s="454"/>
      <c r="DZ148" s="428"/>
      <c r="EA148" s="427"/>
      <c r="EB148" s="454"/>
      <c r="EC148" s="454"/>
      <c r="ED148" s="428"/>
      <c r="EE148" s="427"/>
      <c r="EF148" s="454"/>
      <c r="EG148" s="454"/>
      <c r="EH148" s="428"/>
      <c r="EI148" s="427"/>
      <c r="EJ148" s="454"/>
      <c r="EK148" s="454"/>
      <c r="EL148" s="428"/>
      <c r="EM148" s="427"/>
      <c r="EN148" s="454"/>
      <c r="EO148" s="454"/>
      <c r="EP148" s="428"/>
      <c r="EQ148" s="427"/>
      <c r="ER148" s="454"/>
      <c r="ES148" s="454"/>
      <c r="ET148" s="428"/>
      <c r="EU148" s="427"/>
      <c r="EV148" s="454"/>
      <c r="EW148" s="454"/>
      <c r="EX148" s="428"/>
      <c r="EY148" s="427"/>
      <c r="EZ148" s="454"/>
      <c r="FA148" s="454"/>
      <c r="FB148" s="428"/>
      <c r="FC148" s="427"/>
      <c r="FD148" s="454"/>
      <c r="FE148" s="454"/>
      <c r="FF148" s="428"/>
      <c r="FG148" s="427"/>
      <c r="FH148" s="454"/>
      <c r="FI148" s="454"/>
      <c r="FJ148" s="428"/>
      <c r="FK148" s="427"/>
      <c r="FL148" s="454"/>
      <c r="FM148" s="454"/>
      <c r="FN148" s="428"/>
      <c r="FO148" s="427"/>
      <c r="FP148" s="454"/>
      <c r="FQ148" s="454"/>
      <c r="FR148" s="428"/>
      <c r="FS148" s="427"/>
      <c r="FT148" s="454"/>
      <c r="FU148" s="454"/>
      <c r="FV148" s="428"/>
      <c r="FW148" s="427"/>
      <c r="FX148" s="454"/>
      <c r="FY148" s="454"/>
      <c r="FZ148" s="428"/>
      <c r="GA148" s="427"/>
      <c r="GB148" s="454"/>
      <c r="GC148" s="454"/>
      <c r="GD148" s="428"/>
      <c r="GE148" s="427"/>
      <c r="GF148" s="454"/>
      <c r="GG148" s="454"/>
      <c r="GH148" s="428"/>
      <c r="GI148" s="427"/>
      <c r="GJ148" s="454"/>
      <c r="GK148" s="454"/>
      <c r="GL148" s="428"/>
      <c r="GM148" s="427"/>
      <c r="GN148" s="454"/>
      <c r="GO148" s="454"/>
      <c r="GP148" s="428"/>
      <c r="GQ148" s="427"/>
      <c r="GR148" s="454"/>
      <c r="GS148" s="454"/>
      <c r="GT148" s="428"/>
      <c r="GU148" s="427"/>
      <c r="GV148" s="454"/>
      <c r="GW148" s="454"/>
      <c r="GX148" s="428"/>
      <c r="GY148" s="427"/>
      <c r="GZ148" s="454"/>
      <c r="HA148" s="454"/>
      <c r="HB148" s="428"/>
      <c r="HC148" s="434">
        <f t="shared" si="84"/>
        <v>0</v>
      </c>
      <c r="HD148" s="456"/>
      <c r="HE148" s="456"/>
      <c r="HF148" s="433"/>
      <c r="HG148" s="434">
        <f>SUM(SUMIFS(K148:HB148,$K$13:$HB$13,{"エネルギー管理指定工場等*","県域*"}))</f>
        <v>0</v>
      </c>
      <c r="HH148" s="456"/>
      <c r="HI148" s="456"/>
      <c r="HJ148" s="433"/>
    </row>
    <row r="149" spans="1:218" ht="20.100000000000001" customHeight="1">
      <c r="A149" s="164"/>
      <c r="B149" s="421" t="s">
        <v>1430</v>
      </c>
      <c r="C149" s="422"/>
      <c r="D149" s="422"/>
      <c r="E149" s="422"/>
      <c r="F149" s="422"/>
      <c r="G149" s="422"/>
      <c r="H149" s="453"/>
      <c r="I149" s="425"/>
      <c r="J149" s="426"/>
      <c r="K149" s="427"/>
      <c r="L149" s="454"/>
      <c r="M149" s="454"/>
      <c r="N149" s="428"/>
      <c r="O149" s="427"/>
      <c r="P149" s="454"/>
      <c r="Q149" s="454"/>
      <c r="R149" s="428"/>
      <c r="S149" s="427"/>
      <c r="T149" s="454"/>
      <c r="U149" s="454"/>
      <c r="V149" s="428"/>
      <c r="W149" s="427"/>
      <c r="X149" s="454"/>
      <c r="Y149" s="454"/>
      <c r="Z149" s="428"/>
      <c r="AA149" s="427"/>
      <c r="AB149" s="454"/>
      <c r="AC149" s="454"/>
      <c r="AD149" s="428"/>
      <c r="AE149" s="427"/>
      <c r="AF149" s="454"/>
      <c r="AG149" s="454"/>
      <c r="AH149" s="428"/>
      <c r="AI149" s="427"/>
      <c r="AJ149" s="454"/>
      <c r="AK149" s="454"/>
      <c r="AL149" s="428"/>
      <c r="AM149" s="427"/>
      <c r="AN149" s="454"/>
      <c r="AO149" s="454"/>
      <c r="AP149" s="428"/>
      <c r="AQ149" s="427"/>
      <c r="AR149" s="454"/>
      <c r="AS149" s="454"/>
      <c r="AT149" s="428"/>
      <c r="AU149" s="427"/>
      <c r="AV149" s="454"/>
      <c r="AW149" s="454"/>
      <c r="AX149" s="428"/>
      <c r="AY149" s="427"/>
      <c r="AZ149" s="454"/>
      <c r="BA149" s="454"/>
      <c r="BB149" s="428"/>
      <c r="BC149" s="427"/>
      <c r="BD149" s="454"/>
      <c r="BE149" s="454"/>
      <c r="BF149" s="428"/>
      <c r="BG149" s="427"/>
      <c r="BH149" s="454"/>
      <c r="BI149" s="454"/>
      <c r="BJ149" s="428"/>
      <c r="BK149" s="427"/>
      <c r="BL149" s="454"/>
      <c r="BM149" s="454"/>
      <c r="BN149" s="428"/>
      <c r="BO149" s="427"/>
      <c r="BP149" s="454"/>
      <c r="BQ149" s="454"/>
      <c r="BR149" s="428"/>
      <c r="BS149" s="427"/>
      <c r="BT149" s="454"/>
      <c r="BU149" s="454"/>
      <c r="BV149" s="428"/>
      <c r="BW149" s="427"/>
      <c r="BX149" s="454"/>
      <c r="BY149" s="454"/>
      <c r="BZ149" s="428"/>
      <c r="CA149" s="427"/>
      <c r="CB149" s="454"/>
      <c r="CC149" s="454"/>
      <c r="CD149" s="428"/>
      <c r="CE149" s="427"/>
      <c r="CF149" s="454"/>
      <c r="CG149" s="454"/>
      <c r="CH149" s="428"/>
      <c r="CI149" s="427"/>
      <c r="CJ149" s="454"/>
      <c r="CK149" s="454"/>
      <c r="CL149" s="428"/>
      <c r="CM149" s="427"/>
      <c r="CN149" s="454"/>
      <c r="CO149" s="454"/>
      <c r="CP149" s="428"/>
      <c r="CQ149" s="427"/>
      <c r="CR149" s="454"/>
      <c r="CS149" s="454"/>
      <c r="CT149" s="428"/>
      <c r="CU149" s="427"/>
      <c r="CV149" s="454"/>
      <c r="CW149" s="454"/>
      <c r="CX149" s="428"/>
      <c r="CY149" s="427"/>
      <c r="CZ149" s="454"/>
      <c r="DA149" s="454"/>
      <c r="DB149" s="428"/>
      <c r="DC149" s="427"/>
      <c r="DD149" s="454"/>
      <c r="DE149" s="454"/>
      <c r="DF149" s="428"/>
      <c r="DG149" s="427"/>
      <c r="DH149" s="454"/>
      <c r="DI149" s="454"/>
      <c r="DJ149" s="428"/>
      <c r="DK149" s="427"/>
      <c r="DL149" s="454"/>
      <c r="DM149" s="454"/>
      <c r="DN149" s="428"/>
      <c r="DO149" s="427"/>
      <c r="DP149" s="454"/>
      <c r="DQ149" s="454"/>
      <c r="DR149" s="428"/>
      <c r="DS149" s="427"/>
      <c r="DT149" s="454"/>
      <c r="DU149" s="454"/>
      <c r="DV149" s="428"/>
      <c r="DW149" s="427"/>
      <c r="DX149" s="454"/>
      <c r="DY149" s="454"/>
      <c r="DZ149" s="428"/>
      <c r="EA149" s="427"/>
      <c r="EB149" s="454"/>
      <c r="EC149" s="454"/>
      <c r="ED149" s="428"/>
      <c r="EE149" s="427"/>
      <c r="EF149" s="454"/>
      <c r="EG149" s="454"/>
      <c r="EH149" s="428"/>
      <c r="EI149" s="427"/>
      <c r="EJ149" s="454"/>
      <c r="EK149" s="454"/>
      <c r="EL149" s="428"/>
      <c r="EM149" s="427"/>
      <c r="EN149" s="454"/>
      <c r="EO149" s="454"/>
      <c r="EP149" s="428"/>
      <c r="EQ149" s="427"/>
      <c r="ER149" s="454"/>
      <c r="ES149" s="454"/>
      <c r="ET149" s="428"/>
      <c r="EU149" s="427"/>
      <c r="EV149" s="454"/>
      <c r="EW149" s="454"/>
      <c r="EX149" s="428"/>
      <c r="EY149" s="427"/>
      <c r="EZ149" s="454"/>
      <c r="FA149" s="454"/>
      <c r="FB149" s="428"/>
      <c r="FC149" s="427"/>
      <c r="FD149" s="454"/>
      <c r="FE149" s="454"/>
      <c r="FF149" s="428"/>
      <c r="FG149" s="427"/>
      <c r="FH149" s="454"/>
      <c r="FI149" s="454"/>
      <c r="FJ149" s="428"/>
      <c r="FK149" s="427"/>
      <c r="FL149" s="454"/>
      <c r="FM149" s="454"/>
      <c r="FN149" s="428"/>
      <c r="FO149" s="427"/>
      <c r="FP149" s="454"/>
      <c r="FQ149" s="454"/>
      <c r="FR149" s="428"/>
      <c r="FS149" s="427"/>
      <c r="FT149" s="454"/>
      <c r="FU149" s="454"/>
      <c r="FV149" s="428"/>
      <c r="FW149" s="427"/>
      <c r="FX149" s="454"/>
      <c r="FY149" s="454"/>
      <c r="FZ149" s="428"/>
      <c r="GA149" s="427"/>
      <c r="GB149" s="454"/>
      <c r="GC149" s="454"/>
      <c r="GD149" s="428"/>
      <c r="GE149" s="427"/>
      <c r="GF149" s="454"/>
      <c r="GG149" s="454"/>
      <c r="GH149" s="428"/>
      <c r="GI149" s="427"/>
      <c r="GJ149" s="454"/>
      <c r="GK149" s="454"/>
      <c r="GL149" s="428"/>
      <c r="GM149" s="427"/>
      <c r="GN149" s="454"/>
      <c r="GO149" s="454"/>
      <c r="GP149" s="428"/>
      <c r="GQ149" s="427"/>
      <c r="GR149" s="454"/>
      <c r="GS149" s="454"/>
      <c r="GT149" s="428"/>
      <c r="GU149" s="427"/>
      <c r="GV149" s="454"/>
      <c r="GW149" s="454"/>
      <c r="GX149" s="428"/>
      <c r="GY149" s="427"/>
      <c r="GZ149" s="454"/>
      <c r="HA149" s="454"/>
      <c r="HB149" s="428"/>
      <c r="HC149" s="434">
        <f t="shared" si="84"/>
        <v>0</v>
      </c>
      <c r="HD149" s="456"/>
      <c r="HE149" s="456"/>
      <c r="HF149" s="433"/>
      <c r="HG149" s="434">
        <f>SUM(SUMIFS(K149:HB149,$K$13:$HB$13,{"エネルギー管理指定工場等*","県域*"}))</f>
        <v>0</v>
      </c>
      <c r="HH149" s="456"/>
      <c r="HI149" s="456"/>
      <c r="HJ149" s="433"/>
    </row>
    <row r="150" spans="1:218" ht="20.100000000000001" customHeight="1">
      <c r="A150" s="164"/>
      <c r="B150" s="443" t="s">
        <v>1431</v>
      </c>
      <c r="C150" s="444"/>
      <c r="D150" s="444"/>
      <c r="E150" s="444"/>
      <c r="F150" s="444"/>
      <c r="G150" s="444"/>
      <c r="H150" s="467"/>
      <c r="I150" s="425"/>
      <c r="J150" s="426"/>
      <c r="K150" s="468"/>
      <c r="L150" s="469"/>
      <c r="M150" s="469"/>
      <c r="N150" s="482"/>
      <c r="O150" s="468"/>
      <c r="P150" s="469"/>
      <c r="Q150" s="469"/>
      <c r="R150" s="482"/>
      <c r="S150" s="468"/>
      <c r="T150" s="469"/>
      <c r="U150" s="469"/>
      <c r="V150" s="482"/>
      <c r="W150" s="468"/>
      <c r="X150" s="469"/>
      <c r="Y150" s="469"/>
      <c r="Z150" s="482"/>
      <c r="AA150" s="468"/>
      <c r="AB150" s="469"/>
      <c r="AC150" s="469"/>
      <c r="AD150" s="482"/>
      <c r="AE150" s="468"/>
      <c r="AF150" s="469"/>
      <c r="AG150" s="469"/>
      <c r="AH150" s="482"/>
      <c r="AI150" s="468"/>
      <c r="AJ150" s="469"/>
      <c r="AK150" s="469"/>
      <c r="AL150" s="482"/>
      <c r="AM150" s="468"/>
      <c r="AN150" s="469"/>
      <c r="AO150" s="469"/>
      <c r="AP150" s="482"/>
      <c r="AQ150" s="468"/>
      <c r="AR150" s="469"/>
      <c r="AS150" s="469"/>
      <c r="AT150" s="482"/>
      <c r="AU150" s="468"/>
      <c r="AV150" s="469"/>
      <c r="AW150" s="469"/>
      <c r="AX150" s="482"/>
      <c r="AY150" s="468"/>
      <c r="AZ150" s="469"/>
      <c r="BA150" s="469"/>
      <c r="BB150" s="482"/>
      <c r="BC150" s="468"/>
      <c r="BD150" s="469"/>
      <c r="BE150" s="469"/>
      <c r="BF150" s="482"/>
      <c r="BG150" s="468"/>
      <c r="BH150" s="469"/>
      <c r="BI150" s="469"/>
      <c r="BJ150" s="482"/>
      <c r="BK150" s="468"/>
      <c r="BL150" s="469"/>
      <c r="BM150" s="469"/>
      <c r="BN150" s="482"/>
      <c r="BO150" s="468"/>
      <c r="BP150" s="469"/>
      <c r="BQ150" s="469"/>
      <c r="BR150" s="482"/>
      <c r="BS150" s="468"/>
      <c r="BT150" s="469"/>
      <c r="BU150" s="469"/>
      <c r="BV150" s="482"/>
      <c r="BW150" s="468"/>
      <c r="BX150" s="469"/>
      <c r="BY150" s="469"/>
      <c r="BZ150" s="482"/>
      <c r="CA150" s="468"/>
      <c r="CB150" s="469"/>
      <c r="CC150" s="469"/>
      <c r="CD150" s="482"/>
      <c r="CE150" s="468"/>
      <c r="CF150" s="469"/>
      <c r="CG150" s="469"/>
      <c r="CH150" s="482"/>
      <c r="CI150" s="468"/>
      <c r="CJ150" s="469"/>
      <c r="CK150" s="469"/>
      <c r="CL150" s="482"/>
      <c r="CM150" s="468"/>
      <c r="CN150" s="469"/>
      <c r="CO150" s="469"/>
      <c r="CP150" s="482"/>
      <c r="CQ150" s="468"/>
      <c r="CR150" s="469"/>
      <c r="CS150" s="469"/>
      <c r="CT150" s="482"/>
      <c r="CU150" s="468"/>
      <c r="CV150" s="469"/>
      <c r="CW150" s="469"/>
      <c r="CX150" s="482"/>
      <c r="CY150" s="468"/>
      <c r="CZ150" s="469"/>
      <c r="DA150" s="469"/>
      <c r="DB150" s="482"/>
      <c r="DC150" s="468"/>
      <c r="DD150" s="469"/>
      <c r="DE150" s="469"/>
      <c r="DF150" s="482"/>
      <c r="DG150" s="468"/>
      <c r="DH150" s="469"/>
      <c r="DI150" s="469"/>
      <c r="DJ150" s="482"/>
      <c r="DK150" s="468"/>
      <c r="DL150" s="469"/>
      <c r="DM150" s="469"/>
      <c r="DN150" s="482"/>
      <c r="DO150" s="468"/>
      <c r="DP150" s="469"/>
      <c r="DQ150" s="469"/>
      <c r="DR150" s="482"/>
      <c r="DS150" s="468"/>
      <c r="DT150" s="469"/>
      <c r="DU150" s="469"/>
      <c r="DV150" s="482"/>
      <c r="DW150" s="468"/>
      <c r="DX150" s="469"/>
      <c r="DY150" s="469"/>
      <c r="DZ150" s="482"/>
      <c r="EA150" s="468"/>
      <c r="EB150" s="469"/>
      <c r="EC150" s="469"/>
      <c r="ED150" s="482"/>
      <c r="EE150" s="468"/>
      <c r="EF150" s="469"/>
      <c r="EG150" s="469"/>
      <c r="EH150" s="482"/>
      <c r="EI150" s="468"/>
      <c r="EJ150" s="469"/>
      <c r="EK150" s="469"/>
      <c r="EL150" s="482"/>
      <c r="EM150" s="468"/>
      <c r="EN150" s="469"/>
      <c r="EO150" s="469"/>
      <c r="EP150" s="482"/>
      <c r="EQ150" s="468"/>
      <c r="ER150" s="469"/>
      <c r="ES150" s="469"/>
      <c r="ET150" s="482"/>
      <c r="EU150" s="468"/>
      <c r="EV150" s="469"/>
      <c r="EW150" s="469"/>
      <c r="EX150" s="482"/>
      <c r="EY150" s="468"/>
      <c r="EZ150" s="469"/>
      <c r="FA150" s="469"/>
      <c r="FB150" s="482"/>
      <c r="FC150" s="468"/>
      <c r="FD150" s="469"/>
      <c r="FE150" s="469"/>
      <c r="FF150" s="482"/>
      <c r="FG150" s="468"/>
      <c r="FH150" s="469"/>
      <c r="FI150" s="469"/>
      <c r="FJ150" s="482"/>
      <c r="FK150" s="468"/>
      <c r="FL150" s="469"/>
      <c r="FM150" s="469"/>
      <c r="FN150" s="482"/>
      <c r="FO150" s="468"/>
      <c r="FP150" s="469"/>
      <c r="FQ150" s="469"/>
      <c r="FR150" s="482"/>
      <c r="FS150" s="468"/>
      <c r="FT150" s="469"/>
      <c r="FU150" s="469"/>
      <c r="FV150" s="482"/>
      <c r="FW150" s="468"/>
      <c r="FX150" s="469"/>
      <c r="FY150" s="469"/>
      <c r="FZ150" s="482"/>
      <c r="GA150" s="468"/>
      <c r="GB150" s="469"/>
      <c r="GC150" s="469"/>
      <c r="GD150" s="482"/>
      <c r="GE150" s="468"/>
      <c r="GF150" s="469"/>
      <c r="GG150" s="469"/>
      <c r="GH150" s="482"/>
      <c r="GI150" s="468"/>
      <c r="GJ150" s="469"/>
      <c r="GK150" s="469"/>
      <c r="GL150" s="482"/>
      <c r="GM150" s="468"/>
      <c r="GN150" s="469"/>
      <c r="GO150" s="469"/>
      <c r="GP150" s="482"/>
      <c r="GQ150" s="468"/>
      <c r="GR150" s="469"/>
      <c r="GS150" s="469"/>
      <c r="GT150" s="482"/>
      <c r="GU150" s="468"/>
      <c r="GV150" s="469"/>
      <c r="GW150" s="469"/>
      <c r="GX150" s="482"/>
      <c r="GY150" s="468"/>
      <c r="GZ150" s="469"/>
      <c r="HA150" s="469"/>
      <c r="HB150" s="482"/>
      <c r="HC150" s="446">
        <f t="shared" si="84"/>
        <v>0</v>
      </c>
      <c r="HD150" s="471"/>
      <c r="HE150" s="471"/>
      <c r="HF150" s="448"/>
      <c r="HG150" s="446">
        <f>SUM(SUMIFS(K150:HB150,$K$13:$HB$13,{"エネルギー管理指定工場等*","県域*"}))</f>
        <v>0</v>
      </c>
      <c r="HH150" s="471"/>
      <c r="HI150" s="471"/>
      <c r="HJ150" s="448"/>
    </row>
    <row r="151" spans="1:218" ht="20.100000000000001" customHeight="1">
      <c r="A151" s="164"/>
      <c r="B151" s="410" t="s">
        <v>1432</v>
      </c>
      <c r="C151" s="411"/>
      <c r="D151" s="411"/>
      <c r="E151" s="411"/>
      <c r="F151" s="411"/>
      <c r="G151" s="411"/>
      <c r="H151" s="436"/>
      <c r="I151" s="425"/>
      <c r="J151" s="426"/>
      <c r="K151" s="416"/>
      <c r="L151" s="449"/>
      <c r="M151" s="449"/>
      <c r="N151" s="417"/>
      <c r="O151" s="416"/>
      <c r="P151" s="449"/>
      <c r="Q151" s="449"/>
      <c r="R151" s="417"/>
      <c r="S151" s="416"/>
      <c r="T151" s="449"/>
      <c r="U151" s="449"/>
      <c r="V151" s="417"/>
      <c r="W151" s="416"/>
      <c r="X151" s="449"/>
      <c r="Y151" s="449"/>
      <c r="Z151" s="417"/>
      <c r="AA151" s="416"/>
      <c r="AB151" s="449"/>
      <c r="AC151" s="449"/>
      <c r="AD151" s="417"/>
      <c r="AE151" s="416"/>
      <c r="AF151" s="449"/>
      <c r="AG151" s="449"/>
      <c r="AH151" s="417"/>
      <c r="AI151" s="416"/>
      <c r="AJ151" s="449"/>
      <c r="AK151" s="449"/>
      <c r="AL151" s="417"/>
      <c r="AM151" s="416"/>
      <c r="AN151" s="449"/>
      <c r="AO151" s="449"/>
      <c r="AP151" s="417"/>
      <c r="AQ151" s="416"/>
      <c r="AR151" s="449"/>
      <c r="AS151" s="449"/>
      <c r="AT151" s="417"/>
      <c r="AU151" s="416"/>
      <c r="AV151" s="449"/>
      <c r="AW151" s="449"/>
      <c r="AX151" s="417"/>
      <c r="AY151" s="416"/>
      <c r="AZ151" s="449"/>
      <c r="BA151" s="449"/>
      <c r="BB151" s="417"/>
      <c r="BC151" s="416"/>
      <c r="BD151" s="449"/>
      <c r="BE151" s="449"/>
      <c r="BF151" s="417"/>
      <c r="BG151" s="416"/>
      <c r="BH151" s="449"/>
      <c r="BI151" s="449"/>
      <c r="BJ151" s="417"/>
      <c r="BK151" s="416"/>
      <c r="BL151" s="449"/>
      <c r="BM151" s="449"/>
      <c r="BN151" s="417"/>
      <c r="BO151" s="416"/>
      <c r="BP151" s="449"/>
      <c r="BQ151" s="449"/>
      <c r="BR151" s="417"/>
      <c r="BS151" s="416"/>
      <c r="BT151" s="449"/>
      <c r="BU151" s="449"/>
      <c r="BV151" s="417"/>
      <c r="BW151" s="416"/>
      <c r="BX151" s="449"/>
      <c r="BY151" s="449"/>
      <c r="BZ151" s="417"/>
      <c r="CA151" s="416"/>
      <c r="CB151" s="449"/>
      <c r="CC151" s="449"/>
      <c r="CD151" s="417"/>
      <c r="CE151" s="416"/>
      <c r="CF151" s="449"/>
      <c r="CG151" s="449"/>
      <c r="CH151" s="417"/>
      <c r="CI151" s="416"/>
      <c r="CJ151" s="449"/>
      <c r="CK151" s="449"/>
      <c r="CL151" s="417"/>
      <c r="CM151" s="416"/>
      <c r="CN151" s="449"/>
      <c r="CO151" s="449"/>
      <c r="CP151" s="417"/>
      <c r="CQ151" s="416"/>
      <c r="CR151" s="449"/>
      <c r="CS151" s="449"/>
      <c r="CT151" s="417"/>
      <c r="CU151" s="416"/>
      <c r="CV151" s="449"/>
      <c r="CW151" s="449"/>
      <c r="CX151" s="417"/>
      <c r="CY151" s="416"/>
      <c r="CZ151" s="449"/>
      <c r="DA151" s="449"/>
      <c r="DB151" s="417"/>
      <c r="DC151" s="416"/>
      <c r="DD151" s="449"/>
      <c r="DE151" s="449"/>
      <c r="DF151" s="417"/>
      <c r="DG151" s="416"/>
      <c r="DH151" s="449"/>
      <c r="DI151" s="449"/>
      <c r="DJ151" s="417"/>
      <c r="DK151" s="416"/>
      <c r="DL151" s="449"/>
      <c r="DM151" s="449"/>
      <c r="DN151" s="417"/>
      <c r="DO151" s="416"/>
      <c r="DP151" s="449"/>
      <c r="DQ151" s="449"/>
      <c r="DR151" s="417"/>
      <c r="DS151" s="416"/>
      <c r="DT151" s="449"/>
      <c r="DU151" s="449"/>
      <c r="DV151" s="417"/>
      <c r="DW151" s="416"/>
      <c r="DX151" s="449"/>
      <c r="DY151" s="449"/>
      <c r="DZ151" s="417"/>
      <c r="EA151" s="416"/>
      <c r="EB151" s="449"/>
      <c r="EC151" s="449"/>
      <c r="ED151" s="417"/>
      <c r="EE151" s="416"/>
      <c r="EF151" s="449"/>
      <c r="EG151" s="449"/>
      <c r="EH151" s="417"/>
      <c r="EI151" s="416"/>
      <c r="EJ151" s="449"/>
      <c r="EK151" s="449"/>
      <c r="EL151" s="417"/>
      <c r="EM151" s="416"/>
      <c r="EN151" s="449"/>
      <c r="EO151" s="449"/>
      <c r="EP151" s="417"/>
      <c r="EQ151" s="416"/>
      <c r="ER151" s="449"/>
      <c r="ES151" s="449"/>
      <c r="ET151" s="417"/>
      <c r="EU151" s="416"/>
      <c r="EV151" s="449"/>
      <c r="EW151" s="449"/>
      <c r="EX151" s="417"/>
      <c r="EY151" s="416"/>
      <c r="EZ151" s="449"/>
      <c r="FA151" s="449"/>
      <c r="FB151" s="417"/>
      <c r="FC151" s="416"/>
      <c r="FD151" s="449"/>
      <c r="FE151" s="449"/>
      <c r="FF151" s="417"/>
      <c r="FG151" s="416"/>
      <c r="FH151" s="449"/>
      <c r="FI151" s="449"/>
      <c r="FJ151" s="417"/>
      <c r="FK151" s="416"/>
      <c r="FL151" s="449"/>
      <c r="FM151" s="449"/>
      <c r="FN151" s="417"/>
      <c r="FO151" s="416"/>
      <c r="FP151" s="449"/>
      <c r="FQ151" s="449"/>
      <c r="FR151" s="417"/>
      <c r="FS151" s="416"/>
      <c r="FT151" s="449"/>
      <c r="FU151" s="449"/>
      <c r="FV151" s="417"/>
      <c r="FW151" s="416"/>
      <c r="FX151" s="449"/>
      <c r="FY151" s="449"/>
      <c r="FZ151" s="417"/>
      <c r="GA151" s="416"/>
      <c r="GB151" s="449"/>
      <c r="GC151" s="449"/>
      <c r="GD151" s="417"/>
      <c r="GE151" s="416"/>
      <c r="GF151" s="449"/>
      <c r="GG151" s="449"/>
      <c r="GH151" s="417"/>
      <c r="GI151" s="416"/>
      <c r="GJ151" s="449"/>
      <c r="GK151" s="449"/>
      <c r="GL151" s="417"/>
      <c r="GM151" s="416"/>
      <c r="GN151" s="449"/>
      <c r="GO151" s="449"/>
      <c r="GP151" s="417"/>
      <c r="GQ151" s="416"/>
      <c r="GR151" s="449"/>
      <c r="GS151" s="449"/>
      <c r="GT151" s="417"/>
      <c r="GU151" s="416"/>
      <c r="GV151" s="449"/>
      <c r="GW151" s="449"/>
      <c r="GX151" s="417"/>
      <c r="GY151" s="416"/>
      <c r="GZ151" s="449"/>
      <c r="HA151" s="449"/>
      <c r="HB151" s="417"/>
      <c r="HC151" s="418">
        <f t="shared" si="84"/>
        <v>0</v>
      </c>
      <c r="HD151" s="451"/>
      <c r="HE151" s="451"/>
      <c r="HF151" s="420"/>
      <c r="HG151" s="418">
        <f>SUM(SUMIFS(K151:HB151,$K$13:$HB$13,{"エネルギー管理指定工場等*","県域*"}))</f>
        <v>0</v>
      </c>
      <c r="HH151" s="451"/>
      <c r="HI151" s="451"/>
      <c r="HJ151" s="420"/>
    </row>
    <row r="152" spans="1:218" ht="20.100000000000001" customHeight="1">
      <c r="A152" s="164"/>
      <c r="B152" s="421" t="s">
        <v>1433</v>
      </c>
      <c r="C152" s="422"/>
      <c r="D152" s="422"/>
      <c r="E152" s="422"/>
      <c r="F152" s="422"/>
      <c r="G152" s="422"/>
      <c r="H152" s="453"/>
      <c r="I152" s="425"/>
      <c r="J152" s="426"/>
      <c r="K152" s="427"/>
      <c r="L152" s="454"/>
      <c r="M152" s="454"/>
      <c r="N152" s="428"/>
      <c r="O152" s="427"/>
      <c r="P152" s="454"/>
      <c r="Q152" s="454"/>
      <c r="R152" s="428"/>
      <c r="S152" s="427"/>
      <c r="T152" s="454"/>
      <c r="U152" s="454"/>
      <c r="V152" s="428"/>
      <c r="W152" s="427"/>
      <c r="X152" s="454"/>
      <c r="Y152" s="454"/>
      <c r="Z152" s="428"/>
      <c r="AA152" s="427"/>
      <c r="AB152" s="454"/>
      <c r="AC152" s="454"/>
      <c r="AD152" s="428"/>
      <c r="AE152" s="427"/>
      <c r="AF152" s="454"/>
      <c r="AG152" s="454"/>
      <c r="AH152" s="428"/>
      <c r="AI152" s="427"/>
      <c r="AJ152" s="454"/>
      <c r="AK152" s="454"/>
      <c r="AL152" s="428"/>
      <c r="AM152" s="427"/>
      <c r="AN152" s="454"/>
      <c r="AO152" s="454"/>
      <c r="AP152" s="428"/>
      <c r="AQ152" s="427"/>
      <c r="AR152" s="454"/>
      <c r="AS152" s="454"/>
      <c r="AT152" s="428"/>
      <c r="AU152" s="427"/>
      <c r="AV152" s="454"/>
      <c r="AW152" s="454"/>
      <c r="AX152" s="428"/>
      <c r="AY152" s="427"/>
      <c r="AZ152" s="454"/>
      <c r="BA152" s="454"/>
      <c r="BB152" s="428"/>
      <c r="BC152" s="427"/>
      <c r="BD152" s="454"/>
      <c r="BE152" s="454"/>
      <c r="BF152" s="428"/>
      <c r="BG152" s="427"/>
      <c r="BH152" s="454"/>
      <c r="BI152" s="454"/>
      <c r="BJ152" s="428"/>
      <c r="BK152" s="427"/>
      <c r="BL152" s="454"/>
      <c r="BM152" s="454"/>
      <c r="BN152" s="428"/>
      <c r="BO152" s="427"/>
      <c r="BP152" s="454"/>
      <c r="BQ152" s="454"/>
      <c r="BR152" s="428"/>
      <c r="BS152" s="427"/>
      <c r="BT152" s="454"/>
      <c r="BU152" s="454"/>
      <c r="BV152" s="428"/>
      <c r="BW152" s="427"/>
      <c r="BX152" s="454"/>
      <c r="BY152" s="454"/>
      <c r="BZ152" s="428"/>
      <c r="CA152" s="427"/>
      <c r="CB152" s="454"/>
      <c r="CC152" s="454"/>
      <c r="CD152" s="428"/>
      <c r="CE152" s="427"/>
      <c r="CF152" s="454"/>
      <c r="CG152" s="454"/>
      <c r="CH152" s="428"/>
      <c r="CI152" s="427"/>
      <c r="CJ152" s="454"/>
      <c r="CK152" s="454"/>
      <c r="CL152" s="428"/>
      <c r="CM152" s="427"/>
      <c r="CN152" s="454"/>
      <c r="CO152" s="454"/>
      <c r="CP152" s="428"/>
      <c r="CQ152" s="427"/>
      <c r="CR152" s="454"/>
      <c r="CS152" s="454"/>
      <c r="CT152" s="428"/>
      <c r="CU152" s="427"/>
      <c r="CV152" s="454"/>
      <c r="CW152" s="454"/>
      <c r="CX152" s="428"/>
      <c r="CY152" s="427"/>
      <c r="CZ152" s="454"/>
      <c r="DA152" s="454"/>
      <c r="DB152" s="428"/>
      <c r="DC152" s="427"/>
      <c r="DD152" s="454"/>
      <c r="DE152" s="454"/>
      <c r="DF152" s="428"/>
      <c r="DG152" s="427"/>
      <c r="DH152" s="454"/>
      <c r="DI152" s="454"/>
      <c r="DJ152" s="428"/>
      <c r="DK152" s="427"/>
      <c r="DL152" s="454"/>
      <c r="DM152" s="454"/>
      <c r="DN152" s="428"/>
      <c r="DO152" s="427"/>
      <c r="DP152" s="454"/>
      <c r="DQ152" s="454"/>
      <c r="DR152" s="428"/>
      <c r="DS152" s="427"/>
      <c r="DT152" s="454"/>
      <c r="DU152" s="454"/>
      <c r="DV152" s="428"/>
      <c r="DW152" s="427"/>
      <c r="DX152" s="454"/>
      <c r="DY152" s="454"/>
      <c r="DZ152" s="428"/>
      <c r="EA152" s="427"/>
      <c r="EB152" s="454"/>
      <c r="EC152" s="454"/>
      <c r="ED152" s="428"/>
      <c r="EE152" s="427"/>
      <c r="EF152" s="454"/>
      <c r="EG152" s="454"/>
      <c r="EH152" s="428"/>
      <c r="EI152" s="427"/>
      <c r="EJ152" s="454"/>
      <c r="EK152" s="454"/>
      <c r="EL152" s="428"/>
      <c r="EM152" s="427"/>
      <c r="EN152" s="454"/>
      <c r="EO152" s="454"/>
      <c r="EP152" s="428"/>
      <c r="EQ152" s="427"/>
      <c r="ER152" s="454"/>
      <c r="ES152" s="454"/>
      <c r="ET152" s="428"/>
      <c r="EU152" s="427"/>
      <c r="EV152" s="454"/>
      <c r="EW152" s="454"/>
      <c r="EX152" s="428"/>
      <c r="EY152" s="427"/>
      <c r="EZ152" s="454"/>
      <c r="FA152" s="454"/>
      <c r="FB152" s="428"/>
      <c r="FC152" s="427"/>
      <c r="FD152" s="454"/>
      <c r="FE152" s="454"/>
      <c r="FF152" s="428"/>
      <c r="FG152" s="427"/>
      <c r="FH152" s="454"/>
      <c r="FI152" s="454"/>
      <c r="FJ152" s="428"/>
      <c r="FK152" s="427"/>
      <c r="FL152" s="454"/>
      <c r="FM152" s="454"/>
      <c r="FN152" s="428"/>
      <c r="FO152" s="427"/>
      <c r="FP152" s="454"/>
      <c r="FQ152" s="454"/>
      <c r="FR152" s="428"/>
      <c r="FS152" s="427"/>
      <c r="FT152" s="454"/>
      <c r="FU152" s="454"/>
      <c r="FV152" s="428"/>
      <c r="FW152" s="427"/>
      <c r="FX152" s="454"/>
      <c r="FY152" s="454"/>
      <c r="FZ152" s="428"/>
      <c r="GA152" s="427"/>
      <c r="GB152" s="454"/>
      <c r="GC152" s="454"/>
      <c r="GD152" s="428"/>
      <c r="GE152" s="427"/>
      <c r="GF152" s="454"/>
      <c r="GG152" s="454"/>
      <c r="GH152" s="428"/>
      <c r="GI152" s="427"/>
      <c r="GJ152" s="454"/>
      <c r="GK152" s="454"/>
      <c r="GL152" s="428"/>
      <c r="GM152" s="427"/>
      <c r="GN152" s="454"/>
      <c r="GO152" s="454"/>
      <c r="GP152" s="428"/>
      <c r="GQ152" s="427"/>
      <c r="GR152" s="454"/>
      <c r="GS152" s="454"/>
      <c r="GT152" s="428"/>
      <c r="GU152" s="427"/>
      <c r="GV152" s="454"/>
      <c r="GW152" s="454"/>
      <c r="GX152" s="428"/>
      <c r="GY152" s="427"/>
      <c r="GZ152" s="454"/>
      <c r="HA152" s="454"/>
      <c r="HB152" s="428"/>
      <c r="HC152" s="434">
        <f t="shared" si="84"/>
        <v>0</v>
      </c>
      <c r="HD152" s="456"/>
      <c r="HE152" s="456"/>
      <c r="HF152" s="433"/>
      <c r="HG152" s="434">
        <f>SUM(SUMIFS(K152:HB152,$K$13:$HB$13,{"エネルギー管理指定工場等*","県域*"}))</f>
        <v>0</v>
      </c>
      <c r="HH152" s="456"/>
      <c r="HI152" s="456"/>
      <c r="HJ152" s="433"/>
    </row>
    <row r="153" spans="1:218" ht="20.100000000000001" customHeight="1">
      <c r="A153" s="164"/>
      <c r="B153" s="421" t="s">
        <v>1434</v>
      </c>
      <c r="C153" s="422"/>
      <c r="D153" s="422"/>
      <c r="E153" s="422"/>
      <c r="F153" s="422"/>
      <c r="G153" s="422"/>
      <c r="H153" s="453"/>
      <c r="I153" s="425"/>
      <c r="J153" s="426"/>
      <c r="K153" s="427"/>
      <c r="L153" s="454"/>
      <c r="M153" s="454"/>
      <c r="N153" s="428"/>
      <c r="O153" s="427"/>
      <c r="P153" s="454"/>
      <c r="Q153" s="454"/>
      <c r="R153" s="428"/>
      <c r="S153" s="427"/>
      <c r="T153" s="454"/>
      <c r="U153" s="454"/>
      <c r="V153" s="428"/>
      <c r="W153" s="427"/>
      <c r="X153" s="454"/>
      <c r="Y153" s="454"/>
      <c r="Z153" s="428"/>
      <c r="AA153" s="427"/>
      <c r="AB153" s="454"/>
      <c r="AC153" s="454"/>
      <c r="AD153" s="428"/>
      <c r="AE153" s="427"/>
      <c r="AF153" s="454"/>
      <c r="AG153" s="454"/>
      <c r="AH153" s="428"/>
      <c r="AI153" s="427"/>
      <c r="AJ153" s="454"/>
      <c r="AK153" s="454"/>
      <c r="AL153" s="428"/>
      <c r="AM153" s="427"/>
      <c r="AN153" s="454"/>
      <c r="AO153" s="454"/>
      <c r="AP153" s="428"/>
      <c r="AQ153" s="427"/>
      <c r="AR153" s="454"/>
      <c r="AS153" s="454"/>
      <c r="AT153" s="428"/>
      <c r="AU153" s="427"/>
      <c r="AV153" s="454"/>
      <c r="AW153" s="454"/>
      <c r="AX153" s="428"/>
      <c r="AY153" s="427"/>
      <c r="AZ153" s="454"/>
      <c r="BA153" s="454"/>
      <c r="BB153" s="428"/>
      <c r="BC153" s="427"/>
      <c r="BD153" s="454"/>
      <c r="BE153" s="454"/>
      <c r="BF153" s="428"/>
      <c r="BG153" s="427"/>
      <c r="BH153" s="454"/>
      <c r="BI153" s="454"/>
      <c r="BJ153" s="428"/>
      <c r="BK153" s="427"/>
      <c r="BL153" s="454"/>
      <c r="BM153" s="454"/>
      <c r="BN153" s="428"/>
      <c r="BO153" s="427"/>
      <c r="BP153" s="454"/>
      <c r="BQ153" s="454"/>
      <c r="BR153" s="428"/>
      <c r="BS153" s="427"/>
      <c r="BT153" s="454"/>
      <c r="BU153" s="454"/>
      <c r="BV153" s="428"/>
      <c r="BW153" s="427"/>
      <c r="BX153" s="454"/>
      <c r="BY153" s="454"/>
      <c r="BZ153" s="428"/>
      <c r="CA153" s="427"/>
      <c r="CB153" s="454"/>
      <c r="CC153" s="454"/>
      <c r="CD153" s="428"/>
      <c r="CE153" s="427"/>
      <c r="CF153" s="454"/>
      <c r="CG153" s="454"/>
      <c r="CH153" s="428"/>
      <c r="CI153" s="427"/>
      <c r="CJ153" s="454"/>
      <c r="CK153" s="454"/>
      <c r="CL153" s="428"/>
      <c r="CM153" s="427"/>
      <c r="CN153" s="454"/>
      <c r="CO153" s="454"/>
      <c r="CP153" s="428"/>
      <c r="CQ153" s="427"/>
      <c r="CR153" s="454"/>
      <c r="CS153" s="454"/>
      <c r="CT153" s="428"/>
      <c r="CU153" s="427"/>
      <c r="CV153" s="454"/>
      <c r="CW153" s="454"/>
      <c r="CX153" s="428"/>
      <c r="CY153" s="427"/>
      <c r="CZ153" s="454"/>
      <c r="DA153" s="454"/>
      <c r="DB153" s="428"/>
      <c r="DC153" s="427"/>
      <c r="DD153" s="454"/>
      <c r="DE153" s="454"/>
      <c r="DF153" s="428"/>
      <c r="DG153" s="427"/>
      <c r="DH153" s="454"/>
      <c r="DI153" s="454"/>
      <c r="DJ153" s="428"/>
      <c r="DK153" s="427"/>
      <c r="DL153" s="454"/>
      <c r="DM153" s="454"/>
      <c r="DN153" s="428"/>
      <c r="DO153" s="427"/>
      <c r="DP153" s="454"/>
      <c r="DQ153" s="454"/>
      <c r="DR153" s="428"/>
      <c r="DS153" s="427"/>
      <c r="DT153" s="454"/>
      <c r="DU153" s="454"/>
      <c r="DV153" s="428"/>
      <c r="DW153" s="427"/>
      <c r="DX153" s="454"/>
      <c r="DY153" s="454"/>
      <c r="DZ153" s="428"/>
      <c r="EA153" s="427"/>
      <c r="EB153" s="454"/>
      <c r="EC153" s="454"/>
      <c r="ED153" s="428"/>
      <c r="EE153" s="427"/>
      <c r="EF153" s="454"/>
      <c r="EG153" s="454"/>
      <c r="EH153" s="428"/>
      <c r="EI153" s="427"/>
      <c r="EJ153" s="454"/>
      <c r="EK153" s="454"/>
      <c r="EL153" s="428"/>
      <c r="EM153" s="427"/>
      <c r="EN153" s="454"/>
      <c r="EO153" s="454"/>
      <c r="EP153" s="428"/>
      <c r="EQ153" s="427"/>
      <c r="ER153" s="454"/>
      <c r="ES153" s="454"/>
      <c r="ET153" s="428"/>
      <c r="EU153" s="427"/>
      <c r="EV153" s="454"/>
      <c r="EW153" s="454"/>
      <c r="EX153" s="428"/>
      <c r="EY153" s="427"/>
      <c r="EZ153" s="454"/>
      <c r="FA153" s="454"/>
      <c r="FB153" s="428"/>
      <c r="FC153" s="427"/>
      <c r="FD153" s="454"/>
      <c r="FE153" s="454"/>
      <c r="FF153" s="428"/>
      <c r="FG153" s="427"/>
      <c r="FH153" s="454"/>
      <c r="FI153" s="454"/>
      <c r="FJ153" s="428"/>
      <c r="FK153" s="427"/>
      <c r="FL153" s="454"/>
      <c r="FM153" s="454"/>
      <c r="FN153" s="428"/>
      <c r="FO153" s="427"/>
      <c r="FP153" s="454"/>
      <c r="FQ153" s="454"/>
      <c r="FR153" s="428"/>
      <c r="FS153" s="427"/>
      <c r="FT153" s="454"/>
      <c r="FU153" s="454"/>
      <c r="FV153" s="428"/>
      <c r="FW153" s="427"/>
      <c r="FX153" s="454"/>
      <c r="FY153" s="454"/>
      <c r="FZ153" s="428"/>
      <c r="GA153" s="427"/>
      <c r="GB153" s="454"/>
      <c r="GC153" s="454"/>
      <c r="GD153" s="428"/>
      <c r="GE153" s="427"/>
      <c r="GF153" s="454"/>
      <c r="GG153" s="454"/>
      <c r="GH153" s="428"/>
      <c r="GI153" s="427"/>
      <c r="GJ153" s="454"/>
      <c r="GK153" s="454"/>
      <c r="GL153" s="428"/>
      <c r="GM153" s="427"/>
      <c r="GN153" s="454"/>
      <c r="GO153" s="454"/>
      <c r="GP153" s="428"/>
      <c r="GQ153" s="427"/>
      <c r="GR153" s="454"/>
      <c r="GS153" s="454"/>
      <c r="GT153" s="428"/>
      <c r="GU153" s="427"/>
      <c r="GV153" s="454"/>
      <c r="GW153" s="454"/>
      <c r="GX153" s="428"/>
      <c r="GY153" s="427"/>
      <c r="GZ153" s="454"/>
      <c r="HA153" s="454"/>
      <c r="HB153" s="428"/>
      <c r="HC153" s="434">
        <f t="shared" si="84"/>
        <v>0</v>
      </c>
      <c r="HD153" s="456"/>
      <c r="HE153" s="456"/>
      <c r="HF153" s="433"/>
      <c r="HG153" s="434">
        <f>SUM(SUMIFS(K153:HB153,$K$13:$HB$13,{"エネルギー管理指定工場等*","県域*"}))</f>
        <v>0</v>
      </c>
      <c r="HH153" s="456"/>
      <c r="HI153" s="456"/>
      <c r="HJ153" s="433"/>
    </row>
    <row r="154" spans="1:218" ht="20.100000000000001" customHeight="1">
      <c r="A154" s="164"/>
      <c r="B154" s="421" t="s">
        <v>1435</v>
      </c>
      <c r="C154" s="422"/>
      <c r="D154" s="422"/>
      <c r="E154" s="422"/>
      <c r="F154" s="422"/>
      <c r="G154" s="422"/>
      <c r="H154" s="453"/>
      <c r="I154" s="425"/>
      <c r="J154" s="426"/>
      <c r="K154" s="427"/>
      <c r="L154" s="454"/>
      <c r="M154" s="454"/>
      <c r="N154" s="428"/>
      <c r="O154" s="427"/>
      <c r="P154" s="454"/>
      <c r="Q154" s="454"/>
      <c r="R154" s="428"/>
      <c r="S154" s="427"/>
      <c r="T154" s="454"/>
      <c r="U154" s="454"/>
      <c r="V154" s="428"/>
      <c r="W154" s="427"/>
      <c r="X154" s="454"/>
      <c r="Y154" s="454"/>
      <c r="Z154" s="428"/>
      <c r="AA154" s="427"/>
      <c r="AB154" s="454"/>
      <c r="AC154" s="454"/>
      <c r="AD154" s="428"/>
      <c r="AE154" s="427"/>
      <c r="AF154" s="454"/>
      <c r="AG154" s="454"/>
      <c r="AH154" s="428"/>
      <c r="AI154" s="427"/>
      <c r="AJ154" s="454"/>
      <c r="AK154" s="454"/>
      <c r="AL154" s="428"/>
      <c r="AM154" s="427"/>
      <c r="AN154" s="454"/>
      <c r="AO154" s="454"/>
      <c r="AP154" s="428"/>
      <c r="AQ154" s="427"/>
      <c r="AR154" s="454"/>
      <c r="AS154" s="454"/>
      <c r="AT154" s="428"/>
      <c r="AU154" s="427"/>
      <c r="AV154" s="454"/>
      <c r="AW154" s="454"/>
      <c r="AX154" s="428"/>
      <c r="AY154" s="427"/>
      <c r="AZ154" s="454"/>
      <c r="BA154" s="454"/>
      <c r="BB154" s="428"/>
      <c r="BC154" s="427"/>
      <c r="BD154" s="454"/>
      <c r="BE154" s="454"/>
      <c r="BF154" s="428"/>
      <c r="BG154" s="427"/>
      <c r="BH154" s="454"/>
      <c r="BI154" s="454"/>
      <c r="BJ154" s="428"/>
      <c r="BK154" s="427"/>
      <c r="BL154" s="454"/>
      <c r="BM154" s="454"/>
      <c r="BN154" s="428"/>
      <c r="BO154" s="427"/>
      <c r="BP154" s="454"/>
      <c r="BQ154" s="454"/>
      <c r="BR154" s="428"/>
      <c r="BS154" s="427"/>
      <c r="BT154" s="454"/>
      <c r="BU154" s="454"/>
      <c r="BV154" s="428"/>
      <c r="BW154" s="427"/>
      <c r="BX154" s="454"/>
      <c r="BY154" s="454"/>
      <c r="BZ154" s="428"/>
      <c r="CA154" s="427"/>
      <c r="CB154" s="454"/>
      <c r="CC154" s="454"/>
      <c r="CD154" s="428"/>
      <c r="CE154" s="427"/>
      <c r="CF154" s="454"/>
      <c r="CG154" s="454"/>
      <c r="CH154" s="428"/>
      <c r="CI154" s="427"/>
      <c r="CJ154" s="454"/>
      <c r="CK154" s="454"/>
      <c r="CL154" s="428"/>
      <c r="CM154" s="427"/>
      <c r="CN154" s="454"/>
      <c r="CO154" s="454"/>
      <c r="CP154" s="428"/>
      <c r="CQ154" s="427"/>
      <c r="CR154" s="454"/>
      <c r="CS154" s="454"/>
      <c r="CT154" s="428"/>
      <c r="CU154" s="427"/>
      <c r="CV154" s="454"/>
      <c r="CW154" s="454"/>
      <c r="CX154" s="428"/>
      <c r="CY154" s="427"/>
      <c r="CZ154" s="454"/>
      <c r="DA154" s="454"/>
      <c r="DB154" s="428"/>
      <c r="DC154" s="427"/>
      <c r="DD154" s="454"/>
      <c r="DE154" s="454"/>
      <c r="DF154" s="428"/>
      <c r="DG154" s="427"/>
      <c r="DH154" s="454"/>
      <c r="DI154" s="454"/>
      <c r="DJ154" s="428"/>
      <c r="DK154" s="427"/>
      <c r="DL154" s="454"/>
      <c r="DM154" s="454"/>
      <c r="DN154" s="428"/>
      <c r="DO154" s="427"/>
      <c r="DP154" s="454"/>
      <c r="DQ154" s="454"/>
      <c r="DR154" s="428"/>
      <c r="DS154" s="427"/>
      <c r="DT154" s="454"/>
      <c r="DU154" s="454"/>
      <c r="DV154" s="428"/>
      <c r="DW154" s="427"/>
      <c r="DX154" s="454"/>
      <c r="DY154" s="454"/>
      <c r="DZ154" s="428"/>
      <c r="EA154" s="427"/>
      <c r="EB154" s="454"/>
      <c r="EC154" s="454"/>
      <c r="ED154" s="428"/>
      <c r="EE154" s="427"/>
      <c r="EF154" s="454"/>
      <c r="EG154" s="454"/>
      <c r="EH154" s="428"/>
      <c r="EI154" s="427"/>
      <c r="EJ154" s="454"/>
      <c r="EK154" s="454"/>
      <c r="EL154" s="428"/>
      <c r="EM154" s="427"/>
      <c r="EN154" s="454"/>
      <c r="EO154" s="454"/>
      <c r="EP154" s="428"/>
      <c r="EQ154" s="427"/>
      <c r="ER154" s="454"/>
      <c r="ES154" s="454"/>
      <c r="ET154" s="428"/>
      <c r="EU154" s="427"/>
      <c r="EV154" s="454"/>
      <c r="EW154" s="454"/>
      <c r="EX154" s="428"/>
      <c r="EY154" s="427"/>
      <c r="EZ154" s="454"/>
      <c r="FA154" s="454"/>
      <c r="FB154" s="428"/>
      <c r="FC154" s="427"/>
      <c r="FD154" s="454"/>
      <c r="FE154" s="454"/>
      <c r="FF154" s="428"/>
      <c r="FG154" s="427"/>
      <c r="FH154" s="454"/>
      <c r="FI154" s="454"/>
      <c r="FJ154" s="428"/>
      <c r="FK154" s="427"/>
      <c r="FL154" s="454"/>
      <c r="FM154" s="454"/>
      <c r="FN154" s="428"/>
      <c r="FO154" s="427"/>
      <c r="FP154" s="454"/>
      <c r="FQ154" s="454"/>
      <c r="FR154" s="428"/>
      <c r="FS154" s="427"/>
      <c r="FT154" s="454"/>
      <c r="FU154" s="454"/>
      <c r="FV154" s="428"/>
      <c r="FW154" s="427"/>
      <c r="FX154" s="454"/>
      <c r="FY154" s="454"/>
      <c r="FZ154" s="428"/>
      <c r="GA154" s="427"/>
      <c r="GB154" s="454"/>
      <c r="GC154" s="454"/>
      <c r="GD154" s="428"/>
      <c r="GE154" s="427"/>
      <c r="GF154" s="454"/>
      <c r="GG154" s="454"/>
      <c r="GH154" s="428"/>
      <c r="GI154" s="427"/>
      <c r="GJ154" s="454"/>
      <c r="GK154" s="454"/>
      <c r="GL154" s="428"/>
      <c r="GM154" s="427"/>
      <c r="GN154" s="454"/>
      <c r="GO154" s="454"/>
      <c r="GP154" s="428"/>
      <c r="GQ154" s="427"/>
      <c r="GR154" s="454"/>
      <c r="GS154" s="454"/>
      <c r="GT154" s="428"/>
      <c r="GU154" s="427"/>
      <c r="GV154" s="454"/>
      <c r="GW154" s="454"/>
      <c r="GX154" s="428"/>
      <c r="GY154" s="427"/>
      <c r="GZ154" s="454"/>
      <c r="HA154" s="454"/>
      <c r="HB154" s="428"/>
      <c r="HC154" s="434">
        <f t="shared" si="84"/>
        <v>0</v>
      </c>
      <c r="HD154" s="456"/>
      <c r="HE154" s="456"/>
      <c r="HF154" s="433"/>
      <c r="HG154" s="434">
        <f>SUM(SUMIFS(K154:HB154,$K$13:$HB$13,{"エネルギー管理指定工場等*","県域*"}))</f>
        <v>0</v>
      </c>
      <c r="HH154" s="456"/>
      <c r="HI154" s="456"/>
      <c r="HJ154" s="433"/>
    </row>
    <row r="155" spans="1:218" ht="20.100000000000001" customHeight="1">
      <c r="A155" s="164"/>
      <c r="B155" s="421" t="s">
        <v>1436</v>
      </c>
      <c r="C155" s="422"/>
      <c r="D155" s="422"/>
      <c r="E155" s="422"/>
      <c r="F155" s="422"/>
      <c r="G155" s="422"/>
      <c r="H155" s="453"/>
      <c r="I155" s="425"/>
      <c r="J155" s="426"/>
      <c r="K155" s="427"/>
      <c r="L155" s="454"/>
      <c r="M155" s="454"/>
      <c r="N155" s="428"/>
      <c r="O155" s="427"/>
      <c r="P155" s="454"/>
      <c r="Q155" s="454"/>
      <c r="R155" s="428"/>
      <c r="S155" s="427"/>
      <c r="T155" s="454"/>
      <c r="U155" s="454"/>
      <c r="V155" s="428"/>
      <c r="W155" s="427"/>
      <c r="X155" s="454"/>
      <c r="Y155" s="454"/>
      <c r="Z155" s="428"/>
      <c r="AA155" s="427"/>
      <c r="AB155" s="454"/>
      <c r="AC155" s="454"/>
      <c r="AD155" s="428"/>
      <c r="AE155" s="427"/>
      <c r="AF155" s="454"/>
      <c r="AG155" s="454"/>
      <c r="AH155" s="428"/>
      <c r="AI155" s="427"/>
      <c r="AJ155" s="454"/>
      <c r="AK155" s="454"/>
      <c r="AL155" s="428"/>
      <c r="AM155" s="427"/>
      <c r="AN155" s="454"/>
      <c r="AO155" s="454"/>
      <c r="AP155" s="428"/>
      <c r="AQ155" s="427"/>
      <c r="AR155" s="454"/>
      <c r="AS155" s="454"/>
      <c r="AT155" s="428"/>
      <c r="AU155" s="427"/>
      <c r="AV155" s="454"/>
      <c r="AW155" s="454"/>
      <c r="AX155" s="428"/>
      <c r="AY155" s="427"/>
      <c r="AZ155" s="454"/>
      <c r="BA155" s="454"/>
      <c r="BB155" s="428"/>
      <c r="BC155" s="427"/>
      <c r="BD155" s="454"/>
      <c r="BE155" s="454"/>
      <c r="BF155" s="428"/>
      <c r="BG155" s="427"/>
      <c r="BH155" s="454"/>
      <c r="BI155" s="454"/>
      <c r="BJ155" s="428"/>
      <c r="BK155" s="427"/>
      <c r="BL155" s="454"/>
      <c r="BM155" s="454"/>
      <c r="BN155" s="428"/>
      <c r="BO155" s="427"/>
      <c r="BP155" s="454"/>
      <c r="BQ155" s="454"/>
      <c r="BR155" s="428"/>
      <c r="BS155" s="427"/>
      <c r="BT155" s="454"/>
      <c r="BU155" s="454"/>
      <c r="BV155" s="428"/>
      <c r="BW155" s="427"/>
      <c r="BX155" s="454"/>
      <c r="BY155" s="454"/>
      <c r="BZ155" s="428"/>
      <c r="CA155" s="427"/>
      <c r="CB155" s="454"/>
      <c r="CC155" s="454"/>
      <c r="CD155" s="428"/>
      <c r="CE155" s="427"/>
      <c r="CF155" s="454"/>
      <c r="CG155" s="454"/>
      <c r="CH155" s="428"/>
      <c r="CI155" s="427"/>
      <c r="CJ155" s="454"/>
      <c r="CK155" s="454"/>
      <c r="CL155" s="428"/>
      <c r="CM155" s="427"/>
      <c r="CN155" s="454"/>
      <c r="CO155" s="454"/>
      <c r="CP155" s="428"/>
      <c r="CQ155" s="427"/>
      <c r="CR155" s="454"/>
      <c r="CS155" s="454"/>
      <c r="CT155" s="428"/>
      <c r="CU155" s="427"/>
      <c r="CV155" s="454"/>
      <c r="CW155" s="454"/>
      <c r="CX155" s="428"/>
      <c r="CY155" s="427"/>
      <c r="CZ155" s="454"/>
      <c r="DA155" s="454"/>
      <c r="DB155" s="428"/>
      <c r="DC155" s="427"/>
      <c r="DD155" s="454"/>
      <c r="DE155" s="454"/>
      <c r="DF155" s="428"/>
      <c r="DG155" s="427"/>
      <c r="DH155" s="454"/>
      <c r="DI155" s="454"/>
      <c r="DJ155" s="428"/>
      <c r="DK155" s="427"/>
      <c r="DL155" s="454"/>
      <c r="DM155" s="454"/>
      <c r="DN155" s="428"/>
      <c r="DO155" s="427"/>
      <c r="DP155" s="454"/>
      <c r="DQ155" s="454"/>
      <c r="DR155" s="428"/>
      <c r="DS155" s="427"/>
      <c r="DT155" s="454"/>
      <c r="DU155" s="454"/>
      <c r="DV155" s="428"/>
      <c r="DW155" s="427"/>
      <c r="DX155" s="454"/>
      <c r="DY155" s="454"/>
      <c r="DZ155" s="428"/>
      <c r="EA155" s="427"/>
      <c r="EB155" s="454"/>
      <c r="EC155" s="454"/>
      <c r="ED155" s="428"/>
      <c r="EE155" s="427"/>
      <c r="EF155" s="454"/>
      <c r="EG155" s="454"/>
      <c r="EH155" s="428"/>
      <c r="EI155" s="427"/>
      <c r="EJ155" s="454"/>
      <c r="EK155" s="454"/>
      <c r="EL155" s="428"/>
      <c r="EM155" s="427"/>
      <c r="EN155" s="454"/>
      <c r="EO155" s="454"/>
      <c r="EP155" s="428"/>
      <c r="EQ155" s="427"/>
      <c r="ER155" s="454"/>
      <c r="ES155" s="454"/>
      <c r="ET155" s="428"/>
      <c r="EU155" s="427"/>
      <c r="EV155" s="454"/>
      <c r="EW155" s="454"/>
      <c r="EX155" s="428"/>
      <c r="EY155" s="427"/>
      <c r="EZ155" s="454"/>
      <c r="FA155" s="454"/>
      <c r="FB155" s="428"/>
      <c r="FC155" s="427"/>
      <c r="FD155" s="454"/>
      <c r="FE155" s="454"/>
      <c r="FF155" s="428"/>
      <c r="FG155" s="427"/>
      <c r="FH155" s="454"/>
      <c r="FI155" s="454"/>
      <c r="FJ155" s="428"/>
      <c r="FK155" s="427"/>
      <c r="FL155" s="454"/>
      <c r="FM155" s="454"/>
      <c r="FN155" s="428"/>
      <c r="FO155" s="427"/>
      <c r="FP155" s="454"/>
      <c r="FQ155" s="454"/>
      <c r="FR155" s="428"/>
      <c r="FS155" s="427"/>
      <c r="FT155" s="454"/>
      <c r="FU155" s="454"/>
      <c r="FV155" s="428"/>
      <c r="FW155" s="427"/>
      <c r="FX155" s="454"/>
      <c r="FY155" s="454"/>
      <c r="FZ155" s="428"/>
      <c r="GA155" s="427"/>
      <c r="GB155" s="454"/>
      <c r="GC155" s="454"/>
      <c r="GD155" s="428"/>
      <c r="GE155" s="427"/>
      <c r="GF155" s="454"/>
      <c r="GG155" s="454"/>
      <c r="GH155" s="428"/>
      <c r="GI155" s="427"/>
      <c r="GJ155" s="454"/>
      <c r="GK155" s="454"/>
      <c r="GL155" s="428"/>
      <c r="GM155" s="427"/>
      <c r="GN155" s="454"/>
      <c r="GO155" s="454"/>
      <c r="GP155" s="428"/>
      <c r="GQ155" s="427"/>
      <c r="GR155" s="454"/>
      <c r="GS155" s="454"/>
      <c r="GT155" s="428"/>
      <c r="GU155" s="427"/>
      <c r="GV155" s="454"/>
      <c r="GW155" s="454"/>
      <c r="GX155" s="428"/>
      <c r="GY155" s="427"/>
      <c r="GZ155" s="454"/>
      <c r="HA155" s="454"/>
      <c r="HB155" s="428"/>
      <c r="HC155" s="434">
        <f t="shared" si="84"/>
        <v>0</v>
      </c>
      <c r="HD155" s="456"/>
      <c r="HE155" s="456"/>
      <c r="HF155" s="433"/>
      <c r="HG155" s="434">
        <f>SUM(SUMIFS(K155:HB155,$K$13:$HB$13,{"エネルギー管理指定工場等*","県域*"}))</f>
        <v>0</v>
      </c>
      <c r="HH155" s="456"/>
      <c r="HI155" s="456"/>
      <c r="HJ155" s="433"/>
    </row>
    <row r="156" spans="1:218" ht="20.100000000000001" customHeight="1">
      <c r="A156" s="164"/>
      <c r="B156" s="421" t="s">
        <v>1437</v>
      </c>
      <c r="C156" s="422"/>
      <c r="D156" s="422"/>
      <c r="E156" s="422"/>
      <c r="F156" s="422"/>
      <c r="G156" s="422"/>
      <c r="H156" s="453"/>
      <c r="I156" s="425"/>
      <c r="J156" s="426"/>
      <c r="K156" s="427"/>
      <c r="L156" s="454"/>
      <c r="M156" s="454"/>
      <c r="N156" s="428"/>
      <c r="O156" s="427"/>
      <c r="P156" s="454"/>
      <c r="Q156" s="454"/>
      <c r="R156" s="428"/>
      <c r="S156" s="427"/>
      <c r="T156" s="454"/>
      <c r="U156" s="454"/>
      <c r="V156" s="428"/>
      <c r="W156" s="427"/>
      <c r="X156" s="454"/>
      <c r="Y156" s="454"/>
      <c r="Z156" s="428"/>
      <c r="AA156" s="427"/>
      <c r="AB156" s="454"/>
      <c r="AC156" s="454"/>
      <c r="AD156" s="428"/>
      <c r="AE156" s="427"/>
      <c r="AF156" s="454"/>
      <c r="AG156" s="454"/>
      <c r="AH156" s="428"/>
      <c r="AI156" s="427"/>
      <c r="AJ156" s="454"/>
      <c r="AK156" s="454"/>
      <c r="AL156" s="428"/>
      <c r="AM156" s="427"/>
      <c r="AN156" s="454"/>
      <c r="AO156" s="454"/>
      <c r="AP156" s="428"/>
      <c r="AQ156" s="427"/>
      <c r="AR156" s="454"/>
      <c r="AS156" s="454"/>
      <c r="AT156" s="428"/>
      <c r="AU156" s="427"/>
      <c r="AV156" s="454"/>
      <c r="AW156" s="454"/>
      <c r="AX156" s="428"/>
      <c r="AY156" s="427"/>
      <c r="AZ156" s="454"/>
      <c r="BA156" s="454"/>
      <c r="BB156" s="428"/>
      <c r="BC156" s="427"/>
      <c r="BD156" s="454"/>
      <c r="BE156" s="454"/>
      <c r="BF156" s="428"/>
      <c r="BG156" s="427"/>
      <c r="BH156" s="454"/>
      <c r="BI156" s="454"/>
      <c r="BJ156" s="428"/>
      <c r="BK156" s="427"/>
      <c r="BL156" s="454"/>
      <c r="BM156" s="454"/>
      <c r="BN156" s="428"/>
      <c r="BO156" s="427"/>
      <c r="BP156" s="454"/>
      <c r="BQ156" s="454"/>
      <c r="BR156" s="428"/>
      <c r="BS156" s="427"/>
      <c r="BT156" s="454"/>
      <c r="BU156" s="454"/>
      <c r="BV156" s="428"/>
      <c r="BW156" s="427"/>
      <c r="BX156" s="454"/>
      <c r="BY156" s="454"/>
      <c r="BZ156" s="428"/>
      <c r="CA156" s="427"/>
      <c r="CB156" s="454"/>
      <c r="CC156" s="454"/>
      <c r="CD156" s="428"/>
      <c r="CE156" s="427"/>
      <c r="CF156" s="454"/>
      <c r="CG156" s="454"/>
      <c r="CH156" s="428"/>
      <c r="CI156" s="427"/>
      <c r="CJ156" s="454"/>
      <c r="CK156" s="454"/>
      <c r="CL156" s="428"/>
      <c r="CM156" s="427"/>
      <c r="CN156" s="454"/>
      <c r="CO156" s="454"/>
      <c r="CP156" s="428"/>
      <c r="CQ156" s="427"/>
      <c r="CR156" s="454"/>
      <c r="CS156" s="454"/>
      <c r="CT156" s="428"/>
      <c r="CU156" s="427"/>
      <c r="CV156" s="454"/>
      <c r="CW156" s="454"/>
      <c r="CX156" s="428"/>
      <c r="CY156" s="427"/>
      <c r="CZ156" s="454"/>
      <c r="DA156" s="454"/>
      <c r="DB156" s="428"/>
      <c r="DC156" s="427"/>
      <c r="DD156" s="454"/>
      <c r="DE156" s="454"/>
      <c r="DF156" s="428"/>
      <c r="DG156" s="427"/>
      <c r="DH156" s="454"/>
      <c r="DI156" s="454"/>
      <c r="DJ156" s="428"/>
      <c r="DK156" s="427"/>
      <c r="DL156" s="454"/>
      <c r="DM156" s="454"/>
      <c r="DN156" s="428"/>
      <c r="DO156" s="427"/>
      <c r="DP156" s="454"/>
      <c r="DQ156" s="454"/>
      <c r="DR156" s="428"/>
      <c r="DS156" s="427"/>
      <c r="DT156" s="454"/>
      <c r="DU156" s="454"/>
      <c r="DV156" s="428"/>
      <c r="DW156" s="427"/>
      <c r="DX156" s="454"/>
      <c r="DY156" s="454"/>
      <c r="DZ156" s="428"/>
      <c r="EA156" s="427"/>
      <c r="EB156" s="454"/>
      <c r="EC156" s="454"/>
      <c r="ED156" s="428"/>
      <c r="EE156" s="427"/>
      <c r="EF156" s="454"/>
      <c r="EG156" s="454"/>
      <c r="EH156" s="428"/>
      <c r="EI156" s="427"/>
      <c r="EJ156" s="454"/>
      <c r="EK156" s="454"/>
      <c r="EL156" s="428"/>
      <c r="EM156" s="427"/>
      <c r="EN156" s="454"/>
      <c r="EO156" s="454"/>
      <c r="EP156" s="428"/>
      <c r="EQ156" s="427"/>
      <c r="ER156" s="454"/>
      <c r="ES156" s="454"/>
      <c r="ET156" s="428"/>
      <c r="EU156" s="427"/>
      <c r="EV156" s="454"/>
      <c r="EW156" s="454"/>
      <c r="EX156" s="428"/>
      <c r="EY156" s="427"/>
      <c r="EZ156" s="454"/>
      <c r="FA156" s="454"/>
      <c r="FB156" s="428"/>
      <c r="FC156" s="427"/>
      <c r="FD156" s="454"/>
      <c r="FE156" s="454"/>
      <c r="FF156" s="428"/>
      <c r="FG156" s="427"/>
      <c r="FH156" s="454"/>
      <c r="FI156" s="454"/>
      <c r="FJ156" s="428"/>
      <c r="FK156" s="427"/>
      <c r="FL156" s="454"/>
      <c r="FM156" s="454"/>
      <c r="FN156" s="428"/>
      <c r="FO156" s="427"/>
      <c r="FP156" s="454"/>
      <c r="FQ156" s="454"/>
      <c r="FR156" s="428"/>
      <c r="FS156" s="427"/>
      <c r="FT156" s="454"/>
      <c r="FU156" s="454"/>
      <c r="FV156" s="428"/>
      <c r="FW156" s="427"/>
      <c r="FX156" s="454"/>
      <c r="FY156" s="454"/>
      <c r="FZ156" s="428"/>
      <c r="GA156" s="427"/>
      <c r="GB156" s="454"/>
      <c r="GC156" s="454"/>
      <c r="GD156" s="428"/>
      <c r="GE156" s="427"/>
      <c r="GF156" s="454"/>
      <c r="GG156" s="454"/>
      <c r="GH156" s="428"/>
      <c r="GI156" s="427"/>
      <c r="GJ156" s="454"/>
      <c r="GK156" s="454"/>
      <c r="GL156" s="428"/>
      <c r="GM156" s="427"/>
      <c r="GN156" s="454"/>
      <c r="GO156" s="454"/>
      <c r="GP156" s="428"/>
      <c r="GQ156" s="427"/>
      <c r="GR156" s="454"/>
      <c r="GS156" s="454"/>
      <c r="GT156" s="428"/>
      <c r="GU156" s="427"/>
      <c r="GV156" s="454"/>
      <c r="GW156" s="454"/>
      <c r="GX156" s="428"/>
      <c r="GY156" s="427"/>
      <c r="GZ156" s="454"/>
      <c r="HA156" s="454"/>
      <c r="HB156" s="428"/>
      <c r="HC156" s="434">
        <f t="shared" si="84"/>
        <v>0</v>
      </c>
      <c r="HD156" s="456"/>
      <c r="HE156" s="456"/>
      <c r="HF156" s="433"/>
      <c r="HG156" s="434">
        <f>SUM(SUMIFS(K156:HB156,$K$13:$HB$13,{"エネルギー管理指定工場等*","県域*"}))</f>
        <v>0</v>
      </c>
      <c r="HH156" s="456"/>
      <c r="HI156" s="456"/>
      <c r="HJ156" s="433"/>
    </row>
    <row r="157" spans="1:218" ht="20.100000000000001" customHeight="1">
      <c r="A157" s="164"/>
      <c r="B157" s="421" t="s">
        <v>1438</v>
      </c>
      <c r="C157" s="422"/>
      <c r="D157" s="422"/>
      <c r="E157" s="422"/>
      <c r="F157" s="422"/>
      <c r="G157" s="422"/>
      <c r="H157" s="453"/>
      <c r="I157" s="425"/>
      <c r="J157" s="426"/>
      <c r="K157" s="427"/>
      <c r="L157" s="454"/>
      <c r="M157" s="454"/>
      <c r="N157" s="428"/>
      <c r="O157" s="427"/>
      <c r="P157" s="454"/>
      <c r="Q157" s="454"/>
      <c r="R157" s="428"/>
      <c r="S157" s="427"/>
      <c r="T157" s="454"/>
      <c r="U157" s="454"/>
      <c r="V157" s="428"/>
      <c r="W157" s="427"/>
      <c r="X157" s="454"/>
      <c r="Y157" s="454"/>
      <c r="Z157" s="428"/>
      <c r="AA157" s="427"/>
      <c r="AB157" s="454"/>
      <c r="AC157" s="454"/>
      <c r="AD157" s="428"/>
      <c r="AE157" s="427"/>
      <c r="AF157" s="454"/>
      <c r="AG157" s="454"/>
      <c r="AH157" s="428"/>
      <c r="AI157" s="427"/>
      <c r="AJ157" s="454"/>
      <c r="AK157" s="454"/>
      <c r="AL157" s="428"/>
      <c r="AM157" s="427"/>
      <c r="AN157" s="454"/>
      <c r="AO157" s="454"/>
      <c r="AP157" s="428"/>
      <c r="AQ157" s="427"/>
      <c r="AR157" s="454"/>
      <c r="AS157" s="454"/>
      <c r="AT157" s="428"/>
      <c r="AU157" s="427"/>
      <c r="AV157" s="454"/>
      <c r="AW157" s="454"/>
      <c r="AX157" s="428"/>
      <c r="AY157" s="427"/>
      <c r="AZ157" s="454"/>
      <c r="BA157" s="454"/>
      <c r="BB157" s="428"/>
      <c r="BC157" s="427"/>
      <c r="BD157" s="454"/>
      <c r="BE157" s="454"/>
      <c r="BF157" s="428"/>
      <c r="BG157" s="427"/>
      <c r="BH157" s="454"/>
      <c r="BI157" s="454"/>
      <c r="BJ157" s="428"/>
      <c r="BK157" s="427"/>
      <c r="BL157" s="454"/>
      <c r="BM157" s="454"/>
      <c r="BN157" s="428"/>
      <c r="BO157" s="427"/>
      <c r="BP157" s="454"/>
      <c r="BQ157" s="454"/>
      <c r="BR157" s="428"/>
      <c r="BS157" s="427"/>
      <c r="BT157" s="454"/>
      <c r="BU157" s="454"/>
      <c r="BV157" s="428"/>
      <c r="BW157" s="427"/>
      <c r="BX157" s="454"/>
      <c r="BY157" s="454"/>
      <c r="BZ157" s="428"/>
      <c r="CA157" s="427"/>
      <c r="CB157" s="454"/>
      <c r="CC157" s="454"/>
      <c r="CD157" s="428"/>
      <c r="CE157" s="427"/>
      <c r="CF157" s="454"/>
      <c r="CG157" s="454"/>
      <c r="CH157" s="428"/>
      <c r="CI157" s="427"/>
      <c r="CJ157" s="454"/>
      <c r="CK157" s="454"/>
      <c r="CL157" s="428"/>
      <c r="CM157" s="427"/>
      <c r="CN157" s="454"/>
      <c r="CO157" s="454"/>
      <c r="CP157" s="428"/>
      <c r="CQ157" s="427"/>
      <c r="CR157" s="454"/>
      <c r="CS157" s="454"/>
      <c r="CT157" s="428"/>
      <c r="CU157" s="427"/>
      <c r="CV157" s="454"/>
      <c r="CW157" s="454"/>
      <c r="CX157" s="428"/>
      <c r="CY157" s="427"/>
      <c r="CZ157" s="454"/>
      <c r="DA157" s="454"/>
      <c r="DB157" s="428"/>
      <c r="DC157" s="427"/>
      <c r="DD157" s="454"/>
      <c r="DE157" s="454"/>
      <c r="DF157" s="428"/>
      <c r="DG157" s="427"/>
      <c r="DH157" s="454"/>
      <c r="DI157" s="454"/>
      <c r="DJ157" s="428"/>
      <c r="DK157" s="427"/>
      <c r="DL157" s="454"/>
      <c r="DM157" s="454"/>
      <c r="DN157" s="428"/>
      <c r="DO157" s="427"/>
      <c r="DP157" s="454"/>
      <c r="DQ157" s="454"/>
      <c r="DR157" s="428"/>
      <c r="DS157" s="427"/>
      <c r="DT157" s="454"/>
      <c r="DU157" s="454"/>
      <c r="DV157" s="428"/>
      <c r="DW157" s="427"/>
      <c r="DX157" s="454"/>
      <c r="DY157" s="454"/>
      <c r="DZ157" s="428"/>
      <c r="EA157" s="427"/>
      <c r="EB157" s="454"/>
      <c r="EC157" s="454"/>
      <c r="ED157" s="428"/>
      <c r="EE157" s="427"/>
      <c r="EF157" s="454"/>
      <c r="EG157" s="454"/>
      <c r="EH157" s="428"/>
      <c r="EI157" s="427"/>
      <c r="EJ157" s="454"/>
      <c r="EK157" s="454"/>
      <c r="EL157" s="428"/>
      <c r="EM157" s="427"/>
      <c r="EN157" s="454"/>
      <c r="EO157" s="454"/>
      <c r="EP157" s="428"/>
      <c r="EQ157" s="427"/>
      <c r="ER157" s="454"/>
      <c r="ES157" s="454"/>
      <c r="ET157" s="428"/>
      <c r="EU157" s="427"/>
      <c r="EV157" s="454"/>
      <c r="EW157" s="454"/>
      <c r="EX157" s="428"/>
      <c r="EY157" s="427"/>
      <c r="EZ157" s="454"/>
      <c r="FA157" s="454"/>
      <c r="FB157" s="428"/>
      <c r="FC157" s="427"/>
      <c r="FD157" s="454"/>
      <c r="FE157" s="454"/>
      <c r="FF157" s="428"/>
      <c r="FG157" s="427"/>
      <c r="FH157" s="454"/>
      <c r="FI157" s="454"/>
      <c r="FJ157" s="428"/>
      <c r="FK157" s="427"/>
      <c r="FL157" s="454"/>
      <c r="FM157" s="454"/>
      <c r="FN157" s="428"/>
      <c r="FO157" s="427"/>
      <c r="FP157" s="454"/>
      <c r="FQ157" s="454"/>
      <c r="FR157" s="428"/>
      <c r="FS157" s="427"/>
      <c r="FT157" s="454"/>
      <c r="FU157" s="454"/>
      <c r="FV157" s="428"/>
      <c r="FW157" s="427"/>
      <c r="FX157" s="454"/>
      <c r="FY157" s="454"/>
      <c r="FZ157" s="428"/>
      <c r="GA157" s="427"/>
      <c r="GB157" s="454"/>
      <c r="GC157" s="454"/>
      <c r="GD157" s="428"/>
      <c r="GE157" s="427"/>
      <c r="GF157" s="454"/>
      <c r="GG157" s="454"/>
      <c r="GH157" s="428"/>
      <c r="GI157" s="427"/>
      <c r="GJ157" s="454"/>
      <c r="GK157" s="454"/>
      <c r="GL157" s="428"/>
      <c r="GM157" s="427"/>
      <c r="GN157" s="454"/>
      <c r="GO157" s="454"/>
      <c r="GP157" s="428"/>
      <c r="GQ157" s="427"/>
      <c r="GR157" s="454"/>
      <c r="GS157" s="454"/>
      <c r="GT157" s="428"/>
      <c r="GU157" s="427"/>
      <c r="GV157" s="454"/>
      <c r="GW157" s="454"/>
      <c r="GX157" s="428"/>
      <c r="GY157" s="427"/>
      <c r="GZ157" s="454"/>
      <c r="HA157" s="454"/>
      <c r="HB157" s="428"/>
      <c r="HC157" s="434">
        <f t="shared" si="84"/>
        <v>0</v>
      </c>
      <c r="HD157" s="456"/>
      <c r="HE157" s="456"/>
      <c r="HF157" s="433"/>
      <c r="HG157" s="434">
        <f>SUM(SUMIFS(K157:HB157,$K$13:$HB$13,{"エネルギー管理指定工場等*","県域*"}))</f>
        <v>0</v>
      </c>
      <c r="HH157" s="456"/>
      <c r="HI157" s="456"/>
      <c r="HJ157" s="433"/>
    </row>
    <row r="158" spans="1:218" ht="20.100000000000001" customHeight="1">
      <c r="A158" s="164"/>
      <c r="B158" s="421" t="s">
        <v>1439</v>
      </c>
      <c r="C158" s="422"/>
      <c r="D158" s="422"/>
      <c r="E158" s="422"/>
      <c r="F158" s="422"/>
      <c r="G158" s="422"/>
      <c r="H158" s="453"/>
      <c r="I158" s="425"/>
      <c r="J158" s="426"/>
      <c r="K158" s="427"/>
      <c r="L158" s="454"/>
      <c r="M158" s="454"/>
      <c r="N158" s="428"/>
      <c r="O158" s="427"/>
      <c r="P158" s="454"/>
      <c r="Q158" s="454"/>
      <c r="R158" s="428"/>
      <c r="S158" s="427"/>
      <c r="T158" s="454"/>
      <c r="U158" s="454"/>
      <c r="V158" s="428"/>
      <c r="W158" s="427"/>
      <c r="X158" s="454"/>
      <c r="Y158" s="454"/>
      <c r="Z158" s="428"/>
      <c r="AA158" s="427"/>
      <c r="AB158" s="454"/>
      <c r="AC158" s="454"/>
      <c r="AD158" s="428"/>
      <c r="AE158" s="427"/>
      <c r="AF158" s="454"/>
      <c r="AG158" s="454"/>
      <c r="AH158" s="428"/>
      <c r="AI158" s="427"/>
      <c r="AJ158" s="454"/>
      <c r="AK158" s="454"/>
      <c r="AL158" s="428"/>
      <c r="AM158" s="427"/>
      <c r="AN158" s="454"/>
      <c r="AO158" s="454"/>
      <c r="AP158" s="428"/>
      <c r="AQ158" s="427"/>
      <c r="AR158" s="454"/>
      <c r="AS158" s="454"/>
      <c r="AT158" s="428"/>
      <c r="AU158" s="427"/>
      <c r="AV158" s="454"/>
      <c r="AW158" s="454"/>
      <c r="AX158" s="428"/>
      <c r="AY158" s="427"/>
      <c r="AZ158" s="454"/>
      <c r="BA158" s="454"/>
      <c r="BB158" s="428"/>
      <c r="BC158" s="427"/>
      <c r="BD158" s="454"/>
      <c r="BE158" s="454"/>
      <c r="BF158" s="428"/>
      <c r="BG158" s="427"/>
      <c r="BH158" s="454"/>
      <c r="BI158" s="454"/>
      <c r="BJ158" s="428"/>
      <c r="BK158" s="427"/>
      <c r="BL158" s="454"/>
      <c r="BM158" s="454"/>
      <c r="BN158" s="428"/>
      <c r="BO158" s="427"/>
      <c r="BP158" s="454"/>
      <c r="BQ158" s="454"/>
      <c r="BR158" s="428"/>
      <c r="BS158" s="427"/>
      <c r="BT158" s="454"/>
      <c r="BU158" s="454"/>
      <c r="BV158" s="428"/>
      <c r="BW158" s="427"/>
      <c r="BX158" s="454"/>
      <c r="BY158" s="454"/>
      <c r="BZ158" s="428"/>
      <c r="CA158" s="427"/>
      <c r="CB158" s="454"/>
      <c r="CC158" s="454"/>
      <c r="CD158" s="428"/>
      <c r="CE158" s="427"/>
      <c r="CF158" s="454"/>
      <c r="CG158" s="454"/>
      <c r="CH158" s="428"/>
      <c r="CI158" s="427"/>
      <c r="CJ158" s="454"/>
      <c r="CK158" s="454"/>
      <c r="CL158" s="428"/>
      <c r="CM158" s="427"/>
      <c r="CN158" s="454"/>
      <c r="CO158" s="454"/>
      <c r="CP158" s="428"/>
      <c r="CQ158" s="427"/>
      <c r="CR158" s="454"/>
      <c r="CS158" s="454"/>
      <c r="CT158" s="428"/>
      <c r="CU158" s="427"/>
      <c r="CV158" s="454"/>
      <c r="CW158" s="454"/>
      <c r="CX158" s="428"/>
      <c r="CY158" s="427"/>
      <c r="CZ158" s="454"/>
      <c r="DA158" s="454"/>
      <c r="DB158" s="428"/>
      <c r="DC158" s="427"/>
      <c r="DD158" s="454"/>
      <c r="DE158" s="454"/>
      <c r="DF158" s="428"/>
      <c r="DG158" s="427"/>
      <c r="DH158" s="454"/>
      <c r="DI158" s="454"/>
      <c r="DJ158" s="428"/>
      <c r="DK158" s="427"/>
      <c r="DL158" s="454"/>
      <c r="DM158" s="454"/>
      <c r="DN158" s="428"/>
      <c r="DO158" s="427"/>
      <c r="DP158" s="454"/>
      <c r="DQ158" s="454"/>
      <c r="DR158" s="428"/>
      <c r="DS158" s="427"/>
      <c r="DT158" s="454"/>
      <c r="DU158" s="454"/>
      <c r="DV158" s="428"/>
      <c r="DW158" s="427"/>
      <c r="DX158" s="454"/>
      <c r="DY158" s="454"/>
      <c r="DZ158" s="428"/>
      <c r="EA158" s="427"/>
      <c r="EB158" s="454"/>
      <c r="EC158" s="454"/>
      <c r="ED158" s="428"/>
      <c r="EE158" s="427"/>
      <c r="EF158" s="454"/>
      <c r="EG158" s="454"/>
      <c r="EH158" s="428"/>
      <c r="EI158" s="427"/>
      <c r="EJ158" s="454"/>
      <c r="EK158" s="454"/>
      <c r="EL158" s="428"/>
      <c r="EM158" s="427"/>
      <c r="EN158" s="454"/>
      <c r="EO158" s="454"/>
      <c r="EP158" s="428"/>
      <c r="EQ158" s="427"/>
      <c r="ER158" s="454"/>
      <c r="ES158" s="454"/>
      <c r="ET158" s="428"/>
      <c r="EU158" s="427"/>
      <c r="EV158" s="454"/>
      <c r="EW158" s="454"/>
      <c r="EX158" s="428"/>
      <c r="EY158" s="427"/>
      <c r="EZ158" s="454"/>
      <c r="FA158" s="454"/>
      <c r="FB158" s="428"/>
      <c r="FC158" s="427"/>
      <c r="FD158" s="454"/>
      <c r="FE158" s="454"/>
      <c r="FF158" s="428"/>
      <c r="FG158" s="427"/>
      <c r="FH158" s="454"/>
      <c r="FI158" s="454"/>
      <c r="FJ158" s="428"/>
      <c r="FK158" s="427"/>
      <c r="FL158" s="454"/>
      <c r="FM158" s="454"/>
      <c r="FN158" s="428"/>
      <c r="FO158" s="427"/>
      <c r="FP158" s="454"/>
      <c r="FQ158" s="454"/>
      <c r="FR158" s="428"/>
      <c r="FS158" s="427"/>
      <c r="FT158" s="454"/>
      <c r="FU158" s="454"/>
      <c r="FV158" s="428"/>
      <c r="FW158" s="427"/>
      <c r="FX158" s="454"/>
      <c r="FY158" s="454"/>
      <c r="FZ158" s="428"/>
      <c r="GA158" s="427"/>
      <c r="GB158" s="454"/>
      <c r="GC158" s="454"/>
      <c r="GD158" s="428"/>
      <c r="GE158" s="427"/>
      <c r="GF158" s="454"/>
      <c r="GG158" s="454"/>
      <c r="GH158" s="428"/>
      <c r="GI158" s="427"/>
      <c r="GJ158" s="454"/>
      <c r="GK158" s="454"/>
      <c r="GL158" s="428"/>
      <c r="GM158" s="427"/>
      <c r="GN158" s="454"/>
      <c r="GO158" s="454"/>
      <c r="GP158" s="428"/>
      <c r="GQ158" s="427"/>
      <c r="GR158" s="454"/>
      <c r="GS158" s="454"/>
      <c r="GT158" s="428"/>
      <c r="GU158" s="427"/>
      <c r="GV158" s="454"/>
      <c r="GW158" s="454"/>
      <c r="GX158" s="428"/>
      <c r="GY158" s="427"/>
      <c r="GZ158" s="454"/>
      <c r="HA158" s="454"/>
      <c r="HB158" s="428"/>
      <c r="HC158" s="434">
        <f t="shared" si="84"/>
        <v>0</v>
      </c>
      <c r="HD158" s="456"/>
      <c r="HE158" s="456"/>
      <c r="HF158" s="433"/>
      <c r="HG158" s="434">
        <f>SUM(SUMIFS(K158:HB158,$K$13:$HB$13,{"エネルギー管理指定工場等*","県域*"}))</f>
        <v>0</v>
      </c>
      <c r="HH158" s="456"/>
      <c r="HI158" s="456"/>
      <c r="HJ158" s="433"/>
    </row>
    <row r="159" spans="1:218" ht="20.100000000000001" customHeight="1">
      <c r="A159" s="164"/>
      <c r="B159" s="421" t="s">
        <v>1440</v>
      </c>
      <c r="C159" s="422"/>
      <c r="D159" s="422"/>
      <c r="E159" s="422"/>
      <c r="F159" s="422"/>
      <c r="G159" s="422"/>
      <c r="H159" s="453"/>
      <c r="I159" s="425"/>
      <c r="J159" s="426"/>
      <c r="K159" s="427"/>
      <c r="L159" s="454"/>
      <c r="M159" s="454"/>
      <c r="N159" s="428"/>
      <c r="O159" s="427"/>
      <c r="P159" s="454"/>
      <c r="Q159" s="454"/>
      <c r="R159" s="428"/>
      <c r="S159" s="427"/>
      <c r="T159" s="454"/>
      <c r="U159" s="454"/>
      <c r="V159" s="428"/>
      <c r="W159" s="427"/>
      <c r="X159" s="454"/>
      <c r="Y159" s="454"/>
      <c r="Z159" s="428"/>
      <c r="AA159" s="427"/>
      <c r="AB159" s="454"/>
      <c r="AC159" s="454"/>
      <c r="AD159" s="428"/>
      <c r="AE159" s="427"/>
      <c r="AF159" s="454"/>
      <c r="AG159" s="454"/>
      <c r="AH159" s="428"/>
      <c r="AI159" s="427"/>
      <c r="AJ159" s="454"/>
      <c r="AK159" s="454"/>
      <c r="AL159" s="428"/>
      <c r="AM159" s="427"/>
      <c r="AN159" s="454"/>
      <c r="AO159" s="454"/>
      <c r="AP159" s="428"/>
      <c r="AQ159" s="427"/>
      <c r="AR159" s="454"/>
      <c r="AS159" s="454"/>
      <c r="AT159" s="428"/>
      <c r="AU159" s="427"/>
      <c r="AV159" s="454"/>
      <c r="AW159" s="454"/>
      <c r="AX159" s="428"/>
      <c r="AY159" s="427"/>
      <c r="AZ159" s="454"/>
      <c r="BA159" s="454"/>
      <c r="BB159" s="428"/>
      <c r="BC159" s="427"/>
      <c r="BD159" s="454"/>
      <c r="BE159" s="454"/>
      <c r="BF159" s="428"/>
      <c r="BG159" s="427"/>
      <c r="BH159" s="454"/>
      <c r="BI159" s="454"/>
      <c r="BJ159" s="428"/>
      <c r="BK159" s="427"/>
      <c r="BL159" s="454"/>
      <c r="BM159" s="454"/>
      <c r="BN159" s="428"/>
      <c r="BO159" s="427"/>
      <c r="BP159" s="454"/>
      <c r="BQ159" s="454"/>
      <c r="BR159" s="428"/>
      <c r="BS159" s="427"/>
      <c r="BT159" s="454"/>
      <c r="BU159" s="454"/>
      <c r="BV159" s="428"/>
      <c r="BW159" s="427"/>
      <c r="BX159" s="454"/>
      <c r="BY159" s="454"/>
      <c r="BZ159" s="428"/>
      <c r="CA159" s="427"/>
      <c r="CB159" s="454"/>
      <c r="CC159" s="454"/>
      <c r="CD159" s="428"/>
      <c r="CE159" s="427"/>
      <c r="CF159" s="454"/>
      <c r="CG159" s="454"/>
      <c r="CH159" s="428"/>
      <c r="CI159" s="427"/>
      <c r="CJ159" s="454"/>
      <c r="CK159" s="454"/>
      <c r="CL159" s="428"/>
      <c r="CM159" s="427"/>
      <c r="CN159" s="454"/>
      <c r="CO159" s="454"/>
      <c r="CP159" s="428"/>
      <c r="CQ159" s="427"/>
      <c r="CR159" s="454"/>
      <c r="CS159" s="454"/>
      <c r="CT159" s="428"/>
      <c r="CU159" s="427"/>
      <c r="CV159" s="454"/>
      <c r="CW159" s="454"/>
      <c r="CX159" s="428"/>
      <c r="CY159" s="427"/>
      <c r="CZ159" s="454"/>
      <c r="DA159" s="454"/>
      <c r="DB159" s="428"/>
      <c r="DC159" s="427"/>
      <c r="DD159" s="454"/>
      <c r="DE159" s="454"/>
      <c r="DF159" s="428"/>
      <c r="DG159" s="427"/>
      <c r="DH159" s="454"/>
      <c r="DI159" s="454"/>
      <c r="DJ159" s="428"/>
      <c r="DK159" s="427"/>
      <c r="DL159" s="454"/>
      <c r="DM159" s="454"/>
      <c r="DN159" s="428"/>
      <c r="DO159" s="427"/>
      <c r="DP159" s="454"/>
      <c r="DQ159" s="454"/>
      <c r="DR159" s="428"/>
      <c r="DS159" s="427"/>
      <c r="DT159" s="454"/>
      <c r="DU159" s="454"/>
      <c r="DV159" s="428"/>
      <c r="DW159" s="427"/>
      <c r="DX159" s="454"/>
      <c r="DY159" s="454"/>
      <c r="DZ159" s="428"/>
      <c r="EA159" s="427"/>
      <c r="EB159" s="454"/>
      <c r="EC159" s="454"/>
      <c r="ED159" s="428"/>
      <c r="EE159" s="427"/>
      <c r="EF159" s="454"/>
      <c r="EG159" s="454"/>
      <c r="EH159" s="428"/>
      <c r="EI159" s="427"/>
      <c r="EJ159" s="454"/>
      <c r="EK159" s="454"/>
      <c r="EL159" s="428"/>
      <c r="EM159" s="427"/>
      <c r="EN159" s="454"/>
      <c r="EO159" s="454"/>
      <c r="EP159" s="428"/>
      <c r="EQ159" s="427"/>
      <c r="ER159" s="454"/>
      <c r="ES159" s="454"/>
      <c r="ET159" s="428"/>
      <c r="EU159" s="427"/>
      <c r="EV159" s="454"/>
      <c r="EW159" s="454"/>
      <c r="EX159" s="428"/>
      <c r="EY159" s="427"/>
      <c r="EZ159" s="454"/>
      <c r="FA159" s="454"/>
      <c r="FB159" s="428"/>
      <c r="FC159" s="427"/>
      <c r="FD159" s="454"/>
      <c r="FE159" s="454"/>
      <c r="FF159" s="428"/>
      <c r="FG159" s="427"/>
      <c r="FH159" s="454"/>
      <c r="FI159" s="454"/>
      <c r="FJ159" s="428"/>
      <c r="FK159" s="427"/>
      <c r="FL159" s="454"/>
      <c r="FM159" s="454"/>
      <c r="FN159" s="428"/>
      <c r="FO159" s="427"/>
      <c r="FP159" s="454"/>
      <c r="FQ159" s="454"/>
      <c r="FR159" s="428"/>
      <c r="FS159" s="427"/>
      <c r="FT159" s="454"/>
      <c r="FU159" s="454"/>
      <c r="FV159" s="428"/>
      <c r="FW159" s="427"/>
      <c r="FX159" s="454"/>
      <c r="FY159" s="454"/>
      <c r="FZ159" s="428"/>
      <c r="GA159" s="427"/>
      <c r="GB159" s="454"/>
      <c r="GC159" s="454"/>
      <c r="GD159" s="428"/>
      <c r="GE159" s="427"/>
      <c r="GF159" s="454"/>
      <c r="GG159" s="454"/>
      <c r="GH159" s="428"/>
      <c r="GI159" s="427"/>
      <c r="GJ159" s="454"/>
      <c r="GK159" s="454"/>
      <c r="GL159" s="428"/>
      <c r="GM159" s="427"/>
      <c r="GN159" s="454"/>
      <c r="GO159" s="454"/>
      <c r="GP159" s="428"/>
      <c r="GQ159" s="427"/>
      <c r="GR159" s="454"/>
      <c r="GS159" s="454"/>
      <c r="GT159" s="428"/>
      <c r="GU159" s="427"/>
      <c r="GV159" s="454"/>
      <c r="GW159" s="454"/>
      <c r="GX159" s="428"/>
      <c r="GY159" s="427"/>
      <c r="GZ159" s="454"/>
      <c r="HA159" s="454"/>
      <c r="HB159" s="428"/>
      <c r="HC159" s="434">
        <f t="shared" si="84"/>
        <v>0</v>
      </c>
      <c r="HD159" s="456"/>
      <c r="HE159" s="456"/>
      <c r="HF159" s="433"/>
      <c r="HG159" s="434">
        <f>SUM(SUMIFS(K159:HB159,$K$13:$HB$13,{"エネルギー管理指定工場等*","県域*"}))</f>
        <v>0</v>
      </c>
      <c r="HH159" s="456"/>
      <c r="HI159" s="456"/>
      <c r="HJ159" s="433"/>
    </row>
    <row r="160" spans="1:218" ht="20.100000000000001" customHeight="1" thickBot="1">
      <c r="A160" s="164"/>
      <c r="B160" s="483" t="s">
        <v>1441</v>
      </c>
      <c r="C160" s="458"/>
      <c r="D160" s="458"/>
      <c r="E160" s="458"/>
      <c r="F160" s="458"/>
      <c r="G160" s="458"/>
      <c r="H160" s="459"/>
      <c r="I160" s="484"/>
      <c r="J160" s="485"/>
      <c r="K160" s="486"/>
      <c r="L160" s="487"/>
      <c r="M160" s="487"/>
      <c r="N160" s="488"/>
      <c r="O160" s="486"/>
      <c r="P160" s="487"/>
      <c r="Q160" s="487"/>
      <c r="R160" s="488"/>
      <c r="S160" s="486"/>
      <c r="T160" s="487"/>
      <c r="U160" s="487"/>
      <c r="V160" s="488"/>
      <c r="W160" s="486"/>
      <c r="X160" s="487"/>
      <c r="Y160" s="487"/>
      <c r="Z160" s="488"/>
      <c r="AA160" s="486"/>
      <c r="AB160" s="487"/>
      <c r="AC160" s="487"/>
      <c r="AD160" s="488"/>
      <c r="AE160" s="460"/>
      <c r="AF160" s="461"/>
      <c r="AG160" s="487"/>
      <c r="AH160" s="488"/>
      <c r="AI160" s="486"/>
      <c r="AJ160" s="487"/>
      <c r="AK160" s="487"/>
      <c r="AL160" s="488"/>
      <c r="AM160" s="486"/>
      <c r="AN160" s="487"/>
      <c r="AO160" s="487"/>
      <c r="AP160" s="488"/>
      <c r="AQ160" s="486"/>
      <c r="AR160" s="487"/>
      <c r="AS160" s="487"/>
      <c r="AT160" s="488"/>
      <c r="AU160" s="486"/>
      <c r="AV160" s="487"/>
      <c r="AW160" s="487"/>
      <c r="AX160" s="488"/>
      <c r="AY160" s="486"/>
      <c r="AZ160" s="487"/>
      <c r="BA160" s="487"/>
      <c r="BB160" s="488"/>
      <c r="BC160" s="486"/>
      <c r="BD160" s="487"/>
      <c r="BE160" s="487"/>
      <c r="BF160" s="488"/>
      <c r="BG160" s="486"/>
      <c r="BH160" s="487"/>
      <c r="BI160" s="487"/>
      <c r="BJ160" s="488"/>
      <c r="BK160" s="486"/>
      <c r="BL160" s="487"/>
      <c r="BM160" s="487"/>
      <c r="BN160" s="488"/>
      <c r="BO160" s="486"/>
      <c r="BP160" s="487"/>
      <c r="BQ160" s="487"/>
      <c r="BR160" s="488"/>
      <c r="BS160" s="486"/>
      <c r="BT160" s="487"/>
      <c r="BU160" s="487"/>
      <c r="BV160" s="488"/>
      <c r="BW160" s="486"/>
      <c r="BX160" s="487"/>
      <c r="BY160" s="487"/>
      <c r="BZ160" s="488"/>
      <c r="CA160" s="486"/>
      <c r="CB160" s="487"/>
      <c r="CC160" s="487"/>
      <c r="CD160" s="488"/>
      <c r="CE160" s="486"/>
      <c r="CF160" s="487"/>
      <c r="CG160" s="487"/>
      <c r="CH160" s="488"/>
      <c r="CI160" s="486"/>
      <c r="CJ160" s="487"/>
      <c r="CK160" s="487"/>
      <c r="CL160" s="488"/>
      <c r="CM160" s="486"/>
      <c r="CN160" s="487"/>
      <c r="CO160" s="487"/>
      <c r="CP160" s="488"/>
      <c r="CQ160" s="486"/>
      <c r="CR160" s="487"/>
      <c r="CS160" s="487"/>
      <c r="CT160" s="488"/>
      <c r="CU160" s="486"/>
      <c r="CV160" s="487"/>
      <c r="CW160" s="487"/>
      <c r="CX160" s="488"/>
      <c r="CY160" s="486"/>
      <c r="CZ160" s="487"/>
      <c r="DA160" s="487"/>
      <c r="DB160" s="488"/>
      <c r="DC160" s="486"/>
      <c r="DD160" s="487"/>
      <c r="DE160" s="487"/>
      <c r="DF160" s="488"/>
      <c r="DG160" s="486"/>
      <c r="DH160" s="487"/>
      <c r="DI160" s="487"/>
      <c r="DJ160" s="488"/>
      <c r="DK160" s="486"/>
      <c r="DL160" s="487"/>
      <c r="DM160" s="487"/>
      <c r="DN160" s="488"/>
      <c r="DO160" s="486"/>
      <c r="DP160" s="487"/>
      <c r="DQ160" s="487"/>
      <c r="DR160" s="488"/>
      <c r="DS160" s="486"/>
      <c r="DT160" s="487"/>
      <c r="DU160" s="487"/>
      <c r="DV160" s="488"/>
      <c r="DW160" s="486"/>
      <c r="DX160" s="487"/>
      <c r="DY160" s="487"/>
      <c r="DZ160" s="488"/>
      <c r="EA160" s="486"/>
      <c r="EB160" s="487"/>
      <c r="EC160" s="487"/>
      <c r="ED160" s="488"/>
      <c r="EE160" s="486"/>
      <c r="EF160" s="487"/>
      <c r="EG160" s="487"/>
      <c r="EH160" s="488"/>
      <c r="EI160" s="486"/>
      <c r="EJ160" s="487"/>
      <c r="EK160" s="487"/>
      <c r="EL160" s="488"/>
      <c r="EM160" s="486"/>
      <c r="EN160" s="487"/>
      <c r="EO160" s="487"/>
      <c r="EP160" s="488"/>
      <c r="EQ160" s="486"/>
      <c r="ER160" s="487"/>
      <c r="ES160" s="487"/>
      <c r="ET160" s="488"/>
      <c r="EU160" s="486"/>
      <c r="EV160" s="487"/>
      <c r="EW160" s="487"/>
      <c r="EX160" s="488"/>
      <c r="EY160" s="486"/>
      <c r="EZ160" s="487"/>
      <c r="FA160" s="487"/>
      <c r="FB160" s="488"/>
      <c r="FC160" s="486"/>
      <c r="FD160" s="487"/>
      <c r="FE160" s="487"/>
      <c r="FF160" s="488"/>
      <c r="FG160" s="486"/>
      <c r="FH160" s="487"/>
      <c r="FI160" s="487"/>
      <c r="FJ160" s="488"/>
      <c r="FK160" s="486"/>
      <c r="FL160" s="487"/>
      <c r="FM160" s="487"/>
      <c r="FN160" s="488"/>
      <c r="FO160" s="486"/>
      <c r="FP160" s="487"/>
      <c r="FQ160" s="487"/>
      <c r="FR160" s="488"/>
      <c r="FS160" s="486"/>
      <c r="FT160" s="487"/>
      <c r="FU160" s="487"/>
      <c r="FV160" s="488"/>
      <c r="FW160" s="486"/>
      <c r="FX160" s="487"/>
      <c r="FY160" s="487"/>
      <c r="FZ160" s="488"/>
      <c r="GA160" s="486"/>
      <c r="GB160" s="487"/>
      <c r="GC160" s="487"/>
      <c r="GD160" s="488"/>
      <c r="GE160" s="486"/>
      <c r="GF160" s="487"/>
      <c r="GG160" s="487"/>
      <c r="GH160" s="488"/>
      <c r="GI160" s="486"/>
      <c r="GJ160" s="487"/>
      <c r="GK160" s="487"/>
      <c r="GL160" s="488"/>
      <c r="GM160" s="486"/>
      <c r="GN160" s="487"/>
      <c r="GO160" s="487"/>
      <c r="GP160" s="488"/>
      <c r="GQ160" s="486"/>
      <c r="GR160" s="487"/>
      <c r="GS160" s="487"/>
      <c r="GT160" s="488"/>
      <c r="GU160" s="486"/>
      <c r="GV160" s="487"/>
      <c r="GW160" s="487"/>
      <c r="GX160" s="488"/>
      <c r="GY160" s="486"/>
      <c r="GZ160" s="487"/>
      <c r="HA160" s="487"/>
      <c r="HB160" s="488"/>
      <c r="HC160" s="489">
        <f t="shared" si="84"/>
        <v>0</v>
      </c>
      <c r="HD160" s="490"/>
      <c r="HE160" s="490"/>
      <c r="HF160" s="491"/>
      <c r="HG160" s="489">
        <f>SUM(SUMIFS(K160:HB160,$K$13:$HB$13,{"エネルギー管理指定工場等*","県域*"}))</f>
        <v>0</v>
      </c>
      <c r="HH160" s="490"/>
      <c r="HI160" s="490"/>
      <c r="HJ160" s="491"/>
    </row>
    <row r="161" spans="1:210" ht="20.100000000000001" customHeight="1">
      <c r="A161" s="164"/>
      <c r="B161" s="492" t="s">
        <v>1442</v>
      </c>
      <c r="C161" s="374" t="s">
        <v>1443</v>
      </c>
      <c r="D161" s="376"/>
      <c r="E161" s="376"/>
      <c r="F161" s="493"/>
      <c r="G161" s="492" t="s">
        <v>631</v>
      </c>
      <c r="H161" s="493"/>
      <c r="I161" s="293" t="s">
        <v>632</v>
      </c>
      <c r="J161" s="399" t="s">
        <v>633</v>
      </c>
      <c r="K161" s="494" t="s">
        <v>1444</v>
      </c>
      <c r="L161" s="254" t="s">
        <v>1445</v>
      </c>
      <c r="M161" s="254" t="s">
        <v>1446</v>
      </c>
      <c r="N161" s="254" t="s">
        <v>1447</v>
      </c>
      <c r="O161" s="492"/>
      <c r="P161" s="376"/>
      <c r="Q161" s="200"/>
      <c r="R161" s="251"/>
      <c r="S161" s="251"/>
      <c r="T161" s="251"/>
      <c r="U161" s="200"/>
      <c r="V161" s="251"/>
      <c r="W161" s="251"/>
      <c r="X161" s="251"/>
      <c r="Y161" s="200"/>
      <c r="Z161" s="251"/>
      <c r="AA161" s="251"/>
      <c r="AB161" s="251"/>
      <c r="AC161" s="200"/>
      <c r="AD161" s="251"/>
      <c r="AE161" s="376"/>
      <c r="AF161" s="376"/>
      <c r="AG161" s="251"/>
      <c r="AH161" s="251"/>
      <c r="AI161" s="251"/>
      <c r="AJ161" s="251"/>
      <c r="AK161" s="251"/>
      <c r="AL161" s="251"/>
      <c r="AM161" s="251"/>
      <c r="AN161" s="251"/>
      <c r="AO161" s="495"/>
      <c r="AP161" s="495"/>
      <c r="AQ161" s="249"/>
      <c r="AR161" s="249"/>
      <c r="AS161" s="249"/>
      <c r="AT161" s="249"/>
      <c r="AU161" s="249"/>
      <c r="AV161" s="249"/>
      <c r="AW161" s="251"/>
      <c r="AX161" s="251"/>
      <c r="AY161" s="251"/>
      <c r="AZ161" s="251"/>
      <c r="BA161" s="251"/>
      <c r="BB161" s="251"/>
      <c r="BC161" s="251"/>
      <c r="BD161" s="251"/>
      <c r="BE161" s="251"/>
      <c r="BF161" s="251"/>
      <c r="BG161" s="251"/>
      <c r="BH161" s="251"/>
      <c r="BI161" s="251"/>
      <c r="BJ161" s="251"/>
      <c r="BK161" s="251"/>
      <c r="BL161" s="251"/>
      <c r="BM161" s="251"/>
      <c r="BN161" s="251"/>
      <c r="BO161" s="251"/>
      <c r="BP161" s="251"/>
      <c r="BQ161" s="249"/>
      <c r="BR161" s="249"/>
      <c r="BS161" s="249"/>
      <c r="BT161" s="249"/>
      <c r="BU161" s="249"/>
      <c r="BV161" s="249"/>
      <c r="BW161" s="496"/>
      <c r="BX161" s="496"/>
      <c r="BY161" s="496"/>
      <c r="BZ161" s="496"/>
      <c r="CA161" s="496"/>
      <c r="CB161" s="496"/>
      <c r="CC161" s="496"/>
      <c r="CD161" s="496"/>
      <c r="CE161" s="496"/>
      <c r="CF161" s="496"/>
      <c r="CG161" s="496"/>
      <c r="CH161" s="496"/>
      <c r="CI161" s="496"/>
      <c r="CJ161" s="496"/>
      <c r="CK161" s="496"/>
      <c r="CL161" s="496"/>
      <c r="CM161" s="496"/>
      <c r="CN161" s="496"/>
      <c r="CO161" s="496"/>
      <c r="CP161" s="496"/>
      <c r="CQ161" s="496"/>
      <c r="CR161" s="496"/>
      <c r="CS161" s="496"/>
      <c r="CT161" s="496"/>
      <c r="CU161" s="496"/>
      <c r="CV161" s="496"/>
      <c r="CW161" s="496"/>
      <c r="CX161" s="496"/>
      <c r="CY161" s="496"/>
      <c r="CZ161" s="496"/>
      <c r="DA161" s="496"/>
      <c r="DB161" s="496"/>
      <c r="DC161" s="496"/>
      <c r="DD161" s="496"/>
      <c r="DE161" s="496"/>
      <c r="DF161" s="496"/>
      <c r="DG161" s="496"/>
      <c r="DH161" s="496"/>
      <c r="DI161" s="496"/>
      <c r="DJ161" s="496"/>
      <c r="DK161" s="496"/>
      <c r="DL161" s="496"/>
      <c r="DM161" s="496"/>
      <c r="DN161" s="496"/>
      <c r="DO161" s="496"/>
      <c r="DP161" s="496"/>
      <c r="DQ161" s="496"/>
      <c r="DR161" s="496"/>
      <c r="DS161" s="496"/>
      <c r="DT161" s="496"/>
      <c r="DU161" s="496"/>
      <c r="DV161" s="496"/>
      <c r="DW161" s="496"/>
      <c r="DX161" s="496"/>
      <c r="DY161" s="496"/>
      <c r="DZ161" s="496"/>
      <c r="EA161" s="496"/>
      <c r="EB161" s="496"/>
      <c r="EC161" s="496"/>
      <c r="ED161" s="496"/>
      <c r="EE161" s="496"/>
      <c r="EF161" s="496"/>
      <c r="EG161" s="496"/>
      <c r="EH161" s="496"/>
      <c r="EI161" s="496"/>
      <c r="EJ161" s="496"/>
      <c r="EK161" s="496"/>
      <c r="EL161" s="496"/>
      <c r="EM161" s="496"/>
      <c r="EN161" s="496"/>
      <c r="EO161" s="496"/>
      <c r="EP161" s="496"/>
      <c r="EQ161" s="496"/>
      <c r="ER161" s="496"/>
      <c r="ES161" s="496"/>
      <c r="ET161" s="496"/>
      <c r="EU161" s="496"/>
      <c r="EV161" s="496"/>
      <c r="EW161" s="496"/>
      <c r="EX161" s="496"/>
      <c r="EY161" s="496"/>
      <c r="EZ161" s="496"/>
      <c r="FA161" s="496"/>
      <c r="FB161" s="496"/>
      <c r="FC161" s="496"/>
      <c r="FD161" s="496"/>
      <c r="FE161" s="496"/>
      <c r="FF161" s="496"/>
      <c r="FG161" s="496"/>
      <c r="FH161" s="496"/>
      <c r="FI161" s="496"/>
      <c r="FJ161" s="496"/>
      <c r="FK161" s="496"/>
      <c r="FL161" s="496"/>
      <c r="FM161" s="496"/>
      <c r="FN161" s="496"/>
      <c r="FO161" s="496"/>
      <c r="FP161" s="496"/>
      <c r="FQ161" s="496"/>
      <c r="FR161" s="496"/>
      <c r="FS161" s="496"/>
      <c r="FT161" s="496"/>
      <c r="FU161" s="496"/>
      <c r="FV161" s="496"/>
      <c r="FW161" s="496"/>
      <c r="FX161" s="496"/>
      <c r="FY161" s="496"/>
      <c r="FZ161" s="496"/>
      <c r="GA161" s="496"/>
      <c r="GB161" s="496"/>
      <c r="GC161" s="496"/>
      <c r="GD161" s="496"/>
      <c r="GE161" s="496"/>
      <c r="GF161" s="496"/>
      <c r="GG161" s="496"/>
      <c r="GH161" s="496"/>
      <c r="GI161" s="496"/>
      <c r="GJ161" s="496"/>
      <c r="GK161" s="496"/>
      <c r="GL161" s="496"/>
      <c r="GM161" s="496"/>
      <c r="GN161" s="496"/>
      <c r="GO161" s="496"/>
      <c r="GP161" s="496"/>
      <c r="GQ161" s="496"/>
      <c r="GR161" s="496"/>
      <c r="GS161" s="496"/>
      <c r="GT161" s="496"/>
      <c r="GU161" s="496"/>
      <c r="GV161" s="496"/>
      <c r="GW161" s="496"/>
      <c r="GX161" s="496"/>
      <c r="GY161" s="496"/>
      <c r="GZ161" s="496"/>
      <c r="HA161" s="496"/>
      <c r="HB161" s="496"/>
    </row>
    <row r="162" spans="1:210" ht="20.100000000000001" customHeight="1">
      <c r="A162" s="164"/>
      <c r="B162" s="250"/>
      <c r="C162" s="497" t="s">
        <v>1448</v>
      </c>
      <c r="D162" s="498" t="s">
        <v>634</v>
      </c>
      <c r="E162" s="499"/>
      <c r="F162" s="500"/>
      <c r="G162" s="501" t="s">
        <v>433</v>
      </c>
      <c r="H162" s="383"/>
      <c r="I162" s="310"/>
      <c r="J162" s="311"/>
      <c r="K162" s="315"/>
      <c r="L162" s="310"/>
      <c r="M162" s="310"/>
      <c r="N162" s="310"/>
      <c r="O162" s="250"/>
      <c r="P162" s="251"/>
      <c r="Q162" s="200"/>
      <c r="R162" s="251"/>
      <c r="S162" s="251"/>
      <c r="T162" s="251"/>
      <c r="U162" s="200"/>
      <c r="V162" s="251"/>
      <c r="W162" s="251"/>
      <c r="X162" s="251"/>
      <c r="Y162" s="200"/>
      <c r="Z162" s="251"/>
      <c r="AA162" s="251"/>
      <c r="AB162" s="251"/>
      <c r="AC162" s="200"/>
      <c r="AD162" s="251"/>
      <c r="AE162" s="251"/>
      <c r="AF162" s="251"/>
      <c r="AG162" s="251"/>
      <c r="AH162" s="251"/>
      <c r="AI162" s="251"/>
      <c r="AJ162" s="251"/>
      <c r="AK162" s="251"/>
      <c r="AL162" s="251"/>
      <c r="AM162" s="251"/>
      <c r="AN162" s="251"/>
      <c r="AO162" s="495"/>
      <c r="AP162" s="495"/>
      <c r="AQ162" s="249"/>
      <c r="AR162" s="249"/>
      <c r="AS162" s="249"/>
      <c r="AT162" s="249"/>
      <c r="AU162" s="249"/>
      <c r="AV162" s="249"/>
      <c r="AW162" s="251"/>
      <c r="AX162" s="251"/>
      <c r="AY162" s="251"/>
      <c r="AZ162" s="251"/>
      <c r="BA162" s="251"/>
      <c r="BB162" s="251"/>
      <c r="BC162" s="251"/>
      <c r="BD162" s="251"/>
      <c r="BE162" s="251"/>
      <c r="BF162" s="251"/>
      <c r="BG162" s="251"/>
      <c r="BH162" s="251"/>
      <c r="BI162" s="251"/>
      <c r="BJ162" s="251"/>
      <c r="BK162" s="251"/>
      <c r="BL162" s="251"/>
      <c r="BM162" s="251"/>
      <c r="BN162" s="251"/>
      <c r="BO162" s="251"/>
      <c r="BP162" s="251"/>
      <c r="BQ162" s="249"/>
      <c r="BR162" s="249"/>
      <c r="BS162" s="249"/>
      <c r="BT162" s="249"/>
      <c r="BU162" s="249"/>
      <c r="BV162" s="249"/>
      <c r="BW162" s="496"/>
      <c r="BX162" s="496"/>
      <c r="BY162" s="496"/>
      <c r="BZ162" s="496"/>
      <c r="CA162" s="496"/>
      <c r="CB162" s="496"/>
      <c r="CC162" s="496"/>
      <c r="CD162" s="496"/>
      <c r="CE162" s="496"/>
      <c r="CF162" s="496"/>
      <c r="CG162" s="496"/>
      <c r="CH162" s="496"/>
      <c r="CI162" s="496"/>
      <c r="CJ162" s="496"/>
      <c r="CK162" s="496"/>
      <c r="CL162" s="496"/>
      <c r="CM162" s="496"/>
      <c r="CN162" s="496"/>
      <c r="CO162" s="496"/>
      <c r="CP162" s="496"/>
      <c r="CQ162" s="496"/>
      <c r="CR162" s="496"/>
      <c r="CS162" s="496"/>
      <c r="CT162" s="496"/>
      <c r="CU162" s="496"/>
      <c r="CV162" s="496"/>
      <c r="CW162" s="496"/>
      <c r="CX162" s="496"/>
      <c r="CY162" s="496"/>
      <c r="CZ162" s="496"/>
      <c r="DA162" s="496"/>
      <c r="DB162" s="496"/>
      <c r="DC162" s="496"/>
      <c r="DD162" s="496"/>
      <c r="DE162" s="496"/>
      <c r="DF162" s="496"/>
      <c r="DG162" s="496"/>
      <c r="DH162" s="496"/>
      <c r="DI162" s="496"/>
      <c r="DJ162" s="496"/>
      <c r="DK162" s="496"/>
      <c r="DL162" s="496"/>
      <c r="DM162" s="496"/>
      <c r="DN162" s="496"/>
      <c r="DO162" s="496"/>
      <c r="DP162" s="496"/>
      <c r="DQ162" s="496"/>
      <c r="DR162" s="496"/>
      <c r="DS162" s="496"/>
      <c r="DT162" s="496"/>
      <c r="DU162" s="496"/>
      <c r="DV162" s="496"/>
      <c r="DW162" s="496"/>
      <c r="DX162" s="496"/>
      <c r="DY162" s="496"/>
      <c r="DZ162" s="496"/>
      <c r="EA162" s="496"/>
      <c r="EB162" s="496"/>
      <c r="EC162" s="496"/>
      <c r="ED162" s="496"/>
      <c r="EE162" s="496"/>
      <c r="EF162" s="496"/>
      <c r="EG162" s="496"/>
      <c r="EH162" s="496"/>
      <c r="EI162" s="496"/>
      <c r="EJ162" s="496"/>
      <c r="EK162" s="496"/>
      <c r="EL162" s="496"/>
      <c r="EM162" s="496"/>
      <c r="EN162" s="496"/>
      <c r="EO162" s="496"/>
      <c r="EP162" s="496"/>
      <c r="EQ162" s="496"/>
      <c r="ER162" s="496"/>
      <c r="ES162" s="496"/>
      <c r="ET162" s="496"/>
      <c r="EU162" s="496"/>
      <c r="EV162" s="496"/>
      <c r="EW162" s="496"/>
      <c r="EX162" s="496"/>
      <c r="EY162" s="496"/>
      <c r="EZ162" s="496"/>
      <c r="FA162" s="496"/>
      <c r="FB162" s="496"/>
      <c r="FC162" s="496"/>
      <c r="FD162" s="496"/>
      <c r="FE162" s="496"/>
      <c r="FF162" s="496"/>
      <c r="FG162" s="496"/>
      <c r="FH162" s="496"/>
      <c r="FI162" s="496"/>
      <c r="FJ162" s="496"/>
      <c r="FK162" s="496"/>
      <c r="FL162" s="496"/>
      <c r="FM162" s="496"/>
      <c r="FN162" s="496"/>
      <c r="FO162" s="496"/>
      <c r="FP162" s="496"/>
      <c r="FQ162" s="496"/>
      <c r="FR162" s="496"/>
      <c r="FS162" s="496"/>
      <c r="FT162" s="496"/>
      <c r="FU162" s="496"/>
      <c r="FV162" s="496"/>
      <c r="FW162" s="496"/>
      <c r="FX162" s="496"/>
      <c r="FY162" s="496"/>
      <c r="FZ162" s="496"/>
      <c r="GA162" s="496"/>
      <c r="GB162" s="496"/>
      <c r="GC162" s="496"/>
      <c r="GD162" s="496"/>
      <c r="GE162" s="496"/>
      <c r="GF162" s="496"/>
      <c r="GG162" s="496"/>
      <c r="GH162" s="496"/>
      <c r="GI162" s="496"/>
      <c r="GJ162" s="496"/>
      <c r="GK162" s="496"/>
      <c r="GL162" s="496"/>
      <c r="GM162" s="496"/>
      <c r="GN162" s="496"/>
      <c r="GO162" s="496"/>
      <c r="GP162" s="496"/>
      <c r="GQ162" s="496"/>
      <c r="GR162" s="496"/>
      <c r="GS162" s="496"/>
      <c r="GT162" s="496"/>
      <c r="GU162" s="496"/>
      <c r="GV162" s="496"/>
      <c r="GW162" s="496"/>
      <c r="GX162" s="496"/>
      <c r="GY162" s="496"/>
      <c r="GZ162" s="496"/>
      <c r="HA162" s="496"/>
      <c r="HB162" s="496"/>
    </row>
    <row r="163" spans="1:210" ht="20.100000000000001" customHeight="1">
      <c r="A163" s="164"/>
      <c r="B163" s="250"/>
      <c r="C163" s="502"/>
      <c r="D163" s="503" t="s">
        <v>635</v>
      </c>
      <c r="E163" s="498"/>
      <c r="F163" s="500"/>
      <c r="G163" s="501" t="s">
        <v>433</v>
      </c>
      <c r="H163" s="383"/>
      <c r="I163" s="310"/>
      <c r="J163" s="311"/>
      <c r="K163" s="315"/>
      <c r="L163" s="310"/>
      <c r="M163" s="310"/>
      <c r="N163" s="310"/>
      <c r="O163" s="250"/>
      <c r="P163" s="251"/>
      <c r="Q163" s="200"/>
      <c r="R163" s="251"/>
      <c r="S163" s="251"/>
      <c r="T163" s="251"/>
      <c r="U163" s="200"/>
      <c r="V163" s="251"/>
      <c r="W163" s="251"/>
      <c r="X163" s="251"/>
      <c r="Y163" s="200"/>
      <c r="Z163" s="251"/>
      <c r="AA163" s="251"/>
      <c r="AB163" s="251"/>
      <c r="AC163" s="200"/>
      <c r="AD163" s="251"/>
      <c r="AE163" s="251"/>
      <c r="AF163" s="251"/>
      <c r="AG163" s="251"/>
      <c r="AH163" s="251"/>
      <c r="AI163" s="251"/>
      <c r="AJ163" s="251"/>
      <c r="AK163" s="251"/>
      <c r="AL163" s="251"/>
      <c r="AM163" s="251"/>
      <c r="AN163" s="251"/>
      <c r="AO163" s="495"/>
      <c r="AP163" s="495"/>
      <c r="AQ163" s="249"/>
      <c r="AR163" s="249"/>
      <c r="AS163" s="249"/>
      <c r="AT163" s="249"/>
      <c r="AU163" s="249"/>
      <c r="AV163" s="249"/>
      <c r="AW163" s="251"/>
      <c r="AX163" s="251"/>
      <c r="AY163" s="251"/>
      <c r="AZ163" s="251"/>
      <c r="BA163" s="251"/>
      <c r="BB163" s="251"/>
      <c r="BC163" s="251"/>
      <c r="BD163" s="251"/>
      <c r="BE163" s="251"/>
      <c r="BF163" s="251"/>
      <c r="BG163" s="251"/>
      <c r="BH163" s="251"/>
      <c r="BI163" s="251"/>
      <c r="BJ163" s="251"/>
      <c r="BK163" s="251"/>
      <c r="BL163" s="251"/>
      <c r="BM163" s="251"/>
      <c r="BN163" s="251"/>
      <c r="BO163" s="251"/>
      <c r="BP163" s="251"/>
      <c r="BQ163" s="249"/>
      <c r="BR163" s="249"/>
      <c r="BS163" s="249"/>
      <c r="BT163" s="249"/>
      <c r="BU163" s="249"/>
      <c r="BV163" s="249"/>
      <c r="BW163" s="496"/>
      <c r="BX163" s="496"/>
      <c r="BY163" s="496"/>
      <c r="BZ163" s="496"/>
      <c r="CA163" s="496"/>
      <c r="CB163" s="496"/>
      <c r="CC163" s="496"/>
      <c r="CD163" s="496"/>
      <c r="CE163" s="496"/>
      <c r="CF163" s="496"/>
      <c r="CG163" s="496"/>
      <c r="CH163" s="496"/>
      <c r="CI163" s="496"/>
      <c r="CJ163" s="496"/>
      <c r="CK163" s="496"/>
      <c r="CL163" s="496"/>
      <c r="CM163" s="496"/>
      <c r="CN163" s="496"/>
      <c r="CO163" s="496"/>
      <c r="CP163" s="496"/>
      <c r="CQ163" s="496"/>
      <c r="CR163" s="496"/>
      <c r="CS163" s="496"/>
      <c r="CT163" s="496"/>
      <c r="CU163" s="496"/>
      <c r="CV163" s="496"/>
      <c r="CW163" s="496"/>
      <c r="CX163" s="496"/>
      <c r="CY163" s="496"/>
      <c r="CZ163" s="496"/>
      <c r="DA163" s="496"/>
      <c r="DB163" s="496"/>
      <c r="DC163" s="496"/>
      <c r="DD163" s="496"/>
      <c r="DE163" s="496"/>
      <c r="DF163" s="496"/>
      <c r="DG163" s="496"/>
      <c r="DH163" s="496"/>
      <c r="DI163" s="496"/>
      <c r="DJ163" s="496"/>
      <c r="DK163" s="496"/>
      <c r="DL163" s="496"/>
      <c r="DM163" s="496"/>
      <c r="DN163" s="496"/>
      <c r="DO163" s="496"/>
      <c r="DP163" s="496"/>
      <c r="DQ163" s="496"/>
      <c r="DR163" s="496"/>
      <c r="DS163" s="496"/>
      <c r="DT163" s="496"/>
      <c r="DU163" s="496"/>
      <c r="DV163" s="496"/>
      <c r="DW163" s="496"/>
      <c r="DX163" s="496"/>
      <c r="DY163" s="496"/>
      <c r="DZ163" s="496"/>
      <c r="EA163" s="496"/>
      <c r="EB163" s="496"/>
      <c r="EC163" s="496"/>
      <c r="ED163" s="496"/>
      <c r="EE163" s="496"/>
      <c r="EF163" s="496"/>
      <c r="EG163" s="496"/>
      <c r="EH163" s="496"/>
      <c r="EI163" s="496"/>
      <c r="EJ163" s="496"/>
      <c r="EK163" s="496"/>
      <c r="EL163" s="496"/>
      <c r="EM163" s="496"/>
      <c r="EN163" s="496"/>
      <c r="EO163" s="496"/>
      <c r="EP163" s="496"/>
      <c r="EQ163" s="496"/>
      <c r="ER163" s="496"/>
      <c r="ES163" s="496"/>
      <c r="ET163" s="496"/>
      <c r="EU163" s="496"/>
      <c r="EV163" s="496"/>
      <c r="EW163" s="496"/>
      <c r="EX163" s="496"/>
      <c r="EY163" s="496"/>
      <c r="EZ163" s="496"/>
      <c r="FA163" s="496"/>
      <c r="FB163" s="496"/>
      <c r="FC163" s="496"/>
      <c r="FD163" s="496"/>
      <c r="FE163" s="496"/>
      <c r="FF163" s="496"/>
      <c r="FG163" s="496"/>
      <c r="FH163" s="496"/>
      <c r="FI163" s="496"/>
      <c r="FJ163" s="496"/>
      <c r="FK163" s="496"/>
      <c r="FL163" s="496"/>
      <c r="FM163" s="496"/>
      <c r="FN163" s="496"/>
      <c r="FO163" s="496"/>
      <c r="FP163" s="496"/>
      <c r="FQ163" s="496"/>
      <c r="FR163" s="496"/>
      <c r="FS163" s="496"/>
      <c r="FT163" s="496"/>
      <c r="FU163" s="496"/>
      <c r="FV163" s="496"/>
      <c r="FW163" s="496"/>
      <c r="FX163" s="496"/>
      <c r="FY163" s="496"/>
      <c r="FZ163" s="496"/>
      <c r="GA163" s="496"/>
      <c r="GB163" s="496"/>
      <c r="GC163" s="496"/>
      <c r="GD163" s="496"/>
      <c r="GE163" s="496"/>
      <c r="GF163" s="496"/>
      <c r="GG163" s="496"/>
      <c r="GH163" s="496"/>
      <c r="GI163" s="496"/>
      <c r="GJ163" s="496"/>
      <c r="GK163" s="496"/>
      <c r="GL163" s="496"/>
      <c r="GM163" s="496"/>
      <c r="GN163" s="496"/>
      <c r="GO163" s="496"/>
      <c r="GP163" s="496"/>
      <c r="GQ163" s="496"/>
      <c r="GR163" s="496"/>
      <c r="GS163" s="496"/>
      <c r="GT163" s="496"/>
      <c r="GU163" s="496"/>
      <c r="GV163" s="496"/>
      <c r="GW163" s="496"/>
      <c r="GX163" s="496"/>
      <c r="GY163" s="496"/>
      <c r="GZ163" s="496"/>
      <c r="HA163" s="496"/>
      <c r="HB163" s="496"/>
    </row>
    <row r="164" spans="1:210" ht="20.100000000000001" customHeight="1">
      <c r="A164" s="164"/>
      <c r="B164" s="250"/>
      <c r="C164" s="502"/>
      <c r="D164" s="504" t="s">
        <v>636</v>
      </c>
      <c r="E164" s="498" t="s">
        <v>1449</v>
      </c>
      <c r="F164" s="500"/>
      <c r="G164" s="501" t="s">
        <v>433</v>
      </c>
      <c r="H164" s="383"/>
      <c r="I164" s="310"/>
      <c r="J164" s="311"/>
      <c r="K164" s="315"/>
      <c r="L164" s="310"/>
      <c r="M164" s="310"/>
      <c r="N164" s="310"/>
      <c r="O164" s="250"/>
      <c r="P164" s="251"/>
      <c r="Q164" s="200"/>
      <c r="R164" s="251"/>
      <c r="S164" s="251"/>
      <c r="T164" s="251"/>
      <c r="U164" s="200"/>
      <c r="V164" s="251"/>
      <c r="W164" s="251"/>
      <c r="X164" s="251"/>
      <c r="Y164" s="200"/>
      <c r="Z164" s="251"/>
      <c r="AA164" s="251"/>
      <c r="AB164" s="251"/>
      <c r="AC164" s="200"/>
      <c r="AD164" s="251"/>
      <c r="AE164" s="251"/>
      <c r="AF164" s="251"/>
      <c r="AG164" s="251"/>
      <c r="AH164" s="251"/>
      <c r="AI164" s="251"/>
      <c r="AJ164" s="251"/>
      <c r="AK164" s="251"/>
      <c r="AL164" s="251"/>
      <c r="AM164" s="251"/>
      <c r="AN164" s="251"/>
      <c r="AO164" s="495"/>
      <c r="AP164" s="495"/>
      <c r="AQ164" s="249"/>
      <c r="AR164" s="249"/>
      <c r="AS164" s="249"/>
      <c r="AT164" s="249"/>
      <c r="AU164" s="249"/>
      <c r="AV164" s="249"/>
      <c r="AW164" s="251"/>
      <c r="AX164" s="251"/>
      <c r="AY164" s="251"/>
      <c r="AZ164" s="251"/>
      <c r="BA164" s="251"/>
      <c r="BB164" s="251"/>
      <c r="BC164" s="251"/>
      <c r="BD164" s="251"/>
      <c r="BE164" s="251"/>
      <c r="BF164" s="251"/>
      <c r="BG164" s="251"/>
      <c r="BH164" s="251"/>
      <c r="BI164" s="251"/>
      <c r="BJ164" s="251"/>
      <c r="BK164" s="251"/>
      <c r="BL164" s="251"/>
      <c r="BM164" s="251"/>
      <c r="BN164" s="251"/>
      <c r="BO164" s="251"/>
      <c r="BP164" s="251"/>
      <c r="BQ164" s="249"/>
      <c r="BR164" s="249"/>
      <c r="BS164" s="249"/>
      <c r="BT164" s="249"/>
      <c r="BU164" s="249"/>
      <c r="BV164" s="249"/>
      <c r="BW164" s="496"/>
      <c r="BX164" s="496"/>
      <c r="BY164" s="496"/>
      <c r="BZ164" s="496"/>
      <c r="CA164" s="496"/>
      <c r="CB164" s="496"/>
      <c r="CC164" s="496"/>
      <c r="CD164" s="496"/>
      <c r="CE164" s="496"/>
      <c r="CF164" s="496"/>
      <c r="CG164" s="496"/>
      <c r="CH164" s="496"/>
      <c r="CI164" s="496"/>
      <c r="CJ164" s="496"/>
      <c r="CK164" s="496"/>
      <c r="CL164" s="496"/>
      <c r="CM164" s="496"/>
      <c r="CN164" s="496"/>
      <c r="CO164" s="496"/>
      <c r="CP164" s="496"/>
      <c r="CQ164" s="496"/>
      <c r="CR164" s="496"/>
      <c r="CS164" s="496"/>
      <c r="CT164" s="496"/>
      <c r="CU164" s="496"/>
      <c r="CV164" s="496"/>
      <c r="CW164" s="496"/>
      <c r="CX164" s="496"/>
      <c r="CY164" s="496"/>
      <c r="CZ164" s="496"/>
      <c r="DA164" s="496"/>
      <c r="DB164" s="496"/>
      <c r="DC164" s="496"/>
      <c r="DD164" s="496"/>
      <c r="DE164" s="496"/>
      <c r="DF164" s="496"/>
      <c r="DG164" s="496"/>
      <c r="DH164" s="496"/>
      <c r="DI164" s="496"/>
      <c r="DJ164" s="496"/>
      <c r="DK164" s="496"/>
      <c r="DL164" s="496"/>
      <c r="DM164" s="496"/>
      <c r="DN164" s="496"/>
      <c r="DO164" s="496"/>
      <c r="DP164" s="496"/>
      <c r="DQ164" s="496"/>
      <c r="DR164" s="496"/>
      <c r="DS164" s="496"/>
      <c r="DT164" s="496"/>
      <c r="DU164" s="496"/>
      <c r="DV164" s="496"/>
      <c r="DW164" s="496"/>
      <c r="DX164" s="496"/>
      <c r="DY164" s="496"/>
      <c r="DZ164" s="496"/>
      <c r="EA164" s="496"/>
      <c r="EB164" s="496"/>
      <c r="EC164" s="496"/>
      <c r="ED164" s="496"/>
      <c r="EE164" s="496"/>
      <c r="EF164" s="496"/>
      <c r="EG164" s="496"/>
      <c r="EH164" s="496"/>
      <c r="EI164" s="496"/>
      <c r="EJ164" s="496"/>
      <c r="EK164" s="496"/>
      <c r="EL164" s="496"/>
      <c r="EM164" s="496"/>
      <c r="EN164" s="496"/>
      <c r="EO164" s="496"/>
      <c r="EP164" s="496"/>
      <c r="EQ164" s="496"/>
      <c r="ER164" s="496"/>
      <c r="ES164" s="496"/>
      <c r="ET164" s="496"/>
      <c r="EU164" s="496"/>
      <c r="EV164" s="496"/>
      <c r="EW164" s="496"/>
      <c r="EX164" s="496"/>
      <c r="EY164" s="496"/>
      <c r="EZ164" s="496"/>
      <c r="FA164" s="496"/>
      <c r="FB164" s="496"/>
      <c r="FC164" s="496"/>
      <c r="FD164" s="496"/>
      <c r="FE164" s="496"/>
      <c r="FF164" s="496"/>
      <c r="FG164" s="496"/>
      <c r="FH164" s="496"/>
      <c r="FI164" s="496"/>
      <c r="FJ164" s="496"/>
      <c r="FK164" s="496"/>
      <c r="FL164" s="496"/>
      <c r="FM164" s="496"/>
      <c r="FN164" s="496"/>
      <c r="FO164" s="496"/>
      <c r="FP164" s="496"/>
      <c r="FQ164" s="496"/>
      <c r="FR164" s="496"/>
      <c r="FS164" s="496"/>
      <c r="FT164" s="496"/>
      <c r="FU164" s="496"/>
      <c r="FV164" s="496"/>
      <c r="FW164" s="496"/>
      <c r="FX164" s="496"/>
      <c r="FY164" s="496"/>
      <c r="FZ164" s="496"/>
      <c r="GA164" s="496"/>
      <c r="GB164" s="496"/>
      <c r="GC164" s="496"/>
      <c r="GD164" s="496"/>
      <c r="GE164" s="496"/>
      <c r="GF164" s="496"/>
      <c r="GG164" s="496"/>
      <c r="GH164" s="496"/>
      <c r="GI164" s="496"/>
      <c r="GJ164" s="496"/>
      <c r="GK164" s="496"/>
      <c r="GL164" s="496"/>
      <c r="GM164" s="496"/>
      <c r="GN164" s="496"/>
      <c r="GO164" s="496"/>
      <c r="GP164" s="496"/>
      <c r="GQ164" s="496"/>
      <c r="GR164" s="496"/>
      <c r="GS164" s="496"/>
      <c r="GT164" s="496"/>
      <c r="GU164" s="496"/>
      <c r="GV164" s="496"/>
      <c r="GW164" s="496"/>
      <c r="GX164" s="496"/>
      <c r="GY164" s="496"/>
      <c r="GZ164" s="496"/>
      <c r="HA164" s="496"/>
      <c r="HB164" s="496"/>
    </row>
    <row r="165" spans="1:210" ht="20.100000000000001" customHeight="1">
      <c r="A165" s="164"/>
      <c r="B165" s="250"/>
      <c r="C165" s="502"/>
      <c r="D165" s="505"/>
      <c r="E165" s="498" t="s">
        <v>469</v>
      </c>
      <c r="F165" s="500"/>
      <c r="G165" s="501" t="s">
        <v>436</v>
      </c>
      <c r="H165" s="383"/>
      <c r="I165" s="310"/>
      <c r="J165" s="311"/>
      <c r="K165" s="315"/>
      <c r="L165" s="310"/>
      <c r="M165" s="310"/>
      <c r="N165" s="310"/>
      <c r="O165" s="250"/>
      <c r="P165" s="251"/>
      <c r="Q165" s="200"/>
      <c r="R165" s="251"/>
      <c r="S165" s="251"/>
      <c r="T165" s="251"/>
      <c r="U165" s="200"/>
      <c r="V165" s="251"/>
      <c r="W165" s="251"/>
      <c r="X165" s="251"/>
      <c r="Y165" s="200"/>
      <c r="Z165" s="251"/>
      <c r="AA165" s="251"/>
      <c r="AB165" s="251"/>
      <c r="AC165" s="200"/>
      <c r="AD165" s="251"/>
      <c r="AE165" s="251"/>
      <c r="AF165" s="251"/>
      <c r="AG165" s="251"/>
      <c r="AH165" s="251"/>
      <c r="AI165" s="251"/>
      <c r="AJ165" s="251"/>
      <c r="AK165" s="251"/>
      <c r="AL165" s="251"/>
      <c r="AM165" s="251"/>
      <c r="AN165" s="251"/>
      <c r="AO165" s="495"/>
      <c r="AP165" s="495"/>
      <c r="AQ165" s="249"/>
      <c r="AR165" s="249"/>
      <c r="AS165" s="249"/>
      <c r="AT165" s="249"/>
      <c r="AU165" s="249"/>
      <c r="AV165" s="249"/>
      <c r="AW165" s="251"/>
      <c r="AX165" s="251"/>
      <c r="AY165" s="251"/>
      <c r="AZ165" s="251"/>
      <c r="BA165" s="251"/>
      <c r="BB165" s="251"/>
      <c r="BC165" s="251"/>
      <c r="BD165" s="251"/>
      <c r="BE165" s="251"/>
      <c r="BF165" s="251"/>
      <c r="BG165" s="251"/>
      <c r="BH165" s="251"/>
      <c r="BI165" s="251"/>
      <c r="BJ165" s="251"/>
      <c r="BK165" s="251"/>
      <c r="BL165" s="251"/>
      <c r="BM165" s="251"/>
      <c r="BN165" s="251"/>
      <c r="BO165" s="251"/>
      <c r="BP165" s="251"/>
      <c r="BQ165" s="249"/>
      <c r="BR165" s="249"/>
      <c r="BS165" s="249"/>
      <c r="BT165" s="249"/>
      <c r="BU165" s="249"/>
      <c r="BV165" s="249"/>
      <c r="BW165" s="496"/>
      <c r="BX165" s="496"/>
      <c r="BY165" s="496"/>
      <c r="BZ165" s="496"/>
      <c r="CA165" s="496"/>
      <c r="CB165" s="496"/>
      <c r="CC165" s="496"/>
      <c r="CD165" s="496"/>
      <c r="CE165" s="496"/>
      <c r="CF165" s="496"/>
      <c r="CG165" s="496"/>
      <c r="CH165" s="496"/>
      <c r="CI165" s="496"/>
      <c r="CJ165" s="496"/>
      <c r="CK165" s="496"/>
      <c r="CL165" s="496"/>
      <c r="CM165" s="496"/>
      <c r="CN165" s="496"/>
      <c r="CO165" s="496"/>
      <c r="CP165" s="496"/>
      <c r="CQ165" s="496"/>
      <c r="CR165" s="496"/>
      <c r="CS165" s="496"/>
      <c r="CT165" s="496"/>
      <c r="CU165" s="496"/>
      <c r="CV165" s="496"/>
      <c r="CW165" s="496"/>
      <c r="CX165" s="496"/>
      <c r="CY165" s="496"/>
      <c r="CZ165" s="496"/>
      <c r="DA165" s="496"/>
      <c r="DB165" s="496"/>
      <c r="DC165" s="496"/>
      <c r="DD165" s="496"/>
      <c r="DE165" s="496"/>
      <c r="DF165" s="496"/>
      <c r="DG165" s="496"/>
      <c r="DH165" s="496"/>
      <c r="DI165" s="496"/>
      <c r="DJ165" s="496"/>
      <c r="DK165" s="496"/>
      <c r="DL165" s="496"/>
      <c r="DM165" s="496"/>
      <c r="DN165" s="496"/>
      <c r="DO165" s="496"/>
      <c r="DP165" s="496"/>
      <c r="DQ165" s="496"/>
      <c r="DR165" s="496"/>
      <c r="DS165" s="496"/>
      <c r="DT165" s="496"/>
      <c r="DU165" s="496"/>
      <c r="DV165" s="496"/>
      <c r="DW165" s="496"/>
      <c r="DX165" s="496"/>
      <c r="DY165" s="496"/>
      <c r="DZ165" s="496"/>
      <c r="EA165" s="496"/>
      <c r="EB165" s="496"/>
      <c r="EC165" s="496"/>
      <c r="ED165" s="496"/>
      <c r="EE165" s="496"/>
      <c r="EF165" s="496"/>
      <c r="EG165" s="496"/>
      <c r="EH165" s="496"/>
      <c r="EI165" s="496"/>
      <c r="EJ165" s="496"/>
      <c r="EK165" s="496"/>
      <c r="EL165" s="496"/>
      <c r="EM165" s="496"/>
      <c r="EN165" s="496"/>
      <c r="EO165" s="496"/>
      <c r="EP165" s="496"/>
      <c r="EQ165" s="496"/>
      <c r="ER165" s="496"/>
      <c r="ES165" s="496"/>
      <c r="ET165" s="496"/>
      <c r="EU165" s="496"/>
      <c r="EV165" s="496"/>
      <c r="EW165" s="496"/>
      <c r="EX165" s="496"/>
      <c r="EY165" s="496"/>
      <c r="EZ165" s="496"/>
      <c r="FA165" s="496"/>
      <c r="FB165" s="496"/>
      <c r="FC165" s="496"/>
      <c r="FD165" s="496"/>
      <c r="FE165" s="496"/>
      <c r="FF165" s="496"/>
      <c r="FG165" s="496"/>
      <c r="FH165" s="496"/>
      <c r="FI165" s="496"/>
      <c r="FJ165" s="496"/>
      <c r="FK165" s="496"/>
      <c r="FL165" s="496"/>
      <c r="FM165" s="496"/>
      <c r="FN165" s="496"/>
      <c r="FO165" s="496"/>
      <c r="FP165" s="496"/>
      <c r="FQ165" s="496"/>
      <c r="FR165" s="496"/>
      <c r="FS165" s="496"/>
      <c r="FT165" s="496"/>
      <c r="FU165" s="496"/>
      <c r="FV165" s="496"/>
      <c r="FW165" s="496"/>
      <c r="FX165" s="496"/>
      <c r="FY165" s="496"/>
      <c r="FZ165" s="496"/>
      <c r="GA165" s="496"/>
      <c r="GB165" s="496"/>
      <c r="GC165" s="496"/>
      <c r="GD165" s="496"/>
      <c r="GE165" s="496"/>
      <c r="GF165" s="496"/>
      <c r="GG165" s="496"/>
      <c r="GH165" s="496"/>
      <c r="GI165" s="496"/>
      <c r="GJ165" s="496"/>
      <c r="GK165" s="496"/>
      <c r="GL165" s="496"/>
      <c r="GM165" s="496"/>
      <c r="GN165" s="496"/>
      <c r="GO165" s="496"/>
      <c r="GP165" s="496"/>
      <c r="GQ165" s="496"/>
      <c r="GR165" s="496"/>
      <c r="GS165" s="496"/>
      <c r="GT165" s="496"/>
      <c r="GU165" s="496"/>
      <c r="GV165" s="496"/>
      <c r="GW165" s="496"/>
      <c r="GX165" s="496"/>
      <c r="GY165" s="496"/>
      <c r="GZ165" s="496"/>
      <c r="HA165" s="496"/>
      <c r="HB165" s="496"/>
    </row>
    <row r="166" spans="1:210" ht="19.8">
      <c r="A166" s="164"/>
      <c r="B166" s="250"/>
      <c r="C166" s="502"/>
      <c r="D166" s="505"/>
      <c r="E166" s="498" t="s">
        <v>1450</v>
      </c>
      <c r="F166" s="500"/>
      <c r="G166" s="501" t="s">
        <v>433</v>
      </c>
      <c r="H166" s="383"/>
      <c r="I166" s="310"/>
      <c r="J166" s="311"/>
      <c r="K166" s="315"/>
      <c r="L166" s="310"/>
      <c r="M166" s="310"/>
      <c r="N166" s="310"/>
      <c r="O166" s="250"/>
      <c r="P166" s="251"/>
      <c r="Q166" s="200"/>
      <c r="R166" s="251"/>
      <c r="S166" s="251"/>
      <c r="T166" s="251"/>
      <c r="U166" s="200"/>
      <c r="V166" s="251"/>
      <c r="W166" s="251"/>
      <c r="X166" s="251"/>
      <c r="Y166" s="200"/>
      <c r="Z166" s="251"/>
      <c r="AA166" s="251"/>
      <c r="AB166" s="251"/>
      <c r="AC166" s="200"/>
      <c r="AD166" s="251"/>
      <c r="AE166" s="251"/>
      <c r="AF166" s="251"/>
      <c r="AG166" s="251"/>
      <c r="AH166" s="251"/>
      <c r="AI166" s="251"/>
      <c r="AJ166" s="251"/>
      <c r="AK166" s="251"/>
      <c r="AL166" s="251"/>
      <c r="AM166" s="251"/>
      <c r="AN166" s="251"/>
      <c r="AO166" s="495"/>
      <c r="AP166" s="495"/>
      <c r="AQ166" s="249"/>
      <c r="AR166" s="249"/>
      <c r="AS166" s="249"/>
      <c r="AT166" s="249"/>
      <c r="AU166" s="249"/>
      <c r="AV166" s="249"/>
      <c r="AW166" s="251"/>
      <c r="AX166" s="251"/>
      <c r="AY166" s="251"/>
      <c r="AZ166" s="251"/>
      <c r="BA166" s="251"/>
      <c r="BB166" s="251"/>
      <c r="BC166" s="251"/>
      <c r="BD166" s="251"/>
      <c r="BE166" s="251"/>
      <c r="BF166" s="251"/>
      <c r="BG166" s="251"/>
      <c r="BH166" s="251"/>
      <c r="BI166" s="251"/>
      <c r="BJ166" s="251"/>
      <c r="BK166" s="251"/>
      <c r="BL166" s="251"/>
      <c r="BM166" s="251"/>
      <c r="BN166" s="251"/>
      <c r="BO166" s="251"/>
      <c r="BP166" s="251"/>
      <c r="BQ166" s="249"/>
      <c r="BR166" s="249"/>
      <c r="BS166" s="249"/>
      <c r="BT166" s="249"/>
      <c r="BU166" s="249"/>
      <c r="BV166" s="249"/>
      <c r="BW166" s="496"/>
      <c r="BX166" s="496"/>
      <c r="BY166" s="496"/>
      <c r="BZ166" s="496"/>
      <c r="CA166" s="496"/>
      <c r="CB166" s="496"/>
      <c r="CC166" s="496"/>
      <c r="CD166" s="496"/>
      <c r="CE166" s="496"/>
      <c r="CF166" s="496"/>
      <c r="CG166" s="496"/>
      <c r="CH166" s="496"/>
      <c r="CI166" s="496"/>
      <c r="CJ166" s="496"/>
      <c r="CK166" s="496"/>
      <c r="CL166" s="496"/>
      <c r="CM166" s="496"/>
      <c r="CN166" s="496"/>
      <c r="CO166" s="496"/>
      <c r="CP166" s="496"/>
      <c r="CQ166" s="496"/>
      <c r="CR166" s="496"/>
      <c r="CS166" s="496"/>
      <c r="CT166" s="496"/>
      <c r="CU166" s="496"/>
      <c r="CV166" s="496"/>
      <c r="CW166" s="496"/>
      <c r="CX166" s="496"/>
      <c r="CY166" s="496"/>
      <c r="CZ166" s="496"/>
      <c r="DA166" s="496"/>
      <c r="DB166" s="496"/>
      <c r="DC166" s="496"/>
      <c r="DD166" s="496"/>
      <c r="DE166" s="496"/>
      <c r="DF166" s="496"/>
      <c r="DG166" s="496"/>
      <c r="DH166" s="496"/>
      <c r="DI166" s="496"/>
      <c r="DJ166" s="496"/>
      <c r="DK166" s="496"/>
      <c r="DL166" s="496"/>
      <c r="DM166" s="496"/>
      <c r="DN166" s="496"/>
      <c r="DO166" s="496"/>
      <c r="DP166" s="496"/>
      <c r="DQ166" s="496"/>
      <c r="DR166" s="496"/>
      <c r="DS166" s="496"/>
      <c r="DT166" s="496"/>
      <c r="DU166" s="496"/>
      <c r="DV166" s="496"/>
      <c r="DW166" s="496"/>
      <c r="DX166" s="496"/>
      <c r="DY166" s="496"/>
      <c r="DZ166" s="496"/>
      <c r="EA166" s="496"/>
      <c r="EB166" s="496"/>
      <c r="EC166" s="496"/>
      <c r="ED166" s="496"/>
      <c r="EE166" s="496"/>
      <c r="EF166" s="496"/>
      <c r="EG166" s="496"/>
      <c r="EH166" s="496"/>
      <c r="EI166" s="496"/>
      <c r="EJ166" s="496"/>
      <c r="EK166" s="496"/>
      <c r="EL166" s="496"/>
      <c r="EM166" s="496"/>
      <c r="EN166" s="496"/>
      <c r="EO166" s="496"/>
      <c r="EP166" s="496"/>
      <c r="EQ166" s="496"/>
      <c r="ER166" s="496"/>
      <c r="ES166" s="496"/>
      <c r="ET166" s="496"/>
      <c r="EU166" s="496"/>
      <c r="EV166" s="496"/>
      <c r="EW166" s="496"/>
      <c r="EX166" s="496"/>
      <c r="EY166" s="496"/>
      <c r="EZ166" s="496"/>
      <c r="FA166" s="496"/>
      <c r="FB166" s="496"/>
      <c r="FC166" s="496"/>
      <c r="FD166" s="496"/>
      <c r="FE166" s="496"/>
      <c r="FF166" s="496"/>
      <c r="FG166" s="496"/>
      <c r="FH166" s="496"/>
      <c r="FI166" s="496"/>
      <c r="FJ166" s="496"/>
      <c r="FK166" s="496"/>
      <c r="FL166" s="496"/>
      <c r="FM166" s="496"/>
      <c r="FN166" s="496"/>
      <c r="FO166" s="496"/>
      <c r="FP166" s="496"/>
      <c r="FQ166" s="496"/>
      <c r="FR166" s="496"/>
      <c r="FS166" s="496"/>
      <c r="FT166" s="496"/>
      <c r="FU166" s="496"/>
      <c r="FV166" s="496"/>
      <c r="FW166" s="496"/>
      <c r="FX166" s="496"/>
      <c r="FY166" s="496"/>
      <c r="FZ166" s="496"/>
      <c r="GA166" s="496"/>
      <c r="GB166" s="496"/>
      <c r="GC166" s="496"/>
      <c r="GD166" s="496"/>
      <c r="GE166" s="496"/>
      <c r="GF166" s="496"/>
      <c r="GG166" s="496"/>
      <c r="GH166" s="496"/>
      <c r="GI166" s="496"/>
      <c r="GJ166" s="496"/>
      <c r="GK166" s="496"/>
      <c r="GL166" s="496"/>
      <c r="GM166" s="496"/>
      <c r="GN166" s="496"/>
      <c r="GO166" s="496"/>
      <c r="GP166" s="496"/>
      <c r="GQ166" s="496"/>
      <c r="GR166" s="496"/>
      <c r="GS166" s="496"/>
      <c r="GT166" s="496"/>
      <c r="GU166" s="496"/>
      <c r="GV166" s="496"/>
      <c r="GW166" s="496"/>
      <c r="GX166" s="496"/>
      <c r="GY166" s="496"/>
      <c r="GZ166" s="496"/>
      <c r="HA166" s="496"/>
      <c r="HB166" s="496"/>
    </row>
    <row r="167" spans="1:210" ht="20.100000000000001" customHeight="1">
      <c r="A167" s="164"/>
      <c r="B167" s="250"/>
      <c r="C167" s="502"/>
      <c r="D167" s="505"/>
      <c r="E167" s="498" t="s">
        <v>1451</v>
      </c>
      <c r="F167" s="500"/>
      <c r="G167" s="501" t="s">
        <v>1533</v>
      </c>
      <c r="H167" s="383"/>
      <c r="I167" s="310"/>
      <c r="J167" s="311"/>
      <c r="K167" s="315"/>
      <c r="L167" s="310"/>
      <c r="M167" s="310"/>
      <c r="N167" s="310"/>
      <c r="O167" s="250"/>
      <c r="P167" s="251"/>
      <c r="Q167" s="200"/>
      <c r="R167" s="251"/>
      <c r="S167" s="251"/>
      <c r="T167" s="251"/>
      <c r="U167" s="200"/>
      <c r="V167" s="251"/>
      <c r="W167" s="251"/>
      <c r="X167" s="251"/>
      <c r="Y167" s="200"/>
      <c r="Z167" s="251"/>
      <c r="AA167" s="251"/>
      <c r="AB167" s="251"/>
      <c r="AC167" s="200"/>
      <c r="AD167" s="251"/>
      <c r="AE167" s="251"/>
      <c r="AF167" s="251"/>
      <c r="AG167" s="251"/>
      <c r="AH167" s="251"/>
      <c r="AI167" s="251"/>
      <c r="AJ167" s="251"/>
      <c r="AK167" s="251"/>
      <c r="AL167" s="251"/>
      <c r="AM167" s="251"/>
      <c r="AN167" s="251"/>
      <c r="AO167" s="495"/>
      <c r="AP167" s="495"/>
      <c r="AQ167" s="249"/>
      <c r="AR167" s="249"/>
      <c r="AS167" s="249"/>
      <c r="AT167" s="249"/>
      <c r="AU167" s="249"/>
      <c r="AV167" s="249"/>
      <c r="AW167" s="251"/>
      <c r="AX167" s="251"/>
      <c r="AY167" s="251"/>
      <c r="AZ167" s="251"/>
      <c r="BA167" s="251"/>
      <c r="BB167" s="251"/>
      <c r="BC167" s="251"/>
      <c r="BD167" s="251"/>
      <c r="BE167" s="251"/>
      <c r="BF167" s="251"/>
      <c r="BG167" s="251"/>
      <c r="BH167" s="251"/>
      <c r="BI167" s="251"/>
      <c r="BJ167" s="251"/>
      <c r="BK167" s="251"/>
      <c r="BL167" s="251"/>
      <c r="BM167" s="251"/>
      <c r="BN167" s="251"/>
      <c r="BO167" s="251"/>
      <c r="BP167" s="251"/>
      <c r="BQ167" s="249"/>
      <c r="BR167" s="249"/>
      <c r="BS167" s="249"/>
      <c r="BT167" s="249"/>
      <c r="BU167" s="249"/>
      <c r="BV167" s="249"/>
      <c r="BW167" s="496"/>
      <c r="BX167" s="496"/>
      <c r="BY167" s="496"/>
      <c r="BZ167" s="496"/>
      <c r="CA167" s="496"/>
      <c r="CB167" s="496"/>
      <c r="CC167" s="496"/>
      <c r="CD167" s="496"/>
      <c r="CE167" s="496"/>
      <c r="CF167" s="496"/>
      <c r="CG167" s="496"/>
      <c r="CH167" s="496"/>
      <c r="CI167" s="496"/>
      <c r="CJ167" s="496"/>
      <c r="CK167" s="496"/>
      <c r="CL167" s="496"/>
      <c r="CM167" s="496"/>
      <c r="CN167" s="496"/>
      <c r="CO167" s="496"/>
      <c r="CP167" s="496"/>
      <c r="CQ167" s="496"/>
      <c r="CR167" s="496"/>
      <c r="CS167" s="496"/>
      <c r="CT167" s="496"/>
      <c r="CU167" s="496"/>
      <c r="CV167" s="496"/>
      <c r="CW167" s="496"/>
      <c r="CX167" s="496"/>
      <c r="CY167" s="496"/>
      <c r="CZ167" s="496"/>
      <c r="DA167" s="496"/>
      <c r="DB167" s="496"/>
      <c r="DC167" s="496"/>
      <c r="DD167" s="496"/>
      <c r="DE167" s="496"/>
      <c r="DF167" s="496"/>
      <c r="DG167" s="496"/>
      <c r="DH167" s="496"/>
      <c r="DI167" s="496"/>
      <c r="DJ167" s="496"/>
      <c r="DK167" s="496"/>
      <c r="DL167" s="496"/>
      <c r="DM167" s="496"/>
      <c r="DN167" s="496"/>
      <c r="DO167" s="496"/>
      <c r="DP167" s="496"/>
      <c r="DQ167" s="496"/>
      <c r="DR167" s="496"/>
      <c r="DS167" s="496"/>
      <c r="DT167" s="496"/>
      <c r="DU167" s="496"/>
      <c r="DV167" s="496"/>
      <c r="DW167" s="496"/>
      <c r="DX167" s="496"/>
      <c r="DY167" s="496"/>
      <c r="DZ167" s="496"/>
      <c r="EA167" s="496"/>
      <c r="EB167" s="496"/>
      <c r="EC167" s="496"/>
      <c r="ED167" s="496"/>
      <c r="EE167" s="496"/>
      <c r="EF167" s="496"/>
      <c r="EG167" s="496"/>
      <c r="EH167" s="496"/>
      <c r="EI167" s="496"/>
      <c r="EJ167" s="496"/>
      <c r="EK167" s="496"/>
      <c r="EL167" s="496"/>
      <c r="EM167" s="496"/>
      <c r="EN167" s="496"/>
      <c r="EO167" s="496"/>
      <c r="EP167" s="496"/>
      <c r="EQ167" s="496"/>
      <c r="ER167" s="496"/>
      <c r="ES167" s="496"/>
      <c r="ET167" s="496"/>
      <c r="EU167" s="496"/>
      <c r="EV167" s="496"/>
      <c r="EW167" s="496"/>
      <c r="EX167" s="496"/>
      <c r="EY167" s="496"/>
      <c r="EZ167" s="496"/>
      <c r="FA167" s="496"/>
      <c r="FB167" s="496"/>
      <c r="FC167" s="496"/>
      <c r="FD167" s="496"/>
      <c r="FE167" s="496"/>
      <c r="FF167" s="496"/>
      <c r="FG167" s="496"/>
      <c r="FH167" s="496"/>
      <c r="FI167" s="496"/>
      <c r="FJ167" s="496"/>
      <c r="FK167" s="496"/>
      <c r="FL167" s="496"/>
      <c r="FM167" s="496"/>
      <c r="FN167" s="496"/>
      <c r="FO167" s="496"/>
      <c r="FP167" s="496"/>
      <c r="FQ167" s="496"/>
      <c r="FR167" s="496"/>
      <c r="FS167" s="496"/>
      <c r="FT167" s="496"/>
      <c r="FU167" s="496"/>
      <c r="FV167" s="496"/>
      <c r="FW167" s="496"/>
      <c r="FX167" s="496"/>
      <c r="FY167" s="496"/>
      <c r="FZ167" s="496"/>
      <c r="GA167" s="496"/>
      <c r="GB167" s="496"/>
      <c r="GC167" s="496"/>
      <c r="GD167" s="496"/>
      <c r="GE167" s="496"/>
      <c r="GF167" s="496"/>
      <c r="GG167" s="496"/>
      <c r="GH167" s="496"/>
      <c r="GI167" s="496"/>
      <c r="GJ167" s="496"/>
      <c r="GK167" s="496"/>
      <c r="GL167" s="496"/>
      <c r="GM167" s="496"/>
      <c r="GN167" s="496"/>
      <c r="GO167" s="496"/>
      <c r="GP167" s="496"/>
      <c r="GQ167" s="496"/>
      <c r="GR167" s="496"/>
      <c r="GS167" s="496"/>
      <c r="GT167" s="496"/>
      <c r="GU167" s="496"/>
      <c r="GV167" s="496"/>
      <c r="GW167" s="496"/>
      <c r="GX167" s="496"/>
      <c r="GY167" s="496"/>
      <c r="GZ167" s="496"/>
      <c r="HA167" s="496"/>
      <c r="HB167" s="496"/>
    </row>
    <row r="168" spans="1:210" ht="20.100000000000001" customHeight="1">
      <c r="A168" s="164"/>
      <c r="B168" s="250"/>
      <c r="C168" s="502"/>
      <c r="D168" s="506"/>
      <c r="E168" s="498" t="s">
        <v>1452</v>
      </c>
      <c r="F168" s="500"/>
      <c r="G168" s="501" t="s">
        <v>433</v>
      </c>
      <c r="H168" s="383"/>
      <c r="I168" s="310"/>
      <c r="J168" s="311"/>
      <c r="K168" s="315"/>
      <c r="L168" s="310"/>
      <c r="M168" s="310"/>
      <c r="N168" s="310"/>
      <c r="O168" s="250"/>
      <c r="P168" s="251"/>
      <c r="Q168" s="200"/>
      <c r="R168" s="251"/>
      <c r="S168" s="251"/>
      <c r="T168" s="251"/>
      <c r="U168" s="200"/>
      <c r="V168" s="251"/>
      <c r="W168" s="251"/>
      <c r="X168" s="251"/>
      <c r="Y168" s="200"/>
      <c r="Z168" s="251"/>
      <c r="AA168" s="251"/>
      <c r="AB168" s="251"/>
      <c r="AC168" s="200"/>
      <c r="AD168" s="251"/>
      <c r="AE168" s="251"/>
      <c r="AF168" s="251"/>
      <c r="AG168" s="251"/>
      <c r="AH168" s="251"/>
      <c r="AI168" s="251"/>
      <c r="AJ168" s="251"/>
      <c r="AK168" s="251"/>
      <c r="AL168" s="251"/>
      <c r="AM168" s="251"/>
      <c r="AN168" s="251"/>
      <c r="AO168" s="495"/>
      <c r="AP168" s="495"/>
      <c r="AQ168" s="249"/>
      <c r="AR168" s="249"/>
      <c r="AS168" s="249"/>
      <c r="AT168" s="249"/>
      <c r="AU168" s="249"/>
      <c r="AV168" s="249"/>
      <c r="AW168" s="251"/>
      <c r="AX168" s="251"/>
      <c r="AY168" s="251"/>
      <c r="AZ168" s="251"/>
      <c r="BA168" s="251"/>
      <c r="BB168" s="251"/>
      <c r="BC168" s="251"/>
      <c r="BD168" s="251"/>
      <c r="BE168" s="251"/>
      <c r="BF168" s="251"/>
      <c r="BG168" s="251"/>
      <c r="BH168" s="251"/>
      <c r="BI168" s="251"/>
      <c r="BJ168" s="251"/>
      <c r="BK168" s="251"/>
      <c r="BL168" s="251"/>
      <c r="BM168" s="251"/>
      <c r="BN168" s="251"/>
      <c r="BO168" s="251"/>
      <c r="BP168" s="251"/>
      <c r="BQ168" s="249"/>
      <c r="BR168" s="249"/>
      <c r="BS168" s="249"/>
      <c r="BT168" s="249"/>
      <c r="BU168" s="249"/>
      <c r="BV168" s="249"/>
      <c r="BW168" s="496"/>
      <c r="BX168" s="496"/>
      <c r="BY168" s="496"/>
      <c r="BZ168" s="496"/>
      <c r="CA168" s="496"/>
      <c r="CB168" s="496"/>
      <c r="CC168" s="496"/>
      <c r="CD168" s="496"/>
      <c r="CE168" s="496"/>
      <c r="CF168" s="496"/>
      <c r="CG168" s="496"/>
      <c r="CH168" s="496"/>
      <c r="CI168" s="496"/>
      <c r="CJ168" s="496"/>
      <c r="CK168" s="496"/>
      <c r="CL168" s="496"/>
      <c r="CM168" s="496"/>
      <c r="CN168" s="496"/>
      <c r="CO168" s="496"/>
      <c r="CP168" s="496"/>
      <c r="CQ168" s="496"/>
      <c r="CR168" s="496"/>
      <c r="CS168" s="496"/>
      <c r="CT168" s="496"/>
      <c r="CU168" s="496"/>
      <c r="CV168" s="496"/>
      <c r="CW168" s="496"/>
      <c r="CX168" s="496"/>
      <c r="CY168" s="496"/>
      <c r="CZ168" s="496"/>
      <c r="DA168" s="496"/>
      <c r="DB168" s="496"/>
      <c r="DC168" s="496"/>
      <c r="DD168" s="496"/>
      <c r="DE168" s="496"/>
      <c r="DF168" s="496"/>
      <c r="DG168" s="496"/>
      <c r="DH168" s="496"/>
      <c r="DI168" s="496"/>
      <c r="DJ168" s="496"/>
      <c r="DK168" s="496"/>
      <c r="DL168" s="496"/>
      <c r="DM168" s="496"/>
      <c r="DN168" s="496"/>
      <c r="DO168" s="496"/>
      <c r="DP168" s="496"/>
      <c r="DQ168" s="496"/>
      <c r="DR168" s="496"/>
      <c r="DS168" s="496"/>
      <c r="DT168" s="496"/>
      <c r="DU168" s="496"/>
      <c r="DV168" s="496"/>
      <c r="DW168" s="496"/>
      <c r="DX168" s="496"/>
      <c r="DY168" s="496"/>
      <c r="DZ168" s="496"/>
      <c r="EA168" s="496"/>
      <c r="EB168" s="496"/>
      <c r="EC168" s="496"/>
      <c r="ED168" s="496"/>
      <c r="EE168" s="496"/>
      <c r="EF168" s="496"/>
      <c r="EG168" s="496"/>
      <c r="EH168" s="496"/>
      <c r="EI168" s="496"/>
      <c r="EJ168" s="496"/>
      <c r="EK168" s="496"/>
      <c r="EL168" s="496"/>
      <c r="EM168" s="496"/>
      <c r="EN168" s="496"/>
      <c r="EO168" s="496"/>
      <c r="EP168" s="496"/>
      <c r="EQ168" s="496"/>
      <c r="ER168" s="496"/>
      <c r="ES168" s="496"/>
      <c r="ET168" s="496"/>
      <c r="EU168" s="496"/>
      <c r="EV168" s="496"/>
      <c r="EW168" s="496"/>
      <c r="EX168" s="496"/>
      <c r="EY168" s="496"/>
      <c r="EZ168" s="496"/>
      <c r="FA168" s="496"/>
      <c r="FB168" s="496"/>
      <c r="FC168" s="496"/>
      <c r="FD168" s="496"/>
      <c r="FE168" s="496"/>
      <c r="FF168" s="496"/>
      <c r="FG168" s="496"/>
      <c r="FH168" s="496"/>
      <c r="FI168" s="496"/>
      <c r="FJ168" s="496"/>
      <c r="FK168" s="496"/>
      <c r="FL168" s="496"/>
      <c r="FM168" s="496"/>
      <c r="FN168" s="496"/>
      <c r="FO168" s="496"/>
      <c r="FP168" s="496"/>
      <c r="FQ168" s="496"/>
      <c r="FR168" s="496"/>
      <c r="FS168" s="496"/>
      <c r="FT168" s="496"/>
      <c r="FU168" s="496"/>
      <c r="FV168" s="496"/>
      <c r="FW168" s="496"/>
      <c r="FX168" s="496"/>
      <c r="FY168" s="496"/>
      <c r="FZ168" s="496"/>
      <c r="GA168" s="496"/>
      <c r="GB168" s="496"/>
      <c r="GC168" s="496"/>
      <c r="GD168" s="496"/>
      <c r="GE168" s="496"/>
      <c r="GF168" s="496"/>
      <c r="GG168" s="496"/>
      <c r="GH168" s="496"/>
      <c r="GI168" s="496"/>
      <c r="GJ168" s="496"/>
      <c r="GK168" s="496"/>
      <c r="GL168" s="496"/>
      <c r="GM168" s="496"/>
      <c r="GN168" s="496"/>
      <c r="GO168" s="496"/>
      <c r="GP168" s="496"/>
      <c r="GQ168" s="496"/>
      <c r="GR168" s="496"/>
      <c r="GS168" s="496"/>
      <c r="GT168" s="496"/>
      <c r="GU168" s="496"/>
      <c r="GV168" s="496"/>
      <c r="GW168" s="496"/>
      <c r="GX168" s="496"/>
      <c r="GY168" s="496"/>
      <c r="GZ168" s="496"/>
      <c r="HA168" s="496"/>
      <c r="HB168" s="496"/>
    </row>
    <row r="169" spans="1:210" ht="20.100000000000001" customHeight="1">
      <c r="A169" s="164"/>
      <c r="B169" s="250"/>
      <c r="C169" s="502"/>
      <c r="D169" s="497" t="s">
        <v>637</v>
      </c>
      <c r="E169" s="498" t="s">
        <v>1453</v>
      </c>
      <c r="F169" s="500"/>
      <c r="G169" s="501" t="s">
        <v>433</v>
      </c>
      <c r="H169" s="383"/>
      <c r="I169" s="310"/>
      <c r="J169" s="311"/>
      <c r="K169" s="315"/>
      <c r="L169" s="310"/>
      <c r="M169" s="310"/>
      <c r="N169" s="310"/>
      <c r="O169" s="250"/>
      <c r="P169" s="251"/>
      <c r="Q169" s="200"/>
      <c r="R169" s="251"/>
      <c r="S169" s="251"/>
      <c r="T169" s="251"/>
      <c r="U169" s="200"/>
      <c r="V169" s="251"/>
      <c r="W169" s="251"/>
      <c r="X169" s="251"/>
      <c r="Y169" s="200"/>
      <c r="Z169" s="251"/>
      <c r="AA169" s="251"/>
      <c r="AB169" s="251"/>
      <c r="AC169" s="200"/>
      <c r="AD169" s="251"/>
      <c r="AE169" s="251"/>
      <c r="AF169" s="251"/>
      <c r="AG169" s="251"/>
      <c r="AH169" s="251"/>
      <c r="AI169" s="251"/>
      <c r="AJ169" s="251"/>
      <c r="AK169" s="251"/>
      <c r="AL169" s="251"/>
      <c r="AM169" s="251"/>
      <c r="AN169" s="251"/>
      <c r="AO169" s="495"/>
      <c r="AP169" s="495"/>
      <c r="AQ169" s="249"/>
      <c r="AR169" s="249"/>
      <c r="AS169" s="249"/>
      <c r="AT169" s="249"/>
      <c r="AU169" s="249"/>
      <c r="AV169" s="249"/>
      <c r="AW169" s="251"/>
      <c r="AX169" s="251"/>
      <c r="AY169" s="251"/>
      <c r="AZ169" s="251"/>
      <c r="BA169" s="251"/>
      <c r="BB169" s="251"/>
      <c r="BC169" s="251"/>
      <c r="BD169" s="251"/>
      <c r="BE169" s="251"/>
      <c r="BF169" s="251"/>
      <c r="BG169" s="251"/>
      <c r="BH169" s="251"/>
      <c r="BI169" s="251"/>
      <c r="BJ169" s="251"/>
      <c r="BK169" s="251"/>
      <c r="BL169" s="251"/>
      <c r="BM169" s="251"/>
      <c r="BN169" s="251"/>
      <c r="BO169" s="251"/>
      <c r="BP169" s="251"/>
      <c r="BQ169" s="249"/>
      <c r="BR169" s="249"/>
      <c r="BS169" s="249"/>
      <c r="BT169" s="249"/>
      <c r="BU169" s="249"/>
      <c r="BV169" s="249"/>
      <c r="BW169" s="496"/>
      <c r="BX169" s="496"/>
      <c r="BY169" s="496"/>
      <c r="BZ169" s="496"/>
      <c r="CA169" s="496"/>
      <c r="CB169" s="496"/>
      <c r="CC169" s="496"/>
      <c r="CD169" s="496"/>
      <c r="CE169" s="496"/>
      <c r="CF169" s="496"/>
      <c r="CG169" s="496"/>
      <c r="CH169" s="496"/>
      <c r="CI169" s="496"/>
      <c r="CJ169" s="496"/>
      <c r="CK169" s="496"/>
      <c r="CL169" s="496"/>
      <c r="CM169" s="496"/>
      <c r="CN169" s="496"/>
      <c r="CO169" s="496"/>
      <c r="CP169" s="496"/>
      <c r="CQ169" s="496"/>
      <c r="CR169" s="496"/>
      <c r="CS169" s="496"/>
      <c r="CT169" s="496"/>
      <c r="CU169" s="496"/>
      <c r="CV169" s="496"/>
      <c r="CW169" s="496"/>
      <c r="CX169" s="496"/>
      <c r="CY169" s="496"/>
      <c r="CZ169" s="496"/>
      <c r="DA169" s="496"/>
      <c r="DB169" s="496"/>
      <c r="DC169" s="496"/>
      <c r="DD169" s="496"/>
      <c r="DE169" s="496"/>
      <c r="DF169" s="496"/>
      <c r="DG169" s="496"/>
      <c r="DH169" s="496"/>
      <c r="DI169" s="496"/>
      <c r="DJ169" s="496"/>
      <c r="DK169" s="496"/>
      <c r="DL169" s="496"/>
      <c r="DM169" s="496"/>
      <c r="DN169" s="496"/>
      <c r="DO169" s="496"/>
      <c r="DP169" s="496"/>
      <c r="DQ169" s="496"/>
      <c r="DR169" s="496"/>
      <c r="DS169" s="496"/>
      <c r="DT169" s="496"/>
      <c r="DU169" s="496"/>
      <c r="DV169" s="496"/>
      <c r="DW169" s="496"/>
      <c r="DX169" s="496"/>
      <c r="DY169" s="496"/>
      <c r="DZ169" s="496"/>
      <c r="EA169" s="496"/>
      <c r="EB169" s="496"/>
      <c r="EC169" s="496"/>
      <c r="ED169" s="496"/>
      <c r="EE169" s="496"/>
      <c r="EF169" s="496"/>
      <c r="EG169" s="496"/>
      <c r="EH169" s="496"/>
      <c r="EI169" s="496"/>
      <c r="EJ169" s="496"/>
      <c r="EK169" s="496"/>
      <c r="EL169" s="496"/>
      <c r="EM169" s="496"/>
      <c r="EN169" s="496"/>
      <c r="EO169" s="496"/>
      <c r="EP169" s="496"/>
      <c r="EQ169" s="496"/>
      <c r="ER169" s="496"/>
      <c r="ES169" s="496"/>
      <c r="ET169" s="496"/>
      <c r="EU169" s="496"/>
      <c r="EV169" s="496"/>
      <c r="EW169" s="496"/>
      <c r="EX169" s="496"/>
      <c r="EY169" s="496"/>
      <c r="EZ169" s="496"/>
      <c r="FA169" s="496"/>
      <c r="FB169" s="496"/>
      <c r="FC169" s="496"/>
      <c r="FD169" s="496"/>
      <c r="FE169" s="496"/>
      <c r="FF169" s="496"/>
      <c r="FG169" s="496"/>
      <c r="FH169" s="496"/>
      <c r="FI169" s="496"/>
      <c r="FJ169" s="496"/>
      <c r="FK169" s="496"/>
      <c r="FL169" s="496"/>
      <c r="FM169" s="496"/>
      <c r="FN169" s="496"/>
      <c r="FO169" s="496"/>
      <c r="FP169" s="496"/>
      <c r="FQ169" s="496"/>
      <c r="FR169" s="496"/>
      <c r="FS169" s="496"/>
      <c r="FT169" s="496"/>
      <c r="FU169" s="496"/>
      <c r="FV169" s="496"/>
      <c r="FW169" s="496"/>
      <c r="FX169" s="496"/>
      <c r="FY169" s="496"/>
      <c r="FZ169" s="496"/>
      <c r="GA169" s="496"/>
      <c r="GB169" s="496"/>
      <c r="GC169" s="496"/>
      <c r="GD169" s="496"/>
      <c r="GE169" s="496"/>
      <c r="GF169" s="496"/>
      <c r="GG169" s="496"/>
      <c r="GH169" s="496"/>
      <c r="GI169" s="496"/>
      <c r="GJ169" s="496"/>
      <c r="GK169" s="496"/>
      <c r="GL169" s="496"/>
      <c r="GM169" s="496"/>
      <c r="GN169" s="496"/>
      <c r="GO169" s="496"/>
      <c r="GP169" s="496"/>
      <c r="GQ169" s="496"/>
      <c r="GR169" s="496"/>
      <c r="GS169" s="496"/>
      <c r="GT169" s="496"/>
      <c r="GU169" s="496"/>
      <c r="GV169" s="496"/>
      <c r="GW169" s="496"/>
      <c r="GX169" s="496"/>
      <c r="GY169" s="496"/>
      <c r="GZ169" s="496"/>
      <c r="HA169" s="496"/>
      <c r="HB169" s="496"/>
    </row>
    <row r="170" spans="1:210" ht="19.8">
      <c r="A170" s="164"/>
      <c r="B170" s="250"/>
      <c r="C170" s="502"/>
      <c r="D170" s="502"/>
      <c r="E170" s="498" t="s">
        <v>1454</v>
      </c>
      <c r="F170" s="500"/>
      <c r="G170" s="501" t="s">
        <v>436</v>
      </c>
      <c r="H170" s="383"/>
      <c r="I170" s="310"/>
      <c r="J170" s="311"/>
      <c r="K170" s="315"/>
      <c r="L170" s="310"/>
      <c r="M170" s="310"/>
      <c r="N170" s="310"/>
      <c r="O170" s="250"/>
      <c r="P170" s="251"/>
      <c r="Q170" s="200"/>
      <c r="R170" s="251"/>
      <c r="S170" s="251"/>
      <c r="T170" s="251"/>
      <c r="U170" s="200"/>
      <c r="V170" s="251"/>
      <c r="W170" s="251"/>
      <c r="X170" s="251"/>
      <c r="Y170" s="200"/>
      <c r="Z170" s="251"/>
      <c r="AA170" s="251"/>
      <c r="AB170" s="251"/>
      <c r="AC170" s="200"/>
      <c r="AD170" s="251"/>
      <c r="AE170" s="251"/>
      <c r="AF170" s="251"/>
      <c r="AG170" s="251"/>
      <c r="AH170" s="251"/>
      <c r="AI170" s="251"/>
      <c r="AJ170" s="251"/>
      <c r="AK170" s="251"/>
      <c r="AL170" s="251"/>
      <c r="AM170" s="251"/>
      <c r="AN170" s="251"/>
      <c r="AO170" s="495"/>
      <c r="AP170" s="495"/>
      <c r="AQ170" s="249"/>
      <c r="AR170" s="249"/>
      <c r="AS170" s="249"/>
      <c r="AT170" s="249"/>
      <c r="AU170" s="249"/>
      <c r="AV170" s="249"/>
      <c r="AW170" s="251"/>
      <c r="AX170" s="251"/>
      <c r="AY170" s="251"/>
      <c r="AZ170" s="251"/>
      <c r="BA170" s="251"/>
      <c r="BB170" s="251"/>
      <c r="BC170" s="251"/>
      <c r="BD170" s="251"/>
      <c r="BE170" s="251"/>
      <c r="BF170" s="251"/>
      <c r="BG170" s="251"/>
      <c r="BH170" s="251"/>
      <c r="BI170" s="251"/>
      <c r="BJ170" s="251"/>
      <c r="BK170" s="251"/>
      <c r="BL170" s="251"/>
      <c r="BM170" s="251"/>
      <c r="BN170" s="251"/>
      <c r="BO170" s="251"/>
      <c r="BP170" s="251"/>
      <c r="BQ170" s="249"/>
      <c r="BR170" s="249"/>
      <c r="BS170" s="249"/>
      <c r="BT170" s="249"/>
      <c r="BU170" s="249"/>
      <c r="BV170" s="249"/>
      <c r="BW170" s="496"/>
      <c r="BX170" s="496"/>
      <c r="BY170" s="496"/>
      <c r="BZ170" s="496"/>
      <c r="CA170" s="496"/>
      <c r="CB170" s="496"/>
      <c r="CC170" s="496"/>
      <c r="CD170" s="496"/>
      <c r="CE170" s="496"/>
      <c r="CF170" s="496"/>
      <c r="CG170" s="496"/>
      <c r="CH170" s="496"/>
      <c r="CI170" s="496"/>
      <c r="CJ170" s="496"/>
      <c r="CK170" s="496"/>
      <c r="CL170" s="496"/>
      <c r="CM170" s="496"/>
      <c r="CN170" s="496"/>
      <c r="CO170" s="496"/>
      <c r="CP170" s="496"/>
      <c r="CQ170" s="496"/>
      <c r="CR170" s="496"/>
      <c r="CS170" s="496"/>
      <c r="CT170" s="496"/>
      <c r="CU170" s="496"/>
      <c r="CV170" s="496"/>
      <c r="CW170" s="496"/>
      <c r="CX170" s="496"/>
      <c r="CY170" s="496"/>
      <c r="CZ170" s="496"/>
      <c r="DA170" s="496"/>
      <c r="DB170" s="496"/>
      <c r="DC170" s="496"/>
      <c r="DD170" s="496"/>
      <c r="DE170" s="496"/>
      <c r="DF170" s="496"/>
      <c r="DG170" s="496"/>
      <c r="DH170" s="496"/>
      <c r="DI170" s="496"/>
      <c r="DJ170" s="496"/>
      <c r="DK170" s="496"/>
      <c r="DL170" s="496"/>
      <c r="DM170" s="496"/>
      <c r="DN170" s="496"/>
      <c r="DO170" s="496"/>
      <c r="DP170" s="496"/>
      <c r="DQ170" s="496"/>
      <c r="DR170" s="496"/>
      <c r="DS170" s="496"/>
      <c r="DT170" s="496"/>
      <c r="DU170" s="496"/>
      <c r="DV170" s="496"/>
      <c r="DW170" s="496"/>
      <c r="DX170" s="496"/>
      <c r="DY170" s="496"/>
      <c r="DZ170" s="496"/>
      <c r="EA170" s="496"/>
      <c r="EB170" s="496"/>
      <c r="EC170" s="496"/>
      <c r="ED170" s="496"/>
      <c r="EE170" s="496"/>
      <c r="EF170" s="496"/>
      <c r="EG170" s="496"/>
      <c r="EH170" s="496"/>
      <c r="EI170" s="496"/>
      <c r="EJ170" s="496"/>
      <c r="EK170" s="496"/>
      <c r="EL170" s="496"/>
      <c r="EM170" s="496"/>
      <c r="EN170" s="496"/>
      <c r="EO170" s="496"/>
      <c r="EP170" s="496"/>
      <c r="EQ170" s="496"/>
      <c r="ER170" s="496"/>
      <c r="ES170" s="496"/>
      <c r="ET170" s="496"/>
      <c r="EU170" s="496"/>
      <c r="EV170" s="496"/>
      <c r="EW170" s="496"/>
      <c r="EX170" s="496"/>
      <c r="EY170" s="496"/>
      <c r="EZ170" s="496"/>
      <c r="FA170" s="496"/>
      <c r="FB170" s="496"/>
      <c r="FC170" s="496"/>
      <c r="FD170" s="496"/>
      <c r="FE170" s="496"/>
      <c r="FF170" s="496"/>
      <c r="FG170" s="496"/>
      <c r="FH170" s="496"/>
      <c r="FI170" s="496"/>
      <c r="FJ170" s="496"/>
      <c r="FK170" s="496"/>
      <c r="FL170" s="496"/>
      <c r="FM170" s="496"/>
      <c r="FN170" s="496"/>
      <c r="FO170" s="496"/>
      <c r="FP170" s="496"/>
      <c r="FQ170" s="496"/>
      <c r="FR170" s="496"/>
      <c r="FS170" s="496"/>
      <c r="FT170" s="496"/>
      <c r="FU170" s="496"/>
      <c r="FV170" s="496"/>
      <c r="FW170" s="496"/>
      <c r="FX170" s="496"/>
      <c r="FY170" s="496"/>
      <c r="FZ170" s="496"/>
      <c r="GA170" s="496"/>
      <c r="GB170" s="496"/>
      <c r="GC170" s="496"/>
      <c r="GD170" s="496"/>
      <c r="GE170" s="496"/>
      <c r="GF170" s="496"/>
      <c r="GG170" s="496"/>
      <c r="GH170" s="496"/>
      <c r="GI170" s="496"/>
      <c r="GJ170" s="496"/>
      <c r="GK170" s="496"/>
      <c r="GL170" s="496"/>
      <c r="GM170" s="496"/>
      <c r="GN170" s="496"/>
      <c r="GO170" s="496"/>
      <c r="GP170" s="496"/>
      <c r="GQ170" s="496"/>
      <c r="GR170" s="496"/>
      <c r="GS170" s="496"/>
      <c r="GT170" s="496"/>
      <c r="GU170" s="496"/>
      <c r="GV170" s="496"/>
      <c r="GW170" s="496"/>
      <c r="GX170" s="496"/>
      <c r="GY170" s="496"/>
      <c r="GZ170" s="496"/>
      <c r="HA170" s="496"/>
      <c r="HB170" s="496"/>
    </row>
    <row r="171" spans="1:210" ht="20.100000000000001" customHeight="1">
      <c r="A171" s="164"/>
      <c r="B171" s="250"/>
      <c r="C171" s="502"/>
      <c r="D171" s="502"/>
      <c r="E171" s="498" t="s">
        <v>1455</v>
      </c>
      <c r="F171" s="500"/>
      <c r="G171" s="501" t="s">
        <v>433</v>
      </c>
      <c r="H171" s="383"/>
      <c r="I171" s="310"/>
      <c r="J171" s="311"/>
      <c r="K171" s="315"/>
      <c r="L171" s="310"/>
      <c r="M171" s="310"/>
      <c r="N171" s="310"/>
      <c r="O171" s="250"/>
      <c r="P171" s="251"/>
      <c r="Q171" s="200"/>
      <c r="R171" s="251"/>
      <c r="S171" s="251"/>
      <c r="T171" s="251"/>
      <c r="U171" s="200"/>
      <c r="V171" s="251"/>
      <c r="W171" s="251"/>
      <c r="X171" s="251"/>
      <c r="Y171" s="200"/>
      <c r="Z171" s="251"/>
      <c r="AA171" s="251"/>
      <c r="AB171" s="251"/>
      <c r="AC171" s="200"/>
      <c r="AD171" s="251"/>
      <c r="AE171" s="251"/>
      <c r="AF171" s="251"/>
      <c r="AG171" s="251"/>
      <c r="AH171" s="251"/>
      <c r="AI171" s="251"/>
      <c r="AJ171" s="251"/>
      <c r="AK171" s="251"/>
      <c r="AL171" s="251"/>
      <c r="AM171" s="251"/>
      <c r="AN171" s="251"/>
      <c r="AO171" s="495"/>
      <c r="AP171" s="495"/>
      <c r="AQ171" s="249"/>
      <c r="AR171" s="249"/>
      <c r="AS171" s="249"/>
      <c r="AT171" s="249"/>
      <c r="AU171" s="249"/>
      <c r="AV171" s="249"/>
      <c r="AW171" s="251"/>
      <c r="AX171" s="251"/>
      <c r="AY171" s="251"/>
      <c r="AZ171" s="251"/>
      <c r="BA171" s="251"/>
      <c r="BB171" s="251"/>
      <c r="BC171" s="251"/>
      <c r="BD171" s="251"/>
      <c r="BE171" s="251"/>
      <c r="BF171" s="251"/>
      <c r="BG171" s="251"/>
      <c r="BH171" s="251"/>
      <c r="BI171" s="251"/>
      <c r="BJ171" s="251"/>
      <c r="BK171" s="251"/>
      <c r="BL171" s="251"/>
      <c r="BM171" s="251"/>
      <c r="BN171" s="251"/>
      <c r="BO171" s="251"/>
      <c r="BP171" s="251"/>
      <c r="BQ171" s="249"/>
      <c r="BR171" s="249"/>
      <c r="BS171" s="249"/>
      <c r="BT171" s="249"/>
      <c r="BU171" s="249"/>
      <c r="BV171" s="249"/>
      <c r="BW171" s="496"/>
      <c r="BX171" s="496"/>
      <c r="BY171" s="496"/>
      <c r="BZ171" s="496"/>
      <c r="CA171" s="496"/>
      <c r="CB171" s="496"/>
      <c r="CC171" s="496"/>
      <c r="CD171" s="496"/>
      <c r="CE171" s="496"/>
      <c r="CF171" s="496"/>
      <c r="CG171" s="496"/>
      <c r="CH171" s="496"/>
      <c r="CI171" s="496"/>
      <c r="CJ171" s="496"/>
      <c r="CK171" s="496"/>
      <c r="CL171" s="496"/>
      <c r="CM171" s="496"/>
      <c r="CN171" s="496"/>
      <c r="CO171" s="496"/>
      <c r="CP171" s="496"/>
      <c r="CQ171" s="496"/>
      <c r="CR171" s="496"/>
      <c r="CS171" s="496"/>
      <c r="CT171" s="496"/>
      <c r="CU171" s="496"/>
      <c r="CV171" s="496"/>
      <c r="CW171" s="496"/>
      <c r="CX171" s="496"/>
      <c r="CY171" s="496"/>
      <c r="CZ171" s="496"/>
      <c r="DA171" s="496"/>
      <c r="DB171" s="496"/>
      <c r="DC171" s="496"/>
      <c r="DD171" s="496"/>
      <c r="DE171" s="496"/>
      <c r="DF171" s="496"/>
      <c r="DG171" s="496"/>
      <c r="DH171" s="496"/>
      <c r="DI171" s="496"/>
      <c r="DJ171" s="496"/>
      <c r="DK171" s="496"/>
      <c r="DL171" s="496"/>
      <c r="DM171" s="496"/>
      <c r="DN171" s="496"/>
      <c r="DO171" s="496"/>
      <c r="DP171" s="496"/>
      <c r="DQ171" s="496"/>
      <c r="DR171" s="496"/>
      <c r="DS171" s="496"/>
      <c r="DT171" s="496"/>
      <c r="DU171" s="496"/>
      <c r="DV171" s="496"/>
      <c r="DW171" s="496"/>
      <c r="DX171" s="496"/>
      <c r="DY171" s="496"/>
      <c r="DZ171" s="496"/>
      <c r="EA171" s="496"/>
      <c r="EB171" s="496"/>
      <c r="EC171" s="496"/>
      <c r="ED171" s="496"/>
      <c r="EE171" s="496"/>
      <c r="EF171" s="496"/>
      <c r="EG171" s="496"/>
      <c r="EH171" s="496"/>
      <c r="EI171" s="496"/>
      <c r="EJ171" s="496"/>
      <c r="EK171" s="496"/>
      <c r="EL171" s="496"/>
      <c r="EM171" s="496"/>
      <c r="EN171" s="496"/>
      <c r="EO171" s="496"/>
      <c r="EP171" s="496"/>
      <c r="EQ171" s="496"/>
      <c r="ER171" s="496"/>
      <c r="ES171" s="496"/>
      <c r="ET171" s="496"/>
      <c r="EU171" s="496"/>
      <c r="EV171" s="496"/>
      <c r="EW171" s="496"/>
      <c r="EX171" s="496"/>
      <c r="EY171" s="496"/>
      <c r="EZ171" s="496"/>
      <c r="FA171" s="496"/>
      <c r="FB171" s="496"/>
      <c r="FC171" s="496"/>
      <c r="FD171" s="496"/>
      <c r="FE171" s="496"/>
      <c r="FF171" s="496"/>
      <c r="FG171" s="496"/>
      <c r="FH171" s="496"/>
      <c r="FI171" s="496"/>
      <c r="FJ171" s="496"/>
      <c r="FK171" s="496"/>
      <c r="FL171" s="496"/>
      <c r="FM171" s="496"/>
      <c r="FN171" s="496"/>
      <c r="FO171" s="496"/>
      <c r="FP171" s="496"/>
      <c r="FQ171" s="496"/>
      <c r="FR171" s="496"/>
      <c r="FS171" s="496"/>
      <c r="FT171" s="496"/>
      <c r="FU171" s="496"/>
      <c r="FV171" s="496"/>
      <c r="FW171" s="496"/>
      <c r="FX171" s="496"/>
      <c r="FY171" s="496"/>
      <c r="FZ171" s="496"/>
      <c r="GA171" s="496"/>
      <c r="GB171" s="496"/>
      <c r="GC171" s="496"/>
      <c r="GD171" s="496"/>
      <c r="GE171" s="496"/>
      <c r="GF171" s="496"/>
      <c r="GG171" s="496"/>
      <c r="GH171" s="496"/>
      <c r="GI171" s="496"/>
      <c r="GJ171" s="496"/>
      <c r="GK171" s="496"/>
      <c r="GL171" s="496"/>
      <c r="GM171" s="496"/>
      <c r="GN171" s="496"/>
      <c r="GO171" s="496"/>
      <c r="GP171" s="496"/>
      <c r="GQ171" s="496"/>
      <c r="GR171" s="496"/>
      <c r="GS171" s="496"/>
      <c r="GT171" s="496"/>
      <c r="GU171" s="496"/>
      <c r="GV171" s="496"/>
      <c r="GW171" s="496"/>
      <c r="GX171" s="496"/>
      <c r="GY171" s="496"/>
      <c r="GZ171" s="496"/>
      <c r="HA171" s="496"/>
      <c r="HB171" s="496"/>
    </row>
    <row r="172" spans="1:210" ht="20.100000000000001" customHeight="1">
      <c r="A172" s="164"/>
      <c r="B172" s="250"/>
      <c r="C172" s="502"/>
      <c r="D172" s="506"/>
      <c r="E172" s="498" t="s">
        <v>1456</v>
      </c>
      <c r="F172" s="500"/>
      <c r="G172" s="501" t="s">
        <v>1533</v>
      </c>
      <c r="H172" s="383"/>
      <c r="I172" s="310"/>
      <c r="J172" s="311"/>
      <c r="K172" s="315"/>
      <c r="L172" s="310"/>
      <c r="M172" s="310"/>
      <c r="N172" s="310"/>
      <c r="O172" s="250"/>
      <c r="P172" s="251"/>
      <c r="Q172" s="200"/>
      <c r="R172" s="251"/>
      <c r="S172" s="251"/>
      <c r="T172" s="251"/>
      <c r="U172" s="200"/>
      <c r="V172" s="251"/>
      <c r="W172" s="251"/>
      <c r="X172" s="251"/>
      <c r="Y172" s="200"/>
      <c r="Z172" s="251"/>
      <c r="AA172" s="251"/>
      <c r="AB172" s="251"/>
      <c r="AC172" s="200"/>
      <c r="AD172" s="251"/>
      <c r="AE172" s="251"/>
      <c r="AF172" s="251"/>
      <c r="AG172" s="251"/>
      <c r="AH172" s="251"/>
      <c r="AI172" s="251"/>
      <c r="AJ172" s="251"/>
      <c r="AK172" s="251"/>
      <c r="AL172" s="251"/>
      <c r="AM172" s="251"/>
      <c r="AN172" s="251"/>
      <c r="AO172" s="495"/>
      <c r="AP172" s="495"/>
      <c r="AQ172" s="249"/>
      <c r="AR172" s="249"/>
      <c r="AS172" s="249"/>
      <c r="AT172" s="249"/>
      <c r="AU172" s="249"/>
      <c r="AV172" s="249"/>
      <c r="AW172" s="251"/>
      <c r="AX172" s="251"/>
      <c r="AY172" s="251"/>
      <c r="AZ172" s="251"/>
      <c r="BA172" s="251"/>
      <c r="BB172" s="251"/>
      <c r="BC172" s="251"/>
      <c r="BD172" s="251"/>
      <c r="BE172" s="251"/>
      <c r="BF172" s="251"/>
      <c r="BG172" s="251"/>
      <c r="BH172" s="251"/>
      <c r="BI172" s="251"/>
      <c r="BJ172" s="251"/>
      <c r="BK172" s="251"/>
      <c r="BL172" s="251"/>
      <c r="BM172" s="251"/>
      <c r="BN172" s="251"/>
      <c r="BO172" s="251"/>
      <c r="BP172" s="251"/>
      <c r="BQ172" s="249"/>
      <c r="BR172" s="249"/>
      <c r="BS172" s="249"/>
      <c r="BT172" s="249"/>
      <c r="BU172" s="249"/>
      <c r="BV172" s="249"/>
      <c r="BW172" s="496"/>
      <c r="BX172" s="496"/>
      <c r="BY172" s="496"/>
      <c r="BZ172" s="496"/>
      <c r="CA172" s="496"/>
      <c r="CB172" s="496"/>
      <c r="CC172" s="496"/>
      <c r="CD172" s="496"/>
      <c r="CE172" s="496"/>
      <c r="CF172" s="496"/>
      <c r="CG172" s="496"/>
      <c r="CH172" s="496"/>
      <c r="CI172" s="496"/>
      <c r="CJ172" s="496"/>
      <c r="CK172" s="496"/>
      <c r="CL172" s="496"/>
      <c r="CM172" s="496"/>
      <c r="CN172" s="496"/>
      <c r="CO172" s="496"/>
      <c r="CP172" s="496"/>
      <c r="CQ172" s="496"/>
      <c r="CR172" s="496"/>
      <c r="CS172" s="496"/>
      <c r="CT172" s="496"/>
      <c r="CU172" s="496"/>
      <c r="CV172" s="496"/>
      <c r="CW172" s="496"/>
      <c r="CX172" s="496"/>
      <c r="CY172" s="496"/>
      <c r="CZ172" s="496"/>
      <c r="DA172" s="496"/>
      <c r="DB172" s="496"/>
      <c r="DC172" s="496"/>
      <c r="DD172" s="496"/>
      <c r="DE172" s="496"/>
      <c r="DF172" s="496"/>
      <c r="DG172" s="496"/>
      <c r="DH172" s="496"/>
      <c r="DI172" s="496"/>
      <c r="DJ172" s="496"/>
      <c r="DK172" s="496"/>
      <c r="DL172" s="496"/>
      <c r="DM172" s="496"/>
      <c r="DN172" s="496"/>
      <c r="DO172" s="496"/>
      <c r="DP172" s="496"/>
      <c r="DQ172" s="496"/>
      <c r="DR172" s="496"/>
      <c r="DS172" s="496"/>
      <c r="DT172" s="496"/>
      <c r="DU172" s="496"/>
      <c r="DV172" s="496"/>
      <c r="DW172" s="496"/>
      <c r="DX172" s="496"/>
      <c r="DY172" s="496"/>
      <c r="DZ172" s="496"/>
      <c r="EA172" s="496"/>
      <c r="EB172" s="496"/>
      <c r="EC172" s="496"/>
      <c r="ED172" s="496"/>
      <c r="EE172" s="496"/>
      <c r="EF172" s="496"/>
      <c r="EG172" s="496"/>
      <c r="EH172" s="496"/>
      <c r="EI172" s="496"/>
      <c r="EJ172" s="496"/>
      <c r="EK172" s="496"/>
      <c r="EL172" s="496"/>
      <c r="EM172" s="496"/>
      <c r="EN172" s="496"/>
      <c r="EO172" s="496"/>
      <c r="EP172" s="496"/>
      <c r="EQ172" s="496"/>
      <c r="ER172" s="496"/>
      <c r="ES172" s="496"/>
      <c r="ET172" s="496"/>
      <c r="EU172" s="496"/>
      <c r="EV172" s="496"/>
      <c r="EW172" s="496"/>
      <c r="EX172" s="496"/>
      <c r="EY172" s="496"/>
      <c r="EZ172" s="496"/>
      <c r="FA172" s="496"/>
      <c r="FB172" s="496"/>
      <c r="FC172" s="496"/>
      <c r="FD172" s="496"/>
      <c r="FE172" s="496"/>
      <c r="FF172" s="496"/>
      <c r="FG172" s="496"/>
      <c r="FH172" s="496"/>
      <c r="FI172" s="496"/>
      <c r="FJ172" s="496"/>
      <c r="FK172" s="496"/>
      <c r="FL172" s="496"/>
      <c r="FM172" s="496"/>
      <c r="FN172" s="496"/>
      <c r="FO172" s="496"/>
      <c r="FP172" s="496"/>
      <c r="FQ172" s="496"/>
      <c r="FR172" s="496"/>
      <c r="FS172" s="496"/>
      <c r="FT172" s="496"/>
      <c r="FU172" s="496"/>
      <c r="FV172" s="496"/>
      <c r="FW172" s="496"/>
      <c r="FX172" s="496"/>
      <c r="FY172" s="496"/>
      <c r="FZ172" s="496"/>
      <c r="GA172" s="496"/>
      <c r="GB172" s="496"/>
      <c r="GC172" s="496"/>
      <c r="GD172" s="496"/>
      <c r="GE172" s="496"/>
      <c r="GF172" s="496"/>
      <c r="GG172" s="496"/>
      <c r="GH172" s="496"/>
      <c r="GI172" s="496"/>
      <c r="GJ172" s="496"/>
      <c r="GK172" s="496"/>
      <c r="GL172" s="496"/>
      <c r="GM172" s="496"/>
      <c r="GN172" s="496"/>
      <c r="GO172" s="496"/>
      <c r="GP172" s="496"/>
      <c r="GQ172" s="496"/>
      <c r="GR172" s="496"/>
      <c r="GS172" s="496"/>
      <c r="GT172" s="496"/>
      <c r="GU172" s="496"/>
      <c r="GV172" s="496"/>
      <c r="GW172" s="496"/>
      <c r="GX172" s="496"/>
      <c r="GY172" s="496"/>
      <c r="GZ172" s="496"/>
      <c r="HA172" s="496"/>
      <c r="HB172" s="496"/>
    </row>
    <row r="173" spans="1:210" ht="20.100000000000001" customHeight="1">
      <c r="A173" s="164"/>
      <c r="B173" s="250"/>
      <c r="C173" s="507"/>
      <c r="D173" s="498" t="s">
        <v>638</v>
      </c>
      <c r="E173" s="508"/>
      <c r="F173" s="509"/>
      <c r="G173" s="501" t="s">
        <v>433</v>
      </c>
      <c r="H173" s="383"/>
      <c r="I173" s="310"/>
      <c r="J173" s="311"/>
      <c r="K173" s="315"/>
      <c r="L173" s="310"/>
      <c r="M173" s="310"/>
      <c r="N173" s="310"/>
      <c r="O173" s="250"/>
      <c r="P173" s="251"/>
      <c r="Q173" s="200"/>
      <c r="R173" s="251"/>
      <c r="S173" s="251"/>
      <c r="T173" s="251"/>
      <c r="U173" s="200"/>
      <c r="V173" s="251"/>
      <c r="W173" s="251"/>
      <c r="X173" s="251"/>
      <c r="Y173" s="200"/>
      <c r="Z173" s="251"/>
      <c r="AA173" s="251"/>
      <c r="AB173" s="251"/>
      <c r="AC173" s="200"/>
      <c r="AD173" s="251"/>
      <c r="AE173" s="251"/>
      <c r="AF173" s="251"/>
      <c r="AG173" s="251"/>
      <c r="AH173" s="251"/>
      <c r="AI173" s="251"/>
      <c r="AJ173" s="251"/>
      <c r="AK173" s="251"/>
      <c r="AL173" s="251"/>
      <c r="AM173" s="251"/>
      <c r="AN173" s="251"/>
      <c r="AO173" s="495"/>
      <c r="AP173" s="495"/>
      <c r="AQ173" s="249"/>
      <c r="AR173" s="249"/>
      <c r="AS173" s="249"/>
      <c r="AT173" s="249"/>
      <c r="AU173" s="249"/>
      <c r="AV173" s="249"/>
      <c r="AW173" s="251"/>
      <c r="AX173" s="251"/>
      <c r="AY173" s="251"/>
      <c r="AZ173" s="251"/>
      <c r="BA173" s="251"/>
      <c r="BB173" s="251"/>
      <c r="BC173" s="251"/>
      <c r="BD173" s="251"/>
      <c r="BE173" s="251"/>
      <c r="BF173" s="251"/>
      <c r="BG173" s="251"/>
      <c r="BH173" s="251"/>
      <c r="BI173" s="251"/>
      <c r="BJ173" s="251"/>
      <c r="BK173" s="251"/>
      <c r="BL173" s="251"/>
      <c r="BM173" s="251"/>
      <c r="BN173" s="251"/>
      <c r="BO173" s="251"/>
      <c r="BP173" s="251"/>
      <c r="BQ173" s="249"/>
      <c r="BR173" s="249"/>
      <c r="BS173" s="249"/>
      <c r="BT173" s="249"/>
      <c r="BU173" s="249"/>
      <c r="BV173" s="249"/>
      <c r="BW173" s="496"/>
      <c r="BX173" s="496"/>
      <c r="BY173" s="496"/>
      <c r="BZ173" s="496"/>
      <c r="CA173" s="496"/>
      <c r="CB173" s="496"/>
      <c r="CC173" s="496"/>
      <c r="CD173" s="496"/>
      <c r="CE173" s="496"/>
      <c r="CF173" s="496"/>
      <c r="CG173" s="496"/>
      <c r="CH173" s="496"/>
      <c r="CI173" s="496"/>
      <c r="CJ173" s="496"/>
      <c r="CK173" s="496"/>
      <c r="CL173" s="496"/>
      <c r="CM173" s="496"/>
      <c r="CN173" s="496"/>
      <c r="CO173" s="496"/>
      <c r="CP173" s="496"/>
      <c r="CQ173" s="496"/>
      <c r="CR173" s="496"/>
      <c r="CS173" s="496"/>
      <c r="CT173" s="496"/>
      <c r="CU173" s="496"/>
      <c r="CV173" s="496"/>
      <c r="CW173" s="496"/>
      <c r="CX173" s="496"/>
      <c r="CY173" s="496"/>
      <c r="CZ173" s="496"/>
      <c r="DA173" s="496"/>
      <c r="DB173" s="496"/>
      <c r="DC173" s="496"/>
      <c r="DD173" s="496"/>
      <c r="DE173" s="496"/>
      <c r="DF173" s="496"/>
      <c r="DG173" s="496"/>
      <c r="DH173" s="496"/>
      <c r="DI173" s="496"/>
      <c r="DJ173" s="496"/>
      <c r="DK173" s="496"/>
      <c r="DL173" s="496"/>
      <c r="DM173" s="496"/>
      <c r="DN173" s="496"/>
      <c r="DO173" s="496"/>
      <c r="DP173" s="496"/>
      <c r="DQ173" s="496"/>
      <c r="DR173" s="496"/>
      <c r="DS173" s="496"/>
      <c r="DT173" s="496"/>
      <c r="DU173" s="496"/>
      <c r="DV173" s="496"/>
      <c r="DW173" s="496"/>
      <c r="DX173" s="496"/>
      <c r="DY173" s="496"/>
      <c r="DZ173" s="496"/>
      <c r="EA173" s="496"/>
      <c r="EB173" s="496"/>
      <c r="EC173" s="496"/>
      <c r="ED173" s="496"/>
      <c r="EE173" s="496"/>
      <c r="EF173" s="496"/>
      <c r="EG173" s="496"/>
      <c r="EH173" s="496"/>
      <c r="EI173" s="496"/>
      <c r="EJ173" s="496"/>
      <c r="EK173" s="496"/>
      <c r="EL173" s="496"/>
      <c r="EM173" s="496"/>
      <c r="EN173" s="496"/>
      <c r="EO173" s="496"/>
      <c r="EP173" s="496"/>
      <c r="EQ173" s="496"/>
      <c r="ER173" s="496"/>
      <c r="ES173" s="496"/>
      <c r="ET173" s="496"/>
      <c r="EU173" s="496"/>
      <c r="EV173" s="496"/>
      <c r="EW173" s="496"/>
      <c r="EX173" s="496"/>
      <c r="EY173" s="496"/>
      <c r="EZ173" s="496"/>
      <c r="FA173" s="496"/>
      <c r="FB173" s="496"/>
      <c r="FC173" s="496"/>
      <c r="FD173" s="496"/>
      <c r="FE173" s="496"/>
      <c r="FF173" s="496"/>
      <c r="FG173" s="496"/>
      <c r="FH173" s="496"/>
      <c r="FI173" s="496"/>
      <c r="FJ173" s="496"/>
      <c r="FK173" s="496"/>
      <c r="FL173" s="496"/>
      <c r="FM173" s="496"/>
      <c r="FN173" s="496"/>
      <c r="FO173" s="496"/>
      <c r="FP173" s="496"/>
      <c r="FQ173" s="496"/>
      <c r="FR173" s="496"/>
      <c r="FS173" s="496"/>
      <c r="FT173" s="496"/>
      <c r="FU173" s="496"/>
      <c r="FV173" s="496"/>
      <c r="FW173" s="496"/>
      <c r="FX173" s="496"/>
      <c r="FY173" s="496"/>
      <c r="FZ173" s="496"/>
      <c r="GA173" s="496"/>
      <c r="GB173" s="496"/>
      <c r="GC173" s="496"/>
      <c r="GD173" s="496"/>
      <c r="GE173" s="496"/>
      <c r="GF173" s="496"/>
      <c r="GG173" s="496"/>
      <c r="GH173" s="496"/>
      <c r="GI173" s="496"/>
      <c r="GJ173" s="496"/>
      <c r="GK173" s="496"/>
      <c r="GL173" s="496"/>
      <c r="GM173" s="496"/>
      <c r="GN173" s="496"/>
      <c r="GO173" s="496"/>
      <c r="GP173" s="496"/>
      <c r="GQ173" s="496"/>
      <c r="GR173" s="496"/>
      <c r="GS173" s="496"/>
      <c r="GT173" s="496"/>
      <c r="GU173" s="496"/>
      <c r="GV173" s="496"/>
      <c r="GW173" s="496"/>
      <c r="GX173" s="496"/>
      <c r="GY173" s="496"/>
      <c r="GZ173" s="496"/>
      <c r="HA173" s="496"/>
      <c r="HB173" s="496"/>
    </row>
    <row r="174" spans="1:210" ht="20.100000000000001" customHeight="1" thickBot="1">
      <c r="A174" s="164"/>
      <c r="B174" s="250"/>
      <c r="C174" s="498" t="s">
        <v>1457</v>
      </c>
      <c r="D174" s="499"/>
      <c r="E174" s="510"/>
      <c r="F174" s="511"/>
      <c r="G174" s="501" t="s">
        <v>433</v>
      </c>
      <c r="H174" s="383"/>
      <c r="I174" s="310"/>
      <c r="J174" s="311"/>
      <c r="K174" s="315"/>
      <c r="L174" s="310"/>
      <c r="M174" s="310"/>
      <c r="N174" s="310"/>
      <c r="O174" s="512"/>
      <c r="P174" s="278"/>
      <c r="Q174" s="200"/>
      <c r="R174" s="251"/>
      <c r="S174" s="251"/>
      <c r="T174" s="251"/>
      <c r="U174" s="200"/>
      <c r="V174" s="251"/>
      <c r="W174" s="251"/>
      <c r="X174" s="251"/>
      <c r="Y174" s="200"/>
      <c r="Z174" s="251"/>
      <c r="AA174" s="251"/>
      <c r="AB174" s="251"/>
      <c r="AC174" s="200"/>
      <c r="AD174" s="251"/>
      <c r="AE174" s="251"/>
      <c r="AF174" s="251"/>
      <c r="AG174" s="251"/>
      <c r="AH174" s="251"/>
      <c r="AI174" s="251"/>
      <c r="AJ174" s="251"/>
      <c r="AK174" s="251"/>
      <c r="AL174" s="251"/>
      <c r="AM174" s="251"/>
      <c r="AN174" s="251"/>
      <c r="AO174" s="495"/>
      <c r="AP174" s="495"/>
      <c r="AQ174" s="249"/>
      <c r="AR174" s="249"/>
      <c r="AS174" s="249"/>
      <c r="AT174" s="249"/>
      <c r="AU174" s="249"/>
      <c r="AV174" s="249"/>
      <c r="AW174" s="251"/>
      <c r="AX174" s="251"/>
      <c r="AY174" s="251"/>
      <c r="AZ174" s="251"/>
      <c r="BA174" s="251"/>
      <c r="BB174" s="251"/>
      <c r="BC174" s="251"/>
      <c r="BD174" s="251"/>
      <c r="BE174" s="251"/>
      <c r="BF174" s="251"/>
      <c r="BG174" s="251"/>
      <c r="BH174" s="251"/>
      <c r="BI174" s="251"/>
      <c r="BJ174" s="251"/>
      <c r="BK174" s="251"/>
      <c r="BL174" s="251"/>
      <c r="BM174" s="251"/>
      <c r="BN174" s="251"/>
      <c r="BO174" s="251"/>
      <c r="BP174" s="251"/>
      <c r="BQ174" s="249"/>
      <c r="BR174" s="249"/>
      <c r="BS174" s="249"/>
      <c r="BT174" s="249"/>
      <c r="BU174" s="249"/>
      <c r="BV174" s="249"/>
      <c r="BW174" s="496"/>
      <c r="BX174" s="496"/>
      <c r="BY174" s="496"/>
      <c r="BZ174" s="496"/>
      <c r="CA174" s="496"/>
      <c r="CB174" s="496"/>
      <c r="CC174" s="496"/>
      <c r="CD174" s="496"/>
      <c r="CE174" s="496"/>
      <c r="CF174" s="496"/>
      <c r="CG174" s="496"/>
      <c r="CH174" s="496"/>
      <c r="CI174" s="496"/>
      <c r="CJ174" s="496"/>
      <c r="CK174" s="496"/>
      <c r="CL174" s="496"/>
      <c r="CM174" s="496"/>
      <c r="CN174" s="496"/>
      <c r="CO174" s="496"/>
      <c r="CP174" s="496"/>
      <c r="CQ174" s="496"/>
      <c r="CR174" s="496"/>
      <c r="CS174" s="496"/>
      <c r="CT174" s="496"/>
      <c r="CU174" s="496"/>
      <c r="CV174" s="496"/>
      <c r="CW174" s="496"/>
      <c r="CX174" s="496"/>
      <c r="CY174" s="496"/>
      <c r="CZ174" s="496"/>
      <c r="DA174" s="496"/>
      <c r="DB174" s="496"/>
      <c r="DC174" s="496"/>
      <c r="DD174" s="496"/>
      <c r="DE174" s="496"/>
      <c r="DF174" s="496"/>
      <c r="DG174" s="496"/>
      <c r="DH174" s="496"/>
      <c r="DI174" s="496"/>
      <c r="DJ174" s="496"/>
      <c r="DK174" s="496"/>
      <c r="DL174" s="496"/>
      <c r="DM174" s="496"/>
      <c r="DN174" s="496"/>
      <c r="DO174" s="496"/>
      <c r="DP174" s="496"/>
      <c r="DQ174" s="496"/>
      <c r="DR174" s="496"/>
      <c r="DS174" s="496"/>
      <c r="DT174" s="496"/>
      <c r="DU174" s="496"/>
      <c r="DV174" s="496"/>
      <c r="DW174" s="496"/>
      <c r="DX174" s="496"/>
      <c r="DY174" s="496"/>
      <c r="DZ174" s="496"/>
      <c r="EA174" s="496"/>
      <c r="EB174" s="496"/>
      <c r="EC174" s="496"/>
      <c r="ED174" s="496"/>
      <c r="EE174" s="496"/>
      <c r="EF174" s="496"/>
      <c r="EG174" s="496"/>
      <c r="EH174" s="496"/>
      <c r="EI174" s="496"/>
      <c r="EJ174" s="496"/>
      <c r="EK174" s="496"/>
      <c r="EL174" s="496"/>
      <c r="EM174" s="496"/>
      <c r="EN174" s="496"/>
      <c r="EO174" s="496"/>
      <c r="EP174" s="496"/>
      <c r="EQ174" s="496"/>
      <c r="ER174" s="496"/>
      <c r="ES174" s="496"/>
      <c r="ET174" s="496"/>
      <c r="EU174" s="496"/>
      <c r="EV174" s="496"/>
      <c r="EW174" s="496"/>
      <c r="EX174" s="496"/>
      <c r="EY174" s="496"/>
      <c r="EZ174" s="496"/>
      <c r="FA174" s="496"/>
      <c r="FB174" s="496"/>
      <c r="FC174" s="496"/>
      <c r="FD174" s="496"/>
      <c r="FE174" s="496"/>
      <c r="FF174" s="496"/>
      <c r="FG174" s="496"/>
      <c r="FH174" s="496"/>
      <c r="FI174" s="496"/>
      <c r="FJ174" s="496"/>
      <c r="FK174" s="496"/>
      <c r="FL174" s="496"/>
      <c r="FM174" s="496"/>
      <c r="FN174" s="496"/>
      <c r="FO174" s="496"/>
      <c r="FP174" s="496"/>
      <c r="FQ174" s="496"/>
      <c r="FR174" s="496"/>
      <c r="FS174" s="496"/>
      <c r="FT174" s="496"/>
      <c r="FU174" s="496"/>
      <c r="FV174" s="496"/>
      <c r="FW174" s="496"/>
      <c r="FX174" s="496"/>
      <c r="FY174" s="496"/>
      <c r="FZ174" s="496"/>
      <c r="GA174" s="496"/>
      <c r="GB174" s="496"/>
      <c r="GC174" s="496"/>
      <c r="GD174" s="496"/>
      <c r="GE174" s="496"/>
      <c r="GF174" s="496"/>
      <c r="GG174" s="496"/>
      <c r="GH174" s="496"/>
      <c r="GI174" s="496"/>
      <c r="GJ174" s="496"/>
      <c r="GK174" s="496"/>
      <c r="GL174" s="496"/>
      <c r="GM174" s="496"/>
      <c r="GN174" s="496"/>
      <c r="GO174" s="496"/>
      <c r="GP174" s="496"/>
      <c r="GQ174" s="496"/>
      <c r="GR174" s="496"/>
      <c r="GS174" s="496"/>
      <c r="GT174" s="496"/>
      <c r="GU174" s="496"/>
      <c r="GV174" s="496"/>
      <c r="GW174" s="496"/>
      <c r="GX174" s="496"/>
      <c r="GY174" s="496"/>
      <c r="GZ174" s="496"/>
      <c r="HA174" s="496"/>
      <c r="HB174" s="496"/>
    </row>
    <row r="175" spans="1:210" ht="20.100000000000001" customHeight="1">
      <c r="A175" s="164"/>
      <c r="B175" s="250"/>
      <c r="C175" s="505" t="s">
        <v>639</v>
      </c>
      <c r="D175" s="505" t="s">
        <v>473</v>
      </c>
      <c r="E175" s="513"/>
      <c r="F175" s="500"/>
      <c r="G175" s="501" t="s">
        <v>436</v>
      </c>
      <c r="H175" s="383"/>
      <c r="I175" s="310"/>
      <c r="J175" s="311"/>
      <c r="K175" s="315"/>
      <c r="L175" s="310"/>
      <c r="M175" s="310"/>
      <c r="N175" s="310"/>
      <c r="O175" s="492" t="s">
        <v>640</v>
      </c>
      <c r="P175" s="514"/>
      <c r="Q175" s="200"/>
      <c r="R175" s="251"/>
      <c r="S175" s="251"/>
      <c r="T175" s="251"/>
      <c r="U175" s="200"/>
      <c r="V175" s="251"/>
      <c r="W175" s="251"/>
      <c r="X175" s="251"/>
      <c r="Y175" s="200"/>
      <c r="Z175" s="251"/>
      <c r="AA175" s="251"/>
      <c r="AB175" s="251"/>
      <c r="AC175" s="200"/>
      <c r="AD175" s="251"/>
      <c r="AE175" s="251"/>
      <c r="AF175" s="251"/>
      <c r="AG175" s="251"/>
      <c r="AH175" s="251"/>
      <c r="AI175" s="251"/>
      <c r="AJ175" s="251"/>
      <c r="AK175" s="251"/>
      <c r="AL175" s="251"/>
      <c r="AM175" s="251"/>
      <c r="AN175" s="251"/>
      <c r="AO175" s="495"/>
      <c r="AP175" s="495"/>
      <c r="AQ175" s="249"/>
      <c r="AR175" s="249"/>
      <c r="AS175" s="249"/>
      <c r="AT175" s="249"/>
      <c r="AU175" s="249"/>
      <c r="AV175" s="249"/>
      <c r="AW175" s="251"/>
      <c r="AX175" s="251"/>
      <c r="AY175" s="251"/>
      <c r="AZ175" s="251"/>
      <c r="BA175" s="251"/>
      <c r="BB175" s="251"/>
      <c r="BC175" s="251"/>
      <c r="BD175" s="251"/>
      <c r="BE175" s="251"/>
      <c r="BF175" s="251"/>
      <c r="BG175" s="251"/>
      <c r="BH175" s="251"/>
      <c r="BI175" s="251"/>
      <c r="BJ175" s="251"/>
      <c r="BK175" s="251"/>
      <c r="BL175" s="251"/>
      <c r="BM175" s="251"/>
      <c r="BN175" s="251"/>
      <c r="BO175" s="251"/>
      <c r="BP175" s="251"/>
      <c r="BQ175" s="249"/>
      <c r="BR175" s="249"/>
      <c r="BS175" s="249"/>
      <c r="BT175" s="249"/>
      <c r="BU175" s="249"/>
      <c r="BV175" s="249"/>
      <c r="BW175" s="496"/>
      <c r="BX175" s="496"/>
      <c r="BY175" s="496"/>
      <c r="BZ175" s="496"/>
      <c r="CA175" s="496"/>
      <c r="CB175" s="496"/>
      <c r="CC175" s="496"/>
      <c r="CD175" s="496"/>
      <c r="CE175" s="496"/>
      <c r="CF175" s="496"/>
      <c r="CG175" s="496"/>
      <c r="CH175" s="496"/>
      <c r="CI175" s="496"/>
      <c r="CJ175" s="496"/>
      <c r="CK175" s="496"/>
      <c r="CL175" s="496"/>
      <c r="CM175" s="496"/>
      <c r="CN175" s="496"/>
      <c r="CO175" s="496"/>
      <c r="CP175" s="496"/>
      <c r="CQ175" s="496"/>
      <c r="CR175" s="496"/>
      <c r="CS175" s="496"/>
      <c r="CT175" s="496"/>
      <c r="CU175" s="496"/>
      <c r="CV175" s="496"/>
      <c r="CW175" s="496"/>
      <c r="CX175" s="496"/>
      <c r="CY175" s="496"/>
      <c r="CZ175" s="496"/>
      <c r="DA175" s="496"/>
      <c r="DB175" s="496"/>
      <c r="DC175" s="496"/>
      <c r="DD175" s="496"/>
      <c r="DE175" s="496"/>
      <c r="DF175" s="496"/>
      <c r="DG175" s="496"/>
      <c r="DH175" s="496"/>
      <c r="DI175" s="496"/>
      <c r="DJ175" s="496"/>
      <c r="DK175" s="496"/>
      <c r="DL175" s="496"/>
      <c r="DM175" s="496"/>
      <c r="DN175" s="496"/>
      <c r="DO175" s="496"/>
      <c r="DP175" s="496"/>
      <c r="DQ175" s="496"/>
      <c r="DR175" s="496"/>
      <c r="DS175" s="496"/>
      <c r="DT175" s="496"/>
      <c r="DU175" s="496"/>
      <c r="DV175" s="496"/>
      <c r="DW175" s="496"/>
      <c r="DX175" s="496"/>
      <c r="DY175" s="496"/>
      <c r="DZ175" s="496"/>
      <c r="EA175" s="496"/>
      <c r="EB175" s="496"/>
      <c r="EC175" s="496"/>
      <c r="ED175" s="496"/>
      <c r="EE175" s="496"/>
      <c r="EF175" s="496"/>
      <c r="EG175" s="496"/>
      <c r="EH175" s="496"/>
      <c r="EI175" s="496"/>
      <c r="EJ175" s="496"/>
      <c r="EK175" s="496"/>
      <c r="EL175" s="496"/>
      <c r="EM175" s="496"/>
      <c r="EN175" s="496"/>
      <c r="EO175" s="496"/>
      <c r="EP175" s="496"/>
      <c r="EQ175" s="496"/>
      <c r="ER175" s="496"/>
      <c r="ES175" s="496"/>
      <c r="ET175" s="496"/>
      <c r="EU175" s="496"/>
      <c r="EV175" s="496"/>
      <c r="EW175" s="496"/>
      <c r="EX175" s="496"/>
      <c r="EY175" s="496"/>
      <c r="EZ175" s="496"/>
      <c r="FA175" s="496"/>
      <c r="FB175" s="496"/>
      <c r="FC175" s="496"/>
      <c r="FD175" s="496"/>
      <c r="FE175" s="496"/>
      <c r="FF175" s="496"/>
      <c r="FG175" s="496"/>
      <c r="FH175" s="496"/>
      <c r="FI175" s="496"/>
      <c r="FJ175" s="496"/>
      <c r="FK175" s="496"/>
      <c r="FL175" s="496"/>
      <c r="FM175" s="496"/>
      <c r="FN175" s="496"/>
      <c r="FO175" s="496"/>
      <c r="FP175" s="496"/>
      <c r="FQ175" s="496"/>
      <c r="FR175" s="496"/>
      <c r="FS175" s="496"/>
      <c r="FT175" s="496"/>
      <c r="FU175" s="496"/>
      <c r="FV175" s="496"/>
      <c r="FW175" s="496"/>
      <c r="FX175" s="496"/>
      <c r="FY175" s="496"/>
      <c r="FZ175" s="496"/>
      <c r="GA175" s="496"/>
      <c r="GB175" s="496"/>
      <c r="GC175" s="496"/>
      <c r="GD175" s="496"/>
      <c r="GE175" s="496"/>
      <c r="GF175" s="496"/>
      <c r="GG175" s="496"/>
      <c r="GH175" s="496"/>
      <c r="GI175" s="496"/>
      <c r="GJ175" s="496"/>
      <c r="GK175" s="496"/>
      <c r="GL175" s="496"/>
      <c r="GM175" s="496"/>
      <c r="GN175" s="496"/>
      <c r="GO175" s="496"/>
      <c r="GP175" s="496"/>
      <c r="GQ175" s="496"/>
      <c r="GR175" s="496"/>
      <c r="GS175" s="496"/>
      <c r="GT175" s="496"/>
      <c r="GU175" s="496"/>
      <c r="GV175" s="496"/>
      <c r="GW175" s="496"/>
      <c r="GX175" s="496"/>
      <c r="GY175" s="496"/>
      <c r="GZ175" s="496"/>
      <c r="HA175" s="496"/>
      <c r="HB175" s="496"/>
    </row>
    <row r="176" spans="1:210" ht="20.100000000000001" customHeight="1">
      <c r="A176" s="164"/>
      <c r="B176" s="250"/>
      <c r="C176" s="505"/>
      <c r="D176" s="504" t="s">
        <v>474</v>
      </c>
      <c r="E176" s="515"/>
      <c r="F176" s="383"/>
      <c r="G176" s="501" t="s">
        <v>436</v>
      </c>
      <c r="H176" s="383"/>
      <c r="I176" s="310"/>
      <c r="J176" s="311"/>
      <c r="K176" s="315"/>
      <c r="L176" s="336"/>
      <c r="M176" s="336"/>
      <c r="N176" s="336"/>
      <c r="O176" s="516" t="s">
        <v>1458</v>
      </c>
      <c r="P176" s="517"/>
      <c r="Q176" s="200"/>
      <c r="R176" s="251"/>
      <c r="S176" s="251"/>
      <c r="T176" s="251"/>
      <c r="U176" s="200"/>
      <c r="V176" s="251"/>
      <c r="W176" s="251"/>
      <c r="X176" s="251"/>
      <c r="Y176" s="200"/>
      <c r="Z176" s="251"/>
      <c r="AA176" s="251"/>
      <c r="AB176" s="251"/>
      <c r="AC176" s="200"/>
      <c r="AD176" s="251"/>
      <c r="AE176" s="251"/>
      <c r="AF176" s="251"/>
      <c r="AG176" s="251"/>
      <c r="AH176" s="251"/>
      <c r="AI176" s="251"/>
      <c r="AJ176" s="251"/>
      <c r="AK176" s="251"/>
      <c r="AL176" s="251"/>
      <c r="AM176" s="251"/>
      <c r="AN176" s="251"/>
      <c r="AO176" s="495"/>
      <c r="AP176" s="495"/>
      <c r="AQ176" s="249"/>
      <c r="AR176" s="249"/>
      <c r="AS176" s="249"/>
      <c r="AT176" s="249"/>
      <c r="AU176" s="249"/>
      <c r="AV176" s="249"/>
      <c r="AW176" s="251"/>
      <c r="AX176" s="251"/>
      <c r="AY176" s="251"/>
      <c r="AZ176" s="251"/>
      <c r="BA176" s="251"/>
      <c r="BB176" s="251"/>
      <c r="BC176" s="251"/>
      <c r="BD176" s="251"/>
      <c r="BE176" s="251"/>
      <c r="BF176" s="251"/>
      <c r="BG176" s="251"/>
      <c r="BH176" s="251"/>
      <c r="BI176" s="251"/>
      <c r="BJ176" s="251"/>
      <c r="BK176" s="251"/>
      <c r="BL176" s="251"/>
      <c r="BM176" s="251"/>
      <c r="BN176" s="251"/>
      <c r="BO176" s="251"/>
      <c r="BP176" s="251"/>
      <c r="BQ176" s="249"/>
      <c r="BR176" s="249"/>
      <c r="BS176" s="249"/>
      <c r="BT176" s="249"/>
      <c r="BU176" s="249"/>
      <c r="BV176" s="249"/>
      <c r="BW176" s="496"/>
      <c r="BX176" s="496"/>
      <c r="BY176" s="496"/>
      <c r="BZ176" s="496"/>
      <c r="CA176" s="496"/>
      <c r="CB176" s="496"/>
      <c r="CC176" s="496"/>
      <c r="CD176" s="496"/>
      <c r="CE176" s="496"/>
      <c r="CF176" s="496"/>
      <c r="CG176" s="496"/>
      <c r="CH176" s="496"/>
      <c r="CI176" s="496"/>
      <c r="CJ176" s="496"/>
      <c r="CK176" s="496"/>
      <c r="CL176" s="496"/>
      <c r="CM176" s="496"/>
      <c r="CN176" s="496"/>
      <c r="CO176" s="496"/>
      <c r="CP176" s="496"/>
      <c r="CQ176" s="496"/>
      <c r="CR176" s="496"/>
      <c r="CS176" s="496"/>
      <c r="CT176" s="496"/>
      <c r="CU176" s="496"/>
      <c r="CV176" s="496"/>
      <c r="CW176" s="496"/>
      <c r="CX176" s="496"/>
      <c r="CY176" s="496"/>
      <c r="CZ176" s="496"/>
      <c r="DA176" s="496"/>
      <c r="DB176" s="496"/>
      <c r="DC176" s="496"/>
      <c r="DD176" s="496"/>
      <c r="DE176" s="496"/>
      <c r="DF176" s="496"/>
      <c r="DG176" s="496"/>
      <c r="DH176" s="496"/>
      <c r="DI176" s="496"/>
      <c r="DJ176" s="496"/>
      <c r="DK176" s="496"/>
      <c r="DL176" s="496"/>
      <c r="DM176" s="496"/>
      <c r="DN176" s="496"/>
      <c r="DO176" s="496"/>
      <c r="DP176" s="496"/>
      <c r="DQ176" s="496"/>
      <c r="DR176" s="496"/>
      <c r="DS176" s="496"/>
      <c r="DT176" s="496"/>
      <c r="DU176" s="496"/>
      <c r="DV176" s="496"/>
      <c r="DW176" s="496"/>
      <c r="DX176" s="496"/>
      <c r="DY176" s="496"/>
      <c r="DZ176" s="496"/>
      <c r="EA176" s="496"/>
      <c r="EB176" s="496"/>
      <c r="EC176" s="496"/>
      <c r="ED176" s="496"/>
      <c r="EE176" s="496"/>
      <c r="EF176" s="496"/>
      <c r="EG176" s="496"/>
      <c r="EH176" s="496"/>
      <c r="EI176" s="496"/>
      <c r="EJ176" s="496"/>
      <c r="EK176" s="496"/>
      <c r="EL176" s="496"/>
      <c r="EM176" s="496"/>
      <c r="EN176" s="496"/>
      <c r="EO176" s="496"/>
      <c r="EP176" s="496"/>
      <c r="EQ176" s="496"/>
      <c r="ER176" s="496"/>
      <c r="ES176" s="496"/>
      <c r="ET176" s="496"/>
      <c r="EU176" s="496"/>
      <c r="EV176" s="496"/>
      <c r="EW176" s="496"/>
      <c r="EX176" s="496"/>
      <c r="EY176" s="496"/>
      <c r="EZ176" s="496"/>
      <c r="FA176" s="496"/>
      <c r="FB176" s="496"/>
      <c r="FC176" s="496"/>
      <c r="FD176" s="496"/>
      <c r="FE176" s="496"/>
      <c r="FF176" s="496"/>
      <c r="FG176" s="496"/>
      <c r="FH176" s="496"/>
      <c r="FI176" s="496"/>
      <c r="FJ176" s="496"/>
      <c r="FK176" s="496"/>
      <c r="FL176" s="496"/>
      <c r="FM176" s="496"/>
      <c r="FN176" s="496"/>
      <c r="FO176" s="496"/>
      <c r="FP176" s="496"/>
      <c r="FQ176" s="496"/>
      <c r="FR176" s="496"/>
      <c r="FS176" s="496"/>
      <c r="FT176" s="496"/>
      <c r="FU176" s="496"/>
      <c r="FV176" s="496"/>
      <c r="FW176" s="496"/>
      <c r="FX176" s="496"/>
      <c r="FY176" s="496"/>
      <c r="FZ176" s="496"/>
      <c r="GA176" s="496"/>
      <c r="GB176" s="496"/>
      <c r="GC176" s="496"/>
      <c r="GD176" s="496"/>
      <c r="GE176" s="496"/>
      <c r="GF176" s="496"/>
      <c r="GG176" s="496"/>
      <c r="GH176" s="496"/>
      <c r="GI176" s="496"/>
      <c r="GJ176" s="496"/>
      <c r="GK176" s="496"/>
      <c r="GL176" s="496"/>
      <c r="GM176" s="496"/>
      <c r="GN176" s="496"/>
      <c r="GO176" s="496"/>
      <c r="GP176" s="496"/>
      <c r="GQ176" s="496"/>
      <c r="GR176" s="496"/>
      <c r="GS176" s="496"/>
      <c r="GT176" s="496"/>
      <c r="GU176" s="496"/>
      <c r="GV176" s="496"/>
      <c r="GW176" s="496"/>
      <c r="GX176" s="496"/>
      <c r="GY176" s="496"/>
      <c r="GZ176" s="496"/>
      <c r="HA176" s="496"/>
      <c r="HB176" s="496"/>
    </row>
    <row r="177" spans="1:210" ht="20.100000000000001" customHeight="1" thickBot="1">
      <c r="A177" s="164"/>
      <c r="B177" s="512"/>
      <c r="C177" s="518"/>
      <c r="D177" s="519" t="s">
        <v>475</v>
      </c>
      <c r="E177" s="520"/>
      <c r="F177" s="521"/>
      <c r="G177" s="522" t="s">
        <v>436</v>
      </c>
      <c r="H177" s="383"/>
      <c r="I177" s="366"/>
      <c r="J177" s="368"/>
      <c r="K177" s="365"/>
      <c r="L177" s="336"/>
      <c r="M177" s="336"/>
      <c r="N177" s="336"/>
      <c r="O177" s="523" t="s">
        <v>1459</v>
      </c>
      <c r="P177" s="524"/>
      <c r="Q177" s="525"/>
      <c r="R177" s="278"/>
      <c r="S177" s="278"/>
      <c r="T177" s="278"/>
      <c r="U177" s="525"/>
      <c r="V177" s="278"/>
      <c r="W177" s="278"/>
      <c r="X177" s="278"/>
      <c r="Y177" s="525"/>
      <c r="Z177" s="278"/>
      <c r="AA177" s="278"/>
      <c r="AB177" s="278"/>
      <c r="AC177" s="525"/>
      <c r="AD177" s="278"/>
      <c r="AE177" s="278"/>
      <c r="AF177" s="278"/>
      <c r="AG177" s="251"/>
      <c r="AH177" s="251"/>
      <c r="AI177" s="251"/>
      <c r="AJ177" s="251"/>
      <c r="AK177" s="251"/>
      <c r="AL177" s="251"/>
      <c r="AM177" s="251"/>
      <c r="AN177" s="251"/>
      <c r="AO177" s="495"/>
      <c r="AP177" s="495"/>
      <c r="AQ177" s="249"/>
      <c r="AR177" s="249"/>
      <c r="AS177" s="249"/>
      <c r="AT177" s="249"/>
      <c r="AU177" s="249"/>
      <c r="AV177" s="249"/>
      <c r="AW177" s="251"/>
      <c r="AX177" s="251"/>
      <c r="AY177" s="251"/>
      <c r="AZ177" s="251"/>
      <c r="BA177" s="251"/>
      <c r="BB177" s="251"/>
      <c r="BC177" s="251"/>
      <c r="BD177" s="251"/>
      <c r="BE177" s="251"/>
      <c r="BF177" s="251"/>
      <c r="BG177" s="251"/>
      <c r="BH177" s="251"/>
      <c r="BI177" s="251"/>
      <c r="BJ177" s="251"/>
      <c r="BK177" s="251"/>
      <c r="BL177" s="251"/>
      <c r="BM177" s="251"/>
      <c r="BN177" s="251"/>
      <c r="BO177" s="251"/>
      <c r="BP177" s="251"/>
      <c r="BQ177" s="249"/>
      <c r="BR177" s="249"/>
      <c r="BS177" s="249"/>
      <c r="BT177" s="249"/>
      <c r="BU177" s="249"/>
      <c r="BV177" s="249"/>
      <c r="BW177" s="496"/>
      <c r="BX177" s="496"/>
      <c r="BY177" s="496"/>
      <c r="BZ177" s="496"/>
      <c r="CA177" s="496"/>
      <c r="CB177" s="496"/>
      <c r="CC177" s="496"/>
      <c r="CD177" s="496"/>
      <c r="CE177" s="496"/>
      <c r="CF177" s="496"/>
      <c r="CG177" s="496"/>
      <c r="CH177" s="496"/>
      <c r="CI177" s="496"/>
      <c r="CJ177" s="496"/>
      <c r="CK177" s="496"/>
      <c r="CL177" s="496"/>
      <c r="CM177" s="496"/>
      <c r="CN177" s="496"/>
      <c r="CO177" s="496"/>
      <c r="CP177" s="496"/>
      <c r="CQ177" s="496"/>
      <c r="CR177" s="496"/>
      <c r="CS177" s="496"/>
      <c r="CT177" s="496"/>
      <c r="CU177" s="496"/>
      <c r="CV177" s="496"/>
      <c r="CW177" s="496"/>
      <c r="CX177" s="496"/>
      <c r="CY177" s="496"/>
      <c r="CZ177" s="496"/>
      <c r="DA177" s="496"/>
      <c r="DB177" s="496"/>
      <c r="DC177" s="496"/>
      <c r="DD177" s="496"/>
      <c r="DE177" s="496"/>
      <c r="DF177" s="496"/>
      <c r="DG177" s="496"/>
      <c r="DH177" s="496"/>
      <c r="DI177" s="496"/>
      <c r="DJ177" s="496"/>
      <c r="DK177" s="496"/>
      <c r="DL177" s="496"/>
      <c r="DM177" s="496"/>
      <c r="DN177" s="496"/>
      <c r="DO177" s="496"/>
      <c r="DP177" s="496"/>
      <c r="DQ177" s="496"/>
      <c r="DR177" s="496"/>
      <c r="DS177" s="496"/>
      <c r="DT177" s="496"/>
      <c r="DU177" s="496"/>
      <c r="DV177" s="496"/>
      <c r="DW177" s="496"/>
      <c r="DX177" s="496"/>
      <c r="DY177" s="496"/>
      <c r="DZ177" s="496"/>
      <c r="EA177" s="496"/>
      <c r="EB177" s="496"/>
      <c r="EC177" s="496"/>
      <c r="ED177" s="496"/>
      <c r="EE177" s="496"/>
      <c r="EF177" s="496"/>
      <c r="EG177" s="496"/>
      <c r="EH177" s="496"/>
      <c r="EI177" s="496"/>
      <c r="EJ177" s="496"/>
      <c r="EK177" s="496"/>
      <c r="EL177" s="496"/>
      <c r="EM177" s="496"/>
      <c r="EN177" s="496"/>
      <c r="EO177" s="496"/>
      <c r="EP177" s="496"/>
      <c r="EQ177" s="496"/>
      <c r="ER177" s="496"/>
      <c r="ES177" s="496"/>
      <c r="ET177" s="496"/>
      <c r="EU177" s="496"/>
      <c r="EV177" s="496"/>
      <c r="EW177" s="496"/>
      <c r="EX177" s="496"/>
      <c r="EY177" s="496"/>
      <c r="EZ177" s="496"/>
      <c r="FA177" s="496"/>
      <c r="FB177" s="496"/>
      <c r="FC177" s="496"/>
      <c r="FD177" s="496"/>
      <c r="FE177" s="496"/>
      <c r="FF177" s="496"/>
      <c r="FG177" s="496"/>
      <c r="FH177" s="496"/>
      <c r="FI177" s="496"/>
      <c r="FJ177" s="496"/>
      <c r="FK177" s="496"/>
      <c r="FL177" s="496"/>
      <c r="FM177" s="496"/>
      <c r="FN177" s="496"/>
      <c r="FO177" s="496"/>
      <c r="FP177" s="496"/>
      <c r="FQ177" s="496"/>
      <c r="FR177" s="496"/>
      <c r="FS177" s="496"/>
      <c r="FT177" s="496"/>
      <c r="FU177" s="496"/>
      <c r="FV177" s="496"/>
      <c r="FW177" s="496"/>
      <c r="FX177" s="496"/>
      <c r="FY177" s="496"/>
      <c r="FZ177" s="496"/>
      <c r="GA177" s="496"/>
      <c r="GB177" s="496"/>
      <c r="GC177" s="496"/>
      <c r="GD177" s="496"/>
      <c r="GE177" s="496"/>
      <c r="GF177" s="496"/>
      <c r="GG177" s="496"/>
      <c r="GH177" s="496"/>
      <c r="GI177" s="496"/>
      <c r="GJ177" s="496"/>
      <c r="GK177" s="496"/>
      <c r="GL177" s="496"/>
      <c r="GM177" s="496"/>
      <c r="GN177" s="496"/>
      <c r="GO177" s="496"/>
      <c r="GP177" s="496"/>
      <c r="GQ177" s="496"/>
      <c r="GR177" s="496"/>
      <c r="GS177" s="496"/>
      <c r="GT177" s="496"/>
      <c r="GU177" s="496"/>
      <c r="GV177" s="496"/>
      <c r="GW177" s="496"/>
      <c r="GX177" s="496"/>
      <c r="GY177" s="496"/>
      <c r="GZ177" s="496"/>
      <c r="HA177" s="496"/>
      <c r="HB177" s="496"/>
    </row>
    <row r="178" spans="1:210" ht="20.100000000000001" customHeight="1">
      <c r="A178" s="164"/>
      <c r="B178" s="293" t="s">
        <v>1460</v>
      </c>
      <c r="C178" s="526"/>
      <c r="D178" s="526"/>
      <c r="E178" s="526"/>
      <c r="F178" s="526"/>
      <c r="G178" s="399"/>
      <c r="H178" s="399"/>
      <c r="I178" s="399"/>
      <c r="J178" s="399"/>
      <c r="K178" s="399"/>
      <c r="L178" s="399"/>
      <c r="M178" s="399"/>
      <c r="N178" s="399"/>
      <c r="O178" s="399"/>
      <c r="P178" s="399"/>
      <c r="Q178" s="399"/>
      <c r="R178" s="399"/>
      <c r="S178" s="399"/>
      <c r="T178" s="399"/>
      <c r="U178" s="399"/>
      <c r="V178" s="399"/>
      <c r="W178" s="399"/>
      <c r="X178" s="399"/>
      <c r="Y178" s="399"/>
      <c r="Z178" s="399"/>
      <c r="AA178" s="399"/>
      <c r="AB178" s="399"/>
      <c r="AC178" s="399"/>
      <c r="AD178" s="399"/>
      <c r="AE178" s="399"/>
      <c r="AF178" s="399"/>
      <c r="AG178" s="399"/>
      <c r="AH178" s="399"/>
      <c r="AI178" s="399"/>
      <c r="AJ178" s="399"/>
      <c r="AK178" s="399"/>
      <c r="AL178" s="399"/>
      <c r="AM178" s="399"/>
      <c r="AN178" s="399"/>
      <c r="AO178" s="527"/>
      <c r="AP178" s="527"/>
      <c r="AQ178" s="528"/>
      <c r="AR178" s="528"/>
      <c r="AS178" s="528"/>
      <c r="AT178" s="528"/>
      <c r="AU178" s="528"/>
      <c r="AV178" s="528"/>
      <c r="AW178" s="399"/>
      <c r="AX178" s="399"/>
      <c r="AY178" s="399"/>
      <c r="AZ178" s="399"/>
      <c r="BA178" s="399"/>
      <c r="BB178" s="399"/>
      <c r="BC178" s="399"/>
      <c r="BD178" s="399"/>
      <c r="BE178" s="399"/>
      <c r="BF178" s="399"/>
      <c r="BG178" s="399"/>
      <c r="BH178" s="399"/>
      <c r="BI178" s="399"/>
      <c r="BJ178" s="399"/>
      <c r="BK178" s="399"/>
      <c r="BL178" s="399"/>
      <c r="BM178" s="399"/>
      <c r="BN178" s="399"/>
      <c r="BO178" s="399"/>
      <c r="BP178" s="399"/>
      <c r="BQ178" s="528"/>
      <c r="BR178" s="528"/>
      <c r="BS178" s="528"/>
      <c r="BT178" s="528"/>
      <c r="BU178" s="528"/>
      <c r="BV178" s="528"/>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29"/>
      <c r="GT178" s="529"/>
      <c r="GU178" s="529"/>
      <c r="GV178" s="529"/>
      <c r="GW178" s="529"/>
      <c r="GX178" s="529"/>
      <c r="GY178" s="529"/>
      <c r="GZ178" s="529"/>
      <c r="HA178" s="529"/>
      <c r="HB178" s="530"/>
    </row>
    <row r="179" spans="1:210" ht="20.100000000000001" customHeight="1">
      <c r="A179" s="164"/>
      <c r="B179" s="306" t="s">
        <v>1461</v>
      </c>
      <c r="C179" s="503"/>
      <c r="D179" s="503"/>
      <c r="E179" s="503"/>
      <c r="F179" s="503"/>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6"/>
      <c r="AD179" s="326"/>
      <c r="AE179" s="326"/>
      <c r="AF179" s="326"/>
      <c r="AG179" s="326"/>
      <c r="AH179" s="326"/>
      <c r="AI179" s="326"/>
      <c r="AJ179" s="326"/>
      <c r="AK179" s="326"/>
      <c r="AL179" s="326"/>
      <c r="AM179" s="326"/>
      <c r="AN179" s="326"/>
      <c r="AO179" s="531"/>
      <c r="AP179" s="531"/>
      <c r="AQ179" s="532"/>
      <c r="AR179" s="532"/>
      <c r="AS179" s="532"/>
      <c r="AT179" s="532"/>
      <c r="AU179" s="532"/>
      <c r="AV179" s="532"/>
      <c r="AW179" s="326"/>
      <c r="AX179" s="326"/>
      <c r="AY179" s="326"/>
      <c r="AZ179" s="326"/>
      <c r="BA179" s="326"/>
      <c r="BB179" s="326"/>
      <c r="BC179" s="326"/>
      <c r="BD179" s="326"/>
      <c r="BE179" s="326"/>
      <c r="BF179" s="326"/>
      <c r="BG179" s="326"/>
      <c r="BH179" s="326"/>
      <c r="BI179" s="326"/>
      <c r="BJ179" s="326"/>
      <c r="BK179" s="326"/>
      <c r="BL179" s="326"/>
      <c r="BM179" s="326"/>
      <c r="BN179" s="326"/>
      <c r="BO179" s="326"/>
      <c r="BP179" s="326"/>
      <c r="BQ179" s="532"/>
      <c r="BR179" s="532"/>
      <c r="BS179" s="532"/>
      <c r="BT179" s="532"/>
      <c r="BU179" s="532"/>
      <c r="BV179" s="532"/>
      <c r="BW179" s="533"/>
      <c r="BX179" s="533"/>
      <c r="BY179" s="533"/>
      <c r="BZ179" s="533"/>
      <c r="CA179" s="533"/>
      <c r="CB179" s="533"/>
      <c r="CC179" s="533"/>
      <c r="CD179" s="533"/>
      <c r="CE179" s="533"/>
      <c r="CF179" s="533"/>
      <c r="CG179" s="533"/>
      <c r="CH179" s="533"/>
      <c r="CI179" s="533"/>
      <c r="CJ179" s="533"/>
      <c r="CK179" s="533"/>
      <c r="CL179" s="533"/>
      <c r="CM179" s="533"/>
      <c r="CN179" s="533"/>
      <c r="CO179" s="533"/>
      <c r="CP179" s="533"/>
      <c r="CQ179" s="533"/>
      <c r="CR179" s="533"/>
      <c r="CS179" s="533"/>
      <c r="CT179" s="533"/>
      <c r="CU179" s="533"/>
      <c r="CV179" s="533"/>
      <c r="CW179" s="533"/>
      <c r="CX179" s="533"/>
      <c r="CY179" s="533"/>
      <c r="CZ179" s="533"/>
      <c r="DA179" s="533"/>
      <c r="DB179" s="533"/>
      <c r="DC179" s="533"/>
      <c r="DD179" s="533"/>
      <c r="DE179" s="533"/>
      <c r="DF179" s="533"/>
      <c r="DG179" s="533"/>
      <c r="DH179" s="533"/>
      <c r="DI179" s="533"/>
      <c r="DJ179" s="533"/>
      <c r="DK179" s="533"/>
      <c r="DL179" s="533"/>
      <c r="DM179" s="533"/>
      <c r="DN179" s="533"/>
      <c r="DO179" s="533"/>
      <c r="DP179" s="533"/>
      <c r="DQ179" s="533"/>
      <c r="DR179" s="533"/>
      <c r="DS179" s="533"/>
      <c r="DT179" s="533"/>
      <c r="DU179" s="533"/>
      <c r="DV179" s="533"/>
      <c r="DW179" s="533"/>
      <c r="DX179" s="533"/>
      <c r="DY179" s="533"/>
      <c r="DZ179" s="533"/>
      <c r="EA179" s="533"/>
      <c r="EB179" s="533"/>
      <c r="EC179" s="533"/>
      <c r="ED179" s="533"/>
      <c r="EE179" s="533"/>
      <c r="EF179" s="533"/>
      <c r="EG179" s="533"/>
      <c r="EH179" s="533"/>
      <c r="EI179" s="533"/>
      <c r="EJ179" s="533"/>
      <c r="EK179" s="533"/>
      <c r="EL179" s="533"/>
      <c r="EM179" s="533"/>
      <c r="EN179" s="533"/>
      <c r="EO179" s="533"/>
      <c r="EP179" s="533"/>
      <c r="EQ179" s="533"/>
      <c r="ER179" s="533"/>
      <c r="ES179" s="533"/>
      <c r="ET179" s="533"/>
      <c r="EU179" s="533"/>
      <c r="EV179" s="533"/>
      <c r="EW179" s="533"/>
      <c r="EX179" s="533"/>
      <c r="EY179" s="533"/>
      <c r="EZ179" s="533"/>
      <c r="FA179" s="533"/>
      <c r="FB179" s="533"/>
      <c r="FC179" s="533"/>
      <c r="FD179" s="533"/>
      <c r="FE179" s="533"/>
      <c r="FF179" s="533"/>
      <c r="FG179" s="533"/>
      <c r="FH179" s="533"/>
      <c r="FI179" s="533"/>
      <c r="FJ179" s="533"/>
      <c r="FK179" s="533"/>
      <c r="FL179" s="533"/>
      <c r="FM179" s="533"/>
      <c r="FN179" s="533"/>
      <c r="FO179" s="533"/>
      <c r="FP179" s="533"/>
      <c r="FQ179" s="533"/>
      <c r="FR179" s="533"/>
      <c r="FS179" s="533"/>
      <c r="FT179" s="533"/>
      <c r="FU179" s="533"/>
      <c r="FV179" s="533"/>
      <c r="FW179" s="533"/>
      <c r="FX179" s="533"/>
      <c r="FY179" s="533"/>
      <c r="FZ179" s="533"/>
      <c r="GA179" s="533"/>
      <c r="GB179" s="533"/>
      <c r="GC179" s="533"/>
      <c r="GD179" s="533"/>
      <c r="GE179" s="533"/>
      <c r="GF179" s="533"/>
      <c r="GG179" s="533"/>
      <c r="GH179" s="533"/>
      <c r="GI179" s="533"/>
      <c r="GJ179" s="533"/>
      <c r="GK179" s="533"/>
      <c r="GL179" s="533"/>
      <c r="GM179" s="533"/>
      <c r="GN179" s="533"/>
      <c r="GO179" s="533"/>
      <c r="GP179" s="533"/>
      <c r="GQ179" s="533"/>
      <c r="GR179" s="533"/>
      <c r="GS179" s="533"/>
      <c r="GT179" s="533"/>
      <c r="GU179" s="533"/>
      <c r="GV179" s="533"/>
      <c r="GW179" s="533"/>
      <c r="GX179" s="533"/>
      <c r="GY179" s="533"/>
      <c r="GZ179" s="533"/>
      <c r="HA179" s="533"/>
      <c r="HB179" s="534"/>
    </row>
    <row r="180" spans="1:210" ht="20.100000000000001" customHeight="1">
      <c r="A180" s="164"/>
      <c r="B180" s="306" t="s">
        <v>1462</v>
      </c>
      <c r="C180" s="503"/>
      <c r="D180" s="503"/>
      <c r="E180" s="503"/>
      <c r="F180" s="503"/>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c r="AF180" s="326"/>
      <c r="AG180" s="326"/>
      <c r="AH180" s="326"/>
      <c r="AI180" s="326"/>
      <c r="AJ180" s="326"/>
      <c r="AK180" s="326"/>
      <c r="AL180" s="326"/>
      <c r="AM180" s="326"/>
      <c r="AN180" s="326"/>
      <c r="AO180" s="531"/>
      <c r="AP180" s="531"/>
      <c r="AQ180" s="532"/>
      <c r="AR180" s="532"/>
      <c r="AS180" s="532"/>
      <c r="AT180" s="532"/>
      <c r="AU180" s="532"/>
      <c r="AV180" s="532"/>
      <c r="AW180" s="326"/>
      <c r="AX180" s="326"/>
      <c r="AY180" s="326"/>
      <c r="AZ180" s="326"/>
      <c r="BA180" s="326"/>
      <c r="BB180" s="326"/>
      <c r="BC180" s="326"/>
      <c r="BD180" s="326"/>
      <c r="BE180" s="326"/>
      <c r="BF180" s="326"/>
      <c r="BG180" s="326"/>
      <c r="BH180" s="326"/>
      <c r="BI180" s="326"/>
      <c r="BJ180" s="326"/>
      <c r="BK180" s="326"/>
      <c r="BL180" s="326"/>
      <c r="BM180" s="326"/>
      <c r="BN180" s="326"/>
      <c r="BO180" s="326"/>
      <c r="BP180" s="326"/>
      <c r="BQ180" s="532"/>
      <c r="BR180" s="532"/>
      <c r="BS180" s="532"/>
      <c r="BT180" s="532"/>
      <c r="BU180" s="532"/>
      <c r="BV180" s="532"/>
      <c r="BW180" s="533"/>
      <c r="BX180" s="533"/>
      <c r="BY180" s="533"/>
      <c r="BZ180" s="533"/>
      <c r="CA180" s="533"/>
      <c r="CB180" s="533"/>
      <c r="CC180" s="533"/>
      <c r="CD180" s="533"/>
      <c r="CE180" s="533"/>
      <c r="CF180" s="533"/>
      <c r="CG180" s="533"/>
      <c r="CH180" s="533"/>
      <c r="CI180" s="533"/>
      <c r="CJ180" s="533"/>
      <c r="CK180" s="533"/>
      <c r="CL180" s="533"/>
      <c r="CM180" s="533"/>
      <c r="CN180" s="533"/>
      <c r="CO180" s="533"/>
      <c r="CP180" s="533"/>
      <c r="CQ180" s="533"/>
      <c r="CR180" s="533"/>
      <c r="CS180" s="533"/>
      <c r="CT180" s="533"/>
      <c r="CU180" s="533"/>
      <c r="CV180" s="533"/>
      <c r="CW180" s="533"/>
      <c r="CX180" s="533"/>
      <c r="CY180" s="533"/>
      <c r="CZ180" s="533"/>
      <c r="DA180" s="533"/>
      <c r="DB180" s="533"/>
      <c r="DC180" s="533"/>
      <c r="DD180" s="533"/>
      <c r="DE180" s="533"/>
      <c r="DF180" s="533"/>
      <c r="DG180" s="533"/>
      <c r="DH180" s="533"/>
      <c r="DI180" s="533"/>
      <c r="DJ180" s="533"/>
      <c r="DK180" s="533"/>
      <c r="DL180" s="533"/>
      <c r="DM180" s="533"/>
      <c r="DN180" s="533"/>
      <c r="DO180" s="533"/>
      <c r="DP180" s="533"/>
      <c r="DQ180" s="533"/>
      <c r="DR180" s="533"/>
      <c r="DS180" s="533"/>
      <c r="DT180" s="533"/>
      <c r="DU180" s="533"/>
      <c r="DV180" s="533"/>
      <c r="DW180" s="533"/>
      <c r="DX180" s="533"/>
      <c r="DY180" s="533"/>
      <c r="DZ180" s="533"/>
      <c r="EA180" s="533"/>
      <c r="EB180" s="533"/>
      <c r="EC180" s="533"/>
      <c r="ED180" s="533"/>
      <c r="EE180" s="533"/>
      <c r="EF180" s="533"/>
      <c r="EG180" s="533"/>
      <c r="EH180" s="533"/>
      <c r="EI180" s="533"/>
      <c r="EJ180" s="533"/>
      <c r="EK180" s="533"/>
      <c r="EL180" s="533"/>
      <c r="EM180" s="533"/>
      <c r="EN180" s="533"/>
      <c r="EO180" s="533"/>
      <c r="EP180" s="533"/>
      <c r="EQ180" s="533"/>
      <c r="ER180" s="533"/>
      <c r="ES180" s="533"/>
      <c r="ET180" s="533"/>
      <c r="EU180" s="533"/>
      <c r="EV180" s="533"/>
      <c r="EW180" s="533"/>
      <c r="EX180" s="533"/>
      <c r="EY180" s="533"/>
      <c r="EZ180" s="533"/>
      <c r="FA180" s="533"/>
      <c r="FB180" s="533"/>
      <c r="FC180" s="533"/>
      <c r="FD180" s="533"/>
      <c r="FE180" s="533"/>
      <c r="FF180" s="533"/>
      <c r="FG180" s="533"/>
      <c r="FH180" s="533"/>
      <c r="FI180" s="533"/>
      <c r="FJ180" s="533"/>
      <c r="FK180" s="533"/>
      <c r="FL180" s="533"/>
      <c r="FM180" s="533"/>
      <c r="FN180" s="533"/>
      <c r="FO180" s="533"/>
      <c r="FP180" s="533"/>
      <c r="FQ180" s="533"/>
      <c r="FR180" s="533"/>
      <c r="FS180" s="533"/>
      <c r="FT180" s="533"/>
      <c r="FU180" s="533"/>
      <c r="FV180" s="533"/>
      <c r="FW180" s="533"/>
      <c r="FX180" s="533"/>
      <c r="FY180" s="533"/>
      <c r="FZ180" s="533"/>
      <c r="GA180" s="533"/>
      <c r="GB180" s="533"/>
      <c r="GC180" s="533"/>
      <c r="GD180" s="533"/>
      <c r="GE180" s="533"/>
      <c r="GF180" s="533"/>
      <c r="GG180" s="533"/>
      <c r="GH180" s="533"/>
      <c r="GI180" s="533"/>
      <c r="GJ180" s="533"/>
      <c r="GK180" s="533"/>
      <c r="GL180" s="533"/>
      <c r="GM180" s="533"/>
      <c r="GN180" s="533"/>
      <c r="GO180" s="533"/>
      <c r="GP180" s="533"/>
      <c r="GQ180" s="533"/>
      <c r="GR180" s="533"/>
      <c r="GS180" s="533"/>
      <c r="GT180" s="533"/>
      <c r="GU180" s="533"/>
      <c r="GV180" s="533"/>
      <c r="GW180" s="533"/>
      <c r="GX180" s="533"/>
      <c r="GY180" s="533"/>
      <c r="GZ180" s="533"/>
      <c r="HA180" s="533"/>
      <c r="HB180" s="534"/>
    </row>
    <row r="181" spans="1:210" ht="20.100000000000001" customHeight="1">
      <c r="A181" s="164"/>
      <c r="B181" s="306" t="s">
        <v>1463</v>
      </c>
      <c r="C181" s="503"/>
      <c r="D181" s="503"/>
      <c r="E181" s="503"/>
      <c r="F181" s="503"/>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6"/>
      <c r="AD181" s="326"/>
      <c r="AE181" s="326"/>
      <c r="AF181" s="326"/>
      <c r="AG181" s="326"/>
      <c r="AH181" s="326"/>
      <c r="AI181" s="326"/>
      <c r="AJ181" s="326"/>
      <c r="AK181" s="326"/>
      <c r="AL181" s="326"/>
      <c r="AM181" s="326"/>
      <c r="AN181" s="326"/>
      <c r="AO181" s="531"/>
      <c r="AP181" s="531"/>
      <c r="AQ181" s="532"/>
      <c r="AR181" s="532"/>
      <c r="AS181" s="532"/>
      <c r="AT181" s="532"/>
      <c r="AU181" s="532"/>
      <c r="AV181" s="532"/>
      <c r="AW181" s="326"/>
      <c r="AX181" s="326"/>
      <c r="AY181" s="326"/>
      <c r="AZ181" s="326"/>
      <c r="BA181" s="326"/>
      <c r="BB181" s="326"/>
      <c r="BC181" s="326"/>
      <c r="BD181" s="326"/>
      <c r="BE181" s="326"/>
      <c r="BF181" s="326"/>
      <c r="BG181" s="326"/>
      <c r="BH181" s="326"/>
      <c r="BI181" s="326"/>
      <c r="BJ181" s="326"/>
      <c r="BK181" s="326"/>
      <c r="BL181" s="326"/>
      <c r="BM181" s="326"/>
      <c r="BN181" s="326"/>
      <c r="BO181" s="326"/>
      <c r="BP181" s="326"/>
      <c r="BQ181" s="532"/>
      <c r="BR181" s="532"/>
      <c r="BS181" s="532"/>
      <c r="BT181" s="532"/>
      <c r="BU181" s="532"/>
      <c r="BV181" s="532"/>
      <c r="BW181" s="533"/>
      <c r="BX181" s="533"/>
      <c r="BY181" s="533"/>
      <c r="BZ181" s="533"/>
      <c r="CA181" s="533"/>
      <c r="CB181" s="533"/>
      <c r="CC181" s="533"/>
      <c r="CD181" s="533"/>
      <c r="CE181" s="533"/>
      <c r="CF181" s="533"/>
      <c r="CG181" s="533"/>
      <c r="CH181" s="533"/>
      <c r="CI181" s="533"/>
      <c r="CJ181" s="533"/>
      <c r="CK181" s="533"/>
      <c r="CL181" s="533"/>
      <c r="CM181" s="533"/>
      <c r="CN181" s="533"/>
      <c r="CO181" s="533"/>
      <c r="CP181" s="533"/>
      <c r="CQ181" s="533"/>
      <c r="CR181" s="533"/>
      <c r="CS181" s="533"/>
      <c r="CT181" s="533"/>
      <c r="CU181" s="533"/>
      <c r="CV181" s="533"/>
      <c r="CW181" s="533"/>
      <c r="CX181" s="533"/>
      <c r="CY181" s="533"/>
      <c r="CZ181" s="533"/>
      <c r="DA181" s="533"/>
      <c r="DB181" s="533"/>
      <c r="DC181" s="533"/>
      <c r="DD181" s="533"/>
      <c r="DE181" s="533"/>
      <c r="DF181" s="533"/>
      <c r="DG181" s="533"/>
      <c r="DH181" s="533"/>
      <c r="DI181" s="533"/>
      <c r="DJ181" s="533"/>
      <c r="DK181" s="533"/>
      <c r="DL181" s="533"/>
      <c r="DM181" s="533"/>
      <c r="DN181" s="533"/>
      <c r="DO181" s="533"/>
      <c r="DP181" s="533"/>
      <c r="DQ181" s="533"/>
      <c r="DR181" s="533"/>
      <c r="DS181" s="533"/>
      <c r="DT181" s="533"/>
      <c r="DU181" s="533"/>
      <c r="DV181" s="533"/>
      <c r="DW181" s="533"/>
      <c r="DX181" s="533"/>
      <c r="DY181" s="533"/>
      <c r="DZ181" s="533"/>
      <c r="EA181" s="533"/>
      <c r="EB181" s="533"/>
      <c r="EC181" s="533"/>
      <c r="ED181" s="533"/>
      <c r="EE181" s="533"/>
      <c r="EF181" s="533"/>
      <c r="EG181" s="533"/>
      <c r="EH181" s="533"/>
      <c r="EI181" s="533"/>
      <c r="EJ181" s="533"/>
      <c r="EK181" s="533"/>
      <c r="EL181" s="533"/>
      <c r="EM181" s="533"/>
      <c r="EN181" s="533"/>
      <c r="EO181" s="533"/>
      <c r="EP181" s="533"/>
      <c r="EQ181" s="533"/>
      <c r="ER181" s="533"/>
      <c r="ES181" s="533"/>
      <c r="ET181" s="533"/>
      <c r="EU181" s="533"/>
      <c r="EV181" s="533"/>
      <c r="EW181" s="533"/>
      <c r="EX181" s="533"/>
      <c r="EY181" s="533"/>
      <c r="EZ181" s="533"/>
      <c r="FA181" s="533"/>
      <c r="FB181" s="533"/>
      <c r="FC181" s="533"/>
      <c r="FD181" s="533"/>
      <c r="FE181" s="533"/>
      <c r="FF181" s="533"/>
      <c r="FG181" s="533"/>
      <c r="FH181" s="533"/>
      <c r="FI181" s="533"/>
      <c r="FJ181" s="533"/>
      <c r="FK181" s="533"/>
      <c r="FL181" s="533"/>
      <c r="FM181" s="533"/>
      <c r="FN181" s="533"/>
      <c r="FO181" s="533"/>
      <c r="FP181" s="533"/>
      <c r="FQ181" s="533"/>
      <c r="FR181" s="533"/>
      <c r="FS181" s="533"/>
      <c r="FT181" s="533"/>
      <c r="FU181" s="533"/>
      <c r="FV181" s="533"/>
      <c r="FW181" s="533"/>
      <c r="FX181" s="533"/>
      <c r="FY181" s="533"/>
      <c r="FZ181" s="533"/>
      <c r="GA181" s="533"/>
      <c r="GB181" s="533"/>
      <c r="GC181" s="533"/>
      <c r="GD181" s="533"/>
      <c r="GE181" s="533"/>
      <c r="GF181" s="533"/>
      <c r="GG181" s="533"/>
      <c r="GH181" s="533"/>
      <c r="GI181" s="533"/>
      <c r="GJ181" s="533"/>
      <c r="GK181" s="533"/>
      <c r="GL181" s="533"/>
      <c r="GM181" s="533"/>
      <c r="GN181" s="533"/>
      <c r="GO181" s="533"/>
      <c r="GP181" s="533"/>
      <c r="GQ181" s="533"/>
      <c r="GR181" s="533"/>
      <c r="GS181" s="533"/>
      <c r="GT181" s="533"/>
      <c r="GU181" s="533"/>
      <c r="GV181" s="533"/>
      <c r="GW181" s="533"/>
      <c r="GX181" s="533"/>
      <c r="GY181" s="533"/>
      <c r="GZ181" s="533"/>
      <c r="HA181" s="533"/>
      <c r="HB181" s="534"/>
    </row>
    <row r="182" spans="1:210" ht="20.100000000000001" customHeight="1">
      <c r="A182" s="164"/>
      <c r="B182" s="306" t="s">
        <v>1464</v>
      </c>
      <c r="C182" s="503"/>
      <c r="D182" s="503"/>
      <c r="E182" s="503"/>
      <c r="F182" s="503"/>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6"/>
      <c r="AD182" s="326"/>
      <c r="AE182" s="326"/>
      <c r="AF182" s="326"/>
      <c r="AG182" s="326"/>
      <c r="AH182" s="326"/>
      <c r="AI182" s="326"/>
      <c r="AJ182" s="326"/>
      <c r="AK182" s="326"/>
      <c r="AL182" s="326"/>
      <c r="AM182" s="326"/>
      <c r="AN182" s="326"/>
      <c r="AO182" s="531"/>
      <c r="AP182" s="531"/>
      <c r="AQ182" s="532"/>
      <c r="AR182" s="532"/>
      <c r="AS182" s="532"/>
      <c r="AT182" s="532"/>
      <c r="AU182" s="532"/>
      <c r="AV182" s="532"/>
      <c r="AW182" s="326"/>
      <c r="AX182" s="326"/>
      <c r="AY182" s="326"/>
      <c r="AZ182" s="326"/>
      <c r="BA182" s="326"/>
      <c r="BB182" s="326"/>
      <c r="BC182" s="326"/>
      <c r="BD182" s="326"/>
      <c r="BE182" s="326"/>
      <c r="BF182" s="326"/>
      <c r="BG182" s="326"/>
      <c r="BH182" s="326"/>
      <c r="BI182" s="326"/>
      <c r="BJ182" s="326"/>
      <c r="BK182" s="326"/>
      <c r="BL182" s="326"/>
      <c r="BM182" s="326"/>
      <c r="BN182" s="326"/>
      <c r="BO182" s="326"/>
      <c r="BP182" s="326"/>
      <c r="BQ182" s="532"/>
      <c r="BR182" s="532"/>
      <c r="BS182" s="532"/>
      <c r="BT182" s="532"/>
      <c r="BU182" s="532"/>
      <c r="BV182" s="532"/>
      <c r="BW182" s="533"/>
      <c r="BX182" s="533"/>
      <c r="BY182" s="533"/>
      <c r="BZ182" s="533"/>
      <c r="CA182" s="533"/>
      <c r="CB182" s="533"/>
      <c r="CC182" s="533"/>
      <c r="CD182" s="533"/>
      <c r="CE182" s="533"/>
      <c r="CF182" s="533"/>
      <c r="CG182" s="533"/>
      <c r="CH182" s="533"/>
      <c r="CI182" s="533"/>
      <c r="CJ182" s="533"/>
      <c r="CK182" s="533"/>
      <c r="CL182" s="533"/>
      <c r="CM182" s="533"/>
      <c r="CN182" s="533"/>
      <c r="CO182" s="533"/>
      <c r="CP182" s="533"/>
      <c r="CQ182" s="533"/>
      <c r="CR182" s="533"/>
      <c r="CS182" s="533"/>
      <c r="CT182" s="533"/>
      <c r="CU182" s="533"/>
      <c r="CV182" s="533"/>
      <c r="CW182" s="533"/>
      <c r="CX182" s="533"/>
      <c r="CY182" s="533"/>
      <c r="CZ182" s="533"/>
      <c r="DA182" s="533"/>
      <c r="DB182" s="533"/>
      <c r="DC182" s="533"/>
      <c r="DD182" s="533"/>
      <c r="DE182" s="533"/>
      <c r="DF182" s="533"/>
      <c r="DG182" s="533"/>
      <c r="DH182" s="533"/>
      <c r="DI182" s="533"/>
      <c r="DJ182" s="533"/>
      <c r="DK182" s="533"/>
      <c r="DL182" s="533"/>
      <c r="DM182" s="533"/>
      <c r="DN182" s="533"/>
      <c r="DO182" s="533"/>
      <c r="DP182" s="533"/>
      <c r="DQ182" s="533"/>
      <c r="DR182" s="533"/>
      <c r="DS182" s="533"/>
      <c r="DT182" s="533"/>
      <c r="DU182" s="533"/>
      <c r="DV182" s="533"/>
      <c r="DW182" s="533"/>
      <c r="DX182" s="533"/>
      <c r="DY182" s="533"/>
      <c r="DZ182" s="533"/>
      <c r="EA182" s="533"/>
      <c r="EB182" s="533"/>
      <c r="EC182" s="533"/>
      <c r="ED182" s="533"/>
      <c r="EE182" s="533"/>
      <c r="EF182" s="533"/>
      <c r="EG182" s="533"/>
      <c r="EH182" s="533"/>
      <c r="EI182" s="533"/>
      <c r="EJ182" s="533"/>
      <c r="EK182" s="533"/>
      <c r="EL182" s="533"/>
      <c r="EM182" s="533"/>
      <c r="EN182" s="533"/>
      <c r="EO182" s="533"/>
      <c r="EP182" s="533"/>
      <c r="EQ182" s="533"/>
      <c r="ER182" s="533"/>
      <c r="ES182" s="533"/>
      <c r="ET182" s="533"/>
      <c r="EU182" s="533"/>
      <c r="EV182" s="533"/>
      <c r="EW182" s="533"/>
      <c r="EX182" s="533"/>
      <c r="EY182" s="533"/>
      <c r="EZ182" s="533"/>
      <c r="FA182" s="533"/>
      <c r="FB182" s="533"/>
      <c r="FC182" s="533"/>
      <c r="FD182" s="533"/>
      <c r="FE182" s="533"/>
      <c r="FF182" s="533"/>
      <c r="FG182" s="533"/>
      <c r="FH182" s="533"/>
      <c r="FI182" s="533"/>
      <c r="FJ182" s="533"/>
      <c r="FK182" s="533"/>
      <c r="FL182" s="533"/>
      <c r="FM182" s="533"/>
      <c r="FN182" s="533"/>
      <c r="FO182" s="533"/>
      <c r="FP182" s="533"/>
      <c r="FQ182" s="533"/>
      <c r="FR182" s="533"/>
      <c r="FS182" s="533"/>
      <c r="FT182" s="533"/>
      <c r="FU182" s="533"/>
      <c r="FV182" s="533"/>
      <c r="FW182" s="533"/>
      <c r="FX182" s="533"/>
      <c r="FY182" s="533"/>
      <c r="FZ182" s="533"/>
      <c r="GA182" s="533"/>
      <c r="GB182" s="533"/>
      <c r="GC182" s="533"/>
      <c r="GD182" s="533"/>
      <c r="GE182" s="533"/>
      <c r="GF182" s="533"/>
      <c r="GG182" s="533"/>
      <c r="GH182" s="533"/>
      <c r="GI182" s="533"/>
      <c r="GJ182" s="533"/>
      <c r="GK182" s="533"/>
      <c r="GL182" s="533"/>
      <c r="GM182" s="533"/>
      <c r="GN182" s="533"/>
      <c r="GO182" s="533"/>
      <c r="GP182" s="533"/>
      <c r="GQ182" s="533"/>
      <c r="GR182" s="533"/>
      <c r="GS182" s="533"/>
      <c r="GT182" s="533"/>
      <c r="GU182" s="533"/>
      <c r="GV182" s="533"/>
      <c r="GW182" s="533"/>
      <c r="GX182" s="533"/>
      <c r="GY182" s="533"/>
      <c r="GZ182" s="533"/>
      <c r="HA182" s="533"/>
      <c r="HB182" s="534"/>
    </row>
    <row r="183" spans="1:210" ht="20.100000000000001" customHeight="1">
      <c r="A183" s="164"/>
      <c r="B183" s="306" t="s">
        <v>1465</v>
      </c>
      <c r="C183" s="503"/>
      <c r="D183" s="503"/>
      <c r="E183" s="503"/>
      <c r="F183" s="503"/>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6"/>
      <c r="AD183" s="326"/>
      <c r="AE183" s="326"/>
      <c r="AF183" s="326"/>
      <c r="AG183" s="326"/>
      <c r="AH183" s="326"/>
      <c r="AI183" s="326"/>
      <c r="AJ183" s="326"/>
      <c r="AK183" s="326"/>
      <c r="AL183" s="326"/>
      <c r="AM183" s="326"/>
      <c r="AN183" s="326"/>
      <c r="AO183" s="531"/>
      <c r="AP183" s="531"/>
      <c r="AQ183" s="532"/>
      <c r="AR183" s="532"/>
      <c r="AS183" s="532"/>
      <c r="AT183" s="532"/>
      <c r="AU183" s="532"/>
      <c r="AV183" s="532"/>
      <c r="AW183" s="326"/>
      <c r="AX183" s="326"/>
      <c r="AY183" s="326"/>
      <c r="AZ183" s="326"/>
      <c r="BA183" s="326"/>
      <c r="BB183" s="326"/>
      <c r="BC183" s="326"/>
      <c r="BD183" s="326"/>
      <c r="BE183" s="326"/>
      <c r="BF183" s="326"/>
      <c r="BG183" s="326"/>
      <c r="BH183" s="326"/>
      <c r="BI183" s="326"/>
      <c r="BJ183" s="326"/>
      <c r="BK183" s="326"/>
      <c r="BL183" s="326"/>
      <c r="BM183" s="326"/>
      <c r="BN183" s="326"/>
      <c r="BO183" s="326"/>
      <c r="BP183" s="326"/>
      <c r="BQ183" s="532"/>
      <c r="BR183" s="532"/>
      <c r="BS183" s="532"/>
      <c r="BT183" s="532"/>
      <c r="BU183" s="532"/>
      <c r="BV183" s="532"/>
      <c r="BW183" s="533"/>
      <c r="BX183" s="533"/>
      <c r="BY183" s="533"/>
      <c r="BZ183" s="533"/>
      <c r="CA183" s="533"/>
      <c r="CB183" s="533"/>
      <c r="CC183" s="533"/>
      <c r="CD183" s="533"/>
      <c r="CE183" s="533"/>
      <c r="CF183" s="533"/>
      <c r="CG183" s="533"/>
      <c r="CH183" s="533"/>
      <c r="CI183" s="533"/>
      <c r="CJ183" s="533"/>
      <c r="CK183" s="533"/>
      <c r="CL183" s="533"/>
      <c r="CM183" s="533"/>
      <c r="CN183" s="533"/>
      <c r="CO183" s="533"/>
      <c r="CP183" s="533"/>
      <c r="CQ183" s="533"/>
      <c r="CR183" s="533"/>
      <c r="CS183" s="533"/>
      <c r="CT183" s="533"/>
      <c r="CU183" s="533"/>
      <c r="CV183" s="533"/>
      <c r="CW183" s="533"/>
      <c r="CX183" s="533"/>
      <c r="CY183" s="533"/>
      <c r="CZ183" s="533"/>
      <c r="DA183" s="533"/>
      <c r="DB183" s="533"/>
      <c r="DC183" s="533"/>
      <c r="DD183" s="533"/>
      <c r="DE183" s="533"/>
      <c r="DF183" s="533"/>
      <c r="DG183" s="533"/>
      <c r="DH183" s="533"/>
      <c r="DI183" s="533"/>
      <c r="DJ183" s="533"/>
      <c r="DK183" s="533"/>
      <c r="DL183" s="533"/>
      <c r="DM183" s="533"/>
      <c r="DN183" s="533"/>
      <c r="DO183" s="533"/>
      <c r="DP183" s="533"/>
      <c r="DQ183" s="533"/>
      <c r="DR183" s="533"/>
      <c r="DS183" s="533"/>
      <c r="DT183" s="533"/>
      <c r="DU183" s="533"/>
      <c r="DV183" s="533"/>
      <c r="DW183" s="533"/>
      <c r="DX183" s="533"/>
      <c r="DY183" s="533"/>
      <c r="DZ183" s="533"/>
      <c r="EA183" s="533"/>
      <c r="EB183" s="533"/>
      <c r="EC183" s="533"/>
      <c r="ED183" s="533"/>
      <c r="EE183" s="533"/>
      <c r="EF183" s="533"/>
      <c r="EG183" s="533"/>
      <c r="EH183" s="533"/>
      <c r="EI183" s="533"/>
      <c r="EJ183" s="533"/>
      <c r="EK183" s="533"/>
      <c r="EL183" s="533"/>
      <c r="EM183" s="533"/>
      <c r="EN183" s="533"/>
      <c r="EO183" s="533"/>
      <c r="EP183" s="533"/>
      <c r="EQ183" s="533"/>
      <c r="ER183" s="533"/>
      <c r="ES183" s="533"/>
      <c r="ET183" s="533"/>
      <c r="EU183" s="533"/>
      <c r="EV183" s="533"/>
      <c r="EW183" s="533"/>
      <c r="EX183" s="533"/>
      <c r="EY183" s="533"/>
      <c r="EZ183" s="533"/>
      <c r="FA183" s="533"/>
      <c r="FB183" s="533"/>
      <c r="FC183" s="533"/>
      <c r="FD183" s="533"/>
      <c r="FE183" s="533"/>
      <c r="FF183" s="533"/>
      <c r="FG183" s="533"/>
      <c r="FH183" s="533"/>
      <c r="FI183" s="533"/>
      <c r="FJ183" s="533"/>
      <c r="FK183" s="533"/>
      <c r="FL183" s="533"/>
      <c r="FM183" s="533"/>
      <c r="FN183" s="533"/>
      <c r="FO183" s="533"/>
      <c r="FP183" s="533"/>
      <c r="FQ183" s="533"/>
      <c r="FR183" s="533"/>
      <c r="FS183" s="533"/>
      <c r="FT183" s="533"/>
      <c r="FU183" s="533"/>
      <c r="FV183" s="533"/>
      <c r="FW183" s="533"/>
      <c r="FX183" s="533"/>
      <c r="FY183" s="533"/>
      <c r="FZ183" s="533"/>
      <c r="GA183" s="533"/>
      <c r="GB183" s="533"/>
      <c r="GC183" s="533"/>
      <c r="GD183" s="533"/>
      <c r="GE183" s="533"/>
      <c r="GF183" s="533"/>
      <c r="GG183" s="533"/>
      <c r="GH183" s="533"/>
      <c r="GI183" s="533"/>
      <c r="GJ183" s="533"/>
      <c r="GK183" s="533"/>
      <c r="GL183" s="533"/>
      <c r="GM183" s="533"/>
      <c r="GN183" s="533"/>
      <c r="GO183" s="533"/>
      <c r="GP183" s="533"/>
      <c r="GQ183" s="533"/>
      <c r="GR183" s="533"/>
      <c r="GS183" s="533"/>
      <c r="GT183" s="533"/>
      <c r="GU183" s="533"/>
      <c r="GV183" s="533"/>
      <c r="GW183" s="533"/>
      <c r="GX183" s="533"/>
      <c r="GY183" s="533"/>
      <c r="GZ183" s="533"/>
      <c r="HA183" s="533"/>
      <c r="HB183" s="534"/>
    </row>
    <row r="184" spans="1:210" ht="20.100000000000001" customHeight="1">
      <c r="A184" s="164"/>
      <c r="B184" s="306" t="s">
        <v>1466</v>
      </c>
      <c r="C184" s="503"/>
      <c r="D184" s="503"/>
      <c r="E184" s="503"/>
      <c r="F184" s="503"/>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6"/>
      <c r="AD184" s="326"/>
      <c r="AE184" s="326"/>
      <c r="AF184" s="326"/>
      <c r="AG184" s="326"/>
      <c r="AH184" s="326"/>
      <c r="AI184" s="326"/>
      <c r="AJ184" s="326"/>
      <c r="AK184" s="326"/>
      <c r="AL184" s="326"/>
      <c r="AM184" s="326"/>
      <c r="AN184" s="326"/>
      <c r="AO184" s="531"/>
      <c r="AP184" s="531"/>
      <c r="AQ184" s="532"/>
      <c r="AR184" s="532"/>
      <c r="AS184" s="532"/>
      <c r="AT184" s="532"/>
      <c r="AU184" s="532"/>
      <c r="AV184" s="532"/>
      <c r="AW184" s="326"/>
      <c r="AX184" s="326"/>
      <c r="AY184" s="326"/>
      <c r="AZ184" s="326"/>
      <c r="BA184" s="326"/>
      <c r="BB184" s="326"/>
      <c r="BC184" s="326"/>
      <c r="BD184" s="326"/>
      <c r="BE184" s="326"/>
      <c r="BF184" s="326"/>
      <c r="BG184" s="326"/>
      <c r="BH184" s="326"/>
      <c r="BI184" s="326"/>
      <c r="BJ184" s="326"/>
      <c r="BK184" s="326"/>
      <c r="BL184" s="326"/>
      <c r="BM184" s="326"/>
      <c r="BN184" s="326"/>
      <c r="BO184" s="326"/>
      <c r="BP184" s="326"/>
      <c r="BQ184" s="532"/>
      <c r="BR184" s="532"/>
      <c r="BS184" s="532"/>
      <c r="BT184" s="532"/>
      <c r="BU184" s="532"/>
      <c r="BV184" s="532"/>
      <c r="BW184" s="533"/>
      <c r="BX184" s="533"/>
      <c r="BY184" s="533"/>
      <c r="BZ184" s="533"/>
      <c r="CA184" s="533"/>
      <c r="CB184" s="533"/>
      <c r="CC184" s="533"/>
      <c r="CD184" s="533"/>
      <c r="CE184" s="533"/>
      <c r="CF184" s="533"/>
      <c r="CG184" s="533"/>
      <c r="CH184" s="533"/>
      <c r="CI184" s="533"/>
      <c r="CJ184" s="533"/>
      <c r="CK184" s="533"/>
      <c r="CL184" s="533"/>
      <c r="CM184" s="533"/>
      <c r="CN184" s="533"/>
      <c r="CO184" s="533"/>
      <c r="CP184" s="533"/>
      <c r="CQ184" s="533"/>
      <c r="CR184" s="533"/>
      <c r="CS184" s="533"/>
      <c r="CT184" s="533"/>
      <c r="CU184" s="533"/>
      <c r="CV184" s="533"/>
      <c r="CW184" s="533"/>
      <c r="CX184" s="533"/>
      <c r="CY184" s="533"/>
      <c r="CZ184" s="533"/>
      <c r="DA184" s="533"/>
      <c r="DB184" s="533"/>
      <c r="DC184" s="533"/>
      <c r="DD184" s="533"/>
      <c r="DE184" s="533"/>
      <c r="DF184" s="533"/>
      <c r="DG184" s="533"/>
      <c r="DH184" s="533"/>
      <c r="DI184" s="533"/>
      <c r="DJ184" s="533"/>
      <c r="DK184" s="533"/>
      <c r="DL184" s="533"/>
      <c r="DM184" s="533"/>
      <c r="DN184" s="533"/>
      <c r="DO184" s="533"/>
      <c r="DP184" s="533"/>
      <c r="DQ184" s="533"/>
      <c r="DR184" s="533"/>
      <c r="DS184" s="533"/>
      <c r="DT184" s="533"/>
      <c r="DU184" s="533"/>
      <c r="DV184" s="533"/>
      <c r="DW184" s="533"/>
      <c r="DX184" s="533"/>
      <c r="DY184" s="533"/>
      <c r="DZ184" s="533"/>
      <c r="EA184" s="533"/>
      <c r="EB184" s="533"/>
      <c r="EC184" s="533"/>
      <c r="ED184" s="533"/>
      <c r="EE184" s="533"/>
      <c r="EF184" s="533"/>
      <c r="EG184" s="533"/>
      <c r="EH184" s="533"/>
      <c r="EI184" s="533"/>
      <c r="EJ184" s="533"/>
      <c r="EK184" s="533"/>
      <c r="EL184" s="533"/>
      <c r="EM184" s="533"/>
      <c r="EN184" s="533"/>
      <c r="EO184" s="533"/>
      <c r="EP184" s="533"/>
      <c r="EQ184" s="533"/>
      <c r="ER184" s="533"/>
      <c r="ES184" s="533"/>
      <c r="ET184" s="533"/>
      <c r="EU184" s="533"/>
      <c r="EV184" s="533"/>
      <c r="EW184" s="533"/>
      <c r="EX184" s="533"/>
      <c r="EY184" s="533"/>
      <c r="EZ184" s="533"/>
      <c r="FA184" s="533"/>
      <c r="FB184" s="533"/>
      <c r="FC184" s="533"/>
      <c r="FD184" s="533"/>
      <c r="FE184" s="533"/>
      <c r="FF184" s="533"/>
      <c r="FG184" s="533"/>
      <c r="FH184" s="533"/>
      <c r="FI184" s="533"/>
      <c r="FJ184" s="533"/>
      <c r="FK184" s="533"/>
      <c r="FL184" s="533"/>
      <c r="FM184" s="533"/>
      <c r="FN184" s="533"/>
      <c r="FO184" s="533"/>
      <c r="FP184" s="533"/>
      <c r="FQ184" s="533"/>
      <c r="FR184" s="533"/>
      <c r="FS184" s="533"/>
      <c r="FT184" s="533"/>
      <c r="FU184" s="533"/>
      <c r="FV184" s="533"/>
      <c r="FW184" s="533"/>
      <c r="FX184" s="533"/>
      <c r="FY184" s="533"/>
      <c r="FZ184" s="533"/>
      <c r="GA184" s="533"/>
      <c r="GB184" s="533"/>
      <c r="GC184" s="533"/>
      <c r="GD184" s="533"/>
      <c r="GE184" s="533"/>
      <c r="GF184" s="533"/>
      <c r="GG184" s="533"/>
      <c r="GH184" s="533"/>
      <c r="GI184" s="533"/>
      <c r="GJ184" s="533"/>
      <c r="GK184" s="533"/>
      <c r="GL184" s="533"/>
      <c r="GM184" s="533"/>
      <c r="GN184" s="533"/>
      <c r="GO184" s="533"/>
      <c r="GP184" s="533"/>
      <c r="GQ184" s="533"/>
      <c r="GR184" s="533"/>
      <c r="GS184" s="533"/>
      <c r="GT184" s="533"/>
      <c r="GU184" s="533"/>
      <c r="GV184" s="533"/>
      <c r="GW184" s="533"/>
      <c r="GX184" s="533"/>
      <c r="GY184" s="533"/>
      <c r="GZ184" s="533"/>
      <c r="HA184" s="533"/>
      <c r="HB184" s="534"/>
    </row>
    <row r="185" spans="1:210" ht="20.100000000000001" customHeight="1">
      <c r="A185" s="164"/>
      <c r="B185" s="306" t="s">
        <v>1467</v>
      </c>
      <c r="C185" s="503"/>
      <c r="D185" s="503"/>
      <c r="E185" s="503"/>
      <c r="F185" s="503"/>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c r="AF185" s="326"/>
      <c r="AG185" s="326"/>
      <c r="AH185" s="326"/>
      <c r="AI185" s="326"/>
      <c r="AJ185" s="326"/>
      <c r="AK185" s="326"/>
      <c r="AL185" s="326"/>
      <c r="AM185" s="326"/>
      <c r="AN185" s="326"/>
      <c r="AO185" s="531"/>
      <c r="AP185" s="531"/>
      <c r="AQ185" s="532"/>
      <c r="AR185" s="532"/>
      <c r="AS185" s="532"/>
      <c r="AT185" s="532"/>
      <c r="AU185" s="532"/>
      <c r="AV185" s="532"/>
      <c r="AW185" s="326"/>
      <c r="AX185" s="326"/>
      <c r="AY185" s="326"/>
      <c r="AZ185" s="326"/>
      <c r="BA185" s="326"/>
      <c r="BB185" s="326"/>
      <c r="BC185" s="326"/>
      <c r="BD185" s="326"/>
      <c r="BE185" s="326"/>
      <c r="BF185" s="326"/>
      <c r="BG185" s="326"/>
      <c r="BH185" s="326"/>
      <c r="BI185" s="326"/>
      <c r="BJ185" s="326"/>
      <c r="BK185" s="326"/>
      <c r="BL185" s="326"/>
      <c r="BM185" s="326"/>
      <c r="BN185" s="326"/>
      <c r="BO185" s="326"/>
      <c r="BP185" s="326"/>
      <c r="BQ185" s="532"/>
      <c r="BR185" s="532"/>
      <c r="BS185" s="532"/>
      <c r="BT185" s="532"/>
      <c r="BU185" s="532"/>
      <c r="BV185" s="532"/>
      <c r="BW185" s="533"/>
      <c r="BX185" s="533"/>
      <c r="BY185" s="533"/>
      <c r="BZ185" s="533"/>
      <c r="CA185" s="533"/>
      <c r="CB185" s="533"/>
      <c r="CC185" s="533"/>
      <c r="CD185" s="533"/>
      <c r="CE185" s="533"/>
      <c r="CF185" s="533"/>
      <c r="CG185" s="533"/>
      <c r="CH185" s="533"/>
      <c r="CI185" s="533"/>
      <c r="CJ185" s="533"/>
      <c r="CK185" s="533"/>
      <c r="CL185" s="533"/>
      <c r="CM185" s="533"/>
      <c r="CN185" s="533"/>
      <c r="CO185" s="533"/>
      <c r="CP185" s="533"/>
      <c r="CQ185" s="533"/>
      <c r="CR185" s="533"/>
      <c r="CS185" s="533"/>
      <c r="CT185" s="533"/>
      <c r="CU185" s="533"/>
      <c r="CV185" s="533"/>
      <c r="CW185" s="533"/>
      <c r="CX185" s="533"/>
      <c r="CY185" s="533"/>
      <c r="CZ185" s="533"/>
      <c r="DA185" s="533"/>
      <c r="DB185" s="533"/>
      <c r="DC185" s="533"/>
      <c r="DD185" s="533"/>
      <c r="DE185" s="533"/>
      <c r="DF185" s="533"/>
      <c r="DG185" s="533"/>
      <c r="DH185" s="533"/>
      <c r="DI185" s="533"/>
      <c r="DJ185" s="533"/>
      <c r="DK185" s="533"/>
      <c r="DL185" s="533"/>
      <c r="DM185" s="533"/>
      <c r="DN185" s="533"/>
      <c r="DO185" s="533"/>
      <c r="DP185" s="533"/>
      <c r="DQ185" s="533"/>
      <c r="DR185" s="533"/>
      <c r="DS185" s="533"/>
      <c r="DT185" s="533"/>
      <c r="DU185" s="533"/>
      <c r="DV185" s="533"/>
      <c r="DW185" s="533"/>
      <c r="DX185" s="533"/>
      <c r="DY185" s="533"/>
      <c r="DZ185" s="533"/>
      <c r="EA185" s="533"/>
      <c r="EB185" s="533"/>
      <c r="EC185" s="533"/>
      <c r="ED185" s="533"/>
      <c r="EE185" s="533"/>
      <c r="EF185" s="533"/>
      <c r="EG185" s="533"/>
      <c r="EH185" s="533"/>
      <c r="EI185" s="533"/>
      <c r="EJ185" s="533"/>
      <c r="EK185" s="533"/>
      <c r="EL185" s="533"/>
      <c r="EM185" s="533"/>
      <c r="EN185" s="533"/>
      <c r="EO185" s="533"/>
      <c r="EP185" s="533"/>
      <c r="EQ185" s="533"/>
      <c r="ER185" s="533"/>
      <c r="ES185" s="533"/>
      <c r="ET185" s="533"/>
      <c r="EU185" s="533"/>
      <c r="EV185" s="533"/>
      <c r="EW185" s="533"/>
      <c r="EX185" s="533"/>
      <c r="EY185" s="533"/>
      <c r="EZ185" s="533"/>
      <c r="FA185" s="533"/>
      <c r="FB185" s="533"/>
      <c r="FC185" s="533"/>
      <c r="FD185" s="533"/>
      <c r="FE185" s="533"/>
      <c r="FF185" s="533"/>
      <c r="FG185" s="533"/>
      <c r="FH185" s="533"/>
      <c r="FI185" s="533"/>
      <c r="FJ185" s="533"/>
      <c r="FK185" s="533"/>
      <c r="FL185" s="533"/>
      <c r="FM185" s="533"/>
      <c r="FN185" s="533"/>
      <c r="FO185" s="533"/>
      <c r="FP185" s="533"/>
      <c r="FQ185" s="533"/>
      <c r="FR185" s="533"/>
      <c r="FS185" s="533"/>
      <c r="FT185" s="533"/>
      <c r="FU185" s="533"/>
      <c r="FV185" s="533"/>
      <c r="FW185" s="533"/>
      <c r="FX185" s="533"/>
      <c r="FY185" s="533"/>
      <c r="FZ185" s="533"/>
      <c r="GA185" s="533"/>
      <c r="GB185" s="533"/>
      <c r="GC185" s="533"/>
      <c r="GD185" s="533"/>
      <c r="GE185" s="533"/>
      <c r="GF185" s="533"/>
      <c r="GG185" s="533"/>
      <c r="GH185" s="533"/>
      <c r="GI185" s="533"/>
      <c r="GJ185" s="533"/>
      <c r="GK185" s="533"/>
      <c r="GL185" s="533"/>
      <c r="GM185" s="533"/>
      <c r="GN185" s="533"/>
      <c r="GO185" s="533"/>
      <c r="GP185" s="533"/>
      <c r="GQ185" s="533"/>
      <c r="GR185" s="533"/>
      <c r="GS185" s="533"/>
      <c r="GT185" s="533"/>
      <c r="GU185" s="533"/>
      <c r="GV185" s="533"/>
      <c r="GW185" s="533"/>
      <c r="GX185" s="533"/>
      <c r="GY185" s="533"/>
      <c r="GZ185" s="533"/>
      <c r="HA185" s="533"/>
      <c r="HB185" s="534"/>
    </row>
    <row r="186" spans="1:210" ht="20.100000000000001" customHeight="1">
      <c r="A186" s="164"/>
      <c r="B186" s="306" t="s">
        <v>1468</v>
      </c>
      <c r="C186" s="503"/>
      <c r="D186" s="503"/>
      <c r="E186" s="503"/>
      <c r="F186" s="503"/>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6"/>
      <c r="AM186" s="326"/>
      <c r="AN186" s="326"/>
      <c r="AO186" s="531"/>
      <c r="AP186" s="531"/>
      <c r="AQ186" s="532"/>
      <c r="AR186" s="532"/>
      <c r="AS186" s="532"/>
      <c r="AT186" s="532"/>
      <c r="AU186" s="532"/>
      <c r="AV186" s="532"/>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532"/>
      <c r="BR186" s="532"/>
      <c r="BS186" s="532"/>
      <c r="BT186" s="532"/>
      <c r="BU186" s="532"/>
      <c r="BV186" s="532"/>
      <c r="BW186" s="533"/>
      <c r="BX186" s="533"/>
      <c r="BY186" s="533"/>
      <c r="BZ186" s="533"/>
      <c r="CA186" s="533"/>
      <c r="CB186" s="533"/>
      <c r="CC186" s="533"/>
      <c r="CD186" s="533"/>
      <c r="CE186" s="533"/>
      <c r="CF186" s="533"/>
      <c r="CG186" s="533"/>
      <c r="CH186" s="533"/>
      <c r="CI186" s="533"/>
      <c r="CJ186" s="533"/>
      <c r="CK186" s="533"/>
      <c r="CL186" s="533"/>
      <c r="CM186" s="533"/>
      <c r="CN186" s="533"/>
      <c r="CO186" s="533"/>
      <c r="CP186" s="533"/>
      <c r="CQ186" s="533"/>
      <c r="CR186" s="533"/>
      <c r="CS186" s="533"/>
      <c r="CT186" s="533"/>
      <c r="CU186" s="533"/>
      <c r="CV186" s="533"/>
      <c r="CW186" s="533"/>
      <c r="CX186" s="533"/>
      <c r="CY186" s="533"/>
      <c r="CZ186" s="533"/>
      <c r="DA186" s="533"/>
      <c r="DB186" s="533"/>
      <c r="DC186" s="533"/>
      <c r="DD186" s="533"/>
      <c r="DE186" s="533"/>
      <c r="DF186" s="533"/>
      <c r="DG186" s="533"/>
      <c r="DH186" s="533"/>
      <c r="DI186" s="533"/>
      <c r="DJ186" s="533"/>
      <c r="DK186" s="533"/>
      <c r="DL186" s="533"/>
      <c r="DM186" s="533"/>
      <c r="DN186" s="533"/>
      <c r="DO186" s="533"/>
      <c r="DP186" s="533"/>
      <c r="DQ186" s="533"/>
      <c r="DR186" s="533"/>
      <c r="DS186" s="533"/>
      <c r="DT186" s="533"/>
      <c r="DU186" s="533"/>
      <c r="DV186" s="533"/>
      <c r="DW186" s="533"/>
      <c r="DX186" s="533"/>
      <c r="DY186" s="533"/>
      <c r="DZ186" s="533"/>
      <c r="EA186" s="533"/>
      <c r="EB186" s="533"/>
      <c r="EC186" s="533"/>
      <c r="ED186" s="533"/>
      <c r="EE186" s="533"/>
      <c r="EF186" s="533"/>
      <c r="EG186" s="533"/>
      <c r="EH186" s="533"/>
      <c r="EI186" s="533"/>
      <c r="EJ186" s="533"/>
      <c r="EK186" s="533"/>
      <c r="EL186" s="533"/>
      <c r="EM186" s="533"/>
      <c r="EN186" s="533"/>
      <c r="EO186" s="533"/>
      <c r="EP186" s="533"/>
      <c r="EQ186" s="533"/>
      <c r="ER186" s="533"/>
      <c r="ES186" s="533"/>
      <c r="ET186" s="533"/>
      <c r="EU186" s="533"/>
      <c r="EV186" s="533"/>
      <c r="EW186" s="533"/>
      <c r="EX186" s="533"/>
      <c r="EY186" s="533"/>
      <c r="EZ186" s="533"/>
      <c r="FA186" s="533"/>
      <c r="FB186" s="533"/>
      <c r="FC186" s="533"/>
      <c r="FD186" s="533"/>
      <c r="FE186" s="533"/>
      <c r="FF186" s="533"/>
      <c r="FG186" s="533"/>
      <c r="FH186" s="533"/>
      <c r="FI186" s="533"/>
      <c r="FJ186" s="533"/>
      <c r="FK186" s="533"/>
      <c r="FL186" s="533"/>
      <c r="FM186" s="533"/>
      <c r="FN186" s="533"/>
      <c r="FO186" s="533"/>
      <c r="FP186" s="533"/>
      <c r="FQ186" s="533"/>
      <c r="FR186" s="533"/>
      <c r="FS186" s="533"/>
      <c r="FT186" s="533"/>
      <c r="FU186" s="533"/>
      <c r="FV186" s="533"/>
      <c r="FW186" s="533"/>
      <c r="FX186" s="533"/>
      <c r="FY186" s="533"/>
      <c r="FZ186" s="533"/>
      <c r="GA186" s="533"/>
      <c r="GB186" s="533"/>
      <c r="GC186" s="533"/>
      <c r="GD186" s="533"/>
      <c r="GE186" s="533"/>
      <c r="GF186" s="533"/>
      <c r="GG186" s="533"/>
      <c r="GH186" s="533"/>
      <c r="GI186" s="533"/>
      <c r="GJ186" s="533"/>
      <c r="GK186" s="533"/>
      <c r="GL186" s="533"/>
      <c r="GM186" s="533"/>
      <c r="GN186" s="533"/>
      <c r="GO186" s="533"/>
      <c r="GP186" s="533"/>
      <c r="GQ186" s="533"/>
      <c r="GR186" s="533"/>
      <c r="GS186" s="533"/>
      <c r="GT186" s="533"/>
      <c r="GU186" s="533"/>
      <c r="GV186" s="533"/>
      <c r="GW186" s="533"/>
      <c r="GX186" s="533"/>
      <c r="GY186" s="533"/>
      <c r="GZ186" s="533"/>
      <c r="HA186" s="533"/>
      <c r="HB186" s="534"/>
    </row>
    <row r="187" spans="1:210" ht="20.100000000000001" customHeight="1">
      <c r="A187" s="164"/>
      <c r="B187" s="306" t="s">
        <v>1469</v>
      </c>
      <c r="C187" s="503"/>
      <c r="D187" s="503"/>
      <c r="E187" s="503"/>
      <c r="F187" s="503"/>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6"/>
      <c r="AD187" s="326"/>
      <c r="AE187" s="326"/>
      <c r="AF187" s="326"/>
      <c r="AG187" s="326"/>
      <c r="AH187" s="326"/>
      <c r="AI187" s="326"/>
      <c r="AJ187" s="326"/>
      <c r="AK187" s="326"/>
      <c r="AL187" s="326"/>
      <c r="AM187" s="326"/>
      <c r="AN187" s="326"/>
      <c r="AO187" s="531"/>
      <c r="AP187" s="531"/>
      <c r="AQ187" s="532"/>
      <c r="AR187" s="532"/>
      <c r="AS187" s="532"/>
      <c r="AT187" s="532"/>
      <c r="AU187" s="532"/>
      <c r="AV187" s="532"/>
      <c r="AW187" s="326"/>
      <c r="AX187" s="326"/>
      <c r="AY187" s="326"/>
      <c r="AZ187" s="326"/>
      <c r="BA187" s="326"/>
      <c r="BB187" s="326"/>
      <c r="BC187" s="326"/>
      <c r="BD187" s="326"/>
      <c r="BE187" s="326"/>
      <c r="BF187" s="326"/>
      <c r="BG187" s="326"/>
      <c r="BH187" s="326"/>
      <c r="BI187" s="326"/>
      <c r="BJ187" s="326"/>
      <c r="BK187" s="326"/>
      <c r="BL187" s="326"/>
      <c r="BM187" s="326"/>
      <c r="BN187" s="326"/>
      <c r="BO187" s="326"/>
      <c r="BP187" s="326"/>
      <c r="BQ187" s="532"/>
      <c r="BR187" s="532"/>
      <c r="BS187" s="532"/>
      <c r="BT187" s="532"/>
      <c r="BU187" s="532"/>
      <c r="BV187" s="532"/>
      <c r="BW187" s="533"/>
      <c r="BX187" s="533"/>
      <c r="BY187" s="533"/>
      <c r="BZ187" s="533"/>
      <c r="CA187" s="533"/>
      <c r="CB187" s="533"/>
      <c r="CC187" s="533"/>
      <c r="CD187" s="533"/>
      <c r="CE187" s="533"/>
      <c r="CF187" s="533"/>
      <c r="CG187" s="533"/>
      <c r="CH187" s="533"/>
      <c r="CI187" s="533"/>
      <c r="CJ187" s="533"/>
      <c r="CK187" s="533"/>
      <c r="CL187" s="533"/>
      <c r="CM187" s="533"/>
      <c r="CN187" s="533"/>
      <c r="CO187" s="533"/>
      <c r="CP187" s="533"/>
      <c r="CQ187" s="533"/>
      <c r="CR187" s="533"/>
      <c r="CS187" s="533"/>
      <c r="CT187" s="533"/>
      <c r="CU187" s="533"/>
      <c r="CV187" s="533"/>
      <c r="CW187" s="533"/>
      <c r="CX187" s="533"/>
      <c r="CY187" s="533"/>
      <c r="CZ187" s="533"/>
      <c r="DA187" s="533"/>
      <c r="DB187" s="533"/>
      <c r="DC187" s="533"/>
      <c r="DD187" s="533"/>
      <c r="DE187" s="533"/>
      <c r="DF187" s="533"/>
      <c r="DG187" s="533"/>
      <c r="DH187" s="533"/>
      <c r="DI187" s="533"/>
      <c r="DJ187" s="533"/>
      <c r="DK187" s="533"/>
      <c r="DL187" s="533"/>
      <c r="DM187" s="533"/>
      <c r="DN187" s="533"/>
      <c r="DO187" s="533"/>
      <c r="DP187" s="533"/>
      <c r="DQ187" s="533"/>
      <c r="DR187" s="533"/>
      <c r="DS187" s="533"/>
      <c r="DT187" s="533"/>
      <c r="DU187" s="533"/>
      <c r="DV187" s="533"/>
      <c r="DW187" s="533"/>
      <c r="DX187" s="533"/>
      <c r="DY187" s="533"/>
      <c r="DZ187" s="533"/>
      <c r="EA187" s="533"/>
      <c r="EB187" s="533"/>
      <c r="EC187" s="533"/>
      <c r="ED187" s="533"/>
      <c r="EE187" s="533"/>
      <c r="EF187" s="533"/>
      <c r="EG187" s="533"/>
      <c r="EH187" s="533"/>
      <c r="EI187" s="533"/>
      <c r="EJ187" s="533"/>
      <c r="EK187" s="533"/>
      <c r="EL187" s="533"/>
      <c r="EM187" s="533"/>
      <c r="EN187" s="533"/>
      <c r="EO187" s="533"/>
      <c r="EP187" s="533"/>
      <c r="EQ187" s="533"/>
      <c r="ER187" s="533"/>
      <c r="ES187" s="533"/>
      <c r="ET187" s="533"/>
      <c r="EU187" s="533"/>
      <c r="EV187" s="533"/>
      <c r="EW187" s="533"/>
      <c r="EX187" s="533"/>
      <c r="EY187" s="533"/>
      <c r="EZ187" s="533"/>
      <c r="FA187" s="533"/>
      <c r="FB187" s="533"/>
      <c r="FC187" s="533"/>
      <c r="FD187" s="533"/>
      <c r="FE187" s="533"/>
      <c r="FF187" s="533"/>
      <c r="FG187" s="533"/>
      <c r="FH187" s="533"/>
      <c r="FI187" s="533"/>
      <c r="FJ187" s="533"/>
      <c r="FK187" s="533"/>
      <c r="FL187" s="533"/>
      <c r="FM187" s="533"/>
      <c r="FN187" s="533"/>
      <c r="FO187" s="533"/>
      <c r="FP187" s="533"/>
      <c r="FQ187" s="533"/>
      <c r="FR187" s="533"/>
      <c r="FS187" s="533"/>
      <c r="FT187" s="533"/>
      <c r="FU187" s="533"/>
      <c r="FV187" s="533"/>
      <c r="FW187" s="533"/>
      <c r="FX187" s="533"/>
      <c r="FY187" s="533"/>
      <c r="FZ187" s="533"/>
      <c r="GA187" s="533"/>
      <c r="GB187" s="533"/>
      <c r="GC187" s="533"/>
      <c r="GD187" s="533"/>
      <c r="GE187" s="533"/>
      <c r="GF187" s="533"/>
      <c r="GG187" s="533"/>
      <c r="GH187" s="533"/>
      <c r="GI187" s="533"/>
      <c r="GJ187" s="533"/>
      <c r="GK187" s="533"/>
      <c r="GL187" s="533"/>
      <c r="GM187" s="533"/>
      <c r="GN187" s="533"/>
      <c r="GO187" s="533"/>
      <c r="GP187" s="533"/>
      <c r="GQ187" s="533"/>
      <c r="GR187" s="533"/>
      <c r="GS187" s="533"/>
      <c r="GT187" s="533"/>
      <c r="GU187" s="533"/>
      <c r="GV187" s="533"/>
      <c r="GW187" s="533"/>
      <c r="GX187" s="533"/>
      <c r="GY187" s="533"/>
      <c r="GZ187" s="533"/>
      <c r="HA187" s="533"/>
      <c r="HB187" s="534"/>
    </row>
    <row r="188" spans="1:210" ht="20.100000000000001" customHeight="1">
      <c r="A188" s="164"/>
      <c r="B188" s="306" t="s">
        <v>1470</v>
      </c>
      <c r="C188" s="503"/>
      <c r="D188" s="503"/>
      <c r="E188" s="503"/>
      <c r="F188" s="503"/>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531"/>
      <c r="AP188" s="531"/>
      <c r="AQ188" s="532"/>
      <c r="AR188" s="532"/>
      <c r="AS188" s="532"/>
      <c r="AT188" s="532"/>
      <c r="AU188" s="532"/>
      <c r="AV188" s="532"/>
      <c r="AW188" s="326"/>
      <c r="AX188" s="326"/>
      <c r="AY188" s="326"/>
      <c r="AZ188" s="326"/>
      <c r="BA188" s="326"/>
      <c r="BB188" s="326"/>
      <c r="BC188" s="326"/>
      <c r="BD188" s="326"/>
      <c r="BE188" s="326"/>
      <c r="BF188" s="326"/>
      <c r="BG188" s="326"/>
      <c r="BH188" s="326"/>
      <c r="BI188" s="326"/>
      <c r="BJ188" s="326"/>
      <c r="BK188" s="326"/>
      <c r="BL188" s="326"/>
      <c r="BM188" s="326"/>
      <c r="BN188" s="326"/>
      <c r="BO188" s="326"/>
      <c r="BP188" s="326"/>
      <c r="BQ188" s="532"/>
      <c r="BR188" s="532"/>
      <c r="BS188" s="532"/>
      <c r="BT188" s="532"/>
      <c r="BU188" s="532"/>
      <c r="BV188" s="532"/>
      <c r="BW188" s="533"/>
      <c r="BX188" s="533"/>
      <c r="BY188" s="533"/>
      <c r="BZ188" s="533"/>
      <c r="CA188" s="533"/>
      <c r="CB188" s="533"/>
      <c r="CC188" s="533"/>
      <c r="CD188" s="533"/>
      <c r="CE188" s="533"/>
      <c r="CF188" s="533"/>
      <c r="CG188" s="533"/>
      <c r="CH188" s="533"/>
      <c r="CI188" s="533"/>
      <c r="CJ188" s="533"/>
      <c r="CK188" s="533"/>
      <c r="CL188" s="533"/>
      <c r="CM188" s="533"/>
      <c r="CN188" s="533"/>
      <c r="CO188" s="533"/>
      <c r="CP188" s="533"/>
      <c r="CQ188" s="533"/>
      <c r="CR188" s="533"/>
      <c r="CS188" s="533"/>
      <c r="CT188" s="533"/>
      <c r="CU188" s="533"/>
      <c r="CV188" s="533"/>
      <c r="CW188" s="533"/>
      <c r="CX188" s="533"/>
      <c r="CY188" s="533"/>
      <c r="CZ188" s="533"/>
      <c r="DA188" s="533"/>
      <c r="DB188" s="533"/>
      <c r="DC188" s="533"/>
      <c r="DD188" s="533"/>
      <c r="DE188" s="533"/>
      <c r="DF188" s="533"/>
      <c r="DG188" s="533"/>
      <c r="DH188" s="533"/>
      <c r="DI188" s="533"/>
      <c r="DJ188" s="533"/>
      <c r="DK188" s="533"/>
      <c r="DL188" s="533"/>
      <c r="DM188" s="533"/>
      <c r="DN188" s="533"/>
      <c r="DO188" s="533"/>
      <c r="DP188" s="533"/>
      <c r="DQ188" s="533"/>
      <c r="DR188" s="533"/>
      <c r="DS188" s="533"/>
      <c r="DT188" s="533"/>
      <c r="DU188" s="533"/>
      <c r="DV188" s="533"/>
      <c r="DW188" s="533"/>
      <c r="DX188" s="533"/>
      <c r="DY188" s="533"/>
      <c r="DZ188" s="533"/>
      <c r="EA188" s="533"/>
      <c r="EB188" s="533"/>
      <c r="EC188" s="533"/>
      <c r="ED188" s="533"/>
      <c r="EE188" s="533"/>
      <c r="EF188" s="533"/>
      <c r="EG188" s="533"/>
      <c r="EH188" s="533"/>
      <c r="EI188" s="533"/>
      <c r="EJ188" s="533"/>
      <c r="EK188" s="533"/>
      <c r="EL188" s="533"/>
      <c r="EM188" s="533"/>
      <c r="EN188" s="533"/>
      <c r="EO188" s="533"/>
      <c r="EP188" s="533"/>
      <c r="EQ188" s="533"/>
      <c r="ER188" s="533"/>
      <c r="ES188" s="533"/>
      <c r="ET188" s="533"/>
      <c r="EU188" s="533"/>
      <c r="EV188" s="533"/>
      <c r="EW188" s="533"/>
      <c r="EX188" s="533"/>
      <c r="EY188" s="533"/>
      <c r="EZ188" s="533"/>
      <c r="FA188" s="533"/>
      <c r="FB188" s="533"/>
      <c r="FC188" s="533"/>
      <c r="FD188" s="533"/>
      <c r="FE188" s="533"/>
      <c r="FF188" s="533"/>
      <c r="FG188" s="533"/>
      <c r="FH188" s="533"/>
      <c r="FI188" s="533"/>
      <c r="FJ188" s="533"/>
      <c r="FK188" s="533"/>
      <c r="FL188" s="533"/>
      <c r="FM188" s="533"/>
      <c r="FN188" s="533"/>
      <c r="FO188" s="533"/>
      <c r="FP188" s="533"/>
      <c r="FQ188" s="533"/>
      <c r="FR188" s="533"/>
      <c r="FS188" s="533"/>
      <c r="FT188" s="533"/>
      <c r="FU188" s="533"/>
      <c r="FV188" s="533"/>
      <c r="FW188" s="533"/>
      <c r="FX188" s="533"/>
      <c r="FY188" s="533"/>
      <c r="FZ188" s="533"/>
      <c r="GA188" s="533"/>
      <c r="GB188" s="533"/>
      <c r="GC188" s="533"/>
      <c r="GD188" s="533"/>
      <c r="GE188" s="533"/>
      <c r="GF188" s="533"/>
      <c r="GG188" s="533"/>
      <c r="GH188" s="533"/>
      <c r="GI188" s="533"/>
      <c r="GJ188" s="533"/>
      <c r="GK188" s="533"/>
      <c r="GL188" s="533"/>
      <c r="GM188" s="533"/>
      <c r="GN188" s="533"/>
      <c r="GO188" s="533"/>
      <c r="GP188" s="533"/>
      <c r="GQ188" s="533"/>
      <c r="GR188" s="533"/>
      <c r="GS188" s="533"/>
      <c r="GT188" s="533"/>
      <c r="GU188" s="533"/>
      <c r="GV188" s="533"/>
      <c r="GW188" s="533"/>
      <c r="GX188" s="533"/>
      <c r="GY188" s="533"/>
      <c r="GZ188" s="533"/>
      <c r="HA188" s="533"/>
      <c r="HB188" s="534"/>
    </row>
    <row r="189" spans="1:210" ht="20.100000000000001" customHeight="1">
      <c r="A189" s="164"/>
      <c r="B189" s="306" t="s">
        <v>1471</v>
      </c>
      <c r="C189" s="503"/>
      <c r="D189" s="503"/>
      <c r="E189" s="503"/>
      <c r="F189" s="503"/>
      <c r="G189" s="326"/>
      <c r="H189" s="326"/>
      <c r="I189" s="326"/>
      <c r="J189" s="326"/>
      <c r="K189" s="326"/>
      <c r="L189" s="326"/>
      <c r="M189" s="326"/>
      <c r="N189" s="326"/>
      <c r="O189" s="326"/>
      <c r="P189" s="326"/>
      <c r="Q189" s="326"/>
      <c r="R189" s="326"/>
      <c r="S189" s="326"/>
      <c r="T189" s="326"/>
      <c r="U189" s="326"/>
      <c r="V189" s="326"/>
      <c r="W189" s="326"/>
      <c r="X189" s="326"/>
      <c r="Y189" s="326"/>
      <c r="Z189" s="326"/>
      <c r="AA189" s="326"/>
      <c r="AB189" s="326"/>
      <c r="AC189" s="326"/>
      <c r="AD189" s="326"/>
      <c r="AE189" s="326"/>
      <c r="AF189" s="326"/>
      <c r="AG189" s="326"/>
      <c r="AH189" s="326"/>
      <c r="AI189" s="326"/>
      <c r="AJ189" s="326"/>
      <c r="AK189" s="326"/>
      <c r="AL189" s="326"/>
      <c r="AM189" s="326"/>
      <c r="AN189" s="326"/>
      <c r="AO189" s="531"/>
      <c r="AP189" s="531"/>
      <c r="AQ189" s="532"/>
      <c r="AR189" s="532"/>
      <c r="AS189" s="532"/>
      <c r="AT189" s="532"/>
      <c r="AU189" s="532"/>
      <c r="AV189" s="532"/>
      <c r="AW189" s="326"/>
      <c r="AX189" s="326"/>
      <c r="AY189" s="326"/>
      <c r="AZ189" s="326"/>
      <c r="BA189" s="326"/>
      <c r="BB189" s="326"/>
      <c r="BC189" s="326"/>
      <c r="BD189" s="326"/>
      <c r="BE189" s="326"/>
      <c r="BF189" s="326"/>
      <c r="BG189" s="326"/>
      <c r="BH189" s="326"/>
      <c r="BI189" s="326"/>
      <c r="BJ189" s="326"/>
      <c r="BK189" s="326"/>
      <c r="BL189" s="326"/>
      <c r="BM189" s="326"/>
      <c r="BN189" s="326"/>
      <c r="BO189" s="326"/>
      <c r="BP189" s="326"/>
      <c r="BQ189" s="532"/>
      <c r="BR189" s="532"/>
      <c r="BS189" s="532"/>
      <c r="BT189" s="532"/>
      <c r="BU189" s="532"/>
      <c r="BV189" s="532"/>
      <c r="BW189" s="533"/>
      <c r="BX189" s="533"/>
      <c r="BY189" s="533"/>
      <c r="BZ189" s="533"/>
      <c r="CA189" s="533"/>
      <c r="CB189" s="533"/>
      <c r="CC189" s="533"/>
      <c r="CD189" s="533"/>
      <c r="CE189" s="533"/>
      <c r="CF189" s="533"/>
      <c r="CG189" s="533"/>
      <c r="CH189" s="533"/>
      <c r="CI189" s="533"/>
      <c r="CJ189" s="533"/>
      <c r="CK189" s="533"/>
      <c r="CL189" s="533"/>
      <c r="CM189" s="533"/>
      <c r="CN189" s="533"/>
      <c r="CO189" s="533"/>
      <c r="CP189" s="533"/>
      <c r="CQ189" s="533"/>
      <c r="CR189" s="533"/>
      <c r="CS189" s="533"/>
      <c r="CT189" s="533"/>
      <c r="CU189" s="533"/>
      <c r="CV189" s="533"/>
      <c r="CW189" s="533"/>
      <c r="CX189" s="533"/>
      <c r="CY189" s="533"/>
      <c r="CZ189" s="533"/>
      <c r="DA189" s="533"/>
      <c r="DB189" s="533"/>
      <c r="DC189" s="533"/>
      <c r="DD189" s="533"/>
      <c r="DE189" s="533"/>
      <c r="DF189" s="533"/>
      <c r="DG189" s="533"/>
      <c r="DH189" s="533"/>
      <c r="DI189" s="533"/>
      <c r="DJ189" s="533"/>
      <c r="DK189" s="533"/>
      <c r="DL189" s="533"/>
      <c r="DM189" s="533"/>
      <c r="DN189" s="533"/>
      <c r="DO189" s="533"/>
      <c r="DP189" s="533"/>
      <c r="DQ189" s="533"/>
      <c r="DR189" s="533"/>
      <c r="DS189" s="533"/>
      <c r="DT189" s="533"/>
      <c r="DU189" s="533"/>
      <c r="DV189" s="533"/>
      <c r="DW189" s="533"/>
      <c r="DX189" s="533"/>
      <c r="DY189" s="533"/>
      <c r="DZ189" s="533"/>
      <c r="EA189" s="533"/>
      <c r="EB189" s="533"/>
      <c r="EC189" s="533"/>
      <c r="ED189" s="533"/>
      <c r="EE189" s="533"/>
      <c r="EF189" s="533"/>
      <c r="EG189" s="533"/>
      <c r="EH189" s="533"/>
      <c r="EI189" s="533"/>
      <c r="EJ189" s="533"/>
      <c r="EK189" s="533"/>
      <c r="EL189" s="533"/>
      <c r="EM189" s="533"/>
      <c r="EN189" s="533"/>
      <c r="EO189" s="533"/>
      <c r="EP189" s="533"/>
      <c r="EQ189" s="533"/>
      <c r="ER189" s="533"/>
      <c r="ES189" s="533"/>
      <c r="ET189" s="533"/>
      <c r="EU189" s="533"/>
      <c r="EV189" s="533"/>
      <c r="EW189" s="533"/>
      <c r="EX189" s="533"/>
      <c r="EY189" s="533"/>
      <c r="EZ189" s="533"/>
      <c r="FA189" s="533"/>
      <c r="FB189" s="533"/>
      <c r="FC189" s="533"/>
      <c r="FD189" s="533"/>
      <c r="FE189" s="533"/>
      <c r="FF189" s="533"/>
      <c r="FG189" s="533"/>
      <c r="FH189" s="533"/>
      <c r="FI189" s="533"/>
      <c r="FJ189" s="533"/>
      <c r="FK189" s="533"/>
      <c r="FL189" s="533"/>
      <c r="FM189" s="533"/>
      <c r="FN189" s="533"/>
      <c r="FO189" s="533"/>
      <c r="FP189" s="533"/>
      <c r="FQ189" s="533"/>
      <c r="FR189" s="533"/>
      <c r="FS189" s="533"/>
      <c r="FT189" s="533"/>
      <c r="FU189" s="533"/>
      <c r="FV189" s="533"/>
      <c r="FW189" s="533"/>
      <c r="FX189" s="533"/>
      <c r="FY189" s="533"/>
      <c r="FZ189" s="533"/>
      <c r="GA189" s="533"/>
      <c r="GB189" s="533"/>
      <c r="GC189" s="533"/>
      <c r="GD189" s="533"/>
      <c r="GE189" s="533"/>
      <c r="GF189" s="533"/>
      <c r="GG189" s="533"/>
      <c r="GH189" s="533"/>
      <c r="GI189" s="533"/>
      <c r="GJ189" s="533"/>
      <c r="GK189" s="533"/>
      <c r="GL189" s="533"/>
      <c r="GM189" s="533"/>
      <c r="GN189" s="533"/>
      <c r="GO189" s="533"/>
      <c r="GP189" s="533"/>
      <c r="GQ189" s="533"/>
      <c r="GR189" s="533"/>
      <c r="GS189" s="533"/>
      <c r="GT189" s="533"/>
      <c r="GU189" s="533"/>
      <c r="GV189" s="533"/>
      <c r="GW189" s="533"/>
      <c r="GX189" s="533"/>
      <c r="GY189" s="533"/>
      <c r="GZ189" s="533"/>
      <c r="HA189" s="533"/>
      <c r="HB189" s="534"/>
    </row>
    <row r="190" spans="1:210" ht="20.100000000000001" customHeight="1">
      <c r="A190" s="164"/>
      <c r="B190" s="306" t="s">
        <v>1472</v>
      </c>
      <c r="C190" s="503"/>
      <c r="D190" s="503"/>
      <c r="E190" s="503"/>
      <c r="F190" s="503"/>
      <c r="G190" s="326"/>
      <c r="H190" s="326"/>
      <c r="I190" s="326"/>
      <c r="J190" s="326"/>
      <c r="K190" s="326"/>
      <c r="L190" s="326"/>
      <c r="M190" s="326"/>
      <c r="N190" s="326"/>
      <c r="O190" s="326"/>
      <c r="P190" s="326"/>
      <c r="Q190" s="326"/>
      <c r="R190" s="326"/>
      <c r="S190" s="326"/>
      <c r="T190" s="326"/>
      <c r="U190" s="326"/>
      <c r="V190" s="326"/>
      <c r="W190" s="326"/>
      <c r="X190" s="326"/>
      <c r="Y190" s="326"/>
      <c r="Z190" s="326"/>
      <c r="AA190" s="326"/>
      <c r="AB190" s="326"/>
      <c r="AC190" s="326"/>
      <c r="AD190" s="326"/>
      <c r="AE190" s="326"/>
      <c r="AF190" s="326"/>
      <c r="AG190" s="326"/>
      <c r="AH190" s="326"/>
      <c r="AI190" s="326"/>
      <c r="AJ190" s="326"/>
      <c r="AK190" s="326"/>
      <c r="AL190" s="326"/>
      <c r="AM190" s="326"/>
      <c r="AN190" s="326"/>
      <c r="AO190" s="531"/>
      <c r="AP190" s="531"/>
      <c r="AQ190" s="532"/>
      <c r="AR190" s="532"/>
      <c r="AS190" s="532"/>
      <c r="AT190" s="532"/>
      <c r="AU190" s="532"/>
      <c r="AV190" s="532"/>
      <c r="AW190" s="326"/>
      <c r="AX190" s="326"/>
      <c r="AY190" s="326"/>
      <c r="AZ190" s="326"/>
      <c r="BA190" s="326"/>
      <c r="BB190" s="326"/>
      <c r="BC190" s="326"/>
      <c r="BD190" s="326"/>
      <c r="BE190" s="326"/>
      <c r="BF190" s="326"/>
      <c r="BG190" s="326"/>
      <c r="BH190" s="326"/>
      <c r="BI190" s="326"/>
      <c r="BJ190" s="326"/>
      <c r="BK190" s="326"/>
      <c r="BL190" s="326"/>
      <c r="BM190" s="326"/>
      <c r="BN190" s="326"/>
      <c r="BO190" s="326"/>
      <c r="BP190" s="326"/>
      <c r="BQ190" s="532"/>
      <c r="BR190" s="532"/>
      <c r="BS190" s="532"/>
      <c r="BT190" s="532"/>
      <c r="BU190" s="532"/>
      <c r="BV190" s="532"/>
      <c r="BW190" s="533"/>
      <c r="BX190" s="533"/>
      <c r="BY190" s="533"/>
      <c r="BZ190" s="533"/>
      <c r="CA190" s="533"/>
      <c r="CB190" s="533"/>
      <c r="CC190" s="533"/>
      <c r="CD190" s="533"/>
      <c r="CE190" s="533"/>
      <c r="CF190" s="533"/>
      <c r="CG190" s="533"/>
      <c r="CH190" s="533"/>
      <c r="CI190" s="533"/>
      <c r="CJ190" s="533"/>
      <c r="CK190" s="533"/>
      <c r="CL190" s="533"/>
      <c r="CM190" s="533"/>
      <c r="CN190" s="533"/>
      <c r="CO190" s="533"/>
      <c r="CP190" s="533"/>
      <c r="CQ190" s="533"/>
      <c r="CR190" s="533"/>
      <c r="CS190" s="533"/>
      <c r="CT190" s="533"/>
      <c r="CU190" s="533"/>
      <c r="CV190" s="533"/>
      <c r="CW190" s="533"/>
      <c r="CX190" s="533"/>
      <c r="CY190" s="533"/>
      <c r="CZ190" s="533"/>
      <c r="DA190" s="533"/>
      <c r="DB190" s="533"/>
      <c r="DC190" s="533"/>
      <c r="DD190" s="533"/>
      <c r="DE190" s="533"/>
      <c r="DF190" s="533"/>
      <c r="DG190" s="533"/>
      <c r="DH190" s="533"/>
      <c r="DI190" s="533"/>
      <c r="DJ190" s="533"/>
      <c r="DK190" s="533"/>
      <c r="DL190" s="533"/>
      <c r="DM190" s="533"/>
      <c r="DN190" s="533"/>
      <c r="DO190" s="533"/>
      <c r="DP190" s="533"/>
      <c r="DQ190" s="533"/>
      <c r="DR190" s="533"/>
      <c r="DS190" s="533"/>
      <c r="DT190" s="533"/>
      <c r="DU190" s="533"/>
      <c r="DV190" s="533"/>
      <c r="DW190" s="533"/>
      <c r="DX190" s="533"/>
      <c r="DY190" s="533"/>
      <c r="DZ190" s="533"/>
      <c r="EA190" s="533"/>
      <c r="EB190" s="533"/>
      <c r="EC190" s="533"/>
      <c r="ED190" s="533"/>
      <c r="EE190" s="533"/>
      <c r="EF190" s="533"/>
      <c r="EG190" s="533"/>
      <c r="EH190" s="533"/>
      <c r="EI190" s="533"/>
      <c r="EJ190" s="533"/>
      <c r="EK190" s="533"/>
      <c r="EL190" s="533"/>
      <c r="EM190" s="533"/>
      <c r="EN190" s="533"/>
      <c r="EO190" s="533"/>
      <c r="EP190" s="533"/>
      <c r="EQ190" s="533"/>
      <c r="ER190" s="533"/>
      <c r="ES190" s="533"/>
      <c r="ET190" s="533"/>
      <c r="EU190" s="533"/>
      <c r="EV190" s="533"/>
      <c r="EW190" s="533"/>
      <c r="EX190" s="533"/>
      <c r="EY190" s="533"/>
      <c r="EZ190" s="533"/>
      <c r="FA190" s="533"/>
      <c r="FB190" s="533"/>
      <c r="FC190" s="533"/>
      <c r="FD190" s="533"/>
      <c r="FE190" s="533"/>
      <c r="FF190" s="533"/>
      <c r="FG190" s="533"/>
      <c r="FH190" s="533"/>
      <c r="FI190" s="533"/>
      <c r="FJ190" s="533"/>
      <c r="FK190" s="533"/>
      <c r="FL190" s="533"/>
      <c r="FM190" s="533"/>
      <c r="FN190" s="533"/>
      <c r="FO190" s="533"/>
      <c r="FP190" s="533"/>
      <c r="FQ190" s="533"/>
      <c r="FR190" s="533"/>
      <c r="FS190" s="533"/>
      <c r="FT190" s="533"/>
      <c r="FU190" s="533"/>
      <c r="FV190" s="533"/>
      <c r="FW190" s="533"/>
      <c r="FX190" s="533"/>
      <c r="FY190" s="533"/>
      <c r="FZ190" s="533"/>
      <c r="GA190" s="533"/>
      <c r="GB190" s="533"/>
      <c r="GC190" s="533"/>
      <c r="GD190" s="533"/>
      <c r="GE190" s="533"/>
      <c r="GF190" s="533"/>
      <c r="GG190" s="533"/>
      <c r="GH190" s="533"/>
      <c r="GI190" s="533"/>
      <c r="GJ190" s="533"/>
      <c r="GK190" s="533"/>
      <c r="GL190" s="533"/>
      <c r="GM190" s="533"/>
      <c r="GN190" s="533"/>
      <c r="GO190" s="533"/>
      <c r="GP190" s="533"/>
      <c r="GQ190" s="533"/>
      <c r="GR190" s="533"/>
      <c r="GS190" s="533"/>
      <c r="GT190" s="533"/>
      <c r="GU190" s="533"/>
      <c r="GV190" s="533"/>
      <c r="GW190" s="533"/>
      <c r="GX190" s="533"/>
      <c r="GY190" s="533"/>
      <c r="GZ190" s="533"/>
      <c r="HA190" s="533"/>
      <c r="HB190" s="534"/>
    </row>
    <row r="191" spans="1:210" ht="20.100000000000001" customHeight="1">
      <c r="A191" s="164"/>
      <c r="B191" s="306" t="s">
        <v>1473</v>
      </c>
      <c r="C191" s="503"/>
      <c r="D191" s="503"/>
      <c r="E191" s="503"/>
      <c r="F191" s="503"/>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26"/>
      <c r="AI191" s="326"/>
      <c r="AJ191" s="326"/>
      <c r="AK191" s="326"/>
      <c r="AL191" s="326"/>
      <c r="AM191" s="326"/>
      <c r="AN191" s="326"/>
      <c r="AO191" s="531"/>
      <c r="AP191" s="531"/>
      <c r="AQ191" s="532"/>
      <c r="AR191" s="532"/>
      <c r="AS191" s="532"/>
      <c r="AT191" s="532"/>
      <c r="AU191" s="532"/>
      <c r="AV191" s="532"/>
      <c r="AW191" s="326"/>
      <c r="AX191" s="326"/>
      <c r="AY191" s="326"/>
      <c r="AZ191" s="326"/>
      <c r="BA191" s="326"/>
      <c r="BB191" s="326"/>
      <c r="BC191" s="326"/>
      <c r="BD191" s="326"/>
      <c r="BE191" s="326"/>
      <c r="BF191" s="326"/>
      <c r="BG191" s="326"/>
      <c r="BH191" s="326"/>
      <c r="BI191" s="326"/>
      <c r="BJ191" s="326"/>
      <c r="BK191" s="326"/>
      <c r="BL191" s="326"/>
      <c r="BM191" s="326"/>
      <c r="BN191" s="326"/>
      <c r="BO191" s="326"/>
      <c r="BP191" s="326"/>
      <c r="BQ191" s="532"/>
      <c r="BR191" s="532"/>
      <c r="BS191" s="532"/>
      <c r="BT191" s="532"/>
      <c r="BU191" s="532"/>
      <c r="BV191" s="532"/>
      <c r="BW191" s="533"/>
      <c r="BX191" s="533"/>
      <c r="BY191" s="533"/>
      <c r="BZ191" s="533"/>
      <c r="CA191" s="533"/>
      <c r="CB191" s="533"/>
      <c r="CC191" s="533"/>
      <c r="CD191" s="533"/>
      <c r="CE191" s="533"/>
      <c r="CF191" s="533"/>
      <c r="CG191" s="533"/>
      <c r="CH191" s="533"/>
      <c r="CI191" s="533"/>
      <c r="CJ191" s="533"/>
      <c r="CK191" s="533"/>
      <c r="CL191" s="533"/>
      <c r="CM191" s="533"/>
      <c r="CN191" s="533"/>
      <c r="CO191" s="533"/>
      <c r="CP191" s="533"/>
      <c r="CQ191" s="533"/>
      <c r="CR191" s="533"/>
      <c r="CS191" s="533"/>
      <c r="CT191" s="533"/>
      <c r="CU191" s="533"/>
      <c r="CV191" s="533"/>
      <c r="CW191" s="533"/>
      <c r="CX191" s="533"/>
      <c r="CY191" s="533"/>
      <c r="CZ191" s="533"/>
      <c r="DA191" s="533"/>
      <c r="DB191" s="533"/>
      <c r="DC191" s="533"/>
      <c r="DD191" s="533"/>
      <c r="DE191" s="533"/>
      <c r="DF191" s="533"/>
      <c r="DG191" s="533"/>
      <c r="DH191" s="533"/>
      <c r="DI191" s="533"/>
      <c r="DJ191" s="533"/>
      <c r="DK191" s="533"/>
      <c r="DL191" s="533"/>
      <c r="DM191" s="533"/>
      <c r="DN191" s="533"/>
      <c r="DO191" s="533"/>
      <c r="DP191" s="533"/>
      <c r="DQ191" s="533"/>
      <c r="DR191" s="533"/>
      <c r="DS191" s="533"/>
      <c r="DT191" s="533"/>
      <c r="DU191" s="533"/>
      <c r="DV191" s="533"/>
      <c r="DW191" s="533"/>
      <c r="DX191" s="533"/>
      <c r="DY191" s="533"/>
      <c r="DZ191" s="533"/>
      <c r="EA191" s="533"/>
      <c r="EB191" s="533"/>
      <c r="EC191" s="533"/>
      <c r="ED191" s="533"/>
      <c r="EE191" s="533"/>
      <c r="EF191" s="533"/>
      <c r="EG191" s="533"/>
      <c r="EH191" s="533"/>
      <c r="EI191" s="533"/>
      <c r="EJ191" s="533"/>
      <c r="EK191" s="533"/>
      <c r="EL191" s="533"/>
      <c r="EM191" s="533"/>
      <c r="EN191" s="533"/>
      <c r="EO191" s="533"/>
      <c r="EP191" s="533"/>
      <c r="EQ191" s="533"/>
      <c r="ER191" s="533"/>
      <c r="ES191" s="533"/>
      <c r="ET191" s="533"/>
      <c r="EU191" s="533"/>
      <c r="EV191" s="533"/>
      <c r="EW191" s="533"/>
      <c r="EX191" s="533"/>
      <c r="EY191" s="533"/>
      <c r="EZ191" s="533"/>
      <c r="FA191" s="533"/>
      <c r="FB191" s="533"/>
      <c r="FC191" s="533"/>
      <c r="FD191" s="533"/>
      <c r="FE191" s="533"/>
      <c r="FF191" s="533"/>
      <c r="FG191" s="533"/>
      <c r="FH191" s="533"/>
      <c r="FI191" s="533"/>
      <c r="FJ191" s="533"/>
      <c r="FK191" s="533"/>
      <c r="FL191" s="533"/>
      <c r="FM191" s="533"/>
      <c r="FN191" s="533"/>
      <c r="FO191" s="533"/>
      <c r="FP191" s="533"/>
      <c r="FQ191" s="533"/>
      <c r="FR191" s="533"/>
      <c r="FS191" s="533"/>
      <c r="FT191" s="533"/>
      <c r="FU191" s="533"/>
      <c r="FV191" s="533"/>
      <c r="FW191" s="533"/>
      <c r="FX191" s="533"/>
      <c r="FY191" s="533"/>
      <c r="FZ191" s="533"/>
      <c r="GA191" s="533"/>
      <c r="GB191" s="533"/>
      <c r="GC191" s="533"/>
      <c r="GD191" s="533"/>
      <c r="GE191" s="533"/>
      <c r="GF191" s="533"/>
      <c r="GG191" s="533"/>
      <c r="GH191" s="533"/>
      <c r="GI191" s="533"/>
      <c r="GJ191" s="533"/>
      <c r="GK191" s="533"/>
      <c r="GL191" s="533"/>
      <c r="GM191" s="533"/>
      <c r="GN191" s="533"/>
      <c r="GO191" s="533"/>
      <c r="GP191" s="533"/>
      <c r="GQ191" s="533"/>
      <c r="GR191" s="533"/>
      <c r="GS191" s="533"/>
      <c r="GT191" s="533"/>
      <c r="GU191" s="533"/>
      <c r="GV191" s="533"/>
      <c r="GW191" s="533"/>
      <c r="GX191" s="533"/>
      <c r="GY191" s="533"/>
      <c r="GZ191" s="533"/>
      <c r="HA191" s="533"/>
      <c r="HB191" s="534"/>
    </row>
    <row r="192" spans="1:210" ht="20.100000000000001" customHeight="1">
      <c r="A192" s="164"/>
      <c r="B192" s="306" t="s">
        <v>1474</v>
      </c>
      <c r="C192" s="503"/>
      <c r="D192" s="503"/>
      <c r="E192" s="503"/>
      <c r="F192" s="503"/>
      <c r="G192" s="326"/>
      <c r="H192" s="326"/>
      <c r="I192" s="326"/>
      <c r="J192" s="326"/>
      <c r="K192" s="326"/>
      <c r="L192" s="326"/>
      <c r="M192" s="326"/>
      <c r="N192" s="326"/>
      <c r="O192" s="326"/>
      <c r="P192" s="326"/>
      <c r="Q192" s="326"/>
      <c r="R192" s="326"/>
      <c r="S192" s="326"/>
      <c r="T192" s="326"/>
      <c r="U192" s="326"/>
      <c r="V192" s="326"/>
      <c r="W192" s="326"/>
      <c r="X192" s="326"/>
      <c r="Y192" s="326"/>
      <c r="Z192" s="326"/>
      <c r="AA192" s="326"/>
      <c r="AB192" s="326"/>
      <c r="AC192" s="326"/>
      <c r="AD192" s="326"/>
      <c r="AE192" s="326"/>
      <c r="AF192" s="326"/>
      <c r="AG192" s="326"/>
      <c r="AH192" s="326"/>
      <c r="AI192" s="326"/>
      <c r="AJ192" s="326"/>
      <c r="AK192" s="326"/>
      <c r="AL192" s="326"/>
      <c r="AM192" s="326"/>
      <c r="AN192" s="326"/>
      <c r="AO192" s="531"/>
      <c r="AP192" s="531"/>
      <c r="AQ192" s="532"/>
      <c r="AR192" s="532"/>
      <c r="AS192" s="532"/>
      <c r="AT192" s="532"/>
      <c r="AU192" s="532"/>
      <c r="AV192" s="532"/>
      <c r="AW192" s="326"/>
      <c r="AX192" s="326"/>
      <c r="AY192" s="326"/>
      <c r="AZ192" s="326"/>
      <c r="BA192" s="326"/>
      <c r="BB192" s="326"/>
      <c r="BC192" s="326"/>
      <c r="BD192" s="326"/>
      <c r="BE192" s="326"/>
      <c r="BF192" s="326"/>
      <c r="BG192" s="326"/>
      <c r="BH192" s="326"/>
      <c r="BI192" s="326"/>
      <c r="BJ192" s="326"/>
      <c r="BK192" s="326"/>
      <c r="BL192" s="326"/>
      <c r="BM192" s="326"/>
      <c r="BN192" s="326"/>
      <c r="BO192" s="326"/>
      <c r="BP192" s="326"/>
      <c r="BQ192" s="532"/>
      <c r="BR192" s="532"/>
      <c r="BS192" s="532"/>
      <c r="BT192" s="532"/>
      <c r="BU192" s="532"/>
      <c r="BV192" s="532"/>
      <c r="BW192" s="533"/>
      <c r="BX192" s="533"/>
      <c r="BY192" s="533"/>
      <c r="BZ192" s="533"/>
      <c r="CA192" s="533"/>
      <c r="CB192" s="533"/>
      <c r="CC192" s="533"/>
      <c r="CD192" s="533"/>
      <c r="CE192" s="533"/>
      <c r="CF192" s="533"/>
      <c r="CG192" s="533"/>
      <c r="CH192" s="533"/>
      <c r="CI192" s="533"/>
      <c r="CJ192" s="533"/>
      <c r="CK192" s="533"/>
      <c r="CL192" s="533"/>
      <c r="CM192" s="533"/>
      <c r="CN192" s="533"/>
      <c r="CO192" s="533"/>
      <c r="CP192" s="533"/>
      <c r="CQ192" s="533"/>
      <c r="CR192" s="533"/>
      <c r="CS192" s="533"/>
      <c r="CT192" s="533"/>
      <c r="CU192" s="533"/>
      <c r="CV192" s="533"/>
      <c r="CW192" s="533"/>
      <c r="CX192" s="533"/>
      <c r="CY192" s="533"/>
      <c r="CZ192" s="533"/>
      <c r="DA192" s="533"/>
      <c r="DB192" s="533"/>
      <c r="DC192" s="533"/>
      <c r="DD192" s="533"/>
      <c r="DE192" s="533"/>
      <c r="DF192" s="533"/>
      <c r="DG192" s="533"/>
      <c r="DH192" s="533"/>
      <c r="DI192" s="533"/>
      <c r="DJ192" s="533"/>
      <c r="DK192" s="533"/>
      <c r="DL192" s="533"/>
      <c r="DM192" s="533"/>
      <c r="DN192" s="533"/>
      <c r="DO192" s="533"/>
      <c r="DP192" s="533"/>
      <c r="DQ192" s="533"/>
      <c r="DR192" s="533"/>
      <c r="DS192" s="533"/>
      <c r="DT192" s="533"/>
      <c r="DU192" s="533"/>
      <c r="DV192" s="533"/>
      <c r="DW192" s="533"/>
      <c r="DX192" s="533"/>
      <c r="DY192" s="533"/>
      <c r="DZ192" s="533"/>
      <c r="EA192" s="533"/>
      <c r="EB192" s="533"/>
      <c r="EC192" s="533"/>
      <c r="ED192" s="533"/>
      <c r="EE192" s="533"/>
      <c r="EF192" s="533"/>
      <c r="EG192" s="533"/>
      <c r="EH192" s="533"/>
      <c r="EI192" s="533"/>
      <c r="EJ192" s="533"/>
      <c r="EK192" s="533"/>
      <c r="EL192" s="533"/>
      <c r="EM192" s="533"/>
      <c r="EN192" s="533"/>
      <c r="EO192" s="533"/>
      <c r="EP192" s="533"/>
      <c r="EQ192" s="533"/>
      <c r="ER192" s="533"/>
      <c r="ES192" s="533"/>
      <c r="ET192" s="533"/>
      <c r="EU192" s="533"/>
      <c r="EV192" s="533"/>
      <c r="EW192" s="533"/>
      <c r="EX192" s="533"/>
      <c r="EY192" s="533"/>
      <c r="EZ192" s="533"/>
      <c r="FA192" s="533"/>
      <c r="FB192" s="533"/>
      <c r="FC192" s="533"/>
      <c r="FD192" s="533"/>
      <c r="FE192" s="533"/>
      <c r="FF192" s="533"/>
      <c r="FG192" s="533"/>
      <c r="FH192" s="533"/>
      <c r="FI192" s="533"/>
      <c r="FJ192" s="533"/>
      <c r="FK192" s="533"/>
      <c r="FL192" s="533"/>
      <c r="FM192" s="533"/>
      <c r="FN192" s="533"/>
      <c r="FO192" s="533"/>
      <c r="FP192" s="533"/>
      <c r="FQ192" s="533"/>
      <c r="FR192" s="533"/>
      <c r="FS192" s="533"/>
      <c r="FT192" s="533"/>
      <c r="FU192" s="533"/>
      <c r="FV192" s="533"/>
      <c r="FW192" s="533"/>
      <c r="FX192" s="533"/>
      <c r="FY192" s="533"/>
      <c r="FZ192" s="533"/>
      <c r="GA192" s="533"/>
      <c r="GB192" s="533"/>
      <c r="GC192" s="533"/>
      <c r="GD192" s="533"/>
      <c r="GE192" s="533"/>
      <c r="GF192" s="533"/>
      <c r="GG192" s="533"/>
      <c r="GH192" s="533"/>
      <c r="GI192" s="533"/>
      <c r="GJ192" s="533"/>
      <c r="GK192" s="533"/>
      <c r="GL192" s="533"/>
      <c r="GM192" s="533"/>
      <c r="GN192" s="533"/>
      <c r="GO192" s="533"/>
      <c r="GP192" s="533"/>
      <c r="GQ192" s="533"/>
      <c r="GR192" s="533"/>
      <c r="GS192" s="533"/>
      <c r="GT192" s="533"/>
      <c r="GU192" s="533"/>
      <c r="GV192" s="533"/>
      <c r="GW192" s="533"/>
      <c r="GX192" s="533"/>
      <c r="GY192" s="533"/>
      <c r="GZ192" s="533"/>
      <c r="HA192" s="533"/>
      <c r="HB192" s="534"/>
    </row>
    <row r="193" spans="1:242" ht="20.100000000000001" customHeight="1">
      <c r="A193" s="164"/>
      <c r="B193" s="306" t="s">
        <v>1475</v>
      </c>
      <c r="C193" s="503"/>
      <c r="D193" s="503"/>
      <c r="E193" s="503"/>
      <c r="F193" s="503"/>
      <c r="G193" s="326"/>
      <c r="H193" s="326"/>
      <c r="I193" s="326"/>
      <c r="J193" s="326"/>
      <c r="K193" s="326"/>
      <c r="L193" s="326"/>
      <c r="M193" s="326"/>
      <c r="N193" s="326"/>
      <c r="O193" s="326"/>
      <c r="P193" s="326"/>
      <c r="Q193" s="326"/>
      <c r="R193" s="326"/>
      <c r="S193" s="326"/>
      <c r="T193" s="326"/>
      <c r="U193" s="326"/>
      <c r="V193" s="326"/>
      <c r="W193" s="326"/>
      <c r="X193" s="326"/>
      <c r="Y193" s="326"/>
      <c r="Z193" s="326"/>
      <c r="AA193" s="326"/>
      <c r="AB193" s="326"/>
      <c r="AC193" s="326"/>
      <c r="AD193" s="326"/>
      <c r="AE193" s="326"/>
      <c r="AF193" s="326"/>
      <c r="AG193" s="326"/>
      <c r="AH193" s="326"/>
      <c r="AI193" s="326"/>
      <c r="AJ193" s="326"/>
      <c r="AK193" s="326"/>
      <c r="AL193" s="326"/>
      <c r="AM193" s="326"/>
      <c r="AN193" s="326"/>
      <c r="AO193" s="531"/>
      <c r="AP193" s="531"/>
      <c r="AQ193" s="532"/>
      <c r="AR193" s="532"/>
      <c r="AS193" s="532"/>
      <c r="AT193" s="532"/>
      <c r="AU193" s="532"/>
      <c r="AV193" s="532"/>
      <c r="AW193" s="326"/>
      <c r="AX193" s="326"/>
      <c r="AY193" s="326"/>
      <c r="AZ193" s="326"/>
      <c r="BA193" s="326"/>
      <c r="BB193" s="326"/>
      <c r="BC193" s="326"/>
      <c r="BD193" s="326"/>
      <c r="BE193" s="326"/>
      <c r="BF193" s="326"/>
      <c r="BG193" s="326"/>
      <c r="BH193" s="326"/>
      <c r="BI193" s="326"/>
      <c r="BJ193" s="326"/>
      <c r="BK193" s="326"/>
      <c r="BL193" s="326"/>
      <c r="BM193" s="326"/>
      <c r="BN193" s="326"/>
      <c r="BO193" s="326"/>
      <c r="BP193" s="326"/>
      <c r="BQ193" s="532"/>
      <c r="BR193" s="532"/>
      <c r="BS193" s="532"/>
      <c r="BT193" s="532"/>
      <c r="BU193" s="532"/>
      <c r="BV193" s="532"/>
      <c r="BW193" s="533"/>
      <c r="BX193" s="533"/>
      <c r="BY193" s="533"/>
      <c r="BZ193" s="533"/>
      <c r="CA193" s="533"/>
      <c r="CB193" s="533"/>
      <c r="CC193" s="533"/>
      <c r="CD193" s="533"/>
      <c r="CE193" s="533"/>
      <c r="CF193" s="533"/>
      <c r="CG193" s="533"/>
      <c r="CH193" s="533"/>
      <c r="CI193" s="533"/>
      <c r="CJ193" s="533"/>
      <c r="CK193" s="533"/>
      <c r="CL193" s="533"/>
      <c r="CM193" s="533"/>
      <c r="CN193" s="533"/>
      <c r="CO193" s="533"/>
      <c r="CP193" s="533"/>
      <c r="CQ193" s="533"/>
      <c r="CR193" s="533"/>
      <c r="CS193" s="533"/>
      <c r="CT193" s="533"/>
      <c r="CU193" s="533"/>
      <c r="CV193" s="533"/>
      <c r="CW193" s="533"/>
      <c r="CX193" s="533"/>
      <c r="CY193" s="533"/>
      <c r="CZ193" s="533"/>
      <c r="DA193" s="533"/>
      <c r="DB193" s="533"/>
      <c r="DC193" s="533"/>
      <c r="DD193" s="533"/>
      <c r="DE193" s="533"/>
      <c r="DF193" s="533"/>
      <c r="DG193" s="533"/>
      <c r="DH193" s="533"/>
      <c r="DI193" s="533"/>
      <c r="DJ193" s="533"/>
      <c r="DK193" s="533"/>
      <c r="DL193" s="533"/>
      <c r="DM193" s="533"/>
      <c r="DN193" s="533"/>
      <c r="DO193" s="533"/>
      <c r="DP193" s="533"/>
      <c r="DQ193" s="533"/>
      <c r="DR193" s="533"/>
      <c r="DS193" s="533"/>
      <c r="DT193" s="533"/>
      <c r="DU193" s="533"/>
      <c r="DV193" s="533"/>
      <c r="DW193" s="533"/>
      <c r="DX193" s="533"/>
      <c r="DY193" s="533"/>
      <c r="DZ193" s="533"/>
      <c r="EA193" s="533"/>
      <c r="EB193" s="533"/>
      <c r="EC193" s="533"/>
      <c r="ED193" s="533"/>
      <c r="EE193" s="533"/>
      <c r="EF193" s="533"/>
      <c r="EG193" s="533"/>
      <c r="EH193" s="533"/>
      <c r="EI193" s="533"/>
      <c r="EJ193" s="533"/>
      <c r="EK193" s="533"/>
      <c r="EL193" s="533"/>
      <c r="EM193" s="533"/>
      <c r="EN193" s="533"/>
      <c r="EO193" s="533"/>
      <c r="EP193" s="533"/>
      <c r="EQ193" s="533"/>
      <c r="ER193" s="533"/>
      <c r="ES193" s="533"/>
      <c r="ET193" s="533"/>
      <c r="EU193" s="533"/>
      <c r="EV193" s="533"/>
      <c r="EW193" s="533"/>
      <c r="EX193" s="533"/>
      <c r="EY193" s="533"/>
      <c r="EZ193" s="533"/>
      <c r="FA193" s="533"/>
      <c r="FB193" s="533"/>
      <c r="FC193" s="533"/>
      <c r="FD193" s="533"/>
      <c r="FE193" s="533"/>
      <c r="FF193" s="533"/>
      <c r="FG193" s="533"/>
      <c r="FH193" s="533"/>
      <c r="FI193" s="533"/>
      <c r="FJ193" s="533"/>
      <c r="FK193" s="533"/>
      <c r="FL193" s="533"/>
      <c r="FM193" s="533"/>
      <c r="FN193" s="533"/>
      <c r="FO193" s="533"/>
      <c r="FP193" s="533"/>
      <c r="FQ193" s="533"/>
      <c r="FR193" s="533"/>
      <c r="FS193" s="533"/>
      <c r="FT193" s="533"/>
      <c r="FU193" s="533"/>
      <c r="FV193" s="533"/>
      <c r="FW193" s="533"/>
      <c r="FX193" s="533"/>
      <c r="FY193" s="533"/>
      <c r="FZ193" s="533"/>
      <c r="GA193" s="533"/>
      <c r="GB193" s="533"/>
      <c r="GC193" s="533"/>
      <c r="GD193" s="533"/>
      <c r="GE193" s="533"/>
      <c r="GF193" s="533"/>
      <c r="GG193" s="533"/>
      <c r="GH193" s="533"/>
      <c r="GI193" s="533"/>
      <c r="GJ193" s="533"/>
      <c r="GK193" s="533"/>
      <c r="GL193" s="533"/>
      <c r="GM193" s="533"/>
      <c r="GN193" s="533"/>
      <c r="GO193" s="533"/>
      <c r="GP193" s="533"/>
      <c r="GQ193" s="533"/>
      <c r="GR193" s="533"/>
      <c r="GS193" s="533"/>
      <c r="GT193" s="533"/>
      <c r="GU193" s="533"/>
      <c r="GV193" s="533"/>
      <c r="GW193" s="533"/>
      <c r="GX193" s="533"/>
      <c r="GY193" s="533"/>
      <c r="GZ193" s="533"/>
      <c r="HA193" s="533"/>
      <c r="HB193" s="534"/>
    </row>
    <row r="194" spans="1:242" ht="20.100000000000001" customHeight="1">
      <c r="A194" s="164"/>
      <c r="B194" s="306" t="s">
        <v>1476</v>
      </c>
      <c r="C194" s="503"/>
      <c r="D194" s="503"/>
      <c r="E194" s="503"/>
      <c r="F194" s="503"/>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c r="AF194" s="326"/>
      <c r="AG194" s="326"/>
      <c r="AH194" s="326"/>
      <c r="AI194" s="326"/>
      <c r="AJ194" s="326"/>
      <c r="AK194" s="326"/>
      <c r="AL194" s="326"/>
      <c r="AM194" s="326"/>
      <c r="AN194" s="326"/>
      <c r="AO194" s="531"/>
      <c r="AP194" s="531"/>
      <c r="AQ194" s="532"/>
      <c r="AR194" s="532"/>
      <c r="AS194" s="532"/>
      <c r="AT194" s="532"/>
      <c r="AU194" s="532"/>
      <c r="AV194" s="532"/>
      <c r="AW194" s="326"/>
      <c r="AX194" s="326"/>
      <c r="AY194" s="326"/>
      <c r="AZ194" s="326"/>
      <c r="BA194" s="326"/>
      <c r="BB194" s="326"/>
      <c r="BC194" s="326"/>
      <c r="BD194" s="326"/>
      <c r="BE194" s="326"/>
      <c r="BF194" s="326"/>
      <c r="BG194" s="326"/>
      <c r="BH194" s="326"/>
      <c r="BI194" s="326"/>
      <c r="BJ194" s="326"/>
      <c r="BK194" s="326"/>
      <c r="BL194" s="326"/>
      <c r="BM194" s="326"/>
      <c r="BN194" s="326"/>
      <c r="BO194" s="326"/>
      <c r="BP194" s="326"/>
      <c r="BQ194" s="532"/>
      <c r="BR194" s="532"/>
      <c r="BS194" s="532"/>
      <c r="BT194" s="532"/>
      <c r="BU194" s="532"/>
      <c r="BV194" s="532"/>
      <c r="BW194" s="533"/>
      <c r="BX194" s="533"/>
      <c r="BY194" s="533"/>
      <c r="BZ194" s="533"/>
      <c r="CA194" s="533"/>
      <c r="CB194" s="533"/>
      <c r="CC194" s="533"/>
      <c r="CD194" s="533"/>
      <c r="CE194" s="533"/>
      <c r="CF194" s="533"/>
      <c r="CG194" s="533"/>
      <c r="CH194" s="533"/>
      <c r="CI194" s="533"/>
      <c r="CJ194" s="533"/>
      <c r="CK194" s="533"/>
      <c r="CL194" s="533"/>
      <c r="CM194" s="533"/>
      <c r="CN194" s="533"/>
      <c r="CO194" s="533"/>
      <c r="CP194" s="533"/>
      <c r="CQ194" s="533"/>
      <c r="CR194" s="533"/>
      <c r="CS194" s="533"/>
      <c r="CT194" s="533"/>
      <c r="CU194" s="533"/>
      <c r="CV194" s="533"/>
      <c r="CW194" s="533"/>
      <c r="CX194" s="533"/>
      <c r="CY194" s="533"/>
      <c r="CZ194" s="533"/>
      <c r="DA194" s="533"/>
      <c r="DB194" s="533"/>
      <c r="DC194" s="533"/>
      <c r="DD194" s="533"/>
      <c r="DE194" s="533"/>
      <c r="DF194" s="533"/>
      <c r="DG194" s="533"/>
      <c r="DH194" s="533"/>
      <c r="DI194" s="533"/>
      <c r="DJ194" s="533"/>
      <c r="DK194" s="533"/>
      <c r="DL194" s="533"/>
      <c r="DM194" s="533"/>
      <c r="DN194" s="533"/>
      <c r="DO194" s="533"/>
      <c r="DP194" s="533"/>
      <c r="DQ194" s="533"/>
      <c r="DR194" s="533"/>
      <c r="DS194" s="533"/>
      <c r="DT194" s="533"/>
      <c r="DU194" s="533"/>
      <c r="DV194" s="533"/>
      <c r="DW194" s="533"/>
      <c r="DX194" s="533"/>
      <c r="DY194" s="533"/>
      <c r="DZ194" s="533"/>
      <c r="EA194" s="533"/>
      <c r="EB194" s="533"/>
      <c r="EC194" s="533"/>
      <c r="ED194" s="533"/>
      <c r="EE194" s="533"/>
      <c r="EF194" s="533"/>
      <c r="EG194" s="533"/>
      <c r="EH194" s="533"/>
      <c r="EI194" s="533"/>
      <c r="EJ194" s="533"/>
      <c r="EK194" s="533"/>
      <c r="EL194" s="533"/>
      <c r="EM194" s="533"/>
      <c r="EN194" s="533"/>
      <c r="EO194" s="533"/>
      <c r="EP194" s="533"/>
      <c r="EQ194" s="533"/>
      <c r="ER194" s="533"/>
      <c r="ES194" s="533"/>
      <c r="ET194" s="533"/>
      <c r="EU194" s="533"/>
      <c r="EV194" s="533"/>
      <c r="EW194" s="533"/>
      <c r="EX194" s="533"/>
      <c r="EY194" s="533"/>
      <c r="EZ194" s="533"/>
      <c r="FA194" s="533"/>
      <c r="FB194" s="533"/>
      <c r="FC194" s="533"/>
      <c r="FD194" s="533"/>
      <c r="FE194" s="533"/>
      <c r="FF194" s="533"/>
      <c r="FG194" s="533"/>
      <c r="FH194" s="533"/>
      <c r="FI194" s="533"/>
      <c r="FJ194" s="533"/>
      <c r="FK194" s="533"/>
      <c r="FL194" s="533"/>
      <c r="FM194" s="533"/>
      <c r="FN194" s="533"/>
      <c r="FO194" s="533"/>
      <c r="FP194" s="533"/>
      <c r="FQ194" s="533"/>
      <c r="FR194" s="533"/>
      <c r="FS194" s="533"/>
      <c r="FT194" s="533"/>
      <c r="FU194" s="533"/>
      <c r="FV194" s="533"/>
      <c r="FW194" s="533"/>
      <c r="FX194" s="533"/>
      <c r="FY194" s="533"/>
      <c r="FZ194" s="533"/>
      <c r="GA194" s="533"/>
      <c r="GB194" s="533"/>
      <c r="GC194" s="533"/>
      <c r="GD194" s="533"/>
      <c r="GE194" s="533"/>
      <c r="GF194" s="533"/>
      <c r="GG194" s="533"/>
      <c r="GH194" s="533"/>
      <c r="GI194" s="533"/>
      <c r="GJ194" s="533"/>
      <c r="GK194" s="533"/>
      <c r="GL194" s="533"/>
      <c r="GM194" s="533"/>
      <c r="GN194" s="533"/>
      <c r="GO194" s="533"/>
      <c r="GP194" s="533"/>
      <c r="GQ194" s="533"/>
      <c r="GR194" s="533"/>
      <c r="GS194" s="533"/>
      <c r="GT194" s="533"/>
      <c r="GU194" s="533"/>
      <c r="GV194" s="533"/>
      <c r="GW194" s="533"/>
      <c r="GX194" s="533"/>
      <c r="GY194" s="533"/>
      <c r="GZ194" s="533"/>
      <c r="HA194" s="533"/>
      <c r="HB194" s="534"/>
    </row>
    <row r="195" spans="1:242" ht="20.100000000000001" customHeight="1">
      <c r="A195" s="164"/>
      <c r="B195" s="306" t="s">
        <v>1477</v>
      </c>
      <c r="C195" s="503"/>
      <c r="D195" s="503"/>
      <c r="E195" s="503"/>
      <c r="F195" s="503"/>
      <c r="G195" s="326"/>
      <c r="H195" s="326"/>
      <c r="I195" s="326"/>
      <c r="J195" s="326"/>
      <c r="K195" s="326"/>
      <c r="L195" s="326"/>
      <c r="M195" s="326"/>
      <c r="N195" s="326"/>
      <c r="O195" s="326"/>
      <c r="P195" s="326"/>
      <c r="Q195" s="326"/>
      <c r="R195" s="326"/>
      <c r="S195" s="326"/>
      <c r="T195" s="326"/>
      <c r="U195" s="326"/>
      <c r="V195" s="326"/>
      <c r="W195" s="326"/>
      <c r="X195" s="326"/>
      <c r="Y195" s="326"/>
      <c r="Z195" s="326"/>
      <c r="AA195" s="326"/>
      <c r="AB195" s="326"/>
      <c r="AC195" s="326"/>
      <c r="AD195" s="326"/>
      <c r="AE195" s="326"/>
      <c r="AF195" s="326"/>
      <c r="AG195" s="326"/>
      <c r="AH195" s="326"/>
      <c r="AI195" s="326"/>
      <c r="AJ195" s="326"/>
      <c r="AK195" s="326"/>
      <c r="AL195" s="326"/>
      <c r="AM195" s="326"/>
      <c r="AN195" s="326"/>
      <c r="AO195" s="531"/>
      <c r="AP195" s="531"/>
      <c r="AQ195" s="532"/>
      <c r="AR195" s="532"/>
      <c r="AS195" s="532"/>
      <c r="AT195" s="532"/>
      <c r="AU195" s="532"/>
      <c r="AV195" s="532"/>
      <c r="AW195" s="326"/>
      <c r="AX195" s="326"/>
      <c r="AY195" s="326"/>
      <c r="AZ195" s="326"/>
      <c r="BA195" s="326"/>
      <c r="BB195" s="326"/>
      <c r="BC195" s="326"/>
      <c r="BD195" s="326"/>
      <c r="BE195" s="326"/>
      <c r="BF195" s="326"/>
      <c r="BG195" s="326"/>
      <c r="BH195" s="326"/>
      <c r="BI195" s="326"/>
      <c r="BJ195" s="326"/>
      <c r="BK195" s="326"/>
      <c r="BL195" s="326"/>
      <c r="BM195" s="326"/>
      <c r="BN195" s="326"/>
      <c r="BO195" s="326"/>
      <c r="BP195" s="326"/>
      <c r="BQ195" s="532"/>
      <c r="BR195" s="532"/>
      <c r="BS195" s="532"/>
      <c r="BT195" s="532"/>
      <c r="BU195" s="532"/>
      <c r="BV195" s="532"/>
      <c r="BW195" s="533"/>
      <c r="BX195" s="533"/>
      <c r="BY195" s="533"/>
      <c r="BZ195" s="533"/>
      <c r="CA195" s="533"/>
      <c r="CB195" s="533"/>
      <c r="CC195" s="533"/>
      <c r="CD195" s="533"/>
      <c r="CE195" s="533"/>
      <c r="CF195" s="533"/>
      <c r="CG195" s="533"/>
      <c r="CH195" s="533"/>
      <c r="CI195" s="533"/>
      <c r="CJ195" s="533"/>
      <c r="CK195" s="533"/>
      <c r="CL195" s="533"/>
      <c r="CM195" s="533"/>
      <c r="CN195" s="533"/>
      <c r="CO195" s="533"/>
      <c r="CP195" s="533"/>
      <c r="CQ195" s="533"/>
      <c r="CR195" s="533"/>
      <c r="CS195" s="533"/>
      <c r="CT195" s="533"/>
      <c r="CU195" s="533"/>
      <c r="CV195" s="533"/>
      <c r="CW195" s="533"/>
      <c r="CX195" s="533"/>
      <c r="CY195" s="533"/>
      <c r="CZ195" s="533"/>
      <c r="DA195" s="533"/>
      <c r="DB195" s="533"/>
      <c r="DC195" s="533"/>
      <c r="DD195" s="533"/>
      <c r="DE195" s="533"/>
      <c r="DF195" s="533"/>
      <c r="DG195" s="533"/>
      <c r="DH195" s="533"/>
      <c r="DI195" s="533"/>
      <c r="DJ195" s="533"/>
      <c r="DK195" s="533"/>
      <c r="DL195" s="533"/>
      <c r="DM195" s="533"/>
      <c r="DN195" s="533"/>
      <c r="DO195" s="533"/>
      <c r="DP195" s="533"/>
      <c r="DQ195" s="533"/>
      <c r="DR195" s="533"/>
      <c r="DS195" s="533"/>
      <c r="DT195" s="533"/>
      <c r="DU195" s="533"/>
      <c r="DV195" s="533"/>
      <c r="DW195" s="533"/>
      <c r="DX195" s="533"/>
      <c r="DY195" s="533"/>
      <c r="DZ195" s="533"/>
      <c r="EA195" s="533"/>
      <c r="EB195" s="533"/>
      <c r="EC195" s="533"/>
      <c r="ED195" s="533"/>
      <c r="EE195" s="533"/>
      <c r="EF195" s="533"/>
      <c r="EG195" s="533"/>
      <c r="EH195" s="533"/>
      <c r="EI195" s="533"/>
      <c r="EJ195" s="533"/>
      <c r="EK195" s="533"/>
      <c r="EL195" s="533"/>
      <c r="EM195" s="533"/>
      <c r="EN195" s="533"/>
      <c r="EO195" s="533"/>
      <c r="EP195" s="533"/>
      <c r="EQ195" s="533"/>
      <c r="ER195" s="533"/>
      <c r="ES195" s="533"/>
      <c r="ET195" s="533"/>
      <c r="EU195" s="533"/>
      <c r="EV195" s="533"/>
      <c r="EW195" s="533"/>
      <c r="EX195" s="533"/>
      <c r="EY195" s="533"/>
      <c r="EZ195" s="533"/>
      <c r="FA195" s="533"/>
      <c r="FB195" s="533"/>
      <c r="FC195" s="533"/>
      <c r="FD195" s="533"/>
      <c r="FE195" s="533"/>
      <c r="FF195" s="533"/>
      <c r="FG195" s="533"/>
      <c r="FH195" s="533"/>
      <c r="FI195" s="533"/>
      <c r="FJ195" s="533"/>
      <c r="FK195" s="533"/>
      <c r="FL195" s="533"/>
      <c r="FM195" s="533"/>
      <c r="FN195" s="533"/>
      <c r="FO195" s="533"/>
      <c r="FP195" s="533"/>
      <c r="FQ195" s="533"/>
      <c r="FR195" s="533"/>
      <c r="FS195" s="533"/>
      <c r="FT195" s="533"/>
      <c r="FU195" s="533"/>
      <c r="FV195" s="533"/>
      <c r="FW195" s="533"/>
      <c r="FX195" s="533"/>
      <c r="FY195" s="533"/>
      <c r="FZ195" s="533"/>
      <c r="GA195" s="533"/>
      <c r="GB195" s="533"/>
      <c r="GC195" s="533"/>
      <c r="GD195" s="533"/>
      <c r="GE195" s="533"/>
      <c r="GF195" s="533"/>
      <c r="GG195" s="533"/>
      <c r="GH195" s="533"/>
      <c r="GI195" s="533"/>
      <c r="GJ195" s="533"/>
      <c r="GK195" s="533"/>
      <c r="GL195" s="533"/>
      <c r="GM195" s="533"/>
      <c r="GN195" s="533"/>
      <c r="GO195" s="533"/>
      <c r="GP195" s="533"/>
      <c r="GQ195" s="533"/>
      <c r="GR195" s="533"/>
      <c r="GS195" s="533"/>
      <c r="GT195" s="533"/>
      <c r="GU195" s="533"/>
      <c r="GV195" s="533"/>
      <c r="GW195" s="533"/>
      <c r="GX195" s="533"/>
      <c r="GY195" s="533"/>
      <c r="GZ195" s="533"/>
      <c r="HA195" s="533"/>
      <c r="HB195" s="534"/>
    </row>
    <row r="196" spans="1:242" ht="20.100000000000001" customHeight="1">
      <c r="A196" s="164"/>
      <c r="B196" s="306" t="s">
        <v>1478</v>
      </c>
      <c r="C196" s="503"/>
      <c r="D196" s="503"/>
      <c r="E196" s="503"/>
      <c r="F196" s="503"/>
      <c r="G196" s="326"/>
      <c r="H196" s="326"/>
      <c r="I196" s="326"/>
      <c r="J196" s="326"/>
      <c r="K196" s="326"/>
      <c r="L196" s="326"/>
      <c r="M196" s="326"/>
      <c r="N196" s="326"/>
      <c r="O196" s="326"/>
      <c r="P196" s="326"/>
      <c r="Q196" s="326"/>
      <c r="R196" s="326"/>
      <c r="S196" s="326"/>
      <c r="T196" s="326"/>
      <c r="U196" s="326"/>
      <c r="V196" s="326"/>
      <c r="W196" s="326"/>
      <c r="X196" s="326"/>
      <c r="Y196" s="326"/>
      <c r="Z196" s="326"/>
      <c r="AA196" s="326"/>
      <c r="AB196" s="326"/>
      <c r="AC196" s="326"/>
      <c r="AD196" s="326"/>
      <c r="AE196" s="326"/>
      <c r="AF196" s="326"/>
      <c r="AG196" s="326"/>
      <c r="AH196" s="326"/>
      <c r="AI196" s="326"/>
      <c r="AJ196" s="326"/>
      <c r="AK196" s="326"/>
      <c r="AL196" s="326"/>
      <c r="AM196" s="326"/>
      <c r="AN196" s="326"/>
      <c r="AO196" s="531"/>
      <c r="AP196" s="531"/>
      <c r="AQ196" s="532"/>
      <c r="AR196" s="532"/>
      <c r="AS196" s="532"/>
      <c r="AT196" s="532"/>
      <c r="AU196" s="532"/>
      <c r="AV196" s="532"/>
      <c r="AW196" s="326"/>
      <c r="AX196" s="326"/>
      <c r="AY196" s="326"/>
      <c r="AZ196" s="326"/>
      <c r="BA196" s="326"/>
      <c r="BB196" s="326"/>
      <c r="BC196" s="326"/>
      <c r="BD196" s="326"/>
      <c r="BE196" s="326"/>
      <c r="BF196" s="326"/>
      <c r="BG196" s="326"/>
      <c r="BH196" s="326"/>
      <c r="BI196" s="326"/>
      <c r="BJ196" s="326"/>
      <c r="BK196" s="326"/>
      <c r="BL196" s="326"/>
      <c r="BM196" s="326"/>
      <c r="BN196" s="326"/>
      <c r="BO196" s="326"/>
      <c r="BP196" s="326"/>
      <c r="BQ196" s="532"/>
      <c r="BR196" s="532"/>
      <c r="BS196" s="532"/>
      <c r="BT196" s="532"/>
      <c r="BU196" s="532"/>
      <c r="BV196" s="532"/>
      <c r="BW196" s="533"/>
      <c r="BX196" s="533"/>
      <c r="BY196" s="533"/>
      <c r="BZ196" s="533"/>
      <c r="CA196" s="533"/>
      <c r="CB196" s="533"/>
      <c r="CC196" s="533"/>
      <c r="CD196" s="533"/>
      <c r="CE196" s="533"/>
      <c r="CF196" s="533"/>
      <c r="CG196" s="533"/>
      <c r="CH196" s="533"/>
      <c r="CI196" s="533"/>
      <c r="CJ196" s="533"/>
      <c r="CK196" s="533"/>
      <c r="CL196" s="533"/>
      <c r="CM196" s="533"/>
      <c r="CN196" s="533"/>
      <c r="CO196" s="533"/>
      <c r="CP196" s="533"/>
      <c r="CQ196" s="533"/>
      <c r="CR196" s="533"/>
      <c r="CS196" s="533"/>
      <c r="CT196" s="533"/>
      <c r="CU196" s="533"/>
      <c r="CV196" s="533"/>
      <c r="CW196" s="533"/>
      <c r="CX196" s="533"/>
      <c r="CY196" s="533"/>
      <c r="CZ196" s="533"/>
      <c r="DA196" s="533"/>
      <c r="DB196" s="533"/>
      <c r="DC196" s="533"/>
      <c r="DD196" s="533"/>
      <c r="DE196" s="533"/>
      <c r="DF196" s="533"/>
      <c r="DG196" s="533"/>
      <c r="DH196" s="533"/>
      <c r="DI196" s="533"/>
      <c r="DJ196" s="533"/>
      <c r="DK196" s="533"/>
      <c r="DL196" s="533"/>
      <c r="DM196" s="533"/>
      <c r="DN196" s="533"/>
      <c r="DO196" s="533"/>
      <c r="DP196" s="533"/>
      <c r="DQ196" s="533"/>
      <c r="DR196" s="533"/>
      <c r="DS196" s="533"/>
      <c r="DT196" s="533"/>
      <c r="DU196" s="533"/>
      <c r="DV196" s="533"/>
      <c r="DW196" s="533"/>
      <c r="DX196" s="533"/>
      <c r="DY196" s="533"/>
      <c r="DZ196" s="533"/>
      <c r="EA196" s="533"/>
      <c r="EB196" s="533"/>
      <c r="EC196" s="533"/>
      <c r="ED196" s="533"/>
      <c r="EE196" s="533"/>
      <c r="EF196" s="533"/>
      <c r="EG196" s="533"/>
      <c r="EH196" s="533"/>
      <c r="EI196" s="533"/>
      <c r="EJ196" s="533"/>
      <c r="EK196" s="533"/>
      <c r="EL196" s="533"/>
      <c r="EM196" s="533"/>
      <c r="EN196" s="533"/>
      <c r="EO196" s="533"/>
      <c r="EP196" s="533"/>
      <c r="EQ196" s="533"/>
      <c r="ER196" s="533"/>
      <c r="ES196" s="533"/>
      <c r="ET196" s="533"/>
      <c r="EU196" s="533"/>
      <c r="EV196" s="533"/>
      <c r="EW196" s="533"/>
      <c r="EX196" s="533"/>
      <c r="EY196" s="533"/>
      <c r="EZ196" s="533"/>
      <c r="FA196" s="533"/>
      <c r="FB196" s="533"/>
      <c r="FC196" s="533"/>
      <c r="FD196" s="533"/>
      <c r="FE196" s="533"/>
      <c r="FF196" s="533"/>
      <c r="FG196" s="533"/>
      <c r="FH196" s="533"/>
      <c r="FI196" s="533"/>
      <c r="FJ196" s="533"/>
      <c r="FK196" s="533"/>
      <c r="FL196" s="533"/>
      <c r="FM196" s="533"/>
      <c r="FN196" s="533"/>
      <c r="FO196" s="533"/>
      <c r="FP196" s="533"/>
      <c r="FQ196" s="533"/>
      <c r="FR196" s="533"/>
      <c r="FS196" s="533"/>
      <c r="FT196" s="533"/>
      <c r="FU196" s="533"/>
      <c r="FV196" s="533"/>
      <c r="FW196" s="533"/>
      <c r="FX196" s="533"/>
      <c r="FY196" s="533"/>
      <c r="FZ196" s="533"/>
      <c r="GA196" s="533"/>
      <c r="GB196" s="533"/>
      <c r="GC196" s="533"/>
      <c r="GD196" s="533"/>
      <c r="GE196" s="533"/>
      <c r="GF196" s="533"/>
      <c r="GG196" s="533"/>
      <c r="GH196" s="533"/>
      <c r="GI196" s="533"/>
      <c r="GJ196" s="533"/>
      <c r="GK196" s="533"/>
      <c r="GL196" s="533"/>
      <c r="GM196" s="533"/>
      <c r="GN196" s="533"/>
      <c r="GO196" s="533"/>
      <c r="GP196" s="533"/>
      <c r="GQ196" s="533"/>
      <c r="GR196" s="533"/>
      <c r="GS196" s="533"/>
      <c r="GT196" s="533"/>
      <c r="GU196" s="533"/>
      <c r="GV196" s="533"/>
      <c r="GW196" s="533"/>
      <c r="GX196" s="533"/>
      <c r="GY196" s="533"/>
      <c r="GZ196" s="533"/>
      <c r="HA196" s="533"/>
      <c r="HB196" s="534"/>
    </row>
    <row r="197" spans="1:242" ht="20.100000000000001" customHeight="1">
      <c r="A197" s="164"/>
      <c r="B197" s="306" t="s">
        <v>1479</v>
      </c>
      <c r="C197" s="503"/>
      <c r="D197" s="503"/>
      <c r="E197" s="503"/>
      <c r="F197" s="503"/>
      <c r="G197" s="326"/>
      <c r="H197" s="326"/>
      <c r="I197" s="326"/>
      <c r="J197" s="326"/>
      <c r="K197" s="326"/>
      <c r="L197" s="326"/>
      <c r="M197" s="326"/>
      <c r="N197" s="326"/>
      <c r="O197" s="326"/>
      <c r="P197" s="326"/>
      <c r="Q197" s="326"/>
      <c r="R197" s="326"/>
      <c r="S197" s="326"/>
      <c r="T197" s="326"/>
      <c r="U197" s="326"/>
      <c r="V197" s="326"/>
      <c r="W197" s="326"/>
      <c r="X197" s="326"/>
      <c r="Y197" s="326"/>
      <c r="Z197" s="326"/>
      <c r="AA197" s="326"/>
      <c r="AB197" s="326"/>
      <c r="AC197" s="326"/>
      <c r="AD197" s="326"/>
      <c r="AE197" s="326"/>
      <c r="AF197" s="326"/>
      <c r="AG197" s="326"/>
      <c r="AH197" s="326"/>
      <c r="AI197" s="326"/>
      <c r="AJ197" s="326"/>
      <c r="AK197" s="326"/>
      <c r="AL197" s="326"/>
      <c r="AM197" s="326"/>
      <c r="AN197" s="326"/>
      <c r="AO197" s="531"/>
      <c r="AP197" s="531"/>
      <c r="AQ197" s="532"/>
      <c r="AR197" s="532"/>
      <c r="AS197" s="532"/>
      <c r="AT197" s="532"/>
      <c r="AU197" s="532"/>
      <c r="AV197" s="532"/>
      <c r="AW197" s="326"/>
      <c r="AX197" s="326"/>
      <c r="AY197" s="326"/>
      <c r="AZ197" s="326"/>
      <c r="BA197" s="326"/>
      <c r="BB197" s="326"/>
      <c r="BC197" s="326"/>
      <c r="BD197" s="326"/>
      <c r="BE197" s="326"/>
      <c r="BF197" s="326"/>
      <c r="BG197" s="326"/>
      <c r="BH197" s="326"/>
      <c r="BI197" s="326"/>
      <c r="BJ197" s="326"/>
      <c r="BK197" s="326"/>
      <c r="BL197" s="326"/>
      <c r="BM197" s="326"/>
      <c r="BN197" s="326"/>
      <c r="BO197" s="326"/>
      <c r="BP197" s="326"/>
      <c r="BQ197" s="532"/>
      <c r="BR197" s="532"/>
      <c r="BS197" s="532"/>
      <c r="BT197" s="532"/>
      <c r="BU197" s="532"/>
      <c r="BV197" s="532"/>
      <c r="BW197" s="533"/>
      <c r="BX197" s="533"/>
      <c r="BY197" s="533"/>
      <c r="BZ197" s="533"/>
      <c r="CA197" s="533"/>
      <c r="CB197" s="533"/>
      <c r="CC197" s="533"/>
      <c r="CD197" s="533"/>
      <c r="CE197" s="533"/>
      <c r="CF197" s="533"/>
      <c r="CG197" s="533"/>
      <c r="CH197" s="533"/>
      <c r="CI197" s="533"/>
      <c r="CJ197" s="533"/>
      <c r="CK197" s="533"/>
      <c r="CL197" s="533"/>
      <c r="CM197" s="533"/>
      <c r="CN197" s="533"/>
      <c r="CO197" s="533"/>
      <c r="CP197" s="533"/>
      <c r="CQ197" s="533"/>
      <c r="CR197" s="533"/>
      <c r="CS197" s="533"/>
      <c r="CT197" s="533"/>
      <c r="CU197" s="533"/>
      <c r="CV197" s="533"/>
      <c r="CW197" s="533"/>
      <c r="CX197" s="533"/>
      <c r="CY197" s="533"/>
      <c r="CZ197" s="533"/>
      <c r="DA197" s="533"/>
      <c r="DB197" s="533"/>
      <c r="DC197" s="533"/>
      <c r="DD197" s="533"/>
      <c r="DE197" s="533"/>
      <c r="DF197" s="533"/>
      <c r="DG197" s="533"/>
      <c r="DH197" s="533"/>
      <c r="DI197" s="533"/>
      <c r="DJ197" s="533"/>
      <c r="DK197" s="533"/>
      <c r="DL197" s="533"/>
      <c r="DM197" s="533"/>
      <c r="DN197" s="533"/>
      <c r="DO197" s="533"/>
      <c r="DP197" s="533"/>
      <c r="DQ197" s="533"/>
      <c r="DR197" s="533"/>
      <c r="DS197" s="533"/>
      <c r="DT197" s="533"/>
      <c r="DU197" s="533"/>
      <c r="DV197" s="533"/>
      <c r="DW197" s="533"/>
      <c r="DX197" s="533"/>
      <c r="DY197" s="533"/>
      <c r="DZ197" s="533"/>
      <c r="EA197" s="533"/>
      <c r="EB197" s="533"/>
      <c r="EC197" s="533"/>
      <c r="ED197" s="533"/>
      <c r="EE197" s="533"/>
      <c r="EF197" s="533"/>
      <c r="EG197" s="533"/>
      <c r="EH197" s="533"/>
      <c r="EI197" s="533"/>
      <c r="EJ197" s="533"/>
      <c r="EK197" s="533"/>
      <c r="EL197" s="533"/>
      <c r="EM197" s="533"/>
      <c r="EN197" s="533"/>
      <c r="EO197" s="533"/>
      <c r="EP197" s="533"/>
      <c r="EQ197" s="533"/>
      <c r="ER197" s="533"/>
      <c r="ES197" s="533"/>
      <c r="ET197" s="533"/>
      <c r="EU197" s="533"/>
      <c r="EV197" s="533"/>
      <c r="EW197" s="533"/>
      <c r="EX197" s="533"/>
      <c r="EY197" s="533"/>
      <c r="EZ197" s="533"/>
      <c r="FA197" s="533"/>
      <c r="FB197" s="533"/>
      <c r="FC197" s="533"/>
      <c r="FD197" s="533"/>
      <c r="FE197" s="533"/>
      <c r="FF197" s="533"/>
      <c r="FG197" s="533"/>
      <c r="FH197" s="533"/>
      <c r="FI197" s="533"/>
      <c r="FJ197" s="533"/>
      <c r="FK197" s="533"/>
      <c r="FL197" s="533"/>
      <c r="FM197" s="533"/>
      <c r="FN197" s="533"/>
      <c r="FO197" s="533"/>
      <c r="FP197" s="533"/>
      <c r="FQ197" s="533"/>
      <c r="FR197" s="533"/>
      <c r="FS197" s="533"/>
      <c r="FT197" s="533"/>
      <c r="FU197" s="533"/>
      <c r="FV197" s="533"/>
      <c r="FW197" s="533"/>
      <c r="FX197" s="533"/>
      <c r="FY197" s="533"/>
      <c r="FZ197" s="533"/>
      <c r="GA197" s="533"/>
      <c r="GB197" s="533"/>
      <c r="GC197" s="533"/>
      <c r="GD197" s="533"/>
      <c r="GE197" s="533"/>
      <c r="GF197" s="533"/>
      <c r="GG197" s="533"/>
      <c r="GH197" s="533"/>
      <c r="GI197" s="533"/>
      <c r="GJ197" s="533"/>
      <c r="GK197" s="533"/>
      <c r="GL197" s="533"/>
      <c r="GM197" s="533"/>
      <c r="GN197" s="533"/>
      <c r="GO197" s="533"/>
      <c r="GP197" s="533"/>
      <c r="GQ197" s="533"/>
      <c r="GR197" s="533"/>
      <c r="GS197" s="533"/>
      <c r="GT197" s="533"/>
      <c r="GU197" s="533"/>
      <c r="GV197" s="533"/>
      <c r="GW197" s="533"/>
      <c r="GX197" s="533"/>
      <c r="GY197" s="533"/>
      <c r="GZ197" s="533"/>
      <c r="HA197" s="533"/>
      <c r="HB197" s="534"/>
    </row>
    <row r="198" spans="1:242" ht="20.100000000000001" customHeight="1">
      <c r="A198" s="164"/>
      <c r="B198" s="306" t="s">
        <v>1480</v>
      </c>
      <c r="C198" s="503"/>
      <c r="D198" s="503"/>
      <c r="E198" s="503"/>
      <c r="F198" s="503"/>
      <c r="G198" s="326"/>
      <c r="H198" s="326"/>
      <c r="I198" s="326"/>
      <c r="J198" s="326"/>
      <c r="K198" s="326"/>
      <c r="L198" s="326"/>
      <c r="M198" s="326"/>
      <c r="N198" s="326"/>
      <c r="O198" s="326"/>
      <c r="P198" s="326"/>
      <c r="Q198" s="326"/>
      <c r="R198" s="326"/>
      <c r="S198" s="326"/>
      <c r="T198" s="326"/>
      <c r="U198" s="326"/>
      <c r="V198" s="326"/>
      <c r="W198" s="326"/>
      <c r="X198" s="326"/>
      <c r="Y198" s="326"/>
      <c r="Z198" s="326"/>
      <c r="AA198" s="326"/>
      <c r="AB198" s="326"/>
      <c r="AC198" s="326"/>
      <c r="AD198" s="326"/>
      <c r="AE198" s="326"/>
      <c r="AF198" s="326"/>
      <c r="AG198" s="326"/>
      <c r="AH198" s="326"/>
      <c r="AI198" s="326"/>
      <c r="AJ198" s="326"/>
      <c r="AK198" s="326"/>
      <c r="AL198" s="326"/>
      <c r="AM198" s="326"/>
      <c r="AN198" s="326"/>
      <c r="AO198" s="531"/>
      <c r="AP198" s="531"/>
      <c r="AQ198" s="532"/>
      <c r="AR198" s="532"/>
      <c r="AS198" s="532"/>
      <c r="AT198" s="532"/>
      <c r="AU198" s="532"/>
      <c r="AV198" s="532"/>
      <c r="AW198" s="326"/>
      <c r="AX198" s="326"/>
      <c r="AY198" s="326"/>
      <c r="AZ198" s="326"/>
      <c r="BA198" s="326"/>
      <c r="BB198" s="326"/>
      <c r="BC198" s="326"/>
      <c r="BD198" s="326"/>
      <c r="BE198" s="326"/>
      <c r="BF198" s="326"/>
      <c r="BG198" s="326"/>
      <c r="BH198" s="326"/>
      <c r="BI198" s="326"/>
      <c r="BJ198" s="326"/>
      <c r="BK198" s="326"/>
      <c r="BL198" s="326"/>
      <c r="BM198" s="326"/>
      <c r="BN198" s="326"/>
      <c r="BO198" s="326"/>
      <c r="BP198" s="326"/>
      <c r="BQ198" s="532"/>
      <c r="BR198" s="532"/>
      <c r="BS198" s="532"/>
      <c r="BT198" s="532"/>
      <c r="BU198" s="532"/>
      <c r="BV198" s="532"/>
      <c r="BW198" s="533"/>
      <c r="BX198" s="533"/>
      <c r="BY198" s="533"/>
      <c r="BZ198" s="533"/>
      <c r="CA198" s="533"/>
      <c r="CB198" s="533"/>
      <c r="CC198" s="533"/>
      <c r="CD198" s="533"/>
      <c r="CE198" s="533"/>
      <c r="CF198" s="533"/>
      <c r="CG198" s="533"/>
      <c r="CH198" s="533"/>
      <c r="CI198" s="533"/>
      <c r="CJ198" s="533"/>
      <c r="CK198" s="533"/>
      <c r="CL198" s="533"/>
      <c r="CM198" s="533"/>
      <c r="CN198" s="533"/>
      <c r="CO198" s="533"/>
      <c r="CP198" s="533"/>
      <c r="CQ198" s="533"/>
      <c r="CR198" s="533"/>
      <c r="CS198" s="533"/>
      <c r="CT198" s="533"/>
      <c r="CU198" s="533"/>
      <c r="CV198" s="533"/>
      <c r="CW198" s="533"/>
      <c r="CX198" s="533"/>
      <c r="CY198" s="533"/>
      <c r="CZ198" s="533"/>
      <c r="DA198" s="533"/>
      <c r="DB198" s="533"/>
      <c r="DC198" s="533"/>
      <c r="DD198" s="533"/>
      <c r="DE198" s="533"/>
      <c r="DF198" s="533"/>
      <c r="DG198" s="533"/>
      <c r="DH198" s="533"/>
      <c r="DI198" s="533"/>
      <c r="DJ198" s="533"/>
      <c r="DK198" s="533"/>
      <c r="DL198" s="533"/>
      <c r="DM198" s="533"/>
      <c r="DN198" s="533"/>
      <c r="DO198" s="533"/>
      <c r="DP198" s="533"/>
      <c r="DQ198" s="533"/>
      <c r="DR198" s="533"/>
      <c r="DS198" s="533"/>
      <c r="DT198" s="533"/>
      <c r="DU198" s="533"/>
      <c r="DV198" s="533"/>
      <c r="DW198" s="533"/>
      <c r="DX198" s="533"/>
      <c r="DY198" s="533"/>
      <c r="DZ198" s="533"/>
      <c r="EA198" s="533"/>
      <c r="EB198" s="533"/>
      <c r="EC198" s="533"/>
      <c r="ED198" s="533"/>
      <c r="EE198" s="533"/>
      <c r="EF198" s="533"/>
      <c r="EG198" s="533"/>
      <c r="EH198" s="533"/>
      <c r="EI198" s="533"/>
      <c r="EJ198" s="533"/>
      <c r="EK198" s="533"/>
      <c r="EL198" s="533"/>
      <c r="EM198" s="533"/>
      <c r="EN198" s="533"/>
      <c r="EO198" s="533"/>
      <c r="EP198" s="533"/>
      <c r="EQ198" s="533"/>
      <c r="ER198" s="533"/>
      <c r="ES198" s="533"/>
      <c r="ET198" s="533"/>
      <c r="EU198" s="533"/>
      <c r="EV198" s="533"/>
      <c r="EW198" s="533"/>
      <c r="EX198" s="533"/>
      <c r="EY198" s="533"/>
      <c r="EZ198" s="533"/>
      <c r="FA198" s="533"/>
      <c r="FB198" s="533"/>
      <c r="FC198" s="533"/>
      <c r="FD198" s="533"/>
      <c r="FE198" s="533"/>
      <c r="FF198" s="533"/>
      <c r="FG198" s="533"/>
      <c r="FH198" s="533"/>
      <c r="FI198" s="533"/>
      <c r="FJ198" s="533"/>
      <c r="FK198" s="533"/>
      <c r="FL198" s="533"/>
      <c r="FM198" s="533"/>
      <c r="FN198" s="533"/>
      <c r="FO198" s="533"/>
      <c r="FP198" s="533"/>
      <c r="FQ198" s="533"/>
      <c r="FR198" s="533"/>
      <c r="FS198" s="533"/>
      <c r="FT198" s="533"/>
      <c r="FU198" s="533"/>
      <c r="FV198" s="533"/>
      <c r="FW198" s="533"/>
      <c r="FX198" s="533"/>
      <c r="FY198" s="533"/>
      <c r="FZ198" s="533"/>
      <c r="GA198" s="533"/>
      <c r="GB198" s="533"/>
      <c r="GC198" s="533"/>
      <c r="GD198" s="533"/>
      <c r="GE198" s="533"/>
      <c r="GF198" s="533"/>
      <c r="GG198" s="533"/>
      <c r="GH198" s="533"/>
      <c r="GI198" s="533"/>
      <c r="GJ198" s="533"/>
      <c r="GK198" s="533"/>
      <c r="GL198" s="533"/>
      <c r="GM198" s="533"/>
      <c r="GN198" s="533"/>
      <c r="GO198" s="533"/>
      <c r="GP198" s="533"/>
      <c r="GQ198" s="533"/>
      <c r="GR198" s="533"/>
      <c r="GS198" s="533"/>
      <c r="GT198" s="533"/>
      <c r="GU198" s="533"/>
      <c r="GV198" s="533"/>
      <c r="GW198" s="533"/>
      <c r="GX198" s="533"/>
      <c r="GY198" s="533"/>
      <c r="GZ198" s="533"/>
      <c r="HA198" s="533"/>
      <c r="HB198" s="534"/>
    </row>
    <row r="199" spans="1:242" ht="20.100000000000001" customHeight="1">
      <c r="A199" s="164"/>
      <c r="B199" s="306" t="s">
        <v>1481</v>
      </c>
      <c r="C199" s="503"/>
      <c r="D199" s="503"/>
      <c r="E199" s="503"/>
      <c r="F199" s="503"/>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26"/>
      <c r="AG199" s="326"/>
      <c r="AH199" s="326"/>
      <c r="AI199" s="326"/>
      <c r="AJ199" s="326"/>
      <c r="AK199" s="326"/>
      <c r="AL199" s="326"/>
      <c r="AM199" s="326"/>
      <c r="AN199" s="326"/>
      <c r="AO199" s="531"/>
      <c r="AP199" s="531"/>
      <c r="AQ199" s="532"/>
      <c r="AR199" s="532"/>
      <c r="AS199" s="532"/>
      <c r="AT199" s="532"/>
      <c r="AU199" s="532"/>
      <c r="AV199" s="532"/>
      <c r="AW199" s="326"/>
      <c r="AX199" s="326"/>
      <c r="AY199" s="326"/>
      <c r="AZ199" s="326"/>
      <c r="BA199" s="326"/>
      <c r="BB199" s="326"/>
      <c r="BC199" s="326"/>
      <c r="BD199" s="326"/>
      <c r="BE199" s="326"/>
      <c r="BF199" s="326"/>
      <c r="BG199" s="326"/>
      <c r="BH199" s="326"/>
      <c r="BI199" s="326"/>
      <c r="BJ199" s="326"/>
      <c r="BK199" s="326"/>
      <c r="BL199" s="326"/>
      <c r="BM199" s="326"/>
      <c r="BN199" s="326"/>
      <c r="BO199" s="326"/>
      <c r="BP199" s="326"/>
      <c r="BQ199" s="532"/>
      <c r="BR199" s="532"/>
      <c r="BS199" s="532"/>
      <c r="BT199" s="532"/>
      <c r="BU199" s="532"/>
      <c r="BV199" s="532"/>
      <c r="BW199" s="533"/>
      <c r="BX199" s="533"/>
      <c r="BY199" s="533"/>
      <c r="BZ199" s="533"/>
      <c r="CA199" s="533"/>
      <c r="CB199" s="533"/>
      <c r="CC199" s="533"/>
      <c r="CD199" s="533"/>
      <c r="CE199" s="533"/>
      <c r="CF199" s="533"/>
      <c r="CG199" s="533"/>
      <c r="CH199" s="533"/>
      <c r="CI199" s="533"/>
      <c r="CJ199" s="533"/>
      <c r="CK199" s="533"/>
      <c r="CL199" s="533"/>
      <c r="CM199" s="533"/>
      <c r="CN199" s="533"/>
      <c r="CO199" s="533"/>
      <c r="CP199" s="533"/>
      <c r="CQ199" s="533"/>
      <c r="CR199" s="533"/>
      <c r="CS199" s="533"/>
      <c r="CT199" s="533"/>
      <c r="CU199" s="533"/>
      <c r="CV199" s="533"/>
      <c r="CW199" s="533"/>
      <c r="CX199" s="533"/>
      <c r="CY199" s="533"/>
      <c r="CZ199" s="533"/>
      <c r="DA199" s="533"/>
      <c r="DB199" s="533"/>
      <c r="DC199" s="533"/>
      <c r="DD199" s="533"/>
      <c r="DE199" s="533"/>
      <c r="DF199" s="533"/>
      <c r="DG199" s="533"/>
      <c r="DH199" s="533"/>
      <c r="DI199" s="533"/>
      <c r="DJ199" s="533"/>
      <c r="DK199" s="533"/>
      <c r="DL199" s="533"/>
      <c r="DM199" s="533"/>
      <c r="DN199" s="533"/>
      <c r="DO199" s="533"/>
      <c r="DP199" s="533"/>
      <c r="DQ199" s="533"/>
      <c r="DR199" s="533"/>
      <c r="DS199" s="533"/>
      <c r="DT199" s="533"/>
      <c r="DU199" s="533"/>
      <c r="DV199" s="533"/>
      <c r="DW199" s="533"/>
      <c r="DX199" s="533"/>
      <c r="DY199" s="533"/>
      <c r="DZ199" s="533"/>
      <c r="EA199" s="533"/>
      <c r="EB199" s="533"/>
      <c r="EC199" s="533"/>
      <c r="ED199" s="533"/>
      <c r="EE199" s="533"/>
      <c r="EF199" s="533"/>
      <c r="EG199" s="533"/>
      <c r="EH199" s="533"/>
      <c r="EI199" s="533"/>
      <c r="EJ199" s="533"/>
      <c r="EK199" s="533"/>
      <c r="EL199" s="533"/>
      <c r="EM199" s="533"/>
      <c r="EN199" s="533"/>
      <c r="EO199" s="533"/>
      <c r="EP199" s="533"/>
      <c r="EQ199" s="533"/>
      <c r="ER199" s="533"/>
      <c r="ES199" s="533"/>
      <c r="ET199" s="533"/>
      <c r="EU199" s="533"/>
      <c r="EV199" s="533"/>
      <c r="EW199" s="533"/>
      <c r="EX199" s="533"/>
      <c r="EY199" s="533"/>
      <c r="EZ199" s="533"/>
      <c r="FA199" s="533"/>
      <c r="FB199" s="533"/>
      <c r="FC199" s="533"/>
      <c r="FD199" s="533"/>
      <c r="FE199" s="533"/>
      <c r="FF199" s="533"/>
      <c r="FG199" s="533"/>
      <c r="FH199" s="533"/>
      <c r="FI199" s="533"/>
      <c r="FJ199" s="533"/>
      <c r="FK199" s="533"/>
      <c r="FL199" s="533"/>
      <c r="FM199" s="533"/>
      <c r="FN199" s="533"/>
      <c r="FO199" s="533"/>
      <c r="FP199" s="533"/>
      <c r="FQ199" s="533"/>
      <c r="FR199" s="533"/>
      <c r="FS199" s="533"/>
      <c r="FT199" s="533"/>
      <c r="FU199" s="533"/>
      <c r="FV199" s="533"/>
      <c r="FW199" s="533"/>
      <c r="FX199" s="533"/>
      <c r="FY199" s="533"/>
      <c r="FZ199" s="533"/>
      <c r="GA199" s="533"/>
      <c r="GB199" s="533"/>
      <c r="GC199" s="533"/>
      <c r="GD199" s="533"/>
      <c r="GE199" s="533"/>
      <c r="GF199" s="533"/>
      <c r="GG199" s="533"/>
      <c r="GH199" s="533"/>
      <c r="GI199" s="533"/>
      <c r="GJ199" s="533"/>
      <c r="GK199" s="533"/>
      <c r="GL199" s="533"/>
      <c r="GM199" s="533"/>
      <c r="GN199" s="533"/>
      <c r="GO199" s="533"/>
      <c r="GP199" s="533"/>
      <c r="GQ199" s="533"/>
      <c r="GR199" s="533"/>
      <c r="GS199" s="533"/>
      <c r="GT199" s="533"/>
      <c r="GU199" s="533"/>
      <c r="GV199" s="533"/>
      <c r="GW199" s="533"/>
      <c r="GX199" s="533"/>
      <c r="GY199" s="533"/>
      <c r="GZ199" s="533"/>
      <c r="HA199" s="533"/>
      <c r="HB199" s="534"/>
    </row>
    <row r="200" spans="1:242" ht="20.100000000000001" customHeight="1">
      <c r="A200" s="164"/>
      <c r="B200" s="306" t="s">
        <v>1482</v>
      </c>
      <c r="C200" s="503"/>
      <c r="D200" s="503"/>
      <c r="E200" s="503"/>
      <c r="F200" s="503"/>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531"/>
      <c r="AP200" s="531"/>
      <c r="AQ200" s="532"/>
      <c r="AR200" s="532"/>
      <c r="AS200" s="532"/>
      <c r="AT200" s="532"/>
      <c r="AU200" s="532"/>
      <c r="AV200" s="532"/>
      <c r="AW200" s="326"/>
      <c r="AX200" s="326"/>
      <c r="AY200" s="326"/>
      <c r="AZ200" s="326"/>
      <c r="BA200" s="326"/>
      <c r="BB200" s="326"/>
      <c r="BC200" s="326"/>
      <c r="BD200" s="326"/>
      <c r="BE200" s="326"/>
      <c r="BF200" s="326"/>
      <c r="BG200" s="326"/>
      <c r="BH200" s="326"/>
      <c r="BI200" s="326"/>
      <c r="BJ200" s="326"/>
      <c r="BK200" s="326"/>
      <c r="BL200" s="326"/>
      <c r="BM200" s="326"/>
      <c r="BN200" s="326"/>
      <c r="BO200" s="326"/>
      <c r="BP200" s="326"/>
      <c r="BQ200" s="532"/>
      <c r="BR200" s="532"/>
      <c r="BS200" s="532"/>
      <c r="BT200" s="532"/>
      <c r="BU200" s="532"/>
      <c r="BV200" s="532"/>
      <c r="BW200" s="533"/>
      <c r="BX200" s="533"/>
      <c r="BY200" s="533"/>
      <c r="BZ200" s="533"/>
      <c r="CA200" s="533"/>
      <c r="CB200" s="533"/>
      <c r="CC200" s="533"/>
      <c r="CD200" s="533"/>
      <c r="CE200" s="533"/>
      <c r="CF200" s="533"/>
      <c r="CG200" s="533"/>
      <c r="CH200" s="533"/>
      <c r="CI200" s="533"/>
      <c r="CJ200" s="533"/>
      <c r="CK200" s="533"/>
      <c r="CL200" s="533"/>
      <c r="CM200" s="533"/>
      <c r="CN200" s="533"/>
      <c r="CO200" s="533"/>
      <c r="CP200" s="533"/>
      <c r="CQ200" s="533"/>
      <c r="CR200" s="533"/>
      <c r="CS200" s="533"/>
      <c r="CT200" s="533"/>
      <c r="CU200" s="533"/>
      <c r="CV200" s="533"/>
      <c r="CW200" s="533"/>
      <c r="CX200" s="533"/>
      <c r="CY200" s="533"/>
      <c r="CZ200" s="533"/>
      <c r="DA200" s="533"/>
      <c r="DB200" s="533"/>
      <c r="DC200" s="533"/>
      <c r="DD200" s="533"/>
      <c r="DE200" s="533"/>
      <c r="DF200" s="533"/>
      <c r="DG200" s="533"/>
      <c r="DH200" s="533"/>
      <c r="DI200" s="533"/>
      <c r="DJ200" s="533"/>
      <c r="DK200" s="533"/>
      <c r="DL200" s="533"/>
      <c r="DM200" s="533"/>
      <c r="DN200" s="533"/>
      <c r="DO200" s="533"/>
      <c r="DP200" s="533"/>
      <c r="DQ200" s="533"/>
      <c r="DR200" s="533"/>
      <c r="DS200" s="533"/>
      <c r="DT200" s="533"/>
      <c r="DU200" s="533"/>
      <c r="DV200" s="533"/>
      <c r="DW200" s="533"/>
      <c r="DX200" s="533"/>
      <c r="DY200" s="533"/>
      <c r="DZ200" s="533"/>
      <c r="EA200" s="533"/>
      <c r="EB200" s="533"/>
      <c r="EC200" s="533"/>
      <c r="ED200" s="533"/>
      <c r="EE200" s="533"/>
      <c r="EF200" s="533"/>
      <c r="EG200" s="533"/>
      <c r="EH200" s="533"/>
      <c r="EI200" s="533"/>
      <c r="EJ200" s="533"/>
      <c r="EK200" s="533"/>
      <c r="EL200" s="533"/>
      <c r="EM200" s="533"/>
      <c r="EN200" s="533"/>
      <c r="EO200" s="533"/>
      <c r="EP200" s="533"/>
      <c r="EQ200" s="533"/>
      <c r="ER200" s="533"/>
      <c r="ES200" s="533"/>
      <c r="ET200" s="533"/>
      <c r="EU200" s="533"/>
      <c r="EV200" s="533"/>
      <c r="EW200" s="533"/>
      <c r="EX200" s="533"/>
      <c r="EY200" s="533"/>
      <c r="EZ200" s="533"/>
      <c r="FA200" s="533"/>
      <c r="FB200" s="533"/>
      <c r="FC200" s="533"/>
      <c r="FD200" s="533"/>
      <c r="FE200" s="533"/>
      <c r="FF200" s="533"/>
      <c r="FG200" s="533"/>
      <c r="FH200" s="533"/>
      <c r="FI200" s="533"/>
      <c r="FJ200" s="533"/>
      <c r="FK200" s="533"/>
      <c r="FL200" s="533"/>
      <c r="FM200" s="533"/>
      <c r="FN200" s="533"/>
      <c r="FO200" s="533"/>
      <c r="FP200" s="533"/>
      <c r="FQ200" s="533"/>
      <c r="FR200" s="533"/>
      <c r="FS200" s="533"/>
      <c r="FT200" s="533"/>
      <c r="FU200" s="533"/>
      <c r="FV200" s="533"/>
      <c r="FW200" s="533"/>
      <c r="FX200" s="533"/>
      <c r="FY200" s="533"/>
      <c r="FZ200" s="533"/>
      <c r="GA200" s="533"/>
      <c r="GB200" s="533"/>
      <c r="GC200" s="533"/>
      <c r="GD200" s="533"/>
      <c r="GE200" s="533"/>
      <c r="GF200" s="533"/>
      <c r="GG200" s="533"/>
      <c r="GH200" s="533"/>
      <c r="GI200" s="533"/>
      <c r="GJ200" s="533"/>
      <c r="GK200" s="533"/>
      <c r="GL200" s="533"/>
      <c r="GM200" s="533"/>
      <c r="GN200" s="533"/>
      <c r="GO200" s="533"/>
      <c r="GP200" s="533"/>
      <c r="GQ200" s="533"/>
      <c r="GR200" s="533"/>
      <c r="GS200" s="533"/>
      <c r="GT200" s="533"/>
      <c r="GU200" s="533"/>
      <c r="GV200" s="533"/>
      <c r="GW200" s="533"/>
      <c r="GX200" s="533"/>
      <c r="GY200" s="533"/>
      <c r="GZ200" s="533"/>
      <c r="HA200" s="533"/>
      <c r="HB200" s="534"/>
    </row>
    <row r="201" spans="1:242" ht="20.100000000000001" customHeight="1">
      <c r="A201" s="164"/>
      <c r="B201" s="306" t="s">
        <v>1483</v>
      </c>
      <c r="C201" s="503"/>
      <c r="D201" s="503"/>
      <c r="E201" s="503"/>
      <c r="F201" s="503"/>
      <c r="G201" s="326"/>
      <c r="H201" s="326"/>
      <c r="I201" s="326"/>
      <c r="J201" s="326"/>
      <c r="K201" s="326"/>
      <c r="L201" s="326"/>
      <c r="M201" s="326"/>
      <c r="N201" s="326"/>
      <c r="O201" s="326"/>
      <c r="P201" s="326"/>
      <c r="Q201" s="326"/>
      <c r="R201" s="326"/>
      <c r="S201" s="326"/>
      <c r="T201" s="326"/>
      <c r="U201" s="326"/>
      <c r="V201" s="326"/>
      <c r="W201" s="326"/>
      <c r="X201" s="326"/>
      <c r="Y201" s="326"/>
      <c r="Z201" s="326"/>
      <c r="AA201" s="326"/>
      <c r="AB201" s="326"/>
      <c r="AC201" s="326"/>
      <c r="AD201" s="326"/>
      <c r="AE201" s="326"/>
      <c r="AF201" s="326"/>
      <c r="AG201" s="326"/>
      <c r="AH201" s="326"/>
      <c r="AI201" s="326"/>
      <c r="AJ201" s="326"/>
      <c r="AK201" s="326"/>
      <c r="AL201" s="326"/>
      <c r="AM201" s="326"/>
      <c r="AN201" s="326"/>
      <c r="AO201" s="531"/>
      <c r="AP201" s="531"/>
      <c r="AQ201" s="532"/>
      <c r="AR201" s="532"/>
      <c r="AS201" s="532"/>
      <c r="AT201" s="532"/>
      <c r="AU201" s="532"/>
      <c r="AV201" s="532"/>
      <c r="AW201" s="326"/>
      <c r="AX201" s="326"/>
      <c r="AY201" s="326"/>
      <c r="AZ201" s="326"/>
      <c r="BA201" s="326"/>
      <c r="BB201" s="326"/>
      <c r="BC201" s="326"/>
      <c r="BD201" s="326"/>
      <c r="BE201" s="326"/>
      <c r="BF201" s="326"/>
      <c r="BG201" s="326"/>
      <c r="BH201" s="326"/>
      <c r="BI201" s="326"/>
      <c r="BJ201" s="326"/>
      <c r="BK201" s="326"/>
      <c r="BL201" s="326"/>
      <c r="BM201" s="326"/>
      <c r="BN201" s="326"/>
      <c r="BO201" s="326"/>
      <c r="BP201" s="326"/>
      <c r="BQ201" s="532"/>
      <c r="BR201" s="532"/>
      <c r="BS201" s="532"/>
      <c r="BT201" s="532"/>
      <c r="BU201" s="532"/>
      <c r="BV201" s="532"/>
      <c r="BW201" s="533"/>
      <c r="BX201" s="533"/>
      <c r="BY201" s="533"/>
      <c r="BZ201" s="533"/>
      <c r="CA201" s="533"/>
      <c r="CB201" s="533"/>
      <c r="CC201" s="533"/>
      <c r="CD201" s="533"/>
      <c r="CE201" s="533"/>
      <c r="CF201" s="533"/>
      <c r="CG201" s="533"/>
      <c r="CH201" s="533"/>
      <c r="CI201" s="533"/>
      <c r="CJ201" s="533"/>
      <c r="CK201" s="533"/>
      <c r="CL201" s="533"/>
      <c r="CM201" s="533"/>
      <c r="CN201" s="533"/>
      <c r="CO201" s="533"/>
      <c r="CP201" s="533"/>
      <c r="CQ201" s="533"/>
      <c r="CR201" s="533"/>
      <c r="CS201" s="533"/>
      <c r="CT201" s="533"/>
      <c r="CU201" s="533"/>
      <c r="CV201" s="533"/>
      <c r="CW201" s="533"/>
      <c r="CX201" s="533"/>
      <c r="CY201" s="533"/>
      <c r="CZ201" s="533"/>
      <c r="DA201" s="533"/>
      <c r="DB201" s="533"/>
      <c r="DC201" s="533"/>
      <c r="DD201" s="533"/>
      <c r="DE201" s="533"/>
      <c r="DF201" s="533"/>
      <c r="DG201" s="533"/>
      <c r="DH201" s="533"/>
      <c r="DI201" s="533"/>
      <c r="DJ201" s="533"/>
      <c r="DK201" s="533"/>
      <c r="DL201" s="533"/>
      <c r="DM201" s="533"/>
      <c r="DN201" s="533"/>
      <c r="DO201" s="533"/>
      <c r="DP201" s="533"/>
      <c r="DQ201" s="533"/>
      <c r="DR201" s="533"/>
      <c r="DS201" s="533"/>
      <c r="DT201" s="533"/>
      <c r="DU201" s="533"/>
      <c r="DV201" s="533"/>
      <c r="DW201" s="533"/>
      <c r="DX201" s="533"/>
      <c r="DY201" s="533"/>
      <c r="DZ201" s="533"/>
      <c r="EA201" s="533"/>
      <c r="EB201" s="533"/>
      <c r="EC201" s="533"/>
      <c r="ED201" s="533"/>
      <c r="EE201" s="533"/>
      <c r="EF201" s="533"/>
      <c r="EG201" s="533"/>
      <c r="EH201" s="533"/>
      <c r="EI201" s="533"/>
      <c r="EJ201" s="533"/>
      <c r="EK201" s="533"/>
      <c r="EL201" s="533"/>
      <c r="EM201" s="533"/>
      <c r="EN201" s="533"/>
      <c r="EO201" s="533"/>
      <c r="EP201" s="533"/>
      <c r="EQ201" s="533"/>
      <c r="ER201" s="533"/>
      <c r="ES201" s="533"/>
      <c r="ET201" s="533"/>
      <c r="EU201" s="533"/>
      <c r="EV201" s="533"/>
      <c r="EW201" s="533"/>
      <c r="EX201" s="533"/>
      <c r="EY201" s="533"/>
      <c r="EZ201" s="533"/>
      <c r="FA201" s="533"/>
      <c r="FB201" s="533"/>
      <c r="FC201" s="533"/>
      <c r="FD201" s="533"/>
      <c r="FE201" s="533"/>
      <c r="FF201" s="533"/>
      <c r="FG201" s="533"/>
      <c r="FH201" s="533"/>
      <c r="FI201" s="533"/>
      <c r="FJ201" s="533"/>
      <c r="FK201" s="533"/>
      <c r="FL201" s="533"/>
      <c r="FM201" s="533"/>
      <c r="FN201" s="533"/>
      <c r="FO201" s="533"/>
      <c r="FP201" s="533"/>
      <c r="FQ201" s="533"/>
      <c r="FR201" s="533"/>
      <c r="FS201" s="533"/>
      <c r="FT201" s="533"/>
      <c r="FU201" s="533"/>
      <c r="FV201" s="533"/>
      <c r="FW201" s="533"/>
      <c r="FX201" s="533"/>
      <c r="FY201" s="533"/>
      <c r="FZ201" s="533"/>
      <c r="GA201" s="533"/>
      <c r="GB201" s="533"/>
      <c r="GC201" s="533"/>
      <c r="GD201" s="533"/>
      <c r="GE201" s="533"/>
      <c r="GF201" s="533"/>
      <c r="GG201" s="533"/>
      <c r="GH201" s="533"/>
      <c r="GI201" s="533"/>
      <c r="GJ201" s="533"/>
      <c r="GK201" s="533"/>
      <c r="GL201" s="533"/>
      <c r="GM201" s="533"/>
      <c r="GN201" s="533"/>
      <c r="GO201" s="533"/>
      <c r="GP201" s="533"/>
      <c r="GQ201" s="533"/>
      <c r="GR201" s="533"/>
      <c r="GS201" s="533"/>
      <c r="GT201" s="533"/>
      <c r="GU201" s="533"/>
      <c r="GV201" s="533"/>
      <c r="GW201" s="533"/>
      <c r="GX201" s="533"/>
      <c r="GY201" s="533"/>
      <c r="GZ201" s="533"/>
      <c r="HA201" s="533"/>
      <c r="HB201" s="534"/>
    </row>
    <row r="202" spans="1:242" ht="20.100000000000001" customHeight="1">
      <c r="A202" s="164"/>
      <c r="B202" s="306" t="s">
        <v>1484</v>
      </c>
      <c r="C202" s="503"/>
      <c r="D202" s="503"/>
      <c r="E202" s="503"/>
      <c r="F202" s="503"/>
      <c r="G202" s="326"/>
      <c r="H202" s="326"/>
      <c r="I202" s="326"/>
      <c r="J202" s="326"/>
      <c r="K202" s="326"/>
      <c r="L202" s="326"/>
      <c r="M202" s="326"/>
      <c r="N202" s="326"/>
      <c r="O202" s="326"/>
      <c r="P202" s="326"/>
      <c r="Q202" s="326"/>
      <c r="R202" s="326"/>
      <c r="S202" s="326"/>
      <c r="T202" s="326"/>
      <c r="U202" s="326"/>
      <c r="V202" s="326"/>
      <c r="W202" s="326"/>
      <c r="X202" s="326"/>
      <c r="Y202" s="326"/>
      <c r="Z202" s="326"/>
      <c r="AA202" s="326"/>
      <c r="AB202" s="326"/>
      <c r="AC202" s="326"/>
      <c r="AD202" s="326"/>
      <c r="AE202" s="326"/>
      <c r="AF202" s="326"/>
      <c r="AG202" s="326"/>
      <c r="AH202" s="326"/>
      <c r="AI202" s="326"/>
      <c r="AJ202" s="326"/>
      <c r="AK202" s="326"/>
      <c r="AL202" s="326"/>
      <c r="AM202" s="326"/>
      <c r="AN202" s="326"/>
      <c r="AO202" s="531"/>
      <c r="AP202" s="531"/>
      <c r="AQ202" s="532"/>
      <c r="AR202" s="532"/>
      <c r="AS202" s="532"/>
      <c r="AT202" s="532"/>
      <c r="AU202" s="532"/>
      <c r="AV202" s="532"/>
      <c r="AW202" s="326"/>
      <c r="AX202" s="326"/>
      <c r="AY202" s="326"/>
      <c r="AZ202" s="326"/>
      <c r="BA202" s="326"/>
      <c r="BB202" s="326"/>
      <c r="BC202" s="326"/>
      <c r="BD202" s="326"/>
      <c r="BE202" s="326"/>
      <c r="BF202" s="326"/>
      <c r="BG202" s="326"/>
      <c r="BH202" s="326"/>
      <c r="BI202" s="326"/>
      <c r="BJ202" s="326"/>
      <c r="BK202" s="326"/>
      <c r="BL202" s="326"/>
      <c r="BM202" s="326"/>
      <c r="BN202" s="326"/>
      <c r="BO202" s="326"/>
      <c r="BP202" s="326"/>
      <c r="BQ202" s="532"/>
      <c r="BR202" s="532"/>
      <c r="BS202" s="532"/>
      <c r="BT202" s="532"/>
      <c r="BU202" s="532"/>
      <c r="BV202" s="532"/>
      <c r="BW202" s="533"/>
      <c r="BX202" s="533"/>
      <c r="BY202" s="533"/>
      <c r="BZ202" s="533"/>
      <c r="CA202" s="533"/>
      <c r="CB202" s="533"/>
      <c r="CC202" s="533"/>
      <c r="CD202" s="533"/>
      <c r="CE202" s="533"/>
      <c r="CF202" s="533"/>
      <c r="CG202" s="533"/>
      <c r="CH202" s="533"/>
      <c r="CI202" s="533"/>
      <c r="CJ202" s="533"/>
      <c r="CK202" s="533"/>
      <c r="CL202" s="533"/>
      <c r="CM202" s="533"/>
      <c r="CN202" s="533"/>
      <c r="CO202" s="533"/>
      <c r="CP202" s="533"/>
      <c r="CQ202" s="533"/>
      <c r="CR202" s="533"/>
      <c r="CS202" s="533"/>
      <c r="CT202" s="533"/>
      <c r="CU202" s="533"/>
      <c r="CV202" s="533"/>
      <c r="CW202" s="533"/>
      <c r="CX202" s="533"/>
      <c r="CY202" s="533"/>
      <c r="CZ202" s="533"/>
      <c r="DA202" s="533"/>
      <c r="DB202" s="533"/>
      <c r="DC202" s="533"/>
      <c r="DD202" s="533"/>
      <c r="DE202" s="533"/>
      <c r="DF202" s="533"/>
      <c r="DG202" s="533"/>
      <c r="DH202" s="533"/>
      <c r="DI202" s="533"/>
      <c r="DJ202" s="533"/>
      <c r="DK202" s="533"/>
      <c r="DL202" s="533"/>
      <c r="DM202" s="533"/>
      <c r="DN202" s="533"/>
      <c r="DO202" s="533"/>
      <c r="DP202" s="533"/>
      <c r="DQ202" s="533"/>
      <c r="DR202" s="533"/>
      <c r="DS202" s="533"/>
      <c r="DT202" s="533"/>
      <c r="DU202" s="533"/>
      <c r="DV202" s="533"/>
      <c r="DW202" s="533"/>
      <c r="DX202" s="533"/>
      <c r="DY202" s="533"/>
      <c r="DZ202" s="533"/>
      <c r="EA202" s="533"/>
      <c r="EB202" s="533"/>
      <c r="EC202" s="533"/>
      <c r="ED202" s="533"/>
      <c r="EE202" s="533"/>
      <c r="EF202" s="533"/>
      <c r="EG202" s="533"/>
      <c r="EH202" s="533"/>
      <c r="EI202" s="533"/>
      <c r="EJ202" s="533"/>
      <c r="EK202" s="533"/>
      <c r="EL202" s="533"/>
      <c r="EM202" s="533"/>
      <c r="EN202" s="533"/>
      <c r="EO202" s="533"/>
      <c r="EP202" s="533"/>
      <c r="EQ202" s="533"/>
      <c r="ER202" s="533"/>
      <c r="ES202" s="533"/>
      <c r="ET202" s="533"/>
      <c r="EU202" s="533"/>
      <c r="EV202" s="533"/>
      <c r="EW202" s="533"/>
      <c r="EX202" s="533"/>
      <c r="EY202" s="533"/>
      <c r="EZ202" s="533"/>
      <c r="FA202" s="533"/>
      <c r="FB202" s="533"/>
      <c r="FC202" s="533"/>
      <c r="FD202" s="533"/>
      <c r="FE202" s="533"/>
      <c r="FF202" s="533"/>
      <c r="FG202" s="533"/>
      <c r="FH202" s="533"/>
      <c r="FI202" s="533"/>
      <c r="FJ202" s="533"/>
      <c r="FK202" s="533"/>
      <c r="FL202" s="533"/>
      <c r="FM202" s="533"/>
      <c r="FN202" s="533"/>
      <c r="FO202" s="533"/>
      <c r="FP202" s="533"/>
      <c r="FQ202" s="533"/>
      <c r="FR202" s="533"/>
      <c r="FS202" s="533"/>
      <c r="FT202" s="533"/>
      <c r="FU202" s="533"/>
      <c r="FV202" s="533"/>
      <c r="FW202" s="533"/>
      <c r="FX202" s="533"/>
      <c r="FY202" s="533"/>
      <c r="FZ202" s="533"/>
      <c r="GA202" s="533"/>
      <c r="GB202" s="533"/>
      <c r="GC202" s="533"/>
      <c r="GD202" s="533"/>
      <c r="GE202" s="533"/>
      <c r="GF202" s="533"/>
      <c r="GG202" s="533"/>
      <c r="GH202" s="533"/>
      <c r="GI202" s="533"/>
      <c r="GJ202" s="533"/>
      <c r="GK202" s="533"/>
      <c r="GL202" s="533"/>
      <c r="GM202" s="533"/>
      <c r="GN202" s="533"/>
      <c r="GO202" s="533"/>
      <c r="GP202" s="533"/>
      <c r="GQ202" s="533"/>
      <c r="GR202" s="533"/>
      <c r="GS202" s="533"/>
      <c r="GT202" s="533"/>
      <c r="GU202" s="533"/>
      <c r="GV202" s="533"/>
      <c r="GW202" s="533"/>
      <c r="GX202" s="533"/>
      <c r="GY202" s="533"/>
      <c r="GZ202" s="533"/>
      <c r="HA202" s="533"/>
      <c r="HB202" s="534"/>
    </row>
    <row r="203" spans="1:242" ht="20.100000000000001" customHeight="1">
      <c r="A203" s="164"/>
      <c r="B203" s="306" t="s">
        <v>1485</v>
      </c>
      <c r="C203" s="503"/>
      <c r="D203" s="503"/>
      <c r="E203" s="503"/>
      <c r="F203" s="503"/>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26"/>
      <c r="AC203" s="326"/>
      <c r="AD203" s="326"/>
      <c r="AE203" s="326"/>
      <c r="AF203" s="326"/>
      <c r="AG203" s="326"/>
      <c r="AH203" s="326"/>
      <c r="AI203" s="326"/>
      <c r="AJ203" s="326"/>
      <c r="AK203" s="326"/>
      <c r="AL203" s="326"/>
      <c r="AM203" s="326"/>
      <c r="AN203" s="326"/>
      <c r="AO203" s="531"/>
      <c r="AP203" s="531"/>
      <c r="AQ203" s="532"/>
      <c r="AR203" s="532"/>
      <c r="AS203" s="532"/>
      <c r="AT203" s="532"/>
      <c r="AU203" s="532"/>
      <c r="AV203" s="532"/>
      <c r="AW203" s="326"/>
      <c r="AX203" s="326"/>
      <c r="AY203" s="326"/>
      <c r="AZ203" s="326"/>
      <c r="BA203" s="326"/>
      <c r="BB203" s="326"/>
      <c r="BC203" s="326"/>
      <c r="BD203" s="326"/>
      <c r="BE203" s="326"/>
      <c r="BF203" s="326"/>
      <c r="BG203" s="326"/>
      <c r="BH203" s="326"/>
      <c r="BI203" s="326"/>
      <c r="BJ203" s="326"/>
      <c r="BK203" s="326"/>
      <c r="BL203" s="326"/>
      <c r="BM203" s="326"/>
      <c r="BN203" s="326"/>
      <c r="BO203" s="326"/>
      <c r="BP203" s="326"/>
      <c r="BQ203" s="532"/>
      <c r="BR203" s="532"/>
      <c r="BS203" s="532"/>
      <c r="BT203" s="532"/>
      <c r="BU203" s="532"/>
      <c r="BV203" s="532"/>
      <c r="BW203" s="533"/>
      <c r="BX203" s="533"/>
      <c r="BY203" s="533"/>
      <c r="BZ203" s="533"/>
      <c r="CA203" s="533"/>
      <c r="CB203" s="533"/>
      <c r="CC203" s="533"/>
      <c r="CD203" s="533"/>
      <c r="CE203" s="533"/>
      <c r="CF203" s="533"/>
      <c r="CG203" s="533"/>
      <c r="CH203" s="533"/>
      <c r="CI203" s="533"/>
      <c r="CJ203" s="533"/>
      <c r="CK203" s="533"/>
      <c r="CL203" s="533"/>
      <c r="CM203" s="533"/>
      <c r="CN203" s="533"/>
      <c r="CO203" s="533"/>
      <c r="CP203" s="533"/>
      <c r="CQ203" s="533"/>
      <c r="CR203" s="533"/>
      <c r="CS203" s="533"/>
      <c r="CT203" s="533"/>
      <c r="CU203" s="533"/>
      <c r="CV203" s="533"/>
      <c r="CW203" s="533"/>
      <c r="CX203" s="533"/>
      <c r="CY203" s="533"/>
      <c r="CZ203" s="533"/>
      <c r="DA203" s="533"/>
      <c r="DB203" s="533"/>
      <c r="DC203" s="533"/>
      <c r="DD203" s="533"/>
      <c r="DE203" s="533"/>
      <c r="DF203" s="533"/>
      <c r="DG203" s="533"/>
      <c r="DH203" s="533"/>
      <c r="DI203" s="533"/>
      <c r="DJ203" s="533"/>
      <c r="DK203" s="533"/>
      <c r="DL203" s="533"/>
      <c r="DM203" s="533"/>
      <c r="DN203" s="533"/>
      <c r="DO203" s="533"/>
      <c r="DP203" s="533"/>
      <c r="DQ203" s="533"/>
      <c r="DR203" s="533"/>
      <c r="DS203" s="533"/>
      <c r="DT203" s="533"/>
      <c r="DU203" s="533"/>
      <c r="DV203" s="533"/>
      <c r="DW203" s="533"/>
      <c r="DX203" s="533"/>
      <c r="DY203" s="533"/>
      <c r="DZ203" s="533"/>
      <c r="EA203" s="533"/>
      <c r="EB203" s="533"/>
      <c r="EC203" s="533"/>
      <c r="ED203" s="533"/>
      <c r="EE203" s="533"/>
      <c r="EF203" s="533"/>
      <c r="EG203" s="533"/>
      <c r="EH203" s="533"/>
      <c r="EI203" s="533"/>
      <c r="EJ203" s="533"/>
      <c r="EK203" s="533"/>
      <c r="EL203" s="533"/>
      <c r="EM203" s="533"/>
      <c r="EN203" s="533"/>
      <c r="EO203" s="533"/>
      <c r="EP203" s="533"/>
      <c r="EQ203" s="533"/>
      <c r="ER203" s="533"/>
      <c r="ES203" s="533"/>
      <c r="ET203" s="533"/>
      <c r="EU203" s="533"/>
      <c r="EV203" s="533"/>
      <c r="EW203" s="533"/>
      <c r="EX203" s="533"/>
      <c r="EY203" s="533"/>
      <c r="EZ203" s="533"/>
      <c r="FA203" s="533"/>
      <c r="FB203" s="533"/>
      <c r="FC203" s="533"/>
      <c r="FD203" s="533"/>
      <c r="FE203" s="533"/>
      <c r="FF203" s="533"/>
      <c r="FG203" s="533"/>
      <c r="FH203" s="533"/>
      <c r="FI203" s="533"/>
      <c r="FJ203" s="533"/>
      <c r="FK203" s="533"/>
      <c r="FL203" s="533"/>
      <c r="FM203" s="533"/>
      <c r="FN203" s="533"/>
      <c r="FO203" s="533"/>
      <c r="FP203" s="533"/>
      <c r="FQ203" s="533"/>
      <c r="FR203" s="533"/>
      <c r="FS203" s="533"/>
      <c r="FT203" s="533"/>
      <c r="FU203" s="533"/>
      <c r="FV203" s="533"/>
      <c r="FW203" s="533"/>
      <c r="FX203" s="533"/>
      <c r="FY203" s="533"/>
      <c r="FZ203" s="533"/>
      <c r="GA203" s="533"/>
      <c r="GB203" s="533"/>
      <c r="GC203" s="533"/>
      <c r="GD203" s="533"/>
      <c r="GE203" s="533"/>
      <c r="GF203" s="533"/>
      <c r="GG203" s="533"/>
      <c r="GH203" s="533"/>
      <c r="GI203" s="533"/>
      <c r="GJ203" s="533"/>
      <c r="GK203" s="533"/>
      <c r="GL203" s="533"/>
      <c r="GM203" s="533"/>
      <c r="GN203" s="533"/>
      <c r="GO203" s="533"/>
      <c r="GP203" s="533"/>
      <c r="GQ203" s="533"/>
      <c r="GR203" s="533"/>
      <c r="GS203" s="533"/>
      <c r="GT203" s="533"/>
      <c r="GU203" s="533"/>
      <c r="GV203" s="533"/>
      <c r="GW203" s="533"/>
      <c r="GX203" s="533"/>
      <c r="GY203" s="533"/>
      <c r="GZ203" s="533"/>
      <c r="HA203" s="533"/>
      <c r="HB203" s="534"/>
    </row>
    <row r="204" spans="1:242" ht="20.100000000000001" customHeight="1">
      <c r="A204" s="164"/>
      <c r="B204" s="306" t="s">
        <v>1486</v>
      </c>
      <c r="C204" s="503"/>
      <c r="D204" s="503"/>
      <c r="E204" s="503"/>
      <c r="F204" s="503"/>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26"/>
      <c r="AC204" s="326"/>
      <c r="AD204" s="326"/>
      <c r="AE204" s="326"/>
      <c r="AF204" s="326"/>
      <c r="AG204" s="326"/>
      <c r="AH204" s="326"/>
      <c r="AI204" s="326"/>
      <c r="AJ204" s="326"/>
      <c r="AK204" s="326"/>
      <c r="AL204" s="326"/>
      <c r="AM204" s="326"/>
      <c r="AN204" s="326"/>
      <c r="AO204" s="531"/>
      <c r="AP204" s="531"/>
      <c r="AQ204" s="532"/>
      <c r="AR204" s="532"/>
      <c r="AS204" s="532"/>
      <c r="AT204" s="532"/>
      <c r="AU204" s="532"/>
      <c r="AV204" s="532"/>
      <c r="AW204" s="326"/>
      <c r="AX204" s="326"/>
      <c r="AY204" s="326"/>
      <c r="AZ204" s="326"/>
      <c r="BA204" s="326"/>
      <c r="BB204" s="326"/>
      <c r="BC204" s="326"/>
      <c r="BD204" s="326"/>
      <c r="BE204" s="326"/>
      <c r="BF204" s="326"/>
      <c r="BG204" s="326"/>
      <c r="BH204" s="326"/>
      <c r="BI204" s="326"/>
      <c r="BJ204" s="326"/>
      <c r="BK204" s="326"/>
      <c r="BL204" s="326"/>
      <c r="BM204" s="326"/>
      <c r="BN204" s="326"/>
      <c r="BO204" s="326"/>
      <c r="BP204" s="326"/>
      <c r="BQ204" s="532"/>
      <c r="BR204" s="532"/>
      <c r="BS204" s="532"/>
      <c r="BT204" s="532"/>
      <c r="BU204" s="532"/>
      <c r="BV204" s="532"/>
      <c r="BW204" s="533"/>
      <c r="BX204" s="533"/>
      <c r="BY204" s="533"/>
      <c r="BZ204" s="533"/>
      <c r="CA204" s="533"/>
      <c r="CB204" s="533"/>
      <c r="CC204" s="533"/>
      <c r="CD204" s="533"/>
      <c r="CE204" s="533"/>
      <c r="CF204" s="533"/>
      <c r="CG204" s="533"/>
      <c r="CH204" s="533"/>
      <c r="CI204" s="533"/>
      <c r="CJ204" s="533"/>
      <c r="CK204" s="533"/>
      <c r="CL204" s="533"/>
      <c r="CM204" s="533"/>
      <c r="CN204" s="533"/>
      <c r="CO204" s="533"/>
      <c r="CP204" s="533"/>
      <c r="CQ204" s="533"/>
      <c r="CR204" s="533"/>
      <c r="CS204" s="533"/>
      <c r="CT204" s="533"/>
      <c r="CU204" s="533"/>
      <c r="CV204" s="533"/>
      <c r="CW204" s="533"/>
      <c r="CX204" s="533"/>
      <c r="CY204" s="533"/>
      <c r="CZ204" s="533"/>
      <c r="DA204" s="533"/>
      <c r="DB204" s="533"/>
      <c r="DC204" s="533"/>
      <c r="DD204" s="533"/>
      <c r="DE204" s="533"/>
      <c r="DF204" s="533"/>
      <c r="DG204" s="533"/>
      <c r="DH204" s="533"/>
      <c r="DI204" s="533"/>
      <c r="DJ204" s="533"/>
      <c r="DK204" s="533"/>
      <c r="DL204" s="533"/>
      <c r="DM204" s="533"/>
      <c r="DN204" s="533"/>
      <c r="DO204" s="533"/>
      <c r="DP204" s="533"/>
      <c r="DQ204" s="533"/>
      <c r="DR204" s="533"/>
      <c r="DS204" s="533"/>
      <c r="DT204" s="533"/>
      <c r="DU204" s="533"/>
      <c r="DV204" s="533"/>
      <c r="DW204" s="533"/>
      <c r="DX204" s="533"/>
      <c r="DY204" s="533"/>
      <c r="DZ204" s="533"/>
      <c r="EA204" s="533"/>
      <c r="EB204" s="533"/>
      <c r="EC204" s="533"/>
      <c r="ED204" s="533"/>
      <c r="EE204" s="533"/>
      <c r="EF204" s="533"/>
      <c r="EG204" s="533"/>
      <c r="EH204" s="533"/>
      <c r="EI204" s="533"/>
      <c r="EJ204" s="533"/>
      <c r="EK204" s="533"/>
      <c r="EL204" s="533"/>
      <c r="EM204" s="533"/>
      <c r="EN204" s="533"/>
      <c r="EO204" s="533"/>
      <c r="EP204" s="533"/>
      <c r="EQ204" s="533"/>
      <c r="ER204" s="533"/>
      <c r="ES204" s="533"/>
      <c r="ET204" s="533"/>
      <c r="EU204" s="533"/>
      <c r="EV204" s="533"/>
      <c r="EW204" s="533"/>
      <c r="EX204" s="533"/>
      <c r="EY204" s="533"/>
      <c r="EZ204" s="533"/>
      <c r="FA204" s="533"/>
      <c r="FB204" s="533"/>
      <c r="FC204" s="533"/>
      <c r="FD204" s="533"/>
      <c r="FE204" s="533"/>
      <c r="FF204" s="533"/>
      <c r="FG204" s="533"/>
      <c r="FH204" s="533"/>
      <c r="FI204" s="533"/>
      <c r="FJ204" s="533"/>
      <c r="FK204" s="533"/>
      <c r="FL204" s="533"/>
      <c r="FM204" s="533"/>
      <c r="FN204" s="533"/>
      <c r="FO204" s="533"/>
      <c r="FP204" s="533"/>
      <c r="FQ204" s="533"/>
      <c r="FR204" s="533"/>
      <c r="FS204" s="533"/>
      <c r="FT204" s="533"/>
      <c r="FU204" s="533"/>
      <c r="FV204" s="533"/>
      <c r="FW204" s="533"/>
      <c r="FX204" s="533"/>
      <c r="FY204" s="533"/>
      <c r="FZ204" s="533"/>
      <c r="GA204" s="533"/>
      <c r="GB204" s="533"/>
      <c r="GC204" s="533"/>
      <c r="GD204" s="533"/>
      <c r="GE204" s="533"/>
      <c r="GF204" s="533"/>
      <c r="GG204" s="533"/>
      <c r="GH204" s="533"/>
      <c r="GI204" s="533"/>
      <c r="GJ204" s="533"/>
      <c r="GK204" s="533"/>
      <c r="GL204" s="533"/>
      <c r="GM204" s="533"/>
      <c r="GN204" s="533"/>
      <c r="GO204" s="533"/>
      <c r="GP204" s="533"/>
      <c r="GQ204" s="533"/>
      <c r="GR204" s="533"/>
      <c r="GS204" s="533"/>
      <c r="GT204" s="533"/>
      <c r="GU204" s="533"/>
      <c r="GV204" s="533"/>
      <c r="GW204" s="533"/>
      <c r="GX204" s="533"/>
      <c r="GY204" s="533"/>
      <c r="GZ204" s="533"/>
      <c r="HA204" s="533"/>
      <c r="HB204" s="534"/>
    </row>
    <row r="205" spans="1:242" ht="20.100000000000001" customHeight="1">
      <c r="A205" s="164"/>
      <c r="B205" s="306" t="s">
        <v>1487</v>
      </c>
      <c r="C205" s="503"/>
      <c r="D205" s="503"/>
      <c r="E205" s="503"/>
      <c r="F205" s="503"/>
      <c r="G205" s="326"/>
      <c r="H205" s="326"/>
      <c r="I205" s="326"/>
      <c r="J205" s="326"/>
      <c r="K205" s="326"/>
      <c r="L205" s="326"/>
      <c r="M205" s="326"/>
      <c r="N205" s="326"/>
      <c r="O205" s="326"/>
      <c r="P205" s="326"/>
      <c r="Q205" s="326"/>
      <c r="R205" s="326"/>
      <c r="S205" s="326"/>
      <c r="T205" s="326"/>
      <c r="U205" s="326"/>
      <c r="V205" s="326"/>
      <c r="W205" s="326"/>
      <c r="X205" s="326"/>
      <c r="Y205" s="326"/>
      <c r="Z205" s="326"/>
      <c r="AA205" s="326"/>
      <c r="AB205" s="326"/>
      <c r="AC205" s="326"/>
      <c r="AD205" s="326"/>
      <c r="AE205" s="326"/>
      <c r="AF205" s="326"/>
      <c r="AG205" s="326"/>
      <c r="AH205" s="326"/>
      <c r="AI205" s="326"/>
      <c r="AJ205" s="326"/>
      <c r="AK205" s="326"/>
      <c r="AL205" s="326"/>
      <c r="AM205" s="326"/>
      <c r="AN205" s="326"/>
      <c r="AO205" s="531"/>
      <c r="AP205" s="531"/>
      <c r="AQ205" s="532"/>
      <c r="AR205" s="532"/>
      <c r="AS205" s="532"/>
      <c r="AT205" s="532"/>
      <c r="AU205" s="532"/>
      <c r="AV205" s="532"/>
      <c r="AW205" s="326"/>
      <c r="AX205" s="326"/>
      <c r="AY205" s="326"/>
      <c r="AZ205" s="326"/>
      <c r="BA205" s="326"/>
      <c r="BB205" s="326"/>
      <c r="BC205" s="326"/>
      <c r="BD205" s="326"/>
      <c r="BE205" s="326"/>
      <c r="BF205" s="326"/>
      <c r="BG205" s="326"/>
      <c r="BH205" s="326"/>
      <c r="BI205" s="326"/>
      <c r="BJ205" s="326"/>
      <c r="BK205" s="326"/>
      <c r="BL205" s="326"/>
      <c r="BM205" s="326"/>
      <c r="BN205" s="326"/>
      <c r="BO205" s="326"/>
      <c r="BP205" s="326"/>
      <c r="BQ205" s="532"/>
      <c r="BR205" s="532"/>
      <c r="BS205" s="532"/>
      <c r="BT205" s="532"/>
      <c r="BU205" s="532"/>
      <c r="BV205" s="532"/>
      <c r="BW205" s="533"/>
      <c r="BX205" s="533"/>
      <c r="BY205" s="533"/>
      <c r="BZ205" s="533"/>
      <c r="CA205" s="533"/>
      <c r="CB205" s="533"/>
      <c r="CC205" s="533"/>
      <c r="CD205" s="533"/>
      <c r="CE205" s="533"/>
      <c r="CF205" s="533"/>
      <c r="CG205" s="533"/>
      <c r="CH205" s="533"/>
      <c r="CI205" s="533"/>
      <c r="CJ205" s="533"/>
      <c r="CK205" s="533"/>
      <c r="CL205" s="533"/>
      <c r="CM205" s="533"/>
      <c r="CN205" s="533"/>
      <c r="CO205" s="533"/>
      <c r="CP205" s="533"/>
      <c r="CQ205" s="533"/>
      <c r="CR205" s="533"/>
      <c r="CS205" s="533"/>
      <c r="CT205" s="533"/>
      <c r="CU205" s="533"/>
      <c r="CV205" s="533"/>
      <c r="CW205" s="533"/>
      <c r="CX205" s="533"/>
      <c r="CY205" s="533"/>
      <c r="CZ205" s="533"/>
      <c r="DA205" s="533"/>
      <c r="DB205" s="533"/>
      <c r="DC205" s="533"/>
      <c r="DD205" s="533"/>
      <c r="DE205" s="533"/>
      <c r="DF205" s="533"/>
      <c r="DG205" s="533"/>
      <c r="DH205" s="533"/>
      <c r="DI205" s="533"/>
      <c r="DJ205" s="533"/>
      <c r="DK205" s="533"/>
      <c r="DL205" s="533"/>
      <c r="DM205" s="533"/>
      <c r="DN205" s="533"/>
      <c r="DO205" s="533"/>
      <c r="DP205" s="533"/>
      <c r="DQ205" s="533"/>
      <c r="DR205" s="533"/>
      <c r="DS205" s="533"/>
      <c r="DT205" s="533"/>
      <c r="DU205" s="533"/>
      <c r="DV205" s="533"/>
      <c r="DW205" s="533"/>
      <c r="DX205" s="533"/>
      <c r="DY205" s="533"/>
      <c r="DZ205" s="533"/>
      <c r="EA205" s="533"/>
      <c r="EB205" s="533"/>
      <c r="EC205" s="533"/>
      <c r="ED205" s="533"/>
      <c r="EE205" s="533"/>
      <c r="EF205" s="533"/>
      <c r="EG205" s="533"/>
      <c r="EH205" s="533"/>
      <c r="EI205" s="533"/>
      <c r="EJ205" s="533"/>
      <c r="EK205" s="533"/>
      <c r="EL205" s="533"/>
      <c r="EM205" s="533"/>
      <c r="EN205" s="533"/>
      <c r="EO205" s="533"/>
      <c r="EP205" s="533"/>
      <c r="EQ205" s="533"/>
      <c r="ER205" s="533"/>
      <c r="ES205" s="533"/>
      <c r="ET205" s="533"/>
      <c r="EU205" s="533"/>
      <c r="EV205" s="533"/>
      <c r="EW205" s="533"/>
      <c r="EX205" s="533"/>
      <c r="EY205" s="533"/>
      <c r="EZ205" s="533"/>
      <c r="FA205" s="533"/>
      <c r="FB205" s="533"/>
      <c r="FC205" s="533"/>
      <c r="FD205" s="533"/>
      <c r="FE205" s="533"/>
      <c r="FF205" s="533"/>
      <c r="FG205" s="533"/>
      <c r="FH205" s="533"/>
      <c r="FI205" s="533"/>
      <c r="FJ205" s="533"/>
      <c r="FK205" s="533"/>
      <c r="FL205" s="533"/>
      <c r="FM205" s="533"/>
      <c r="FN205" s="533"/>
      <c r="FO205" s="533"/>
      <c r="FP205" s="533"/>
      <c r="FQ205" s="533"/>
      <c r="FR205" s="533"/>
      <c r="FS205" s="533"/>
      <c r="FT205" s="533"/>
      <c r="FU205" s="533"/>
      <c r="FV205" s="533"/>
      <c r="FW205" s="533"/>
      <c r="FX205" s="533"/>
      <c r="FY205" s="533"/>
      <c r="FZ205" s="533"/>
      <c r="GA205" s="533"/>
      <c r="GB205" s="533"/>
      <c r="GC205" s="533"/>
      <c r="GD205" s="533"/>
      <c r="GE205" s="533"/>
      <c r="GF205" s="533"/>
      <c r="GG205" s="533"/>
      <c r="GH205" s="533"/>
      <c r="GI205" s="533"/>
      <c r="GJ205" s="533"/>
      <c r="GK205" s="533"/>
      <c r="GL205" s="533"/>
      <c r="GM205" s="533"/>
      <c r="GN205" s="533"/>
      <c r="GO205" s="533"/>
      <c r="GP205" s="533"/>
      <c r="GQ205" s="533"/>
      <c r="GR205" s="533"/>
      <c r="GS205" s="533"/>
      <c r="GT205" s="533"/>
      <c r="GU205" s="533"/>
      <c r="GV205" s="533"/>
      <c r="GW205" s="533"/>
      <c r="GX205" s="533"/>
      <c r="GY205" s="533"/>
      <c r="GZ205" s="533"/>
      <c r="HA205" s="533"/>
      <c r="HB205" s="534"/>
    </row>
    <row r="206" spans="1:242" ht="19.8">
      <c r="A206" s="164"/>
      <c r="B206" s="306" t="s">
        <v>1488</v>
      </c>
      <c r="C206" s="503"/>
      <c r="D206" s="503"/>
      <c r="E206" s="503"/>
      <c r="F206" s="503"/>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26"/>
      <c r="AI206" s="326"/>
      <c r="AJ206" s="326"/>
      <c r="AK206" s="326"/>
      <c r="AL206" s="326"/>
      <c r="AM206" s="326"/>
      <c r="AN206" s="326"/>
      <c r="AO206" s="531"/>
      <c r="AP206" s="531"/>
      <c r="AQ206" s="532"/>
      <c r="AR206" s="532"/>
      <c r="AS206" s="532"/>
      <c r="AT206" s="532"/>
      <c r="AU206" s="532"/>
      <c r="AV206" s="532"/>
      <c r="AW206" s="326"/>
      <c r="AX206" s="326"/>
      <c r="AY206" s="326"/>
      <c r="AZ206" s="326"/>
      <c r="BA206" s="326"/>
      <c r="BB206" s="326"/>
      <c r="BC206" s="326"/>
      <c r="BD206" s="326"/>
      <c r="BE206" s="326"/>
      <c r="BF206" s="326"/>
      <c r="BG206" s="326"/>
      <c r="BH206" s="326"/>
      <c r="BI206" s="326"/>
      <c r="BJ206" s="326"/>
      <c r="BK206" s="326"/>
      <c r="BL206" s="326"/>
      <c r="BM206" s="326"/>
      <c r="BN206" s="326"/>
      <c r="BO206" s="326"/>
      <c r="BP206" s="326"/>
      <c r="BQ206" s="532"/>
      <c r="BR206" s="532"/>
      <c r="BS206" s="532"/>
      <c r="BT206" s="532"/>
      <c r="BU206" s="532"/>
      <c r="BV206" s="532"/>
      <c r="BW206" s="533"/>
      <c r="BX206" s="533"/>
      <c r="BY206" s="533"/>
      <c r="BZ206" s="533"/>
      <c r="CA206" s="533"/>
      <c r="CB206" s="533"/>
      <c r="CC206" s="533"/>
      <c r="CD206" s="533"/>
      <c r="CE206" s="533"/>
      <c r="CF206" s="533"/>
      <c r="CG206" s="533"/>
      <c r="CH206" s="533"/>
      <c r="CI206" s="533"/>
      <c r="CJ206" s="533"/>
      <c r="CK206" s="533"/>
      <c r="CL206" s="533"/>
      <c r="CM206" s="533"/>
      <c r="CN206" s="533"/>
      <c r="CO206" s="533"/>
      <c r="CP206" s="533"/>
      <c r="CQ206" s="533"/>
      <c r="CR206" s="533"/>
      <c r="CS206" s="533"/>
      <c r="CT206" s="533"/>
      <c r="CU206" s="533"/>
      <c r="CV206" s="533"/>
      <c r="CW206" s="533"/>
      <c r="CX206" s="533"/>
      <c r="CY206" s="533"/>
      <c r="CZ206" s="533"/>
      <c r="DA206" s="533"/>
      <c r="DB206" s="533"/>
      <c r="DC206" s="533"/>
      <c r="DD206" s="533"/>
      <c r="DE206" s="533"/>
      <c r="DF206" s="533"/>
      <c r="DG206" s="533"/>
      <c r="DH206" s="533"/>
      <c r="DI206" s="533"/>
      <c r="DJ206" s="533"/>
      <c r="DK206" s="533"/>
      <c r="DL206" s="533"/>
      <c r="DM206" s="533"/>
      <c r="DN206" s="533"/>
      <c r="DO206" s="533"/>
      <c r="DP206" s="533"/>
      <c r="DQ206" s="533"/>
      <c r="DR206" s="533"/>
      <c r="DS206" s="533"/>
      <c r="DT206" s="533"/>
      <c r="DU206" s="533"/>
      <c r="DV206" s="533"/>
      <c r="DW206" s="533"/>
      <c r="DX206" s="533"/>
      <c r="DY206" s="533"/>
      <c r="DZ206" s="533"/>
      <c r="EA206" s="533"/>
      <c r="EB206" s="533"/>
      <c r="EC206" s="533"/>
      <c r="ED206" s="533"/>
      <c r="EE206" s="533"/>
      <c r="EF206" s="533"/>
      <c r="EG206" s="533"/>
      <c r="EH206" s="533"/>
      <c r="EI206" s="533"/>
      <c r="EJ206" s="533"/>
      <c r="EK206" s="533"/>
      <c r="EL206" s="533"/>
      <c r="EM206" s="533"/>
      <c r="EN206" s="533"/>
      <c r="EO206" s="533"/>
      <c r="EP206" s="533"/>
      <c r="EQ206" s="533"/>
      <c r="ER206" s="533"/>
      <c r="ES206" s="533"/>
      <c r="ET206" s="533"/>
      <c r="EU206" s="533"/>
      <c r="EV206" s="533"/>
      <c r="EW206" s="533"/>
      <c r="EX206" s="533"/>
      <c r="EY206" s="533"/>
      <c r="EZ206" s="533"/>
      <c r="FA206" s="533"/>
      <c r="FB206" s="533"/>
      <c r="FC206" s="533"/>
      <c r="FD206" s="533"/>
      <c r="FE206" s="533"/>
      <c r="FF206" s="533"/>
      <c r="FG206" s="533"/>
      <c r="FH206" s="533"/>
      <c r="FI206" s="533"/>
      <c r="FJ206" s="533"/>
      <c r="FK206" s="533"/>
      <c r="FL206" s="533"/>
      <c r="FM206" s="533"/>
      <c r="FN206" s="533"/>
      <c r="FO206" s="533"/>
      <c r="FP206" s="533"/>
      <c r="FQ206" s="533"/>
      <c r="FR206" s="533"/>
      <c r="FS206" s="533"/>
      <c r="FT206" s="533"/>
      <c r="FU206" s="533"/>
      <c r="FV206" s="533"/>
      <c r="FW206" s="533"/>
      <c r="FX206" s="533"/>
      <c r="FY206" s="533"/>
      <c r="FZ206" s="533"/>
      <c r="GA206" s="533"/>
      <c r="GB206" s="533"/>
      <c r="GC206" s="533"/>
      <c r="GD206" s="533"/>
      <c r="GE206" s="533"/>
      <c r="GF206" s="533"/>
      <c r="GG206" s="533"/>
      <c r="GH206" s="533"/>
      <c r="GI206" s="533"/>
      <c r="GJ206" s="533"/>
      <c r="GK206" s="533"/>
      <c r="GL206" s="533"/>
      <c r="GM206" s="533"/>
      <c r="GN206" s="533"/>
      <c r="GO206" s="533"/>
      <c r="GP206" s="533"/>
      <c r="GQ206" s="533"/>
      <c r="GR206" s="533"/>
      <c r="GS206" s="533"/>
      <c r="GT206" s="533"/>
      <c r="GU206" s="533"/>
      <c r="GV206" s="533"/>
      <c r="GW206" s="533"/>
      <c r="GX206" s="533"/>
      <c r="GY206" s="533"/>
      <c r="GZ206" s="533"/>
      <c r="HA206" s="533"/>
      <c r="HB206" s="534"/>
    </row>
    <row r="207" spans="1:242" s="164" customFormat="1" ht="20.100000000000001" customHeight="1" thickBot="1">
      <c r="B207" s="364" t="s">
        <v>1489</v>
      </c>
      <c r="C207" s="535"/>
      <c r="D207" s="535"/>
      <c r="E207" s="535"/>
      <c r="F207" s="535"/>
      <c r="G207" s="536"/>
      <c r="H207" s="536"/>
      <c r="I207" s="536"/>
      <c r="J207" s="536"/>
      <c r="K207" s="536"/>
      <c r="L207" s="536"/>
      <c r="M207" s="536"/>
      <c r="N207" s="536"/>
      <c r="O207" s="536"/>
      <c r="P207" s="536"/>
      <c r="Q207" s="536"/>
      <c r="R207" s="536"/>
      <c r="S207" s="536"/>
      <c r="T207" s="536"/>
      <c r="U207" s="536"/>
      <c r="V207" s="536"/>
      <c r="W207" s="536"/>
      <c r="X207" s="536"/>
      <c r="Y207" s="536"/>
      <c r="Z207" s="536"/>
      <c r="AA207" s="536"/>
      <c r="AB207" s="536"/>
      <c r="AC207" s="536"/>
      <c r="AD207" s="536"/>
      <c r="AE207" s="536"/>
      <c r="AF207" s="536"/>
      <c r="AG207" s="536"/>
      <c r="AH207" s="536"/>
      <c r="AI207" s="536"/>
      <c r="AJ207" s="536"/>
      <c r="AK207" s="536"/>
      <c r="AL207" s="536"/>
      <c r="AM207" s="536"/>
      <c r="AN207" s="536"/>
      <c r="AO207" s="537"/>
      <c r="AP207" s="537"/>
      <c r="AQ207" s="538"/>
      <c r="AR207" s="538"/>
      <c r="AS207" s="538"/>
      <c r="AT207" s="538"/>
      <c r="AU207" s="538"/>
      <c r="AV207" s="538"/>
      <c r="AW207" s="536"/>
      <c r="AX207" s="536"/>
      <c r="AY207" s="536"/>
      <c r="AZ207" s="536"/>
      <c r="BA207" s="536"/>
      <c r="BB207" s="536"/>
      <c r="BC207" s="536"/>
      <c r="BD207" s="536"/>
      <c r="BE207" s="536"/>
      <c r="BF207" s="536"/>
      <c r="BG207" s="536"/>
      <c r="BH207" s="536"/>
      <c r="BI207" s="536"/>
      <c r="BJ207" s="536"/>
      <c r="BK207" s="536"/>
      <c r="BL207" s="536"/>
      <c r="BM207" s="536"/>
      <c r="BN207" s="536"/>
      <c r="BO207" s="536"/>
      <c r="BP207" s="536"/>
      <c r="BQ207" s="538"/>
      <c r="BR207" s="538"/>
      <c r="BS207" s="538"/>
      <c r="BT207" s="538"/>
      <c r="BU207" s="538"/>
      <c r="BV207" s="538"/>
      <c r="BW207" s="539"/>
      <c r="BX207" s="539"/>
      <c r="BY207" s="539"/>
      <c r="BZ207" s="539"/>
      <c r="CA207" s="539"/>
      <c r="CB207" s="539"/>
      <c r="CC207" s="539"/>
      <c r="CD207" s="539"/>
      <c r="CE207" s="539"/>
      <c r="CF207" s="539"/>
      <c r="CG207" s="539"/>
      <c r="CH207" s="539"/>
      <c r="CI207" s="539"/>
      <c r="CJ207" s="539"/>
      <c r="CK207" s="539"/>
      <c r="CL207" s="539"/>
      <c r="CM207" s="539"/>
      <c r="CN207" s="539"/>
      <c r="CO207" s="539"/>
      <c r="CP207" s="539"/>
      <c r="CQ207" s="539"/>
      <c r="CR207" s="539"/>
      <c r="CS207" s="539"/>
      <c r="CT207" s="539"/>
      <c r="CU207" s="539"/>
      <c r="CV207" s="539"/>
      <c r="CW207" s="539"/>
      <c r="CX207" s="539"/>
      <c r="CY207" s="539"/>
      <c r="CZ207" s="539"/>
      <c r="DA207" s="539"/>
      <c r="DB207" s="539"/>
      <c r="DC207" s="539"/>
      <c r="DD207" s="539"/>
      <c r="DE207" s="539"/>
      <c r="DF207" s="539"/>
      <c r="DG207" s="539"/>
      <c r="DH207" s="539"/>
      <c r="DI207" s="539"/>
      <c r="DJ207" s="539"/>
      <c r="DK207" s="539"/>
      <c r="DL207" s="539"/>
      <c r="DM207" s="539"/>
      <c r="DN207" s="539"/>
      <c r="DO207" s="539"/>
      <c r="DP207" s="539"/>
      <c r="DQ207" s="539"/>
      <c r="DR207" s="539"/>
      <c r="DS207" s="539"/>
      <c r="DT207" s="539"/>
      <c r="DU207" s="539"/>
      <c r="DV207" s="539"/>
      <c r="DW207" s="539"/>
      <c r="DX207" s="539"/>
      <c r="DY207" s="539"/>
      <c r="DZ207" s="539"/>
      <c r="EA207" s="539"/>
      <c r="EB207" s="539"/>
      <c r="EC207" s="539"/>
      <c r="ED207" s="539"/>
      <c r="EE207" s="539"/>
      <c r="EF207" s="539"/>
      <c r="EG207" s="539"/>
      <c r="EH207" s="539"/>
      <c r="EI207" s="539"/>
      <c r="EJ207" s="539"/>
      <c r="EK207" s="539"/>
      <c r="EL207" s="539"/>
      <c r="EM207" s="539"/>
      <c r="EN207" s="539"/>
      <c r="EO207" s="539"/>
      <c r="EP207" s="539"/>
      <c r="EQ207" s="539"/>
      <c r="ER207" s="539"/>
      <c r="ES207" s="539"/>
      <c r="ET207" s="539"/>
      <c r="EU207" s="539"/>
      <c r="EV207" s="539"/>
      <c r="EW207" s="539"/>
      <c r="EX207" s="539"/>
      <c r="EY207" s="539"/>
      <c r="EZ207" s="539"/>
      <c r="FA207" s="539"/>
      <c r="FB207" s="539"/>
      <c r="FC207" s="539"/>
      <c r="FD207" s="539"/>
      <c r="FE207" s="539"/>
      <c r="FF207" s="539"/>
      <c r="FG207" s="539"/>
      <c r="FH207" s="539"/>
      <c r="FI207" s="539"/>
      <c r="FJ207" s="539"/>
      <c r="FK207" s="539"/>
      <c r="FL207" s="539"/>
      <c r="FM207" s="539"/>
      <c r="FN207" s="539"/>
      <c r="FO207" s="539"/>
      <c r="FP207" s="539"/>
      <c r="FQ207" s="539"/>
      <c r="FR207" s="539"/>
      <c r="FS207" s="539"/>
      <c r="FT207" s="539"/>
      <c r="FU207" s="539"/>
      <c r="FV207" s="539"/>
      <c r="FW207" s="539"/>
      <c r="FX207" s="539"/>
      <c r="FY207" s="539"/>
      <c r="FZ207" s="539"/>
      <c r="GA207" s="539"/>
      <c r="GB207" s="539"/>
      <c r="GC207" s="539"/>
      <c r="GD207" s="539"/>
      <c r="GE207" s="539"/>
      <c r="GF207" s="539"/>
      <c r="GG207" s="539"/>
      <c r="GH207" s="539"/>
      <c r="GI207" s="539"/>
      <c r="GJ207" s="539"/>
      <c r="GK207" s="539"/>
      <c r="GL207" s="539"/>
      <c r="GM207" s="539"/>
      <c r="GN207" s="539"/>
      <c r="GO207" s="539"/>
      <c r="GP207" s="539"/>
      <c r="GQ207" s="539"/>
      <c r="GR207" s="539"/>
      <c r="GS207" s="539"/>
      <c r="GT207" s="539"/>
      <c r="GU207" s="539"/>
      <c r="GV207" s="539"/>
      <c r="GW207" s="539"/>
      <c r="GX207" s="539"/>
      <c r="GY207" s="539"/>
      <c r="GZ207" s="539"/>
      <c r="HA207" s="539"/>
      <c r="HB207" s="540"/>
      <c r="HC207" s="156"/>
      <c r="HD207" s="156"/>
      <c r="HE207" s="156"/>
      <c r="HF207" s="156"/>
      <c r="HG207" s="156"/>
      <c r="HH207" s="156"/>
      <c r="HI207" s="156"/>
      <c r="HJ207" s="156"/>
      <c r="HK207" s="156"/>
      <c r="IE207" s="579"/>
      <c r="IF207" s="579"/>
      <c r="IG207" s="579"/>
      <c r="IH207" s="579"/>
    </row>
    <row r="208" spans="1:242" s="164" customFormat="1" ht="20.100000000000001" customHeight="1">
      <c r="B208" s="541" t="s">
        <v>1490</v>
      </c>
      <c r="C208" s="318" t="s">
        <v>628</v>
      </c>
      <c r="D208" s="318" t="s">
        <v>464</v>
      </c>
      <c r="E208" s="318" t="s">
        <v>1391</v>
      </c>
      <c r="F208" s="332" t="s">
        <v>1392</v>
      </c>
      <c r="G208" s="542" t="s">
        <v>465</v>
      </c>
      <c r="H208" s="543" t="s">
        <v>629</v>
      </c>
      <c r="I208" s="544" t="s">
        <v>641</v>
      </c>
      <c r="J208" s="545" t="s">
        <v>642</v>
      </c>
      <c r="K208" s="546" t="s">
        <v>1491</v>
      </c>
      <c r="L208" s="547" t="s">
        <v>1492</v>
      </c>
      <c r="M208" s="548" t="s">
        <v>1493</v>
      </c>
      <c r="N208" s="546" t="s">
        <v>1494</v>
      </c>
      <c r="O208" s="547" t="s">
        <v>1495</v>
      </c>
      <c r="P208" s="318" t="s">
        <v>1496</v>
      </c>
      <c r="Q208" s="547" t="s">
        <v>1497</v>
      </c>
      <c r="R208" s="318" t="s">
        <v>1498</v>
      </c>
      <c r="S208" s="318" t="s">
        <v>1499</v>
      </c>
      <c r="T208" s="318" t="s">
        <v>1492</v>
      </c>
      <c r="U208" s="494" t="s">
        <v>1493</v>
      </c>
      <c r="V208" s="200"/>
      <c r="W208" s="200"/>
      <c r="X208" s="251"/>
      <c r="Y208" s="251"/>
      <c r="Z208" s="251"/>
      <c r="AA208" s="251"/>
      <c r="AB208" s="251"/>
      <c r="AC208" s="251"/>
      <c r="AD208" s="251"/>
      <c r="AE208" s="251"/>
      <c r="AF208" s="251"/>
      <c r="AG208" s="251"/>
      <c r="AH208" s="251"/>
      <c r="AI208" s="251"/>
      <c r="AJ208" s="251"/>
      <c r="AK208" s="251"/>
      <c r="AL208" s="251"/>
      <c r="AM208" s="251"/>
      <c r="AN208" s="251"/>
      <c r="AO208" s="495"/>
      <c r="AP208" s="495"/>
      <c r="AQ208" s="249"/>
      <c r="AR208" s="249"/>
      <c r="AS208" s="249"/>
      <c r="AT208" s="249"/>
      <c r="AU208" s="249"/>
      <c r="AV208" s="249"/>
      <c r="AW208" s="251"/>
      <c r="AX208" s="251"/>
      <c r="AY208" s="251"/>
      <c r="AZ208" s="251"/>
      <c r="BA208" s="251"/>
      <c r="BB208" s="251"/>
      <c r="BC208" s="251"/>
      <c r="BD208" s="251"/>
      <c r="BE208" s="251"/>
      <c r="BF208" s="251"/>
      <c r="BG208" s="251"/>
      <c r="BH208" s="251"/>
      <c r="BI208" s="251"/>
      <c r="BJ208" s="251"/>
      <c r="BK208" s="251"/>
      <c r="BL208" s="251"/>
      <c r="BM208" s="251"/>
      <c r="BN208" s="251"/>
      <c r="BO208" s="251"/>
      <c r="BP208" s="251"/>
      <c r="BQ208" s="249"/>
      <c r="BR208" s="249"/>
      <c r="BS208" s="249"/>
      <c r="BT208" s="249"/>
      <c r="BU208" s="249"/>
      <c r="BV208" s="249"/>
      <c r="BW208" s="496"/>
      <c r="BX208" s="496"/>
      <c r="BY208" s="496"/>
      <c r="BZ208" s="496"/>
      <c r="CA208" s="496"/>
      <c r="CB208" s="496"/>
      <c r="CC208" s="496"/>
      <c r="CD208" s="496"/>
      <c r="CE208" s="496"/>
      <c r="CF208" s="496"/>
      <c r="CG208" s="496"/>
      <c r="CH208" s="496"/>
      <c r="CI208" s="496"/>
      <c r="CJ208" s="496"/>
      <c r="CK208" s="496"/>
      <c r="CL208" s="496"/>
      <c r="CM208" s="496"/>
      <c r="CN208" s="496"/>
      <c r="CO208" s="496"/>
      <c r="CP208" s="496"/>
      <c r="CQ208" s="496"/>
      <c r="CR208" s="496"/>
      <c r="CS208" s="496"/>
      <c r="CT208" s="496"/>
      <c r="CU208" s="496"/>
      <c r="CV208" s="496"/>
      <c r="CW208" s="496"/>
      <c r="CX208" s="496"/>
      <c r="CY208" s="496"/>
      <c r="CZ208" s="496"/>
      <c r="DA208" s="496"/>
      <c r="DB208" s="496"/>
      <c r="DC208" s="496"/>
      <c r="DD208" s="496"/>
      <c r="DE208" s="496"/>
      <c r="DF208" s="496"/>
      <c r="DG208" s="496"/>
      <c r="DH208" s="496"/>
      <c r="DI208" s="496"/>
      <c r="DJ208" s="496"/>
      <c r="DK208" s="496"/>
      <c r="DL208" s="496"/>
      <c r="DM208" s="496"/>
      <c r="DN208" s="496"/>
      <c r="DO208" s="496"/>
      <c r="DP208" s="496"/>
      <c r="DQ208" s="496"/>
      <c r="DR208" s="496"/>
      <c r="DS208" s="496"/>
      <c r="DT208" s="496"/>
      <c r="DU208" s="496"/>
      <c r="DV208" s="496"/>
      <c r="DW208" s="496"/>
      <c r="DX208" s="496"/>
      <c r="DY208" s="496"/>
      <c r="DZ208" s="496"/>
      <c r="EA208" s="496"/>
      <c r="EB208" s="496"/>
      <c r="EC208" s="496"/>
      <c r="ED208" s="496"/>
      <c r="EE208" s="496"/>
      <c r="EF208" s="496"/>
      <c r="EG208" s="496"/>
      <c r="EH208" s="496"/>
      <c r="EI208" s="496"/>
      <c r="EJ208" s="496"/>
      <c r="EK208" s="496"/>
      <c r="EL208" s="496"/>
      <c r="EM208" s="496"/>
      <c r="EN208" s="496"/>
      <c r="EO208" s="496"/>
      <c r="EP208" s="496"/>
      <c r="EQ208" s="496"/>
      <c r="ER208" s="496"/>
      <c r="ES208" s="496"/>
      <c r="ET208" s="496"/>
      <c r="EU208" s="496"/>
      <c r="EV208" s="496"/>
      <c r="EW208" s="496"/>
      <c r="EX208" s="496"/>
      <c r="EY208" s="496"/>
      <c r="EZ208" s="496"/>
      <c r="FA208" s="496"/>
      <c r="FB208" s="496"/>
      <c r="FC208" s="496"/>
      <c r="FD208" s="496"/>
      <c r="FE208" s="496"/>
      <c r="FF208" s="496"/>
      <c r="FG208" s="496"/>
      <c r="FH208" s="496"/>
      <c r="FI208" s="496"/>
      <c r="FJ208" s="496"/>
      <c r="FK208" s="496"/>
      <c r="FL208" s="496"/>
      <c r="FM208" s="496"/>
      <c r="FN208" s="496"/>
      <c r="FO208" s="496"/>
      <c r="FP208" s="496"/>
      <c r="FQ208" s="496"/>
      <c r="FR208" s="496"/>
      <c r="FS208" s="496"/>
      <c r="FT208" s="496"/>
      <c r="FU208" s="496"/>
      <c r="FV208" s="496"/>
      <c r="FW208" s="496"/>
      <c r="FX208" s="496"/>
      <c r="FY208" s="496"/>
      <c r="FZ208" s="496"/>
      <c r="GA208" s="496"/>
      <c r="GB208" s="496"/>
      <c r="GC208" s="496"/>
      <c r="GD208" s="496"/>
      <c r="GE208" s="496"/>
      <c r="GF208" s="496"/>
      <c r="GG208" s="496"/>
      <c r="GH208" s="496"/>
      <c r="GI208" s="496"/>
      <c r="GJ208" s="496"/>
      <c r="GK208" s="496"/>
      <c r="GL208" s="496"/>
      <c r="GM208" s="496"/>
      <c r="GN208" s="496"/>
      <c r="GO208" s="496"/>
      <c r="GP208" s="496"/>
      <c r="GQ208" s="496"/>
      <c r="GR208" s="496"/>
      <c r="GS208" s="496"/>
      <c r="GT208" s="496"/>
      <c r="GU208" s="496"/>
      <c r="GV208" s="496"/>
      <c r="GW208" s="496"/>
      <c r="GX208" s="496"/>
      <c r="GY208" s="496"/>
      <c r="GZ208" s="496"/>
      <c r="HA208" s="496"/>
      <c r="HB208" s="496"/>
      <c r="IE208" s="579"/>
      <c r="IF208" s="579"/>
      <c r="IG208" s="579"/>
      <c r="IH208" s="579"/>
    </row>
    <row r="209" spans="1:242" s="164" customFormat="1" ht="20.100000000000001" customHeight="1">
      <c r="B209" s="410" t="s">
        <v>1500</v>
      </c>
      <c r="C209" s="411"/>
      <c r="D209" s="411"/>
      <c r="E209" s="411"/>
      <c r="F209" s="411"/>
      <c r="G209" s="412"/>
      <c r="H209" s="549"/>
      <c r="I209" s="412"/>
      <c r="J209" s="413"/>
      <c r="K209" s="550" t="s">
        <v>1501</v>
      </c>
      <c r="L209" s="551"/>
      <c r="M209" s="552"/>
      <c r="N209" s="306" t="s">
        <v>376</v>
      </c>
      <c r="O209" s="551"/>
      <c r="P209" s="311"/>
      <c r="Q209" s="551"/>
      <c r="R209" s="311"/>
      <c r="S209" s="311"/>
      <c r="T209" s="311"/>
      <c r="U209" s="315"/>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c r="BZ209" s="200"/>
      <c r="CA209" s="200"/>
      <c r="CB209" s="200"/>
      <c r="CC209" s="200"/>
      <c r="CD209" s="200"/>
      <c r="CE209" s="200"/>
      <c r="CF209" s="200"/>
      <c r="CG209" s="200"/>
      <c r="CH209" s="200"/>
      <c r="CI209" s="200"/>
      <c r="CJ209" s="200"/>
      <c r="CK209" s="200"/>
      <c r="CL209" s="200"/>
      <c r="CM209" s="200"/>
      <c r="CN209" s="200"/>
      <c r="CO209" s="200"/>
      <c r="CP209" s="200"/>
      <c r="CQ209" s="200"/>
      <c r="CR209" s="200"/>
      <c r="CS209" s="200"/>
      <c r="CT209" s="200"/>
      <c r="CU209" s="200"/>
      <c r="CV209" s="200"/>
      <c r="CW209" s="200"/>
      <c r="CX209" s="200"/>
      <c r="CY209" s="200"/>
      <c r="CZ209" s="200"/>
      <c r="DA209" s="200"/>
      <c r="DB209" s="200"/>
      <c r="DC209" s="200"/>
      <c r="DD209" s="200"/>
      <c r="DE209" s="200"/>
      <c r="DF209" s="200"/>
      <c r="DG209" s="200"/>
      <c r="DH209" s="200"/>
      <c r="DI209" s="200"/>
      <c r="DJ209" s="200"/>
      <c r="DK209" s="200"/>
      <c r="DL209" s="200"/>
      <c r="DM209" s="200"/>
      <c r="DN209" s="200"/>
      <c r="DO209" s="200"/>
      <c r="DP209" s="200"/>
      <c r="DQ209" s="200"/>
      <c r="DR209" s="200"/>
      <c r="DS209" s="200"/>
      <c r="DT209" s="200"/>
      <c r="DU209" s="200"/>
      <c r="DV209" s="200"/>
      <c r="DW209" s="200"/>
      <c r="DX209" s="200"/>
      <c r="DY209" s="200"/>
      <c r="DZ209" s="200"/>
      <c r="EA209" s="200"/>
      <c r="EB209" s="200"/>
      <c r="EC209" s="200"/>
      <c r="ED209" s="200"/>
      <c r="EE209" s="200"/>
      <c r="EF209" s="200"/>
      <c r="EG209" s="200"/>
      <c r="EH209" s="200"/>
      <c r="EI209" s="200"/>
      <c r="EJ209" s="200"/>
      <c r="EK209" s="200"/>
      <c r="EL209" s="200"/>
      <c r="EM209" s="200"/>
      <c r="EN209" s="200"/>
      <c r="EO209" s="200"/>
      <c r="EP209" s="200"/>
      <c r="EQ209" s="200"/>
      <c r="ER209" s="200"/>
      <c r="ES209" s="200"/>
      <c r="ET209" s="200"/>
      <c r="EU209" s="200"/>
      <c r="EV209" s="200"/>
      <c r="EW209" s="200"/>
      <c r="EX209" s="200"/>
      <c r="EY209" s="200"/>
      <c r="EZ209" s="200"/>
      <c r="FA209" s="200"/>
      <c r="FB209" s="200"/>
      <c r="FC209" s="200"/>
      <c r="FD209" s="200"/>
      <c r="FE209" s="200"/>
      <c r="FF209" s="200"/>
      <c r="FG209" s="200"/>
      <c r="FH209" s="200"/>
      <c r="FI209" s="200"/>
      <c r="FJ209" s="200"/>
      <c r="FK209" s="200"/>
      <c r="FL209" s="200"/>
      <c r="FM209" s="200"/>
      <c r="FN209" s="200"/>
      <c r="FO209" s="200"/>
      <c r="FP209" s="200"/>
      <c r="FQ209" s="200"/>
      <c r="FR209" s="200"/>
      <c r="FS209" s="200"/>
      <c r="FT209" s="200"/>
      <c r="FU209" s="200"/>
      <c r="FV209" s="200"/>
      <c r="FW209" s="200"/>
      <c r="FX209" s="200"/>
      <c r="FY209" s="200"/>
      <c r="FZ209" s="200"/>
      <c r="GA209" s="200"/>
      <c r="GB209" s="200"/>
      <c r="GC209" s="200"/>
      <c r="GD209" s="200"/>
      <c r="GE209" s="200"/>
      <c r="GF209" s="200"/>
      <c r="GG209" s="200"/>
      <c r="GH209" s="200"/>
      <c r="GI209" s="200"/>
      <c r="GJ209" s="200"/>
      <c r="GK209" s="200"/>
      <c r="GL209" s="200"/>
      <c r="GM209" s="200"/>
      <c r="GN209" s="200"/>
      <c r="GO209" s="200"/>
      <c r="GP209" s="200"/>
      <c r="GQ209" s="200"/>
      <c r="GR209" s="200"/>
      <c r="GS209" s="200"/>
      <c r="GT209" s="200"/>
      <c r="GU209" s="200"/>
      <c r="GV209" s="200"/>
      <c r="GW209" s="200"/>
      <c r="GX209" s="200"/>
      <c r="GY209" s="200"/>
      <c r="GZ209" s="200"/>
      <c r="HA209" s="200"/>
      <c r="HB209" s="200"/>
      <c r="IE209" s="579"/>
      <c r="IF209" s="579"/>
      <c r="IG209" s="579"/>
      <c r="IH209" s="579"/>
    </row>
    <row r="210" spans="1:242" s="164" customFormat="1" ht="20.100000000000001" customHeight="1">
      <c r="B210" s="421" t="s">
        <v>1502</v>
      </c>
      <c r="C210" s="422"/>
      <c r="D210" s="422"/>
      <c r="E210" s="422"/>
      <c r="F210" s="422"/>
      <c r="G210" s="423"/>
      <c r="H210" s="553"/>
      <c r="I210" s="423"/>
      <c r="J210" s="424"/>
      <c r="K210" s="554" t="s">
        <v>1503</v>
      </c>
      <c r="L210" s="551"/>
      <c r="M210" s="552"/>
      <c r="N210" s="550" t="s">
        <v>395</v>
      </c>
      <c r="O210" s="551"/>
      <c r="P210" s="311"/>
      <c r="Q210" s="551"/>
      <c r="R210" s="311"/>
      <c r="S210" s="311"/>
      <c r="T210" s="311"/>
      <c r="U210" s="315"/>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c r="BZ210" s="200"/>
      <c r="CA210" s="200"/>
      <c r="CB210" s="200"/>
      <c r="CC210" s="200"/>
      <c r="CD210" s="200"/>
      <c r="CE210" s="200"/>
      <c r="CF210" s="200"/>
      <c r="CG210" s="200"/>
      <c r="CH210" s="200"/>
      <c r="CI210" s="200"/>
      <c r="CJ210" s="200"/>
      <c r="CK210" s="200"/>
      <c r="CL210" s="200"/>
      <c r="CM210" s="200"/>
      <c r="CN210" s="200"/>
      <c r="CO210" s="200"/>
      <c r="CP210" s="200"/>
      <c r="CQ210" s="200"/>
      <c r="CR210" s="200"/>
      <c r="CS210" s="200"/>
      <c r="CT210" s="200"/>
      <c r="CU210" s="200"/>
      <c r="CV210" s="200"/>
      <c r="CW210" s="200"/>
      <c r="CX210" s="200"/>
      <c r="CY210" s="200"/>
      <c r="CZ210" s="200"/>
      <c r="DA210" s="200"/>
      <c r="DB210" s="200"/>
      <c r="DC210" s="200"/>
      <c r="DD210" s="200"/>
      <c r="DE210" s="200"/>
      <c r="DF210" s="200"/>
      <c r="DG210" s="200"/>
      <c r="DH210" s="200"/>
      <c r="DI210" s="200"/>
      <c r="DJ210" s="200"/>
      <c r="DK210" s="200"/>
      <c r="DL210" s="200"/>
      <c r="DM210" s="200"/>
      <c r="DN210" s="200"/>
      <c r="DO210" s="200"/>
      <c r="DP210" s="200"/>
      <c r="DQ210" s="200"/>
      <c r="DR210" s="200"/>
      <c r="DS210" s="200"/>
      <c r="DT210" s="200"/>
      <c r="DU210" s="200"/>
      <c r="DV210" s="200"/>
      <c r="DW210" s="200"/>
      <c r="DX210" s="200"/>
      <c r="DY210" s="200"/>
      <c r="DZ210" s="200"/>
      <c r="EA210" s="200"/>
      <c r="EB210" s="200"/>
      <c r="EC210" s="200"/>
      <c r="ED210" s="200"/>
      <c r="EE210" s="200"/>
      <c r="EF210" s="200"/>
      <c r="EG210" s="200"/>
      <c r="EH210" s="200"/>
      <c r="EI210" s="200"/>
      <c r="EJ210" s="200"/>
      <c r="EK210" s="200"/>
      <c r="EL210" s="200"/>
      <c r="EM210" s="200"/>
      <c r="EN210" s="200"/>
      <c r="EO210" s="200"/>
      <c r="EP210" s="200"/>
      <c r="EQ210" s="200"/>
      <c r="ER210" s="200"/>
      <c r="ES210" s="200"/>
      <c r="ET210" s="200"/>
      <c r="EU210" s="200"/>
      <c r="EV210" s="200"/>
      <c r="EW210" s="200"/>
      <c r="EX210" s="200"/>
      <c r="EY210" s="200"/>
      <c r="EZ210" s="200"/>
      <c r="FA210" s="200"/>
      <c r="FB210" s="200"/>
      <c r="FC210" s="200"/>
      <c r="FD210" s="200"/>
      <c r="FE210" s="200"/>
      <c r="FF210" s="200"/>
      <c r="FG210" s="200"/>
      <c r="FH210" s="200"/>
      <c r="FI210" s="200"/>
      <c r="FJ210" s="200"/>
      <c r="FK210" s="200"/>
      <c r="FL210" s="200"/>
      <c r="FM210" s="200"/>
      <c r="FN210" s="200"/>
      <c r="FO210" s="200"/>
      <c r="FP210" s="200"/>
      <c r="FQ210" s="200"/>
      <c r="FR210" s="200"/>
      <c r="FS210" s="200"/>
      <c r="FT210" s="200"/>
      <c r="FU210" s="200"/>
      <c r="FV210" s="200"/>
      <c r="FW210" s="200"/>
      <c r="FX210" s="200"/>
      <c r="FY210" s="200"/>
      <c r="FZ210" s="200"/>
      <c r="GA210" s="200"/>
      <c r="GB210" s="200"/>
      <c r="GC210" s="200"/>
      <c r="GD210" s="200"/>
      <c r="GE210" s="200"/>
      <c r="GF210" s="200"/>
      <c r="GG210" s="200"/>
      <c r="GH210" s="200"/>
      <c r="GI210" s="200"/>
      <c r="GJ210" s="200"/>
      <c r="GK210" s="200"/>
      <c r="GL210" s="200"/>
      <c r="GM210" s="200"/>
      <c r="GN210" s="200"/>
      <c r="GO210" s="200"/>
      <c r="GP210" s="200"/>
      <c r="GQ210" s="200"/>
      <c r="GR210" s="200"/>
      <c r="GS210" s="200"/>
      <c r="GT210" s="200"/>
      <c r="GU210" s="200"/>
      <c r="GV210" s="200"/>
      <c r="GW210" s="200"/>
      <c r="GX210" s="200"/>
      <c r="GY210" s="200"/>
      <c r="GZ210" s="200"/>
      <c r="HA210" s="200"/>
      <c r="HB210" s="200"/>
      <c r="IE210" s="579"/>
      <c r="IF210" s="579"/>
      <c r="IG210" s="579"/>
      <c r="IH210" s="579"/>
    </row>
    <row r="211" spans="1:242" s="164" customFormat="1" ht="20.100000000000001" customHeight="1">
      <c r="B211" s="421" t="s">
        <v>1504</v>
      </c>
      <c r="C211" s="422"/>
      <c r="D211" s="422"/>
      <c r="E211" s="422"/>
      <c r="F211" s="422"/>
      <c r="G211" s="423"/>
      <c r="H211" s="553"/>
      <c r="I211" s="423"/>
      <c r="J211" s="424"/>
      <c r="K211" s="550" t="s">
        <v>1505</v>
      </c>
      <c r="L211" s="551"/>
      <c r="M211" s="552"/>
      <c r="N211" s="550" t="s">
        <v>409</v>
      </c>
      <c r="O211" s="551"/>
      <c r="P211" s="551"/>
      <c r="Q211" s="311"/>
      <c r="R211" s="311"/>
      <c r="S211" s="311"/>
      <c r="T211" s="311"/>
      <c r="U211" s="315"/>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c r="IE211" s="579"/>
      <c r="IF211" s="579"/>
      <c r="IG211" s="579"/>
      <c r="IH211" s="579"/>
    </row>
    <row r="212" spans="1:242" ht="20.100000000000001" customHeight="1">
      <c r="A212" s="164"/>
      <c r="B212" s="421" t="s">
        <v>1506</v>
      </c>
      <c r="C212" s="422"/>
      <c r="D212" s="422"/>
      <c r="E212" s="422"/>
      <c r="F212" s="422"/>
      <c r="G212" s="423"/>
      <c r="H212" s="553"/>
      <c r="I212" s="423"/>
      <c r="J212" s="424"/>
      <c r="K212" s="554" t="s">
        <v>1503</v>
      </c>
      <c r="L212" s="551"/>
      <c r="M212" s="552"/>
      <c r="N212" s="550" t="s">
        <v>410</v>
      </c>
      <c r="O212" s="551"/>
      <c r="P212" s="551"/>
      <c r="Q212" s="311"/>
      <c r="R212" s="311"/>
      <c r="S212" s="311"/>
      <c r="T212" s="311"/>
      <c r="U212" s="315"/>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c r="CD212" s="200"/>
      <c r="CE212" s="200"/>
      <c r="CF212" s="200"/>
      <c r="CG212" s="200"/>
      <c r="CH212" s="200"/>
      <c r="CI212" s="200"/>
      <c r="CJ212" s="200"/>
      <c r="CK212" s="200"/>
      <c r="CL212" s="200"/>
      <c r="CM212" s="200"/>
      <c r="CN212" s="200"/>
      <c r="CO212" s="200"/>
      <c r="CP212" s="200"/>
      <c r="CQ212" s="200"/>
      <c r="CR212" s="200"/>
      <c r="CS212" s="200"/>
      <c r="CT212" s="200"/>
      <c r="CU212" s="200"/>
      <c r="CV212" s="200"/>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200"/>
      <c r="DS212" s="200"/>
      <c r="DT212" s="200"/>
      <c r="DU212" s="200"/>
      <c r="DV212" s="200"/>
      <c r="DW212" s="200"/>
      <c r="DX212" s="200"/>
      <c r="DY212" s="200"/>
      <c r="DZ212" s="200"/>
      <c r="EA212" s="200"/>
      <c r="EB212" s="200"/>
      <c r="EC212" s="200"/>
      <c r="ED212" s="200"/>
      <c r="EE212" s="200"/>
      <c r="EF212" s="200"/>
      <c r="EG212" s="200"/>
      <c r="EH212" s="200"/>
      <c r="EI212" s="200"/>
      <c r="EJ212" s="200"/>
      <c r="EK212" s="200"/>
      <c r="EL212" s="200"/>
      <c r="EM212" s="200"/>
      <c r="EN212" s="200"/>
      <c r="EO212" s="200"/>
      <c r="EP212" s="200"/>
      <c r="EQ212" s="200"/>
      <c r="ER212" s="200"/>
      <c r="ES212" s="200"/>
      <c r="ET212" s="200"/>
      <c r="EU212" s="200"/>
      <c r="EV212" s="200"/>
      <c r="EW212" s="200"/>
      <c r="EX212" s="200"/>
      <c r="EY212" s="200"/>
      <c r="EZ212" s="200"/>
      <c r="FA212" s="200"/>
      <c r="FB212" s="200"/>
      <c r="FC212" s="200"/>
      <c r="FD212" s="200"/>
      <c r="FE212" s="200"/>
      <c r="FF212" s="200"/>
      <c r="FG212" s="200"/>
      <c r="FH212" s="200"/>
      <c r="FI212" s="200"/>
      <c r="FJ212" s="200"/>
      <c r="FK212" s="200"/>
      <c r="FL212" s="200"/>
      <c r="FM212" s="200"/>
      <c r="FN212" s="200"/>
      <c r="FO212" s="200"/>
      <c r="FP212" s="200"/>
      <c r="FQ212" s="200"/>
      <c r="FR212" s="200"/>
      <c r="FS212" s="200"/>
      <c r="FT212" s="200"/>
      <c r="FU212" s="200"/>
      <c r="FV212" s="200"/>
      <c r="FW212" s="200"/>
      <c r="FX212" s="200"/>
      <c r="FY212" s="200"/>
      <c r="FZ212" s="200"/>
      <c r="GA212" s="200"/>
      <c r="GB212" s="200"/>
      <c r="GC212" s="200"/>
      <c r="GD212" s="200"/>
      <c r="GE212" s="200"/>
      <c r="GF212" s="200"/>
      <c r="GG212" s="200"/>
      <c r="GH212" s="200"/>
      <c r="GI212" s="200"/>
      <c r="GJ212" s="200"/>
      <c r="GK212" s="200"/>
      <c r="GL212" s="200"/>
      <c r="GM212" s="200"/>
      <c r="GN212" s="200"/>
      <c r="GO212" s="200"/>
      <c r="GP212" s="200"/>
      <c r="GQ212" s="200"/>
      <c r="GR212" s="200"/>
      <c r="GS212" s="200"/>
      <c r="GT212" s="200"/>
      <c r="GU212" s="200"/>
      <c r="GV212" s="200"/>
      <c r="GW212" s="200"/>
      <c r="GX212" s="200"/>
      <c r="GY212" s="200"/>
      <c r="GZ212" s="200"/>
      <c r="HA212" s="200"/>
      <c r="HB212" s="200"/>
      <c r="HC212" s="164"/>
      <c r="HD212" s="164"/>
      <c r="HE212" s="164"/>
      <c r="HF212" s="164"/>
      <c r="HG212" s="164"/>
      <c r="HH212" s="164"/>
      <c r="HI212" s="164"/>
      <c r="HJ212" s="164"/>
      <c r="HK212" s="164"/>
    </row>
    <row r="213" spans="1:242" ht="20.100000000000001" customHeight="1">
      <c r="A213" s="164"/>
      <c r="B213" s="421" t="s">
        <v>1507</v>
      </c>
      <c r="C213" s="422"/>
      <c r="D213" s="422"/>
      <c r="E213" s="422"/>
      <c r="F213" s="422"/>
      <c r="G213" s="423"/>
      <c r="H213" s="553"/>
      <c r="I213" s="445"/>
      <c r="J213" s="555"/>
      <c r="K213" s="550" t="s">
        <v>1508</v>
      </c>
      <c r="L213" s="551"/>
      <c r="M213" s="552"/>
      <c r="N213" s="550" t="s">
        <v>643</v>
      </c>
      <c r="O213" s="551"/>
      <c r="P213" s="551"/>
      <c r="Q213" s="311"/>
      <c r="R213" s="311"/>
      <c r="S213" s="311"/>
      <c r="T213" s="311"/>
      <c r="U213" s="315"/>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00"/>
      <c r="CA213" s="200"/>
      <c r="CB213" s="200"/>
      <c r="CC213" s="200"/>
      <c r="CD213" s="200"/>
      <c r="CE213" s="200"/>
      <c r="CF213" s="200"/>
      <c r="CG213" s="200"/>
      <c r="CH213" s="200"/>
      <c r="CI213" s="200"/>
      <c r="CJ213" s="200"/>
      <c r="CK213" s="200"/>
      <c r="CL213" s="200"/>
      <c r="CM213" s="200"/>
      <c r="CN213" s="200"/>
      <c r="CO213" s="200"/>
      <c r="CP213" s="200"/>
      <c r="CQ213" s="200"/>
      <c r="CR213" s="200"/>
      <c r="CS213" s="200"/>
      <c r="CT213" s="200"/>
      <c r="CU213" s="200"/>
      <c r="CV213" s="200"/>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200"/>
      <c r="DS213" s="200"/>
      <c r="DT213" s="200"/>
      <c r="DU213" s="200"/>
      <c r="DV213" s="200"/>
      <c r="DW213" s="200"/>
      <c r="DX213" s="200"/>
      <c r="DY213" s="200"/>
      <c r="DZ213" s="200"/>
      <c r="EA213" s="200"/>
      <c r="EB213" s="200"/>
      <c r="EC213" s="200"/>
      <c r="ED213" s="200"/>
      <c r="EE213" s="200"/>
      <c r="EF213" s="200"/>
      <c r="EG213" s="200"/>
      <c r="EH213" s="200"/>
      <c r="EI213" s="200"/>
      <c r="EJ213" s="200"/>
      <c r="EK213" s="200"/>
      <c r="EL213" s="200"/>
      <c r="EM213" s="200"/>
      <c r="EN213" s="200"/>
      <c r="EO213" s="200"/>
      <c r="EP213" s="200"/>
      <c r="EQ213" s="200"/>
      <c r="ER213" s="200"/>
      <c r="ES213" s="200"/>
      <c r="ET213" s="200"/>
      <c r="EU213" s="200"/>
      <c r="EV213" s="200"/>
      <c r="EW213" s="200"/>
      <c r="EX213" s="200"/>
      <c r="EY213" s="200"/>
      <c r="EZ213" s="200"/>
      <c r="FA213" s="200"/>
      <c r="FB213" s="200"/>
      <c r="FC213" s="200"/>
      <c r="FD213" s="200"/>
      <c r="FE213" s="200"/>
      <c r="FF213" s="200"/>
      <c r="FG213" s="200"/>
      <c r="FH213" s="200"/>
      <c r="FI213" s="200"/>
      <c r="FJ213" s="200"/>
      <c r="FK213" s="200"/>
      <c r="FL213" s="200"/>
      <c r="FM213" s="200"/>
      <c r="FN213" s="200"/>
      <c r="FO213" s="200"/>
      <c r="FP213" s="200"/>
      <c r="FQ213" s="200"/>
      <c r="FR213" s="200"/>
      <c r="FS213" s="200"/>
      <c r="FT213" s="200"/>
      <c r="FU213" s="200"/>
      <c r="FV213" s="200"/>
      <c r="FW213" s="200"/>
      <c r="FX213" s="200"/>
      <c r="FY213" s="200"/>
      <c r="FZ213" s="200"/>
      <c r="GA213" s="200"/>
      <c r="GB213" s="200"/>
      <c r="GC213" s="200"/>
      <c r="GD213" s="200"/>
      <c r="GE213" s="200"/>
      <c r="GF213" s="200"/>
      <c r="GG213" s="200"/>
      <c r="GH213" s="200"/>
      <c r="GI213" s="200"/>
      <c r="GJ213" s="200"/>
      <c r="GK213" s="200"/>
      <c r="GL213" s="200"/>
      <c r="GM213" s="200"/>
      <c r="GN213" s="200"/>
      <c r="GO213" s="200"/>
      <c r="GP213" s="200"/>
      <c r="GQ213" s="200"/>
      <c r="GR213" s="200"/>
      <c r="GS213" s="200"/>
      <c r="GT213" s="200"/>
      <c r="GU213" s="200"/>
      <c r="GV213" s="200"/>
      <c r="GW213" s="200"/>
      <c r="GX213" s="200"/>
      <c r="GY213" s="200"/>
      <c r="GZ213" s="200"/>
      <c r="HA213" s="200"/>
      <c r="HB213" s="200"/>
    </row>
    <row r="214" spans="1:242" ht="20.100000000000001" customHeight="1">
      <c r="A214" s="164"/>
      <c r="B214" s="410" t="s">
        <v>1509</v>
      </c>
      <c r="C214" s="411"/>
      <c r="D214" s="411"/>
      <c r="E214" s="411"/>
      <c r="F214" s="411"/>
      <c r="G214" s="411"/>
      <c r="H214" s="556"/>
      <c r="I214" s="412"/>
      <c r="J214" s="413"/>
      <c r="K214" s="550" t="s">
        <v>1510</v>
      </c>
      <c r="L214" s="551"/>
      <c r="M214" s="552"/>
      <c r="N214" s="550" t="s">
        <v>643</v>
      </c>
      <c r="O214" s="551"/>
      <c r="P214" s="551"/>
      <c r="Q214" s="311"/>
      <c r="R214" s="311"/>
      <c r="S214" s="311"/>
      <c r="T214" s="311"/>
      <c r="U214" s="315"/>
      <c r="V214" s="200"/>
      <c r="W214" s="200"/>
      <c r="X214" s="496"/>
      <c r="Y214" s="496"/>
      <c r="Z214" s="496"/>
      <c r="AA214" s="496"/>
      <c r="AB214" s="496"/>
      <c r="AC214" s="496"/>
      <c r="AD214" s="496"/>
      <c r="AE214" s="496"/>
      <c r="AF214" s="496"/>
      <c r="AG214" s="496"/>
      <c r="AH214" s="496"/>
      <c r="AI214" s="496"/>
      <c r="AJ214" s="496"/>
      <c r="AK214" s="496"/>
      <c r="AL214" s="496"/>
      <c r="AM214" s="496"/>
      <c r="AN214" s="496"/>
      <c r="AO214" s="496"/>
      <c r="AP214" s="496"/>
      <c r="AQ214" s="496"/>
      <c r="AR214" s="496"/>
      <c r="AS214" s="496"/>
      <c r="AT214" s="496"/>
      <c r="AU214" s="496"/>
      <c r="AV214" s="496"/>
      <c r="AW214" s="496"/>
      <c r="AX214" s="496"/>
      <c r="AY214" s="496"/>
      <c r="AZ214" s="496"/>
      <c r="BA214" s="496"/>
      <c r="BB214" s="496"/>
      <c r="BC214" s="496"/>
      <c r="BD214" s="496"/>
      <c r="BE214" s="496"/>
      <c r="BF214" s="496"/>
      <c r="BG214" s="496"/>
      <c r="BH214" s="496"/>
      <c r="BI214" s="496"/>
      <c r="BJ214" s="496"/>
      <c r="BK214" s="496"/>
      <c r="BL214" s="496"/>
      <c r="BM214" s="496"/>
      <c r="BN214" s="496"/>
      <c r="BO214" s="496"/>
      <c r="BP214" s="496"/>
      <c r="BQ214" s="496"/>
      <c r="BR214" s="496"/>
      <c r="BS214" s="496"/>
      <c r="BT214" s="496"/>
      <c r="BU214" s="496"/>
      <c r="BV214" s="496"/>
      <c r="BW214" s="496"/>
      <c r="BX214" s="496"/>
      <c r="BY214" s="496"/>
      <c r="BZ214" s="496"/>
      <c r="CA214" s="496"/>
      <c r="CB214" s="496"/>
      <c r="CC214" s="496"/>
      <c r="CD214" s="496"/>
      <c r="CE214" s="496"/>
      <c r="CF214" s="496"/>
      <c r="CG214" s="496"/>
      <c r="CH214" s="496"/>
      <c r="CI214" s="496"/>
      <c r="CJ214" s="496"/>
      <c r="CK214" s="496"/>
      <c r="CL214" s="496"/>
      <c r="CM214" s="496"/>
      <c r="CN214" s="496"/>
      <c r="CO214" s="496"/>
      <c r="CP214" s="496"/>
      <c r="CQ214" s="496"/>
      <c r="CR214" s="496"/>
      <c r="CS214" s="496"/>
      <c r="CT214" s="496"/>
      <c r="CU214" s="496"/>
      <c r="CV214" s="496"/>
      <c r="CW214" s="496"/>
      <c r="CX214" s="496"/>
      <c r="CY214" s="496"/>
      <c r="CZ214" s="496"/>
      <c r="DA214" s="496"/>
      <c r="DB214" s="496"/>
      <c r="DC214" s="496"/>
      <c r="DD214" s="496"/>
      <c r="DE214" s="496"/>
      <c r="DF214" s="496"/>
      <c r="DG214" s="496"/>
      <c r="DH214" s="496"/>
      <c r="DI214" s="496"/>
      <c r="DJ214" s="496"/>
      <c r="DK214" s="496"/>
      <c r="DL214" s="496"/>
      <c r="DM214" s="496"/>
      <c r="DN214" s="496"/>
      <c r="DO214" s="496"/>
      <c r="DP214" s="496"/>
      <c r="DQ214" s="496"/>
      <c r="DR214" s="496"/>
      <c r="DS214" s="496"/>
      <c r="DT214" s="496"/>
      <c r="DU214" s="496"/>
      <c r="DV214" s="496"/>
      <c r="DW214" s="496"/>
      <c r="DX214" s="496"/>
      <c r="DY214" s="496"/>
      <c r="DZ214" s="496"/>
      <c r="EA214" s="496"/>
      <c r="EB214" s="496"/>
      <c r="EC214" s="496"/>
      <c r="ED214" s="496"/>
      <c r="EE214" s="496"/>
      <c r="EF214" s="496"/>
      <c r="EG214" s="496"/>
      <c r="EH214" s="496"/>
      <c r="EI214" s="496"/>
      <c r="EJ214" s="496"/>
      <c r="EK214" s="496"/>
      <c r="EL214" s="496"/>
      <c r="EM214" s="496"/>
      <c r="EN214" s="496"/>
      <c r="EO214" s="496"/>
      <c r="EP214" s="496"/>
      <c r="EQ214" s="496"/>
      <c r="ER214" s="496"/>
      <c r="ES214" s="496"/>
      <c r="ET214" s="496"/>
      <c r="EU214" s="496"/>
      <c r="EV214" s="496"/>
      <c r="EW214" s="496"/>
      <c r="EX214" s="496"/>
      <c r="EY214" s="496"/>
      <c r="EZ214" s="496"/>
      <c r="FA214" s="496"/>
      <c r="FB214" s="496"/>
      <c r="FC214" s="496"/>
      <c r="FD214" s="496"/>
      <c r="FE214" s="496"/>
      <c r="FF214" s="496"/>
      <c r="FG214" s="496"/>
      <c r="FH214" s="496"/>
      <c r="FI214" s="496"/>
      <c r="FJ214" s="496"/>
      <c r="FK214" s="496"/>
      <c r="FL214" s="496"/>
      <c r="FM214" s="496"/>
      <c r="FN214" s="496"/>
      <c r="FO214" s="496"/>
      <c r="FP214" s="496"/>
      <c r="FQ214" s="496"/>
      <c r="FR214" s="496"/>
      <c r="FS214" s="496"/>
      <c r="FT214" s="496"/>
      <c r="FU214" s="496"/>
      <c r="FV214" s="496"/>
      <c r="FW214" s="496"/>
      <c r="FX214" s="496"/>
      <c r="FY214" s="496"/>
      <c r="FZ214" s="496"/>
      <c r="GA214" s="496"/>
      <c r="GB214" s="496"/>
      <c r="GC214" s="496"/>
      <c r="GD214" s="496"/>
      <c r="GE214" s="496"/>
      <c r="GF214" s="496"/>
      <c r="GG214" s="496"/>
      <c r="GH214" s="496"/>
      <c r="GI214" s="496"/>
      <c r="GJ214" s="496"/>
      <c r="GK214" s="496"/>
      <c r="GL214" s="496"/>
      <c r="GM214" s="496"/>
      <c r="GN214" s="496"/>
      <c r="GO214" s="496"/>
      <c r="GP214" s="496"/>
      <c r="GQ214" s="496"/>
      <c r="GR214" s="496"/>
      <c r="GS214" s="496"/>
      <c r="GT214" s="496"/>
      <c r="GU214" s="496"/>
      <c r="GV214" s="496"/>
      <c r="GW214" s="496"/>
      <c r="GX214" s="496"/>
      <c r="GY214" s="496"/>
      <c r="GZ214" s="496"/>
      <c r="HA214" s="496"/>
      <c r="HB214" s="496"/>
    </row>
    <row r="215" spans="1:242" ht="20.100000000000001" customHeight="1">
      <c r="A215" s="164"/>
      <c r="B215" s="421" t="s">
        <v>1511</v>
      </c>
      <c r="C215" s="422"/>
      <c r="D215" s="422"/>
      <c r="E215" s="422"/>
      <c r="F215" s="422"/>
      <c r="G215" s="422"/>
      <c r="H215" s="557"/>
      <c r="I215" s="423"/>
      <c r="J215" s="424"/>
      <c r="K215" s="550" t="s">
        <v>1512</v>
      </c>
      <c r="L215" s="551"/>
      <c r="M215" s="552"/>
      <c r="N215" s="550" t="s">
        <v>477</v>
      </c>
      <c r="O215" s="551"/>
      <c r="P215" s="551"/>
      <c r="Q215" s="311"/>
      <c r="R215" s="311"/>
      <c r="S215" s="311"/>
      <c r="T215" s="311"/>
      <c r="U215" s="315"/>
      <c r="V215" s="200"/>
      <c r="W215" s="200"/>
      <c r="X215" s="496"/>
      <c r="Y215" s="496"/>
      <c r="Z215" s="496"/>
      <c r="AA215" s="496"/>
      <c r="AB215" s="496"/>
      <c r="AC215" s="496"/>
      <c r="AD215" s="496"/>
      <c r="AE215" s="496"/>
      <c r="AF215" s="496"/>
      <c r="AG215" s="496"/>
      <c r="AH215" s="496"/>
      <c r="AI215" s="496"/>
      <c r="AJ215" s="496"/>
      <c r="AK215" s="496"/>
      <c r="AL215" s="496"/>
      <c r="AM215" s="496"/>
      <c r="AN215" s="496"/>
      <c r="AO215" s="496"/>
      <c r="AP215" s="496"/>
      <c r="AQ215" s="496"/>
      <c r="AR215" s="496"/>
      <c r="AS215" s="496"/>
      <c r="AT215" s="496"/>
      <c r="AU215" s="496"/>
      <c r="AV215" s="496"/>
      <c r="AW215" s="496"/>
      <c r="AX215" s="496"/>
      <c r="AY215" s="496"/>
      <c r="AZ215" s="496"/>
      <c r="BA215" s="496"/>
      <c r="BB215" s="496"/>
      <c r="BC215" s="496"/>
      <c r="BD215" s="496"/>
      <c r="BE215" s="496"/>
      <c r="BF215" s="496"/>
      <c r="BG215" s="496"/>
      <c r="BH215" s="496"/>
      <c r="BI215" s="496"/>
      <c r="BJ215" s="496"/>
      <c r="BK215" s="496"/>
      <c r="BL215" s="496"/>
      <c r="BM215" s="496"/>
      <c r="BN215" s="496"/>
      <c r="BO215" s="496"/>
      <c r="BP215" s="496"/>
      <c r="BQ215" s="496"/>
      <c r="BR215" s="496"/>
      <c r="BS215" s="496"/>
      <c r="BT215" s="496"/>
      <c r="BU215" s="496"/>
      <c r="BV215" s="496"/>
      <c r="BW215" s="496"/>
      <c r="BX215" s="496"/>
      <c r="BY215" s="496"/>
      <c r="BZ215" s="496"/>
      <c r="CA215" s="496"/>
      <c r="CB215" s="496"/>
      <c r="CC215" s="496"/>
      <c r="CD215" s="496"/>
      <c r="CE215" s="496"/>
      <c r="CF215" s="496"/>
      <c r="CG215" s="496"/>
      <c r="CH215" s="496"/>
      <c r="CI215" s="496"/>
      <c r="CJ215" s="496"/>
      <c r="CK215" s="496"/>
      <c r="CL215" s="496"/>
      <c r="CM215" s="496"/>
      <c r="CN215" s="496"/>
      <c r="CO215" s="496"/>
      <c r="CP215" s="496"/>
      <c r="CQ215" s="496"/>
      <c r="CR215" s="496"/>
      <c r="CS215" s="496"/>
      <c r="CT215" s="496"/>
      <c r="CU215" s="496"/>
      <c r="CV215" s="496"/>
      <c r="CW215" s="496"/>
      <c r="CX215" s="496"/>
      <c r="CY215" s="496"/>
      <c r="CZ215" s="496"/>
      <c r="DA215" s="496"/>
      <c r="DB215" s="496"/>
      <c r="DC215" s="496"/>
      <c r="DD215" s="496"/>
      <c r="DE215" s="496"/>
      <c r="DF215" s="496"/>
      <c r="DG215" s="496"/>
      <c r="DH215" s="496"/>
      <c r="DI215" s="496"/>
      <c r="DJ215" s="496"/>
      <c r="DK215" s="496"/>
      <c r="DL215" s="496"/>
      <c r="DM215" s="496"/>
      <c r="DN215" s="496"/>
      <c r="DO215" s="496"/>
      <c r="DP215" s="496"/>
      <c r="DQ215" s="496"/>
      <c r="DR215" s="496"/>
      <c r="DS215" s="496"/>
      <c r="DT215" s="496"/>
      <c r="DU215" s="496"/>
      <c r="DV215" s="496"/>
      <c r="DW215" s="496"/>
      <c r="DX215" s="496"/>
      <c r="DY215" s="496"/>
      <c r="DZ215" s="496"/>
      <c r="EA215" s="496"/>
      <c r="EB215" s="496"/>
      <c r="EC215" s="496"/>
      <c r="ED215" s="496"/>
      <c r="EE215" s="496"/>
      <c r="EF215" s="496"/>
      <c r="EG215" s="496"/>
      <c r="EH215" s="496"/>
      <c r="EI215" s="496"/>
      <c r="EJ215" s="496"/>
      <c r="EK215" s="496"/>
      <c r="EL215" s="496"/>
      <c r="EM215" s="496"/>
      <c r="EN215" s="496"/>
      <c r="EO215" s="496"/>
      <c r="EP215" s="496"/>
      <c r="EQ215" s="496"/>
      <c r="ER215" s="496"/>
      <c r="ES215" s="496"/>
      <c r="ET215" s="496"/>
      <c r="EU215" s="496"/>
      <c r="EV215" s="496"/>
      <c r="EW215" s="496"/>
      <c r="EX215" s="496"/>
      <c r="EY215" s="496"/>
      <c r="EZ215" s="496"/>
      <c r="FA215" s="496"/>
      <c r="FB215" s="496"/>
      <c r="FC215" s="496"/>
      <c r="FD215" s="496"/>
      <c r="FE215" s="496"/>
      <c r="FF215" s="496"/>
      <c r="FG215" s="496"/>
      <c r="FH215" s="496"/>
      <c r="FI215" s="496"/>
      <c r="FJ215" s="496"/>
      <c r="FK215" s="496"/>
      <c r="FL215" s="496"/>
      <c r="FM215" s="496"/>
      <c r="FN215" s="496"/>
      <c r="FO215" s="496"/>
      <c r="FP215" s="496"/>
      <c r="FQ215" s="496"/>
      <c r="FR215" s="496"/>
      <c r="FS215" s="496"/>
      <c r="FT215" s="496"/>
      <c r="FU215" s="496"/>
      <c r="FV215" s="496"/>
      <c r="FW215" s="496"/>
      <c r="FX215" s="496"/>
      <c r="FY215" s="496"/>
      <c r="FZ215" s="496"/>
      <c r="GA215" s="496"/>
      <c r="GB215" s="496"/>
      <c r="GC215" s="496"/>
      <c r="GD215" s="496"/>
      <c r="GE215" s="496"/>
      <c r="GF215" s="496"/>
      <c r="GG215" s="496"/>
      <c r="GH215" s="496"/>
      <c r="GI215" s="496"/>
      <c r="GJ215" s="496"/>
      <c r="GK215" s="496"/>
      <c r="GL215" s="496"/>
      <c r="GM215" s="496"/>
      <c r="GN215" s="496"/>
      <c r="GO215" s="496"/>
      <c r="GP215" s="496"/>
      <c r="GQ215" s="496"/>
      <c r="GR215" s="496"/>
      <c r="GS215" s="496"/>
      <c r="GT215" s="496"/>
      <c r="GU215" s="496"/>
      <c r="GV215" s="496"/>
      <c r="GW215" s="496"/>
      <c r="GX215" s="496"/>
      <c r="GY215" s="496"/>
      <c r="GZ215" s="496"/>
      <c r="HA215" s="496"/>
      <c r="HB215" s="496"/>
    </row>
    <row r="216" spans="1:242" ht="20.100000000000001" customHeight="1">
      <c r="A216" s="164"/>
      <c r="B216" s="421" t="s">
        <v>1513</v>
      </c>
      <c r="C216" s="422"/>
      <c r="D216" s="422"/>
      <c r="E216" s="422"/>
      <c r="F216" s="422"/>
      <c r="G216" s="422"/>
      <c r="H216" s="557"/>
      <c r="I216" s="423"/>
      <c r="J216" s="424"/>
      <c r="K216" s="550" t="s">
        <v>1514</v>
      </c>
      <c r="L216" s="551"/>
      <c r="M216" s="552"/>
      <c r="N216" s="550" t="s">
        <v>477</v>
      </c>
      <c r="O216" s="551"/>
      <c r="P216" s="551"/>
      <c r="Q216" s="311"/>
      <c r="R216" s="311"/>
      <c r="S216" s="311"/>
      <c r="T216" s="311"/>
      <c r="U216" s="315"/>
      <c r="V216" s="200"/>
      <c r="W216" s="200"/>
      <c r="X216" s="496"/>
      <c r="Y216" s="496"/>
      <c r="Z216" s="496"/>
      <c r="AA216" s="496"/>
      <c r="AB216" s="496"/>
      <c r="AC216" s="496"/>
      <c r="AD216" s="496"/>
      <c r="AE216" s="496"/>
      <c r="AF216" s="496"/>
      <c r="AG216" s="496"/>
      <c r="AH216" s="496"/>
      <c r="AI216" s="496"/>
      <c r="AJ216" s="496"/>
      <c r="AK216" s="496"/>
      <c r="AL216" s="496"/>
      <c r="AM216" s="496"/>
      <c r="AN216" s="496"/>
      <c r="AO216" s="496"/>
      <c r="AP216" s="496"/>
      <c r="AQ216" s="496"/>
      <c r="AR216" s="496"/>
      <c r="AS216" s="496"/>
      <c r="AT216" s="496"/>
      <c r="AU216" s="496"/>
      <c r="AV216" s="496"/>
      <c r="AW216" s="496"/>
      <c r="AX216" s="496"/>
      <c r="AY216" s="496"/>
      <c r="AZ216" s="496"/>
      <c r="BA216" s="496"/>
      <c r="BB216" s="496"/>
      <c r="BC216" s="496"/>
      <c r="BD216" s="496"/>
      <c r="BE216" s="496"/>
      <c r="BF216" s="496"/>
      <c r="BG216" s="496"/>
      <c r="BH216" s="496"/>
      <c r="BI216" s="496"/>
      <c r="BJ216" s="496"/>
      <c r="BK216" s="496"/>
      <c r="BL216" s="496"/>
      <c r="BM216" s="496"/>
      <c r="BN216" s="496"/>
      <c r="BO216" s="496"/>
      <c r="BP216" s="496"/>
      <c r="BQ216" s="496"/>
      <c r="BR216" s="496"/>
      <c r="BS216" s="496"/>
      <c r="BT216" s="496"/>
      <c r="BU216" s="496"/>
      <c r="BV216" s="496"/>
      <c r="BW216" s="496"/>
      <c r="BX216" s="496"/>
      <c r="BY216" s="496"/>
      <c r="BZ216" s="496"/>
      <c r="CA216" s="496"/>
      <c r="CB216" s="496"/>
      <c r="CC216" s="496"/>
      <c r="CD216" s="496"/>
      <c r="CE216" s="496"/>
      <c r="CF216" s="496"/>
      <c r="CG216" s="496"/>
      <c r="CH216" s="496"/>
      <c r="CI216" s="496"/>
      <c r="CJ216" s="496"/>
      <c r="CK216" s="496"/>
      <c r="CL216" s="496"/>
      <c r="CM216" s="496"/>
      <c r="CN216" s="496"/>
      <c r="CO216" s="496"/>
      <c r="CP216" s="496"/>
      <c r="CQ216" s="496"/>
      <c r="CR216" s="496"/>
      <c r="CS216" s="496"/>
      <c r="CT216" s="496"/>
      <c r="CU216" s="496"/>
      <c r="CV216" s="496"/>
      <c r="CW216" s="496"/>
      <c r="CX216" s="496"/>
      <c r="CY216" s="496"/>
      <c r="CZ216" s="496"/>
      <c r="DA216" s="496"/>
      <c r="DB216" s="496"/>
      <c r="DC216" s="496"/>
      <c r="DD216" s="496"/>
      <c r="DE216" s="496"/>
      <c r="DF216" s="496"/>
      <c r="DG216" s="496"/>
      <c r="DH216" s="496"/>
      <c r="DI216" s="496"/>
      <c r="DJ216" s="496"/>
      <c r="DK216" s="496"/>
      <c r="DL216" s="496"/>
      <c r="DM216" s="496"/>
      <c r="DN216" s="496"/>
      <c r="DO216" s="496"/>
      <c r="DP216" s="496"/>
      <c r="DQ216" s="496"/>
      <c r="DR216" s="496"/>
      <c r="DS216" s="496"/>
      <c r="DT216" s="496"/>
      <c r="DU216" s="496"/>
      <c r="DV216" s="496"/>
      <c r="DW216" s="496"/>
      <c r="DX216" s="496"/>
      <c r="DY216" s="496"/>
      <c r="DZ216" s="496"/>
      <c r="EA216" s="496"/>
      <c r="EB216" s="496"/>
      <c r="EC216" s="496"/>
      <c r="ED216" s="496"/>
      <c r="EE216" s="496"/>
      <c r="EF216" s="496"/>
      <c r="EG216" s="496"/>
      <c r="EH216" s="496"/>
      <c r="EI216" s="496"/>
      <c r="EJ216" s="496"/>
      <c r="EK216" s="496"/>
      <c r="EL216" s="496"/>
      <c r="EM216" s="496"/>
      <c r="EN216" s="496"/>
      <c r="EO216" s="496"/>
      <c r="EP216" s="496"/>
      <c r="EQ216" s="496"/>
      <c r="ER216" s="496"/>
      <c r="ES216" s="496"/>
      <c r="ET216" s="496"/>
      <c r="EU216" s="496"/>
      <c r="EV216" s="496"/>
      <c r="EW216" s="496"/>
      <c r="EX216" s="496"/>
      <c r="EY216" s="496"/>
      <c r="EZ216" s="496"/>
      <c r="FA216" s="496"/>
      <c r="FB216" s="496"/>
      <c r="FC216" s="496"/>
      <c r="FD216" s="496"/>
      <c r="FE216" s="496"/>
      <c r="FF216" s="496"/>
      <c r="FG216" s="496"/>
      <c r="FH216" s="496"/>
      <c r="FI216" s="496"/>
      <c r="FJ216" s="496"/>
      <c r="FK216" s="496"/>
      <c r="FL216" s="496"/>
      <c r="FM216" s="496"/>
      <c r="FN216" s="496"/>
      <c r="FO216" s="496"/>
      <c r="FP216" s="496"/>
      <c r="FQ216" s="496"/>
      <c r="FR216" s="496"/>
      <c r="FS216" s="496"/>
      <c r="FT216" s="496"/>
      <c r="FU216" s="496"/>
      <c r="FV216" s="496"/>
      <c r="FW216" s="496"/>
      <c r="FX216" s="496"/>
      <c r="FY216" s="496"/>
      <c r="FZ216" s="496"/>
      <c r="GA216" s="496"/>
      <c r="GB216" s="496"/>
      <c r="GC216" s="496"/>
      <c r="GD216" s="496"/>
      <c r="GE216" s="496"/>
      <c r="GF216" s="496"/>
      <c r="GG216" s="496"/>
      <c r="GH216" s="496"/>
      <c r="GI216" s="496"/>
      <c r="GJ216" s="496"/>
      <c r="GK216" s="496"/>
      <c r="GL216" s="496"/>
      <c r="GM216" s="496"/>
      <c r="GN216" s="496"/>
      <c r="GO216" s="496"/>
      <c r="GP216" s="496"/>
      <c r="GQ216" s="496"/>
      <c r="GR216" s="496"/>
      <c r="GS216" s="496"/>
      <c r="GT216" s="496"/>
      <c r="GU216" s="496"/>
      <c r="GV216" s="496"/>
      <c r="GW216" s="496"/>
      <c r="GX216" s="496"/>
      <c r="GY216" s="496"/>
      <c r="GZ216" s="496"/>
      <c r="HA216" s="496"/>
      <c r="HB216" s="496"/>
    </row>
    <row r="217" spans="1:242" ht="20.100000000000001" customHeight="1">
      <c r="A217" s="164"/>
      <c r="B217" s="421" t="s">
        <v>1515</v>
      </c>
      <c r="C217" s="422"/>
      <c r="D217" s="422"/>
      <c r="E217" s="422"/>
      <c r="F217" s="422"/>
      <c r="G217" s="422"/>
      <c r="H217" s="557"/>
      <c r="I217" s="423"/>
      <c r="J217" s="424"/>
      <c r="K217" s="550" t="s">
        <v>1516</v>
      </c>
      <c r="L217" s="551"/>
      <c r="M217" s="552"/>
      <c r="N217" s="550" t="s">
        <v>412</v>
      </c>
      <c r="O217" s="551"/>
      <c r="P217" s="551"/>
      <c r="Q217" s="311"/>
      <c r="R217" s="311"/>
      <c r="S217" s="311"/>
      <c r="T217" s="311"/>
      <c r="U217" s="315"/>
      <c r="V217" s="200"/>
      <c r="W217" s="200"/>
      <c r="X217" s="496"/>
      <c r="Y217" s="496"/>
      <c r="Z217" s="496"/>
      <c r="AA217" s="496"/>
      <c r="AB217" s="496"/>
      <c r="AC217" s="496"/>
      <c r="AD217" s="496"/>
      <c r="AE217" s="496"/>
      <c r="AF217" s="496"/>
      <c r="AG217" s="496"/>
      <c r="AH217" s="496"/>
      <c r="AI217" s="496"/>
      <c r="AJ217" s="496"/>
      <c r="AK217" s="496"/>
      <c r="AL217" s="496"/>
      <c r="AM217" s="496"/>
      <c r="AN217" s="496"/>
      <c r="AO217" s="496"/>
      <c r="AP217" s="496"/>
      <c r="AQ217" s="496"/>
      <c r="AR217" s="496"/>
      <c r="AS217" s="496"/>
      <c r="AT217" s="496"/>
      <c r="AU217" s="496"/>
      <c r="AV217" s="496"/>
      <c r="AW217" s="496"/>
      <c r="AX217" s="496"/>
      <c r="AY217" s="496"/>
      <c r="AZ217" s="496"/>
      <c r="BA217" s="496"/>
      <c r="BB217" s="496"/>
      <c r="BC217" s="496"/>
      <c r="BD217" s="496"/>
      <c r="BE217" s="496"/>
      <c r="BF217" s="496"/>
      <c r="BG217" s="496"/>
      <c r="BH217" s="496"/>
      <c r="BI217" s="496"/>
      <c r="BJ217" s="496"/>
      <c r="BK217" s="496"/>
      <c r="BL217" s="496"/>
      <c r="BM217" s="496"/>
      <c r="BN217" s="496"/>
      <c r="BO217" s="496"/>
      <c r="BP217" s="496"/>
      <c r="BQ217" s="496"/>
      <c r="BR217" s="496"/>
      <c r="BS217" s="496"/>
      <c r="BT217" s="496"/>
      <c r="BU217" s="496"/>
      <c r="BV217" s="496"/>
      <c r="BW217" s="496"/>
      <c r="BX217" s="496"/>
      <c r="BY217" s="496"/>
      <c r="BZ217" s="496"/>
      <c r="CA217" s="496"/>
      <c r="CB217" s="496"/>
      <c r="CC217" s="496"/>
      <c r="CD217" s="496"/>
      <c r="CE217" s="496"/>
      <c r="CF217" s="496"/>
      <c r="CG217" s="496"/>
      <c r="CH217" s="496"/>
      <c r="CI217" s="496"/>
      <c r="CJ217" s="496"/>
      <c r="CK217" s="496"/>
      <c r="CL217" s="496"/>
      <c r="CM217" s="496"/>
      <c r="CN217" s="496"/>
      <c r="CO217" s="496"/>
      <c r="CP217" s="496"/>
      <c r="CQ217" s="496"/>
      <c r="CR217" s="496"/>
      <c r="CS217" s="496"/>
      <c r="CT217" s="496"/>
      <c r="CU217" s="496"/>
      <c r="CV217" s="496"/>
      <c r="CW217" s="496"/>
      <c r="CX217" s="496"/>
      <c r="CY217" s="496"/>
      <c r="CZ217" s="496"/>
      <c r="DA217" s="496"/>
      <c r="DB217" s="496"/>
      <c r="DC217" s="496"/>
      <c r="DD217" s="496"/>
      <c r="DE217" s="496"/>
      <c r="DF217" s="496"/>
      <c r="DG217" s="496"/>
      <c r="DH217" s="496"/>
      <c r="DI217" s="496"/>
      <c r="DJ217" s="496"/>
      <c r="DK217" s="496"/>
      <c r="DL217" s="496"/>
      <c r="DM217" s="496"/>
      <c r="DN217" s="496"/>
      <c r="DO217" s="496"/>
      <c r="DP217" s="496"/>
      <c r="DQ217" s="496"/>
      <c r="DR217" s="496"/>
      <c r="DS217" s="496"/>
      <c r="DT217" s="496"/>
      <c r="DU217" s="496"/>
      <c r="DV217" s="496"/>
      <c r="DW217" s="496"/>
      <c r="DX217" s="496"/>
      <c r="DY217" s="496"/>
      <c r="DZ217" s="496"/>
      <c r="EA217" s="496"/>
      <c r="EB217" s="496"/>
      <c r="EC217" s="496"/>
      <c r="ED217" s="496"/>
      <c r="EE217" s="496"/>
      <c r="EF217" s="496"/>
      <c r="EG217" s="496"/>
      <c r="EH217" s="496"/>
      <c r="EI217" s="496"/>
      <c r="EJ217" s="496"/>
      <c r="EK217" s="496"/>
      <c r="EL217" s="496"/>
      <c r="EM217" s="496"/>
      <c r="EN217" s="496"/>
      <c r="EO217" s="496"/>
      <c r="EP217" s="496"/>
      <c r="EQ217" s="496"/>
      <c r="ER217" s="496"/>
      <c r="ES217" s="496"/>
      <c r="ET217" s="496"/>
      <c r="EU217" s="496"/>
      <c r="EV217" s="496"/>
      <c r="EW217" s="496"/>
      <c r="EX217" s="496"/>
      <c r="EY217" s="496"/>
      <c r="EZ217" s="496"/>
      <c r="FA217" s="496"/>
      <c r="FB217" s="496"/>
      <c r="FC217" s="496"/>
      <c r="FD217" s="496"/>
      <c r="FE217" s="496"/>
      <c r="FF217" s="496"/>
      <c r="FG217" s="496"/>
      <c r="FH217" s="496"/>
      <c r="FI217" s="496"/>
      <c r="FJ217" s="496"/>
      <c r="FK217" s="496"/>
      <c r="FL217" s="496"/>
      <c r="FM217" s="496"/>
      <c r="FN217" s="496"/>
      <c r="FO217" s="496"/>
      <c r="FP217" s="496"/>
      <c r="FQ217" s="496"/>
      <c r="FR217" s="496"/>
      <c r="FS217" s="496"/>
      <c r="FT217" s="496"/>
      <c r="FU217" s="496"/>
      <c r="FV217" s="496"/>
      <c r="FW217" s="496"/>
      <c r="FX217" s="496"/>
      <c r="FY217" s="496"/>
      <c r="FZ217" s="496"/>
      <c r="GA217" s="496"/>
      <c r="GB217" s="496"/>
      <c r="GC217" s="496"/>
      <c r="GD217" s="496"/>
      <c r="GE217" s="496"/>
      <c r="GF217" s="496"/>
      <c r="GG217" s="496"/>
      <c r="GH217" s="496"/>
      <c r="GI217" s="496"/>
      <c r="GJ217" s="496"/>
      <c r="GK217" s="496"/>
      <c r="GL217" s="496"/>
      <c r="GM217" s="496"/>
      <c r="GN217" s="496"/>
      <c r="GO217" s="496"/>
      <c r="GP217" s="496"/>
      <c r="GQ217" s="496"/>
      <c r="GR217" s="496"/>
      <c r="GS217" s="496"/>
      <c r="GT217" s="496"/>
      <c r="GU217" s="496"/>
      <c r="GV217" s="496"/>
      <c r="GW217" s="496"/>
      <c r="GX217" s="496"/>
      <c r="GY217" s="496"/>
      <c r="GZ217" s="496"/>
      <c r="HA217" s="496"/>
      <c r="HB217" s="496"/>
    </row>
    <row r="218" spans="1:242" ht="20.100000000000001" customHeight="1">
      <c r="A218" s="164"/>
      <c r="B218" s="421" t="s">
        <v>1517</v>
      </c>
      <c r="C218" s="422"/>
      <c r="D218" s="422"/>
      <c r="E218" s="422"/>
      <c r="F218" s="422"/>
      <c r="G218" s="422"/>
      <c r="H218" s="557"/>
      <c r="I218" s="423"/>
      <c r="J218" s="424"/>
      <c r="K218" s="550" t="s">
        <v>1518</v>
      </c>
      <c r="L218" s="551"/>
      <c r="M218" s="552"/>
      <c r="N218" s="550" t="s">
        <v>414</v>
      </c>
      <c r="O218" s="551"/>
      <c r="P218" s="551"/>
      <c r="Q218" s="311"/>
      <c r="R218" s="311"/>
      <c r="S218" s="311"/>
      <c r="T218" s="311"/>
      <c r="U218" s="315"/>
      <c r="V218" s="200"/>
      <c r="W218" s="200"/>
      <c r="X218" s="496"/>
      <c r="Y218" s="496"/>
      <c r="Z218" s="496"/>
      <c r="AA218" s="496"/>
      <c r="AB218" s="496"/>
      <c r="AC218" s="496"/>
      <c r="AD218" s="496"/>
      <c r="AE218" s="496"/>
      <c r="AF218" s="496"/>
      <c r="AG218" s="496"/>
      <c r="AH218" s="496"/>
      <c r="AI218" s="496"/>
      <c r="AJ218" s="496"/>
      <c r="AK218" s="496"/>
      <c r="AL218" s="496"/>
      <c r="AM218" s="496"/>
      <c r="AN218" s="496"/>
      <c r="AO218" s="496"/>
      <c r="AP218" s="496"/>
      <c r="AQ218" s="496"/>
      <c r="AR218" s="496"/>
      <c r="AS218" s="496"/>
      <c r="AT218" s="496"/>
      <c r="AU218" s="496"/>
      <c r="AV218" s="496"/>
      <c r="AW218" s="496"/>
      <c r="AX218" s="496"/>
      <c r="AY218" s="496"/>
      <c r="AZ218" s="496"/>
      <c r="BA218" s="496"/>
      <c r="BB218" s="496"/>
      <c r="BC218" s="496"/>
      <c r="BD218" s="496"/>
      <c r="BE218" s="496"/>
      <c r="BF218" s="496"/>
      <c r="BG218" s="496"/>
      <c r="BH218" s="496"/>
      <c r="BI218" s="496"/>
      <c r="BJ218" s="496"/>
      <c r="BK218" s="496"/>
      <c r="BL218" s="496"/>
      <c r="BM218" s="496"/>
      <c r="BN218" s="496"/>
      <c r="BO218" s="496"/>
      <c r="BP218" s="496"/>
      <c r="BQ218" s="496"/>
      <c r="BR218" s="496"/>
      <c r="BS218" s="496"/>
      <c r="BT218" s="496"/>
      <c r="BU218" s="496"/>
      <c r="BV218" s="496"/>
      <c r="BW218" s="496"/>
      <c r="BX218" s="496"/>
      <c r="BY218" s="496"/>
      <c r="BZ218" s="496"/>
      <c r="CA218" s="496"/>
      <c r="CB218" s="496"/>
      <c r="CC218" s="496"/>
      <c r="CD218" s="496"/>
      <c r="CE218" s="496"/>
      <c r="CF218" s="496"/>
      <c r="CG218" s="496"/>
      <c r="CH218" s="496"/>
      <c r="CI218" s="496"/>
      <c r="CJ218" s="496"/>
      <c r="CK218" s="496"/>
      <c r="CL218" s="496"/>
      <c r="CM218" s="496"/>
      <c r="CN218" s="496"/>
      <c r="CO218" s="496"/>
      <c r="CP218" s="496"/>
      <c r="CQ218" s="496"/>
      <c r="CR218" s="496"/>
      <c r="CS218" s="496"/>
      <c r="CT218" s="496"/>
      <c r="CU218" s="496"/>
      <c r="CV218" s="496"/>
      <c r="CW218" s="496"/>
      <c r="CX218" s="496"/>
      <c r="CY218" s="496"/>
      <c r="CZ218" s="496"/>
      <c r="DA218" s="496"/>
      <c r="DB218" s="496"/>
      <c r="DC218" s="496"/>
      <c r="DD218" s="496"/>
      <c r="DE218" s="496"/>
      <c r="DF218" s="496"/>
      <c r="DG218" s="496"/>
      <c r="DH218" s="496"/>
      <c r="DI218" s="496"/>
      <c r="DJ218" s="496"/>
      <c r="DK218" s="496"/>
      <c r="DL218" s="496"/>
      <c r="DM218" s="496"/>
      <c r="DN218" s="496"/>
      <c r="DO218" s="496"/>
      <c r="DP218" s="496"/>
      <c r="DQ218" s="496"/>
      <c r="DR218" s="496"/>
      <c r="DS218" s="496"/>
      <c r="DT218" s="496"/>
      <c r="DU218" s="496"/>
      <c r="DV218" s="496"/>
      <c r="DW218" s="496"/>
      <c r="DX218" s="496"/>
      <c r="DY218" s="496"/>
      <c r="DZ218" s="496"/>
      <c r="EA218" s="496"/>
      <c r="EB218" s="496"/>
      <c r="EC218" s="496"/>
      <c r="ED218" s="496"/>
      <c r="EE218" s="496"/>
      <c r="EF218" s="496"/>
      <c r="EG218" s="496"/>
      <c r="EH218" s="496"/>
      <c r="EI218" s="496"/>
      <c r="EJ218" s="496"/>
      <c r="EK218" s="496"/>
      <c r="EL218" s="496"/>
      <c r="EM218" s="496"/>
      <c r="EN218" s="496"/>
      <c r="EO218" s="496"/>
      <c r="EP218" s="496"/>
      <c r="EQ218" s="496"/>
      <c r="ER218" s="496"/>
      <c r="ES218" s="496"/>
      <c r="ET218" s="496"/>
      <c r="EU218" s="496"/>
      <c r="EV218" s="496"/>
      <c r="EW218" s="496"/>
      <c r="EX218" s="496"/>
      <c r="EY218" s="496"/>
      <c r="EZ218" s="496"/>
      <c r="FA218" s="496"/>
      <c r="FB218" s="496"/>
      <c r="FC218" s="496"/>
      <c r="FD218" s="496"/>
      <c r="FE218" s="496"/>
      <c r="FF218" s="496"/>
      <c r="FG218" s="496"/>
      <c r="FH218" s="496"/>
      <c r="FI218" s="496"/>
      <c r="FJ218" s="496"/>
      <c r="FK218" s="496"/>
      <c r="FL218" s="496"/>
      <c r="FM218" s="496"/>
      <c r="FN218" s="496"/>
      <c r="FO218" s="496"/>
      <c r="FP218" s="496"/>
      <c r="FQ218" s="496"/>
      <c r="FR218" s="496"/>
      <c r="FS218" s="496"/>
      <c r="FT218" s="496"/>
      <c r="FU218" s="496"/>
      <c r="FV218" s="496"/>
      <c r="FW218" s="496"/>
      <c r="FX218" s="496"/>
      <c r="FY218" s="496"/>
      <c r="FZ218" s="496"/>
      <c r="GA218" s="496"/>
      <c r="GB218" s="496"/>
      <c r="GC218" s="496"/>
      <c r="GD218" s="496"/>
      <c r="GE218" s="496"/>
      <c r="GF218" s="496"/>
      <c r="GG218" s="496"/>
      <c r="GH218" s="496"/>
      <c r="GI218" s="496"/>
      <c r="GJ218" s="496"/>
      <c r="GK218" s="496"/>
      <c r="GL218" s="496"/>
      <c r="GM218" s="496"/>
      <c r="GN218" s="496"/>
      <c r="GO218" s="496"/>
      <c r="GP218" s="496"/>
      <c r="GQ218" s="496"/>
      <c r="GR218" s="496"/>
      <c r="GS218" s="496"/>
      <c r="GT218" s="496"/>
      <c r="GU218" s="496"/>
      <c r="GV218" s="496"/>
      <c r="GW218" s="496"/>
      <c r="GX218" s="496"/>
      <c r="GY218" s="496"/>
      <c r="GZ218" s="496"/>
      <c r="HA218" s="496"/>
      <c r="HB218" s="496"/>
    </row>
    <row r="219" spans="1:242" ht="20.100000000000001" customHeight="1">
      <c r="A219" s="164"/>
      <c r="B219" s="421" t="s">
        <v>1519</v>
      </c>
      <c r="C219" s="422"/>
      <c r="D219" s="422"/>
      <c r="E219" s="422"/>
      <c r="F219" s="422"/>
      <c r="G219" s="422"/>
      <c r="H219" s="557"/>
      <c r="I219" s="423"/>
      <c r="J219" s="424"/>
      <c r="K219" s="550" t="s">
        <v>1520</v>
      </c>
      <c r="L219" s="551"/>
      <c r="M219" s="552"/>
      <c r="N219" s="550" t="s">
        <v>416</v>
      </c>
      <c r="O219" s="551"/>
      <c r="P219" s="551"/>
      <c r="Q219" s="311"/>
      <c r="R219" s="311"/>
      <c r="S219" s="311"/>
      <c r="T219" s="311"/>
      <c r="U219" s="315"/>
      <c r="V219" s="200"/>
      <c r="W219" s="200"/>
      <c r="X219" s="496"/>
      <c r="Y219" s="496"/>
      <c r="Z219" s="496"/>
      <c r="AA219" s="496"/>
      <c r="AB219" s="496"/>
      <c r="AC219" s="496"/>
      <c r="AD219" s="496"/>
      <c r="AE219" s="496"/>
      <c r="AF219" s="496"/>
      <c r="AG219" s="496"/>
      <c r="AH219" s="496"/>
      <c r="AI219" s="496"/>
      <c r="AJ219" s="496"/>
      <c r="AK219" s="496"/>
      <c r="AL219" s="496"/>
      <c r="AM219" s="496"/>
      <c r="AN219" s="496"/>
      <c r="AO219" s="496"/>
      <c r="AP219" s="496"/>
      <c r="AQ219" s="496"/>
      <c r="AR219" s="496"/>
      <c r="AS219" s="496"/>
      <c r="AT219" s="496"/>
      <c r="AU219" s="496"/>
      <c r="AV219" s="496"/>
      <c r="AW219" s="496"/>
      <c r="AX219" s="496"/>
      <c r="AY219" s="496"/>
      <c r="AZ219" s="496"/>
      <c r="BA219" s="496"/>
      <c r="BB219" s="496"/>
      <c r="BC219" s="496"/>
      <c r="BD219" s="496"/>
      <c r="BE219" s="496"/>
      <c r="BF219" s="496"/>
      <c r="BG219" s="496"/>
      <c r="BH219" s="496"/>
      <c r="BI219" s="496"/>
      <c r="BJ219" s="496"/>
      <c r="BK219" s="496"/>
      <c r="BL219" s="496"/>
      <c r="BM219" s="496"/>
      <c r="BN219" s="496"/>
      <c r="BO219" s="496"/>
      <c r="BP219" s="496"/>
      <c r="BQ219" s="496"/>
      <c r="BR219" s="496"/>
      <c r="BS219" s="496"/>
      <c r="BT219" s="496"/>
      <c r="BU219" s="496"/>
      <c r="BV219" s="496"/>
      <c r="BW219" s="496"/>
      <c r="BX219" s="496"/>
      <c r="BY219" s="496"/>
      <c r="BZ219" s="496"/>
      <c r="CA219" s="496"/>
      <c r="CB219" s="496"/>
      <c r="CC219" s="496"/>
      <c r="CD219" s="496"/>
      <c r="CE219" s="496"/>
      <c r="CF219" s="496"/>
      <c r="CG219" s="496"/>
      <c r="CH219" s="496"/>
      <c r="CI219" s="496"/>
      <c r="CJ219" s="496"/>
      <c r="CK219" s="496"/>
      <c r="CL219" s="496"/>
      <c r="CM219" s="496"/>
      <c r="CN219" s="496"/>
      <c r="CO219" s="496"/>
      <c r="CP219" s="496"/>
      <c r="CQ219" s="496"/>
      <c r="CR219" s="496"/>
      <c r="CS219" s="496"/>
      <c r="CT219" s="496"/>
      <c r="CU219" s="496"/>
      <c r="CV219" s="496"/>
      <c r="CW219" s="496"/>
      <c r="CX219" s="496"/>
      <c r="CY219" s="496"/>
      <c r="CZ219" s="496"/>
      <c r="DA219" s="496"/>
      <c r="DB219" s="496"/>
      <c r="DC219" s="496"/>
      <c r="DD219" s="496"/>
      <c r="DE219" s="496"/>
      <c r="DF219" s="496"/>
      <c r="DG219" s="496"/>
      <c r="DH219" s="496"/>
      <c r="DI219" s="496"/>
      <c r="DJ219" s="496"/>
      <c r="DK219" s="496"/>
      <c r="DL219" s="496"/>
      <c r="DM219" s="496"/>
      <c r="DN219" s="496"/>
      <c r="DO219" s="496"/>
      <c r="DP219" s="496"/>
      <c r="DQ219" s="496"/>
      <c r="DR219" s="496"/>
      <c r="DS219" s="496"/>
      <c r="DT219" s="496"/>
      <c r="DU219" s="496"/>
      <c r="DV219" s="496"/>
      <c r="DW219" s="496"/>
      <c r="DX219" s="496"/>
      <c r="DY219" s="496"/>
      <c r="DZ219" s="496"/>
      <c r="EA219" s="496"/>
      <c r="EB219" s="496"/>
      <c r="EC219" s="496"/>
      <c r="ED219" s="496"/>
      <c r="EE219" s="496"/>
      <c r="EF219" s="496"/>
      <c r="EG219" s="496"/>
      <c r="EH219" s="496"/>
      <c r="EI219" s="496"/>
      <c r="EJ219" s="496"/>
      <c r="EK219" s="496"/>
      <c r="EL219" s="496"/>
      <c r="EM219" s="496"/>
      <c r="EN219" s="496"/>
      <c r="EO219" s="496"/>
      <c r="EP219" s="496"/>
      <c r="EQ219" s="496"/>
      <c r="ER219" s="496"/>
      <c r="ES219" s="496"/>
      <c r="ET219" s="496"/>
      <c r="EU219" s="496"/>
      <c r="EV219" s="496"/>
      <c r="EW219" s="496"/>
      <c r="EX219" s="496"/>
      <c r="EY219" s="496"/>
      <c r="EZ219" s="496"/>
      <c r="FA219" s="496"/>
      <c r="FB219" s="496"/>
      <c r="FC219" s="496"/>
      <c r="FD219" s="496"/>
      <c r="FE219" s="496"/>
      <c r="FF219" s="496"/>
      <c r="FG219" s="496"/>
      <c r="FH219" s="496"/>
      <c r="FI219" s="496"/>
      <c r="FJ219" s="496"/>
      <c r="FK219" s="496"/>
      <c r="FL219" s="496"/>
      <c r="FM219" s="496"/>
      <c r="FN219" s="496"/>
      <c r="FO219" s="496"/>
      <c r="FP219" s="496"/>
      <c r="FQ219" s="496"/>
      <c r="FR219" s="496"/>
      <c r="FS219" s="496"/>
      <c r="FT219" s="496"/>
      <c r="FU219" s="496"/>
      <c r="FV219" s="496"/>
      <c r="FW219" s="496"/>
      <c r="FX219" s="496"/>
      <c r="FY219" s="496"/>
      <c r="FZ219" s="496"/>
      <c r="GA219" s="496"/>
      <c r="GB219" s="496"/>
      <c r="GC219" s="496"/>
      <c r="GD219" s="496"/>
      <c r="GE219" s="496"/>
      <c r="GF219" s="496"/>
      <c r="GG219" s="496"/>
      <c r="GH219" s="496"/>
      <c r="GI219" s="496"/>
      <c r="GJ219" s="496"/>
      <c r="GK219" s="496"/>
      <c r="GL219" s="496"/>
      <c r="GM219" s="496"/>
      <c r="GN219" s="496"/>
      <c r="GO219" s="496"/>
      <c r="GP219" s="496"/>
      <c r="GQ219" s="496"/>
      <c r="GR219" s="496"/>
      <c r="GS219" s="496"/>
      <c r="GT219" s="496"/>
      <c r="GU219" s="496"/>
      <c r="GV219" s="496"/>
      <c r="GW219" s="496"/>
      <c r="GX219" s="496"/>
      <c r="GY219" s="496"/>
      <c r="GZ219" s="496"/>
      <c r="HA219" s="496"/>
      <c r="HB219" s="496"/>
    </row>
    <row r="220" spans="1:242" ht="20.100000000000001" customHeight="1" thickBot="1">
      <c r="A220" s="164"/>
      <c r="B220" s="421" t="s">
        <v>1521</v>
      </c>
      <c r="C220" s="422"/>
      <c r="D220" s="422"/>
      <c r="E220" s="422"/>
      <c r="F220" s="422"/>
      <c r="G220" s="422"/>
      <c r="H220" s="557"/>
      <c r="I220" s="423"/>
      <c r="J220" s="424"/>
      <c r="K220" s="550" t="s">
        <v>1522</v>
      </c>
      <c r="L220" s="551"/>
      <c r="M220" s="552"/>
      <c r="N220" s="558" t="s">
        <v>418</v>
      </c>
      <c r="O220" s="559"/>
      <c r="P220" s="559"/>
      <c r="Q220" s="368"/>
      <c r="R220" s="368"/>
      <c r="S220" s="368"/>
      <c r="T220" s="368"/>
      <c r="U220" s="365"/>
      <c r="V220" s="200"/>
      <c r="W220" s="200"/>
      <c r="X220" s="496"/>
      <c r="Y220" s="496"/>
      <c r="Z220" s="496"/>
      <c r="AA220" s="496"/>
      <c r="AB220" s="496"/>
      <c r="AC220" s="496"/>
      <c r="AD220" s="496"/>
      <c r="AE220" s="496"/>
      <c r="AF220" s="496"/>
      <c r="AG220" s="496"/>
      <c r="AH220" s="496"/>
      <c r="AI220" s="496"/>
      <c r="AJ220" s="496"/>
      <c r="AK220" s="496"/>
      <c r="AL220" s="496"/>
      <c r="AM220" s="496"/>
      <c r="AN220" s="496"/>
      <c r="AO220" s="496"/>
      <c r="AP220" s="496"/>
      <c r="AQ220" s="496"/>
      <c r="AR220" s="496"/>
      <c r="AS220" s="496"/>
      <c r="AT220" s="496"/>
      <c r="AU220" s="496"/>
      <c r="AV220" s="496"/>
      <c r="AW220" s="496"/>
      <c r="AX220" s="496"/>
      <c r="AY220" s="496"/>
      <c r="AZ220" s="496"/>
      <c r="BA220" s="496"/>
      <c r="BB220" s="496"/>
      <c r="BC220" s="496"/>
      <c r="BD220" s="496"/>
      <c r="BE220" s="496"/>
      <c r="BF220" s="496"/>
      <c r="BG220" s="496"/>
      <c r="BH220" s="496"/>
      <c r="BI220" s="496"/>
      <c r="BJ220" s="496"/>
      <c r="BK220" s="496"/>
      <c r="BL220" s="496"/>
      <c r="BM220" s="496"/>
      <c r="BN220" s="496"/>
      <c r="BO220" s="496"/>
      <c r="BP220" s="496"/>
      <c r="BQ220" s="496"/>
      <c r="BR220" s="496"/>
      <c r="BS220" s="496"/>
      <c r="BT220" s="496"/>
      <c r="BU220" s="496"/>
      <c r="BV220" s="496"/>
      <c r="BW220" s="496"/>
      <c r="BX220" s="496"/>
      <c r="BY220" s="496"/>
      <c r="BZ220" s="496"/>
      <c r="CA220" s="496"/>
      <c r="CB220" s="496"/>
      <c r="CC220" s="496"/>
      <c r="CD220" s="496"/>
      <c r="CE220" s="496"/>
      <c r="CF220" s="496"/>
      <c r="CG220" s="496"/>
      <c r="CH220" s="496"/>
      <c r="CI220" s="496"/>
      <c r="CJ220" s="496"/>
      <c r="CK220" s="496"/>
      <c r="CL220" s="496"/>
      <c r="CM220" s="496"/>
      <c r="CN220" s="496"/>
      <c r="CO220" s="496"/>
      <c r="CP220" s="496"/>
      <c r="CQ220" s="496"/>
      <c r="CR220" s="496"/>
      <c r="CS220" s="496"/>
      <c r="CT220" s="496"/>
      <c r="CU220" s="496"/>
      <c r="CV220" s="496"/>
      <c r="CW220" s="496"/>
      <c r="CX220" s="496"/>
      <c r="CY220" s="496"/>
      <c r="CZ220" s="496"/>
      <c r="DA220" s="496"/>
      <c r="DB220" s="496"/>
      <c r="DC220" s="496"/>
      <c r="DD220" s="496"/>
      <c r="DE220" s="496"/>
      <c r="DF220" s="496"/>
      <c r="DG220" s="496"/>
      <c r="DH220" s="496"/>
      <c r="DI220" s="496"/>
      <c r="DJ220" s="496"/>
      <c r="DK220" s="496"/>
      <c r="DL220" s="496"/>
      <c r="DM220" s="496"/>
      <c r="DN220" s="496"/>
      <c r="DO220" s="496"/>
      <c r="DP220" s="496"/>
      <c r="DQ220" s="496"/>
      <c r="DR220" s="496"/>
      <c r="DS220" s="496"/>
      <c r="DT220" s="496"/>
      <c r="DU220" s="496"/>
      <c r="DV220" s="496"/>
      <c r="DW220" s="496"/>
      <c r="DX220" s="496"/>
      <c r="DY220" s="496"/>
      <c r="DZ220" s="496"/>
      <c r="EA220" s="496"/>
      <c r="EB220" s="496"/>
      <c r="EC220" s="496"/>
      <c r="ED220" s="496"/>
      <c r="EE220" s="496"/>
      <c r="EF220" s="496"/>
      <c r="EG220" s="496"/>
      <c r="EH220" s="496"/>
      <c r="EI220" s="496"/>
      <c r="EJ220" s="496"/>
      <c r="EK220" s="496"/>
      <c r="EL220" s="496"/>
      <c r="EM220" s="496"/>
      <c r="EN220" s="496"/>
      <c r="EO220" s="496"/>
      <c r="EP220" s="496"/>
      <c r="EQ220" s="496"/>
      <c r="ER220" s="496"/>
      <c r="ES220" s="496"/>
      <c r="ET220" s="496"/>
      <c r="EU220" s="496"/>
      <c r="EV220" s="496"/>
      <c r="EW220" s="496"/>
      <c r="EX220" s="496"/>
      <c r="EY220" s="496"/>
      <c r="EZ220" s="496"/>
      <c r="FA220" s="496"/>
      <c r="FB220" s="496"/>
      <c r="FC220" s="496"/>
      <c r="FD220" s="496"/>
      <c r="FE220" s="496"/>
      <c r="FF220" s="496"/>
      <c r="FG220" s="496"/>
      <c r="FH220" s="496"/>
      <c r="FI220" s="496"/>
      <c r="FJ220" s="496"/>
      <c r="FK220" s="496"/>
      <c r="FL220" s="496"/>
      <c r="FM220" s="496"/>
      <c r="FN220" s="496"/>
      <c r="FO220" s="496"/>
      <c r="FP220" s="496"/>
      <c r="FQ220" s="496"/>
      <c r="FR220" s="496"/>
      <c r="FS220" s="496"/>
      <c r="FT220" s="496"/>
      <c r="FU220" s="496"/>
      <c r="FV220" s="496"/>
      <c r="FW220" s="496"/>
      <c r="FX220" s="496"/>
      <c r="FY220" s="496"/>
      <c r="FZ220" s="496"/>
      <c r="GA220" s="496"/>
      <c r="GB220" s="496"/>
      <c r="GC220" s="496"/>
      <c r="GD220" s="496"/>
      <c r="GE220" s="496"/>
      <c r="GF220" s="496"/>
      <c r="GG220" s="496"/>
      <c r="GH220" s="496"/>
      <c r="GI220" s="496"/>
      <c r="GJ220" s="496"/>
      <c r="GK220" s="496"/>
      <c r="GL220" s="496"/>
      <c r="GM220" s="496"/>
      <c r="GN220" s="496"/>
      <c r="GO220" s="496"/>
      <c r="GP220" s="496"/>
      <c r="GQ220" s="496"/>
      <c r="GR220" s="496"/>
      <c r="GS220" s="496"/>
      <c r="GT220" s="496"/>
      <c r="GU220" s="496"/>
      <c r="GV220" s="496"/>
      <c r="GW220" s="496"/>
      <c r="GX220" s="496"/>
      <c r="GY220" s="496"/>
      <c r="GZ220" s="496"/>
      <c r="HA220" s="496"/>
      <c r="HB220" s="496"/>
    </row>
    <row r="221" spans="1:242" ht="20.100000000000001" customHeight="1">
      <c r="A221" s="164"/>
      <c r="B221" s="421" t="s">
        <v>1523</v>
      </c>
      <c r="C221" s="422"/>
      <c r="D221" s="422"/>
      <c r="E221" s="422"/>
      <c r="F221" s="422"/>
      <c r="G221" s="422"/>
      <c r="H221" s="557"/>
      <c r="I221" s="423"/>
      <c r="J221" s="424"/>
      <c r="K221" s="550" t="s">
        <v>1524</v>
      </c>
      <c r="L221" s="551"/>
      <c r="M221" s="552"/>
      <c r="N221" s="560"/>
      <c r="O221" s="560"/>
      <c r="P221" s="560"/>
      <c r="Q221" s="251"/>
      <c r="R221" s="251"/>
      <c r="S221" s="251"/>
      <c r="T221" s="251"/>
      <c r="U221" s="251"/>
      <c r="V221" s="200"/>
      <c r="W221" s="200"/>
      <c r="X221" s="496"/>
      <c r="Y221" s="496"/>
      <c r="Z221" s="496"/>
      <c r="AA221" s="496"/>
      <c r="AB221" s="496"/>
      <c r="AC221" s="496"/>
      <c r="AD221" s="496"/>
      <c r="AE221" s="496"/>
      <c r="AF221" s="496"/>
      <c r="AG221" s="496"/>
      <c r="AH221" s="496"/>
      <c r="AI221" s="496"/>
      <c r="AJ221" s="496"/>
      <c r="AK221" s="496"/>
      <c r="AL221" s="496"/>
      <c r="AM221" s="496"/>
      <c r="AN221" s="496"/>
      <c r="AO221" s="496"/>
      <c r="AP221" s="496"/>
      <c r="AQ221" s="496"/>
      <c r="AR221" s="496"/>
      <c r="AS221" s="496"/>
      <c r="AT221" s="496"/>
      <c r="AU221" s="496"/>
      <c r="AV221" s="496"/>
      <c r="AW221" s="496"/>
      <c r="AX221" s="496"/>
      <c r="AY221" s="496"/>
      <c r="AZ221" s="496"/>
      <c r="BA221" s="496"/>
      <c r="BB221" s="496"/>
      <c r="BC221" s="496"/>
      <c r="BD221" s="496"/>
      <c r="BE221" s="496"/>
      <c r="BF221" s="496"/>
      <c r="BG221" s="496"/>
      <c r="BH221" s="496"/>
      <c r="BI221" s="496"/>
      <c r="BJ221" s="496"/>
      <c r="BK221" s="496"/>
      <c r="BL221" s="496"/>
      <c r="BM221" s="496"/>
      <c r="BN221" s="496"/>
      <c r="BO221" s="496"/>
      <c r="BP221" s="496"/>
      <c r="BQ221" s="496"/>
      <c r="BR221" s="496"/>
      <c r="BS221" s="496"/>
      <c r="BT221" s="496"/>
      <c r="BU221" s="496"/>
      <c r="BV221" s="496"/>
      <c r="BW221" s="496"/>
      <c r="BX221" s="496"/>
      <c r="BY221" s="496"/>
      <c r="BZ221" s="496"/>
      <c r="CA221" s="496"/>
      <c r="CB221" s="496"/>
      <c r="CC221" s="496"/>
      <c r="CD221" s="496"/>
      <c r="CE221" s="496"/>
      <c r="CF221" s="496"/>
      <c r="CG221" s="496"/>
      <c r="CH221" s="496"/>
      <c r="CI221" s="496"/>
      <c r="CJ221" s="496"/>
      <c r="CK221" s="496"/>
      <c r="CL221" s="496"/>
      <c r="CM221" s="496"/>
      <c r="CN221" s="496"/>
      <c r="CO221" s="496"/>
      <c r="CP221" s="496"/>
      <c r="CQ221" s="496"/>
      <c r="CR221" s="496"/>
      <c r="CS221" s="496"/>
      <c r="CT221" s="496"/>
      <c r="CU221" s="496"/>
      <c r="CV221" s="496"/>
      <c r="CW221" s="496"/>
      <c r="CX221" s="496"/>
      <c r="CY221" s="496"/>
      <c r="CZ221" s="496"/>
      <c r="DA221" s="496"/>
      <c r="DB221" s="496"/>
      <c r="DC221" s="496"/>
      <c r="DD221" s="496"/>
      <c r="DE221" s="496"/>
      <c r="DF221" s="496"/>
      <c r="DG221" s="496"/>
      <c r="DH221" s="496"/>
      <c r="DI221" s="496"/>
      <c r="DJ221" s="496"/>
      <c r="DK221" s="496"/>
      <c r="DL221" s="496"/>
      <c r="DM221" s="496"/>
      <c r="DN221" s="496"/>
      <c r="DO221" s="496"/>
      <c r="DP221" s="496"/>
      <c r="DQ221" s="496"/>
      <c r="DR221" s="496"/>
      <c r="DS221" s="496"/>
      <c r="DT221" s="496"/>
      <c r="DU221" s="496"/>
      <c r="DV221" s="496"/>
      <c r="DW221" s="496"/>
      <c r="DX221" s="496"/>
      <c r="DY221" s="496"/>
      <c r="DZ221" s="496"/>
      <c r="EA221" s="496"/>
      <c r="EB221" s="496"/>
      <c r="EC221" s="496"/>
      <c r="ED221" s="496"/>
      <c r="EE221" s="496"/>
      <c r="EF221" s="496"/>
      <c r="EG221" s="496"/>
      <c r="EH221" s="496"/>
      <c r="EI221" s="496"/>
      <c r="EJ221" s="496"/>
      <c r="EK221" s="496"/>
      <c r="EL221" s="496"/>
      <c r="EM221" s="496"/>
      <c r="EN221" s="496"/>
      <c r="EO221" s="496"/>
      <c r="EP221" s="496"/>
      <c r="EQ221" s="496"/>
      <c r="ER221" s="496"/>
      <c r="ES221" s="496"/>
      <c r="ET221" s="496"/>
      <c r="EU221" s="496"/>
      <c r="EV221" s="496"/>
      <c r="EW221" s="496"/>
      <c r="EX221" s="496"/>
      <c r="EY221" s="496"/>
      <c r="EZ221" s="496"/>
      <c r="FA221" s="496"/>
      <c r="FB221" s="496"/>
      <c r="FC221" s="496"/>
      <c r="FD221" s="496"/>
      <c r="FE221" s="496"/>
      <c r="FF221" s="496"/>
      <c r="FG221" s="496"/>
      <c r="FH221" s="496"/>
      <c r="FI221" s="496"/>
      <c r="FJ221" s="496"/>
      <c r="FK221" s="496"/>
      <c r="FL221" s="496"/>
      <c r="FM221" s="496"/>
      <c r="FN221" s="496"/>
      <c r="FO221" s="496"/>
      <c r="FP221" s="496"/>
      <c r="FQ221" s="496"/>
      <c r="FR221" s="496"/>
      <c r="FS221" s="496"/>
      <c r="FT221" s="496"/>
      <c r="FU221" s="496"/>
      <c r="FV221" s="496"/>
      <c r="FW221" s="496"/>
      <c r="FX221" s="496"/>
      <c r="FY221" s="496"/>
      <c r="FZ221" s="496"/>
      <c r="GA221" s="496"/>
      <c r="GB221" s="496"/>
      <c r="GC221" s="496"/>
      <c r="GD221" s="496"/>
      <c r="GE221" s="496"/>
      <c r="GF221" s="496"/>
      <c r="GG221" s="496"/>
      <c r="GH221" s="496"/>
      <c r="GI221" s="496"/>
      <c r="GJ221" s="496"/>
      <c r="GK221" s="496"/>
      <c r="GL221" s="496"/>
      <c r="GM221" s="496"/>
      <c r="GN221" s="496"/>
      <c r="GO221" s="496"/>
      <c r="GP221" s="496"/>
      <c r="GQ221" s="496"/>
      <c r="GR221" s="496"/>
      <c r="GS221" s="496"/>
      <c r="GT221" s="496"/>
      <c r="GU221" s="496"/>
      <c r="GV221" s="496"/>
      <c r="GW221" s="496"/>
      <c r="GX221" s="496"/>
      <c r="GY221" s="496"/>
      <c r="GZ221" s="496"/>
      <c r="HA221" s="496"/>
      <c r="HB221" s="496"/>
    </row>
    <row r="222" spans="1:242" ht="20.100000000000001" customHeight="1">
      <c r="A222" s="164"/>
      <c r="B222" s="421" t="s">
        <v>1525</v>
      </c>
      <c r="C222" s="422"/>
      <c r="D222" s="422"/>
      <c r="E222" s="422"/>
      <c r="F222" s="422"/>
      <c r="G222" s="422"/>
      <c r="H222" s="557"/>
      <c r="I222" s="423"/>
      <c r="J222" s="424"/>
      <c r="K222" s="550" t="s">
        <v>1526</v>
      </c>
      <c r="L222" s="551"/>
      <c r="M222" s="552"/>
      <c r="N222" s="560"/>
      <c r="O222" s="560"/>
      <c r="P222" s="560"/>
      <c r="Q222" s="251"/>
      <c r="R222" s="251"/>
      <c r="S222" s="251"/>
      <c r="T222" s="251"/>
      <c r="U222" s="251"/>
      <c r="V222" s="200"/>
      <c r="W222" s="200"/>
      <c r="X222" s="496"/>
      <c r="Y222" s="496"/>
      <c r="Z222" s="496"/>
      <c r="AA222" s="496"/>
      <c r="AB222" s="496"/>
      <c r="AC222" s="496"/>
      <c r="AD222" s="496"/>
      <c r="AE222" s="496"/>
      <c r="AF222" s="496"/>
      <c r="AG222" s="496"/>
      <c r="AH222" s="496"/>
      <c r="AI222" s="496"/>
      <c r="AJ222" s="496"/>
      <c r="AK222" s="496"/>
      <c r="AL222" s="496"/>
      <c r="AM222" s="496"/>
      <c r="AN222" s="496"/>
      <c r="AO222" s="496"/>
      <c r="AP222" s="496"/>
      <c r="AQ222" s="496"/>
      <c r="AR222" s="496"/>
      <c r="AS222" s="496"/>
      <c r="AT222" s="496"/>
      <c r="AU222" s="496"/>
      <c r="AV222" s="496"/>
      <c r="AW222" s="496"/>
      <c r="AX222" s="496"/>
      <c r="AY222" s="496"/>
      <c r="AZ222" s="496"/>
      <c r="BA222" s="496"/>
      <c r="BB222" s="496"/>
      <c r="BC222" s="496"/>
      <c r="BD222" s="496"/>
      <c r="BE222" s="496"/>
      <c r="BF222" s="496"/>
      <c r="BG222" s="496"/>
      <c r="BH222" s="496"/>
      <c r="BI222" s="496"/>
      <c r="BJ222" s="496"/>
      <c r="BK222" s="496"/>
      <c r="BL222" s="496"/>
      <c r="BM222" s="496"/>
      <c r="BN222" s="496"/>
      <c r="BO222" s="496"/>
      <c r="BP222" s="496"/>
      <c r="BQ222" s="496"/>
      <c r="BR222" s="496"/>
      <c r="BS222" s="496"/>
      <c r="BT222" s="496"/>
      <c r="BU222" s="496"/>
      <c r="BV222" s="496"/>
      <c r="BW222" s="496"/>
      <c r="BX222" s="496"/>
      <c r="BY222" s="496"/>
      <c r="BZ222" s="496"/>
      <c r="CA222" s="496"/>
      <c r="CB222" s="496"/>
      <c r="CC222" s="496"/>
      <c r="CD222" s="496"/>
      <c r="CE222" s="496"/>
      <c r="CF222" s="496"/>
      <c r="CG222" s="496"/>
      <c r="CH222" s="496"/>
      <c r="CI222" s="496"/>
      <c r="CJ222" s="496"/>
      <c r="CK222" s="496"/>
      <c r="CL222" s="496"/>
      <c r="CM222" s="496"/>
      <c r="CN222" s="496"/>
      <c r="CO222" s="496"/>
      <c r="CP222" s="496"/>
      <c r="CQ222" s="496"/>
      <c r="CR222" s="496"/>
      <c r="CS222" s="496"/>
      <c r="CT222" s="496"/>
      <c r="CU222" s="496"/>
      <c r="CV222" s="496"/>
      <c r="CW222" s="496"/>
      <c r="CX222" s="496"/>
      <c r="CY222" s="496"/>
      <c r="CZ222" s="496"/>
      <c r="DA222" s="496"/>
      <c r="DB222" s="496"/>
      <c r="DC222" s="496"/>
      <c r="DD222" s="496"/>
      <c r="DE222" s="496"/>
      <c r="DF222" s="496"/>
      <c r="DG222" s="496"/>
      <c r="DH222" s="496"/>
      <c r="DI222" s="496"/>
      <c r="DJ222" s="496"/>
      <c r="DK222" s="496"/>
      <c r="DL222" s="496"/>
      <c r="DM222" s="496"/>
      <c r="DN222" s="496"/>
      <c r="DO222" s="496"/>
      <c r="DP222" s="496"/>
      <c r="DQ222" s="496"/>
      <c r="DR222" s="496"/>
      <c r="DS222" s="496"/>
      <c r="DT222" s="496"/>
      <c r="DU222" s="496"/>
      <c r="DV222" s="496"/>
      <c r="DW222" s="496"/>
      <c r="DX222" s="496"/>
      <c r="DY222" s="496"/>
      <c r="DZ222" s="496"/>
      <c r="EA222" s="496"/>
      <c r="EB222" s="496"/>
      <c r="EC222" s="496"/>
      <c r="ED222" s="496"/>
      <c r="EE222" s="496"/>
      <c r="EF222" s="496"/>
      <c r="EG222" s="496"/>
      <c r="EH222" s="496"/>
      <c r="EI222" s="496"/>
      <c r="EJ222" s="496"/>
      <c r="EK222" s="496"/>
      <c r="EL222" s="496"/>
      <c r="EM222" s="496"/>
      <c r="EN222" s="496"/>
      <c r="EO222" s="496"/>
      <c r="EP222" s="496"/>
      <c r="EQ222" s="496"/>
      <c r="ER222" s="496"/>
      <c r="ES222" s="496"/>
      <c r="ET222" s="496"/>
      <c r="EU222" s="496"/>
      <c r="EV222" s="496"/>
      <c r="EW222" s="496"/>
      <c r="EX222" s="496"/>
      <c r="EY222" s="496"/>
      <c r="EZ222" s="496"/>
      <c r="FA222" s="496"/>
      <c r="FB222" s="496"/>
      <c r="FC222" s="496"/>
      <c r="FD222" s="496"/>
      <c r="FE222" s="496"/>
      <c r="FF222" s="496"/>
      <c r="FG222" s="496"/>
      <c r="FH222" s="496"/>
      <c r="FI222" s="496"/>
      <c r="FJ222" s="496"/>
      <c r="FK222" s="496"/>
      <c r="FL222" s="496"/>
      <c r="FM222" s="496"/>
      <c r="FN222" s="496"/>
      <c r="FO222" s="496"/>
      <c r="FP222" s="496"/>
      <c r="FQ222" s="496"/>
      <c r="FR222" s="496"/>
      <c r="FS222" s="496"/>
      <c r="FT222" s="496"/>
      <c r="FU222" s="496"/>
      <c r="FV222" s="496"/>
      <c r="FW222" s="496"/>
      <c r="FX222" s="496"/>
      <c r="FY222" s="496"/>
      <c r="FZ222" s="496"/>
      <c r="GA222" s="496"/>
      <c r="GB222" s="496"/>
      <c r="GC222" s="496"/>
      <c r="GD222" s="496"/>
      <c r="GE222" s="496"/>
      <c r="GF222" s="496"/>
      <c r="GG222" s="496"/>
      <c r="GH222" s="496"/>
      <c r="GI222" s="496"/>
      <c r="GJ222" s="496"/>
      <c r="GK222" s="496"/>
      <c r="GL222" s="496"/>
      <c r="GM222" s="496"/>
      <c r="GN222" s="496"/>
      <c r="GO222" s="496"/>
      <c r="GP222" s="496"/>
      <c r="GQ222" s="496"/>
      <c r="GR222" s="496"/>
      <c r="GS222" s="496"/>
      <c r="GT222" s="496"/>
      <c r="GU222" s="496"/>
      <c r="GV222" s="496"/>
      <c r="GW222" s="496"/>
      <c r="GX222" s="496"/>
      <c r="GY222" s="496"/>
      <c r="GZ222" s="496"/>
      <c r="HA222" s="496"/>
      <c r="HB222" s="496"/>
    </row>
    <row r="223" spans="1:242" ht="20.399999999999999" thickBot="1">
      <c r="A223" s="164"/>
      <c r="B223" s="561" t="s">
        <v>1527</v>
      </c>
      <c r="C223" s="562"/>
      <c r="D223" s="562"/>
      <c r="E223" s="562"/>
      <c r="F223" s="562"/>
      <c r="G223" s="562"/>
      <c r="H223" s="563"/>
      <c r="I223" s="564"/>
      <c r="J223" s="565"/>
      <c r="K223" s="558" t="s">
        <v>1528</v>
      </c>
      <c r="L223" s="559"/>
      <c r="M223" s="566"/>
      <c r="N223" s="560"/>
      <c r="O223" s="560"/>
      <c r="P223" s="560"/>
      <c r="Q223" s="251"/>
      <c r="R223" s="251"/>
      <c r="S223" s="251"/>
      <c r="T223" s="251"/>
      <c r="U223" s="251"/>
      <c r="V223" s="200"/>
      <c r="W223" s="200"/>
      <c r="X223" s="496"/>
      <c r="Y223" s="496"/>
      <c r="Z223" s="496"/>
      <c r="AA223" s="496"/>
      <c r="AB223" s="496"/>
      <c r="AC223" s="496"/>
      <c r="AD223" s="496"/>
      <c r="AE223" s="496"/>
      <c r="AF223" s="496"/>
      <c r="AG223" s="496"/>
      <c r="AH223" s="496"/>
      <c r="AI223" s="496"/>
      <c r="AJ223" s="496"/>
      <c r="AK223" s="496"/>
      <c r="AL223" s="496"/>
      <c r="AM223" s="496"/>
      <c r="AN223" s="496"/>
      <c r="AO223" s="496"/>
      <c r="AP223" s="496"/>
      <c r="AQ223" s="496"/>
      <c r="AR223" s="496"/>
      <c r="AS223" s="496"/>
      <c r="AT223" s="496"/>
      <c r="AU223" s="496"/>
      <c r="AV223" s="496"/>
      <c r="AW223" s="496"/>
      <c r="AX223" s="496"/>
      <c r="AY223" s="496"/>
      <c r="AZ223" s="496"/>
      <c r="BA223" s="496"/>
      <c r="BB223" s="496"/>
      <c r="BC223" s="496"/>
      <c r="BD223" s="496"/>
      <c r="BE223" s="496"/>
      <c r="BF223" s="496"/>
      <c r="BG223" s="496"/>
      <c r="BH223" s="496"/>
      <c r="BI223" s="496"/>
      <c r="BJ223" s="496"/>
      <c r="BK223" s="496"/>
      <c r="BL223" s="496"/>
      <c r="BM223" s="496"/>
      <c r="BN223" s="496"/>
      <c r="BO223" s="496"/>
      <c r="BP223" s="496"/>
      <c r="BQ223" s="496"/>
      <c r="BR223" s="496"/>
      <c r="BS223" s="496"/>
      <c r="BT223" s="496"/>
      <c r="BU223" s="496"/>
      <c r="BV223" s="496"/>
      <c r="BW223" s="496"/>
      <c r="BX223" s="496"/>
      <c r="BY223" s="496"/>
      <c r="BZ223" s="496"/>
      <c r="CA223" s="496"/>
      <c r="CB223" s="496"/>
      <c r="CC223" s="496"/>
      <c r="CD223" s="496"/>
      <c r="CE223" s="496"/>
      <c r="CF223" s="496"/>
      <c r="CG223" s="496"/>
      <c r="CH223" s="496"/>
      <c r="CI223" s="496"/>
      <c r="CJ223" s="496"/>
      <c r="CK223" s="496"/>
      <c r="CL223" s="496"/>
      <c r="CM223" s="496"/>
      <c r="CN223" s="496"/>
      <c r="CO223" s="496"/>
      <c r="CP223" s="496"/>
      <c r="CQ223" s="496"/>
      <c r="CR223" s="496"/>
      <c r="CS223" s="496"/>
      <c r="CT223" s="496"/>
      <c r="CU223" s="496"/>
      <c r="CV223" s="496"/>
      <c r="CW223" s="496"/>
      <c r="CX223" s="496"/>
      <c r="CY223" s="496"/>
      <c r="CZ223" s="496"/>
      <c r="DA223" s="496"/>
      <c r="DB223" s="496"/>
      <c r="DC223" s="496"/>
      <c r="DD223" s="496"/>
      <c r="DE223" s="496"/>
      <c r="DF223" s="496"/>
      <c r="DG223" s="496"/>
      <c r="DH223" s="496"/>
      <c r="DI223" s="496"/>
      <c r="DJ223" s="496"/>
      <c r="DK223" s="496"/>
      <c r="DL223" s="496"/>
      <c r="DM223" s="496"/>
      <c r="DN223" s="496"/>
      <c r="DO223" s="496"/>
      <c r="DP223" s="496"/>
      <c r="DQ223" s="496"/>
      <c r="DR223" s="496"/>
      <c r="DS223" s="496"/>
      <c r="DT223" s="496"/>
      <c r="DU223" s="496"/>
      <c r="DV223" s="496"/>
      <c r="DW223" s="496"/>
      <c r="DX223" s="496"/>
      <c r="DY223" s="496"/>
      <c r="DZ223" s="496"/>
      <c r="EA223" s="496"/>
      <c r="EB223" s="496"/>
      <c r="EC223" s="496"/>
      <c r="ED223" s="496"/>
      <c r="EE223" s="496"/>
      <c r="EF223" s="496"/>
      <c r="EG223" s="496"/>
      <c r="EH223" s="496"/>
      <c r="EI223" s="496"/>
      <c r="EJ223" s="496"/>
      <c r="EK223" s="496"/>
      <c r="EL223" s="496"/>
      <c r="EM223" s="496"/>
      <c r="EN223" s="496"/>
      <c r="EO223" s="496"/>
      <c r="EP223" s="496"/>
      <c r="EQ223" s="496"/>
      <c r="ER223" s="496"/>
      <c r="ES223" s="496"/>
      <c r="ET223" s="496"/>
      <c r="EU223" s="496"/>
      <c r="EV223" s="496"/>
      <c r="EW223" s="496"/>
      <c r="EX223" s="496"/>
      <c r="EY223" s="496"/>
      <c r="EZ223" s="496"/>
      <c r="FA223" s="496"/>
      <c r="FB223" s="496"/>
      <c r="FC223" s="496"/>
      <c r="FD223" s="496"/>
      <c r="FE223" s="496"/>
      <c r="FF223" s="496"/>
      <c r="FG223" s="496"/>
      <c r="FH223" s="496"/>
      <c r="FI223" s="496"/>
      <c r="FJ223" s="496"/>
      <c r="FK223" s="496"/>
      <c r="FL223" s="496"/>
      <c r="FM223" s="496"/>
      <c r="FN223" s="496"/>
      <c r="FO223" s="496"/>
      <c r="FP223" s="496"/>
      <c r="FQ223" s="496"/>
      <c r="FR223" s="496"/>
      <c r="FS223" s="496"/>
      <c r="FT223" s="496"/>
      <c r="FU223" s="496"/>
      <c r="FV223" s="496"/>
      <c r="FW223" s="496"/>
      <c r="FX223" s="496"/>
      <c r="FY223" s="496"/>
      <c r="FZ223" s="496"/>
      <c r="GA223" s="496"/>
      <c r="GB223" s="496"/>
      <c r="GC223" s="496"/>
      <c r="GD223" s="496"/>
      <c r="GE223" s="496"/>
      <c r="GF223" s="496"/>
      <c r="GG223" s="496"/>
      <c r="GH223" s="496"/>
      <c r="GI223" s="496"/>
      <c r="GJ223" s="496"/>
      <c r="GK223" s="496"/>
      <c r="GL223" s="496"/>
      <c r="GM223" s="496"/>
      <c r="GN223" s="496"/>
      <c r="GO223" s="496"/>
      <c r="GP223" s="496"/>
      <c r="GQ223" s="496"/>
      <c r="GR223" s="496"/>
      <c r="GS223" s="496"/>
      <c r="GT223" s="496"/>
      <c r="GU223" s="496"/>
      <c r="GV223" s="496"/>
      <c r="GW223" s="496"/>
      <c r="GX223" s="496"/>
      <c r="GY223" s="496"/>
      <c r="GZ223" s="496"/>
      <c r="HA223" s="496"/>
      <c r="HB223" s="496"/>
    </row>
    <row r="224" spans="1:242" s="154" customFormat="1" ht="20.100000000000001" customHeight="1">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c r="AA224" s="156"/>
      <c r="AB224" s="156"/>
      <c r="AC224" s="156"/>
      <c r="AD224" s="156"/>
      <c r="AE224" s="156"/>
      <c r="AF224" s="156"/>
      <c r="AG224" s="156"/>
      <c r="AH224" s="156"/>
      <c r="AI224" s="156"/>
      <c r="AJ224" s="156"/>
      <c r="AK224" s="156"/>
      <c r="AL224" s="156"/>
      <c r="AM224" s="156"/>
      <c r="AN224" s="156"/>
      <c r="AO224" s="156"/>
      <c r="AP224" s="156"/>
      <c r="AQ224" s="156"/>
      <c r="AR224" s="156"/>
      <c r="AS224" s="156"/>
      <c r="AT224" s="156"/>
      <c r="AU224" s="156"/>
      <c r="AV224" s="156"/>
      <c r="AW224" s="156"/>
      <c r="AX224" s="156"/>
      <c r="AY224" s="156"/>
      <c r="AZ224" s="156"/>
      <c r="BA224" s="156"/>
      <c r="BB224" s="156"/>
      <c r="BC224" s="156"/>
      <c r="BD224" s="156"/>
      <c r="BE224" s="156"/>
      <c r="BF224" s="156"/>
      <c r="BG224" s="156"/>
      <c r="BH224" s="156"/>
      <c r="BI224" s="156"/>
      <c r="BJ224" s="156"/>
      <c r="BK224" s="156"/>
      <c r="BL224" s="156"/>
      <c r="BM224" s="156"/>
      <c r="BN224" s="156"/>
      <c r="BO224" s="156"/>
      <c r="BP224" s="156"/>
      <c r="BQ224" s="156"/>
      <c r="BR224" s="156"/>
      <c r="BS224" s="156"/>
      <c r="BT224" s="156"/>
      <c r="BU224" s="156"/>
      <c r="BV224" s="156"/>
      <c r="BW224" s="156"/>
      <c r="BX224" s="156"/>
      <c r="BY224" s="156"/>
      <c r="BZ224" s="156"/>
      <c r="CA224" s="156"/>
      <c r="CB224" s="156"/>
      <c r="CC224" s="156"/>
      <c r="CD224" s="156"/>
      <c r="CE224" s="156"/>
      <c r="CF224" s="156"/>
      <c r="CG224" s="156"/>
      <c r="CH224" s="156"/>
      <c r="CI224" s="156"/>
      <c r="CJ224" s="156"/>
      <c r="CK224" s="156"/>
      <c r="CL224" s="156"/>
      <c r="CM224" s="156"/>
      <c r="CN224" s="156"/>
      <c r="CO224" s="156"/>
      <c r="CP224" s="156"/>
      <c r="CQ224" s="156"/>
      <c r="CR224" s="156"/>
      <c r="CS224" s="156"/>
      <c r="CT224" s="156"/>
      <c r="CU224" s="156"/>
      <c r="CV224" s="156"/>
      <c r="CW224" s="156"/>
      <c r="CX224" s="156"/>
      <c r="CY224" s="156"/>
      <c r="CZ224" s="156"/>
      <c r="DA224" s="156"/>
      <c r="DB224" s="156"/>
      <c r="DC224" s="156"/>
      <c r="DD224" s="156"/>
      <c r="DE224" s="156"/>
      <c r="DF224" s="156"/>
      <c r="DG224" s="156"/>
      <c r="DH224" s="156"/>
      <c r="DI224" s="156"/>
      <c r="DJ224" s="156"/>
      <c r="DK224" s="156"/>
      <c r="DL224" s="156"/>
      <c r="DM224" s="156"/>
      <c r="DN224" s="156"/>
      <c r="DO224" s="156"/>
      <c r="DP224" s="156"/>
      <c r="DQ224" s="156"/>
      <c r="DR224" s="156"/>
      <c r="DS224" s="156"/>
      <c r="DT224" s="156"/>
      <c r="DU224" s="156"/>
      <c r="DV224" s="156"/>
      <c r="DW224" s="156"/>
      <c r="DX224" s="156"/>
      <c r="DY224" s="156"/>
      <c r="DZ224" s="156"/>
      <c r="EA224" s="156"/>
      <c r="EB224" s="156"/>
      <c r="EC224" s="156"/>
      <c r="ED224" s="156"/>
      <c r="EE224" s="156"/>
      <c r="EF224" s="156"/>
      <c r="EG224" s="156"/>
      <c r="EH224" s="156"/>
      <c r="EI224" s="156"/>
      <c r="EJ224" s="156"/>
      <c r="EK224" s="156"/>
      <c r="EL224" s="156"/>
      <c r="EM224" s="156"/>
      <c r="EN224" s="156"/>
      <c r="EO224" s="156"/>
      <c r="EP224" s="156"/>
      <c r="EQ224" s="156"/>
      <c r="ER224" s="156"/>
      <c r="ES224" s="156"/>
      <c r="ET224" s="156"/>
      <c r="EU224" s="156"/>
      <c r="EV224" s="156"/>
      <c r="EW224" s="156"/>
      <c r="EX224" s="156"/>
      <c r="EY224" s="156"/>
      <c r="EZ224" s="156"/>
      <c r="FA224" s="156"/>
      <c r="FB224" s="156"/>
      <c r="FC224" s="156"/>
      <c r="FD224" s="156"/>
      <c r="FE224" s="156"/>
      <c r="FF224" s="156"/>
      <c r="FG224" s="156"/>
      <c r="FH224" s="156"/>
      <c r="FI224" s="156"/>
      <c r="FJ224" s="156"/>
      <c r="FK224" s="156"/>
      <c r="FL224" s="156"/>
      <c r="FM224" s="156"/>
      <c r="FN224" s="156"/>
      <c r="FO224" s="156"/>
      <c r="FP224" s="156"/>
      <c r="FQ224" s="156"/>
      <c r="FR224" s="156"/>
      <c r="FS224" s="156"/>
      <c r="FT224" s="156"/>
      <c r="FU224" s="156"/>
      <c r="FV224" s="156"/>
      <c r="FW224" s="156"/>
      <c r="FX224" s="156"/>
      <c r="FY224" s="156"/>
      <c r="FZ224" s="156"/>
      <c r="GA224" s="156"/>
      <c r="GB224" s="156"/>
      <c r="GC224" s="156"/>
      <c r="GD224" s="156"/>
      <c r="GE224" s="156"/>
      <c r="GF224" s="156"/>
      <c r="GG224" s="156"/>
      <c r="GH224" s="156"/>
      <c r="GI224" s="156"/>
      <c r="GJ224" s="156"/>
      <c r="GK224" s="156"/>
      <c r="GL224" s="156"/>
      <c r="GM224" s="156"/>
      <c r="GN224" s="156"/>
      <c r="GO224" s="156"/>
      <c r="GP224" s="156"/>
      <c r="GQ224" s="156"/>
      <c r="GR224" s="156"/>
      <c r="GS224" s="156"/>
      <c r="GT224" s="156"/>
      <c r="GU224" s="156"/>
      <c r="GV224" s="156"/>
      <c r="GW224" s="156"/>
      <c r="GX224" s="156"/>
      <c r="GY224" s="156"/>
      <c r="GZ224" s="156"/>
      <c r="HA224" s="156"/>
      <c r="HB224" s="156"/>
      <c r="HC224" s="156"/>
      <c r="HD224" s="156"/>
      <c r="HE224" s="156"/>
      <c r="HF224" s="156"/>
      <c r="HG224" s="156"/>
      <c r="HH224" s="156"/>
      <c r="HI224" s="156"/>
      <c r="HJ224" s="156"/>
      <c r="HK224" s="156"/>
      <c r="IE224" s="571"/>
      <c r="IF224" s="571"/>
      <c r="IG224" s="571"/>
      <c r="IH224" s="571"/>
    </row>
    <row r="225" spans="1:242" s="164" customFormat="1" ht="20.100000000000001" hidden="1" customHeight="1">
      <c r="A225" s="173" t="s">
        <v>699</v>
      </c>
      <c r="B225" s="173"/>
      <c r="C225" s="179"/>
      <c r="D225" s="180"/>
      <c r="E225" s="181"/>
      <c r="F225" s="180"/>
      <c r="G225" s="180"/>
      <c r="H225" s="181"/>
      <c r="I225" s="180"/>
      <c r="J225" s="180"/>
      <c r="K225" s="181"/>
      <c r="L225" s="180"/>
      <c r="M225" s="180"/>
      <c r="N225" s="181"/>
      <c r="O225" s="180"/>
      <c r="P225" s="180"/>
      <c r="Q225" s="181"/>
      <c r="R225" s="180"/>
      <c r="S225" s="180"/>
      <c r="T225" s="181"/>
      <c r="U225" s="180"/>
      <c r="V225" s="180"/>
      <c r="W225" s="181"/>
      <c r="X225" s="180"/>
      <c r="Y225" s="180"/>
      <c r="Z225" s="181"/>
      <c r="AA225" s="180"/>
      <c r="AB225" s="180"/>
      <c r="AC225" s="181"/>
      <c r="AD225" s="180"/>
      <c r="AE225" s="180"/>
      <c r="AF225" s="181"/>
      <c r="AG225" s="180"/>
      <c r="AH225" s="180"/>
      <c r="AI225" s="181"/>
      <c r="AJ225" s="180"/>
      <c r="AK225" s="180"/>
      <c r="AL225" s="181"/>
      <c r="AM225" s="180"/>
      <c r="AN225" s="180"/>
      <c r="AO225" s="154"/>
      <c r="AP225" s="154"/>
      <c r="AQ225" s="154"/>
      <c r="AR225" s="154"/>
      <c r="AS225" s="154"/>
      <c r="AT225" s="154"/>
      <c r="AU225" s="154"/>
      <c r="AV225" s="154"/>
      <c r="AW225" s="154"/>
      <c r="AX225" s="154"/>
      <c r="AY225" s="154"/>
      <c r="AZ225" s="154"/>
      <c r="BA225" s="154"/>
      <c r="BB225" s="154"/>
      <c r="BC225" s="154"/>
      <c r="BD225" s="154"/>
      <c r="BE225" s="154"/>
      <c r="BF225" s="154"/>
      <c r="BG225" s="154"/>
      <c r="BH225" s="154"/>
      <c r="BI225" s="154"/>
      <c r="BJ225" s="154"/>
      <c r="BK225" s="154"/>
      <c r="BL225" s="154"/>
      <c r="BM225" s="154"/>
      <c r="BN225" s="154"/>
      <c r="BO225" s="154"/>
      <c r="BP225" s="154"/>
      <c r="BQ225" s="154"/>
      <c r="BR225" s="154"/>
      <c r="BS225" s="154"/>
      <c r="BT225" s="154"/>
      <c r="BU225" s="154"/>
      <c r="BV225" s="154"/>
      <c r="BW225" s="154"/>
      <c r="BX225" s="154"/>
      <c r="BY225" s="154"/>
      <c r="BZ225" s="154"/>
      <c r="CA225" s="154"/>
      <c r="CB225" s="154"/>
      <c r="CC225" s="154"/>
      <c r="CD225" s="154"/>
      <c r="CE225" s="154"/>
      <c r="CF225" s="154"/>
      <c r="CG225" s="154"/>
      <c r="CH225" s="154"/>
      <c r="CI225" s="154"/>
      <c r="CJ225" s="154"/>
      <c r="CK225" s="154"/>
      <c r="CL225" s="154"/>
      <c r="CM225" s="154"/>
      <c r="CN225" s="154"/>
      <c r="CO225" s="154"/>
      <c r="CP225" s="154"/>
      <c r="CQ225" s="154"/>
      <c r="CR225" s="154"/>
      <c r="CS225" s="154"/>
      <c r="CT225" s="154"/>
      <c r="CU225" s="154"/>
      <c r="CV225" s="154"/>
      <c r="CW225" s="154"/>
      <c r="CX225" s="154"/>
      <c r="CY225" s="154"/>
      <c r="CZ225" s="154"/>
      <c r="DA225" s="154"/>
      <c r="DB225" s="154"/>
      <c r="DC225" s="154"/>
      <c r="DD225" s="154"/>
      <c r="DE225" s="154"/>
      <c r="DF225" s="154"/>
      <c r="DG225" s="154"/>
      <c r="DH225" s="154"/>
      <c r="DI225" s="154"/>
      <c r="DJ225" s="154"/>
      <c r="DK225" s="154"/>
      <c r="DL225" s="154"/>
      <c r="DM225" s="154"/>
      <c r="DN225" s="154"/>
      <c r="DO225" s="154"/>
      <c r="DP225" s="154"/>
      <c r="DQ225" s="154"/>
      <c r="DR225" s="154"/>
      <c r="DS225" s="154"/>
      <c r="DT225" s="154"/>
      <c r="DU225" s="154"/>
      <c r="DV225" s="154"/>
      <c r="DW225" s="154"/>
      <c r="DX225" s="154"/>
      <c r="DY225" s="154"/>
      <c r="DZ225" s="154"/>
      <c r="EA225" s="154"/>
      <c r="EB225" s="154"/>
      <c r="EC225" s="154"/>
      <c r="ED225" s="154"/>
      <c r="EE225" s="154"/>
      <c r="EF225" s="154"/>
      <c r="EG225" s="154"/>
      <c r="EH225" s="154"/>
      <c r="EI225" s="154"/>
      <c r="EJ225" s="154"/>
      <c r="EK225" s="154"/>
      <c r="EL225" s="154"/>
      <c r="EM225" s="154"/>
      <c r="EN225" s="154"/>
      <c r="EO225" s="154"/>
      <c r="EP225" s="154"/>
      <c r="EQ225" s="154"/>
      <c r="ER225" s="154"/>
      <c r="ES225" s="154"/>
      <c r="ET225" s="154"/>
      <c r="EU225" s="154"/>
      <c r="EV225" s="154"/>
      <c r="EW225" s="154"/>
      <c r="EX225" s="154"/>
      <c r="EY225" s="154"/>
      <c r="EZ225" s="154"/>
      <c r="FA225" s="154"/>
      <c r="FB225" s="154"/>
      <c r="FC225" s="154"/>
      <c r="FD225" s="154"/>
      <c r="FE225" s="154"/>
      <c r="FF225" s="154"/>
      <c r="FG225" s="154"/>
      <c r="FH225" s="154"/>
      <c r="FI225" s="154"/>
      <c r="FJ225" s="154"/>
      <c r="FK225" s="154"/>
      <c r="FL225" s="154"/>
      <c r="FM225" s="154"/>
      <c r="FN225" s="154"/>
      <c r="FO225" s="154"/>
      <c r="FP225" s="154"/>
      <c r="FQ225" s="154"/>
      <c r="FR225" s="154"/>
      <c r="FS225" s="154"/>
      <c r="FT225" s="154"/>
      <c r="FU225" s="154"/>
      <c r="FV225" s="154"/>
      <c r="FW225" s="154"/>
      <c r="FX225" s="154"/>
      <c r="FY225" s="154"/>
      <c r="FZ225" s="154"/>
      <c r="GA225" s="154"/>
      <c r="GB225" s="154"/>
      <c r="GC225" s="154"/>
      <c r="GD225" s="154"/>
      <c r="GE225" s="154"/>
      <c r="GF225" s="154"/>
      <c r="GG225" s="154"/>
      <c r="GH225" s="154"/>
      <c r="GI225" s="154"/>
      <c r="GJ225" s="154"/>
      <c r="GK225" s="154"/>
      <c r="GL225" s="154"/>
      <c r="GM225" s="154"/>
      <c r="GN225" s="154"/>
      <c r="GO225" s="154"/>
      <c r="GP225" s="154"/>
      <c r="GQ225" s="154"/>
      <c r="GR225" s="154"/>
      <c r="GS225" s="154"/>
      <c r="GT225" s="154"/>
      <c r="GU225" s="154"/>
      <c r="GV225" s="154"/>
      <c r="GW225" s="154"/>
      <c r="GX225" s="154"/>
      <c r="GY225" s="154"/>
      <c r="GZ225" s="154"/>
      <c r="HA225" s="154"/>
      <c r="HB225" s="154"/>
      <c r="HC225" s="154"/>
      <c r="HD225" s="154"/>
      <c r="HE225" s="154"/>
      <c r="HF225" s="154"/>
      <c r="HG225" s="154"/>
      <c r="HH225" s="154"/>
      <c r="HI225" s="154"/>
      <c r="HJ225" s="154"/>
      <c r="HK225" s="154"/>
      <c r="IE225" s="579"/>
      <c r="IF225" s="579"/>
      <c r="IG225" s="579"/>
      <c r="IH225" s="579"/>
    </row>
    <row r="226" spans="1:242" s="164" customFormat="1" ht="19.8" hidden="1">
      <c r="A226" s="572">
        <v>0</v>
      </c>
      <c r="B226" s="573" t="s">
        <v>700</v>
      </c>
      <c r="E226" s="156"/>
      <c r="F226" s="1046" t="s">
        <v>646</v>
      </c>
      <c r="G226" s="1047" t="s">
        <v>647</v>
      </c>
      <c r="H226" s="1047"/>
      <c r="I226" s="574" t="s">
        <v>648</v>
      </c>
      <c r="J226" s="575"/>
      <c r="K226" s="576" t="str">
        <f ca="1">OFFSET(貼付け_2025実績,4,SUM(COLUMN()-COLUMN(貼付け_2025実績)))</f>
        <v>横浜1</v>
      </c>
      <c r="L226" s="577"/>
      <c r="M226" s="577"/>
      <c r="N226" s="578"/>
      <c r="O226" s="576" t="str">
        <f ca="1">OFFSET(貼付け_2025実績,4,SUM(COLUMN()-COLUMN(貼付け_2025実績)))</f>
        <v>横浜2</v>
      </c>
      <c r="P226" s="577"/>
      <c r="Q226" s="577"/>
      <c r="R226" s="578"/>
      <c r="S226" s="576" t="str">
        <f ca="1">OFFSET(貼付け_2025実績,4,SUM(COLUMN()-COLUMN(貼付け_2025実績)))</f>
        <v>横浜3</v>
      </c>
      <c r="T226" s="577"/>
      <c r="U226" s="577"/>
      <c r="V226" s="578"/>
      <c r="W226" s="576" t="str">
        <f ca="1">OFFSET(貼付け_2025実績,4,SUM(COLUMN()-COLUMN(貼付け_2025実績)))</f>
        <v>県域1</v>
      </c>
      <c r="X226" s="577"/>
      <c r="Y226" s="577"/>
      <c r="Z226" s="578"/>
      <c r="AA226" s="576" t="str">
        <f ca="1">OFFSET(貼付け_2025実績,4,SUM(COLUMN()-COLUMN(貼付け_2025実績)))</f>
        <v>県域2</v>
      </c>
      <c r="AB226" s="577"/>
      <c r="AC226" s="577"/>
      <c r="AD226" s="578"/>
      <c r="AE226" s="576" t="str">
        <f ca="1">OFFSET(貼付け_2025実績,4,SUM(COLUMN()-COLUMN(貼付け_2025実績)))</f>
        <v>県域3</v>
      </c>
      <c r="AF226" s="577"/>
      <c r="AG226" s="577"/>
      <c r="AH226" s="578"/>
      <c r="AI226" s="576" t="str">
        <f ca="1">OFFSET(貼付け_2025実績,4,SUM(COLUMN()-COLUMN(貼付け_2025実績)))</f>
        <v>エネルギー管理指定工場等1</v>
      </c>
      <c r="AJ226" s="577"/>
      <c r="AK226" s="577"/>
      <c r="AL226" s="578"/>
      <c r="AM226" s="576" t="str">
        <f ca="1">OFFSET(貼付け_2025実績,4,SUM(COLUMN()-COLUMN(貼付け_2025実績)))</f>
        <v>エネルギー管理指定工場等2</v>
      </c>
      <c r="AN226" s="577"/>
      <c r="AO226" s="577"/>
      <c r="AP226" s="578"/>
      <c r="AQ226" s="576" t="str">
        <f ca="1">OFFSET(貼付け_2025実績,4,SUM(COLUMN()-COLUMN(貼付け_2025実績)))</f>
        <v>エネルギー管理指定工場等3</v>
      </c>
      <c r="AR226" s="577"/>
      <c r="AS226" s="577"/>
      <c r="AT226" s="578"/>
      <c r="AU226" s="576" t="str">
        <f ca="1">OFFSET(貼付け_2025実績,4,SUM(COLUMN()-COLUMN(貼付け_2025実績)))</f>
        <v>エネルギー管理指定工場等4</v>
      </c>
      <c r="AV226" s="577"/>
      <c r="AW226" s="577"/>
      <c r="AX226" s="578"/>
      <c r="AY226" s="576" t="str">
        <f ca="1">OFFSET(貼付け_2025実績,4,SUM(COLUMN()-COLUMN(貼付け_2025実績)))</f>
        <v>エネルギー管理指定工場等5</v>
      </c>
      <c r="AZ226" s="577"/>
      <c r="BA226" s="577"/>
      <c r="BB226" s="578"/>
      <c r="BC226" s="576" t="str">
        <f ca="1">OFFSET(貼付け_2025実績,4,SUM(COLUMN()-COLUMN(貼付け_2025実績)))</f>
        <v>エネルギー管理指定工場等6</v>
      </c>
      <c r="BD226" s="577"/>
      <c r="BE226" s="577"/>
      <c r="BF226" s="578"/>
      <c r="BG226" s="576" t="str">
        <f ca="1">OFFSET(貼付け_2025実績,4,SUM(COLUMN()-COLUMN(貼付け_2025実績)))</f>
        <v>エネルギー管理指定工場等7</v>
      </c>
      <c r="BH226" s="577"/>
      <c r="BI226" s="577"/>
      <c r="BJ226" s="578"/>
      <c r="BK226" s="576" t="str">
        <f ca="1">OFFSET(貼付け_2025実績,4,SUM(COLUMN()-COLUMN(貼付け_2025実績)))</f>
        <v>エネルギー管理指定工場等8</v>
      </c>
      <c r="BL226" s="577"/>
      <c r="BM226" s="577"/>
      <c r="BN226" s="578"/>
      <c r="BO226" s="576" t="str">
        <f ca="1">OFFSET(貼付け_2025実績,4,SUM(COLUMN()-COLUMN(貼付け_2025実績)))</f>
        <v>エネルギー管理指定工場等9</v>
      </c>
      <c r="BP226" s="577"/>
      <c r="BQ226" s="577"/>
      <c r="BR226" s="578"/>
      <c r="BS226" s="576" t="str">
        <f ca="1">OFFSET(貼付け_2025実績,4,SUM(COLUMN()-COLUMN(貼付け_2025実績)))</f>
        <v>エネルギー管理指定工場等10</v>
      </c>
      <c r="BT226" s="577"/>
      <c r="BU226" s="577"/>
      <c r="BV226" s="578"/>
      <c r="BW226" s="576">
        <f ca="1">OFFSET(貼付け_2025実績,4,SUM(COLUMN()-COLUMN(貼付け_2025実績)))</f>
        <v>0</v>
      </c>
      <c r="BX226" s="577"/>
      <c r="BY226" s="577"/>
      <c r="BZ226" s="578"/>
      <c r="CA226" s="576" t="str">
        <f ca="1">OFFSET(貼付け_2025実績,4,SUM(COLUMN()-COLUMN(貼付け_2025実績)))</f>
        <v>県域4</v>
      </c>
      <c r="CB226" s="577"/>
      <c r="CC226" s="577"/>
      <c r="CD226" s="578"/>
      <c r="CE226" s="576" t="str">
        <f ca="1">OFFSET(貼付け_2025実績,4,SUM(COLUMN()-COLUMN(貼付け_2025実績)))</f>
        <v>県域5</v>
      </c>
      <c r="CF226" s="577"/>
      <c r="CG226" s="577"/>
      <c r="CH226" s="578"/>
      <c r="CI226" s="576" t="str">
        <f ca="1">OFFSET(貼付け_2025実績,4,SUM(COLUMN()-COLUMN(貼付け_2025実績)))</f>
        <v>県域6</v>
      </c>
      <c r="CJ226" s="577"/>
      <c r="CK226" s="577"/>
      <c r="CL226" s="578"/>
      <c r="CM226" s="576" t="str">
        <f ca="1">OFFSET(貼付け_2025実績,4,SUM(COLUMN()-COLUMN(貼付け_2025実績)))</f>
        <v>県域7</v>
      </c>
      <c r="CN226" s="577"/>
      <c r="CO226" s="577"/>
      <c r="CP226" s="578"/>
      <c r="CQ226" s="576" t="str">
        <f ca="1">OFFSET(貼付け_2025実績,4,SUM(COLUMN()-COLUMN(貼付け_2025実績)))</f>
        <v>県域8</v>
      </c>
      <c r="CR226" s="577"/>
      <c r="CS226" s="577"/>
      <c r="CT226" s="578"/>
      <c r="CU226" s="576" t="str">
        <f ca="1">OFFSET(貼付け_2025実績,4,SUM(COLUMN()-COLUMN(貼付け_2025実績)))</f>
        <v>県域9</v>
      </c>
      <c r="CV226" s="577"/>
      <c r="CW226" s="577"/>
      <c r="CX226" s="578"/>
      <c r="CY226" s="576" t="str">
        <f ca="1">OFFSET(貼付け_2025実績,4,SUM(COLUMN()-COLUMN(貼付け_2025実績)))</f>
        <v>県域10</v>
      </c>
      <c r="CZ226" s="577"/>
      <c r="DA226" s="577"/>
      <c r="DB226" s="578"/>
      <c r="DC226" s="576" t="str">
        <f ca="1">OFFSET(貼付け_2025実績,4,SUM(COLUMN()-COLUMN(貼付け_2025実績)))</f>
        <v>横浜3</v>
      </c>
      <c r="DD226" s="577"/>
      <c r="DE226" s="577"/>
      <c r="DF226" s="578"/>
      <c r="DG226" s="576" t="str">
        <f ca="1">OFFSET(貼付け_2025実績,4,SUM(COLUMN()-COLUMN(貼付け_2025実績)))</f>
        <v>横浜4</v>
      </c>
      <c r="DH226" s="577"/>
      <c r="DI226" s="577"/>
      <c r="DJ226" s="578"/>
      <c r="DK226" s="576" t="str">
        <f ca="1">OFFSET(貼付け_2025実績,4,SUM(COLUMN()-COLUMN(貼付け_2025実績)))</f>
        <v>横浜5</v>
      </c>
      <c r="DL226" s="577"/>
      <c r="DM226" s="577"/>
      <c r="DN226" s="578"/>
      <c r="DO226" s="576" t="str">
        <f ca="1">OFFSET(貼付け_2025実績,4,SUM(COLUMN()-COLUMN(貼付け_2025実績)))</f>
        <v>横浜6</v>
      </c>
      <c r="DP226" s="577"/>
      <c r="DQ226" s="577"/>
      <c r="DR226" s="578"/>
      <c r="DS226" s="576" t="str">
        <f ca="1">OFFSET(貼付け_2025実績,4,SUM(COLUMN()-COLUMN(貼付け_2025実績)))</f>
        <v>横浜7</v>
      </c>
      <c r="DT226" s="577"/>
      <c r="DU226" s="577"/>
      <c r="DV226" s="578"/>
      <c r="DW226" s="576" t="str">
        <f ca="1">OFFSET(貼付け_2025実績,4,SUM(COLUMN()-COLUMN(貼付け_2025実績)))</f>
        <v>横浜8</v>
      </c>
      <c r="DX226" s="577"/>
      <c r="DY226" s="577"/>
      <c r="DZ226" s="578"/>
      <c r="EA226" s="576" t="str">
        <f ca="1">OFFSET(貼付け_2025実績,4,SUM(COLUMN()-COLUMN(貼付け_2025実績)))</f>
        <v>横浜9</v>
      </c>
      <c r="EB226" s="577"/>
      <c r="EC226" s="577"/>
      <c r="ED226" s="578"/>
      <c r="EE226" s="576" t="str">
        <f ca="1">OFFSET(貼付け_2025実績,4,SUM(COLUMN()-COLUMN(貼付け_2025実績)))</f>
        <v>横浜10</v>
      </c>
      <c r="EF226" s="577"/>
      <c r="EG226" s="577"/>
      <c r="EH226" s="578"/>
      <c r="EI226" s="576" t="str">
        <f ca="1">OFFSET(貼付け_2025実績,4,SUM(COLUMN()-COLUMN(貼付け_2025実績)))</f>
        <v>川崎1</v>
      </c>
      <c r="EJ226" s="577"/>
      <c r="EK226" s="577"/>
      <c r="EL226" s="578"/>
      <c r="EM226" s="576" t="str">
        <f ca="1">OFFSET(貼付け_2025実績,4,SUM(COLUMN()-COLUMN(貼付け_2025実績)))</f>
        <v>川崎2</v>
      </c>
      <c r="EN226" s="577"/>
      <c r="EO226" s="577"/>
      <c r="EP226" s="578"/>
      <c r="EQ226" s="576" t="str">
        <f ca="1">OFFSET(貼付け_2025実績,4,SUM(COLUMN()-COLUMN(貼付け_2025実績)))</f>
        <v>川崎3</v>
      </c>
      <c r="ER226" s="577"/>
      <c r="ES226" s="577"/>
      <c r="ET226" s="578"/>
      <c r="EU226" s="576" t="str">
        <f ca="1">OFFSET(貼付け_2025実績,4,SUM(COLUMN()-COLUMN(貼付け_2025実績)))</f>
        <v>川崎6</v>
      </c>
      <c r="EV226" s="577"/>
      <c r="EW226" s="577"/>
      <c r="EX226" s="578"/>
      <c r="EY226" s="576" t="str">
        <f ca="1">OFFSET(貼付け_2025実績,4,SUM(COLUMN()-COLUMN(貼付け_2025実績)))</f>
        <v>川崎7</v>
      </c>
      <c r="EZ226" s="577"/>
      <c r="FA226" s="577"/>
      <c r="FB226" s="578"/>
      <c r="FC226" s="576" t="str">
        <f ca="1">OFFSET(貼付け_2025実績,4,SUM(COLUMN()-COLUMN(貼付け_2025実績)))</f>
        <v>川崎8</v>
      </c>
      <c r="FD226" s="577"/>
      <c r="FE226" s="577"/>
      <c r="FF226" s="578"/>
      <c r="FG226" s="576" t="str">
        <f ca="1">OFFSET(貼付け_2025実績,4,SUM(COLUMN()-COLUMN(貼付け_2025実績)))</f>
        <v>川崎9</v>
      </c>
      <c r="FH226" s="577"/>
      <c r="FI226" s="577"/>
      <c r="FJ226" s="578"/>
      <c r="FK226" s="576" t="str">
        <f ca="1">OFFSET(貼付け_2025実績,4,SUM(COLUMN()-COLUMN(貼付け_2025実績)))</f>
        <v>川崎10</v>
      </c>
      <c r="FL226" s="577"/>
      <c r="FM226" s="577"/>
      <c r="FN226" s="578"/>
      <c r="FO226" s="576" t="str">
        <f ca="1">OFFSET(貼付け_2025実績,4,SUM(COLUMN()-COLUMN(貼付け_2025実績)))</f>
        <v>川崎11</v>
      </c>
      <c r="FP226" s="577"/>
      <c r="FQ226" s="577"/>
      <c r="FR226" s="578"/>
      <c r="FS226" s="576" t="str">
        <f ca="1">OFFSET(貼付け_2025実績,4,SUM(COLUMN()-COLUMN(貼付け_2025実績)))</f>
        <v>川崎12</v>
      </c>
      <c r="FT226" s="577"/>
      <c r="FU226" s="577"/>
      <c r="FV226" s="578"/>
      <c r="FW226" s="576" t="str">
        <f ca="1">OFFSET(貼付け_2025実績,4,SUM(COLUMN()-COLUMN(貼付け_2025実績)))</f>
        <v>川崎13</v>
      </c>
      <c r="FX226" s="577"/>
      <c r="FY226" s="577"/>
      <c r="FZ226" s="578"/>
      <c r="GA226" s="576" t="str">
        <f ca="1">OFFSET(貼付け_2025実績,4,SUM(COLUMN()-COLUMN(貼付け_2025実績)))</f>
        <v>川崎14</v>
      </c>
      <c r="GB226" s="577"/>
      <c r="GC226" s="577"/>
      <c r="GD226" s="578"/>
      <c r="GE226" s="576" t="str">
        <f ca="1">OFFSET(貼付け_2025実績,4,SUM(COLUMN()-COLUMN(貼付け_2025実績)))</f>
        <v>川崎15</v>
      </c>
      <c r="GF226" s="577"/>
      <c r="GG226" s="577"/>
      <c r="GH226" s="578"/>
      <c r="GI226" s="576" t="str">
        <f ca="1">OFFSET(貼付け_2025実績,4,SUM(COLUMN()-COLUMN(貼付け_2025実績)))</f>
        <v>川崎16</v>
      </c>
      <c r="GJ226" s="577"/>
      <c r="GK226" s="577"/>
      <c r="GL226" s="578"/>
      <c r="GM226" s="576" t="str">
        <f ca="1">OFFSET(貼付け_2025実績,4,SUM(COLUMN()-COLUMN(貼付け_2025実績)))</f>
        <v>川崎17</v>
      </c>
      <c r="GN226" s="577"/>
      <c r="GO226" s="577"/>
      <c r="GP226" s="578"/>
      <c r="GQ226" s="576" t="str">
        <f ca="1">OFFSET(貼付け_2025実績,4,SUM(COLUMN()-COLUMN(貼付け_2025実績)))</f>
        <v>川崎18</v>
      </c>
      <c r="GR226" s="577"/>
      <c r="GS226" s="577"/>
      <c r="GT226" s="578"/>
      <c r="GU226" s="576" t="str">
        <f ca="1">OFFSET(貼付け_2025実績,4,SUM(COLUMN()-COLUMN(貼付け_2025実績)))</f>
        <v>川崎19</v>
      </c>
      <c r="GV226" s="577"/>
      <c r="GW226" s="577"/>
      <c r="GX226" s="578"/>
      <c r="GY226" s="576" t="str">
        <f ca="1">OFFSET(貼付け_2025実績,4,SUM(COLUMN()-COLUMN(貼付け_2025実績)))</f>
        <v>川崎20</v>
      </c>
      <c r="GZ226" s="577"/>
      <c r="HA226" s="577"/>
      <c r="HB226" s="578"/>
      <c r="IE226" s="579"/>
      <c r="IF226" s="579"/>
      <c r="IG226" s="579"/>
      <c r="IH226" s="579"/>
    </row>
    <row r="227" spans="1:242" s="164" customFormat="1" ht="19.8" hidden="1">
      <c r="A227" s="572">
        <v>1</v>
      </c>
      <c r="C227" s="156"/>
      <c r="D227" s="156"/>
      <c r="E227" s="156"/>
      <c r="F227" s="1046"/>
      <c r="G227" s="580" t="s">
        <v>649</v>
      </c>
      <c r="H227" s="580" t="s">
        <v>650</v>
      </c>
      <c r="I227" s="581" t="s">
        <v>651</v>
      </c>
      <c r="J227" s="581" t="s">
        <v>652</v>
      </c>
      <c r="K227" s="582" t="s">
        <v>449</v>
      </c>
      <c r="L227" s="583" t="s">
        <v>450</v>
      </c>
      <c r="M227" s="583" t="s">
        <v>451</v>
      </c>
      <c r="N227" s="583" t="s">
        <v>452</v>
      </c>
      <c r="O227" s="582" t="s">
        <v>449</v>
      </c>
      <c r="P227" s="583" t="s">
        <v>450</v>
      </c>
      <c r="Q227" s="583" t="s">
        <v>451</v>
      </c>
      <c r="R227" s="583" t="s">
        <v>452</v>
      </c>
      <c r="S227" s="582" t="s">
        <v>449</v>
      </c>
      <c r="T227" s="583" t="s">
        <v>450</v>
      </c>
      <c r="U227" s="583" t="s">
        <v>451</v>
      </c>
      <c r="V227" s="583" t="s">
        <v>452</v>
      </c>
      <c r="W227" s="582" t="s">
        <v>449</v>
      </c>
      <c r="X227" s="583" t="s">
        <v>450</v>
      </c>
      <c r="Y227" s="583" t="s">
        <v>451</v>
      </c>
      <c r="Z227" s="583" t="s">
        <v>452</v>
      </c>
      <c r="AA227" s="582" t="s">
        <v>449</v>
      </c>
      <c r="AB227" s="583" t="s">
        <v>450</v>
      </c>
      <c r="AC227" s="583" t="s">
        <v>451</v>
      </c>
      <c r="AD227" s="583" t="s">
        <v>452</v>
      </c>
      <c r="AE227" s="582" t="s">
        <v>449</v>
      </c>
      <c r="AF227" s="583" t="s">
        <v>450</v>
      </c>
      <c r="AG227" s="583" t="s">
        <v>451</v>
      </c>
      <c r="AH227" s="583" t="s">
        <v>452</v>
      </c>
      <c r="AI227" s="582" t="s">
        <v>449</v>
      </c>
      <c r="AJ227" s="583" t="s">
        <v>450</v>
      </c>
      <c r="AK227" s="583" t="s">
        <v>451</v>
      </c>
      <c r="AL227" s="583" t="s">
        <v>452</v>
      </c>
      <c r="AM227" s="582" t="s">
        <v>449</v>
      </c>
      <c r="AN227" s="583" t="s">
        <v>450</v>
      </c>
      <c r="AO227" s="583" t="s">
        <v>451</v>
      </c>
      <c r="AP227" s="583" t="s">
        <v>452</v>
      </c>
      <c r="AQ227" s="582" t="s">
        <v>449</v>
      </c>
      <c r="AR227" s="583" t="s">
        <v>450</v>
      </c>
      <c r="AS227" s="583" t="s">
        <v>451</v>
      </c>
      <c r="AT227" s="583" t="s">
        <v>452</v>
      </c>
      <c r="AU227" s="582" t="s">
        <v>449</v>
      </c>
      <c r="AV227" s="583" t="s">
        <v>450</v>
      </c>
      <c r="AW227" s="583" t="s">
        <v>451</v>
      </c>
      <c r="AX227" s="583" t="s">
        <v>452</v>
      </c>
      <c r="AY227" s="582" t="s">
        <v>449</v>
      </c>
      <c r="AZ227" s="583" t="s">
        <v>450</v>
      </c>
      <c r="BA227" s="583" t="s">
        <v>451</v>
      </c>
      <c r="BB227" s="583" t="s">
        <v>452</v>
      </c>
      <c r="BC227" s="582" t="s">
        <v>449</v>
      </c>
      <c r="BD227" s="583" t="s">
        <v>450</v>
      </c>
      <c r="BE227" s="583" t="s">
        <v>451</v>
      </c>
      <c r="BF227" s="583" t="s">
        <v>452</v>
      </c>
      <c r="BG227" s="582" t="s">
        <v>449</v>
      </c>
      <c r="BH227" s="583" t="s">
        <v>450</v>
      </c>
      <c r="BI227" s="583" t="s">
        <v>451</v>
      </c>
      <c r="BJ227" s="583" t="s">
        <v>452</v>
      </c>
      <c r="BK227" s="582" t="s">
        <v>449</v>
      </c>
      <c r="BL227" s="583" t="s">
        <v>450</v>
      </c>
      <c r="BM227" s="583" t="s">
        <v>451</v>
      </c>
      <c r="BN227" s="583" t="s">
        <v>452</v>
      </c>
      <c r="BO227" s="582" t="s">
        <v>449</v>
      </c>
      <c r="BP227" s="583" t="s">
        <v>450</v>
      </c>
      <c r="BQ227" s="583" t="s">
        <v>451</v>
      </c>
      <c r="BR227" s="583" t="s">
        <v>452</v>
      </c>
      <c r="BS227" s="582" t="s">
        <v>449</v>
      </c>
      <c r="BT227" s="583" t="s">
        <v>450</v>
      </c>
      <c r="BU227" s="583" t="s">
        <v>451</v>
      </c>
      <c r="BV227" s="583" t="s">
        <v>452</v>
      </c>
      <c r="BW227" s="582" t="s">
        <v>449</v>
      </c>
      <c r="BX227" s="583" t="s">
        <v>450</v>
      </c>
      <c r="BY227" s="583" t="s">
        <v>451</v>
      </c>
      <c r="BZ227" s="583" t="s">
        <v>452</v>
      </c>
      <c r="CA227" s="582" t="s">
        <v>449</v>
      </c>
      <c r="CB227" s="583" t="s">
        <v>450</v>
      </c>
      <c r="CC227" s="583" t="s">
        <v>451</v>
      </c>
      <c r="CD227" s="583" t="s">
        <v>452</v>
      </c>
      <c r="CE227" s="582" t="s">
        <v>449</v>
      </c>
      <c r="CF227" s="583" t="s">
        <v>450</v>
      </c>
      <c r="CG227" s="583" t="s">
        <v>451</v>
      </c>
      <c r="CH227" s="583" t="s">
        <v>452</v>
      </c>
      <c r="CI227" s="582" t="s">
        <v>449</v>
      </c>
      <c r="CJ227" s="583" t="s">
        <v>450</v>
      </c>
      <c r="CK227" s="583" t="s">
        <v>451</v>
      </c>
      <c r="CL227" s="583" t="s">
        <v>452</v>
      </c>
      <c r="CM227" s="582" t="s">
        <v>449</v>
      </c>
      <c r="CN227" s="583" t="s">
        <v>450</v>
      </c>
      <c r="CO227" s="583" t="s">
        <v>451</v>
      </c>
      <c r="CP227" s="583" t="s">
        <v>452</v>
      </c>
      <c r="CQ227" s="582" t="s">
        <v>449</v>
      </c>
      <c r="CR227" s="583" t="s">
        <v>450</v>
      </c>
      <c r="CS227" s="583" t="s">
        <v>451</v>
      </c>
      <c r="CT227" s="583" t="s">
        <v>452</v>
      </c>
      <c r="CU227" s="582" t="s">
        <v>449</v>
      </c>
      <c r="CV227" s="583" t="s">
        <v>450</v>
      </c>
      <c r="CW227" s="583" t="s">
        <v>451</v>
      </c>
      <c r="CX227" s="583" t="s">
        <v>452</v>
      </c>
      <c r="CY227" s="582" t="s">
        <v>449</v>
      </c>
      <c r="CZ227" s="583" t="s">
        <v>450</v>
      </c>
      <c r="DA227" s="583" t="s">
        <v>451</v>
      </c>
      <c r="DB227" s="583" t="s">
        <v>452</v>
      </c>
      <c r="DC227" s="582" t="s">
        <v>449</v>
      </c>
      <c r="DD227" s="583" t="s">
        <v>450</v>
      </c>
      <c r="DE227" s="583" t="s">
        <v>451</v>
      </c>
      <c r="DF227" s="583" t="s">
        <v>452</v>
      </c>
      <c r="DG227" s="582" t="s">
        <v>449</v>
      </c>
      <c r="DH227" s="583" t="s">
        <v>450</v>
      </c>
      <c r="DI227" s="583" t="s">
        <v>451</v>
      </c>
      <c r="DJ227" s="583" t="s">
        <v>452</v>
      </c>
      <c r="DK227" s="582" t="s">
        <v>449</v>
      </c>
      <c r="DL227" s="583" t="s">
        <v>450</v>
      </c>
      <c r="DM227" s="583" t="s">
        <v>451</v>
      </c>
      <c r="DN227" s="583" t="s">
        <v>452</v>
      </c>
      <c r="DO227" s="582" t="s">
        <v>449</v>
      </c>
      <c r="DP227" s="583" t="s">
        <v>450</v>
      </c>
      <c r="DQ227" s="583" t="s">
        <v>451</v>
      </c>
      <c r="DR227" s="583" t="s">
        <v>452</v>
      </c>
      <c r="DS227" s="582" t="s">
        <v>449</v>
      </c>
      <c r="DT227" s="583" t="s">
        <v>450</v>
      </c>
      <c r="DU227" s="583" t="s">
        <v>451</v>
      </c>
      <c r="DV227" s="583" t="s">
        <v>452</v>
      </c>
      <c r="DW227" s="582" t="s">
        <v>449</v>
      </c>
      <c r="DX227" s="583" t="s">
        <v>450</v>
      </c>
      <c r="DY227" s="583" t="s">
        <v>451</v>
      </c>
      <c r="DZ227" s="583" t="s">
        <v>452</v>
      </c>
      <c r="EA227" s="582" t="s">
        <v>449</v>
      </c>
      <c r="EB227" s="583" t="s">
        <v>450</v>
      </c>
      <c r="EC227" s="583" t="s">
        <v>451</v>
      </c>
      <c r="ED227" s="583" t="s">
        <v>452</v>
      </c>
      <c r="EE227" s="582" t="s">
        <v>449</v>
      </c>
      <c r="EF227" s="583" t="s">
        <v>450</v>
      </c>
      <c r="EG227" s="583" t="s">
        <v>451</v>
      </c>
      <c r="EH227" s="583" t="s">
        <v>452</v>
      </c>
      <c r="EI227" s="582" t="s">
        <v>449</v>
      </c>
      <c r="EJ227" s="583" t="s">
        <v>450</v>
      </c>
      <c r="EK227" s="583" t="s">
        <v>451</v>
      </c>
      <c r="EL227" s="583" t="s">
        <v>452</v>
      </c>
      <c r="EM227" s="582" t="s">
        <v>449</v>
      </c>
      <c r="EN227" s="583" t="s">
        <v>450</v>
      </c>
      <c r="EO227" s="583" t="s">
        <v>451</v>
      </c>
      <c r="EP227" s="583" t="s">
        <v>452</v>
      </c>
      <c r="EQ227" s="582" t="s">
        <v>449</v>
      </c>
      <c r="ER227" s="583" t="s">
        <v>450</v>
      </c>
      <c r="ES227" s="583" t="s">
        <v>451</v>
      </c>
      <c r="ET227" s="583" t="s">
        <v>452</v>
      </c>
      <c r="EU227" s="582" t="s">
        <v>449</v>
      </c>
      <c r="EV227" s="583" t="s">
        <v>450</v>
      </c>
      <c r="EW227" s="583" t="s">
        <v>451</v>
      </c>
      <c r="EX227" s="583" t="s">
        <v>452</v>
      </c>
      <c r="EY227" s="582" t="s">
        <v>449</v>
      </c>
      <c r="EZ227" s="583" t="s">
        <v>450</v>
      </c>
      <c r="FA227" s="583" t="s">
        <v>451</v>
      </c>
      <c r="FB227" s="583" t="s">
        <v>452</v>
      </c>
      <c r="FC227" s="582" t="s">
        <v>449</v>
      </c>
      <c r="FD227" s="583" t="s">
        <v>450</v>
      </c>
      <c r="FE227" s="583" t="s">
        <v>451</v>
      </c>
      <c r="FF227" s="583" t="s">
        <v>452</v>
      </c>
      <c r="FG227" s="582" t="s">
        <v>449</v>
      </c>
      <c r="FH227" s="583" t="s">
        <v>450</v>
      </c>
      <c r="FI227" s="583" t="s">
        <v>451</v>
      </c>
      <c r="FJ227" s="583" t="s">
        <v>452</v>
      </c>
      <c r="FK227" s="582" t="s">
        <v>449</v>
      </c>
      <c r="FL227" s="583" t="s">
        <v>450</v>
      </c>
      <c r="FM227" s="583" t="s">
        <v>451</v>
      </c>
      <c r="FN227" s="583" t="s">
        <v>452</v>
      </c>
      <c r="FO227" s="582" t="s">
        <v>449</v>
      </c>
      <c r="FP227" s="583" t="s">
        <v>450</v>
      </c>
      <c r="FQ227" s="583" t="s">
        <v>451</v>
      </c>
      <c r="FR227" s="583" t="s">
        <v>452</v>
      </c>
      <c r="FS227" s="582" t="s">
        <v>449</v>
      </c>
      <c r="FT227" s="583" t="s">
        <v>450</v>
      </c>
      <c r="FU227" s="583" t="s">
        <v>451</v>
      </c>
      <c r="FV227" s="583" t="s">
        <v>452</v>
      </c>
      <c r="FW227" s="582" t="s">
        <v>449</v>
      </c>
      <c r="FX227" s="583" t="s">
        <v>450</v>
      </c>
      <c r="FY227" s="583" t="s">
        <v>451</v>
      </c>
      <c r="FZ227" s="583" t="s">
        <v>452</v>
      </c>
      <c r="GA227" s="582" t="s">
        <v>449</v>
      </c>
      <c r="GB227" s="583" t="s">
        <v>450</v>
      </c>
      <c r="GC227" s="583" t="s">
        <v>451</v>
      </c>
      <c r="GD227" s="583" t="s">
        <v>452</v>
      </c>
      <c r="GE227" s="582" t="s">
        <v>449</v>
      </c>
      <c r="GF227" s="583" t="s">
        <v>450</v>
      </c>
      <c r="GG227" s="583" t="s">
        <v>451</v>
      </c>
      <c r="GH227" s="583" t="s">
        <v>452</v>
      </c>
      <c r="GI227" s="582" t="s">
        <v>449</v>
      </c>
      <c r="GJ227" s="583" t="s">
        <v>450</v>
      </c>
      <c r="GK227" s="583" t="s">
        <v>451</v>
      </c>
      <c r="GL227" s="583" t="s">
        <v>452</v>
      </c>
      <c r="GM227" s="582" t="s">
        <v>449</v>
      </c>
      <c r="GN227" s="583" t="s">
        <v>450</v>
      </c>
      <c r="GO227" s="583" t="s">
        <v>451</v>
      </c>
      <c r="GP227" s="583" t="s">
        <v>452</v>
      </c>
      <c r="GQ227" s="582" t="s">
        <v>449</v>
      </c>
      <c r="GR227" s="583" t="s">
        <v>450</v>
      </c>
      <c r="GS227" s="583" t="s">
        <v>451</v>
      </c>
      <c r="GT227" s="583" t="s">
        <v>452</v>
      </c>
      <c r="GU227" s="582" t="s">
        <v>449</v>
      </c>
      <c r="GV227" s="583" t="s">
        <v>450</v>
      </c>
      <c r="GW227" s="583" t="s">
        <v>451</v>
      </c>
      <c r="GX227" s="583" t="s">
        <v>452</v>
      </c>
      <c r="GY227" s="582" t="s">
        <v>449</v>
      </c>
      <c r="GZ227" s="583" t="s">
        <v>450</v>
      </c>
      <c r="HA227" s="583" t="s">
        <v>451</v>
      </c>
      <c r="HB227" s="583" t="s">
        <v>452</v>
      </c>
      <c r="IE227" s="579"/>
      <c r="IF227" s="579"/>
      <c r="IG227" s="579"/>
      <c r="IH227" s="579"/>
    </row>
    <row r="228" spans="1:242" s="164" customFormat="1" ht="19.8" hidden="1">
      <c r="A228" s="572">
        <v>2</v>
      </c>
      <c r="C228" s="584" t="s">
        <v>653</v>
      </c>
      <c r="D228" s="585"/>
      <c r="E228" s="586"/>
      <c r="F228" s="587">
        <v>200</v>
      </c>
      <c r="G228" s="587">
        <v>103</v>
      </c>
      <c r="H228" s="587">
        <v>169</v>
      </c>
      <c r="I228" s="587">
        <f ca="1">SUMPRODUCT(OFFSET(貼付け_2025実績,$F228,6,5,1),OFFSET(貼付け_2025実績,$F228,SUM(COLUMN()-COLUMN(貼付け_2025実績)),5,1))</f>
        <v>0</v>
      </c>
      <c r="J228" s="587">
        <f ca="1">SUMPRODUCT(OFFSET(貼付け_2025実績,$F228,6,5,1),OFFSET(貼付け_2025実績,$F228,SUM(COLUMN()-COLUMN(貼付け_2025実績)),5,1))</f>
        <v>0</v>
      </c>
      <c r="K228" s="587">
        <f t="shared" ref="K228:AP228" ca="1" si="85">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L228" s="587">
        <f t="shared" ca="1" si="85"/>
        <v>0</v>
      </c>
      <c r="M228" s="587">
        <f t="shared" ca="1" si="85"/>
        <v>0</v>
      </c>
      <c r="N228" s="587">
        <f t="shared" ca="1" si="85"/>
        <v>0</v>
      </c>
      <c r="O228" s="587">
        <f ca="1">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P228" s="587">
        <f t="shared" ca="1" si="85"/>
        <v>0</v>
      </c>
      <c r="Q228" s="587">
        <f t="shared" ca="1" si="85"/>
        <v>0</v>
      </c>
      <c r="R228" s="587">
        <f t="shared" ca="1" si="85"/>
        <v>0</v>
      </c>
      <c r="S228" s="587">
        <f t="shared" ca="1" si="85"/>
        <v>0</v>
      </c>
      <c r="T228" s="587">
        <f t="shared" ca="1" si="85"/>
        <v>0</v>
      </c>
      <c r="U228" s="587">
        <f t="shared" ca="1" si="85"/>
        <v>0</v>
      </c>
      <c r="V228" s="587">
        <f t="shared" ca="1" si="85"/>
        <v>0</v>
      </c>
      <c r="W228" s="587">
        <f t="shared" ca="1" si="85"/>
        <v>0</v>
      </c>
      <c r="X228" s="587">
        <f t="shared" ca="1" si="85"/>
        <v>0</v>
      </c>
      <c r="Y228" s="587">
        <f t="shared" ca="1" si="85"/>
        <v>0</v>
      </c>
      <c r="Z228" s="587">
        <f t="shared" ca="1" si="85"/>
        <v>0</v>
      </c>
      <c r="AA228" s="587">
        <f t="shared" ca="1" si="85"/>
        <v>0</v>
      </c>
      <c r="AB228" s="587">
        <f t="shared" ca="1" si="85"/>
        <v>0</v>
      </c>
      <c r="AC228" s="587">
        <f t="shared" ca="1" si="85"/>
        <v>0</v>
      </c>
      <c r="AD228" s="587">
        <f t="shared" ca="1" si="85"/>
        <v>0</v>
      </c>
      <c r="AE228" s="587">
        <f t="shared" ca="1" si="85"/>
        <v>0</v>
      </c>
      <c r="AF228" s="587">
        <f t="shared" ca="1" si="85"/>
        <v>0</v>
      </c>
      <c r="AG228" s="587">
        <f t="shared" ca="1" si="85"/>
        <v>0</v>
      </c>
      <c r="AH228" s="587">
        <f t="shared" ca="1" si="85"/>
        <v>0</v>
      </c>
      <c r="AI228" s="587">
        <f t="shared" ca="1" si="85"/>
        <v>0</v>
      </c>
      <c r="AJ228" s="587">
        <f t="shared" ca="1" si="85"/>
        <v>0</v>
      </c>
      <c r="AK228" s="587">
        <f t="shared" ca="1" si="85"/>
        <v>0</v>
      </c>
      <c r="AL228" s="587">
        <f t="shared" ca="1" si="85"/>
        <v>0</v>
      </c>
      <c r="AM228" s="587">
        <f t="shared" ca="1" si="85"/>
        <v>0</v>
      </c>
      <c r="AN228" s="587">
        <f t="shared" ca="1" si="85"/>
        <v>0</v>
      </c>
      <c r="AO228" s="587">
        <f t="shared" ca="1" si="85"/>
        <v>0</v>
      </c>
      <c r="AP228" s="587">
        <f t="shared" ca="1" si="85"/>
        <v>0</v>
      </c>
      <c r="AQ228" s="587">
        <f t="shared" ref="AQ228:BV228" ca="1" si="86">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AR228" s="587">
        <f t="shared" ca="1" si="86"/>
        <v>0</v>
      </c>
      <c r="AS228" s="587">
        <f t="shared" ca="1" si="86"/>
        <v>0</v>
      </c>
      <c r="AT228" s="587">
        <f t="shared" ca="1" si="86"/>
        <v>0</v>
      </c>
      <c r="AU228" s="587">
        <f t="shared" ca="1" si="86"/>
        <v>0</v>
      </c>
      <c r="AV228" s="587">
        <f t="shared" ca="1" si="86"/>
        <v>0</v>
      </c>
      <c r="AW228" s="587">
        <f t="shared" ca="1" si="86"/>
        <v>0</v>
      </c>
      <c r="AX228" s="587">
        <f t="shared" ca="1" si="86"/>
        <v>0</v>
      </c>
      <c r="AY228" s="587">
        <f t="shared" ca="1" si="86"/>
        <v>0</v>
      </c>
      <c r="AZ228" s="587">
        <f t="shared" ca="1" si="86"/>
        <v>0</v>
      </c>
      <c r="BA228" s="587">
        <f t="shared" ca="1" si="86"/>
        <v>0</v>
      </c>
      <c r="BB228" s="587">
        <f t="shared" ca="1" si="86"/>
        <v>0</v>
      </c>
      <c r="BC228" s="587">
        <f t="shared" ca="1" si="86"/>
        <v>0</v>
      </c>
      <c r="BD228" s="587">
        <f t="shared" ca="1" si="86"/>
        <v>0</v>
      </c>
      <c r="BE228" s="587">
        <f t="shared" ca="1" si="86"/>
        <v>0</v>
      </c>
      <c r="BF228" s="587">
        <f t="shared" ca="1" si="86"/>
        <v>0</v>
      </c>
      <c r="BG228" s="587">
        <f t="shared" ca="1" si="86"/>
        <v>0</v>
      </c>
      <c r="BH228" s="587">
        <f t="shared" ca="1" si="86"/>
        <v>0</v>
      </c>
      <c r="BI228" s="587">
        <f t="shared" ca="1" si="86"/>
        <v>0</v>
      </c>
      <c r="BJ228" s="587">
        <f t="shared" ca="1" si="86"/>
        <v>0</v>
      </c>
      <c r="BK228" s="587">
        <f t="shared" ca="1" si="86"/>
        <v>0</v>
      </c>
      <c r="BL228" s="587">
        <f t="shared" ca="1" si="86"/>
        <v>0</v>
      </c>
      <c r="BM228" s="587">
        <f t="shared" ca="1" si="86"/>
        <v>0</v>
      </c>
      <c r="BN228" s="587">
        <f t="shared" ca="1" si="86"/>
        <v>0</v>
      </c>
      <c r="BO228" s="587">
        <f t="shared" ca="1" si="86"/>
        <v>0</v>
      </c>
      <c r="BP228" s="587">
        <f t="shared" ca="1" si="86"/>
        <v>0</v>
      </c>
      <c r="BQ228" s="587">
        <f t="shared" ca="1" si="86"/>
        <v>0</v>
      </c>
      <c r="BR228" s="587">
        <f t="shared" ca="1" si="86"/>
        <v>0</v>
      </c>
      <c r="BS228" s="587">
        <f t="shared" ca="1" si="86"/>
        <v>0</v>
      </c>
      <c r="BT228" s="587">
        <f t="shared" ca="1" si="86"/>
        <v>0</v>
      </c>
      <c r="BU228" s="587">
        <f t="shared" ca="1" si="86"/>
        <v>0</v>
      </c>
      <c r="BV228" s="587">
        <f t="shared" ca="1" si="86"/>
        <v>0</v>
      </c>
      <c r="BW228" s="587">
        <f t="shared" ref="BW228:DB228" ca="1" si="87">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BX228" s="587">
        <f t="shared" ca="1" si="87"/>
        <v>0</v>
      </c>
      <c r="BY228" s="587">
        <f t="shared" ca="1" si="87"/>
        <v>0</v>
      </c>
      <c r="BZ228" s="587">
        <f t="shared" ca="1" si="87"/>
        <v>0</v>
      </c>
      <c r="CA228" s="587">
        <f t="shared" ca="1" si="87"/>
        <v>0</v>
      </c>
      <c r="CB228" s="587">
        <f t="shared" ca="1" si="87"/>
        <v>0</v>
      </c>
      <c r="CC228" s="587">
        <f t="shared" ca="1" si="87"/>
        <v>0</v>
      </c>
      <c r="CD228" s="587">
        <f t="shared" ca="1" si="87"/>
        <v>0</v>
      </c>
      <c r="CE228" s="587">
        <f t="shared" ca="1" si="87"/>
        <v>0</v>
      </c>
      <c r="CF228" s="587">
        <f t="shared" ca="1" si="87"/>
        <v>0</v>
      </c>
      <c r="CG228" s="587">
        <f t="shared" ca="1" si="87"/>
        <v>0</v>
      </c>
      <c r="CH228" s="587">
        <f t="shared" ca="1" si="87"/>
        <v>0</v>
      </c>
      <c r="CI228" s="587">
        <f t="shared" ca="1" si="87"/>
        <v>0</v>
      </c>
      <c r="CJ228" s="587">
        <f t="shared" ca="1" si="87"/>
        <v>0</v>
      </c>
      <c r="CK228" s="587">
        <f t="shared" ca="1" si="87"/>
        <v>0</v>
      </c>
      <c r="CL228" s="587">
        <f t="shared" ca="1" si="87"/>
        <v>0</v>
      </c>
      <c r="CM228" s="587">
        <f t="shared" ca="1" si="87"/>
        <v>0</v>
      </c>
      <c r="CN228" s="587">
        <f t="shared" ca="1" si="87"/>
        <v>0</v>
      </c>
      <c r="CO228" s="587">
        <f t="shared" ca="1" si="87"/>
        <v>0</v>
      </c>
      <c r="CP228" s="587">
        <f t="shared" ca="1" si="87"/>
        <v>0</v>
      </c>
      <c r="CQ228" s="587">
        <f t="shared" ca="1" si="87"/>
        <v>0</v>
      </c>
      <c r="CR228" s="587">
        <f t="shared" ca="1" si="87"/>
        <v>0</v>
      </c>
      <c r="CS228" s="587">
        <f t="shared" ca="1" si="87"/>
        <v>0</v>
      </c>
      <c r="CT228" s="587">
        <f t="shared" ca="1" si="87"/>
        <v>0</v>
      </c>
      <c r="CU228" s="587">
        <f t="shared" ca="1" si="87"/>
        <v>0</v>
      </c>
      <c r="CV228" s="587">
        <f t="shared" ca="1" si="87"/>
        <v>0</v>
      </c>
      <c r="CW228" s="587">
        <f t="shared" ca="1" si="87"/>
        <v>0</v>
      </c>
      <c r="CX228" s="587">
        <f t="shared" ca="1" si="87"/>
        <v>0</v>
      </c>
      <c r="CY228" s="587">
        <f t="shared" ca="1" si="87"/>
        <v>0</v>
      </c>
      <c r="CZ228" s="587">
        <f t="shared" ca="1" si="87"/>
        <v>0</v>
      </c>
      <c r="DA228" s="587">
        <f t="shared" ca="1" si="87"/>
        <v>0</v>
      </c>
      <c r="DB228" s="587">
        <f t="shared" ca="1" si="87"/>
        <v>0</v>
      </c>
      <c r="DC228" s="587">
        <f t="shared" ref="DC228:EH228" ca="1" si="88">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DD228" s="587">
        <f t="shared" ca="1" si="88"/>
        <v>0</v>
      </c>
      <c r="DE228" s="587">
        <f t="shared" ca="1" si="88"/>
        <v>0</v>
      </c>
      <c r="DF228" s="587">
        <f t="shared" ca="1" si="88"/>
        <v>0</v>
      </c>
      <c r="DG228" s="587">
        <f t="shared" ca="1" si="88"/>
        <v>0</v>
      </c>
      <c r="DH228" s="587">
        <f t="shared" ca="1" si="88"/>
        <v>0</v>
      </c>
      <c r="DI228" s="587">
        <f t="shared" ca="1" si="88"/>
        <v>0</v>
      </c>
      <c r="DJ228" s="587">
        <f t="shared" ca="1" si="88"/>
        <v>0</v>
      </c>
      <c r="DK228" s="587">
        <f t="shared" ca="1" si="88"/>
        <v>0</v>
      </c>
      <c r="DL228" s="587">
        <f t="shared" ca="1" si="88"/>
        <v>0</v>
      </c>
      <c r="DM228" s="587">
        <f t="shared" ca="1" si="88"/>
        <v>0</v>
      </c>
      <c r="DN228" s="587">
        <f t="shared" ca="1" si="88"/>
        <v>0</v>
      </c>
      <c r="DO228" s="587">
        <f t="shared" ca="1" si="88"/>
        <v>0</v>
      </c>
      <c r="DP228" s="587">
        <f t="shared" ca="1" si="88"/>
        <v>0</v>
      </c>
      <c r="DQ228" s="587">
        <f t="shared" ca="1" si="88"/>
        <v>0</v>
      </c>
      <c r="DR228" s="587">
        <f t="shared" ca="1" si="88"/>
        <v>0</v>
      </c>
      <c r="DS228" s="587">
        <f t="shared" ca="1" si="88"/>
        <v>0</v>
      </c>
      <c r="DT228" s="587">
        <f t="shared" ca="1" si="88"/>
        <v>0</v>
      </c>
      <c r="DU228" s="587">
        <f t="shared" ca="1" si="88"/>
        <v>0</v>
      </c>
      <c r="DV228" s="587">
        <f t="shared" ca="1" si="88"/>
        <v>0</v>
      </c>
      <c r="DW228" s="587">
        <f t="shared" ca="1" si="88"/>
        <v>0</v>
      </c>
      <c r="DX228" s="587">
        <f t="shared" ca="1" si="88"/>
        <v>0</v>
      </c>
      <c r="DY228" s="587">
        <f t="shared" ca="1" si="88"/>
        <v>0</v>
      </c>
      <c r="DZ228" s="587">
        <f t="shared" ca="1" si="88"/>
        <v>0</v>
      </c>
      <c r="EA228" s="587">
        <f t="shared" ca="1" si="88"/>
        <v>0</v>
      </c>
      <c r="EB228" s="587">
        <f t="shared" ca="1" si="88"/>
        <v>0</v>
      </c>
      <c r="EC228" s="587">
        <f t="shared" ca="1" si="88"/>
        <v>0</v>
      </c>
      <c r="ED228" s="587">
        <f t="shared" ca="1" si="88"/>
        <v>0</v>
      </c>
      <c r="EE228" s="587">
        <f t="shared" ca="1" si="88"/>
        <v>0</v>
      </c>
      <c r="EF228" s="587">
        <f t="shared" ca="1" si="88"/>
        <v>0</v>
      </c>
      <c r="EG228" s="587">
        <f t="shared" ca="1" si="88"/>
        <v>0</v>
      </c>
      <c r="EH228" s="587">
        <f t="shared" ca="1" si="88"/>
        <v>0</v>
      </c>
      <c r="EI228" s="587">
        <f t="shared" ref="EI228:FN228" ca="1" si="89">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EJ228" s="587">
        <f t="shared" ca="1" si="89"/>
        <v>0</v>
      </c>
      <c r="EK228" s="587">
        <f t="shared" ca="1" si="89"/>
        <v>0</v>
      </c>
      <c r="EL228" s="587">
        <f t="shared" ca="1" si="89"/>
        <v>0</v>
      </c>
      <c r="EM228" s="587">
        <f t="shared" ca="1" si="89"/>
        <v>0</v>
      </c>
      <c r="EN228" s="587">
        <f t="shared" ca="1" si="89"/>
        <v>0</v>
      </c>
      <c r="EO228" s="587">
        <f t="shared" ca="1" si="89"/>
        <v>0</v>
      </c>
      <c r="EP228" s="587">
        <f t="shared" ca="1" si="89"/>
        <v>0</v>
      </c>
      <c r="EQ228" s="587">
        <f t="shared" ca="1" si="89"/>
        <v>0</v>
      </c>
      <c r="ER228" s="587">
        <f t="shared" ca="1" si="89"/>
        <v>0</v>
      </c>
      <c r="ES228" s="587">
        <f t="shared" ca="1" si="89"/>
        <v>0</v>
      </c>
      <c r="ET228" s="587">
        <f t="shared" ca="1" si="89"/>
        <v>0</v>
      </c>
      <c r="EU228" s="587">
        <f t="shared" ca="1" si="89"/>
        <v>0</v>
      </c>
      <c r="EV228" s="587">
        <f t="shared" ca="1" si="89"/>
        <v>0</v>
      </c>
      <c r="EW228" s="587">
        <f t="shared" ca="1" si="89"/>
        <v>0</v>
      </c>
      <c r="EX228" s="587">
        <f t="shared" ca="1" si="89"/>
        <v>0</v>
      </c>
      <c r="EY228" s="587">
        <f t="shared" ca="1" si="89"/>
        <v>0</v>
      </c>
      <c r="EZ228" s="587">
        <f t="shared" ca="1" si="89"/>
        <v>0</v>
      </c>
      <c r="FA228" s="587">
        <f t="shared" ca="1" si="89"/>
        <v>0</v>
      </c>
      <c r="FB228" s="587">
        <f t="shared" ca="1" si="89"/>
        <v>0</v>
      </c>
      <c r="FC228" s="587">
        <f t="shared" ca="1" si="89"/>
        <v>0</v>
      </c>
      <c r="FD228" s="587">
        <f t="shared" ca="1" si="89"/>
        <v>0</v>
      </c>
      <c r="FE228" s="587">
        <f t="shared" ca="1" si="89"/>
        <v>0</v>
      </c>
      <c r="FF228" s="587">
        <f t="shared" ca="1" si="89"/>
        <v>0</v>
      </c>
      <c r="FG228" s="587">
        <f t="shared" ca="1" si="89"/>
        <v>0</v>
      </c>
      <c r="FH228" s="587">
        <f t="shared" ca="1" si="89"/>
        <v>0</v>
      </c>
      <c r="FI228" s="587">
        <f t="shared" ca="1" si="89"/>
        <v>0</v>
      </c>
      <c r="FJ228" s="587">
        <f t="shared" ca="1" si="89"/>
        <v>0</v>
      </c>
      <c r="FK228" s="587">
        <f t="shared" ca="1" si="89"/>
        <v>0</v>
      </c>
      <c r="FL228" s="587">
        <f t="shared" ca="1" si="89"/>
        <v>0</v>
      </c>
      <c r="FM228" s="587">
        <f t="shared" ca="1" si="89"/>
        <v>0</v>
      </c>
      <c r="FN228" s="587">
        <f t="shared" ca="1" si="89"/>
        <v>0</v>
      </c>
      <c r="FO228" s="587">
        <f t="shared" ref="FO228:GT228" ca="1" si="90">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FP228" s="587">
        <f t="shared" ca="1" si="90"/>
        <v>0</v>
      </c>
      <c r="FQ228" s="587">
        <f t="shared" ca="1" si="90"/>
        <v>0</v>
      </c>
      <c r="FR228" s="587">
        <f t="shared" ca="1" si="90"/>
        <v>0</v>
      </c>
      <c r="FS228" s="587">
        <f t="shared" ca="1" si="90"/>
        <v>0</v>
      </c>
      <c r="FT228" s="587">
        <f t="shared" ca="1" si="90"/>
        <v>0</v>
      </c>
      <c r="FU228" s="587">
        <f t="shared" ca="1" si="90"/>
        <v>0</v>
      </c>
      <c r="FV228" s="587">
        <f t="shared" ca="1" si="90"/>
        <v>0</v>
      </c>
      <c r="FW228" s="587">
        <f t="shared" ca="1" si="90"/>
        <v>0</v>
      </c>
      <c r="FX228" s="587">
        <f t="shared" ca="1" si="90"/>
        <v>0</v>
      </c>
      <c r="FY228" s="587">
        <f t="shared" ca="1" si="90"/>
        <v>0</v>
      </c>
      <c r="FZ228" s="587">
        <f t="shared" ca="1" si="90"/>
        <v>0</v>
      </c>
      <c r="GA228" s="587">
        <f t="shared" ca="1" si="90"/>
        <v>0</v>
      </c>
      <c r="GB228" s="587">
        <f t="shared" ca="1" si="90"/>
        <v>0</v>
      </c>
      <c r="GC228" s="587">
        <f t="shared" ca="1" si="90"/>
        <v>0</v>
      </c>
      <c r="GD228" s="587">
        <f t="shared" ca="1" si="90"/>
        <v>0</v>
      </c>
      <c r="GE228" s="587">
        <f t="shared" ca="1" si="90"/>
        <v>0</v>
      </c>
      <c r="GF228" s="587">
        <f t="shared" ca="1" si="90"/>
        <v>0</v>
      </c>
      <c r="GG228" s="587">
        <f t="shared" ca="1" si="90"/>
        <v>0</v>
      </c>
      <c r="GH228" s="587">
        <f t="shared" ca="1" si="90"/>
        <v>0</v>
      </c>
      <c r="GI228" s="587">
        <f t="shared" ca="1" si="90"/>
        <v>0</v>
      </c>
      <c r="GJ228" s="587">
        <f t="shared" ca="1" si="90"/>
        <v>0</v>
      </c>
      <c r="GK228" s="587">
        <f t="shared" ca="1" si="90"/>
        <v>0</v>
      </c>
      <c r="GL228" s="587">
        <f t="shared" ca="1" si="90"/>
        <v>0</v>
      </c>
      <c r="GM228" s="587">
        <f t="shared" ca="1" si="90"/>
        <v>0</v>
      </c>
      <c r="GN228" s="587">
        <f t="shared" ca="1" si="90"/>
        <v>0</v>
      </c>
      <c r="GO228" s="587">
        <f t="shared" ca="1" si="90"/>
        <v>0</v>
      </c>
      <c r="GP228" s="587">
        <f t="shared" ca="1" si="90"/>
        <v>0</v>
      </c>
      <c r="GQ228" s="587">
        <f t="shared" ca="1" si="90"/>
        <v>0</v>
      </c>
      <c r="GR228" s="587">
        <f t="shared" ca="1" si="90"/>
        <v>0</v>
      </c>
      <c r="GS228" s="587">
        <f t="shared" ca="1" si="90"/>
        <v>0</v>
      </c>
      <c r="GT228" s="587">
        <f t="shared" ca="1" si="90"/>
        <v>0</v>
      </c>
      <c r="GU228" s="587">
        <f t="shared" ref="GU228:HB228" ca="1" si="91">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GV228" s="587">
        <f t="shared" ca="1" si="91"/>
        <v>0</v>
      </c>
      <c r="GW228" s="587">
        <f t="shared" ca="1" si="91"/>
        <v>0</v>
      </c>
      <c r="GX228" s="587">
        <f t="shared" ca="1" si="91"/>
        <v>0</v>
      </c>
      <c r="GY228" s="587">
        <f t="shared" ca="1" si="91"/>
        <v>0</v>
      </c>
      <c r="GZ228" s="587">
        <f t="shared" ca="1" si="91"/>
        <v>0</v>
      </c>
      <c r="HA228" s="587">
        <f t="shared" ca="1" si="91"/>
        <v>0</v>
      </c>
      <c r="HB228" s="587">
        <f t="shared" ca="1" si="91"/>
        <v>0</v>
      </c>
      <c r="IE228" s="579"/>
      <c r="IF228" s="579"/>
      <c r="IG228" s="579"/>
      <c r="IH228" s="579"/>
    </row>
    <row r="229" spans="1:242" s="164" customFormat="1" ht="19.8" hidden="1">
      <c r="A229" s="572">
        <v>3</v>
      </c>
      <c r="C229" s="584" t="s">
        <v>654</v>
      </c>
      <c r="D229" s="586"/>
      <c r="E229" s="586"/>
      <c r="F229" s="587"/>
      <c r="G229" s="587">
        <v>8</v>
      </c>
      <c r="H229" s="587">
        <v>98</v>
      </c>
      <c r="I229" s="587"/>
      <c r="J229" s="587"/>
      <c r="K229" s="587">
        <f ca="1">(SUMPRODUCT($G$17:$G$65,K17:K65)+$G$67*K67+$G$69*K69+$G$71*K71+$G$73*K73+SUMPRODUCT($G$75:$G$81,K75:K81)+$G$83*K83+$G$85*K85+$G$86*K86+$G$89*K89+SUMPRODUCT($G$92:$G$103,K92:K103)+K228)*0.0258</f>
        <v>0</v>
      </c>
      <c r="L229" s="587">
        <f t="shared" ref="L229:BW229" ca="1" si="92">(SUMPRODUCT($G$17:$G$65,L17:L65)+$G$67*L67+$G$69*L69+$G$71*L71+$G$73*L73+SUMPRODUCT($G$75:$G$81,L75:L81)+$G$83*L83+$G$85*L85+$G$86*L86+$G$89*L89+SUMPRODUCT($G$92:$G$103,L92:L103)+L228)*0.0258</f>
        <v>0</v>
      </c>
      <c r="M229" s="587">
        <f t="shared" ca="1" si="92"/>
        <v>0</v>
      </c>
      <c r="N229" s="587">
        <f t="shared" ca="1" si="92"/>
        <v>0</v>
      </c>
      <c r="O229" s="587">
        <f t="shared" ca="1" si="92"/>
        <v>0</v>
      </c>
      <c r="P229" s="587">
        <f t="shared" ca="1" si="92"/>
        <v>0</v>
      </c>
      <c r="Q229" s="587">
        <f t="shared" ca="1" si="92"/>
        <v>0</v>
      </c>
      <c r="R229" s="587">
        <f t="shared" ca="1" si="92"/>
        <v>0</v>
      </c>
      <c r="S229" s="587">
        <f t="shared" ca="1" si="92"/>
        <v>0</v>
      </c>
      <c r="T229" s="587">
        <f t="shared" ca="1" si="92"/>
        <v>0</v>
      </c>
      <c r="U229" s="587">
        <f t="shared" ca="1" si="92"/>
        <v>0</v>
      </c>
      <c r="V229" s="587">
        <f t="shared" ca="1" si="92"/>
        <v>0</v>
      </c>
      <c r="W229" s="587">
        <f t="shared" ca="1" si="92"/>
        <v>0</v>
      </c>
      <c r="X229" s="587">
        <f t="shared" ca="1" si="92"/>
        <v>0</v>
      </c>
      <c r="Y229" s="587">
        <f t="shared" ca="1" si="92"/>
        <v>0</v>
      </c>
      <c r="Z229" s="587">
        <f t="shared" ca="1" si="92"/>
        <v>0</v>
      </c>
      <c r="AA229" s="587">
        <f t="shared" ca="1" si="92"/>
        <v>0</v>
      </c>
      <c r="AB229" s="587">
        <f t="shared" ca="1" si="92"/>
        <v>0</v>
      </c>
      <c r="AC229" s="587">
        <f t="shared" ca="1" si="92"/>
        <v>0</v>
      </c>
      <c r="AD229" s="587">
        <f t="shared" ca="1" si="92"/>
        <v>0</v>
      </c>
      <c r="AE229" s="587">
        <f t="shared" ca="1" si="92"/>
        <v>0</v>
      </c>
      <c r="AF229" s="587">
        <f t="shared" ca="1" si="92"/>
        <v>0</v>
      </c>
      <c r="AG229" s="587">
        <f t="shared" ca="1" si="92"/>
        <v>0</v>
      </c>
      <c r="AH229" s="587">
        <f t="shared" ca="1" si="92"/>
        <v>0</v>
      </c>
      <c r="AI229" s="587">
        <f t="shared" ca="1" si="92"/>
        <v>0</v>
      </c>
      <c r="AJ229" s="587">
        <f t="shared" ca="1" si="92"/>
        <v>0</v>
      </c>
      <c r="AK229" s="587">
        <f t="shared" ca="1" si="92"/>
        <v>0</v>
      </c>
      <c r="AL229" s="587">
        <f t="shared" ca="1" si="92"/>
        <v>0</v>
      </c>
      <c r="AM229" s="587">
        <f t="shared" ca="1" si="92"/>
        <v>0</v>
      </c>
      <c r="AN229" s="587">
        <f t="shared" ca="1" si="92"/>
        <v>0</v>
      </c>
      <c r="AO229" s="587">
        <f t="shared" ca="1" si="92"/>
        <v>0</v>
      </c>
      <c r="AP229" s="587">
        <f t="shared" ca="1" si="92"/>
        <v>0</v>
      </c>
      <c r="AQ229" s="587">
        <f t="shared" ca="1" si="92"/>
        <v>0</v>
      </c>
      <c r="AR229" s="587">
        <f t="shared" ca="1" si="92"/>
        <v>0</v>
      </c>
      <c r="AS229" s="587">
        <f t="shared" ca="1" si="92"/>
        <v>0</v>
      </c>
      <c r="AT229" s="587">
        <f t="shared" ca="1" si="92"/>
        <v>0</v>
      </c>
      <c r="AU229" s="587">
        <f t="shared" ca="1" si="92"/>
        <v>0</v>
      </c>
      <c r="AV229" s="587">
        <f t="shared" ca="1" si="92"/>
        <v>0</v>
      </c>
      <c r="AW229" s="587">
        <f t="shared" ca="1" si="92"/>
        <v>0</v>
      </c>
      <c r="AX229" s="587">
        <f t="shared" ca="1" si="92"/>
        <v>0</v>
      </c>
      <c r="AY229" s="587">
        <f t="shared" ca="1" si="92"/>
        <v>0</v>
      </c>
      <c r="AZ229" s="587">
        <f t="shared" ca="1" si="92"/>
        <v>0</v>
      </c>
      <c r="BA229" s="587">
        <f t="shared" ca="1" si="92"/>
        <v>0</v>
      </c>
      <c r="BB229" s="587">
        <f t="shared" ca="1" si="92"/>
        <v>0</v>
      </c>
      <c r="BC229" s="587">
        <f t="shared" ca="1" si="92"/>
        <v>0</v>
      </c>
      <c r="BD229" s="587">
        <f t="shared" ca="1" si="92"/>
        <v>0</v>
      </c>
      <c r="BE229" s="587">
        <f t="shared" ca="1" si="92"/>
        <v>0</v>
      </c>
      <c r="BF229" s="587">
        <f t="shared" ca="1" si="92"/>
        <v>0</v>
      </c>
      <c r="BG229" s="587">
        <f t="shared" ca="1" si="92"/>
        <v>0</v>
      </c>
      <c r="BH229" s="587">
        <f t="shared" ca="1" si="92"/>
        <v>0</v>
      </c>
      <c r="BI229" s="587">
        <f t="shared" ca="1" si="92"/>
        <v>0</v>
      </c>
      <c r="BJ229" s="587">
        <f t="shared" ca="1" si="92"/>
        <v>0</v>
      </c>
      <c r="BK229" s="587">
        <f t="shared" ca="1" si="92"/>
        <v>0</v>
      </c>
      <c r="BL229" s="587">
        <f t="shared" ca="1" si="92"/>
        <v>0</v>
      </c>
      <c r="BM229" s="587">
        <f t="shared" ca="1" si="92"/>
        <v>0</v>
      </c>
      <c r="BN229" s="587">
        <f t="shared" ca="1" si="92"/>
        <v>0</v>
      </c>
      <c r="BO229" s="587">
        <f t="shared" ca="1" si="92"/>
        <v>0</v>
      </c>
      <c r="BP229" s="587">
        <f t="shared" ca="1" si="92"/>
        <v>0</v>
      </c>
      <c r="BQ229" s="587">
        <f t="shared" ca="1" si="92"/>
        <v>0</v>
      </c>
      <c r="BR229" s="587">
        <f t="shared" ca="1" si="92"/>
        <v>0</v>
      </c>
      <c r="BS229" s="587">
        <f t="shared" ca="1" si="92"/>
        <v>0</v>
      </c>
      <c r="BT229" s="587">
        <f t="shared" ca="1" si="92"/>
        <v>0</v>
      </c>
      <c r="BU229" s="587">
        <f t="shared" ca="1" si="92"/>
        <v>0</v>
      </c>
      <c r="BV229" s="587">
        <f t="shared" ca="1" si="92"/>
        <v>0</v>
      </c>
      <c r="BW229" s="587">
        <f t="shared" ca="1" si="92"/>
        <v>0</v>
      </c>
      <c r="BX229" s="587">
        <f t="shared" ref="BX229:EI229" ca="1" si="93">(SUMPRODUCT($G$17:$G$65,BX17:BX65)+$G$67*BX67+$G$69*BX69+$G$71*BX71+$G$73*BX73+SUMPRODUCT($G$75:$G$81,BX75:BX81)+$G$83*BX83+$G$85*BX85+$G$86*BX86+$G$89*BX89+SUMPRODUCT($G$92:$G$103,BX92:BX103)+BX228)*0.0258</f>
        <v>0</v>
      </c>
      <c r="BY229" s="587">
        <f t="shared" ca="1" si="93"/>
        <v>0</v>
      </c>
      <c r="BZ229" s="587">
        <f t="shared" ca="1" si="93"/>
        <v>0</v>
      </c>
      <c r="CA229" s="587">
        <f t="shared" ca="1" si="93"/>
        <v>0</v>
      </c>
      <c r="CB229" s="587">
        <f t="shared" ca="1" si="93"/>
        <v>0</v>
      </c>
      <c r="CC229" s="587">
        <f t="shared" ca="1" si="93"/>
        <v>0</v>
      </c>
      <c r="CD229" s="587">
        <f t="shared" ca="1" si="93"/>
        <v>0</v>
      </c>
      <c r="CE229" s="587">
        <f t="shared" ca="1" si="93"/>
        <v>0</v>
      </c>
      <c r="CF229" s="587">
        <f t="shared" ca="1" si="93"/>
        <v>0</v>
      </c>
      <c r="CG229" s="587">
        <f t="shared" ca="1" si="93"/>
        <v>0</v>
      </c>
      <c r="CH229" s="587">
        <f t="shared" ca="1" si="93"/>
        <v>0</v>
      </c>
      <c r="CI229" s="587">
        <f t="shared" ca="1" si="93"/>
        <v>0</v>
      </c>
      <c r="CJ229" s="587">
        <f t="shared" ca="1" si="93"/>
        <v>0</v>
      </c>
      <c r="CK229" s="587">
        <f t="shared" ca="1" si="93"/>
        <v>0</v>
      </c>
      <c r="CL229" s="587">
        <f t="shared" ca="1" si="93"/>
        <v>0</v>
      </c>
      <c r="CM229" s="587">
        <f t="shared" ca="1" si="93"/>
        <v>0</v>
      </c>
      <c r="CN229" s="587">
        <f t="shared" ca="1" si="93"/>
        <v>0</v>
      </c>
      <c r="CO229" s="587">
        <f t="shared" ca="1" si="93"/>
        <v>0</v>
      </c>
      <c r="CP229" s="587">
        <f t="shared" ca="1" si="93"/>
        <v>0</v>
      </c>
      <c r="CQ229" s="587">
        <f t="shared" ca="1" si="93"/>
        <v>0</v>
      </c>
      <c r="CR229" s="587">
        <f t="shared" ca="1" si="93"/>
        <v>0</v>
      </c>
      <c r="CS229" s="587">
        <f t="shared" ca="1" si="93"/>
        <v>0</v>
      </c>
      <c r="CT229" s="587">
        <f t="shared" ca="1" si="93"/>
        <v>0</v>
      </c>
      <c r="CU229" s="587">
        <f t="shared" ca="1" si="93"/>
        <v>0</v>
      </c>
      <c r="CV229" s="587">
        <f t="shared" ca="1" si="93"/>
        <v>0</v>
      </c>
      <c r="CW229" s="587">
        <f t="shared" ca="1" si="93"/>
        <v>0</v>
      </c>
      <c r="CX229" s="587">
        <f t="shared" ca="1" si="93"/>
        <v>0</v>
      </c>
      <c r="CY229" s="587">
        <f t="shared" ca="1" si="93"/>
        <v>0</v>
      </c>
      <c r="CZ229" s="587">
        <f t="shared" ca="1" si="93"/>
        <v>0</v>
      </c>
      <c r="DA229" s="587">
        <f t="shared" ca="1" si="93"/>
        <v>0</v>
      </c>
      <c r="DB229" s="587">
        <f t="shared" ca="1" si="93"/>
        <v>0</v>
      </c>
      <c r="DC229" s="587">
        <f t="shared" ca="1" si="93"/>
        <v>0</v>
      </c>
      <c r="DD229" s="587">
        <f t="shared" ca="1" si="93"/>
        <v>0</v>
      </c>
      <c r="DE229" s="587">
        <f t="shared" ca="1" si="93"/>
        <v>0</v>
      </c>
      <c r="DF229" s="587">
        <f t="shared" ca="1" si="93"/>
        <v>0</v>
      </c>
      <c r="DG229" s="587">
        <f t="shared" ca="1" si="93"/>
        <v>0</v>
      </c>
      <c r="DH229" s="587">
        <f t="shared" ca="1" si="93"/>
        <v>0</v>
      </c>
      <c r="DI229" s="587">
        <f t="shared" ca="1" si="93"/>
        <v>0</v>
      </c>
      <c r="DJ229" s="587">
        <f t="shared" ca="1" si="93"/>
        <v>0</v>
      </c>
      <c r="DK229" s="587">
        <f t="shared" ca="1" si="93"/>
        <v>0</v>
      </c>
      <c r="DL229" s="587">
        <f t="shared" ca="1" si="93"/>
        <v>0</v>
      </c>
      <c r="DM229" s="587">
        <f t="shared" ca="1" si="93"/>
        <v>0</v>
      </c>
      <c r="DN229" s="587">
        <f t="shared" ca="1" si="93"/>
        <v>0</v>
      </c>
      <c r="DO229" s="587">
        <f t="shared" ca="1" si="93"/>
        <v>0</v>
      </c>
      <c r="DP229" s="587">
        <f t="shared" ca="1" si="93"/>
        <v>0</v>
      </c>
      <c r="DQ229" s="587">
        <f t="shared" ca="1" si="93"/>
        <v>0</v>
      </c>
      <c r="DR229" s="587">
        <f t="shared" ca="1" si="93"/>
        <v>0</v>
      </c>
      <c r="DS229" s="587">
        <f t="shared" ca="1" si="93"/>
        <v>0</v>
      </c>
      <c r="DT229" s="587">
        <f t="shared" ca="1" si="93"/>
        <v>0</v>
      </c>
      <c r="DU229" s="587">
        <f t="shared" ca="1" si="93"/>
        <v>0</v>
      </c>
      <c r="DV229" s="587">
        <f t="shared" ca="1" si="93"/>
        <v>0</v>
      </c>
      <c r="DW229" s="587">
        <f t="shared" ca="1" si="93"/>
        <v>0</v>
      </c>
      <c r="DX229" s="587">
        <f t="shared" ca="1" si="93"/>
        <v>0</v>
      </c>
      <c r="DY229" s="587">
        <f t="shared" ca="1" si="93"/>
        <v>0</v>
      </c>
      <c r="DZ229" s="587">
        <f t="shared" ca="1" si="93"/>
        <v>0</v>
      </c>
      <c r="EA229" s="587">
        <f t="shared" ca="1" si="93"/>
        <v>0</v>
      </c>
      <c r="EB229" s="587">
        <f t="shared" ca="1" si="93"/>
        <v>0</v>
      </c>
      <c r="EC229" s="587">
        <f t="shared" ca="1" si="93"/>
        <v>0</v>
      </c>
      <c r="ED229" s="587">
        <f t="shared" ca="1" si="93"/>
        <v>0</v>
      </c>
      <c r="EE229" s="587">
        <f t="shared" ca="1" si="93"/>
        <v>0</v>
      </c>
      <c r="EF229" s="587">
        <f t="shared" ca="1" si="93"/>
        <v>0</v>
      </c>
      <c r="EG229" s="587">
        <f t="shared" ca="1" si="93"/>
        <v>0</v>
      </c>
      <c r="EH229" s="587">
        <f t="shared" ca="1" si="93"/>
        <v>0</v>
      </c>
      <c r="EI229" s="587">
        <f t="shared" ca="1" si="93"/>
        <v>0</v>
      </c>
      <c r="EJ229" s="587">
        <f t="shared" ref="EJ229:GU229" ca="1" si="94">(SUMPRODUCT($G$17:$G$65,EJ17:EJ65)+$G$67*EJ67+$G$69*EJ69+$G$71*EJ71+$G$73*EJ73+SUMPRODUCT($G$75:$G$81,EJ75:EJ81)+$G$83*EJ83+$G$85*EJ85+$G$86*EJ86+$G$89*EJ89+SUMPRODUCT($G$92:$G$103,EJ92:EJ103)+EJ228)*0.0258</f>
        <v>0</v>
      </c>
      <c r="EK229" s="587">
        <f t="shared" ca="1" si="94"/>
        <v>0</v>
      </c>
      <c r="EL229" s="587">
        <f t="shared" ca="1" si="94"/>
        <v>0</v>
      </c>
      <c r="EM229" s="587">
        <f t="shared" ca="1" si="94"/>
        <v>0</v>
      </c>
      <c r="EN229" s="587">
        <f t="shared" ca="1" si="94"/>
        <v>0</v>
      </c>
      <c r="EO229" s="587">
        <f t="shared" ca="1" si="94"/>
        <v>0</v>
      </c>
      <c r="EP229" s="587">
        <f t="shared" ca="1" si="94"/>
        <v>0</v>
      </c>
      <c r="EQ229" s="587">
        <f t="shared" ca="1" si="94"/>
        <v>0</v>
      </c>
      <c r="ER229" s="587">
        <f t="shared" ca="1" si="94"/>
        <v>0</v>
      </c>
      <c r="ES229" s="587">
        <f t="shared" ca="1" si="94"/>
        <v>0</v>
      </c>
      <c r="ET229" s="587">
        <f t="shared" ca="1" si="94"/>
        <v>0</v>
      </c>
      <c r="EU229" s="587">
        <f t="shared" ca="1" si="94"/>
        <v>0</v>
      </c>
      <c r="EV229" s="587">
        <f t="shared" ca="1" si="94"/>
        <v>0</v>
      </c>
      <c r="EW229" s="587">
        <f t="shared" ca="1" si="94"/>
        <v>0</v>
      </c>
      <c r="EX229" s="587">
        <f t="shared" ca="1" si="94"/>
        <v>0</v>
      </c>
      <c r="EY229" s="587">
        <f t="shared" ca="1" si="94"/>
        <v>0</v>
      </c>
      <c r="EZ229" s="587">
        <f t="shared" ca="1" si="94"/>
        <v>0</v>
      </c>
      <c r="FA229" s="587">
        <f t="shared" ca="1" si="94"/>
        <v>0</v>
      </c>
      <c r="FB229" s="587">
        <f t="shared" ca="1" si="94"/>
        <v>0</v>
      </c>
      <c r="FC229" s="587">
        <f t="shared" ca="1" si="94"/>
        <v>0</v>
      </c>
      <c r="FD229" s="587">
        <f t="shared" ca="1" si="94"/>
        <v>0</v>
      </c>
      <c r="FE229" s="587">
        <f t="shared" ca="1" si="94"/>
        <v>0</v>
      </c>
      <c r="FF229" s="587">
        <f t="shared" ca="1" si="94"/>
        <v>0</v>
      </c>
      <c r="FG229" s="587">
        <f t="shared" ca="1" si="94"/>
        <v>0</v>
      </c>
      <c r="FH229" s="587">
        <f t="shared" ca="1" si="94"/>
        <v>0</v>
      </c>
      <c r="FI229" s="587">
        <f t="shared" ca="1" si="94"/>
        <v>0</v>
      </c>
      <c r="FJ229" s="587">
        <f t="shared" ca="1" si="94"/>
        <v>0</v>
      </c>
      <c r="FK229" s="587">
        <f t="shared" ca="1" si="94"/>
        <v>0</v>
      </c>
      <c r="FL229" s="587">
        <f t="shared" ca="1" si="94"/>
        <v>0</v>
      </c>
      <c r="FM229" s="587">
        <f t="shared" ca="1" si="94"/>
        <v>0</v>
      </c>
      <c r="FN229" s="587">
        <f t="shared" ca="1" si="94"/>
        <v>0</v>
      </c>
      <c r="FO229" s="587">
        <f t="shared" ca="1" si="94"/>
        <v>0</v>
      </c>
      <c r="FP229" s="587">
        <f t="shared" ca="1" si="94"/>
        <v>0</v>
      </c>
      <c r="FQ229" s="587">
        <f t="shared" ca="1" si="94"/>
        <v>0</v>
      </c>
      <c r="FR229" s="587">
        <f t="shared" ca="1" si="94"/>
        <v>0</v>
      </c>
      <c r="FS229" s="587">
        <f t="shared" ca="1" si="94"/>
        <v>0</v>
      </c>
      <c r="FT229" s="587">
        <f t="shared" ca="1" si="94"/>
        <v>0</v>
      </c>
      <c r="FU229" s="587">
        <f t="shared" ca="1" si="94"/>
        <v>0</v>
      </c>
      <c r="FV229" s="587">
        <f t="shared" ca="1" si="94"/>
        <v>0</v>
      </c>
      <c r="FW229" s="587">
        <f t="shared" ca="1" si="94"/>
        <v>0</v>
      </c>
      <c r="FX229" s="587">
        <f t="shared" ca="1" si="94"/>
        <v>0</v>
      </c>
      <c r="FY229" s="587">
        <f t="shared" ca="1" si="94"/>
        <v>0</v>
      </c>
      <c r="FZ229" s="587">
        <f t="shared" ca="1" si="94"/>
        <v>0</v>
      </c>
      <c r="GA229" s="587">
        <f t="shared" ca="1" si="94"/>
        <v>0</v>
      </c>
      <c r="GB229" s="587">
        <f t="shared" ca="1" si="94"/>
        <v>0</v>
      </c>
      <c r="GC229" s="587">
        <f t="shared" ca="1" si="94"/>
        <v>0</v>
      </c>
      <c r="GD229" s="587">
        <f t="shared" ca="1" si="94"/>
        <v>0</v>
      </c>
      <c r="GE229" s="587">
        <f t="shared" ca="1" si="94"/>
        <v>0</v>
      </c>
      <c r="GF229" s="587">
        <f t="shared" ca="1" si="94"/>
        <v>0</v>
      </c>
      <c r="GG229" s="587">
        <f t="shared" ca="1" si="94"/>
        <v>0</v>
      </c>
      <c r="GH229" s="587">
        <f t="shared" ca="1" si="94"/>
        <v>0</v>
      </c>
      <c r="GI229" s="587">
        <f t="shared" ca="1" si="94"/>
        <v>0</v>
      </c>
      <c r="GJ229" s="587">
        <f t="shared" ca="1" si="94"/>
        <v>0</v>
      </c>
      <c r="GK229" s="587">
        <f t="shared" ca="1" si="94"/>
        <v>0</v>
      </c>
      <c r="GL229" s="587">
        <f t="shared" ca="1" si="94"/>
        <v>0</v>
      </c>
      <c r="GM229" s="587">
        <f t="shared" ca="1" si="94"/>
        <v>0</v>
      </c>
      <c r="GN229" s="587">
        <f t="shared" ca="1" si="94"/>
        <v>0</v>
      </c>
      <c r="GO229" s="587">
        <f t="shared" ca="1" si="94"/>
        <v>0</v>
      </c>
      <c r="GP229" s="587">
        <f t="shared" ca="1" si="94"/>
        <v>0</v>
      </c>
      <c r="GQ229" s="587">
        <f t="shared" ca="1" si="94"/>
        <v>0</v>
      </c>
      <c r="GR229" s="587">
        <f t="shared" ca="1" si="94"/>
        <v>0</v>
      </c>
      <c r="GS229" s="587">
        <f t="shared" ca="1" si="94"/>
        <v>0</v>
      </c>
      <c r="GT229" s="587">
        <f t="shared" ca="1" si="94"/>
        <v>0</v>
      </c>
      <c r="GU229" s="587">
        <f t="shared" ca="1" si="94"/>
        <v>0</v>
      </c>
      <c r="GV229" s="587">
        <f t="shared" ref="GV229:HB229" ca="1" si="95">(SUMPRODUCT($G$17:$G$65,GV17:GV65)+$G$67*GV67+$G$69*GV69+$G$71*GV71+$G$73*GV73+SUMPRODUCT($G$75:$G$81,GV75:GV81)+$G$83*GV83+$G$85*GV85+$G$86*GV86+$G$89*GV89+SUMPRODUCT($G$92:$G$103,GV92:GV103)+GV228)*0.0258</f>
        <v>0</v>
      </c>
      <c r="GW229" s="587">
        <f t="shared" ca="1" si="95"/>
        <v>0</v>
      </c>
      <c r="GX229" s="587">
        <f t="shared" ca="1" si="95"/>
        <v>0</v>
      </c>
      <c r="GY229" s="587">
        <f t="shared" ca="1" si="95"/>
        <v>0</v>
      </c>
      <c r="GZ229" s="587">
        <f t="shared" ca="1" si="95"/>
        <v>0</v>
      </c>
      <c r="HA229" s="587">
        <f t="shared" ca="1" si="95"/>
        <v>0</v>
      </c>
      <c r="HB229" s="587">
        <f t="shared" ca="1" si="95"/>
        <v>0</v>
      </c>
      <c r="IE229" s="579"/>
      <c r="IF229" s="579"/>
      <c r="IG229" s="579"/>
      <c r="IH229" s="579"/>
    </row>
    <row r="230" spans="1:242" s="164" customFormat="1" ht="19.8" hidden="1">
      <c r="A230" s="572">
        <v>4</v>
      </c>
      <c r="C230" s="584" t="s">
        <v>655</v>
      </c>
      <c r="D230" s="586"/>
      <c r="E230" s="586"/>
      <c r="F230" s="587"/>
      <c r="G230" s="587">
        <v>37</v>
      </c>
      <c r="H230" s="587">
        <v>55</v>
      </c>
      <c r="I230" s="587"/>
      <c r="J230" s="587"/>
      <c r="K230" s="587">
        <f ca="1">SUMPRODUCT(OFFSET(貼付け_2025実績,$G230,5,($H230-$G230+1),1),OFFSET(貼付け_2025実績,$G230,SUM(COLUMN()-COLUMN(貼付け_2025実績)),($H230-$G230+1),1))*0.0258</f>
        <v>0</v>
      </c>
      <c r="L230" s="588"/>
      <c r="M230" s="588"/>
      <c r="N230" s="588"/>
      <c r="O230" s="587">
        <f ca="1">SUMPRODUCT(OFFSET(貼付け_2025実績,$G230,5,($H230-$G230+1),1),OFFSET(貼付け_2025実績,$G230,SUM(COLUMN()-COLUMN(貼付け_2025実績)),($H230-$G230+1),1))*0.0258</f>
        <v>0</v>
      </c>
      <c r="P230" s="588"/>
      <c r="Q230" s="588"/>
      <c r="R230" s="588"/>
      <c r="S230" s="587">
        <f ca="1">SUMPRODUCT(OFFSET(貼付け_2025実績,$G230,5,($H230-$G230+1),1),OFFSET(貼付け_2025実績,$G230,SUM(COLUMN()-COLUMN(貼付け_2025実績)),($H230-$G230+1),1))*0.0258</f>
        <v>0</v>
      </c>
      <c r="T230" s="588"/>
      <c r="U230" s="588"/>
      <c r="V230" s="588"/>
      <c r="W230" s="587">
        <f ca="1">SUMPRODUCT(OFFSET(貼付け_2025実績,$G230,5,($H230-$G230+1),1),OFFSET(貼付け_2025実績,$G230,SUM(COLUMN()-COLUMN(貼付け_2025実績)),($H230-$G230+1),1))*0.0258</f>
        <v>0</v>
      </c>
      <c r="X230" s="588"/>
      <c r="Y230" s="588"/>
      <c r="Z230" s="588"/>
      <c r="AA230" s="587">
        <f ca="1">SUMPRODUCT(OFFSET(貼付け_2025実績,$G230,5,($H230-$G230+1),1),OFFSET(貼付け_2025実績,$G230,SUM(COLUMN()-COLUMN(貼付け_2025実績)),($H230-$G230+1),1))*0.0258</f>
        <v>0</v>
      </c>
      <c r="AB230" s="588"/>
      <c r="AC230" s="588"/>
      <c r="AD230" s="588"/>
      <c r="AE230" s="587">
        <f ca="1">SUMPRODUCT(OFFSET(貼付け_2025実績,$G230,5,($H230-$G230+1),1),OFFSET(貼付け_2025実績,$G230,SUM(COLUMN()-COLUMN(貼付け_2025実績)),($H230-$G230+1),1))*0.0258</f>
        <v>0</v>
      </c>
      <c r="AF230" s="588"/>
      <c r="AG230" s="588"/>
      <c r="AH230" s="588"/>
      <c r="AI230" s="587">
        <f ca="1">SUMPRODUCT(OFFSET(貼付け_2025実績,$G230,5,($H230-$G230+1),1),OFFSET(貼付け_2025実績,$G230,SUM(COLUMN()-COLUMN(貼付け_2025実績)),($H230-$G230+1),1))*0.0258</f>
        <v>0</v>
      </c>
      <c r="AJ230" s="588"/>
      <c r="AK230" s="588"/>
      <c r="AL230" s="588"/>
      <c r="AM230" s="587">
        <f ca="1">SUMPRODUCT(OFFSET(貼付け_2025実績,$G230,5,($H230-$G230+1),1),OFFSET(貼付け_2025実績,$G230,SUM(COLUMN()-COLUMN(貼付け_2025実績)),($H230-$G230+1),1))*0.0258</f>
        <v>0</v>
      </c>
      <c r="AN230" s="588"/>
      <c r="AO230" s="588"/>
      <c r="AP230" s="588"/>
      <c r="AQ230" s="587">
        <f ca="1">SUMPRODUCT(OFFSET(貼付け_2025実績,$G230,5,($H230-$G230+1),1),OFFSET(貼付け_2025実績,$G230,SUM(COLUMN()-COLUMN(貼付け_2025実績)),($H230-$G230+1),1))*0.0258</f>
        <v>0</v>
      </c>
      <c r="AR230" s="588"/>
      <c r="AS230" s="588"/>
      <c r="AT230" s="588"/>
      <c r="AU230" s="587">
        <f ca="1">SUMPRODUCT(OFFSET(貼付け_2025実績,$G230,5,($H230-$G230+1),1),OFFSET(貼付け_2025実績,$G230,SUM(COLUMN()-COLUMN(貼付け_2025実績)),($H230-$G230+1),1))*0.0258</f>
        <v>0</v>
      </c>
      <c r="AV230" s="588"/>
      <c r="AW230" s="588"/>
      <c r="AX230" s="588"/>
      <c r="AY230" s="587">
        <f ca="1">SUMPRODUCT(OFFSET(貼付け_2025実績,$G230,5,($H230-$G230+1),1),OFFSET(貼付け_2025実績,$G230,SUM(COLUMN()-COLUMN(貼付け_2025実績)),($H230-$G230+1),1))*0.0258</f>
        <v>0</v>
      </c>
      <c r="AZ230" s="588"/>
      <c r="BA230" s="588"/>
      <c r="BB230" s="588"/>
      <c r="BC230" s="587">
        <f ca="1">SUMPRODUCT(OFFSET(貼付け_2025実績,$G230,5,($H230-$G230+1),1),OFFSET(貼付け_2025実績,$G230,SUM(COLUMN()-COLUMN(貼付け_2025実績)),($H230-$G230+1),1))*0.0258</f>
        <v>0</v>
      </c>
      <c r="BD230" s="588"/>
      <c r="BE230" s="588"/>
      <c r="BF230" s="588"/>
      <c r="BG230" s="587">
        <f ca="1">SUMPRODUCT(OFFSET(貼付け_2025実績,$G230,5,($H230-$G230+1),1),OFFSET(貼付け_2025実績,$G230,SUM(COLUMN()-COLUMN(貼付け_2025実績)),($H230-$G230+1),1))*0.0258</f>
        <v>0</v>
      </c>
      <c r="BH230" s="588"/>
      <c r="BI230" s="588"/>
      <c r="BJ230" s="588"/>
      <c r="BK230" s="587">
        <f ca="1">SUMPRODUCT(OFFSET(貼付け_2025実績,$G230,5,($H230-$G230+1),1),OFFSET(貼付け_2025実績,$G230,SUM(COLUMN()-COLUMN(貼付け_2025実績)),($H230-$G230+1),1))*0.0258</f>
        <v>0</v>
      </c>
      <c r="BL230" s="588"/>
      <c r="BM230" s="588"/>
      <c r="BN230" s="588"/>
      <c r="BO230" s="587">
        <f ca="1">SUMPRODUCT(OFFSET(貼付け_2025実績,$G230,5,($H230-$G230+1),1),OFFSET(貼付け_2025実績,$G230,SUM(COLUMN()-COLUMN(貼付け_2025実績)),($H230-$G230+1),1))*0.0258</f>
        <v>0</v>
      </c>
      <c r="BP230" s="588"/>
      <c r="BQ230" s="588"/>
      <c r="BR230" s="588"/>
      <c r="BS230" s="587">
        <f ca="1">SUMPRODUCT(OFFSET(貼付け_2025実績,$G230,5,($H230-$G230+1),1),OFFSET(貼付け_2025実績,$G230,SUM(COLUMN()-COLUMN(貼付け_2025実績)),($H230-$G230+1),1))*0.0258</f>
        <v>0</v>
      </c>
      <c r="BT230" s="588"/>
      <c r="BU230" s="588"/>
      <c r="BV230" s="588"/>
      <c r="BW230" s="587">
        <f ca="1">SUMPRODUCT(OFFSET(貼付け_2025実績,$G230,5,($H230-$G230+1),1),OFFSET(貼付け_2025実績,$G230,SUM(COLUMN()-COLUMN(貼付け_2025実績)),($H230-$G230+1),1))*0.0258</f>
        <v>0</v>
      </c>
      <c r="BX230" s="588"/>
      <c r="BY230" s="588"/>
      <c r="BZ230" s="588"/>
      <c r="CA230" s="587">
        <f ca="1">SUMPRODUCT(OFFSET(貼付け_2025実績,$G230,5,($H230-$G230+1),1),OFFSET(貼付け_2025実績,$G230,SUM(COLUMN()-COLUMN(貼付け_2025実績)),($H230-$G230+1),1))*0.0258</f>
        <v>0</v>
      </c>
      <c r="CB230" s="588"/>
      <c r="CC230" s="588"/>
      <c r="CD230" s="588"/>
      <c r="CE230" s="587">
        <f ca="1">SUMPRODUCT(OFFSET(貼付け_2025実績,$G230,5,($H230-$G230+1),1),OFFSET(貼付け_2025実績,$G230,SUM(COLUMN()-COLUMN(貼付け_2025実績)),($H230-$G230+1),1))*0.0258</f>
        <v>0</v>
      </c>
      <c r="CF230" s="588"/>
      <c r="CG230" s="588"/>
      <c r="CH230" s="588"/>
      <c r="CI230" s="587">
        <f ca="1">SUMPRODUCT(OFFSET(貼付け_2025実績,$G230,5,($H230-$G230+1),1),OFFSET(貼付け_2025実績,$G230,SUM(COLUMN()-COLUMN(貼付け_2025実績)),($H230-$G230+1),1))*0.0258</f>
        <v>0</v>
      </c>
      <c r="CJ230" s="588"/>
      <c r="CK230" s="588"/>
      <c r="CL230" s="588"/>
      <c r="CM230" s="587">
        <f ca="1">SUMPRODUCT(OFFSET(貼付け_2025実績,$G230,5,($H230-$G230+1),1),OFFSET(貼付け_2025実績,$G230,SUM(COLUMN()-COLUMN(貼付け_2025実績)),($H230-$G230+1),1))*0.0258</f>
        <v>0</v>
      </c>
      <c r="CN230" s="588"/>
      <c r="CO230" s="588"/>
      <c r="CP230" s="588"/>
      <c r="CQ230" s="587">
        <f ca="1">SUMPRODUCT(OFFSET(貼付け_2025実績,$G230,5,($H230-$G230+1),1),OFFSET(貼付け_2025実績,$G230,SUM(COLUMN()-COLUMN(貼付け_2025実績)),($H230-$G230+1),1))*0.0258</f>
        <v>0</v>
      </c>
      <c r="CR230" s="588"/>
      <c r="CS230" s="588"/>
      <c r="CT230" s="588"/>
      <c r="CU230" s="587">
        <f ca="1">SUMPRODUCT(OFFSET(貼付け_2025実績,$G230,5,($H230-$G230+1),1),OFFSET(貼付け_2025実績,$G230,SUM(COLUMN()-COLUMN(貼付け_2025実績)),($H230-$G230+1),1))*0.0258</f>
        <v>0</v>
      </c>
      <c r="CV230" s="588"/>
      <c r="CW230" s="588"/>
      <c r="CX230" s="588"/>
      <c r="CY230" s="587">
        <f ca="1">SUMPRODUCT(OFFSET(貼付け_2025実績,$G230,5,($H230-$G230+1),1),OFFSET(貼付け_2025実績,$G230,SUM(COLUMN()-COLUMN(貼付け_2025実績)),($H230-$G230+1),1))*0.0258</f>
        <v>0</v>
      </c>
      <c r="CZ230" s="588"/>
      <c r="DA230" s="588"/>
      <c r="DB230" s="588"/>
      <c r="DC230" s="587">
        <f ca="1">SUMPRODUCT(OFFSET(貼付け_2025実績,$G230,5,($H230-$G230+1),1),OFFSET(貼付け_2025実績,$G230,SUM(COLUMN()-COLUMN(貼付け_2025実績)),($H230-$G230+1),1))*0.0258</f>
        <v>0</v>
      </c>
      <c r="DD230" s="588"/>
      <c r="DE230" s="588"/>
      <c r="DF230" s="588"/>
      <c r="DG230" s="587">
        <f ca="1">SUMPRODUCT(OFFSET(貼付け_2025実績,$G230,5,($H230-$G230+1),1),OFFSET(貼付け_2025実績,$G230,SUM(COLUMN()-COLUMN(貼付け_2025実績)),($H230-$G230+1),1))*0.0258</f>
        <v>0</v>
      </c>
      <c r="DH230" s="588"/>
      <c r="DI230" s="588"/>
      <c r="DJ230" s="588"/>
      <c r="DK230" s="587">
        <f ca="1">SUMPRODUCT(OFFSET(貼付け_2025実績,$G230,5,($H230-$G230+1),1),OFFSET(貼付け_2025実績,$G230,SUM(COLUMN()-COLUMN(貼付け_2025実績)),($H230-$G230+1),1))*0.0258</f>
        <v>0</v>
      </c>
      <c r="DL230" s="588"/>
      <c r="DM230" s="588"/>
      <c r="DN230" s="588"/>
      <c r="DO230" s="587">
        <f ca="1">SUMPRODUCT(OFFSET(貼付け_2025実績,$G230,5,($H230-$G230+1),1),OFFSET(貼付け_2025実績,$G230,SUM(COLUMN()-COLUMN(貼付け_2025実績)),($H230-$G230+1),1))*0.0258</f>
        <v>0</v>
      </c>
      <c r="DP230" s="588"/>
      <c r="DQ230" s="588"/>
      <c r="DR230" s="588"/>
      <c r="DS230" s="587">
        <f ca="1">SUMPRODUCT(OFFSET(貼付け_2025実績,$G230,5,($H230-$G230+1),1),OFFSET(貼付け_2025実績,$G230,SUM(COLUMN()-COLUMN(貼付け_2025実績)),($H230-$G230+1),1))*0.0258</f>
        <v>0</v>
      </c>
      <c r="DT230" s="588"/>
      <c r="DU230" s="588"/>
      <c r="DV230" s="588"/>
      <c r="DW230" s="587">
        <f ca="1">SUMPRODUCT(OFFSET(貼付け_2025実績,$G230,5,($H230-$G230+1),1),OFFSET(貼付け_2025実績,$G230,SUM(COLUMN()-COLUMN(貼付け_2025実績)),($H230-$G230+1),1))*0.0258</f>
        <v>0</v>
      </c>
      <c r="DX230" s="588"/>
      <c r="DY230" s="588"/>
      <c r="DZ230" s="588"/>
      <c r="EA230" s="587">
        <f ca="1">SUMPRODUCT(OFFSET(貼付け_2025実績,$G230,5,($H230-$G230+1),1),OFFSET(貼付け_2025実績,$G230,SUM(COLUMN()-COLUMN(貼付け_2025実績)),($H230-$G230+1),1))*0.0258</f>
        <v>0</v>
      </c>
      <c r="EB230" s="588"/>
      <c r="EC230" s="588"/>
      <c r="ED230" s="588"/>
      <c r="EE230" s="587">
        <f ca="1">SUMPRODUCT(OFFSET(貼付け_2025実績,$G230,5,($H230-$G230+1),1),OFFSET(貼付け_2025実績,$G230,SUM(COLUMN()-COLUMN(貼付け_2025実績)),($H230-$G230+1),1))*0.0258</f>
        <v>0</v>
      </c>
      <c r="EF230" s="588"/>
      <c r="EG230" s="588"/>
      <c r="EH230" s="588"/>
      <c r="EI230" s="587">
        <f ca="1">SUMPRODUCT(OFFSET(貼付け_2025実績,$G230,5,($H230-$G230+1),1),OFFSET(貼付け_2025実績,$G230,SUM(COLUMN()-COLUMN(貼付け_2025実績)),($H230-$G230+1),1))*0.0258</f>
        <v>0</v>
      </c>
      <c r="EJ230" s="588"/>
      <c r="EK230" s="588"/>
      <c r="EL230" s="588"/>
      <c r="EM230" s="587">
        <f ca="1">SUMPRODUCT(OFFSET(貼付け_2025実績,$G230,5,($H230-$G230+1),1),OFFSET(貼付け_2025実績,$G230,SUM(COLUMN()-COLUMN(貼付け_2025実績)),($H230-$G230+1),1))*0.0258</f>
        <v>0</v>
      </c>
      <c r="EN230" s="588"/>
      <c r="EO230" s="588"/>
      <c r="EP230" s="588"/>
      <c r="EQ230" s="587">
        <f ca="1">SUMPRODUCT(OFFSET(貼付け_2025実績,$G230,5,($H230-$G230+1),1),OFFSET(貼付け_2025実績,$G230,SUM(COLUMN()-COLUMN(貼付け_2025実績)),($H230-$G230+1),1))*0.0258</f>
        <v>0</v>
      </c>
      <c r="ER230" s="588"/>
      <c r="ES230" s="588"/>
      <c r="ET230" s="588"/>
      <c r="EU230" s="587">
        <f ca="1">SUMPRODUCT(OFFSET(貼付け_2025実績,$G230,5,($H230-$G230+1),1),OFFSET(貼付け_2025実績,$G230,SUM(COLUMN()-COLUMN(貼付け_2025実績)),($H230-$G230+1),1))*0.0258</f>
        <v>0</v>
      </c>
      <c r="EV230" s="588"/>
      <c r="EW230" s="588"/>
      <c r="EX230" s="588"/>
      <c r="EY230" s="587">
        <f ca="1">SUMPRODUCT(OFFSET(貼付け_2025実績,$G230,5,($H230-$G230+1),1),OFFSET(貼付け_2025実績,$G230,SUM(COLUMN()-COLUMN(貼付け_2025実績)),($H230-$G230+1),1))*0.0258</f>
        <v>0</v>
      </c>
      <c r="EZ230" s="588"/>
      <c r="FA230" s="588"/>
      <c r="FB230" s="588"/>
      <c r="FC230" s="587">
        <f ca="1">SUMPRODUCT(OFFSET(貼付け_2025実績,$G230,5,($H230-$G230+1),1),OFFSET(貼付け_2025実績,$G230,SUM(COLUMN()-COLUMN(貼付け_2025実績)),($H230-$G230+1),1))*0.0258</f>
        <v>0</v>
      </c>
      <c r="FD230" s="588"/>
      <c r="FE230" s="588"/>
      <c r="FF230" s="588"/>
      <c r="FG230" s="587">
        <f ca="1">SUMPRODUCT(OFFSET(貼付け_2025実績,$G230,5,($H230-$G230+1),1),OFFSET(貼付け_2025実績,$G230,SUM(COLUMN()-COLUMN(貼付け_2025実績)),($H230-$G230+1),1))*0.0258</f>
        <v>0</v>
      </c>
      <c r="FH230" s="588"/>
      <c r="FI230" s="588"/>
      <c r="FJ230" s="588"/>
      <c r="FK230" s="587">
        <f ca="1">SUMPRODUCT(OFFSET(貼付け_2025実績,$G230,5,($H230-$G230+1),1),OFFSET(貼付け_2025実績,$G230,SUM(COLUMN()-COLUMN(貼付け_2025実績)),($H230-$G230+1),1))*0.0258</f>
        <v>0</v>
      </c>
      <c r="FL230" s="588"/>
      <c r="FM230" s="588"/>
      <c r="FN230" s="588"/>
      <c r="FO230" s="587">
        <f ca="1">SUMPRODUCT(OFFSET(貼付け_2025実績,$G230,5,($H230-$G230+1),1),OFFSET(貼付け_2025実績,$G230,SUM(COLUMN()-COLUMN(貼付け_2025実績)),($H230-$G230+1),1))*0.0258</f>
        <v>0</v>
      </c>
      <c r="FP230" s="588"/>
      <c r="FQ230" s="588"/>
      <c r="FR230" s="588"/>
      <c r="FS230" s="587">
        <f ca="1">SUMPRODUCT(OFFSET(貼付け_2025実績,$G230,5,($H230-$G230+1),1),OFFSET(貼付け_2025実績,$G230,SUM(COLUMN()-COLUMN(貼付け_2025実績)),($H230-$G230+1),1))*0.0258</f>
        <v>0</v>
      </c>
      <c r="FT230" s="588"/>
      <c r="FU230" s="588"/>
      <c r="FV230" s="588"/>
      <c r="FW230" s="587">
        <f ca="1">SUMPRODUCT(OFFSET(貼付け_2025実績,$G230,5,($H230-$G230+1),1),OFFSET(貼付け_2025実績,$G230,SUM(COLUMN()-COLUMN(貼付け_2025実績)),($H230-$G230+1),1))*0.0258</f>
        <v>0</v>
      </c>
      <c r="FX230" s="588"/>
      <c r="FY230" s="588"/>
      <c r="FZ230" s="588"/>
      <c r="GA230" s="587">
        <f ca="1">SUMPRODUCT(OFFSET(貼付け_2025実績,$G230,5,($H230-$G230+1),1),OFFSET(貼付け_2025実績,$G230,SUM(COLUMN()-COLUMN(貼付け_2025実績)),($H230-$G230+1),1))*0.0258</f>
        <v>0</v>
      </c>
      <c r="GB230" s="588"/>
      <c r="GC230" s="588"/>
      <c r="GD230" s="588"/>
      <c r="GE230" s="587">
        <f ca="1">SUMPRODUCT(OFFSET(貼付け_2025実績,$G230,5,($H230-$G230+1),1),OFFSET(貼付け_2025実績,$G230,SUM(COLUMN()-COLUMN(貼付け_2025実績)),($H230-$G230+1),1))*0.0258</f>
        <v>0</v>
      </c>
      <c r="GF230" s="588"/>
      <c r="GG230" s="588"/>
      <c r="GH230" s="588"/>
      <c r="GI230" s="587">
        <f ca="1">SUMPRODUCT(OFFSET(貼付け_2025実績,$G230,5,($H230-$G230+1),1),OFFSET(貼付け_2025実績,$G230,SUM(COLUMN()-COLUMN(貼付け_2025実績)),($H230-$G230+1),1))*0.0258</f>
        <v>0</v>
      </c>
      <c r="GJ230" s="588"/>
      <c r="GK230" s="588"/>
      <c r="GL230" s="588"/>
      <c r="GM230" s="587">
        <f ca="1">SUMPRODUCT(OFFSET(貼付け_2025実績,$G230,5,($H230-$G230+1),1),OFFSET(貼付け_2025実績,$G230,SUM(COLUMN()-COLUMN(貼付け_2025実績)),($H230-$G230+1),1))*0.0258</f>
        <v>0</v>
      </c>
      <c r="GN230" s="588"/>
      <c r="GO230" s="588"/>
      <c r="GP230" s="588"/>
      <c r="GQ230" s="587">
        <f ca="1">SUMPRODUCT(OFFSET(貼付け_2025実績,$G230,5,($H230-$G230+1),1),OFFSET(貼付け_2025実績,$G230,SUM(COLUMN()-COLUMN(貼付け_2025実績)),($H230-$G230+1),1))*0.0258</f>
        <v>0</v>
      </c>
      <c r="GR230" s="588"/>
      <c r="GS230" s="588"/>
      <c r="GT230" s="588"/>
      <c r="GU230" s="587">
        <f ca="1">SUMPRODUCT(OFFSET(貼付け_2025実績,$G230,5,($H230-$G230+1),1),OFFSET(貼付け_2025実績,$G230,SUM(COLUMN()-COLUMN(貼付け_2025実績)),($H230-$G230+1),1))*0.0258</f>
        <v>0</v>
      </c>
      <c r="GV230" s="588"/>
      <c r="GW230" s="588"/>
      <c r="GX230" s="588"/>
      <c r="GY230" s="587">
        <f ca="1">SUMPRODUCT(OFFSET(貼付け_2025実績,$G230,5,($H230-$G230+1),1),OFFSET(貼付け_2025実績,$G230,SUM(COLUMN()-COLUMN(貼付け_2025実績)),($H230-$G230+1),1))*0.0258</f>
        <v>0</v>
      </c>
      <c r="GZ230" s="588"/>
      <c r="HA230" s="588"/>
      <c r="HB230" s="588"/>
      <c r="IE230" s="579"/>
      <c r="IF230" s="579"/>
      <c r="IG230" s="579"/>
      <c r="IH230" s="579"/>
    </row>
    <row r="231" spans="1:242" s="164" customFormat="1" ht="19.8" hidden="1">
      <c r="A231" s="572">
        <v>5</v>
      </c>
      <c r="C231" s="584" t="s">
        <v>656</v>
      </c>
      <c r="D231" s="586"/>
      <c r="E231" s="586"/>
      <c r="F231" s="587"/>
      <c r="G231" s="587"/>
      <c r="H231" s="587"/>
      <c r="I231" s="587"/>
      <c r="J231" s="587"/>
      <c r="K231" s="587">
        <f ca="1">(K229-K230*0.2)</f>
        <v>0</v>
      </c>
      <c r="L231" s="588"/>
      <c r="M231" s="588"/>
      <c r="N231" s="588"/>
      <c r="O231" s="587">
        <f ca="1">(O229-O230*0.2)</f>
        <v>0</v>
      </c>
      <c r="P231" s="588"/>
      <c r="Q231" s="588"/>
      <c r="R231" s="588"/>
      <c r="S231" s="587">
        <f ca="1">(S229-S230*0.2)</f>
        <v>0</v>
      </c>
      <c r="T231" s="588"/>
      <c r="U231" s="588"/>
      <c r="V231" s="588"/>
      <c r="W231" s="587">
        <f ca="1">(W229-W230*0.2)</f>
        <v>0</v>
      </c>
      <c r="X231" s="588"/>
      <c r="Y231" s="588"/>
      <c r="Z231" s="588"/>
      <c r="AA231" s="587">
        <f ca="1">(AA229-AA230*0.2)</f>
        <v>0</v>
      </c>
      <c r="AB231" s="588"/>
      <c r="AC231" s="588"/>
      <c r="AD231" s="588"/>
      <c r="AE231" s="587">
        <f ca="1">(AE229-AE230*0.2)</f>
        <v>0</v>
      </c>
      <c r="AF231" s="588"/>
      <c r="AG231" s="588"/>
      <c r="AH231" s="588"/>
      <c r="AI231" s="587">
        <f ca="1">(AI229-AI230*0.2)</f>
        <v>0</v>
      </c>
      <c r="AJ231" s="588"/>
      <c r="AK231" s="588"/>
      <c r="AL231" s="588"/>
      <c r="AM231" s="587">
        <f ca="1">(AM229-AM230*0.2)</f>
        <v>0</v>
      </c>
      <c r="AN231" s="588"/>
      <c r="AO231" s="588"/>
      <c r="AP231" s="588"/>
      <c r="AQ231" s="587">
        <f ca="1">(AQ229-AQ230*0.2)</f>
        <v>0</v>
      </c>
      <c r="AR231" s="588"/>
      <c r="AS231" s="588"/>
      <c r="AT231" s="588"/>
      <c r="AU231" s="587">
        <f ca="1">(AU229-AU230*0.2)</f>
        <v>0</v>
      </c>
      <c r="AV231" s="588"/>
      <c r="AW231" s="588"/>
      <c r="AX231" s="588"/>
      <c r="AY231" s="587">
        <f ca="1">(AY229-AY230*0.2)</f>
        <v>0</v>
      </c>
      <c r="AZ231" s="588"/>
      <c r="BA231" s="588"/>
      <c r="BB231" s="588"/>
      <c r="BC231" s="587">
        <f ca="1">(BC229-BC230*0.2)</f>
        <v>0</v>
      </c>
      <c r="BD231" s="588"/>
      <c r="BE231" s="588"/>
      <c r="BF231" s="588"/>
      <c r="BG231" s="587">
        <f ca="1">(BG229-BG230*0.2)</f>
        <v>0</v>
      </c>
      <c r="BH231" s="588"/>
      <c r="BI231" s="588"/>
      <c r="BJ231" s="588"/>
      <c r="BK231" s="587">
        <f ca="1">(BK229-BK230*0.2)</f>
        <v>0</v>
      </c>
      <c r="BL231" s="588"/>
      <c r="BM231" s="588"/>
      <c r="BN231" s="588"/>
      <c r="BO231" s="587">
        <f ca="1">(BO229-BO230*0.2)</f>
        <v>0</v>
      </c>
      <c r="BP231" s="588"/>
      <c r="BQ231" s="588"/>
      <c r="BR231" s="588"/>
      <c r="BS231" s="587">
        <f ca="1">(BS229-BS230*0.2)</f>
        <v>0</v>
      </c>
      <c r="BT231" s="588"/>
      <c r="BU231" s="588"/>
      <c r="BV231" s="588"/>
      <c r="BW231" s="587">
        <f ca="1">(BW229-BW230*0.2)</f>
        <v>0</v>
      </c>
      <c r="BX231" s="588"/>
      <c r="BY231" s="588"/>
      <c r="BZ231" s="588"/>
      <c r="CA231" s="587">
        <f ca="1">(CA229-CA230*0.2)</f>
        <v>0</v>
      </c>
      <c r="CB231" s="588"/>
      <c r="CC231" s="588"/>
      <c r="CD231" s="588"/>
      <c r="CE231" s="587">
        <f ca="1">(CE229-CE230*0.2)</f>
        <v>0</v>
      </c>
      <c r="CF231" s="588"/>
      <c r="CG231" s="588"/>
      <c r="CH231" s="588"/>
      <c r="CI231" s="587">
        <f ca="1">(CI229-CI230*0.2)</f>
        <v>0</v>
      </c>
      <c r="CJ231" s="588"/>
      <c r="CK231" s="588"/>
      <c r="CL231" s="588"/>
      <c r="CM231" s="587">
        <f ca="1">(CM229-CM230*0.2)</f>
        <v>0</v>
      </c>
      <c r="CN231" s="588"/>
      <c r="CO231" s="588"/>
      <c r="CP231" s="588"/>
      <c r="CQ231" s="587">
        <f ca="1">(CQ229-CQ230*0.2)</f>
        <v>0</v>
      </c>
      <c r="CR231" s="588"/>
      <c r="CS231" s="588"/>
      <c r="CT231" s="588"/>
      <c r="CU231" s="587">
        <f ca="1">(CU229-CU230*0.2)</f>
        <v>0</v>
      </c>
      <c r="CV231" s="588"/>
      <c r="CW231" s="588"/>
      <c r="CX231" s="588"/>
      <c r="CY231" s="587">
        <f ca="1">(CY229-CY230*0.2)</f>
        <v>0</v>
      </c>
      <c r="CZ231" s="588"/>
      <c r="DA231" s="588"/>
      <c r="DB231" s="588"/>
      <c r="DC231" s="587">
        <f ca="1">(DC229-DC230*0.2)</f>
        <v>0</v>
      </c>
      <c r="DD231" s="588"/>
      <c r="DE231" s="588"/>
      <c r="DF231" s="588"/>
      <c r="DG231" s="587">
        <f ca="1">(DG229-DG230*0.2)</f>
        <v>0</v>
      </c>
      <c r="DH231" s="588"/>
      <c r="DI231" s="588"/>
      <c r="DJ231" s="588"/>
      <c r="DK231" s="587">
        <f ca="1">(DK229-DK230*0.2)</f>
        <v>0</v>
      </c>
      <c r="DL231" s="588"/>
      <c r="DM231" s="588"/>
      <c r="DN231" s="588"/>
      <c r="DO231" s="587">
        <f ca="1">(DO229-DO230*0.2)</f>
        <v>0</v>
      </c>
      <c r="DP231" s="588"/>
      <c r="DQ231" s="588"/>
      <c r="DR231" s="588"/>
      <c r="DS231" s="587">
        <f ca="1">(DS229-DS230*0.2)</f>
        <v>0</v>
      </c>
      <c r="DT231" s="588"/>
      <c r="DU231" s="588"/>
      <c r="DV231" s="588"/>
      <c r="DW231" s="587">
        <f ca="1">(DW229-DW230*0.2)</f>
        <v>0</v>
      </c>
      <c r="DX231" s="588"/>
      <c r="DY231" s="588"/>
      <c r="DZ231" s="588"/>
      <c r="EA231" s="587">
        <f ca="1">(EA229-EA230*0.2)</f>
        <v>0</v>
      </c>
      <c r="EB231" s="588"/>
      <c r="EC231" s="588"/>
      <c r="ED231" s="588"/>
      <c r="EE231" s="587">
        <f ca="1">(EE229-EE230*0.2)</f>
        <v>0</v>
      </c>
      <c r="EF231" s="588"/>
      <c r="EG231" s="588"/>
      <c r="EH231" s="588"/>
      <c r="EI231" s="587">
        <f ca="1">(EI229-EI230*0.2)</f>
        <v>0</v>
      </c>
      <c r="EJ231" s="588"/>
      <c r="EK231" s="588"/>
      <c r="EL231" s="588"/>
      <c r="EM231" s="587">
        <f ca="1">(EM229-EM230*0.2)</f>
        <v>0</v>
      </c>
      <c r="EN231" s="588"/>
      <c r="EO231" s="588"/>
      <c r="EP231" s="588"/>
      <c r="EQ231" s="587">
        <f ca="1">(EQ229-EQ230*0.2)</f>
        <v>0</v>
      </c>
      <c r="ER231" s="588"/>
      <c r="ES231" s="588"/>
      <c r="ET231" s="588"/>
      <c r="EU231" s="587">
        <f ca="1">(EU229-EU230*0.2)</f>
        <v>0</v>
      </c>
      <c r="EV231" s="588"/>
      <c r="EW231" s="588"/>
      <c r="EX231" s="588"/>
      <c r="EY231" s="587">
        <f ca="1">(EY229-EY230*0.2)</f>
        <v>0</v>
      </c>
      <c r="EZ231" s="588"/>
      <c r="FA231" s="588"/>
      <c r="FB231" s="588"/>
      <c r="FC231" s="587">
        <f ca="1">(FC229-FC230*0.2)</f>
        <v>0</v>
      </c>
      <c r="FD231" s="588"/>
      <c r="FE231" s="588"/>
      <c r="FF231" s="588"/>
      <c r="FG231" s="587">
        <f ca="1">(FG229-FG230*0.2)</f>
        <v>0</v>
      </c>
      <c r="FH231" s="588"/>
      <c r="FI231" s="588"/>
      <c r="FJ231" s="588"/>
      <c r="FK231" s="587">
        <f ca="1">(FK229-FK230*0.2)</f>
        <v>0</v>
      </c>
      <c r="FL231" s="588"/>
      <c r="FM231" s="588"/>
      <c r="FN231" s="588"/>
      <c r="FO231" s="587">
        <f ca="1">(FO229-FO230*0.2)</f>
        <v>0</v>
      </c>
      <c r="FP231" s="588"/>
      <c r="FQ231" s="588"/>
      <c r="FR231" s="588"/>
      <c r="FS231" s="587">
        <f ca="1">(FS229-FS230*0.2)</f>
        <v>0</v>
      </c>
      <c r="FT231" s="588"/>
      <c r="FU231" s="588"/>
      <c r="FV231" s="588"/>
      <c r="FW231" s="587">
        <f ca="1">(FW229-FW230*0.2)</f>
        <v>0</v>
      </c>
      <c r="FX231" s="588"/>
      <c r="FY231" s="588"/>
      <c r="FZ231" s="588"/>
      <c r="GA231" s="587">
        <f ca="1">(GA229-GA230*0.2)</f>
        <v>0</v>
      </c>
      <c r="GB231" s="588"/>
      <c r="GC231" s="588"/>
      <c r="GD231" s="588"/>
      <c r="GE231" s="587">
        <f ca="1">(GE229-GE230*0.2)</f>
        <v>0</v>
      </c>
      <c r="GF231" s="588"/>
      <c r="GG231" s="588"/>
      <c r="GH231" s="588"/>
      <c r="GI231" s="587">
        <f ca="1">(GI229-GI230*0.2)</f>
        <v>0</v>
      </c>
      <c r="GJ231" s="588"/>
      <c r="GK231" s="588"/>
      <c r="GL231" s="588"/>
      <c r="GM231" s="587">
        <f ca="1">(GM229-GM230*0.2)</f>
        <v>0</v>
      </c>
      <c r="GN231" s="588"/>
      <c r="GO231" s="588"/>
      <c r="GP231" s="588"/>
      <c r="GQ231" s="587">
        <f ca="1">(GQ229-GQ230*0.2)</f>
        <v>0</v>
      </c>
      <c r="GR231" s="588"/>
      <c r="GS231" s="588"/>
      <c r="GT231" s="588"/>
      <c r="GU231" s="587">
        <f ca="1">(GU229-GU230*0.2)</f>
        <v>0</v>
      </c>
      <c r="GV231" s="588"/>
      <c r="GW231" s="588"/>
      <c r="GX231" s="588"/>
      <c r="GY231" s="587">
        <f ca="1">(GY229-GY230*0.2)</f>
        <v>0</v>
      </c>
      <c r="GZ231" s="588"/>
      <c r="HA231" s="588"/>
      <c r="HB231" s="588"/>
      <c r="IE231" s="579"/>
      <c r="IF231" s="579"/>
      <c r="IG231" s="579"/>
      <c r="IH231" s="579"/>
    </row>
    <row r="232" spans="1:242" s="164" customFormat="1" ht="19.8" hidden="1">
      <c r="A232" s="572">
        <v>6</v>
      </c>
      <c r="C232" s="584" t="s">
        <v>657</v>
      </c>
      <c r="D232" s="586"/>
      <c r="E232" s="586"/>
      <c r="F232" s="587"/>
      <c r="G232" s="587">
        <v>101</v>
      </c>
      <c r="H232" s="587"/>
      <c r="I232" s="587"/>
      <c r="J232" s="587"/>
      <c r="K232" s="587">
        <f ca="1">K231-M229-N229</f>
        <v>0</v>
      </c>
      <c r="L232" s="587">
        <f ca="1">OFFSET(貼付け_2025実績,$G232,SUM(COLUMN()-COLUMN(貼付け_2025実績))-1)</f>
        <v>0</v>
      </c>
      <c r="M232" s="587" t="str">
        <f ca="1">IFERROR(K232/L232,"")</f>
        <v/>
      </c>
      <c r="N232" s="589"/>
      <c r="O232" s="587">
        <f ca="1">O231-Q229-R229</f>
        <v>0</v>
      </c>
      <c r="P232" s="587">
        <f ca="1">OFFSET(貼付け_2025実績,$G232,SUM(COLUMN()-COLUMN(貼付け_2025実績))-1)</f>
        <v>0</v>
      </c>
      <c r="Q232" s="587" t="str">
        <f ca="1">IFERROR(O232/P232,"")</f>
        <v/>
      </c>
      <c r="R232" s="589"/>
      <c r="S232" s="587">
        <f ca="1">S231-U229-V229</f>
        <v>0</v>
      </c>
      <c r="T232" s="587">
        <f ca="1">OFFSET(貼付け_2025実績,$G232,SUM(COLUMN()-COLUMN(貼付け_2025実績))-1)</f>
        <v>0</v>
      </c>
      <c r="U232" s="587" t="str">
        <f ca="1">IFERROR(S232/T232,"")</f>
        <v/>
      </c>
      <c r="V232" s="589"/>
      <c r="W232" s="587">
        <f ca="1">W231-Y229-Z229</f>
        <v>0</v>
      </c>
      <c r="X232" s="587">
        <f ca="1">OFFSET(貼付け_2025実績,$G232,SUM(COLUMN()-COLUMN(貼付け_2025実績))-1)</f>
        <v>0</v>
      </c>
      <c r="Y232" s="587" t="str">
        <f ca="1">IFERROR(W232/X232,"")</f>
        <v/>
      </c>
      <c r="Z232" s="589"/>
      <c r="AA232" s="587">
        <f ca="1">AA231-AC229-AD229</f>
        <v>0</v>
      </c>
      <c r="AB232" s="587">
        <f ca="1">OFFSET(貼付け_2025実績,$G232,SUM(COLUMN()-COLUMN(貼付け_2025実績))-1)</f>
        <v>0</v>
      </c>
      <c r="AC232" s="587" t="str">
        <f ca="1">IFERROR(AA232/AB232,"")</f>
        <v/>
      </c>
      <c r="AD232" s="589"/>
      <c r="AE232" s="587">
        <f ca="1">AE231-AG229-AH229</f>
        <v>0</v>
      </c>
      <c r="AF232" s="587">
        <f ca="1">OFFSET(貼付け_2025実績,$G232,SUM(COLUMN()-COLUMN(貼付け_2025実績))-1)</f>
        <v>0</v>
      </c>
      <c r="AG232" s="587" t="str">
        <f ca="1">IFERROR(AE232/AF232,"")</f>
        <v/>
      </c>
      <c r="AH232" s="589"/>
      <c r="AI232" s="587">
        <f ca="1">AI231-AK229-AL229</f>
        <v>0</v>
      </c>
      <c r="AJ232" s="587">
        <f ca="1">OFFSET(貼付け_2025実績,$G232,SUM(COLUMN()-COLUMN(貼付け_2025実績))-1)</f>
        <v>0</v>
      </c>
      <c r="AK232" s="587" t="str">
        <f ca="1">IFERROR(AI232/AJ232,"")</f>
        <v/>
      </c>
      <c r="AL232" s="589"/>
      <c r="AM232" s="587">
        <f ca="1">AM231-AO229-AP229</f>
        <v>0</v>
      </c>
      <c r="AN232" s="587">
        <f ca="1">OFFSET(貼付け_2025実績,$G232,SUM(COLUMN()-COLUMN(貼付け_2025実績))-1)</f>
        <v>0</v>
      </c>
      <c r="AO232" s="587" t="str">
        <f ca="1">IFERROR(AM232/AN232,"")</f>
        <v/>
      </c>
      <c r="AP232" s="589"/>
      <c r="AQ232" s="587">
        <f ca="1">AQ231-AS229-AT229</f>
        <v>0</v>
      </c>
      <c r="AR232" s="587">
        <f ca="1">OFFSET(貼付け_2025実績,$G232,SUM(COLUMN()-COLUMN(貼付け_2025実績))-1)</f>
        <v>0</v>
      </c>
      <c r="AS232" s="587" t="str">
        <f ca="1">IFERROR(AQ232/AR232,"")</f>
        <v/>
      </c>
      <c r="AT232" s="589"/>
      <c r="AU232" s="587">
        <f ca="1">AU231-AW229-AX229</f>
        <v>0</v>
      </c>
      <c r="AV232" s="587">
        <f ca="1">OFFSET(貼付け_2025実績,$G232,SUM(COLUMN()-COLUMN(貼付け_2025実績))-1)</f>
        <v>0</v>
      </c>
      <c r="AW232" s="587" t="str">
        <f ca="1">IFERROR(AU232/AV232,"")</f>
        <v/>
      </c>
      <c r="AX232" s="589"/>
      <c r="AY232" s="587">
        <f ca="1">AY231-BA229-BB229</f>
        <v>0</v>
      </c>
      <c r="AZ232" s="587">
        <f ca="1">OFFSET(貼付け_2025実績,$G232,SUM(COLUMN()-COLUMN(貼付け_2025実績))-1)</f>
        <v>0</v>
      </c>
      <c r="BA232" s="587" t="str">
        <f ca="1">IFERROR(AY232/AZ232,"")</f>
        <v/>
      </c>
      <c r="BB232" s="589"/>
      <c r="BC232" s="587">
        <f ca="1">BC231-BE229-BF229</f>
        <v>0</v>
      </c>
      <c r="BD232" s="587">
        <f ca="1">OFFSET(貼付け_2025実績,$G232,SUM(COLUMN()-COLUMN(貼付け_2025実績))-1)</f>
        <v>0</v>
      </c>
      <c r="BE232" s="587" t="str">
        <f ca="1">IFERROR(BC232/BD232,"")</f>
        <v/>
      </c>
      <c r="BF232" s="589"/>
      <c r="BG232" s="587">
        <f ca="1">BG231-BI229-BJ229</f>
        <v>0</v>
      </c>
      <c r="BH232" s="587">
        <f ca="1">OFFSET(貼付け_2025実績,$G232,SUM(COLUMN()-COLUMN(貼付け_2025実績))-1)</f>
        <v>0</v>
      </c>
      <c r="BI232" s="587" t="str">
        <f ca="1">IFERROR(BG232/BH232,"")</f>
        <v/>
      </c>
      <c r="BJ232" s="589"/>
      <c r="BK232" s="587">
        <f ca="1">BK231-BM229-BN229</f>
        <v>0</v>
      </c>
      <c r="BL232" s="587">
        <f ca="1">OFFSET(貼付け_2025実績,$G232,SUM(COLUMN()-COLUMN(貼付け_2025実績))-1)</f>
        <v>0</v>
      </c>
      <c r="BM232" s="587" t="str">
        <f ca="1">IFERROR(BK232/BL232,"")</f>
        <v/>
      </c>
      <c r="BN232" s="589"/>
      <c r="BO232" s="587">
        <f ca="1">BO231-BQ229-BR229</f>
        <v>0</v>
      </c>
      <c r="BP232" s="587">
        <f ca="1">OFFSET(貼付け_2025実績,$G232,SUM(COLUMN()-COLUMN(貼付け_2025実績))-1)</f>
        <v>0</v>
      </c>
      <c r="BQ232" s="587" t="str">
        <f ca="1">IFERROR(BO232/BP232,"")</f>
        <v/>
      </c>
      <c r="BR232" s="589"/>
      <c r="BS232" s="587">
        <f ca="1">BS231-BU229-BV229</f>
        <v>0</v>
      </c>
      <c r="BT232" s="587">
        <f ca="1">OFFSET(貼付け_2025実績,$G232,SUM(COLUMN()-COLUMN(貼付け_2025実績))-1)</f>
        <v>0</v>
      </c>
      <c r="BU232" s="587" t="str">
        <f ca="1">IFERROR(BS232/BT232,"")</f>
        <v/>
      </c>
      <c r="BV232" s="589"/>
      <c r="BW232" s="587">
        <f ca="1">BW231-BY229-BZ229</f>
        <v>0</v>
      </c>
      <c r="BX232" s="587">
        <f ca="1">OFFSET(貼付け_2025実績,$G232,SUM(COLUMN()-COLUMN(貼付け_2025実績))-1)</f>
        <v>0</v>
      </c>
      <c r="BY232" s="587" t="str">
        <f ca="1">IFERROR(BW232/BX232,"")</f>
        <v/>
      </c>
      <c r="BZ232" s="589"/>
      <c r="CA232" s="587">
        <f ca="1">CA231-CC229-CD229</f>
        <v>0</v>
      </c>
      <c r="CB232" s="587">
        <f ca="1">OFFSET(貼付け_2025実績,$G232,SUM(COLUMN()-COLUMN(貼付け_2025実績))-1)</f>
        <v>0</v>
      </c>
      <c r="CC232" s="587" t="str">
        <f ca="1">IFERROR(CA232/CB232,"")</f>
        <v/>
      </c>
      <c r="CD232" s="589"/>
      <c r="CE232" s="587">
        <f ca="1">CE231-CG229-CH229</f>
        <v>0</v>
      </c>
      <c r="CF232" s="587">
        <f ca="1">OFFSET(貼付け_2025実績,$G232,SUM(COLUMN()-COLUMN(貼付け_2025実績))-1)</f>
        <v>0</v>
      </c>
      <c r="CG232" s="587" t="str">
        <f ca="1">IFERROR(CE232/CF232,"")</f>
        <v/>
      </c>
      <c r="CH232" s="589"/>
      <c r="CI232" s="587">
        <f ca="1">CI231-CK229-CL229</f>
        <v>0</v>
      </c>
      <c r="CJ232" s="587">
        <f ca="1">OFFSET(貼付け_2025実績,$G232,SUM(COLUMN()-COLUMN(貼付け_2025実績))-1)</f>
        <v>0</v>
      </c>
      <c r="CK232" s="587" t="str">
        <f ca="1">IFERROR(CI232/CJ232,"")</f>
        <v/>
      </c>
      <c r="CL232" s="589"/>
      <c r="CM232" s="587">
        <f ca="1">CM231-CO229-CP229</f>
        <v>0</v>
      </c>
      <c r="CN232" s="587">
        <f ca="1">OFFSET(貼付け_2025実績,$G232,SUM(COLUMN()-COLUMN(貼付け_2025実績))-1)</f>
        <v>0</v>
      </c>
      <c r="CO232" s="587" t="str">
        <f ca="1">IFERROR(CM232/CN232,"")</f>
        <v/>
      </c>
      <c r="CP232" s="589"/>
      <c r="CQ232" s="587">
        <f ca="1">CQ231-CS229-CT229</f>
        <v>0</v>
      </c>
      <c r="CR232" s="587">
        <f ca="1">OFFSET(貼付け_2025実績,$G232,SUM(COLUMN()-COLUMN(貼付け_2025実績))-1)</f>
        <v>0</v>
      </c>
      <c r="CS232" s="587" t="str">
        <f ca="1">IFERROR(CQ232/CR232,"")</f>
        <v/>
      </c>
      <c r="CT232" s="589"/>
      <c r="CU232" s="587">
        <f ca="1">CU231-CW229-CX229</f>
        <v>0</v>
      </c>
      <c r="CV232" s="587">
        <f ca="1">OFFSET(貼付け_2025実績,$G232,SUM(COLUMN()-COLUMN(貼付け_2025実績))-1)</f>
        <v>0</v>
      </c>
      <c r="CW232" s="587" t="str">
        <f ca="1">IFERROR(CU232/CV232,"")</f>
        <v/>
      </c>
      <c r="CX232" s="589"/>
      <c r="CY232" s="587">
        <f ca="1">CY231-DA229-DB229</f>
        <v>0</v>
      </c>
      <c r="CZ232" s="587">
        <f ca="1">OFFSET(貼付け_2025実績,$G232,SUM(COLUMN()-COLUMN(貼付け_2025実績))-1)</f>
        <v>0</v>
      </c>
      <c r="DA232" s="587" t="str">
        <f ca="1">IFERROR(CY232/CZ232,"")</f>
        <v/>
      </c>
      <c r="DB232" s="589"/>
      <c r="DC232" s="587">
        <f ca="1">DC231-DE229-DF229</f>
        <v>0</v>
      </c>
      <c r="DD232" s="587">
        <f ca="1">OFFSET(貼付け_2025実績,$G232,SUM(COLUMN()-COLUMN(貼付け_2025実績))-1)</f>
        <v>0</v>
      </c>
      <c r="DE232" s="587" t="str">
        <f ca="1">IFERROR(DC232/DD232,"")</f>
        <v/>
      </c>
      <c r="DF232" s="589"/>
      <c r="DG232" s="587">
        <f ca="1">DG231-DI229-DJ229</f>
        <v>0</v>
      </c>
      <c r="DH232" s="587">
        <f ca="1">OFFSET(貼付け_2025実績,$G232,SUM(COLUMN()-COLUMN(貼付け_2025実績))-1)</f>
        <v>0</v>
      </c>
      <c r="DI232" s="587" t="str">
        <f ca="1">IFERROR(DG232/DH232,"")</f>
        <v/>
      </c>
      <c r="DJ232" s="589"/>
      <c r="DK232" s="587">
        <f ca="1">DK231-DM229-DN229</f>
        <v>0</v>
      </c>
      <c r="DL232" s="587">
        <f ca="1">OFFSET(貼付け_2025実績,$G232,SUM(COLUMN()-COLUMN(貼付け_2025実績))-1)</f>
        <v>0</v>
      </c>
      <c r="DM232" s="587" t="str">
        <f ca="1">IFERROR(DK232/DL232,"")</f>
        <v/>
      </c>
      <c r="DN232" s="589"/>
      <c r="DO232" s="587">
        <f ca="1">DO231-DQ229-DR229</f>
        <v>0</v>
      </c>
      <c r="DP232" s="587">
        <f ca="1">OFFSET(貼付け_2025実績,$G232,SUM(COLUMN()-COLUMN(貼付け_2025実績))-1)</f>
        <v>0</v>
      </c>
      <c r="DQ232" s="587" t="str">
        <f ca="1">IFERROR(DO232/DP232,"")</f>
        <v/>
      </c>
      <c r="DR232" s="589"/>
      <c r="DS232" s="587">
        <f ca="1">DS231-DU229-DV229</f>
        <v>0</v>
      </c>
      <c r="DT232" s="587">
        <f ca="1">OFFSET(貼付け_2025実績,$G232,SUM(COLUMN()-COLUMN(貼付け_2025実績))-1)</f>
        <v>0</v>
      </c>
      <c r="DU232" s="587" t="str">
        <f ca="1">IFERROR(DS232/DT232,"")</f>
        <v/>
      </c>
      <c r="DV232" s="589"/>
      <c r="DW232" s="587">
        <f ca="1">DW231-DY229-DZ229</f>
        <v>0</v>
      </c>
      <c r="DX232" s="587">
        <f ca="1">OFFSET(貼付け_2025実績,$G232,SUM(COLUMN()-COLUMN(貼付け_2025実績))-1)</f>
        <v>0</v>
      </c>
      <c r="DY232" s="587" t="str">
        <f ca="1">IFERROR(DW232/DX232,"")</f>
        <v/>
      </c>
      <c r="DZ232" s="589"/>
      <c r="EA232" s="587">
        <f ca="1">EA231-EC229-ED229</f>
        <v>0</v>
      </c>
      <c r="EB232" s="587">
        <f ca="1">OFFSET(貼付け_2025実績,$G232,SUM(COLUMN()-COLUMN(貼付け_2025実績))-1)</f>
        <v>0</v>
      </c>
      <c r="EC232" s="587" t="str">
        <f ca="1">IFERROR(EA232/EB232,"")</f>
        <v/>
      </c>
      <c r="ED232" s="589"/>
      <c r="EE232" s="587">
        <f ca="1">EE231-EG229-EH229</f>
        <v>0</v>
      </c>
      <c r="EF232" s="587">
        <f ca="1">OFFSET(貼付け_2025実績,$G232,SUM(COLUMN()-COLUMN(貼付け_2025実績))-1)</f>
        <v>0</v>
      </c>
      <c r="EG232" s="587" t="str">
        <f ca="1">IFERROR(EE232/EF232,"")</f>
        <v/>
      </c>
      <c r="EH232" s="589"/>
      <c r="EI232" s="587">
        <f ca="1">EI231-EK229-EL229</f>
        <v>0</v>
      </c>
      <c r="EJ232" s="587">
        <f ca="1">OFFSET(貼付け_2025実績,$G232,SUM(COLUMN()-COLUMN(貼付け_2025実績))-1)</f>
        <v>0</v>
      </c>
      <c r="EK232" s="587" t="str">
        <f ca="1">IFERROR(EI232/EJ232,"")</f>
        <v/>
      </c>
      <c r="EL232" s="589"/>
      <c r="EM232" s="587">
        <f ca="1">EM231-EO229-EP229</f>
        <v>0</v>
      </c>
      <c r="EN232" s="587">
        <f ca="1">OFFSET(貼付け_2025実績,$G232,SUM(COLUMN()-COLUMN(貼付け_2025実績))-1)</f>
        <v>0</v>
      </c>
      <c r="EO232" s="587" t="str">
        <f ca="1">IFERROR(EM232/EN232,"")</f>
        <v/>
      </c>
      <c r="EP232" s="589"/>
      <c r="EQ232" s="587">
        <f ca="1">EQ231-ES229-ET229</f>
        <v>0</v>
      </c>
      <c r="ER232" s="587">
        <f ca="1">OFFSET(貼付け_2025実績,$G232,SUM(COLUMN()-COLUMN(貼付け_2025実績))-1)</f>
        <v>0</v>
      </c>
      <c r="ES232" s="587" t="str">
        <f ca="1">IFERROR(EQ232/ER232,"")</f>
        <v/>
      </c>
      <c r="ET232" s="589"/>
      <c r="EU232" s="587">
        <f ca="1">EU231-EW229-EX229</f>
        <v>0</v>
      </c>
      <c r="EV232" s="587">
        <f ca="1">OFFSET(貼付け_2025実績,$G232,SUM(COLUMN()-COLUMN(貼付け_2025実績))-1)</f>
        <v>0</v>
      </c>
      <c r="EW232" s="587" t="str">
        <f ca="1">IFERROR(EU232/EV232,"")</f>
        <v/>
      </c>
      <c r="EX232" s="589"/>
      <c r="EY232" s="587">
        <f ca="1">EY231-FA229-FB229</f>
        <v>0</v>
      </c>
      <c r="EZ232" s="587">
        <f ca="1">OFFSET(貼付け_2025実績,$G232,SUM(COLUMN()-COLUMN(貼付け_2025実績))-1)</f>
        <v>0</v>
      </c>
      <c r="FA232" s="587" t="str">
        <f ca="1">IFERROR(EY232/EZ232,"")</f>
        <v/>
      </c>
      <c r="FB232" s="589"/>
      <c r="FC232" s="587">
        <f ca="1">FC231-FE229-FF229</f>
        <v>0</v>
      </c>
      <c r="FD232" s="587">
        <f ca="1">OFFSET(貼付け_2025実績,$G232,SUM(COLUMN()-COLUMN(貼付け_2025実績))-1)</f>
        <v>0</v>
      </c>
      <c r="FE232" s="587" t="str">
        <f ca="1">IFERROR(FC232/FD232,"")</f>
        <v/>
      </c>
      <c r="FF232" s="589"/>
      <c r="FG232" s="587">
        <f ca="1">FG231-FI229-FJ229</f>
        <v>0</v>
      </c>
      <c r="FH232" s="587">
        <f ca="1">OFFSET(貼付け_2025実績,$G232,SUM(COLUMN()-COLUMN(貼付け_2025実績))-1)</f>
        <v>0</v>
      </c>
      <c r="FI232" s="587" t="str">
        <f ca="1">IFERROR(FG232/FH232,"")</f>
        <v/>
      </c>
      <c r="FJ232" s="589"/>
      <c r="FK232" s="587">
        <f ca="1">FK231-FM229-FN229</f>
        <v>0</v>
      </c>
      <c r="FL232" s="587">
        <f ca="1">OFFSET(貼付け_2025実績,$G232,SUM(COLUMN()-COLUMN(貼付け_2025実績))-1)</f>
        <v>0</v>
      </c>
      <c r="FM232" s="587" t="str">
        <f ca="1">IFERROR(FK232/FL232,"")</f>
        <v/>
      </c>
      <c r="FN232" s="589"/>
      <c r="FO232" s="587">
        <f ca="1">FO231-FQ229-FR229</f>
        <v>0</v>
      </c>
      <c r="FP232" s="587">
        <f ca="1">OFFSET(貼付け_2025実績,$G232,SUM(COLUMN()-COLUMN(貼付け_2025実績))-1)</f>
        <v>0</v>
      </c>
      <c r="FQ232" s="587" t="str">
        <f ca="1">IFERROR(FO232/FP232,"")</f>
        <v/>
      </c>
      <c r="FR232" s="589"/>
      <c r="FS232" s="587">
        <f ca="1">FS231-FU229-FV229</f>
        <v>0</v>
      </c>
      <c r="FT232" s="587">
        <f ca="1">OFFSET(貼付け_2025実績,$G232,SUM(COLUMN()-COLUMN(貼付け_2025実績))-1)</f>
        <v>0</v>
      </c>
      <c r="FU232" s="587" t="str">
        <f ca="1">IFERROR(FS232/FT232,"")</f>
        <v/>
      </c>
      <c r="FV232" s="589"/>
      <c r="FW232" s="587">
        <f ca="1">FW231-FY229-FZ229</f>
        <v>0</v>
      </c>
      <c r="FX232" s="587">
        <f ca="1">OFFSET(貼付け_2025実績,$G232,SUM(COLUMN()-COLUMN(貼付け_2025実績))-1)</f>
        <v>0</v>
      </c>
      <c r="FY232" s="587" t="str">
        <f ca="1">IFERROR(FW232/FX232,"")</f>
        <v/>
      </c>
      <c r="FZ232" s="589"/>
      <c r="GA232" s="587">
        <f ca="1">GA231-GC229-GD229</f>
        <v>0</v>
      </c>
      <c r="GB232" s="587">
        <f ca="1">OFFSET(貼付け_2025実績,$G232,SUM(COLUMN()-COLUMN(貼付け_2025実績))-1)</f>
        <v>0</v>
      </c>
      <c r="GC232" s="587" t="str">
        <f ca="1">IFERROR(GA232/GB232,"")</f>
        <v/>
      </c>
      <c r="GD232" s="589"/>
      <c r="GE232" s="587">
        <f ca="1">GE231-GG229-GH229</f>
        <v>0</v>
      </c>
      <c r="GF232" s="587">
        <f ca="1">OFFSET(貼付け_2025実績,$G232,SUM(COLUMN()-COLUMN(貼付け_2025実績))-1)</f>
        <v>0</v>
      </c>
      <c r="GG232" s="587" t="str">
        <f ca="1">IFERROR(GE232/GF232,"")</f>
        <v/>
      </c>
      <c r="GH232" s="589"/>
      <c r="GI232" s="587">
        <f ca="1">GI231-GK229-GL229</f>
        <v>0</v>
      </c>
      <c r="GJ232" s="587">
        <f ca="1">OFFSET(貼付け_2025実績,$G232,SUM(COLUMN()-COLUMN(貼付け_2025実績))-1)</f>
        <v>0</v>
      </c>
      <c r="GK232" s="587" t="str">
        <f ca="1">IFERROR(GI232/GJ232,"")</f>
        <v/>
      </c>
      <c r="GL232" s="589"/>
      <c r="GM232" s="587">
        <f ca="1">GM231-GO229-GP229</f>
        <v>0</v>
      </c>
      <c r="GN232" s="587">
        <f ca="1">OFFSET(貼付け_2025実績,$G232,SUM(COLUMN()-COLUMN(貼付け_2025実績))-1)</f>
        <v>0</v>
      </c>
      <c r="GO232" s="587" t="str">
        <f ca="1">IFERROR(GM232/GN232,"")</f>
        <v/>
      </c>
      <c r="GP232" s="589"/>
      <c r="GQ232" s="587">
        <f ca="1">GQ231-GS229-GT229</f>
        <v>0</v>
      </c>
      <c r="GR232" s="587">
        <f ca="1">OFFSET(貼付け_2025実績,$G232,SUM(COLUMN()-COLUMN(貼付け_2025実績))-1)</f>
        <v>0</v>
      </c>
      <c r="GS232" s="587" t="str">
        <f ca="1">IFERROR(GQ232/GR232,"")</f>
        <v/>
      </c>
      <c r="GT232" s="589"/>
      <c r="GU232" s="587">
        <f ca="1">GU231-GW229-GX229</f>
        <v>0</v>
      </c>
      <c r="GV232" s="587">
        <f ca="1">OFFSET(貼付け_2025実績,$G232,SUM(COLUMN()-COLUMN(貼付け_2025実績))-1)</f>
        <v>0</v>
      </c>
      <c r="GW232" s="587" t="str">
        <f ca="1">IFERROR(GU232/GV232,"")</f>
        <v/>
      </c>
      <c r="GX232" s="589"/>
      <c r="GY232" s="587">
        <f ca="1">GY231-HA229-HB229</f>
        <v>0</v>
      </c>
      <c r="GZ232" s="587">
        <f ca="1">OFFSET(貼付け_2025実績,$G232,SUM(COLUMN()-COLUMN(貼付け_2025実績))-1)</f>
        <v>0</v>
      </c>
      <c r="HA232" s="587" t="str">
        <f ca="1">IFERROR(GY232/GZ232,"")</f>
        <v/>
      </c>
      <c r="HB232" s="589"/>
      <c r="IE232" s="579"/>
      <c r="IF232" s="579"/>
      <c r="IG232" s="579"/>
      <c r="IH232" s="579"/>
    </row>
    <row r="233" spans="1:242" s="164" customFormat="1" ht="19.8" hidden="1">
      <c r="A233" s="572">
        <v>7</v>
      </c>
      <c r="C233" s="584" t="s">
        <v>658</v>
      </c>
      <c r="D233" s="586"/>
      <c r="E233" s="586"/>
      <c r="F233" s="587">
        <v>200</v>
      </c>
      <c r="G233" s="587">
        <v>103</v>
      </c>
      <c r="H233" s="587">
        <v>169</v>
      </c>
      <c r="I233" s="587">
        <f ca="1">SUMPRODUCT(OFFSET(貼付け_2025実績,$F233,4,5,1),OFFSET(貼付け_2025実績,$F233,SUM(COLUMN()-COLUMN(貼付け_2025実績)),5,1))</f>
        <v>0</v>
      </c>
      <c r="J233" s="587">
        <f ca="1">SUMPRODUCT(OFFSET(貼付け_2025実績,$F233,4,5,1),OFFSET(貼付け_2025実績,$F233,SUM(COLUMN()-COLUMN(貼付け_2025実績)),5,1))</f>
        <v>0</v>
      </c>
      <c r="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L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N233" s="589"/>
      <c r="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P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R233" s="589"/>
      <c r="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T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V233" s="589"/>
      <c r="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X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Z233" s="589"/>
      <c r="A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B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C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D233" s="589"/>
      <c r="AE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F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G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H233" s="589"/>
      <c r="AI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J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L233" s="589"/>
      <c r="A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N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P233" s="589"/>
      <c r="A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R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T233" s="589"/>
      <c r="A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V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X233" s="589"/>
      <c r="A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Z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B233" s="589"/>
      <c r="BC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D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E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F233" s="589"/>
      <c r="BG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H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I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J233" s="589"/>
      <c r="B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L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N233" s="589"/>
      <c r="B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P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R233" s="589"/>
      <c r="B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T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V233" s="589"/>
      <c r="B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X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Z233" s="589"/>
      <c r="C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B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C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D233" s="589"/>
      <c r="CE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F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G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H233" s="589"/>
      <c r="CI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J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L233" s="589"/>
      <c r="C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N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P233" s="589"/>
      <c r="C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R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T233" s="589"/>
      <c r="C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V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X233" s="589"/>
      <c r="C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Z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B233" s="589"/>
      <c r="DC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D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E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F233" s="589"/>
      <c r="DG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H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I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J233" s="589"/>
      <c r="D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L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N233" s="589"/>
      <c r="D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P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R233" s="589"/>
      <c r="D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T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V233" s="589"/>
      <c r="D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X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Z233" s="589"/>
      <c r="E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B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C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D233" s="589"/>
      <c r="EE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F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G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H233" s="589"/>
      <c r="EI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J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L233" s="589"/>
      <c r="E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N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P233" s="589"/>
      <c r="E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R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T233" s="589"/>
      <c r="E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V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X233" s="589"/>
      <c r="E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Z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B233" s="589"/>
      <c r="FC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D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E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F233" s="589"/>
      <c r="FG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H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I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J233" s="589"/>
      <c r="F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L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N233" s="589"/>
      <c r="F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P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R233" s="589"/>
      <c r="F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T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V233" s="589"/>
      <c r="F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X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Z233" s="589"/>
      <c r="G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B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C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D233" s="589"/>
      <c r="GE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F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G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H233" s="589"/>
      <c r="GI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J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K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L233" s="589"/>
      <c r="GM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N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O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P233" s="589"/>
      <c r="GQ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R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S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T233" s="589"/>
      <c r="GU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V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W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X233" s="589"/>
      <c r="GY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Z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HA233" s="587">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HB233" s="589"/>
      <c r="IE233" s="579"/>
      <c r="IF233" s="579"/>
      <c r="IG233" s="579"/>
      <c r="IH233" s="579"/>
    </row>
    <row r="234" spans="1:242" s="164" customFormat="1" ht="19.8" hidden="1">
      <c r="A234" s="572">
        <v>8</v>
      </c>
      <c r="C234" s="584" t="s">
        <v>659</v>
      </c>
      <c r="D234" s="586"/>
      <c r="E234" s="586"/>
      <c r="F234" s="587">
        <v>200</v>
      </c>
      <c r="G234" s="587">
        <v>103</v>
      </c>
      <c r="H234" s="587">
        <v>169</v>
      </c>
      <c r="I234" s="587">
        <f ca="1">SUMPRODUCT(OFFSET(貼付け_2025実績,$F234,5,5,1),OFFSET(貼付け_2025実績,$F234,SUM(COLUMN()-COLUMN(貼付け_2025実績)),5,1))</f>
        <v>0</v>
      </c>
      <c r="J234" s="587">
        <f ca="1">SUMPRODUCT(OFFSET(貼付け_2025実績,$F234,5,5,1),OFFSET(貼付け_2025実績,$F234,SUM(COLUMN()-COLUMN(貼付け_2025実績)),5,1))</f>
        <v>0</v>
      </c>
      <c r="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L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N234" s="589"/>
      <c r="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P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R234" s="589"/>
      <c r="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T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V234" s="589"/>
      <c r="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X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Z234" s="589"/>
      <c r="A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B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C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D234" s="589"/>
      <c r="AE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F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G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H234" s="589"/>
      <c r="AI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J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L234" s="589"/>
      <c r="A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N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P234" s="589"/>
      <c r="A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R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T234" s="589"/>
      <c r="A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V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X234" s="589"/>
      <c r="A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Z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B234" s="589"/>
      <c r="BC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D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E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F234" s="589"/>
      <c r="BG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H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I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J234" s="589"/>
      <c r="B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L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N234" s="589"/>
      <c r="B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P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R234" s="589"/>
      <c r="B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T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V234" s="589"/>
      <c r="B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X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Z234" s="589"/>
      <c r="C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B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C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D234" s="589"/>
      <c r="CE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F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G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H234" s="589"/>
      <c r="CI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J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L234" s="589"/>
      <c r="C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N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P234" s="589"/>
      <c r="C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R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T234" s="589"/>
      <c r="C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V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X234" s="589"/>
      <c r="C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Z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B234" s="589"/>
      <c r="DC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D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E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F234" s="589"/>
      <c r="DG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H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I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J234" s="589"/>
      <c r="D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L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N234" s="589"/>
      <c r="D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P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R234" s="589"/>
      <c r="D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T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V234" s="589"/>
      <c r="D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X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Z234" s="589"/>
      <c r="E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B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C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D234" s="589"/>
      <c r="EE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F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G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H234" s="589"/>
      <c r="EI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J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L234" s="589"/>
      <c r="E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N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P234" s="589"/>
      <c r="E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R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T234" s="589"/>
      <c r="E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V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X234" s="589"/>
      <c r="E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Z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B234" s="589"/>
      <c r="FC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D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E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F234" s="589"/>
      <c r="FG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H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I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J234" s="589"/>
      <c r="F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L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N234" s="589"/>
      <c r="F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P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R234" s="589"/>
      <c r="F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T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V234" s="589"/>
      <c r="F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X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Z234" s="589"/>
      <c r="G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B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C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D234" s="589"/>
      <c r="GE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F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G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H234" s="589"/>
      <c r="GI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J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K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L234" s="589"/>
      <c r="GM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N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O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P234" s="589"/>
      <c r="GQ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R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S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T234" s="589"/>
      <c r="GU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V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W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X234" s="589"/>
      <c r="GY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Z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HA234" s="587">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HB234" s="589"/>
      <c r="IE234" s="579"/>
      <c r="IF234" s="579"/>
      <c r="IG234" s="579"/>
      <c r="IH234" s="579"/>
    </row>
    <row r="235" spans="1:242" s="164" customFormat="1" ht="19.8" hidden="1">
      <c r="A235" s="572">
        <v>9</v>
      </c>
      <c r="C235" s="584" t="s">
        <v>660</v>
      </c>
      <c r="D235" s="586"/>
      <c r="E235" s="586"/>
      <c r="F235" s="587"/>
      <c r="G235" s="587">
        <v>113</v>
      </c>
      <c r="H235" s="587">
        <v>169</v>
      </c>
      <c r="I235" s="589"/>
      <c r="J235" s="589"/>
      <c r="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L235" s="589"/>
      <c r="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N235" s="589"/>
      <c r="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P235" s="589"/>
      <c r="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R235" s="589"/>
      <c r="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T235" s="589"/>
      <c r="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V235" s="589"/>
      <c r="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X235" s="589"/>
      <c r="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Z235" s="589"/>
      <c r="A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B235" s="589"/>
      <c r="AC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D235" s="589"/>
      <c r="AE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F235" s="589"/>
      <c r="AG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H235" s="589"/>
      <c r="AI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J235" s="589"/>
      <c r="A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L235" s="589"/>
      <c r="A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N235" s="589"/>
      <c r="A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P235" s="589"/>
      <c r="A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R235" s="589"/>
      <c r="A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T235" s="589"/>
      <c r="A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V235" s="589"/>
      <c r="A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X235" s="589"/>
      <c r="A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Z235" s="589"/>
      <c r="B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B235" s="589"/>
      <c r="BC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D235" s="589"/>
      <c r="BE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F235" s="589"/>
      <c r="BG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H235" s="589"/>
      <c r="BI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J235" s="589"/>
      <c r="B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L235" s="589"/>
      <c r="B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N235" s="589"/>
      <c r="B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P235" s="589"/>
      <c r="B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R235" s="589"/>
      <c r="B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T235" s="589"/>
      <c r="B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V235" s="589"/>
      <c r="B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X235" s="589"/>
      <c r="B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Z235" s="589"/>
      <c r="C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B235" s="589"/>
      <c r="CC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D235" s="589"/>
      <c r="CE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F235" s="589"/>
      <c r="CG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H235" s="589"/>
      <c r="CI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J235" s="589"/>
      <c r="C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L235" s="589"/>
      <c r="C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N235" s="589"/>
      <c r="C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P235" s="589"/>
      <c r="C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R235" s="589"/>
      <c r="C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T235" s="589"/>
      <c r="C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V235" s="589"/>
      <c r="C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X235" s="589"/>
      <c r="C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Z235" s="589"/>
      <c r="D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B235" s="589"/>
      <c r="DC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D235" s="589"/>
      <c r="DE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F235" s="589"/>
      <c r="DG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H235" s="589"/>
      <c r="DI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J235" s="589"/>
      <c r="D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L235" s="589"/>
      <c r="D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N235" s="589"/>
      <c r="D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P235" s="589"/>
      <c r="D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R235" s="589"/>
      <c r="D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T235" s="589"/>
      <c r="D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V235" s="589"/>
      <c r="D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X235" s="589"/>
      <c r="D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Z235" s="589"/>
      <c r="E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B235" s="589"/>
      <c r="EC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D235" s="589"/>
      <c r="EE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F235" s="589"/>
      <c r="EG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H235" s="589"/>
      <c r="EI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J235" s="589"/>
      <c r="E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L235" s="589"/>
      <c r="E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N235" s="589"/>
      <c r="E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P235" s="589"/>
      <c r="E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R235" s="589"/>
      <c r="E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T235" s="589"/>
      <c r="E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V235" s="589"/>
      <c r="E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X235" s="589"/>
      <c r="E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Z235" s="589"/>
      <c r="F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B235" s="589"/>
      <c r="FC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D235" s="589"/>
      <c r="FE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F235" s="589"/>
      <c r="FG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H235" s="589"/>
      <c r="FI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J235" s="589"/>
      <c r="F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L235" s="589"/>
      <c r="F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N235" s="589"/>
      <c r="F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P235" s="589"/>
      <c r="F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R235" s="589"/>
      <c r="F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T235" s="589"/>
      <c r="F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V235" s="589"/>
      <c r="F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X235" s="589"/>
      <c r="F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Z235" s="589"/>
      <c r="G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B235" s="589"/>
      <c r="GC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D235" s="589"/>
      <c r="GE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F235" s="589"/>
      <c r="GG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H235" s="589"/>
      <c r="GI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J235" s="589"/>
      <c r="GK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L235" s="589"/>
      <c r="GM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N235" s="589"/>
      <c r="GO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P235" s="589"/>
      <c r="GQ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R235" s="589"/>
      <c r="GS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T235" s="589"/>
      <c r="GU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V235" s="589"/>
      <c r="GW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X235" s="589"/>
      <c r="GY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Z235" s="589"/>
      <c r="HA235" s="587">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HB235" s="589"/>
      <c r="IE235" s="579"/>
      <c r="IF235" s="579"/>
      <c r="IG235" s="579"/>
      <c r="IH235" s="579"/>
    </row>
    <row r="236" spans="1:242" s="164" customFormat="1" ht="19.8" hidden="1">
      <c r="A236" s="572">
        <v>10</v>
      </c>
      <c r="C236" s="584" t="s">
        <v>661</v>
      </c>
      <c r="D236" s="586"/>
      <c r="E236" s="586"/>
      <c r="F236" s="587"/>
      <c r="G236" s="587">
        <v>113</v>
      </c>
      <c r="H236" s="587">
        <v>169</v>
      </c>
      <c r="I236" s="589"/>
      <c r="J236" s="589"/>
      <c r="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L236" s="589"/>
      <c r="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N236" s="589"/>
      <c r="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P236" s="589"/>
      <c r="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R236" s="589"/>
      <c r="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T236" s="589"/>
      <c r="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V236" s="589"/>
      <c r="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X236" s="589"/>
      <c r="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Z236" s="589"/>
      <c r="A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B236" s="589"/>
      <c r="AC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D236" s="589"/>
      <c r="AE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F236" s="589"/>
      <c r="AG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H236" s="589"/>
      <c r="AI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J236" s="589"/>
      <c r="A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L236" s="589"/>
      <c r="A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N236" s="589"/>
      <c r="A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P236" s="589"/>
      <c r="A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R236" s="589"/>
      <c r="A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T236" s="589"/>
      <c r="A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V236" s="589"/>
      <c r="A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X236" s="589"/>
      <c r="A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Z236" s="589"/>
      <c r="B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B236" s="589"/>
      <c r="BC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D236" s="589"/>
      <c r="BE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F236" s="589"/>
      <c r="BG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H236" s="589"/>
      <c r="BI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J236" s="589"/>
      <c r="B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L236" s="589"/>
      <c r="B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N236" s="589"/>
      <c r="B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P236" s="589"/>
      <c r="B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R236" s="589"/>
      <c r="B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T236" s="589"/>
      <c r="B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V236" s="589"/>
      <c r="B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X236" s="589"/>
      <c r="B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Z236" s="589"/>
      <c r="C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B236" s="589"/>
      <c r="CC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D236" s="589"/>
      <c r="CE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F236" s="589"/>
      <c r="CG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H236" s="589"/>
      <c r="CI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J236" s="589"/>
      <c r="C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L236" s="589"/>
      <c r="C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N236" s="589"/>
      <c r="C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P236" s="589"/>
      <c r="C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R236" s="589"/>
      <c r="C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T236" s="589"/>
      <c r="C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V236" s="589"/>
      <c r="C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X236" s="589"/>
      <c r="C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Z236" s="589"/>
      <c r="D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B236" s="589"/>
      <c r="DC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D236" s="589"/>
      <c r="DE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F236" s="589"/>
      <c r="DG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H236" s="589"/>
      <c r="DI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J236" s="589"/>
      <c r="D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L236" s="589"/>
      <c r="D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N236" s="589"/>
      <c r="D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P236" s="589"/>
      <c r="D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R236" s="589"/>
      <c r="D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T236" s="589"/>
      <c r="D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V236" s="589"/>
      <c r="D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X236" s="589"/>
      <c r="D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Z236" s="589"/>
      <c r="E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B236" s="589"/>
      <c r="EC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D236" s="589"/>
      <c r="EE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F236" s="589"/>
      <c r="EG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H236" s="589"/>
      <c r="EI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J236" s="589"/>
      <c r="E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L236" s="589"/>
      <c r="E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N236" s="589"/>
      <c r="E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P236" s="589"/>
      <c r="E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R236" s="589"/>
      <c r="E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T236" s="589"/>
      <c r="E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V236" s="589"/>
      <c r="E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X236" s="589"/>
      <c r="E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Z236" s="589"/>
      <c r="F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B236" s="589"/>
      <c r="FC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D236" s="589"/>
      <c r="FE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F236" s="589"/>
      <c r="FG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H236" s="589"/>
      <c r="FI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J236" s="589"/>
      <c r="F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L236" s="589"/>
      <c r="F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N236" s="589"/>
      <c r="F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P236" s="589"/>
      <c r="F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R236" s="589"/>
      <c r="F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T236" s="589"/>
      <c r="F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V236" s="589"/>
      <c r="F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X236" s="589"/>
      <c r="F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Z236" s="589"/>
      <c r="G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B236" s="589"/>
      <c r="GC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D236" s="589"/>
      <c r="GE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F236" s="589"/>
      <c r="GG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H236" s="589"/>
      <c r="GI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J236" s="589"/>
      <c r="GK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L236" s="589"/>
      <c r="GM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N236" s="589"/>
      <c r="GO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P236" s="589"/>
      <c r="GQ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R236" s="589"/>
      <c r="GS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T236" s="589"/>
      <c r="GU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V236" s="589"/>
      <c r="GW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X236" s="589"/>
      <c r="GY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Z236" s="589"/>
      <c r="HA236" s="587">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HB236" s="589"/>
      <c r="IE236" s="579"/>
      <c r="IF236" s="579"/>
      <c r="IG236" s="579"/>
      <c r="IH236" s="579"/>
    </row>
    <row r="237" spans="1:242" s="164" customFormat="1" ht="19.8" hidden="1">
      <c r="A237" s="572">
        <v>11</v>
      </c>
      <c r="C237" s="584" t="s">
        <v>662</v>
      </c>
      <c r="D237" s="586"/>
      <c r="E237" s="586"/>
      <c r="F237" s="587"/>
      <c r="G237" s="587">
        <v>116</v>
      </c>
      <c r="H237" s="587">
        <v>169</v>
      </c>
      <c r="I237" s="589"/>
      <c r="J237" s="589"/>
      <c r="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L237" s="589"/>
      <c r="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N237" s="589"/>
      <c r="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P237" s="589"/>
      <c r="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R237" s="589"/>
      <c r="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T237" s="589"/>
      <c r="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V237" s="589"/>
      <c r="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X237" s="589"/>
      <c r="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Z237" s="589"/>
      <c r="A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B237" s="589"/>
      <c r="AC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D237" s="589"/>
      <c r="AE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F237" s="589"/>
      <c r="AG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H237" s="589"/>
      <c r="AI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J237" s="589"/>
      <c r="A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L237" s="589"/>
      <c r="A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N237" s="589"/>
      <c r="A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P237" s="589"/>
      <c r="A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R237" s="589"/>
      <c r="A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T237" s="589"/>
      <c r="A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V237" s="589"/>
      <c r="A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X237" s="589"/>
      <c r="A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Z237" s="589"/>
      <c r="B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B237" s="589"/>
      <c r="BC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D237" s="589"/>
      <c r="BE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F237" s="589"/>
      <c r="BG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H237" s="589"/>
      <c r="BI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J237" s="589"/>
      <c r="B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L237" s="589"/>
      <c r="B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N237" s="589"/>
      <c r="B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P237" s="589"/>
      <c r="B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R237" s="589"/>
      <c r="B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T237" s="589"/>
      <c r="B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V237" s="589"/>
      <c r="B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X237" s="589"/>
      <c r="B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Z237" s="589"/>
      <c r="C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B237" s="589"/>
      <c r="CC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D237" s="589"/>
      <c r="CE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F237" s="589"/>
      <c r="CG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H237" s="589"/>
      <c r="CI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J237" s="589"/>
      <c r="C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L237" s="589"/>
      <c r="C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N237" s="589"/>
      <c r="C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P237" s="589"/>
      <c r="C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R237" s="589"/>
      <c r="C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T237" s="589"/>
      <c r="C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V237" s="589"/>
      <c r="C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X237" s="589"/>
      <c r="C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Z237" s="589"/>
      <c r="D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B237" s="589"/>
      <c r="DC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D237" s="589"/>
      <c r="DE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F237" s="589"/>
      <c r="DG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H237" s="589"/>
      <c r="DI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J237" s="589"/>
      <c r="D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L237" s="589"/>
      <c r="D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N237" s="589"/>
      <c r="D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P237" s="589"/>
      <c r="D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R237" s="589"/>
      <c r="D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T237" s="589"/>
      <c r="D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V237" s="589"/>
      <c r="D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X237" s="589"/>
      <c r="D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Z237" s="589"/>
      <c r="E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B237" s="589"/>
      <c r="EC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D237" s="589"/>
      <c r="EE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F237" s="589"/>
      <c r="EG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H237" s="589"/>
      <c r="EI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J237" s="589"/>
      <c r="E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L237" s="589"/>
      <c r="E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N237" s="589"/>
      <c r="E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P237" s="589"/>
      <c r="E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R237" s="589"/>
      <c r="E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T237" s="589"/>
      <c r="E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V237" s="589"/>
      <c r="E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X237" s="589"/>
      <c r="E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Z237" s="589"/>
      <c r="F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B237" s="589"/>
      <c r="FC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D237" s="589"/>
      <c r="FE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F237" s="589"/>
      <c r="FG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H237" s="589"/>
      <c r="FI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J237" s="589"/>
      <c r="F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L237" s="589"/>
      <c r="F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N237" s="589"/>
      <c r="F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P237" s="589"/>
      <c r="F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R237" s="589"/>
      <c r="F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T237" s="589"/>
      <c r="F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V237" s="589"/>
      <c r="F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X237" s="589"/>
      <c r="F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Z237" s="589"/>
      <c r="G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B237" s="589"/>
      <c r="GC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D237" s="589"/>
      <c r="GE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F237" s="589"/>
      <c r="GG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H237" s="589"/>
      <c r="GI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J237" s="589"/>
      <c r="GK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L237" s="589"/>
      <c r="GM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N237" s="589"/>
      <c r="GO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P237" s="589"/>
      <c r="GQ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R237" s="589"/>
      <c r="GS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T237" s="589"/>
      <c r="GU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V237" s="589"/>
      <c r="GW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X237" s="589"/>
      <c r="GY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Z237" s="589"/>
      <c r="HA237" s="587">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HB237" s="589"/>
      <c r="IE237" s="579"/>
      <c r="IF237" s="579"/>
      <c r="IG237" s="579"/>
      <c r="IH237" s="579"/>
    </row>
    <row r="238" spans="1:242" s="164" customFormat="1" ht="19.8" hidden="1">
      <c r="A238" s="572">
        <v>12</v>
      </c>
      <c r="C238" s="584" t="s">
        <v>663</v>
      </c>
      <c r="D238" s="586"/>
      <c r="E238" s="586"/>
      <c r="F238" s="587"/>
      <c r="G238" s="587">
        <v>116</v>
      </c>
      <c r="H238" s="587">
        <v>169</v>
      </c>
      <c r="I238" s="589"/>
      <c r="J238" s="589"/>
      <c r="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L238" s="589"/>
      <c r="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N238" s="589"/>
      <c r="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P238" s="589"/>
      <c r="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R238" s="589"/>
      <c r="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T238" s="589"/>
      <c r="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V238" s="589"/>
      <c r="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X238" s="589"/>
      <c r="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Z238" s="589"/>
      <c r="A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B238" s="589"/>
      <c r="AC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D238" s="589"/>
      <c r="AE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F238" s="589"/>
      <c r="AG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H238" s="589"/>
      <c r="AI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J238" s="589"/>
      <c r="A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L238" s="589"/>
      <c r="A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N238" s="589"/>
      <c r="A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P238" s="589"/>
      <c r="A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R238" s="589"/>
      <c r="A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T238" s="589"/>
      <c r="A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V238" s="589"/>
      <c r="A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X238" s="589"/>
      <c r="A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Z238" s="589"/>
      <c r="B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B238" s="589"/>
      <c r="BC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D238" s="589"/>
      <c r="BE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F238" s="589"/>
      <c r="BG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H238" s="589"/>
      <c r="BI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J238" s="589"/>
      <c r="B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L238" s="589"/>
      <c r="B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N238" s="589"/>
      <c r="B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P238" s="589"/>
      <c r="B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R238" s="589"/>
      <c r="B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T238" s="589"/>
      <c r="B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V238" s="589"/>
      <c r="B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X238" s="589"/>
      <c r="B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Z238" s="589"/>
      <c r="C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B238" s="589"/>
      <c r="CC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D238" s="589"/>
      <c r="CE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F238" s="589"/>
      <c r="CG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H238" s="589"/>
      <c r="CI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J238" s="589"/>
      <c r="C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L238" s="589"/>
      <c r="C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N238" s="589"/>
      <c r="C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P238" s="589"/>
      <c r="C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R238" s="589"/>
      <c r="C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T238" s="589"/>
      <c r="C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V238" s="589"/>
      <c r="C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X238" s="589"/>
      <c r="C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Z238" s="589"/>
      <c r="D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B238" s="589"/>
      <c r="DC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D238" s="589"/>
      <c r="DE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F238" s="589"/>
      <c r="DG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H238" s="589"/>
      <c r="DI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J238" s="589"/>
      <c r="D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L238" s="589"/>
      <c r="D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N238" s="589"/>
      <c r="D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P238" s="589"/>
      <c r="D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R238" s="589"/>
      <c r="D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T238" s="589"/>
      <c r="D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V238" s="589"/>
      <c r="D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X238" s="589"/>
      <c r="D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Z238" s="589"/>
      <c r="E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B238" s="589"/>
      <c r="EC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D238" s="589"/>
      <c r="EE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F238" s="589"/>
      <c r="EG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H238" s="589"/>
      <c r="EI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J238" s="589"/>
      <c r="E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L238" s="589"/>
      <c r="E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N238" s="589"/>
      <c r="E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P238" s="589"/>
      <c r="E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R238" s="589"/>
      <c r="E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T238" s="589"/>
      <c r="E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V238" s="589"/>
      <c r="E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X238" s="589"/>
      <c r="E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Z238" s="589"/>
      <c r="F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B238" s="589"/>
      <c r="FC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D238" s="589"/>
      <c r="FE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F238" s="589"/>
      <c r="FG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H238" s="589"/>
      <c r="FI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J238" s="589"/>
      <c r="F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L238" s="589"/>
      <c r="F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N238" s="589"/>
      <c r="F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P238" s="589"/>
      <c r="F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R238" s="589"/>
      <c r="F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T238" s="589"/>
      <c r="F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V238" s="589"/>
      <c r="F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X238" s="589"/>
      <c r="F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Z238" s="589"/>
      <c r="G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B238" s="589"/>
      <c r="GC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D238" s="589"/>
      <c r="GE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F238" s="589"/>
      <c r="GG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H238" s="589"/>
      <c r="GI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J238" s="589"/>
      <c r="GK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L238" s="589"/>
      <c r="GM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N238" s="589"/>
      <c r="GO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P238" s="589"/>
      <c r="GQ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R238" s="589"/>
      <c r="GS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T238" s="589"/>
      <c r="GU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V238" s="589"/>
      <c r="GW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X238" s="589"/>
      <c r="GY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Z238" s="589"/>
      <c r="HA238" s="587">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HB238" s="589"/>
      <c r="IE238" s="579"/>
      <c r="IF238" s="579"/>
      <c r="IG238" s="579"/>
      <c r="IH238" s="579"/>
    </row>
    <row r="239" spans="1:242" s="164" customFormat="1" ht="19.8" hidden="1">
      <c r="A239" s="572">
        <v>13</v>
      </c>
      <c r="C239" s="584" t="s">
        <v>664</v>
      </c>
      <c r="D239" s="586"/>
      <c r="E239" s="586"/>
      <c r="F239" s="587"/>
      <c r="G239" s="587">
        <v>119</v>
      </c>
      <c r="H239" s="587">
        <v>169</v>
      </c>
      <c r="I239" s="589"/>
      <c r="J239" s="589"/>
      <c r="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L239" s="589"/>
      <c r="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N239" s="589"/>
      <c r="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P239" s="589"/>
      <c r="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R239" s="589"/>
      <c r="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T239" s="589"/>
      <c r="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V239" s="589"/>
      <c r="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X239" s="589"/>
      <c r="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Z239" s="589"/>
      <c r="A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B239" s="589"/>
      <c r="AC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D239" s="589"/>
      <c r="AE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F239" s="589"/>
      <c r="AG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H239" s="589"/>
      <c r="AI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J239" s="589"/>
      <c r="A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L239" s="589"/>
      <c r="A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N239" s="589"/>
      <c r="A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P239" s="589"/>
      <c r="A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R239" s="589"/>
      <c r="A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T239" s="589"/>
      <c r="A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V239" s="589"/>
      <c r="A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X239" s="589"/>
      <c r="A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Z239" s="589"/>
      <c r="B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B239" s="589"/>
      <c r="BC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D239" s="589"/>
      <c r="BE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F239" s="589"/>
      <c r="BG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H239" s="589"/>
      <c r="BI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J239" s="589"/>
      <c r="B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L239" s="589"/>
      <c r="B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N239" s="589"/>
      <c r="B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P239" s="589"/>
      <c r="B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R239" s="589"/>
      <c r="B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T239" s="589"/>
      <c r="B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V239" s="589"/>
      <c r="B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X239" s="589"/>
      <c r="B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Z239" s="589"/>
      <c r="C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B239" s="589"/>
      <c r="CC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D239" s="589"/>
      <c r="CE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F239" s="589"/>
      <c r="CG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H239" s="589"/>
      <c r="CI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J239" s="589"/>
      <c r="C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L239" s="589"/>
      <c r="C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N239" s="589"/>
      <c r="C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P239" s="589"/>
      <c r="C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R239" s="589"/>
      <c r="C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T239" s="589"/>
      <c r="C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V239" s="589"/>
      <c r="C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X239" s="589"/>
      <c r="C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Z239" s="589"/>
      <c r="D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B239" s="589"/>
      <c r="DC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D239" s="589"/>
      <c r="DE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F239" s="589"/>
      <c r="DG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H239" s="589"/>
      <c r="DI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J239" s="589"/>
      <c r="D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L239" s="589"/>
      <c r="D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N239" s="589"/>
      <c r="D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P239" s="589"/>
      <c r="D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R239" s="589"/>
      <c r="D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T239" s="589"/>
      <c r="D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V239" s="589"/>
      <c r="D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X239" s="589"/>
      <c r="D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Z239" s="589"/>
      <c r="E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B239" s="589"/>
      <c r="EC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D239" s="589"/>
      <c r="EE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F239" s="589"/>
      <c r="EG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H239" s="589"/>
      <c r="EI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J239" s="589"/>
      <c r="E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L239" s="589"/>
      <c r="E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N239" s="589"/>
      <c r="E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P239" s="589"/>
      <c r="E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R239" s="589"/>
      <c r="E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T239" s="589"/>
      <c r="E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V239" s="589"/>
      <c r="E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X239" s="589"/>
      <c r="E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Z239" s="589"/>
      <c r="F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B239" s="589"/>
      <c r="FC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D239" s="589"/>
      <c r="FE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F239" s="589"/>
      <c r="FG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H239" s="589"/>
      <c r="FI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J239" s="589"/>
      <c r="F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L239" s="589"/>
      <c r="F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N239" s="589"/>
      <c r="F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P239" s="589"/>
      <c r="F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R239" s="589"/>
      <c r="F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T239" s="589"/>
      <c r="F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V239" s="589"/>
      <c r="F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X239" s="589"/>
      <c r="F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Z239" s="589"/>
      <c r="G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B239" s="589"/>
      <c r="GC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D239" s="589"/>
      <c r="GE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F239" s="589"/>
      <c r="GG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H239" s="589"/>
      <c r="GI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J239" s="589"/>
      <c r="GK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L239" s="589"/>
      <c r="GM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N239" s="589"/>
      <c r="GO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P239" s="589"/>
      <c r="GQ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R239" s="589"/>
      <c r="GS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T239" s="589"/>
      <c r="GU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V239" s="589"/>
      <c r="GW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X239" s="589"/>
      <c r="GY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Z239" s="589"/>
      <c r="HA239" s="587">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HB239" s="589"/>
      <c r="IE239" s="579"/>
      <c r="IF239" s="579"/>
      <c r="IG239" s="579"/>
      <c r="IH239" s="579"/>
    </row>
    <row r="240" spans="1:242" s="164" customFormat="1" ht="19.8" hidden="1">
      <c r="A240" s="572">
        <v>14</v>
      </c>
      <c r="C240" s="584" t="s">
        <v>665</v>
      </c>
      <c r="D240" s="586"/>
      <c r="E240" s="586"/>
      <c r="F240" s="587"/>
      <c r="G240" s="587">
        <v>119</v>
      </c>
      <c r="H240" s="587">
        <v>169</v>
      </c>
      <c r="I240" s="589"/>
      <c r="J240" s="589"/>
      <c r="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L240" s="589"/>
      <c r="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N240" s="589"/>
      <c r="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P240" s="589"/>
      <c r="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R240" s="589"/>
      <c r="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T240" s="589"/>
      <c r="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V240" s="589"/>
      <c r="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X240" s="589"/>
      <c r="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Z240" s="589"/>
      <c r="A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B240" s="589"/>
      <c r="AC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D240" s="589"/>
      <c r="AE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F240" s="589"/>
      <c r="AG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H240" s="589"/>
      <c r="AI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J240" s="589"/>
      <c r="A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L240" s="589"/>
      <c r="A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N240" s="589"/>
      <c r="A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P240" s="589"/>
      <c r="A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R240" s="589"/>
      <c r="A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T240" s="589"/>
      <c r="A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V240" s="589"/>
      <c r="A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X240" s="589"/>
      <c r="A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Z240" s="589"/>
      <c r="B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B240" s="589"/>
      <c r="BC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D240" s="589"/>
      <c r="BE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F240" s="589"/>
      <c r="BG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H240" s="589"/>
      <c r="BI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J240" s="589"/>
      <c r="B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L240" s="589"/>
      <c r="B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N240" s="589"/>
      <c r="B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P240" s="589"/>
      <c r="B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R240" s="589"/>
      <c r="B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T240" s="589"/>
      <c r="B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V240" s="589"/>
      <c r="B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X240" s="589"/>
      <c r="B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Z240" s="589"/>
      <c r="C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B240" s="589"/>
      <c r="CC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D240" s="589"/>
      <c r="CE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F240" s="589"/>
      <c r="CG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H240" s="589"/>
      <c r="CI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J240" s="589"/>
      <c r="C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L240" s="589"/>
      <c r="C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N240" s="589"/>
      <c r="C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P240" s="589"/>
      <c r="C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R240" s="589"/>
      <c r="C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T240" s="589"/>
      <c r="C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V240" s="589"/>
      <c r="C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X240" s="589"/>
      <c r="C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Z240" s="589"/>
      <c r="D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B240" s="589"/>
      <c r="DC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D240" s="589"/>
      <c r="DE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F240" s="589"/>
      <c r="DG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H240" s="589"/>
      <c r="DI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J240" s="589"/>
      <c r="D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L240" s="589"/>
      <c r="D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N240" s="589"/>
      <c r="D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P240" s="589"/>
      <c r="D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R240" s="589"/>
      <c r="D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T240" s="589"/>
      <c r="D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V240" s="589"/>
      <c r="D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X240" s="589"/>
      <c r="D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Z240" s="589"/>
      <c r="E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B240" s="589"/>
      <c r="EC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D240" s="589"/>
      <c r="EE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F240" s="589"/>
      <c r="EG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H240" s="589"/>
      <c r="EI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J240" s="589"/>
      <c r="E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L240" s="589"/>
      <c r="E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N240" s="589"/>
      <c r="E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P240" s="589"/>
      <c r="E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R240" s="589"/>
      <c r="E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T240" s="589"/>
      <c r="E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V240" s="589"/>
      <c r="E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X240" s="589"/>
      <c r="E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Z240" s="589"/>
      <c r="F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B240" s="589"/>
      <c r="FC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D240" s="589"/>
      <c r="FE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F240" s="589"/>
      <c r="FG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H240" s="589"/>
      <c r="FI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J240" s="589"/>
      <c r="F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L240" s="589"/>
      <c r="F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N240" s="589"/>
      <c r="F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P240" s="589"/>
      <c r="F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R240" s="589"/>
      <c r="F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T240" s="589"/>
      <c r="F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V240" s="589"/>
      <c r="F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X240" s="589"/>
      <c r="F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Z240" s="589"/>
      <c r="G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B240" s="589"/>
      <c r="GC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D240" s="589"/>
      <c r="GE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F240" s="589"/>
      <c r="GG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H240" s="589"/>
      <c r="GI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J240" s="589"/>
      <c r="GK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L240" s="589"/>
      <c r="GM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N240" s="589"/>
      <c r="GO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P240" s="589"/>
      <c r="GQ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R240" s="589"/>
      <c r="GS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T240" s="589"/>
      <c r="GU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V240" s="589"/>
      <c r="GW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X240" s="589"/>
      <c r="GY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Z240" s="589"/>
      <c r="HA240" s="587">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HB240" s="589"/>
      <c r="IE240" s="579"/>
      <c r="IF240" s="579"/>
      <c r="IG240" s="579"/>
      <c r="IH240" s="579"/>
    </row>
    <row r="241" spans="1:242" s="164" customFormat="1" ht="19.8" hidden="1">
      <c r="A241" s="572">
        <v>15</v>
      </c>
      <c r="C241" s="584" t="s">
        <v>666</v>
      </c>
      <c r="D241" s="586"/>
      <c r="E241" s="586"/>
      <c r="F241" s="587">
        <v>205</v>
      </c>
      <c r="G241" s="587">
        <v>122</v>
      </c>
      <c r="H241" s="587">
        <v>169</v>
      </c>
      <c r="I241" s="587">
        <f ca="1">SUMPRODUCT(OFFSET(貼付け_2025実績,$F241,4,10,1),OFFSET(貼付け_2025実績,$F241,SUM(COLUMN()-COLUMN(貼付け_2025実績)),10,1))*1000</f>
        <v>0</v>
      </c>
      <c r="J241" s="587">
        <f ca="1">SUMPRODUCT(OFFSET(貼付け_2025実績,$F241,4,10,1),OFFSET(貼付け_2025実績,$F241,SUM(COLUMN()-COLUMN(貼付け_2025実績)),10,1))*1000</f>
        <v>0</v>
      </c>
      <c r="K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L241" s="589"/>
      <c r="M241" s="589"/>
      <c r="N241" s="589"/>
      <c r="O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P241" s="589"/>
      <c r="Q241" s="589"/>
      <c r="R241" s="589"/>
      <c r="S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T241" s="589"/>
      <c r="U241" s="589"/>
      <c r="V241" s="589"/>
      <c r="W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X241" s="589"/>
      <c r="Y241" s="589"/>
      <c r="Z241" s="589"/>
      <c r="AA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B241" s="589"/>
      <c r="AC241" s="589"/>
      <c r="AD241" s="589"/>
      <c r="AE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F241" s="589"/>
      <c r="AG241" s="589"/>
      <c r="AH241" s="589"/>
      <c r="AI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J241" s="589"/>
      <c r="AK241" s="589"/>
      <c r="AL241" s="589"/>
      <c r="AM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N241" s="589"/>
      <c r="AO241" s="589"/>
      <c r="AP241" s="589"/>
      <c r="AQ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R241" s="589"/>
      <c r="AS241" s="589"/>
      <c r="AT241" s="589"/>
      <c r="AU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V241" s="589"/>
      <c r="AW241" s="589"/>
      <c r="AX241" s="589"/>
      <c r="AY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Z241" s="589"/>
      <c r="BA241" s="589"/>
      <c r="BB241" s="589"/>
      <c r="BC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D241" s="589"/>
      <c r="BE241" s="589"/>
      <c r="BF241" s="589"/>
      <c r="BG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H241" s="589"/>
      <c r="BI241" s="589"/>
      <c r="BJ241" s="589"/>
      <c r="BK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L241" s="589"/>
      <c r="BM241" s="589"/>
      <c r="BN241" s="589"/>
      <c r="BO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P241" s="589"/>
      <c r="BQ241" s="589"/>
      <c r="BR241" s="589"/>
      <c r="BS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T241" s="589"/>
      <c r="BU241" s="589"/>
      <c r="BV241" s="589"/>
      <c r="BW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X241" s="589"/>
      <c r="BY241" s="589"/>
      <c r="BZ241" s="589"/>
      <c r="CA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B241" s="589"/>
      <c r="CC241" s="589"/>
      <c r="CD241" s="589"/>
      <c r="CE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F241" s="589"/>
      <c r="CG241" s="589"/>
      <c r="CH241" s="589"/>
      <c r="CI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J241" s="589"/>
      <c r="CK241" s="589"/>
      <c r="CL241" s="589"/>
      <c r="CM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N241" s="589"/>
      <c r="CO241" s="589"/>
      <c r="CP241" s="589"/>
      <c r="CQ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R241" s="589"/>
      <c r="CS241" s="589"/>
      <c r="CT241" s="589"/>
      <c r="CU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V241" s="589"/>
      <c r="CW241" s="589"/>
      <c r="CX241" s="589"/>
      <c r="CY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Z241" s="589"/>
      <c r="DA241" s="589"/>
      <c r="DB241" s="589"/>
      <c r="DC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D241" s="589"/>
      <c r="DE241" s="589"/>
      <c r="DF241" s="589"/>
      <c r="DG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H241" s="589"/>
      <c r="DI241" s="589"/>
      <c r="DJ241" s="589"/>
      <c r="DK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L241" s="589"/>
      <c r="DM241" s="589"/>
      <c r="DN241" s="589"/>
      <c r="DO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P241" s="589"/>
      <c r="DQ241" s="589"/>
      <c r="DR241" s="589"/>
      <c r="DS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T241" s="589"/>
      <c r="DU241" s="589"/>
      <c r="DV241" s="589"/>
      <c r="DW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X241" s="589"/>
      <c r="DY241" s="589"/>
      <c r="DZ241" s="589"/>
      <c r="EA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B241" s="589"/>
      <c r="EC241" s="589"/>
      <c r="ED241" s="589"/>
      <c r="EE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F241" s="589"/>
      <c r="EG241" s="589"/>
      <c r="EH241" s="589"/>
      <c r="EI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J241" s="589"/>
      <c r="EK241" s="589"/>
      <c r="EL241" s="589"/>
      <c r="EM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N241" s="589"/>
      <c r="EO241" s="589"/>
      <c r="EP241" s="589"/>
      <c r="EQ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R241" s="589"/>
      <c r="ES241" s="589"/>
      <c r="ET241" s="589"/>
      <c r="EU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V241" s="589"/>
      <c r="EW241" s="589"/>
      <c r="EX241" s="589"/>
      <c r="EY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Z241" s="589"/>
      <c r="FA241" s="589"/>
      <c r="FB241" s="589"/>
      <c r="FC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D241" s="589"/>
      <c r="FE241" s="589"/>
      <c r="FF241" s="589"/>
      <c r="FG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H241" s="589"/>
      <c r="FI241" s="589"/>
      <c r="FJ241" s="589"/>
      <c r="FK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L241" s="589"/>
      <c r="FM241" s="589"/>
      <c r="FN241" s="589"/>
      <c r="FO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P241" s="589"/>
      <c r="FQ241" s="589"/>
      <c r="FR241" s="589"/>
      <c r="FS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T241" s="589"/>
      <c r="FU241" s="589"/>
      <c r="FV241" s="589"/>
      <c r="FW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X241" s="589"/>
      <c r="FY241" s="589"/>
      <c r="FZ241" s="589"/>
      <c r="GA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B241" s="589"/>
      <c r="GC241" s="589"/>
      <c r="GD241" s="589"/>
      <c r="GE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F241" s="589"/>
      <c r="GG241" s="589"/>
      <c r="GH241" s="589"/>
      <c r="GI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J241" s="589"/>
      <c r="GK241" s="589"/>
      <c r="GL241" s="589"/>
      <c r="GM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N241" s="589"/>
      <c r="GO241" s="589"/>
      <c r="GP241" s="589"/>
      <c r="GQ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R241" s="589"/>
      <c r="GS241" s="589"/>
      <c r="GT241" s="589"/>
      <c r="GU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V241" s="589"/>
      <c r="GW241" s="589"/>
      <c r="GX241" s="589"/>
      <c r="GY241" s="587">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Z241" s="589"/>
      <c r="HA241" s="589"/>
      <c r="HB241" s="589"/>
      <c r="IE241" s="579"/>
      <c r="IF241" s="579"/>
      <c r="IG241" s="579"/>
      <c r="IH241" s="579"/>
    </row>
    <row r="242" spans="1:242" s="164" customFormat="1" ht="19.8" hidden="1">
      <c r="A242" s="572">
        <v>16</v>
      </c>
      <c r="C242" s="584" t="s">
        <v>667</v>
      </c>
      <c r="D242" s="586"/>
      <c r="E242" s="586"/>
      <c r="F242" s="587">
        <v>205</v>
      </c>
      <c r="G242" s="587">
        <v>122</v>
      </c>
      <c r="H242" s="587">
        <v>169</v>
      </c>
      <c r="I242" s="587">
        <f ca="1">SUMPRODUCT(OFFSET(貼付け_2025実績,$F242,5,10,1),OFFSET(貼付け_2025実績,$F242,SUM(COLUMN()-COLUMN(貼付け_2025実績)),10,1))*1000</f>
        <v>0</v>
      </c>
      <c r="J242" s="587">
        <f ca="1">SUMPRODUCT(OFFSET(貼付け_2025実績,$F242,5,10,1),OFFSET(貼付け_2025実績,$F242,SUM(COLUMN()-COLUMN(貼付け_2025実績)),10,1))*1000</f>
        <v>0</v>
      </c>
      <c r="K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L242" s="589"/>
      <c r="M242" s="589"/>
      <c r="N242" s="589"/>
      <c r="O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P242" s="589"/>
      <c r="Q242" s="589"/>
      <c r="R242" s="589"/>
      <c r="S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T242" s="589"/>
      <c r="U242" s="589"/>
      <c r="V242" s="589"/>
      <c r="W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X242" s="589"/>
      <c r="Y242" s="589"/>
      <c r="Z242" s="589"/>
      <c r="AA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B242" s="589"/>
      <c r="AC242" s="589"/>
      <c r="AD242" s="589"/>
      <c r="AE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F242" s="589"/>
      <c r="AG242" s="589"/>
      <c r="AH242" s="589"/>
      <c r="AI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J242" s="589"/>
      <c r="AK242" s="589"/>
      <c r="AL242" s="589"/>
      <c r="AM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N242" s="589"/>
      <c r="AO242" s="589"/>
      <c r="AP242" s="589"/>
      <c r="AQ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R242" s="589"/>
      <c r="AS242" s="589"/>
      <c r="AT242" s="589"/>
      <c r="AU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V242" s="589"/>
      <c r="AW242" s="589"/>
      <c r="AX242" s="589"/>
      <c r="AY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Z242" s="589"/>
      <c r="BA242" s="589"/>
      <c r="BB242" s="589"/>
      <c r="BC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D242" s="589"/>
      <c r="BE242" s="589"/>
      <c r="BF242" s="589"/>
      <c r="BG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H242" s="589"/>
      <c r="BI242" s="589"/>
      <c r="BJ242" s="589"/>
      <c r="BK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L242" s="589"/>
      <c r="BM242" s="589"/>
      <c r="BN242" s="589"/>
      <c r="BO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P242" s="589"/>
      <c r="BQ242" s="589"/>
      <c r="BR242" s="589"/>
      <c r="BS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T242" s="589"/>
      <c r="BU242" s="589"/>
      <c r="BV242" s="589"/>
      <c r="BW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X242" s="589"/>
      <c r="BY242" s="589"/>
      <c r="BZ242" s="589"/>
      <c r="CA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B242" s="589"/>
      <c r="CC242" s="589"/>
      <c r="CD242" s="589"/>
      <c r="CE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F242" s="589"/>
      <c r="CG242" s="589"/>
      <c r="CH242" s="589"/>
      <c r="CI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J242" s="589"/>
      <c r="CK242" s="589"/>
      <c r="CL242" s="589"/>
      <c r="CM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N242" s="589"/>
      <c r="CO242" s="589"/>
      <c r="CP242" s="589"/>
      <c r="CQ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R242" s="589"/>
      <c r="CS242" s="589"/>
      <c r="CT242" s="589"/>
      <c r="CU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V242" s="589"/>
      <c r="CW242" s="589"/>
      <c r="CX242" s="589"/>
      <c r="CY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Z242" s="589"/>
      <c r="DA242" s="589"/>
      <c r="DB242" s="589"/>
      <c r="DC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D242" s="589"/>
      <c r="DE242" s="589"/>
      <c r="DF242" s="589"/>
      <c r="DG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H242" s="589"/>
      <c r="DI242" s="589"/>
      <c r="DJ242" s="589"/>
      <c r="DK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L242" s="589"/>
      <c r="DM242" s="589"/>
      <c r="DN242" s="589"/>
      <c r="DO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P242" s="589"/>
      <c r="DQ242" s="589"/>
      <c r="DR242" s="589"/>
      <c r="DS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T242" s="589"/>
      <c r="DU242" s="589"/>
      <c r="DV242" s="589"/>
      <c r="DW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X242" s="589"/>
      <c r="DY242" s="589"/>
      <c r="DZ242" s="589"/>
      <c r="EA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B242" s="589"/>
      <c r="EC242" s="589"/>
      <c r="ED242" s="589"/>
      <c r="EE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F242" s="589"/>
      <c r="EG242" s="589"/>
      <c r="EH242" s="589"/>
      <c r="EI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J242" s="589"/>
      <c r="EK242" s="589"/>
      <c r="EL242" s="589"/>
      <c r="EM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N242" s="589"/>
      <c r="EO242" s="589"/>
      <c r="EP242" s="589"/>
      <c r="EQ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R242" s="589"/>
      <c r="ES242" s="589"/>
      <c r="ET242" s="589"/>
      <c r="EU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V242" s="589"/>
      <c r="EW242" s="589"/>
      <c r="EX242" s="589"/>
      <c r="EY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Z242" s="589"/>
      <c r="FA242" s="589"/>
      <c r="FB242" s="589"/>
      <c r="FC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D242" s="589"/>
      <c r="FE242" s="589"/>
      <c r="FF242" s="589"/>
      <c r="FG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H242" s="589"/>
      <c r="FI242" s="589"/>
      <c r="FJ242" s="589"/>
      <c r="FK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L242" s="589"/>
      <c r="FM242" s="589"/>
      <c r="FN242" s="589"/>
      <c r="FO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P242" s="589"/>
      <c r="FQ242" s="589"/>
      <c r="FR242" s="589"/>
      <c r="FS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T242" s="589"/>
      <c r="FU242" s="589"/>
      <c r="FV242" s="589"/>
      <c r="FW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X242" s="589"/>
      <c r="FY242" s="589"/>
      <c r="FZ242" s="589"/>
      <c r="GA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B242" s="589"/>
      <c r="GC242" s="589"/>
      <c r="GD242" s="589"/>
      <c r="GE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F242" s="589"/>
      <c r="GG242" s="589"/>
      <c r="GH242" s="589"/>
      <c r="GI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J242" s="589"/>
      <c r="GK242" s="589"/>
      <c r="GL242" s="589"/>
      <c r="GM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N242" s="589"/>
      <c r="GO242" s="589"/>
      <c r="GP242" s="589"/>
      <c r="GQ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R242" s="589"/>
      <c r="GS242" s="589"/>
      <c r="GT242" s="589"/>
      <c r="GU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V242" s="589"/>
      <c r="GW242" s="589"/>
      <c r="GX242" s="589"/>
      <c r="GY242" s="587">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Z242" s="589"/>
      <c r="HA242" s="589"/>
      <c r="HB242" s="589"/>
      <c r="IE242" s="579"/>
      <c r="IF242" s="579"/>
      <c r="IG242" s="579"/>
      <c r="IH242" s="579"/>
    </row>
    <row r="243" spans="1:242" s="164" customFormat="1" ht="19.8" hidden="1">
      <c r="A243" s="572">
        <v>17</v>
      </c>
      <c r="C243" s="584" t="s">
        <v>668</v>
      </c>
      <c r="D243" s="586"/>
      <c r="E243" s="586"/>
      <c r="F243" s="587"/>
      <c r="G243" s="587">
        <v>122</v>
      </c>
      <c r="H243" s="587">
        <v>169</v>
      </c>
      <c r="I243" s="589"/>
      <c r="J243" s="589"/>
      <c r="K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L243" s="589"/>
      <c r="M243" s="589"/>
      <c r="N243" s="589"/>
      <c r="O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P243" s="589"/>
      <c r="Q243" s="589"/>
      <c r="R243" s="589"/>
      <c r="S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T243" s="589"/>
      <c r="U243" s="589"/>
      <c r="V243" s="589"/>
      <c r="W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X243" s="589"/>
      <c r="Y243" s="589"/>
      <c r="Z243" s="589"/>
      <c r="AA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B243" s="589"/>
      <c r="AC243" s="589"/>
      <c r="AD243" s="589"/>
      <c r="AE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F243" s="589"/>
      <c r="AG243" s="589"/>
      <c r="AH243" s="589"/>
      <c r="AI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J243" s="589"/>
      <c r="AK243" s="589"/>
      <c r="AL243" s="589"/>
      <c r="AM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N243" s="589"/>
      <c r="AO243" s="589"/>
      <c r="AP243" s="589"/>
      <c r="AQ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R243" s="589"/>
      <c r="AS243" s="589"/>
      <c r="AT243" s="589"/>
      <c r="AU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V243" s="589"/>
      <c r="AW243" s="589"/>
      <c r="AX243" s="589"/>
      <c r="AY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Z243" s="589"/>
      <c r="BA243" s="589"/>
      <c r="BB243" s="589"/>
      <c r="BC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D243" s="589"/>
      <c r="BE243" s="589"/>
      <c r="BF243" s="589"/>
      <c r="BG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H243" s="589"/>
      <c r="BI243" s="589"/>
      <c r="BJ243" s="589"/>
      <c r="BK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L243" s="589"/>
      <c r="BM243" s="589"/>
      <c r="BN243" s="589"/>
      <c r="BO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P243" s="589"/>
      <c r="BQ243" s="589"/>
      <c r="BR243" s="589"/>
      <c r="BS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T243" s="589"/>
      <c r="BU243" s="589"/>
      <c r="BV243" s="589"/>
      <c r="BW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X243" s="589"/>
      <c r="BY243" s="589"/>
      <c r="BZ243" s="589"/>
      <c r="CA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B243" s="589"/>
      <c r="CC243" s="589"/>
      <c r="CD243" s="589"/>
      <c r="CE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F243" s="589"/>
      <c r="CG243" s="589"/>
      <c r="CH243" s="589"/>
      <c r="CI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J243" s="589"/>
      <c r="CK243" s="589"/>
      <c r="CL243" s="589"/>
      <c r="CM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N243" s="589"/>
      <c r="CO243" s="589"/>
      <c r="CP243" s="589"/>
      <c r="CQ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R243" s="589"/>
      <c r="CS243" s="589"/>
      <c r="CT243" s="589"/>
      <c r="CU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V243" s="589"/>
      <c r="CW243" s="589"/>
      <c r="CX243" s="589"/>
      <c r="CY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Z243" s="589"/>
      <c r="DA243" s="589"/>
      <c r="DB243" s="589"/>
      <c r="DC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D243" s="589"/>
      <c r="DE243" s="589"/>
      <c r="DF243" s="589"/>
      <c r="DG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H243" s="589"/>
      <c r="DI243" s="589"/>
      <c r="DJ243" s="589"/>
      <c r="DK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L243" s="589"/>
      <c r="DM243" s="589"/>
      <c r="DN243" s="589"/>
      <c r="DO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P243" s="589"/>
      <c r="DQ243" s="589"/>
      <c r="DR243" s="589"/>
      <c r="DS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T243" s="589"/>
      <c r="DU243" s="589"/>
      <c r="DV243" s="589"/>
      <c r="DW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X243" s="589"/>
      <c r="DY243" s="589"/>
      <c r="DZ243" s="589"/>
      <c r="EA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B243" s="589"/>
      <c r="EC243" s="589"/>
      <c r="ED243" s="589"/>
      <c r="EE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F243" s="589"/>
      <c r="EG243" s="589"/>
      <c r="EH243" s="589"/>
      <c r="EI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J243" s="589"/>
      <c r="EK243" s="589"/>
      <c r="EL243" s="589"/>
      <c r="EM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N243" s="589"/>
      <c r="EO243" s="589"/>
      <c r="EP243" s="589"/>
      <c r="EQ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R243" s="589"/>
      <c r="ES243" s="589"/>
      <c r="ET243" s="589"/>
      <c r="EU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V243" s="589"/>
      <c r="EW243" s="589"/>
      <c r="EX243" s="589"/>
      <c r="EY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Z243" s="589"/>
      <c r="FA243" s="589"/>
      <c r="FB243" s="589"/>
      <c r="FC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D243" s="589"/>
      <c r="FE243" s="589"/>
      <c r="FF243" s="589"/>
      <c r="FG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H243" s="589"/>
      <c r="FI243" s="589"/>
      <c r="FJ243" s="589"/>
      <c r="FK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L243" s="589"/>
      <c r="FM243" s="589"/>
      <c r="FN243" s="589"/>
      <c r="FO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P243" s="589"/>
      <c r="FQ243" s="589"/>
      <c r="FR243" s="589"/>
      <c r="FS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T243" s="589"/>
      <c r="FU243" s="589"/>
      <c r="FV243" s="589"/>
      <c r="FW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X243" s="589"/>
      <c r="FY243" s="589"/>
      <c r="FZ243" s="589"/>
      <c r="GA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B243" s="589"/>
      <c r="GC243" s="589"/>
      <c r="GD243" s="589"/>
      <c r="GE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F243" s="589"/>
      <c r="GG243" s="589"/>
      <c r="GH243" s="589"/>
      <c r="GI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J243" s="589"/>
      <c r="GK243" s="589"/>
      <c r="GL243" s="589"/>
      <c r="GM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N243" s="589"/>
      <c r="GO243" s="589"/>
      <c r="GP243" s="589"/>
      <c r="GQ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R243" s="589"/>
      <c r="GS243" s="589"/>
      <c r="GT243" s="589"/>
      <c r="GU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V243" s="589"/>
      <c r="GW243" s="589"/>
      <c r="GX243" s="589"/>
      <c r="GY243" s="587">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Z243" s="589"/>
      <c r="HA243" s="589"/>
      <c r="HB243" s="589"/>
      <c r="IE243" s="579"/>
      <c r="IF243" s="579"/>
      <c r="IG243" s="579"/>
      <c r="IH243" s="579"/>
    </row>
    <row r="244" spans="1:242" s="154" customFormat="1" ht="20.100000000000001" hidden="1" customHeight="1">
      <c r="A244" s="572"/>
      <c r="B244" s="164"/>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c r="AA244" s="164"/>
      <c r="AB244" s="164"/>
      <c r="AC244" s="164"/>
      <c r="AD244" s="164"/>
      <c r="AE244" s="164"/>
      <c r="AF244" s="164"/>
      <c r="AG244" s="164"/>
      <c r="AH244" s="164"/>
      <c r="AI244" s="164"/>
      <c r="AJ244" s="164"/>
      <c r="AK244" s="164"/>
      <c r="AL244" s="164"/>
      <c r="AM244" s="164"/>
      <c r="AN244" s="164"/>
      <c r="AO244" s="164"/>
      <c r="AP244" s="164"/>
      <c r="AQ244" s="164"/>
      <c r="AR244" s="164"/>
      <c r="AS244" s="164"/>
      <c r="AT244" s="164"/>
      <c r="AU244" s="164"/>
      <c r="AV244" s="164"/>
      <c r="AW244" s="164"/>
      <c r="AX244" s="164"/>
      <c r="AY244" s="164"/>
      <c r="AZ244" s="164"/>
      <c r="BA244" s="164"/>
      <c r="BB244" s="164"/>
      <c r="BC244" s="164"/>
      <c r="BD244" s="164"/>
      <c r="BE244" s="164"/>
      <c r="BF244" s="164"/>
      <c r="BG244" s="164"/>
      <c r="BH244" s="164"/>
      <c r="BI244" s="164"/>
      <c r="BJ244" s="164"/>
      <c r="BK244" s="164"/>
      <c r="BL244" s="164"/>
      <c r="BM244" s="164"/>
      <c r="BN244" s="164"/>
      <c r="BO244" s="164"/>
      <c r="BP244" s="164"/>
      <c r="BQ244" s="164"/>
      <c r="BR244" s="164"/>
      <c r="BS244" s="164"/>
      <c r="BT244" s="164"/>
      <c r="BU244" s="164"/>
      <c r="BV244" s="164"/>
      <c r="BW244" s="164"/>
      <c r="BX244" s="164"/>
      <c r="BY244" s="164"/>
      <c r="BZ244" s="164"/>
      <c r="CA244" s="164"/>
      <c r="CB244" s="164"/>
      <c r="CC244" s="164"/>
      <c r="CD244" s="164"/>
      <c r="CE244" s="164"/>
      <c r="CF244" s="164"/>
      <c r="CG244" s="164"/>
      <c r="CH244" s="164"/>
      <c r="CI244" s="164"/>
      <c r="CJ244" s="164"/>
      <c r="CK244" s="164"/>
      <c r="CL244" s="164"/>
      <c r="CM244" s="164"/>
      <c r="CN244" s="164"/>
      <c r="CO244" s="164"/>
      <c r="CP244" s="164"/>
      <c r="CQ244" s="164"/>
      <c r="CR244" s="164"/>
      <c r="CS244" s="164"/>
      <c r="CT244" s="164"/>
      <c r="CU244" s="164"/>
      <c r="CV244" s="164"/>
      <c r="CW244" s="164"/>
      <c r="CX244" s="164"/>
      <c r="CY244" s="164"/>
      <c r="CZ244" s="164"/>
      <c r="DA244" s="164"/>
      <c r="DB244" s="164"/>
      <c r="DC244" s="164"/>
      <c r="DD244" s="164"/>
      <c r="DE244" s="164"/>
      <c r="DF244" s="164"/>
      <c r="DG244" s="164"/>
      <c r="DH244" s="164"/>
      <c r="DI244" s="164"/>
      <c r="DJ244" s="164"/>
      <c r="DK244" s="164"/>
      <c r="DL244" s="164"/>
      <c r="DM244" s="164"/>
      <c r="DN244" s="164"/>
      <c r="DO244" s="164"/>
      <c r="DP244" s="164"/>
      <c r="DQ244" s="164"/>
      <c r="DR244" s="164"/>
      <c r="DS244" s="164"/>
      <c r="DT244" s="164"/>
      <c r="DU244" s="164"/>
      <c r="DV244" s="164"/>
      <c r="DW244" s="164"/>
      <c r="DX244" s="164"/>
      <c r="DY244" s="164"/>
      <c r="DZ244" s="164"/>
      <c r="EA244" s="164"/>
      <c r="EB244" s="164"/>
      <c r="EC244" s="164"/>
      <c r="ED244" s="164"/>
      <c r="EE244" s="164"/>
      <c r="EF244" s="164"/>
      <c r="EG244" s="164"/>
      <c r="EH244" s="164"/>
      <c r="EI244" s="164"/>
      <c r="EJ244" s="164"/>
      <c r="EK244" s="164"/>
      <c r="EL244" s="164"/>
      <c r="EM244" s="164"/>
      <c r="EN244" s="164"/>
      <c r="EO244" s="164"/>
      <c r="EP244" s="164"/>
      <c r="EQ244" s="164"/>
      <c r="ER244" s="164"/>
      <c r="ES244" s="164"/>
      <c r="ET244" s="164"/>
      <c r="EU244" s="164"/>
      <c r="EV244" s="164"/>
      <c r="EW244" s="164"/>
      <c r="EX244" s="164"/>
      <c r="EY244" s="164"/>
      <c r="EZ244" s="164"/>
      <c r="FA244" s="164"/>
      <c r="FB244" s="164"/>
      <c r="FC244" s="164"/>
      <c r="FD244" s="164"/>
      <c r="FE244" s="164"/>
      <c r="FF244" s="164"/>
      <c r="FG244" s="164"/>
      <c r="FH244" s="164"/>
      <c r="FI244" s="164"/>
      <c r="FJ244" s="164"/>
      <c r="FK244" s="164"/>
      <c r="FL244" s="164"/>
      <c r="FM244" s="164"/>
      <c r="FN244" s="164"/>
      <c r="FO244" s="164"/>
      <c r="FP244" s="164"/>
      <c r="FQ244" s="164"/>
      <c r="FR244" s="164"/>
      <c r="FS244" s="164"/>
      <c r="FT244" s="164"/>
      <c r="FU244" s="164"/>
      <c r="FV244" s="164"/>
      <c r="FW244" s="164"/>
      <c r="FX244" s="164"/>
      <c r="FY244" s="164"/>
      <c r="FZ244" s="164"/>
      <c r="GA244" s="164"/>
      <c r="GB244" s="164"/>
      <c r="GC244" s="164"/>
      <c r="GD244" s="164"/>
      <c r="GE244" s="164"/>
      <c r="GF244" s="164"/>
      <c r="GG244" s="164"/>
      <c r="GH244" s="164"/>
      <c r="GI244" s="164"/>
      <c r="GJ244" s="164"/>
      <c r="GK244" s="164"/>
      <c r="GL244" s="164"/>
      <c r="GM244" s="164"/>
      <c r="GN244" s="164"/>
      <c r="GO244" s="164"/>
      <c r="GP244" s="164"/>
      <c r="GQ244" s="164"/>
      <c r="GR244" s="164"/>
      <c r="GS244" s="164"/>
      <c r="GT244" s="164"/>
      <c r="GU244" s="164"/>
      <c r="GV244" s="164"/>
      <c r="GW244" s="164"/>
      <c r="GX244" s="164"/>
      <c r="GY244" s="164"/>
      <c r="GZ244" s="164"/>
      <c r="HA244" s="164"/>
      <c r="HB244" s="164"/>
      <c r="HC244" s="164"/>
      <c r="HD244" s="164"/>
      <c r="HE244" s="164"/>
      <c r="HF244" s="164"/>
      <c r="HG244" s="164"/>
      <c r="HH244" s="164"/>
      <c r="HI244" s="164"/>
      <c r="HJ244" s="164"/>
      <c r="HK244" s="164"/>
      <c r="IE244" s="571"/>
      <c r="IF244" s="571"/>
      <c r="IG244" s="571"/>
      <c r="IH244" s="571"/>
    </row>
    <row r="245" spans="1:242" ht="20.100000000000001" hidden="1" customHeight="1">
      <c r="A245" s="173" t="s">
        <v>701</v>
      </c>
      <c r="B245" s="173"/>
      <c r="C245" s="179"/>
      <c r="D245" s="180"/>
      <c r="E245" s="181"/>
      <c r="F245" s="180"/>
      <c r="G245" s="180"/>
      <c r="H245" s="181"/>
      <c r="I245" s="180"/>
      <c r="J245" s="180"/>
      <c r="K245" s="181"/>
      <c r="L245" s="180"/>
      <c r="M245" s="180"/>
      <c r="N245" s="181"/>
      <c r="O245" s="180"/>
      <c r="P245" s="180"/>
      <c r="Q245" s="181"/>
      <c r="R245" s="180"/>
      <c r="S245" s="180"/>
      <c r="T245" s="181"/>
      <c r="U245" s="180"/>
      <c r="V245" s="180"/>
      <c r="W245" s="181"/>
      <c r="X245" s="180"/>
      <c r="Y245" s="180"/>
      <c r="Z245" s="181"/>
      <c r="AA245" s="180"/>
      <c r="AB245" s="180"/>
      <c r="AC245" s="181"/>
      <c r="AD245" s="180"/>
      <c r="AE245" s="180"/>
      <c r="AF245" s="181"/>
      <c r="AG245" s="180"/>
      <c r="AH245" s="180"/>
      <c r="AI245" s="181"/>
      <c r="AJ245" s="180"/>
      <c r="AK245" s="180"/>
      <c r="AL245" s="181"/>
      <c r="AM245" s="180"/>
      <c r="AN245" s="180"/>
      <c r="AO245" s="154"/>
      <c r="AP245" s="154"/>
      <c r="AQ245" s="154"/>
      <c r="AR245" s="154"/>
      <c r="AS245" s="154"/>
      <c r="AT245" s="154"/>
      <c r="AU245" s="154"/>
      <c r="AV245" s="154"/>
      <c r="AW245" s="154"/>
      <c r="AX245" s="154"/>
      <c r="AY245" s="154"/>
      <c r="AZ245" s="154"/>
      <c r="BA245" s="154"/>
      <c r="BB245" s="154"/>
      <c r="BC245" s="154"/>
      <c r="BD245" s="154"/>
      <c r="BE245" s="154"/>
      <c r="BF245" s="154"/>
      <c r="BG245" s="154"/>
      <c r="BH245" s="154"/>
      <c r="BI245" s="154"/>
      <c r="BJ245" s="154"/>
      <c r="BK245" s="154"/>
      <c r="BL245" s="154"/>
      <c r="BM245" s="154"/>
      <c r="BN245" s="154"/>
      <c r="BO245" s="154"/>
      <c r="BP245" s="154"/>
      <c r="BQ245" s="154"/>
      <c r="BR245" s="154"/>
      <c r="BS245" s="154"/>
      <c r="BT245" s="154"/>
      <c r="BU245" s="154"/>
      <c r="BV245" s="154"/>
      <c r="BW245" s="154"/>
      <c r="BX245" s="154"/>
      <c r="BY245" s="154"/>
      <c r="BZ245" s="154"/>
      <c r="CA245" s="154"/>
      <c r="CB245" s="154"/>
      <c r="CC245" s="154"/>
      <c r="CD245" s="154"/>
      <c r="CE245" s="154"/>
      <c r="CF245" s="154"/>
      <c r="CG245" s="154"/>
      <c r="CH245" s="154"/>
      <c r="CI245" s="154"/>
      <c r="CJ245" s="154"/>
      <c r="CK245" s="154"/>
      <c r="CL245" s="154"/>
      <c r="CM245" s="154"/>
      <c r="CN245" s="154"/>
      <c r="CO245" s="154"/>
      <c r="CP245" s="154"/>
      <c r="CQ245" s="154"/>
      <c r="CR245" s="154"/>
      <c r="CS245" s="154"/>
      <c r="CT245" s="154"/>
      <c r="CU245" s="154"/>
      <c r="CV245" s="154"/>
      <c r="CW245" s="154"/>
      <c r="CX245" s="154"/>
      <c r="CY245" s="154"/>
      <c r="CZ245" s="154"/>
      <c r="DA245" s="154"/>
      <c r="DB245" s="154"/>
      <c r="DC245" s="154"/>
      <c r="DD245" s="154"/>
      <c r="DE245" s="154"/>
      <c r="DF245" s="154"/>
      <c r="DG245" s="154"/>
      <c r="DH245" s="154"/>
      <c r="DI245" s="154"/>
      <c r="DJ245" s="154"/>
      <c r="DK245" s="154"/>
      <c r="DL245" s="154"/>
      <c r="DM245" s="154"/>
      <c r="DN245" s="154"/>
      <c r="DO245" s="154"/>
      <c r="DP245" s="154"/>
      <c r="DQ245" s="154"/>
      <c r="DR245" s="154"/>
      <c r="DS245" s="154"/>
      <c r="DT245" s="154"/>
      <c r="DU245" s="154"/>
      <c r="DV245" s="154"/>
      <c r="DW245" s="154"/>
      <c r="DX245" s="154"/>
      <c r="DY245" s="154"/>
      <c r="DZ245" s="154"/>
      <c r="EA245" s="154"/>
      <c r="EB245" s="154"/>
      <c r="EC245" s="154"/>
      <c r="ED245" s="154"/>
      <c r="EE245" s="154"/>
      <c r="EF245" s="154"/>
      <c r="EG245" s="154"/>
      <c r="EH245" s="154"/>
      <c r="EI245" s="154"/>
      <c r="EJ245" s="154"/>
      <c r="EK245" s="154"/>
      <c r="EL245" s="154"/>
      <c r="EM245" s="154"/>
      <c r="EN245" s="154"/>
      <c r="EO245" s="154"/>
      <c r="EP245" s="154"/>
      <c r="EQ245" s="154"/>
      <c r="ER245" s="154"/>
      <c r="ES245" s="154"/>
      <c r="ET245" s="154"/>
      <c r="EU245" s="154"/>
      <c r="EV245" s="154"/>
      <c r="EW245" s="154"/>
      <c r="EX245" s="154"/>
      <c r="EY245" s="154"/>
      <c r="EZ245" s="154"/>
      <c r="FA245" s="154"/>
      <c r="FB245" s="154"/>
      <c r="FC245" s="154"/>
      <c r="FD245" s="154"/>
      <c r="FE245" s="154"/>
      <c r="FF245" s="154"/>
      <c r="FG245" s="154"/>
      <c r="FH245" s="154"/>
      <c r="FI245" s="154"/>
      <c r="FJ245" s="154"/>
      <c r="FK245" s="154"/>
      <c r="FL245" s="154"/>
      <c r="FM245" s="154"/>
      <c r="FN245" s="154"/>
      <c r="FO245" s="154"/>
      <c r="FP245" s="154"/>
      <c r="FQ245" s="154"/>
      <c r="FR245" s="154"/>
      <c r="FS245" s="154"/>
      <c r="FT245" s="154"/>
      <c r="FU245" s="154"/>
      <c r="FV245" s="154"/>
      <c r="FW245" s="154"/>
      <c r="FX245" s="154"/>
      <c r="FY245" s="154"/>
      <c r="FZ245" s="154"/>
      <c r="GA245" s="154"/>
      <c r="GB245" s="154"/>
      <c r="GC245" s="154"/>
      <c r="GD245" s="154"/>
      <c r="GE245" s="154"/>
      <c r="GF245" s="154"/>
      <c r="GG245" s="154"/>
      <c r="GH245" s="154"/>
      <c r="GI245" s="154"/>
      <c r="GJ245" s="154"/>
      <c r="GK245" s="154"/>
      <c r="GL245" s="154"/>
      <c r="GM245" s="154"/>
      <c r="GN245" s="154"/>
      <c r="GO245" s="154"/>
      <c r="GP245" s="154"/>
      <c r="GQ245" s="154"/>
      <c r="GR245" s="154"/>
      <c r="GS245" s="154"/>
      <c r="GT245" s="154"/>
      <c r="GU245" s="154"/>
      <c r="GV245" s="154"/>
      <c r="GW245" s="154"/>
      <c r="GX245" s="154"/>
      <c r="GY245" s="154"/>
      <c r="GZ245" s="154"/>
      <c r="HA245" s="154"/>
      <c r="HB245" s="154"/>
      <c r="HC245" s="154"/>
      <c r="HD245" s="154"/>
      <c r="HE245" s="154"/>
      <c r="HF245" s="154"/>
      <c r="HG245" s="154"/>
      <c r="HH245" s="154"/>
      <c r="HI245" s="154"/>
      <c r="HJ245" s="154"/>
      <c r="HK245" s="154"/>
    </row>
    <row r="246" spans="1:242" ht="20.100000000000001" hidden="1" customHeight="1" thickBot="1">
      <c r="B246" s="590" t="s">
        <v>702</v>
      </c>
    </row>
    <row r="247" spans="1:242" ht="19.5" hidden="1" customHeight="1" thickBot="1">
      <c r="A247" s="156">
        <v>1</v>
      </c>
      <c r="B247" s="1048" t="s">
        <v>671</v>
      </c>
      <c r="C247" s="1049"/>
      <c r="D247" s="1050"/>
      <c r="E247" s="593">
        <v>1</v>
      </c>
      <c r="F247" s="594">
        <v>2</v>
      </c>
      <c r="G247" s="594">
        <v>3</v>
      </c>
      <c r="H247" s="594">
        <v>4</v>
      </c>
      <c r="I247" s="594">
        <v>5</v>
      </c>
      <c r="J247" s="594">
        <v>6</v>
      </c>
      <c r="K247" s="594">
        <v>7</v>
      </c>
      <c r="L247" s="594">
        <v>8</v>
      </c>
      <c r="M247" s="594">
        <v>9</v>
      </c>
      <c r="N247" s="594">
        <v>10</v>
      </c>
      <c r="O247" s="594">
        <v>11</v>
      </c>
      <c r="P247" s="594">
        <v>12</v>
      </c>
      <c r="Q247" s="594">
        <v>13</v>
      </c>
      <c r="R247" s="593">
        <v>14</v>
      </c>
      <c r="S247" s="594">
        <v>15</v>
      </c>
      <c r="T247" s="594">
        <v>16</v>
      </c>
      <c r="U247" s="594">
        <v>17</v>
      </c>
      <c r="V247" s="594">
        <v>18</v>
      </c>
      <c r="W247" s="594">
        <v>19</v>
      </c>
      <c r="X247" s="594">
        <v>20</v>
      </c>
      <c r="Y247" s="594">
        <v>21</v>
      </c>
      <c r="Z247" s="594">
        <v>22</v>
      </c>
      <c r="AA247" s="594">
        <v>23</v>
      </c>
      <c r="AB247" s="594">
        <v>24</v>
      </c>
      <c r="AC247" s="594">
        <v>25</v>
      </c>
      <c r="AD247" s="594">
        <v>26</v>
      </c>
      <c r="AE247" s="593">
        <v>27</v>
      </c>
      <c r="AF247" s="594">
        <v>28</v>
      </c>
      <c r="AG247" s="594">
        <v>29</v>
      </c>
      <c r="AH247" s="594">
        <v>30</v>
      </c>
      <c r="AI247" s="594">
        <v>31</v>
      </c>
      <c r="AJ247" s="594">
        <v>32</v>
      </c>
      <c r="AK247" s="594">
        <v>33</v>
      </c>
      <c r="AL247" s="594">
        <v>34</v>
      </c>
      <c r="AM247" s="594">
        <v>35</v>
      </c>
      <c r="AN247" s="594">
        <v>36</v>
      </c>
      <c r="AO247" s="594">
        <v>37</v>
      </c>
      <c r="AP247" s="594">
        <v>38</v>
      </c>
      <c r="AQ247" s="594">
        <v>39</v>
      </c>
      <c r="AR247" s="594">
        <v>40</v>
      </c>
      <c r="AS247" s="594">
        <v>41</v>
      </c>
      <c r="AT247" s="594">
        <v>42</v>
      </c>
      <c r="AU247" s="594">
        <v>43</v>
      </c>
      <c r="AV247" s="594">
        <v>44</v>
      </c>
      <c r="AW247" s="594">
        <v>45</v>
      </c>
      <c r="AX247" s="594">
        <v>46</v>
      </c>
      <c r="AY247" s="594">
        <v>47</v>
      </c>
      <c r="AZ247" s="594">
        <v>48</v>
      </c>
      <c r="BA247" s="594">
        <v>49</v>
      </c>
      <c r="BB247" s="595">
        <v>50</v>
      </c>
      <c r="BC247" s="592"/>
    </row>
    <row r="248" spans="1:242" s="569" customFormat="1" ht="18.75" hidden="1" customHeight="1">
      <c r="A248" s="156">
        <v>2</v>
      </c>
      <c r="B248" s="1051" t="s">
        <v>672</v>
      </c>
      <c r="C248" s="596" t="s">
        <v>673</v>
      </c>
      <c r="D248" s="597">
        <v>2025</v>
      </c>
      <c r="E248" s="733">
        <f t="shared" ref="E248:BB248" ca="1" si="96">IFERROR(MATCH($B248&amp;E$247,OFFSET(INDIRECT("貼付け_"&amp;$D248&amp;"実績"),4,0,1,205),0)-1,"")</f>
        <v>33</v>
      </c>
      <c r="F248" s="598">
        <f t="shared" ca="1" si="96"/>
        <v>37</v>
      </c>
      <c r="G248" s="598">
        <f t="shared" ca="1" si="96"/>
        <v>41</v>
      </c>
      <c r="H248" s="598">
        <f t="shared" ca="1" si="96"/>
        <v>45</v>
      </c>
      <c r="I248" s="598">
        <f t="shared" ca="1" si="96"/>
        <v>49</v>
      </c>
      <c r="J248" s="598">
        <f t="shared" ca="1" si="96"/>
        <v>53</v>
      </c>
      <c r="K248" s="598">
        <f t="shared" ca="1" si="96"/>
        <v>57</v>
      </c>
      <c r="L248" s="598">
        <f t="shared" ca="1" si="96"/>
        <v>61</v>
      </c>
      <c r="M248" s="598">
        <f t="shared" ca="1" si="96"/>
        <v>65</v>
      </c>
      <c r="N248" s="598">
        <f t="shared" ca="1" si="96"/>
        <v>69</v>
      </c>
      <c r="O248" s="598" t="str">
        <f ca="1">IFERROR(MATCH($B248&amp;O$247,OFFSET(INDIRECT("貼付け_"&amp;$D248&amp;"実績"),4,0,1,205),0)-1,"")</f>
        <v/>
      </c>
      <c r="P248" s="598" t="str">
        <f t="shared" ca="1" si="96"/>
        <v/>
      </c>
      <c r="Q248" s="598" t="str">
        <f t="shared" ca="1" si="96"/>
        <v/>
      </c>
      <c r="R248" s="598" t="str">
        <f t="shared" ca="1" si="96"/>
        <v/>
      </c>
      <c r="S248" s="598" t="str">
        <f t="shared" ca="1" si="96"/>
        <v/>
      </c>
      <c r="T248" s="598" t="str">
        <f t="shared" ca="1" si="96"/>
        <v/>
      </c>
      <c r="U248" s="598" t="str">
        <f t="shared" ca="1" si="96"/>
        <v/>
      </c>
      <c r="V248" s="598" t="str">
        <f t="shared" ca="1" si="96"/>
        <v/>
      </c>
      <c r="W248" s="598" t="str">
        <f t="shared" ca="1" si="96"/>
        <v/>
      </c>
      <c r="X248" s="598" t="str">
        <f t="shared" ca="1" si="96"/>
        <v/>
      </c>
      <c r="Y248" s="598" t="str">
        <f t="shared" ca="1" si="96"/>
        <v/>
      </c>
      <c r="Z248" s="598" t="str">
        <f t="shared" ca="1" si="96"/>
        <v/>
      </c>
      <c r="AA248" s="598" t="str">
        <f t="shared" ca="1" si="96"/>
        <v/>
      </c>
      <c r="AB248" s="598" t="str">
        <f t="shared" ca="1" si="96"/>
        <v/>
      </c>
      <c r="AC248" s="598" t="str">
        <f t="shared" ca="1" si="96"/>
        <v/>
      </c>
      <c r="AD248" s="598" t="str">
        <f t="shared" ca="1" si="96"/>
        <v/>
      </c>
      <c r="AE248" s="598" t="str">
        <f t="shared" ca="1" si="96"/>
        <v/>
      </c>
      <c r="AF248" s="598" t="str">
        <f t="shared" ca="1" si="96"/>
        <v/>
      </c>
      <c r="AG248" s="598" t="str">
        <f t="shared" ca="1" si="96"/>
        <v/>
      </c>
      <c r="AH248" s="598" t="str">
        <f t="shared" ca="1" si="96"/>
        <v/>
      </c>
      <c r="AI248" s="598" t="str">
        <f t="shared" ca="1" si="96"/>
        <v/>
      </c>
      <c r="AJ248" s="598" t="str">
        <f t="shared" ca="1" si="96"/>
        <v/>
      </c>
      <c r="AK248" s="598" t="str">
        <f t="shared" ca="1" si="96"/>
        <v/>
      </c>
      <c r="AL248" s="598" t="str">
        <f t="shared" ca="1" si="96"/>
        <v/>
      </c>
      <c r="AM248" s="598" t="str">
        <f t="shared" ca="1" si="96"/>
        <v/>
      </c>
      <c r="AN248" s="598" t="str">
        <f t="shared" ca="1" si="96"/>
        <v/>
      </c>
      <c r="AO248" s="598" t="str">
        <f t="shared" ca="1" si="96"/>
        <v/>
      </c>
      <c r="AP248" s="598" t="str">
        <f t="shared" ca="1" si="96"/>
        <v/>
      </c>
      <c r="AQ248" s="598" t="str">
        <f t="shared" ca="1" si="96"/>
        <v/>
      </c>
      <c r="AR248" s="598" t="str">
        <f t="shared" ca="1" si="96"/>
        <v/>
      </c>
      <c r="AS248" s="598" t="str">
        <f t="shared" ca="1" si="96"/>
        <v/>
      </c>
      <c r="AT248" s="598" t="str">
        <f t="shared" ca="1" si="96"/>
        <v/>
      </c>
      <c r="AU248" s="598" t="str">
        <f t="shared" ca="1" si="96"/>
        <v/>
      </c>
      <c r="AV248" s="598" t="str">
        <f t="shared" ca="1" si="96"/>
        <v/>
      </c>
      <c r="AW248" s="598" t="str">
        <f t="shared" ca="1" si="96"/>
        <v/>
      </c>
      <c r="AX248" s="598" t="str">
        <f t="shared" ca="1" si="96"/>
        <v/>
      </c>
      <c r="AY248" s="598" t="str">
        <f t="shared" ca="1" si="96"/>
        <v/>
      </c>
      <c r="AZ248" s="598" t="str">
        <f t="shared" ca="1" si="96"/>
        <v/>
      </c>
      <c r="BA248" s="598" t="str">
        <f t="shared" ca="1" si="96"/>
        <v/>
      </c>
      <c r="BB248" s="649" t="str">
        <f t="shared" ca="1" si="96"/>
        <v/>
      </c>
      <c r="BC248" s="156" t="str">
        <f>D248&amp;"年度"</f>
        <v>2025年度</v>
      </c>
      <c r="BD248" s="156">
        <v>1</v>
      </c>
      <c r="BE248" s="156">
        <v>2</v>
      </c>
      <c r="BF248" s="156">
        <v>3</v>
      </c>
      <c r="BG248" s="156">
        <v>4</v>
      </c>
      <c r="BH248" s="156">
        <v>5</v>
      </c>
      <c r="BI248" s="156">
        <v>6</v>
      </c>
      <c r="BJ248" s="156">
        <v>7</v>
      </c>
      <c r="BK248" s="156">
        <v>8</v>
      </c>
      <c r="BL248" s="156">
        <v>9</v>
      </c>
      <c r="BM248" s="156">
        <v>10</v>
      </c>
      <c r="BN248" s="156">
        <v>11</v>
      </c>
      <c r="BO248" s="156">
        <v>12</v>
      </c>
      <c r="BP248" s="156">
        <v>13</v>
      </c>
      <c r="BQ248" s="156">
        <v>14</v>
      </c>
      <c r="BR248" s="156">
        <v>15</v>
      </c>
      <c r="BS248" s="156">
        <v>16</v>
      </c>
      <c r="BT248" s="156">
        <v>17</v>
      </c>
      <c r="BU248" s="156">
        <v>18</v>
      </c>
      <c r="BV248" s="156">
        <v>19</v>
      </c>
      <c r="BW248" s="156">
        <v>20</v>
      </c>
      <c r="BX248" s="156">
        <v>21</v>
      </c>
      <c r="BY248" s="156">
        <v>22</v>
      </c>
      <c r="BZ248" s="156">
        <v>23</v>
      </c>
      <c r="CA248" s="156">
        <v>24</v>
      </c>
      <c r="CB248" s="156">
        <v>25</v>
      </c>
      <c r="CC248" s="156">
        <v>26</v>
      </c>
      <c r="CD248" s="156">
        <v>27</v>
      </c>
      <c r="CE248" s="156">
        <v>28</v>
      </c>
      <c r="CF248" s="156">
        <v>29</v>
      </c>
      <c r="CG248" s="156">
        <v>30</v>
      </c>
      <c r="CH248" s="156">
        <v>31</v>
      </c>
      <c r="CI248" s="156">
        <v>32</v>
      </c>
      <c r="CJ248" s="156">
        <v>33</v>
      </c>
      <c r="CK248" s="156">
        <v>34</v>
      </c>
      <c r="CL248" s="156">
        <v>35</v>
      </c>
      <c r="CM248" s="156">
        <v>36</v>
      </c>
      <c r="CN248" s="156">
        <v>37</v>
      </c>
      <c r="CO248" s="156">
        <v>38</v>
      </c>
      <c r="CP248" s="156">
        <v>39</v>
      </c>
      <c r="CQ248" s="156">
        <v>40</v>
      </c>
      <c r="CR248" s="156">
        <v>41</v>
      </c>
      <c r="CS248" s="156">
        <v>42</v>
      </c>
      <c r="CT248" s="156">
        <v>43</v>
      </c>
      <c r="CU248" s="156">
        <v>44</v>
      </c>
      <c r="CV248" s="156">
        <v>45</v>
      </c>
      <c r="CW248" s="156">
        <v>46</v>
      </c>
      <c r="CX248" s="156">
        <v>47</v>
      </c>
      <c r="CY248" s="156">
        <v>48</v>
      </c>
      <c r="CZ248" s="156">
        <v>49</v>
      </c>
      <c r="DA248" s="156">
        <v>50</v>
      </c>
      <c r="DB248" s="156"/>
      <c r="DC248" s="156"/>
      <c r="DD248" s="156"/>
      <c r="DE248" s="156"/>
      <c r="DF248" s="156"/>
      <c r="DG248" s="156"/>
      <c r="DH248" s="156"/>
      <c r="DI248" s="156"/>
      <c r="DJ248" s="156"/>
      <c r="DK248" s="156"/>
      <c r="DL248" s="156"/>
      <c r="DM248" s="156"/>
      <c r="DN248" s="156"/>
      <c r="DO248" s="156"/>
      <c r="DP248" s="156"/>
      <c r="DQ248" s="156"/>
      <c r="DR248" s="156"/>
      <c r="DS248" s="156"/>
      <c r="DT248" s="156"/>
      <c r="DU248" s="156"/>
      <c r="DV248" s="156"/>
      <c r="DW248" s="156"/>
      <c r="DX248" s="156"/>
      <c r="DY248" s="156"/>
      <c r="DZ248" s="156"/>
      <c r="EA248" s="156"/>
      <c r="EB248" s="156"/>
      <c r="EC248" s="156"/>
      <c r="ED248" s="156"/>
      <c r="EE248" s="156"/>
      <c r="EF248" s="156"/>
      <c r="EG248" s="156"/>
      <c r="EH248" s="156"/>
      <c r="EI248" s="156"/>
      <c r="EJ248" s="156"/>
      <c r="EK248" s="156"/>
      <c r="EL248" s="156"/>
      <c r="EM248" s="156"/>
      <c r="EN248" s="156"/>
      <c r="EO248" s="156"/>
      <c r="EP248" s="156"/>
      <c r="EQ248" s="156"/>
      <c r="ER248" s="156"/>
      <c r="ES248" s="156"/>
      <c r="ET248" s="156"/>
      <c r="EU248" s="156"/>
      <c r="EV248" s="156"/>
      <c r="EW248" s="156"/>
      <c r="EX248" s="156"/>
      <c r="EY248" s="156"/>
      <c r="EZ248" s="156"/>
      <c r="FA248" s="156"/>
      <c r="FB248" s="156"/>
      <c r="FC248" s="156"/>
      <c r="FD248" s="156"/>
      <c r="FE248" s="156"/>
      <c r="FF248" s="156"/>
      <c r="FG248" s="156"/>
      <c r="FH248" s="156"/>
      <c r="FI248" s="156"/>
      <c r="FJ248" s="156"/>
      <c r="FK248" s="156"/>
      <c r="FL248" s="156"/>
      <c r="FM248" s="156"/>
      <c r="FN248" s="156"/>
      <c r="FO248" s="156"/>
      <c r="FP248" s="156"/>
      <c r="FQ248" s="156"/>
      <c r="FR248" s="156"/>
      <c r="FS248" s="156"/>
      <c r="FT248" s="156"/>
      <c r="FU248" s="156"/>
      <c r="FV248" s="156"/>
      <c r="FW248" s="156"/>
      <c r="FX248" s="156"/>
      <c r="FY248" s="156"/>
      <c r="FZ248" s="156"/>
      <c r="GA248" s="156"/>
      <c r="GB248" s="156"/>
      <c r="GC248" s="156"/>
      <c r="GD248" s="156"/>
      <c r="GE248" s="156"/>
      <c r="GF248" s="156"/>
      <c r="GG248" s="156"/>
      <c r="GH248" s="156"/>
      <c r="GI248" s="156"/>
      <c r="GJ248" s="156"/>
      <c r="GK248" s="156"/>
      <c r="GL248" s="156"/>
      <c r="GM248" s="156"/>
      <c r="GN248" s="156"/>
      <c r="GO248" s="156"/>
      <c r="GP248" s="156"/>
      <c r="GQ248" s="156"/>
      <c r="GR248" s="156"/>
      <c r="GS248" s="156"/>
      <c r="GT248" s="156"/>
      <c r="GU248" s="156"/>
      <c r="GV248" s="156"/>
      <c r="GW248" s="156"/>
      <c r="GX248" s="156"/>
      <c r="GY248" s="156"/>
      <c r="GZ248" s="156"/>
      <c r="HA248" s="156"/>
      <c r="HB248" s="156"/>
      <c r="HC248" s="156"/>
      <c r="HD248" s="156"/>
      <c r="HE248" s="156"/>
      <c r="HF248" s="156"/>
      <c r="HG248" s="156"/>
      <c r="HH248" s="156"/>
      <c r="HI248" s="156"/>
      <c r="HJ248" s="156"/>
      <c r="HK248" s="156"/>
      <c r="IE248" s="603"/>
      <c r="IF248" s="603"/>
      <c r="IG248" s="603"/>
      <c r="IH248" s="603"/>
    </row>
    <row r="249" spans="1:242" s="569" customFormat="1" ht="19.5" hidden="1" customHeight="1">
      <c r="A249" s="569">
        <v>3</v>
      </c>
      <c r="B249" s="1052"/>
      <c r="C249" s="599" t="str">
        <f>D248-1&amp;"/"&amp;D248</f>
        <v>2024/2025</v>
      </c>
      <c r="D249" s="600" t="str">
        <f>""</f>
        <v/>
      </c>
      <c r="E249" s="734" t="str">
        <f t="shared" ref="E249:AJ249" ca="1" si="97">OFFSET(A1_原単位2024,6,E$247+2)</f>
        <v/>
      </c>
      <c r="F249" s="601" t="str">
        <f t="shared" ca="1" si="97"/>
        <v/>
      </c>
      <c r="G249" s="601" t="str">
        <f t="shared" ca="1" si="97"/>
        <v/>
      </c>
      <c r="H249" s="601" t="str">
        <f t="shared" ca="1" si="97"/>
        <v/>
      </c>
      <c r="I249" s="601" t="str">
        <f t="shared" ca="1" si="97"/>
        <v/>
      </c>
      <c r="J249" s="601" t="str">
        <f t="shared" ca="1" si="97"/>
        <v/>
      </c>
      <c r="K249" s="601" t="str">
        <f t="shared" ca="1" si="97"/>
        <v/>
      </c>
      <c r="L249" s="601" t="str">
        <f t="shared" ca="1" si="97"/>
        <v/>
      </c>
      <c r="M249" s="601" t="str">
        <f t="shared" ca="1" si="97"/>
        <v/>
      </c>
      <c r="N249" s="601" t="str">
        <f t="shared" ca="1" si="97"/>
        <v/>
      </c>
      <c r="O249" s="601" t="str">
        <f ca="1">OFFSET(A1_原単位2024,6,O$247+2)</f>
        <v/>
      </c>
      <c r="P249" s="601" t="str">
        <f t="shared" ca="1" si="97"/>
        <v/>
      </c>
      <c r="Q249" s="601" t="str">
        <f t="shared" ca="1" si="97"/>
        <v/>
      </c>
      <c r="R249" s="601" t="str">
        <f t="shared" ca="1" si="97"/>
        <v/>
      </c>
      <c r="S249" s="601" t="str">
        <f t="shared" ca="1" si="97"/>
        <v/>
      </c>
      <c r="T249" s="601" t="str">
        <f t="shared" ca="1" si="97"/>
        <v/>
      </c>
      <c r="U249" s="601" t="str">
        <f t="shared" ca="1" si="97"/>
        <v/>
      </c>
      <c r="V249" s="601" t="str">
        <f t="shared" ca="1" si="97"/>
        <v/>
      </c>
      <c r="W249" s="601" t="str">
        <f t="shared" ca="1" si="97"/>
        <v/>
      </c>
      <c r="X249" s="601" t="str">
        <f t="shared" ca="1" si="97"/>
        <v/>
      </c>
      <c r="Y249" s="601" t="str">
        <f t="shared" ca="1" si="97"/>
        <v/>
      </c>
      <c r="Z249" s="601" t="str">
        <f t="shared" ca="1" si="97"/>
        <v/>
      </c>
      <c r="AA249" s="601" t="str">
        <f t="shared" ca="1" si="97"/>
        <v/>
      </c>
      <c r="AB249" s="601" t="str">
        <f t="shared" ca="1" si="97"/>
        <v/>
      </c>
      <c r="AC249" s="601" t="str">
        <f t="shared" ca="1" si="97"/>
        <v/>
      </c>
      <c r="AD249" s="601" t="str">
        <f t="shared" ca="1" si="97"/>
        <v/>
      </c>
      <c r="AE249" s="601" t="str">
        <f t="shared" ca="1" si="97"/>
        <v/>
      </c>
      <c r="AF249" s="601" t="str">
        <f t="shared" ca="1" si="97"/>
        <v/>
      </c>
      <c r="AG249" s="601" t="str">
        <f t="shared" ca="1" si="97"/>
        <v/>
      </c>
      <c r="AH249" s="601" t="str">
        <f t="shared" ca="1" si="97"/>
        <v/>
      </c>
      <c r="AI249" s="601" t="str">
        <f t="shared" ca="1" si="97"/>
        <v/>
      </c>
      <c r="AJ249" s="601" t="str">
        <f t="shared" ca="1" si="97"/>
        <v/>
      </c>
      <c r="AK249" s="601" t="str">
        <f t="shared" ref="AK249:BB249" ca="1" si="98">OFFSET(A1_原単位2024,6,AK$247+2)</f>
        <v/>
      </c>
      <c r="AL249" s="601" t="str">
        <f t="shared" ca="1" si="98"/>
        <v/>
      </c>
      <c r="AM249" s="601" t="str">
        <f t="shared" ca="1" si="98"/>
        <v/>
      </c>
      <c r="AN249" s="601" t="str">
        <f t="shared" ca="1" si="98"/>
        <v/>
      </c>
      <c r="AO249" s="601" t="str">
        <f t="shared" ca="1" si="98"/>
        <v/>
      </c>
      <c r="AP249" s="601" t="str">
        <f t="shared" ca="1" si="98"/>
        <v/>
      </c>
      <c r="AQ249" s="601" t="str">
        <f t="shared" ca="1" si="98"/>
        <v/>
      </c>
      <c r="AR249" s="601" t="str">
        <f t="shared" ca="1" si="98"/>
        <v/>
      </c>
      <c r="AS249" s="601" t="str">
        <f t="shared" ca="1" si="98"/>
        <v/>
      </c>
      <c r="AT249" s="601" t="str">
        <f t="shared" ca="1" si="98"/>
        <v/>
      </c>
      <c r="AU249" s="601" t="str">
        <f t="shared" ca="1" si="98"/>
        <v/>
      </c>
      <c r="AV249" s="601" t="str">
        <f t="shared" ca="1" si="98"/>
        <v/>
      </c>
      <c r="AW249" s="601" t="str">
        <f t="shared" ca="1" si="98"/>
        <v/>
      </c>
      <c r="AX249" s="601" t="str">
        <f t="shared" ca="1" si="98"/>
        <v/>
      </c>
      <c r="AY249" s="601" t="str">
        <f t="shared" ca="1" si="98"/>
        <v/>
      </c>
      <c r="AZ249" s="601" t="str">
        <f t="shared" ca="1" si="98"/>
        <v/>
      </c>
      <c r="BA249" s="601" t="str">
        <f t="shared" ca="1" si="98"/>
        <v/>
      </c>
      <c r="BB249" s="650" t="str">
        <f t="shared" ca="1" si="98"/>
        <v/>
      </c>
      <c r="BC249" s="601" t="str">
        <f>""</f>
        <v/>
      </c>
      <c r="BD249" s="601" t="str">
        <f t="shared" ref="BD249:CI249" ca="1" si="99">IFERROR(OFFSET(貼付け_2025実績,5,E248+1),"")&amp;""</f>
        <v/>
      </c>
      <c r="BE249" s="601" t="str">
        <f t="shared" ca="1" si="99"/>
        <v/>
      </c>
      <c r="BF249" s="601" t="str">
        <f t="shared" ca="1" si="99"/>
        <v/>
      </c>
      <c r="BG249" s="601" t="str">
        <f t="shared" ca="1" si="99"/>
        <v/>
      </c>
      <c r="BH249" s="601" t="str">
        <f t="shared" ca="1" si="99"/>
        <v/>
      </c>
      <c r="BI249" s="601" t="str">
        <f t="shared" ca="1" si="99"/>
        <v/>
      </c>
      <c r="BJ249" s="601" t="str">
        <f t="shared" ca="1" si="99"/>
        <v/>
      </c>
      <c r="BK249" s="601" t="str">
        <f t="shared" ca="1" si="99"/>
        <v/>
      </c>
      <c r="BL249" s="601" t="str">
        <f t="shared" ca="1" si="99"/>
        <v/>
      </c>
      <c r="BM249" s="601" t="str">
        <f t="shared" ca="1" si="99"/>
        <v/>
      </c>
      <c r="BN249" s="601" t="str">
        <f ca="1">IFERROR(OFFSET(貼付け_2025実績,5,O248+1),"")&amp;""</f>
        <v/>
      </c>
      <c r="BO249" s="601" t="str">
        <f t="shared" ca="1" si="99"/>
        <v/>
      </c>
      <c r="BP249" s="601" t="str">
        <f t="shared" ca="1" si="99"/>
        <v/>
      </c>
      <c r="BQ249" s="601" t="str">
        <f t="shared" ca="1" si="99"/>
        <v/>
      </c>
      <c r="BR249" s="601" t="str">
        <f t="shared" ca="1" si="99"/>
        <v/>
      </c>
      <c r="BS249" s="601" t="str">
        <f t="shared" ca="1" si="99"/>
        <v/>
      </c>
      <c r="BT249" s="601" t="str">
        <f t="shared" ca="1" si="99"/>
        <v/>
      </c>
      <c r="BU249" s="601" t="str">
        <f t="shared" ca="1" si="99"/>
        <v/>
      </c>
      <c r="BV249" s="601" t="str">
        <f t="shared" ca="1" si="99"/>
        <v/>
      </c>
      <c r="BW249" s="601" t="str">
        <f t="shared" ca="1" si="99"/>
        <v/>
      </c>
      <c r="BX249" s="601" t="str">
        <f t="shared" ca="1" si="99"/>
        <v/>
      </c>
      <c r="BY249" s="601" t="str">
        <f t="shared" ca="1" si="99"/>
        <v/>
      </c>
      <c r="BZ249" s="601" t="str">
        <f t="shared" ca="1" si="99"/>
        <v/>
      </c>
      <c r="CA249" s="601" t="str">
        <f t="shared" ca="1" si="99"/>
        <v/>
      </c>
      <c r="CB249" s="601" t="str">
        <f t="shared" ca="1" si="99"/>
        <v/>
      </c>
      <c r="CC249" s="601" t="str">
        <f t="shared" ca="1" si="99"/>
        <v/>
      </c>
      <c r="CD249" s="601" t="str">
        <f t="shared" ca="1" si="99"/>
        <v/>
      </c>
      <c r="CE249" s="601" t="str">
        <f t="shared" ca="1" si="99"/>
        <v/>
      </c>
      <c r="CF249" s="601" t="str">
        <f t="shared" ca="1" si="99"/>
        <v/>
      </c>
      <c r="CG249" s="601" t="str">
        <f t="shared" ca="1" si="99"/>
        <v/>
      </c>
      <c r="CH249" s="601" t="str">
        <f t="shared" ca="1" si="99"/>
        <v/>
      </c>
      <c r="CI249" s="601" t="str">
        <f t="shared" ca="1" si="99"/>
        <v/>
      </c>
      <c r="CJ249" s="601" t="str">
        <f t="shared" ref="CJ249:DA249" ca="1" si="100">IFERROR(OFFSET(貼付け_2025実績,5,AK248+1),"")&amp;""</f>
        <v/>
      </c>
      <c r="CK249" s="601" t="str">
        <f t="shared" ca="1" si="100"/>
        <v/>
      </c>
      <c r="CL249" s="601" t="str">
        <f t="shared" ca="1" si="100"/>
        <v/>
      </c>
      <c r="CM249" s="601" t="str">
        <f t="shared" ca="1" si="100"/>
        <v/>
      </c>
      <c r="CN249" s="601" t="str">
        <f t="shared" ca="1" si="100"/>
        <v/>
      </c>
      <c r="CO249" s="601" t="str">
        <f t="shared" ca="1" si="100"/>
        <v/>
      </c>
      <c r="CP249" s="601" t="str">
        <f t="shared" ca="1" si="100"/>
        <v/>
      </c>
      <c r="CQ249" s="601" t="str">
        <f t="shared" ca="1" si="100"/>
        <v/>
      </c>
      <c r="CR249" s="601" t="str">
        <f t="shared" ca="1" si="100"/>
        <v/>
      </c>
      <c r="CS249" s="601" t="str">
        <f t="shared" ca="1" si="100"/>
        <v/>
      </c>
      <c r="CT249" s="601" t="str">
        <f t="shared" ca="1" si="100"/>
        <v/>
      </c>
      <c r="CU249" s="601" t="str">
        <f t="shared" ca="1" si="100"/>
        <v/>
      </c>
      <c r="CV249" s="601" t="str">
        <f t="shared" ca="1" si="100"/>
        <v/>
      </c>
      <c r="CW249" s="601" t="str">
        <f t="shared" ca="1" si="100"/>
        <v/>
      </c>
      <c r="CX249" s="601" t="str">
        <f t="shared" ca="1" si="100"/>
        <v/>
      </c>
      <c r="CY249" s="601" t="str">
        <f t="shared" ca="1" si="100"/>
        <v/>
      </c>
      <c r="CZ249" s="601" t="str">
        <f t="shared" ca="1" si="100"/>
        <v/>
      </c>
      <c r="DA249" s="601" t="str">
        <f t="shared" ca="1" si="100"/>
        <v/>
      </c>
      <c r="IE249" s="603"/>
      <c r="IF249" s="603"/>
      <c r="IG249" s="603"/>
      <c r="IH249" s="603"/>
    </row>
    <row r="250" spans="1:242" s="569" customFormat="1" hidden="1">
      <c r="A250" s="569">
        <v>4</v>
      </c>
      <c r="B250" s="1052"/>
      <c r="C250" s="599" t="str">
        <f>D248-1&amp;"&amp;"&amp;D248</f>
        <v>2024&amp;2025</v>
      </c>
      <c r="D250" s="600" t="str">
        <f>""</f>
        <v/>
      </c>
      <c r="E250" s="734" t="str">
        <f t="array" aca="1" ref="E250" ca="1">IFERROR(INDEX($E249:$DA249,MATCH(0,COUNTIF($D250:D250,$E249:$DA249),0)),"")</f>
        <v/>
      </c>
      <c r="F250" s="601" t="str">
        <f t="array" aca="1" ref="F250" ca="1">IFERROR(INDEX($E249:$DA249,MATCH(0,COUNTIF($D250:E250,$E249:$DA249),0)),"")</f>
        <v/>
      </c>
      <c r="G250" s="601" t="str">
        <f t="array" aca="1" ref="G250" ca="1">IFERROR(INDEX($E249:$DA249,MATCH(0,COUNTIF($D250:F250,$E249:$DA249),0)),"")</f>
        <v/>
      </c>
      <c r="H250" s="601" t="str">
        <f t="array" aca="1" ref="H250" ca="1">IFERROR(INDEX($E249:$DA249,MATCH(0,COUNTIF($D250:G250,$E249:$DA249),0)),"")</f>
        <v/>
      </c>
      <c r="I250" s="601" t="str">
        <f t="array" aca="1" ref="I250" ca="1">IFERROR(INDEX($E249:$DA249,MATCH(0,COUNTIF($D250:H250,$E249:$DA249),0)),"")</f>
        <v/>
      </c>
      <c r="J250" s="601" t="str">
        <f t="array" aca="1" ref="J250" ca="1">IFERROR(INDEX($E249:$DA249,MATCH(0,COUNTIF($D250:I250,$E249:$DA249),0)),"")</f>
        <v/>
      </c>
      <c r="K250" s="601" t="str">
        <f t="array" aca="1" ref="K250" ca="1">IFERROR(INDEX($E249:$DA249,MATCH(0,COUNTIF($D250:J250,$E249:$DA249),0)),"")</f>
        <v/>
      </c>
      <c r="L250" s="601" t="str">
        <f t="array" aca="1" ref="L250" ca="1">IFERROR(INDEX($E249:$DA249,MATCH(0,COUNTIF($D250:K250,$E249:$DA249),0)),"")</f>
        <v/>
      </c>
      <c r="M250" s="601" t="str">
        <f t="array" aca="1" ref="M250" ca="1">IFERROR(INDEX($E249:$DA249,MATCH(0,COUNTIF($D250:L250,$E249:$DA249),0)),"")</f>
        <v/>
      </c>
      <c r="N250" s="601" t="str">
        <f t="array" aca="1" ref="N250" ca="1">IFERROR(INDEX($E249:$DA249,MATCH(0,COUNTIF($D250:M250,$E249:$DA249),0)),"")</f>
        <v/>
      </c>
      <c r="O250" s="601" t="str">
        <f t="array" aca="1" ref="O250" ca="1">IFERROR(INDEX($E249:$DA249,MATCH(0,COUNTIF($D250:N250,$E249:$DA249),0)),"")</f>
        <v/>
      </c>
      <c r="P250" s="601" t="str">
        <f t="array" aca="1" ref="P250" ca="1">IFERROR(INDEX($E249:$DA249,MATCH(0,COUNTIF($D250:O250,$E249:$DA249),0)),"")</f>
        <v/>
      </c>
      <c r="Q250" s="601" t="str">
        <f t="array" aca="1" ref="Q250" ca="1">IFERROR(INDEX($E249:$DA249,MATCH(0,COUNTIF($D250:P250,$E249:$DA249),0)),"")</f>
        <v/>
      </c>
      <c r="R250" s="601" t="str">
        <f t="array" aca="1" ref="R250" ca="1">IFERROR(INDEX($E249:$DA249,MATCH(0,COUNTIF($D250:Q250,$E249:$DA249),0)),"")</f>
        <v/>
      </c>
      <c r="S250" s="601" t="str">
        <f t="array" aca="1" ref="S250" ca="1">IFERROR(INDEX($E249:$DA249,MATCH(0,COUNTIF($D250:R250,$E249:$DA249),0)),"")</f>
        <v/>
      </c>
      <c r="T250" s="601" t="str">
        <f t="array" aca="1" ref="T250" ca="1">IFERROR(INDEX($E249:$DA249,MATCH(0,COUNTIF($D250:S250,$E249:$DA249),0)),"")</f>
        <v/>
      </c>
      <c r="U250" s="601" t="str">
        <f t="array" aca="1" ref="U250" ca="1">IFERROR(INDEX($E249:$DA249,MATCH(0,COUNTIF($D250:T250,$E249:$DA249),0)),"")</f>
        <v/>
      </c>
      <c r="V250" s="601" t="str">
        <f t="array" aca="1" ref="V250" ca="1">IFERROR(INDEX($E249:$DA249,MATCH(0,COUNTIF($D250:U250,$E249:$DA249),0)),"")</f>
        <v/>
      </c>
      <c r="W250" s="601" t="str">
        <f t="array" aca="1" ref="W250" ca="1">IFERROR(INDEX($E249:$DA249,MATCH(0,COUNTIF($D250:V250,$E249:$DA249),0)),"")</f>
        <v/>
      </c>
      <c r="X250" s="601" t="str">
        <f t="array" aca="1" ref="X250" ca="1">IFERROR(INDEX($E249:$DA249,MATCH(0,COUNTIF($D250:W250,$E249:$DA249),0)),"")</f>
        <v/>
      </c>
      <c r="Y250" s="601" t="str">
        <f t="array" aca="1" ref="Y250" ca="1">IFERROR(INDEX($E249:$DA249,MATCH(0,COUNTIF($D250:X250,$E249:$DA249),0)),"")</f>
        <v/>
      </c>
      <c r="Z250" s="601" t="str">
        <f t="array" aca="1" ref="Z250" ca="1">IFERROR(INDEX($E249:$DA249,MATCH(0,COUNTIF($D250:Y250,$E249:$DA249),0)),"")</f>
        <v/>
      </c>
      <c r="AA250" s="601" t="str">
        <f t="array" aca="1" ref="AA250" ca="1">IFERROR(INDEX($E249:$DA249,MATCH(0,COUNTIF($D250:Z250,$E249:$DA249),0)),"")</f>
        <v/>
      </c>
      <c r="AB250" s="601" t="str">
        <f t="array" aca="1" ref="AB250" ca="1">IFERROR(INDEX($E249:$DA249,MATCH(0,COUNTIF($D250:AA250,$E249:$DA249),0)),"")</f>
        <v/>
      </c>
      <c r="AC250" s="601" t="str">
        <f t="array" aca="1" ref="AC250" ca="1">IFERROR(INDEX($E249:$DA249,MATCH(0,COUNTIF($D250:AB250,$E249:$DA249),0)),"")</f>
        <v/>
      </c>
      <c r="AD250" s="601" t="str">
        <f t="array" aca="1" ref="AD250" ca="1">IFERROR(INDEX($E249:$DA249,MATCH(0,COUNTIF($D250:AC250,$E249:$DA249),0)),"")</f>
        <v/>
      </c>
      <c r="AE250" s="601" t="str">
        <f t="array" aca="1" ref="AE250" ca="1">IFERROR(INDEX($E249:$DA249,MATCH(0,COUNTIF($D250:AD250,$E249:$DA249),0)),"")</f>
        <v/>
      </c>
      <c r="AF250" s="601" t="str">
        <f t="array" aca="1" ref="AF250" ca="1">IFERROR(INDEX($E249:$DA249,MATCH(0,COUNTIF($D250:AE250,$E249:$DA249),0)),"")</f>
        <v/>
      </c>
      <c r="AG250" s="601" t="str">
        <f t="array" aca="1" ref="AG250" ca="1">IFERROR(INDEX($E249:$DA249,MATCH(0,COUNTIF($D250:AF250,$E249:$DA249),0)),"")</f>
        <v/>
      </c>
      <c r="AH250" s="601" t="str">
        <f t="array" aca="1" ref="AH250" ca="1">IFERROR(INDEX($E249:$DA249,MATCH(0,COUNTIF($D250:AG250,$E249:$DA249),0)),"")</f>
        <v/>
      </c>
      <c r="AI250" s="601" t="str">
        <f t="array" aca="1" ref="AI250" ca="1">IFERROR(INDEX($E249:$DA249,MATCH(0,COUNTIF($D250:AH250,$E249:$DA249),0)),"")</f>
        <v/>
      </c>
      <c r="AJ250" s="601" t="str">
        <f t="array" aca="1" ref="AJ250" ca="1">IFERROR(INDEX($E249:$DA249,MATCH(0,COUNTIF($D250:AI250,$E249:$DA249),0)),"")</f>
        <v/>
      </c>
      <c r="AK250" s="601" t="str">
        <f t="array" aca="1" ref="AK250" ca="1">IFERROR(INDEX($E249:$DA249,MATCH(0,COUNTIF($D250:AJ250,$E249:$DA249),0)),"")</f>
        <v/>
      </c>
      <c r="AL250" s="601" t="str">
        <f t="array" aca="1" ref="AL250" ca="1">IFERROR(INDEX($E249:$DA249,MATCH(0,COUNTIF($D250:AK250,$E249:$DA249),0)),"")</f>
        <v/>
      </c>
      <c r="AM250" s="601" t="str">
        <f t="array" aca="1" ref="AM250" ca="1">IFERROR(INDEX($E249:$DA249,MATCH(0,COUNTIF($D250:AL250,$E249:$DA249),0)),"")</f>
        <v/>
      </c>
      <c r="AN250" s="601" t="str">
        <f t="array" aca="1" ref="AN250" ca="1">IFERROR(INDEX($E249:$DA249,MATCH(0,COUNTIF($D250:AM250,$E249:$DA249),0)),"")</f>
        <v/>
      </c>
      <c r="AO250" s="601" t="str">
        <f t="array" aca="1" ref="AO250" ca="1">IFERROR(INDEX($E249:$DA249,MATCH(0,COUNTIF($D250:AN250,$E249:$DA249),0)),"")</f>
        <v/>
      </c>
      <c r="AP250" s="601" t="str">
        <f t="array" aca="1" ref="AP250" ca="1">IFERROR(INDEX($E249:$DA249,MATCH(0,COUNTIF($D250:AO250,$E249:$DA249),0)),"")</f>
        <v/>
      </c>
      <c r="AQ250" s="601" t="str">
        <f t="array" aca="1" ref="AQ250" ca="1">IFERROR(INDEX($E249:$DA249,MATCH(0,COUNTIF($D250:AP250,$E249:$DA249),0)),"")</f>
        <v/>
      </c>
      <c r="AR250" s="601" t="str">
        <f t="array" aca="1" ref="AR250" ca="1">IFERROR(INDEX($E249:$DA249,MATCH(0,COUNTIF($D250:AQ250,$E249:$DA249),0)),"")</f>
        <v/>
      </c>
      <c r="AS250" s="601" t="str">
        <f t="array" aca="1" ref="AS250" ca="1">IFERROR(INDEX($E249:$DA249,MATCH(0,COUNTIF($D250:AR250,$E249:$DA249),0)),"")</f>
        <v/>
      </c>
      <c r="AT250" s="601" t="str">
        <f t="array" aca="1" ref="AT250" ca="1">IFERROR(INDEX($E249:$DA249,MATCH(0,COUNTIF($D250:AS250,$E249:$DA249),0)),"")</f>
        <v/>
      </c>
      <c r="AU250" s="601" t="str">
        <f t="array" aca="1" ref="AU250" ca="1">IFERROR(INDEX($E249:$DA249,MATCH(0,COUNTIF($D250:AT250,$E249:$DA249),0)),"")</f>
        <v/>
      </c>
      <c r="AV250" s="601" t="str">
        <f t="array" aca="1" ref="AV250" ca="1">IFERROR(INDEX($E249:$DA249,MATCH(0,COUNTIF($D250:AU250,$E249:$DA249),0)),"")</f>
        <v/>
      </c>
      <c r="AW250" s="601" t="str">
        <f t="array" aca="1" ref="AW250" ca="1">IFERROR(INDEX($E249:$DA249,MATCH(0,COUNTIF($D250:AV250,$E249:$DA249),0)),"")</f>
        <v/>
      </c>
      <c r="AX250" s="601" t="str">
        <f t="array" aca="1" ref="AX250" ca="1">IFERROR(INDEX($E249:$DA249,MATCH(0,COUNTIF($D250:AW250,$E249:$DA249),0)),"")</f>
        <v/>
      </c>
      <c r="AY250" s="601" t="str">
        <f t="array" aca="1" ref="AY250" ca="1">IFERROR(INDEX($E249:$DA249,MATCH(0,COUNTIF($D250:AX250,$E249:$DA249),0)),"")</f>
        <v/>
      </c>
      <c r="AZ250" s="601" t="str">
        <f t="array" aca="1" ref="AZ250" ca="1">IFERROR(INDEX($E249:$DA249,MATCH(0,COUNTIF($D250:AY250,$E249:$DA249),0)),"")</f>
        <v/>
      </c>
      <c r="BA250" s="602" t="str">
        <f t="array" aca="1" ref="BA250" ca="1">IFERROR(INDEX($E249:$DA249,MATCH(0,COUNTIF($D250:AZ250,$E249:$DA249),0)),"")</f>
        <v/>
      </c>
      <c r="BB250" s="650" t="str">
        <f t="array" aca="1" ref="BB250" ca="1">IFERROR(INDEX($E249:$DA249,MATCH(0,COUNTIF($D250:BA250,$E249:$DA249),0)),"")</f>
        <v/>
      </c>
      <c r="BC250" s="604"/>
      <c r="BD250" s="604" t="str">
        <f>""</f>
        <v/>
      </c>
      <c r="BE250" s="604"/>
      <c r="BF250" s="604"/>
      <c r="BG250" s="604"/>
      <c r="BH250" s="604"/>
      <c r="BI250" s="604"/>
      <c r="BJ250" s="604"/>
      <c r="BK250" s="604"/>
      <c r="BL250" s="604"/>
      <c r="BM250" s="604"/>
      <c r="BN250" s="604"/>
      <c r="BO250" s="604"/>
      <c r="BP250" s="604"/>
      <c r="BQ250" s="604"/>
      <c r="BR250" s="604"/>
      <c r="BS250" s="604"/>
      <c r="BT250" s="604"/>
      <c r="BU250" s="604"/>
      <c r="BV250" s="604"/>
      <c r="BW250" s="604"/>
      <c r="IE250" s="603"/>
      <c r="IF250" s="603"/>
      <c r="IG250" s="603"/>
      <c r="IH250" s="603"/>
    </row>
    <row r="251" spans="1:242" s="569" customFormat="1" hidden="1">
      <c r="A251" s="569">
        <v>5</v>
      </c>
      <c r="B251" s="1052"/>
      <c r="C251" s="599" t="s">
        <v>674</v>
      </c>
      <c r="D251" s="600" t="str">
        <f>""</f>
        <v/>
      </c>
      <c r="E251" s="734" t="str">
        <f t="shared" ref="E251:AJ251" ca="1" si="101">IF(OFFSET(貼付け_2025実績,2,12)="■",BD249,IFERROR(INDEX($BD249:$DA249,MATCH(E250,$BD249:$DA249,0)),""))</f>
        <v/>
      </c>
      <c r="F251" s="601" t="str">
        <f t="shared" ca="1" si="101"/>
        <v/>
      </c>
      <c r="G251" s="601" t="str">
        <f t="shared" ca="1" si="101"/>
        <v/>
      </c>
      <c r="H251" s="601" t="str">
        <f t="shared" ca="1" si="101"/>
        <v/>
      </c>
      <c r="I251" s="601" t="str">
        <f t="shared" ca="1" si="101"/>
        <v/>
      </c>
      <c r="J251" s="601" t="str">
        <f t="shared" ca="1" si="101"/>
        <v/>
      </c>
      <c r="K251" s="601" t="str">
        <f t="shared" ca="1" si="101"/>
        <v/>
      </c>
      <c r="L251" s="601" t="str">
        <f t="shared" ca="1" si="101"/>
        <v/>
      </c>
      <c r="M251" s="601" t="str">
        <f t="shared" ca="1" si="101"/>
        <v/>
      </c>
      <c r="N251" s="601" t="str">
        <f t="shared" ca="1" si="101"/>
        <v/>
      </c>
      <c r="O251" s="601" t="str">
        <f ca="1">IF(OFFSET(貼付け_2025実績,2,12)="■",BN249,IFERROR(INDEX($BD249:$DA249,MATCH(O250,$BD249:$DA249,0)),""))</f>
        <v/>
      </c>
      <c r="P251" s="601" t="str">
        <f t="shared" ca="1" si="101"/>
        <v/>
      </c>
      <c r="Q251" s="601" t="str">
        <f t="shared" ca="1" si="101"/>
        <v/>
      </c>
      <c r="R251" s="601" t="str">
        <f t="shared" ca="1" si="101"/>
        <v/>
      </c>
      <c r="S251" s="601" t="str">
        <f t="shared" ca="1" si="101"/>
        <v/>
      </c>
      <c r="T251" s="601" t="str">
        <f t="shared" ca="1" si="101"/>
        <v/>
      </c>
      <c r="U251" s="601" t="str">
        <f t="shared" ca="1" si="101"/>
        <v/>
      </c>
      <c r="V251" s="601" t="str">
        <f t="shared" ca="1" si="101"/>
        <v/>
      </c>
      <c r="W251" s="601" t="str">
        <f t="shared" ca="1" si="101"/>
        <v/>
      </c>
      <c r="X251" s="601" t="str">
        <f t="shared" ca="1" si="101"/>
        <v/>
      </c>
      <c r="Y251" s="601" t="str">
        <f t="shared" ca="1" si="101"/>
        <v/>
      </c>
      <c r="Z251" s="601" t="str">
        <f t="shared" ca="1" si="101"/>
        <v/>
      </c>
      <c r="AA251" s="601" t="str">
        <f t="shared" ca="1" si="101"/>
        <v/>
      </c>
      <c r="AB251" s="601" t="str">
        <f t="shared" ca="1" si="101"/>
        <v/>
      </c>
      <c r="AC251" s="601" t="str">
        <f t="shared" ca="1" si="101"/>
        <v/>
      </c>
      <c r="AD251" s="601" t="str">
        <f t="shared" ca="1" si="101"/>
        <v/>
      </c>
      <c r="AE251" s="601" t="str">
        <f t="shared" ca="1" si="101"/>
        <v/>
      </c>
      <c r="AF251" s="601" t="str">
        <f t="shared" ca="1" si="101"/>
        <v/>
      </c>
      <c r="AG251" s="601" t="str">
        <f t="shared" ca="1" si="101"/>
        <v/>
      </c>
      <c r="AH251" s="601" t="str">
        <f t="shared" ca="1" si="101"/>
        <v/>
      </c>
      <c r="AI251" s="601" t="str">
        <f t="shared" ca="1" si="101"/>
        <v/>
      </c>
      <c r="AJ251" s="601" t="str">
        <f t="shared" ca="1" si="101"/>
        <v/>
      </c>
      <c r="AK251" s="601" t="str">
        <f t="shared" ref="AK251:BB251" ca="1" si="102">IF(OFFSET(貼付け_2025実績,2,12)="■",CJ249,IFERROR(INDEX($BD249:$DA249,MATCH(AK250,$BD249:$DA249,0)),""))</f>
        <v/>
      </c>
      <c r="AL251" s="601" t="str">
        <f t="shared" ca="1" si="102"/>
        <v/>
      </c>
      <c r="AM251" s="601" t="str">
        <f t="shared" ca="1" si="102"/>
        <v/>
      </c>
      <c r="AN251" s="601" t="str">
        <f t="shared" ca="1" si="102"/>
        <v/>
      </c>
      <c r="AO251" s="601" t="str">
        <f t="shared" ca="1" si="102"/>
        <v/>
      </c>
      <c r="AP251" s="601" t="str">
        <f t="shared" ca="1" si="102"/>
        <v/>
      </c>
      <c r="AQ251" s="601" t="str">
        <f t="shared" ca="1" si="102"/>
        <v/>
      </c>
      <c r="AR251" s="601" t="str">
        <f t="shared" ca="1" si="102"/>
        <v/>
      </c>
      <c r="AS251" s="601" t="str">
        <f t="shared" ca="1" si="102"/>
        <v/>
      </c>
      <c r="AT251" s="601" t="str">
        <f t="shared" ca="1" si="102"/>
        <v/>
      </c>
      <c r="AU251" s="601" t="str">
        <f t="shared" ca="1" si="102"/>
        <v/>
      </c>
      <c r="AV251" s="601" t="str">
        <f t="shared" ca="1" si="102"/>
        <v/>
      </c>
      <c r="AW251" s="601" t="str">
        <f t="shared" ca="1" si="102"/>
        <v/>
      </c>
      <c r="AX251" s="601" t="str">
        <f t="shared" ca="1" si="102"/>
        <v/>
      </c>
      <c r="AY251" s="601" t="str">
        <f t="shared" ca="1" si="102"/>
        <v/>
      </c>
      <c r="AZ251" s="601" t="str">
        <f t="shared" ca="1" si="102"/>
        <v/>
      </c>
      <c r="BA251" s="602" t="str">
        <f t="shared" ca="1" si="102"/>
        <v/>
      </c>
      <c r="BB251" s="650" t="str">
        <f t="shared" ca="1" si="102"/>
        <v/>
      </c>
      <c r="BD251" s="569" t="str">
        <f>""</f>
        <v/>
      </c>
      <c r="IE251" s="603"/>
      <c r="IF251" s="603"/>
      <c r="IG251" s="603"/>
      <c r="IH251" s="603"/>
    </row>
    <row r="252" spans="1:242" s="569" customFormat="1" hidden="1">
      <c r="A252" s="569">
        <v>6</v>
      </c>
      <c r="B252" s="1052"/>
      <c r="C252" s="605" t="s">
        <v>675</v>
      </c>
      <c r="D252" s="606">
        <v>2</v>
      </c>
      <c r="E252" s="735" t="str">
        <f t="shared" ref="E252:AJ252" ca="1" si="103">OFFSET(A1_名称2025,E$247+2,$D252)&amp;""</f>
        <v/>
      </c>
      <c r="F252" s="607" t="str">
        <f t="shared" ca="1" si="103"/>
        <v/>
      </c>
      <c r="G252" s="607" t="str">
        <f t="shared" ca="1" si="103"/>
        <v/>
      </c>
      <c r="H252" s="607" t="str">
        <f t="shared" ca="1" si="103"/>
        <v/>
      </c>
      <c r="I252" s="607" t="str">
        <f t="shared" ca="1" si="103"/>
        <v/>
      </c>
      <c r="J252" s="607" t="str">
        <f t="shared" ca="1" si="103"/>
        <v/>
      </c>
      <c r="K252" s="607" t="str">
        <f t="shared" ca="1" si="103"/>
        <v/>
      </c>
      <c r="L252" s="607" t="str">
        <f t="shared" ca="1" si="103"/>
        <v/>
      </c>
      <c r="M252" s="607" t="str">
        <f t="shared" ca="1" si="103"/>
        <v/>
      </c>
      <c r="N252" s="607" t="str">
        <f t="shared" ca="1" si="103"/>
        <v/>
      </c>
      <c r="O252" s="607" t="str">
        <f ca="1">OFFSET(A1_名称2025,O$247+2,$D252)&amp;""</f>
        <v/>
      </c>
      <c r="P252" s="607" t="str">
        <f t="shared" ca="1" si="103"/>
        <v/>
      </c>
      <c r="Q252" s="607" t="str">
        <f t="shared" ca="1" si="103"/>
        <v/>
      </c>
      <c r="R252" s="607" t="str">
        <f t="shared" ca="1" si="103"/>
        <v/>
      </c>
      <c r="S252" s="607" t="str">
        <f t="shared" ca="1" si="103"/>
        <v/>
      </c>
      <c r="T252" s="607" t="str">
        <f t="shared" ca="1" si="103"/>
        <v/>
      </c>
      <c r="U252" s="607" t="str">
        <f t="shared" ca="1" si="103"/>
        <v/>
      </c>
      <c r="V252" s="607" t="str">
        <f t="shared" ca="1" si="103"/>
        <v/>
      </c>
      <c r="W252" s="607" t="str">
        <f t="shared" ca="1" si="103"/>
        <v/>
      </c>
      <c r="X252" s="607" t="str">
        <f t="shared" ca="1" si="103"/>
        <v/>
      </c>
      <c r="Y252" s="607" t="str">
        <f t="shared" ca="1" si="103"/>
        <v/>
      </c>
      <c r="Z252" s="607" t="str">
        <f t="shared" ca="1" si="103"/>
        <v/>
      </c>
      <c r="AA252" s="607" t="str">
        <f t="shared" ca="1" si="103"/>
        <v/>
      </c>
      <c r="AB252" s="607" t="str">
        <f t="shared" ca="1" si="103"/>
        <v/>
      </c>
      <c r="AC252" s="607" t="str">
        <f t="shared" ca="1" si="103"/>
        <v/>
      </c>
      <c r="AD252" s="607" t="str">
        <f t="shared" ca="1" si="103"/>
        <v/>
      </c>
      <c r="AE252" s="607" t="str">
        <f t="shared" ca="1" si="103"/>
        <v/>
      </c>
      <c r="AF252" s="607" t="str">
        <f t="shared" ca="1" si="103"/>
        <v/>
      </c>
      <c r="AG252" s="607" t="str">
        <f t="shared" ca="1" si="103"/>
        <v/>
      </c>
      <c r="AH252" s="607" t="str">
        <f t="shared" ca="1" si="103"/>
        <v/>
      </c>
      <c r="AI252" s="607" t="str">
        <f t="shared" ca="1" si="103"/>
        <v/>
      </c>
      <c r="AJ252" s="607" t="str">
        <f t="shared" ca="1" si="103"/>
        <v/>
      </c>
      <c r="AK252" s="607" t="str">
        <f t="shared" ref="AK252:BB252" ca="1" si="104">OFFSET(A1_名称2025,AK$247+2,$D252)&amp;""</f>
        <v/>
      </c>
      <c r="AL252" s="607" t="str">
        <f t="shared" ca="1" si="104"/>
        <v/>
      </c>
      <c r="AM252" s="607" t="str">
        <f t="shared" ca="1" si="104"/>
        <v/>
      </c>
      <c r="AN252" s="607" t="str">
        <f t="shared" ca="1" si="104"/>
        <v/>
      </c>
      <c r="AO252" s="607" t="str">
        <f t="shared" ca="1" si="104"/>
        <v/>
      </c>
      <c r="AP252" s="607" t="str">
        <f t="shared" ca="1" si="104"/>
        <v/>
      </c>
      <c r="AQ252" s="607" t="str">
        <f t="shared" ca="1" si="104"/>
        <v/>
      </c>
      <c r="AR252" s="607" t="str">
        <f t="shared" ca="1" si="104"/>
        <v/>
      </c>
      <c r="AS252" s="607" t="str">
        <f t="shared" ca="1" si="104"/>
        <v/>
      </c>
      <c r="AT252" s="607" t="str">
        <f t="shared" ca="1" si="104"/>
        <v/>
      </c>
      <c r="AU252" s="607" t="str">
        <f t="shared" ca="1" si="104"/>
        <v/>
      </c>
      <c r="AV252" s="607" t="str">
        <f t="shared" ca="1" si="104"/>
        <v/>
      </c>
      <c r="AW252" s="607" t="str">
        <f t="shared" ca="1" si="104"/>
        <v/>
      </c>
      <c r="AX252" s="607" t="str">
        <f t="shared" ca="1" si="104"/>
        <v/>
      </c>
      <c r="AY252" s="607" t="str">
        <f t="shared" ca="1" si="104"/>
        <v/>
      </c>
      <c r="AZ252" s="607" t="str">
        <f t="shared" ca="1" si="104"/>
        <v/>
      </c>
      <c r="BA252" s="608" t="str">
        <f t="shared" ca="1" si="104"/>
        <v/>
      </c>
      <c r="BB252" s="651" t="str">
        <f t="shared" ca="1" si="104"/>
        <v/>
      </c>
      <c r="IE252" s="603"/>
      <c r="IF252" s="603"/>
      <c r="IG252" s="603"/>
      <c r="IH252" s="603"/>
    </row>
    <row r="253" spans="1:242" s="164" customFormat="1" ht="19.8" hidden="1">
      <c r="A253" s="569">
        <v>7</v>
      </c>
      <c r="B253" s="1052"/>
      <c r="C253" s="599" t="s">
        <v>676</v>
      </c>
      <c r="D253" s="600"/>
      <c r="E253" s="734" t="str">
        <f ca="1">IF(E252="","",IFERROR(INDEX($E248:$BB248,MATCH(E252,$BD249:$DA249,0)),""))</f>
        <v/>
      </c>
      <c r="F253" s="601" t="str">
        <f t="shared" ref="F253:BB253" ca="1" si="105">IF(F252="","",IFERROR(INDEX($E248:$BB248,MATCH(F252,$BD249:$DA249,0)),""))</f>
        <v/>
      </c>
      <c r="G253" s="601" t="str">
        <f t="shared" ca="1" si="105"/>
        <v/>
      </c>
      <c r="H253" s="601" t="str">
        <f t="shared" ca="1" si="105"/>
        <v/>
      </c>
      <c r="I253" s="601" t="str">
        <f t="shared" ca="1" si="105"/>
        <v/>
      </c>
      <c r="J253" s="601" t="str">
        <f t="shared" ca="1" si="105"/>
        <v/>
      </c>
      <c r="K253" s="601" t="str">
        <f t="shared" ca="1" si="105"/>
        <v/>
      </c>
      <c r="L253" s="601" t="str">
        <f t="shared" ca="1" si="105"/>
        <v/>
      </c>
      <c r="M253" s="601" t="str">
        <f t="shared" ca="1" si="105"/>
        <v/>
      </c>
      <c r="N253" s="601" t="str">
        <f t="shared" ca="1" si="105"/>
        <v/>
      </c>
      <c r="O253" s="601" t="str">
        <f ca="1">IF(O252="","",IFERROR(INDEX($E248:$BB248,MATCH(O252,$BD249:$DA249,0)),""))</f>
        <v/>
      </c>
      <c r="P253" s="601" t="str">
        <f t="shared" ca="1" si="105"/>
        <v/>
      </c>
      <c r="Q253" s="601" t="str">
        <f t="shared" ca="1" si="105"/>
        <v/>
      </c>
      <c r="R253" s="601" t="str">
        <f t="shared" ca="1" si="105"/>
        <v/>
      </c>
      <c r="S253" s="601" t="str">
        <f t="shared" ca="1" si="105"/>
        <v/>
      </c>
      <c r="T253" s="601" t="str">
        <f t="shared" ca="1" si="105"/>
        <v/>
      </c>
      <c r="U253" s="601" t="str">
        <f t="shared" ca="1" si="105"/>
        <v/>
      </c>
      <c r="V253" s="601" t="str">
        <f t="shared" ca="1" si="105"/>
        <v/>
      </c>
      <c r="W253" s="601" t="str">
        <f t="shared" ca="1" si="105"/>
        <v/>
      </c>
      <c r="X253" s="601" t="str">
        <f t="shared" ca="1" si="105"/>
        <v/>
      </c>
      <c r="Y253" s="601" t="str">
        <f t="shared" ca="1" si="105"/>
        <v/>
      </c>
      <c r="Z253" s="601" t="str">
        <f t="shared" ca="1" si="105"/>
        <v/>
      </c>
      <c r="AA253" s="601" t="str">
        <f t="shared" ca="1" si="105"/>
        <v/>
      </c>
      <c r="AB253" s="601" t="str">
        <f t="shared" ca="1" si="105"/>
        <v/>
      </c>
      <c r="AC253" s="601" t="str">
        <f t="shared" ca="1" si="105"/>
        <v/>
      </c>
      <c r="AD253" s="601" t="str">
        <f t="shared" ca="1" si="105"/>
        <v/>
      </c>
      <c r="AE253" s="601" t="str">
        <f t="shared" ca="1" si="105"/>
        <v/>
      </c>
      <c r="AF253" s="601" t="str">
        <f t="shared" ca="1" si="105"/>
        <v/>
      </c>
      <c r="AG253" s="601" t="str">
        <f t="shared" ca="1" si="105"/>
        <v/>
      </c>
      <c r="AH253" s="601" t="str">
        <f t="shared" ca="1" si="105"/>
        <v/>
      </c>
      <c r="AI253" s="601" t="str">
        <f t="shared" ca="1" si="105"/>
        <v/>
      </c>
      <c r="AJ253" s="601" t="str">
        <f t="shared" ca="1" si="105"/>
        <v/>
      </c>
      <c r="AK253" s="601" t="str">
        <f t="shared" ca="1" si="105"/>
        <v/>
      </c>
      <c r="AL253" s="601" t="str">
        <f t="shared" ca="1" si="105"/>
        <v/>
      </c>
      <c r="AM253" s="601" t="str">
        <f t="shared" ca="1" si="105"/>
        <v/>
      </c>
      <c r="AN253" s="601" t="str">
        <f t="shared" ca="1" si="105"/>
        <v/>
      </c>
      <c r="AO253" s="601" t="str">
        <f t="shared" ca="1" si="105"/>
        <v/>
      </c>
      <c r="AP253" s="601" t="str">
        <f t="shared" ca="1" si="105"/>
        <v/>
      </c>
      <c r="AQ253" s="601" t="str">
        <f t="shared" ca="1" si="105"/>
        <v/>
      </c>
      <c r="AR253" s="601" t="str">
        <f t="shared" ca="1" si="105"/>
        <v/>
      </c>
      <c r="AS253" s="601" t="str">
        <f t="shared" ca="1" si="105"/>
        <v/>
      </c>
      <c r="AT253" s="601" t="str">
        <f t="shared" ca="1" si="105"/>
        <v/>
      </c>
      <c r="AU253" s="601" t="str">
        <f t="shared" ca="1" si="105"/>
        <v/>
      </c>
      <c r="AV253" s="601" t="str">
        <f t="shared" ca="1" si="105"/>
        <v/>
      </c>
      <c r="AW253" s="601" t="str">
        <f t="shared" ca="1" si="105"/>
        <v/>
      </c>
      <c r="AX253" s="601" t="str">
        <f t="shared" ca="1" si="105"/>
        <v/>
      </c>
      <c r="AY253" s="601" t="str">
        <f t="shared" ca="1" si="105"/>
        <v/>
      </c>
      <c r="AZ253" s="601" t="str">
        <f t="shared" ca="1" si="105"/>
        <v/>
      </c>
      <c r="BA253" s="602" t="str">
        <f t="shared" ca="1" si="105"/>
        <v/>
      </c>
      <c r="BB253" s="650" t="str">
        <f t="shared" ca="1" si="105"/>
        <v/>
      </c>
      <c r="BC253" s="569"/>
      <c r="BD253" s="569"/>
      <c r="BE253" s="569"/>
      <c r="BF253" s="569"/>
      <c r="BG253" s="569"/>
      <c r="BH253" s="569"/>
      <c r="BI253" s="569"/>
      <c r="BJ253" s="569"/>
      <c r="BK253" s="569"/>
      <c r="BL253" s="569"/>
      <c r="BM253" s="569"/>
      <c r="BN253" s="569"/>
      <c r="BO253" s="569"/>
      <c r="BP253" s="569"/>
      <c r="BQ253" s="569"/>
      <c r="BR253" s="569"/>
      <c r="BS253" s="569"/>
      <c r="BT253" s="569"/>
      <c r="BU253" s="569"/>
      <c r="BV253" s="569"/>
      <c r="BW253" s="569"/>
      <c r="BX253" s="569"/>
      <c r="BY253" s="569"/>
      <c r="BZ253" s="569"/>
      <c r="CA253" s="569"/>
      <c r="CB253" s="569"/>
      <c r="CC253" s="569"/>
      <c r="CD253" s="569"/>
      <c r="CE253" s="569"/>
      <c r="CF253" s="569"/>
      <c r="CG253" s="569"/>
      <c r="CH253" s="569"/>
      <c r="CI253" s="569"/>
      <c r="CJ253" s="569"/>
      <c r="CK253" s="569"/>
      <c r="CL253" s="569"/>
      <c r="CM253" s="569"/>
      <c r="CN253" s="569"/>
      <c r="CO253" s="569"/>
      <c r="CP253" s="569"/>
      <c r="CQ253" s="569"/>
      <c r="CR253" s="569"/>
      <c r="CS253" s="569"/>
      <c r="CT253" s="569"/>
      <c r="CU253" s="569"/>
      <c r="CV253" s="569"/>
      <c r="CW253" s="569"/>
      <c r="CX253" s="569"/>
      <c r="CY253" s="569"/>
      <c r="CZ253" s="569"/>
      <c r="DA253" s="569"/>
      <c r="DB253" s="569"/>
      <c r="DC253" s="569"/>
      <c r="DD253" s="569"/>
      <c r="DE253" s="569"/>
      <c r="DF253" s="569"/>
      <c r="DG253" s="569"/>
      <c r="DH253" s="569"/>
      <c r="DI253" s="569"/>
      <c r="DJ253" s="569"/>
      <c r="DK253" s="569"/>
      <c r="DL253" s="569"/>
      <c r="DM253" s="569"/>
      <c r="DN253" s="569"/>
      <c r="DO253" s="569"/>
      <c r="DP253" s="569"/>
      <c r="DQ253" s="569"/>
      <c r="DR253" s="569"/>
      <c r="DS253" s="569"/>
      <c r="DT253" s="569"/>
      <c r="DU253" s="569"/>
      <c r="DV253" s="569"/>
      <c r="DW253" s="569"/>
      <c r="DX253" s="569"/>
      <c r="DY253" s="569"/>
      <c r="DZ253" s="569"/>
      <c r="EA253" s="569"/>
      <c r="EB253" s="569"/>
      <c r="EC253" s="569"/>
      <c r="ED253" s="569"/>
      <c r="EE253" s="569"/>
      <c r="EF253" s="569"/>
      <c r="EG253" s="569"/>
      <c r="EH253" s="569"/>
      <c r="EI253" s="569"/>
      <c r="EJ253" s="569"/>
      <c r="EK253" s="569"/>
      <c r="EL253" s="569"/>
      <c r="EM253" s="569"/>
      <c r="EN253" s="569"/>
      <c r="EO253" s="569"/>
      <c r="EP253" s="569"/>
      <c r="EQ253" s="569"/>
      <c r="ER253" s="569"/>
      <c r="ES253" s="569"/>
      <c r="ET253" s="569"/>
      <c r="EU253" s="569"/>
      <c r="EV253" s="569"/>
      <c r="EW253" s="569"/>
      <c r="EX253" s="569"/>
      <c r="EY253" s="569"/>
      <c r="EZ253" s="569"/>
      <c r="FA253" s="569"/>
      <c r="FB253" s="569"/>
      <c r="FC253" s="569"/>
      <c r="FD253" s="569"/>
      <c r="FE253" s="569"/>
      <c r="FF253" s="569"/>
      <c r="FG253" s="569"/>
      <c r="FH253" s="569"/>
      <c r="FI253" s="569"/>
      <c r="FJ253" s="569"/>
      <c r="FK253" s="569"/>
      <c r="FL253" s="569"/>
      <c r="FM253" s="569"/>
      <c r="FN253" s="569"/>
      <c r="FO253" s="569"/>
      <c r="FP253" s="569"/>
      <c r="FQ253" s="569"/>
      <c r="FR253" s="569"/>
      <c r="FS253" s="569"/>
      <c r="FT253" s="569"/>
      <c r="FU253" s="569"/>
      <c r="FV253" s="569"/>
      <c r="FW253" s="569"/>
      <c r="FX253" s="569"/>
      <c r="FY253" s="569"/>
      <c r="FZ253" s="569"/>
      <c r="GA253" s="569"/>
      <c r="GB253" s="569"/>
      <c r="GC253" s="569"/>
      <c r="GD253" s="569"/>
      <c r="GE253" s="569"/>
      <c r="GF253" s="569"/>
      <c r="GG253" s="569"/>
      <c r="GH253" s="569"/>
      <c r="GI253" s="569"/>
      <c r="GJ253" s="569"/>
      <c r="GK253" s="569"/>
      <c r="GL253" s="569"/>
      <c r="GM253" s="569"/>
      <c r="GN253" s="569"/>
      <c r="GO253" s="569"/>
      <c r="GP253" s="569"/>
      <c r="GQ253" s="569"/>
      <c r="GR253" s="569"/>
      <c r="GS253" s="569"/>
      <c r="GT253" s="569"/>
      <c r="GU253" s="569"/>
      <c r="GV253" s="569"/>
      <c r="GW253" s="569"/>
      <c r="GX253" s="569"/>
      <c r="GY253" s="569"/>
      <c r="GZ253" s="569"/>
      <c r="HA253" s="569"/>
      <c r="HB253" s="569"/>
      <c r="HC253" s="569"/>
      <c r="HD253" s="569"/>
      <c r="HE253" s="569"/>
      <c r="HF253" s="569"/>
      <c r="HG253" s="569"/>
      <c r="HH253" s="569"/>
      <c r="HI253" s="569"/>
      <c r="HJ253" s="569"/>
      <c r="HK253" s="569"/>
      <c r="IE253" s="579"/>
      <c r="IF253" s="579"/>
      <c r="IG253" s="579"/>
      <c r="IH253" s="579"/>
    </row>
    <row r="254" spans="1:242" s="164" customFormat="1" ht="20.100000000000001" hidden="1" customHeight="1">
      <c r="A254" s="569">
        <v>8</v>
      </c>
      <c r="B254" s="1052"/>
      <c r="C254" s="609" t="s">
        <v>677</v>
      </c>
      <c r="D254" s="610">
        <v>6</v>
      </c>
      <c r="E254" s="736" t="str">
        <f t="shared" ref="E254:AJ254" ca="1" si="106">IFERROR(OFFSET(貼付け_2025実績,$D254,E253+1)&amp;"","")</f>
        <v/>
      </c>
      <c r="F254" s="611" t="str">
        <f t="shared" ca="1" si="106"/>
        <v/>
      </c>
      <c r="G254" s="611" t="str">
        <f t="shared" ca="1" si="106"/>
        <v/>
      </c>
      <c r="H254" s="611" t="str">
        <f t="shared" ca="1" si="106"/>
        <v/>
      </c>
      <c r="I254" s="611" t="str">
        <f t="shared" ca="1" si="106"/>
        <v/>
      </c>
      <c r="J254" s="611" t="str">
        <f t="shared" ca="1" si="106"/>
        <v/>
      </c>
      <c r="K254" s="611" t="str">
        <f t="shared" ca="1" si="106"/>
        <v/>
      </c>
      <c r="L254" s="611" t="str">
        <f t="shared" ca="1" si="106"/>
        <v/>
      </c>
      <c r="M254" s="611" t="str">
        <f t="shared" ca="1" si="106"/>
        <v/>
      </c>
      <c r="N254" s="611" t="str">
        <f t="shared" ca="1" si="106"/>
        <v/>
      </c>
      <c r="O254" s="611" t="str">
        <f ca="1">IFERROR(OFFSET(貼付け_2025実績,$D254,O253+1)&amp;"","")</f>
        <v/>
      </c>
      <c r="P254" s="611" t="str">
        <f t="shared" ca="1" si="106"/>
        <v/>
      </c>
      <c r="Q254" s="611" t="str">
        <f t="shared" ca="1" si="106"/>
        <v/>
      </c>
      <c r="R254" s="611" t="str">
        <f t="shared" ca="1" si="106"/>
        <v/>
      </c>
      <c r="S254" s="611" t="str">
        <f t="shared" ca="1" si="106"/>
        <v/>
      </c>
      <c r="T254" s="611" t="str">
        <f t="shared" ca="1" si="106"/>
        <v/>
      </c>
      <c r="U254" s="611" t="str">
        <f t="shared" ca="1" si="106"/>
        <v/>
      </c>
      <c r="V254" s="611" t="str">
        <f t="shared" ca="1" si="106"/>
        <v/>
      </c>
      <c r="W254" s="611" t="str">
        <f t="shared" ca="1" si="106"/>
        <v/>
      </c>
      <c r="X254" s="611" t="str">
        <f t="shared" ca="1" si="106"/>
        <v/>
      </c>
      <c r="Y254" s="611" t="str">
        <f t="shared" ca="1" si="106"/>
        <v/>
      </c>
      <c r="Z254" s="611" t="str">
        <f t="shared" ca="1" si="106"/>
        <v/>
      </c>
      <c r="AA254" s="611" t="str">
        <f t="shared" ca="1" si="106"/>
        <v/>
      </c>
      <c r="AB254" s="611" t="str">
        <f t="shared" ca="1" si="106"/>
        <v/>
      </c>
      <c r="AC254" s="611" t="str">
        <f t="shared" ca="1" si="106"/>
        <v/>
      </c>
      <c r="AD254" s="611" t="str">
        <f t="shared" ca="1" si="106"/>
        <v/>
      </c>
      <c r="AE254" s="611" t="str">
        <f t="shared" ca="1" si="106"/>
        <v/>
      </c>
      <c r="AF254" s="611" t="str">
        <f t="shared" ca="1" si="106"/>
        <v/>
      </c>
      <c r="AG254" s="611" t="str">
        <f t="shared" ca="1" si="106"/>
        <v/>
      </c>
      <c r="AH254" s="611" t="str">
        <f t="shared" ca="1" si="106"/>
        <v/>
      </c>
      <c r="AI254" s="611" t="str">
        <f t="shared" ca="1" si="106"/>
        <v/>
      </c>
      <c r="AJ254" s="611" t="str">
        <f t="shared" ca="1" si="106"/>
        <v/>
      </c>
      <c r="AK254" s="611" t="str">
        <f t="shared" ref="AK254:BB254" ca="1" si="107">IFERROR(OFFSET(貼付け_2025実績,$D254,AK253+1)&amp;"","")</f>
        <v/>
      </c>
      <c r="AL254" s="611" t="str">
        <f t="shared" ca="1" si="107"/>
        <v/>
      </c>
      <c r="AM254" s="611" t="str">
        <f t="shared" ca="1" si="107"/>
        <v/>
      </c>
      <c r="AN254" s="611" t="str">
        <f t="shared" ca="1" si="107"/>
        <v/>
      </c>
      <c r="AO254" s="611" t="str">
        <f t="shared" ca="1" si="107"/>
        <v/>
      </c>
      <c r="AP254" s="611" t="str">
        <f t="shared" ca="1" si="107"/>
        <v/>
      </c>
      <c r="AQ254" s="611" t="str">
        <f t="shared" ca="1" si="107"/>
        <v/>
      </c>
      <c r="AR254" s="611" t="str">
        <f t="shared" ca="1" si="107"/>
        <v/>
      </c>
      <c r="AS254" s="611" t="str">
        <f t="shared" ca="1" si="107"/>
        <v/>
      </c>
      <c r="AT254" s="611" t="str">
        <f t="shared" ca="1" si="107"/>
        <v/>
      </c>
      <c r="AU254" s="611" t="str">
        <f t="shared" ca="1" si="107"/>
        <v/>
      </c>
      <c r="AV254" s="611" t="str">
        <f t="shared" ca="1" si="107"/>
        <v/>
      </c>
      <c r="AW254" s="611" t="str">
        <f t="shared" ca="1" si="107"/>
        <v/>
      </c>
      <c r="AX254" s="611" t="str">
        <f t="shared" ca="1" si="107"/>
        <v/>
      </c>
      <c r="AY254" s="611" t="str">
        <f t="shared" ca="1" si="107"/>
        <v/>
      </c>
      <c r="AZ254" s="611" t="str">
        <f t="shared" ca="1" si="107"/>
        <v/>
      </c>
      <c r="BA254" s="612" t="str">
        <f t="shared" ca="1" si="107"/>
        <v/>
      </c>
      <c r="BB254" s="652" t="str">
        <f t="shared" ca="1" si="107"/>
        <v/>
      </c>
      <c r="BC254" s="613"/>
      <c r="IE254" s="579"/>
      <c r="IF254" s="579"/>
      <c r="IG254" s="579"/>
      <c r="IH254" s="579"/>
    </row>
    <row r="255" spans="1:242" s="164" customFormat="1" ht="20.100000000000001" hidden="1" customHeight="1">
      <c r="A255" s="569">
        <v>9</v>
      </c>
      <c r="B255" s="1052"/>
      <c r="C255" s="614" t="s">
        <v>678</v>
      </c>
      <c r="D255" s="615">
        <v>99</v>
      </c>
      <c r="E255" s="737" t="str">
        <f t="shared" ref="E255:AJ255" ca="1" si="108">IFERROR(OFFSET(貼付け_2025実績,$D255,E253),"")&amp;""</f>
        <v/>
      </c>
      <c r="F255" s="616" t="str">
        <f t="shared" ca="1" si="108"/>
        <v/>
      </c>
      <c r="G255" s="616" t="str">
        <f t="shared" ca="1" si="108"/>
        <v/>
      </c>
      <c r="H255" s="616" t="str">
        <f t="shared" ca="1" si="108"/>
        <v/>
      </c>
      <c r="I255" s="616" t="str">
        <f t="shared" ca="1" si="108"/>
        <v/>
      </c>
      <c r="J255" s="616" t="str">
        <f t="shared" ca="1" si="108"/>
        <v/>
      </c>
      <c r="K255" s="616" t="str">
        <f t="shared" ca="1" si="108"/>
        <v/>
      </c>
      <c r="L255" s="616" t="str">
        <f t="shared" ca="1" si="108"/>
        <v/>
      </c>
      <c r="M255" s="616" t="str">
        <f t="shared" ca="1" si="108"/>
        <v/>
      </c>
      <c r="N255" s="616" t="str">
        <f t="shared" ca="1" si="108"/>
        <v/>
      </c>
      <c r="O255" s="616" t="str">
        <f ca="1">IFERROR(OFFSET(貼付け_2025実績,$D255,O253),"")&amp;""</f>
        <v/>
      </c>
      <c r="P255" s="616" t="str">
        <f t="shared" ca="1" si="108"/>
        <v/>
      </c>
      <c r="Q255" s="616" t="str">
        <f t="shared" ca="1" si="108"/>
        <v/>
      </c>
      <c r="R255" s="616" t="str">
        <f t="shared" ca="1" si="108"/>
        <v/>
      </c>
      <c r="S255" s="616" t="str">
        <f t="shared" ca="1" si="108"/>
        <v/>
      </c>
      <c r="T255" s="616" t="str">
        <f t="shared" ca="1" si="108"/>
        <v/>
      </c>
      <c r="U255" s="616" t="str">
        <f t="shared" ca="1" si="108"/>
        <v/>
      </c>
      <c r="V255" s="616" t="str">
        <f t="shared" ca="1" si="108"/>
        <v/>
      </c>
      <c r="W255" s="616" t="str">
        <f t="shared" ca="1" si="108"/>
        <v/>
      </c>
      <c r="X255" s="616" t="str">
        <f t="shared" ca="1" si="108"/>
        <v/>
      </c>
      <c r="Y255" s="616" t="str">
        <f t="shared" ca="1" si="108"/>
        <v/>
      </c>
      <c r="Z255" s="616" t="str">
        <f t="shared" ca="1" si="108"/>
        <v/>
      </c>
      <c r="AA255" s="616" t="str">
        <f t="shared" ca="1" si="108"/>
        <v/>
      </c>
      <c r="AB255" s="616" t="str">
        <f t="shared" ca="1" si="108"/>
        <v/>
      </c>
      <c r="AC255" s="616" t="str">
        <f t="shared" ca="1" si="108"/>
        <v/>
      </c>
      <c r="AD255" s="616" t="str">
        <f t="shared" ca="1" si="108"/>
        <v/>
      </c>
      <c r="AE255" s="616" t="str">
        <f t="shared" ca="1" si="108"/>
        <v/>
      </c>
      <c r="AF255" s="616" t="str">
        <f t="shared" ca="1" si="108"/>
        <v/>
      </c>
      <c r="AG255" s="616" t="str">
        <f t="shared" ca="1" si="108"/>
        <v/>
      </c>
      <c r="AH255" s="616" t="str">
        <f t="shared" ca="1" si="108"/>
        <v/>
      </c>
      <c r="AI255" s="616" t="str">
        <f t="shared" ca="1" si="108"/>
        <v/>
      </c>
      <c r="AJ255" s="616" t="str">
        <f t="shared" ca="1" si="108"/>
        <v/>
      </c>
      <c r="AK255" s="616" t="str">
        <f t="shared" ref="AK255:BB255" ca="1" si="109">IFERROR(OFFSET(貼付け_2025実績,$D255,AK253),"")&amp;""</f>
        <v/>
      </c>
      <c r="AL255" s="616" t="str">
        <f t="shared" ca="1" si="109"/>
        <v/>
      </c>
      <c r="AM255" s="616" t="str">
        <f t="shared" ca="1" si="109"/>
        <v/>
      </c>
      <c r="AN255" s="616" t="str">
        <f t="shared" ca="1" si="109"/>
        <v/>
      </c>
      <c r="AO255" s="616" t="str">
        <f t="shared" ca="1" si="109"/>
        <v/>
      </c>
      <c r="AP255" s="616" t="str">
        <f t="shared" ca="1" si="109"/>
        <v/>
      </c>
      <c r="AQ255" s="616" t="str">
        <f t="shared" ca="1" si="109"/>
        <v/>
      </c>
      <c r="AR255" s="616" t="str">
        <f t="shared" ca="1" si="109"/>
        <v/>
      </c>
      <c r="AS255" s="616" t="str">
        <f t="shared" ca="1" si="109"/>
        <v/>
      </c>
      <c r="AT255" s="616" t="str">
        <f t="shared" ca="1" si="109"/>
        <v/>
      </c>
      <c r="AU255" s="616" t="str">
        <f t="shared" ca="1" si="109"/>
        <v/>
      </c>
      <c r="AV255" s="616" t="str">
        <f t="shared" ca="1" si="109"/>
        <v/>
      </c>
      <c r="AW255" s="616" t="str">
        <f t="shared" ca="1" si="109"/>
        <v/>
      </c>
      <c r="AX255" s="616" t="str">
        <f t="shared" ca="1" si="109"/>
        <v/>
      </c>
      <c r="AY255" s="616" t="str">
        <f t="shared" ca="1" si="109"/>
        <v/>
      </c>
      <c r="AZ255" s="616" t="str">
        <f t="shared" ca="1" si="109"/>
        <v/>
      </c>
      <c r="BA255" s="616" t="str">
        <f t="shared" ca="1" si="109"/>
        <v/>
      </c>
      <c r="BB255" s="653" t="str">
        <f t="shared" ca="1" si="109"/>
        <v/>
      </c>
      <c r="IE255" s="579"/>
      <c r="IF255" s="579"/>
      <c r="IG255" s="579"/>
      <c r="IH255" s="579"/>
    </row>
    <row r="256" spans="1:242" s="164" customFormat="1" ht="20.100000000000001" hidden="1" customHeight="1">
      <c r="A256" s="569">
        <v>10</v>
      </c>
      <c r="B256" s="1052"/>
      <c r="C256" s="614" t="s">
        <v>679</v>
      </c>
      <c r="D256" s="615">
        <v>6</v>
      </c>
      <c r="E256" s="737" t="str">
        <f t="shared" ref="E256:AJ256" ca="1" si="110">IFERROR(OFFSET(A1_集計2025,$D256,E253),"")</f>
        <v/>
      </c>
      <c r="F256" s="616" t="str">
        <f t="shared" ca="1" si="110"/>
        <v/>
      </c>
      <c r="G256" s="616" t="str">
        <f t="shared" ca="1" si="110"/>
        <v/>
      </c>
      <c r="H256" s="616" t="str">
        <f t="shared" ca="1" si="110"/>
        <v/>
      </c>
      <c r="I256" s="616" t="str">
        <f t="shared" ca="1" si="110"/>
        <v/>
      </c>
      <c r="J256" s="616" t="str">
        <f t="shared" ca="1" si="110"/>
        <v/>
      </c>
      <c r="K256" s="616" t="str">
        <f t="shared" ca="1" si="110"/>
        <v/>
      </c>
      <c r="L256" s="616" t="str">
        <f t="shared" ca="1" si="110"/>
        <v/>
      </c>
      <c r="M256" s="616" t="str">
        <f t="shared" ca="1" si="110"/>
        <v/>
      </c>
      <c r="N256" s="616" t="str">
        <f t="shared" ca="1" si="110"/>
        <v/>
      </c>
      <c r="O256" s="616" t="str">
        <f ca="1">IFERROR(OFFSET(A1_集計2025,$D256,O253),"")</f>
        <v/>
      </c>
      <c r="P256" s="616" t="str">
        <f t="shared" ca="1" si="110"/>
        <v/>
      </c>
      <c r="Q256" s="616" t="str">
        <f t="shared" ca="1" si="110"/>
        <v/>
      </c>
      <c r="R256" s="616" t="str">
        <f t="shared" ca="1" si="110"/>
        <v/>
      </c>
      <c r="S256" s="616" t="str">
        <f t="shared" ca="1" si="110"/>
        <v/>
      </c>
      <c r="T256" s="616" t="str">
        <f t="shared" ca="1" si="110"/>
        <v/>
      </c>
      <c r="U256" s="616" t="str">
        <f t="shared" ca="1" si="110"/>
        <v/>
      </c>
      <c r="V256" s="616" t="str">
        <f t="shared" ca="1" si="110"/>
        <v/>
      </c>
      <c r="W256" s="616" t="str">
        <f t="shared" ca="1" si="110"/>
        <v/>
      </c>
      <c r="X256" s="616" t="str">
        <f t="shared" ca="1" si="110"/>
        <v/>
      </c>
      <c r="Y256" s="616" t="str">
        <f t="shared" ca="1" si="110"/>
        <v/>
      </c>
      <c r="Z256" s="616" t="str">
        <f t="shared" ca="1" si="110"/>
        <v/>
      </c>
      <c r="AA256" s="616" t="str">
        <f t="shared" ca="1" si="110"/>
        <v/>
      </c>
      <c r="AB256" s="616" t="str">
        <f t="shared" ca="1" si="110"/>
        <v/>
      </c>
      <c r="AC256" s="616" t="str">
        <f t="shared" ca="1" si="110"/>
        <v/>
      </c>
      <c r="AD256" s="616" t="str">
        <f t="shared" ca="1" si="110"/>
        <v/>
      </c>
      <c r="AE256" s="616" t="str">
        <f t="shared" ca="1" si="110"/>
        <v/>
      </c>
      <c r="AF256" s="616" t="str">
        <f t="shared" ca="1" si="110"/>
        <v/>
      </c>
      <c r="AG256" s="616" t="str">
        <f t="shared" ca="1" si="110"/>
        <v/>
      </c>
      <c r="AH256" s="616" t="str">
        <f t="shared" ca="1" si="110"/>
        <v/>
      </c>
      <c r="AI256" s="616" t="str">
        <f t="shared" ca="1" si="110"/>
        <v/>
      </c>
      <c r="AJ256" s="616" t="str">
        <f t="shared" ca="1" si="110"/>
        <v/>
      </c>
      <c r="AK256" s="616" t="str">
        <f t="shared" ref="AK256:BB256" ca="1" si="111">IFERROR(OFFSET(A1_集計2025,$D256,AK253),"")</f>
        <v/>
      </c>
      <c r="AL256" s="616" t="str">
        <f t="shared" ca="1" si="111"/>
        <v/>
      </c>
      <c r="AM256" s="616" t="str">
        <f t="shared" ca="1" si="111"/>
        <v/>
      </c>
      <c r="AN256" s="616" t="str">
        <f t="shared" ca="1" si="111"/>
        <v/>
      </c>
      <c r="AO256" s="616" t="str">
        <f t="shared" ca="1" si="111"/>
        <v/>
      </c>
      <c r="AP256" s="616" t="str">
        <f t="shared" ca="1" si="111"/>
        <v/>
      </c>
      <c r="AQ256" s="616" t="str">
        <f t="shared" ca="1" si="111"/>
        <v/>
      </c>
      <c r="AR256" s="616" t="str">
        <f t="shared" ca="1" si="111"/>
        <v/>
      </c>
      <c r="AS256" s="616" t="str">
        <f t="shared" ca="1" si="111"/>
        <v/>
      </c>
      <c r="AT256" s="616" t="str">
        <f t="shared" ca="1" si="111"/>
        <v/>
      </c>
      <c r="AU256" s="616" t="str">
        <f t="shared" ca="1" si="111"/>
        <v/>
      </c>
      <c r="AV256" s="616" t="str">
        <f t="shared" ca="1" si="111"/>
        <v/>
      </c>
      <c r="AW256" s="616" t="str">
        <f t="shared" ca="1" si="111"/>
        <v/>
      </c>
      <c r="AX256" s="616" t="str">
        <f t="shared" ca="1" si="111"/>
        <v/>
      </c>
      <c r="AY256" s="616" t="str">
        <f t="shared" ca="1" si="111"/>
        <v/>
      </c>
      <c r="AZ256" s="616" t="str">
        <f t="shared" ca="1" si="111"/>
        <v/>
      </c>
      <c r="BA256" s="587" t="str">
        <f t="shared" ca="1" si="111"/>
        <v/>
      </c>
      <c r="BB256" s="653" t="str">
        <f t="shared" ca="1" si="111"/>
        <v/>
      </c>
      <c r="IE256" s="579"/>
      <c r="IF256" s="579"/>
      <c r="IG256" s="579"/>
      <c r="IH256" s="579"/>
    </row>
    <row r="257" spans="1:242" s="164" customFormat="1" ht="20.100000000000001" hidden="1" customHeight="1">
      <c r="A257" s="569">
        <v>11</v>
      </c>
      <c r="B257" s="1052"/>
      <c r="C257" s="614" t="s">
        <v>680</v>
      </c>
      <c r="D257" s="615">
        <v>101</v>
      </c>
      <c r="E257" s="737" t="str">
        <f t="shared" ref="E257:AJ257" ca="1" si="112">IFERROR(OFFSET(貼付け_2025実績,$D257,E253),"")</f>
        <v/>
      </c>
      <c r="F257" s="616" t="str">
        <f t="shared" ca="1" si="112"/>
        <v/>
      </c>
      <c r="G257" s="616" t="str">
        <f t="shared" ca="1" si="112"/>
        <v/>
      </c>
      <c r="H257" s="616" t="str">
        <f t="shared" ca="1" si="112"/>
        <v/>
      </c>
      <c r="I257" s="616" t="str">
        <f t="shared" ca="1" si="112"/>
        <v/>
      </c>
      <c r="J257" s="616" t="str">
        <f t="shared" ca="1" si="112"/>
        <v/>
      </c>
      <c r="K257" s="616" t="str">
        <f t="shared" ca="1" si="112"/>
        <v/>
      </c>
      <c r="L257" s="616" t="str">
        <f t="shared" ca="1" si="112"/>
        <v/>
      </c>
      <c r="M257" s="616" t="str">
        <f t="shared" ca="1" si="112"/>
        <v/>
      </c>
      <c r="N257" s="616" t="str">
        <f t="shared" ca="1" si="112"/>
        <v/>
      </c>
      <c r="O257" s="616" t="str">
        <f ca="1">IFERROR(OFFSET(貼付け_2025実績,$D257,O253),"")</f>
        <v/>
      </c>
      <c r="P257" s="616" t="str">
        <f t="shared" ca="1" si="112"/>
        <v/>
      </c>
      <c r="Q257" s="616" t="str">
        <f t="shared" ca="1" si="112"/>
        <v/>
      </c>
      <c r="R257" s="616" t="str">
        <f t="shared" ca="1" si="112"/>
        <v/>
      </c>
      <c r="S257" s="616" t="str">
        <f t="shared" ca="1" si="112"/>
        <v/>
      </c>
      <c r="T257" s="616" t="str">
        <f t="shared" ca="1" si="112"/>
        <v/>
      </c>
      <c r="U257" s="616" t="str">
        <f t="shared" ca="1" si="112"/>
        <v/>
      </c>
      <c r="V257" s="616" t="str">
        <f t="shared" ca="1" si="112"/>
        <v/>
      </c>
      <c r="W257" s="616" t="str">
        <f t="shared" ca="1" si="112"/>
        <v/>
      </c>
      <c r="X257" s="616" t="str">
        <f t="shared" ca="1" si="112"/>
        <v/>
      </c>
      <c r="Y257" s="616" t="str">
        <f t="shared" ca="1" si="112"/>
        <v/>
      </c>
      <c r="Z257" s="616" t="str">
        <f t="shared" ca="1" si="112"/>
        <v/>
      </c>
      <c r="AA257" s="616" t="str">
        <f t="shared" ca="1" si="112"/>
        <v/>
      </c>
      <c r="AB257" s="616" t="str">
        <f t="shared" ca="1" si="112"/>
        <v/>
      </c>
      <c r="AC257" s="616" t="str">
        <f t="shared" ca="1" si="112"/>
        <v/>
      </c>
      <c r="AD257" s="616" t="str">
        <f t="shared" ca="1" si="112"/>
        <v/>
      </c>
      <c r="AE257" s="616" t="str">
        <f t="shared" ca="1" si="112"/>
        <v/>
      </c>
      <c r="AF257" s="616" t="str">
        <f t="shared" ca="1" si="112"/>
        <v/>
      </c>
      <c r="AG257" s="616" t="str">
        <f t="shared" ca="1" si="112"/>
        <v/>
      </c>
      <c r="AH257" s="616" t="str">
        <f t="shared" ca="1" si="112"/>
        <v/>
      </c>
      <c r="AI257" s="616" t="str">
        <f t="shared" ca="1" si="112"/>
        <v/>
      </c>
      <c r="AJ257" s="616" t="str">
        <f t="shared" ca="1" si="112"/>
        <v/>
      </c>
      <c r="AK257" s="616" t="str">
        <f t="shared" ref="AK257:BB257" ca="1" si="113">IFERROR(OFFSET(貼付け_2025実績,$D257,AK253),"")</f>
        <v/>
      </c>
      <c r="AL257" s="616" t="str">
        <f t="shared" ca="1" si="113"/>
        <v/>
      </c>
      <c r="AM257" s="616" t="str">
        <f t="shared" ca="1" si="113"/>
        <v/>
      </c>
      <c r="AN257" s="616" t="str">
        <f t="shared" ca="1" si="113"/>
        <v/>
      </c>
      <c r="AO257" s="616" t="str">
        <f t="shared" ca="1" si="113"/>
        <v/>
      </c>
      <c r="AP257" s="616" t="str">
        <f t="shared" ca="1" si="113"/>
        <v/>
      </c>
      <c r="AQ257" s="616" t="str">
        <f t="shared" ca="1" si="113"/>
        <v/>
      </c>
      <c r="AR257" s="616" t="str">
        <f t="shared" ca="1" si="113"/>
        <v/>
      </c>
      <c r="AS257" s="616" t="str">
        <f t="shared" ca="1" si="113"/>
        <v/>
      </c>
      <c r="AT257" s="616" t="str">
        <f t="shared" ca="1" si="113"/>
        <v/>
      </c>
      <c r="AU257" s="616" t="str">
        <f t="shared" ca="1" si="113"/>
        <v/>
      </c>
      <c r="AV257" s="616" t="str">
        <f t="shared" ca="1" si="113"/>
        <v/>
      </c>
      <c r="AW257" s="616" t="str">
        <f t="shared" ca="1" si="113"/>
        <v/>
      </c>
      <c r="AX257" s="616" t="str">
        <f t="shared" ca="1" si="113"/>
        <v/>
      </c>
      <c r="AY257" s="616" t="str">
        <f t="shared" ca="1" si="113"/>
        <v/>
      </c>
      <c r="AZ257" s="616" t="str">
        <f t="shared" ca="1" si="113"/>
        <v/>
      </c>
      <c r="BA257" s="587" t="str">
        <f t="shared" ca="1" si="113"/>
        <v/>
      </c>
      <c r="BB257" s="653" t="str">
        <f t="shared" ca="1" si="113"/>
        <v/>
      </c>
      <c r="IE257" s="579"/>
      <c r="IF257" s="579"/>
      <c r="IG257" s="579"/>
      <c r="IH257" s="579"/>
    </row>
    <row r="258" spans="1:242" s="164" customFormat="1" ht="20.100000000000001" hidden="1" customHeight="1">
      <c r="A258" s="569">
        <v>12</v>
      </c>
      <c r="B258" s="1052"/>
      <c r="C258" s="614" t="s">
        <v>681</v>
      </c>
      <c r="D258" s="615"/>
      <c r="E258" s="737" t="str">
        <f ca="1">IFERROR(E256/E257,"")</f>
        <v/>
      </c>
      <c r="F258" s="616" t="str">
        <f t="shared" ref="F258:BB258" ca="1" si="114">IFERROR(F256/F257,"")</f>
        <v/>
      </c>
      <c r="G258" s="616" t="str">
        <f t="shared" ca="1" si="114"/>
        <v/>
      </c>
      <c r="H258" s="616" t="str">
        <f t="shared" ca="1" si="114"/>
        <v/>
      </c>
      <c r="I258" s="616" t="str">
        <f t="shared" ca="1" si="114"/>
        <v/>
      </c>
      <c r="J258" s="616" t="str">
        <f t="shared" ca="1" si="114"/>
        <v/>
      </c>
      <c r="K258" s="616" t="str">
        <f t="shared" ca="1" si="114"/>
        <v/>
      </c>
      <c r="L258" s="616" t="str">
        <f t="shared" ca="1" si="114"/>
        <v/>
      </c>
      <c r="M258" s="616" t="str">
        <f t="shared" ca="1" si="114"/>
        <v/>
      </c>
      <c r="N258" s="616" t="str">
        <f t="shared" ca="1" si="114"/>
        <v/>
      </c>
      <c r="O258" s="616" t="str">
        <f t="shared" ca="1" si="114"/>
        <v/>
      </c>
      <c r="P258" s="616" t="str">
        <f t="shared" ca="1" si="114"/>
        <v/>
      </c>
      <c r="Q258" s="616" t="str">
        <f t="shared" ca="1" si="114"/>
        <v/>
      </c>
      <c r="R258" s="616" t="str">
        <f t="shared" ca="1" si="114"/>
        <v/>
      </c>
      <c r="S258" s="616" t="str">
        <f t="shared" ca="1" si="114"/>
        <v/>
      </c>
      <c r="T258" s="616" t="str">
        <f t="shared" ca="1" si="114"/>
        <v/>
      </c>
      <c r="U258" s="616" t="str">
        <f t="shared" ca="1" si="114"/>
        <v/>
      </c>
      <c r="V258" s="616" t="str">
        <f t="shared" ca="1" si="114"/>
        <v/>
      </c>
      <c r="W258" s="616" t="str">
        <f t="shared" ca="1" si="114"/>
        <v/>
      </c>
      <c r="X258" s="616" t="str">
        <f t="shared" ca="1" si="114"/>
        <v/>
      </c>
      <c r="Y258" s="616" t="str">
        <f t="shared" ca="1" si="114"/>
        <v/>
      </c>
      <c r="Z258" s="616" t="str">
        <f t="shared" ca="1" si="114"/>
        <v/>
      </c>
      <c r="AA258" s="616" t="str">
        <f t="shared" ca="1" si="114"/>
        <v/>
      </c>
      <c r="AB258" s="616" t="str">
        <f t="shared" ca="1" si="114"/>
        <v/>
      </c>
      <c r="AC258" s="616" t="str">
        <f t="shared" ca="1" si="114"/>
        <v/>
      </c>
      <c r="AD258" s="616" t="str">
        <f t="shared" ca="1" si="114"/>
        <v/>
      </c>
      <c r="AE258" s="616" t="str">
        <f t="shared" ca="1" si="114"/>
        <v/>
      </c>
      <c r="AF258" s="616" t="str">
        <f t="shared" ca="1" si="114"/>
        <v/>
      </c>
      <c r="AG258" s="616" t="str">
        <f t="shared" ca="1" si="114"/>
        <v/>
      </c>
      <c r="AH258" s="616" t="str">
        <f t="shared" ca="1" si="114"/>
        <v/>
      </c>
      <c r="AI258" s="616" t="str">
        <f t="shared" ca="1" si="114"/>
        <v/>
      </c>
      <c r="AJ258" s="616" t="str">
        <f t="shared" ca="1" si="114"/>
        <v/>
      </c>
      <c r="AK258" s="616" t="str">
        <f t="shared" ca="1" si="114"/>
        <v/>
      </c>
      <c r="AL258" s="616" t="str">
        <f t="shared" ca="1" si="114"/>
        <v/>
      </c>
      <c r="AM258" s="616" t="str">
        <f t="shared" ca="1" si="114"/>
        <v/>
      </c>
      <c r="AN258" s="616" t="str">
        <f t="shared" ca="1" si="114"/>
        <v/>
      </c>
      <c r="AO258" s="616" t="str">
        <f t="shared" ca="1" si="114"/>
        <v/>
      </c>
      <c r="AP258" s="616" t="str">
        <f t="shared" ca="1" si="114"/>
        <v/>
      </c>
      <c r="AQ258" s="616" t="str">
        <f t="shared" ca="1" si="114"/>
        <v/>
      </c>
      <c r="AR258" s="616" t="str">
        <f t="shared" ca="1" si="114"/>
        <v/>
      </c>
      <c r="AS258" s="616" t="str">
        <f t="shared" ca="1" si="114"/>
        <v/>
      </c>
      <c r="AT258" s="616" t="str">
        <f t="shared" ca="1" si="114"/>
        <v/>
      </c>
      <c r="AU258" s="616" t="str">
        <f t="shared" ca="1" si="114"/>
        <v/>
      </c>
      <c r="AV258" s="616" t="str">
        <f t="shared" ca="1" si="114"/>
        <v/>
      </c>
      <c r="AW258" s="616" t="str">
        <f t="shared" ca="1" si="114"/>
        <v/>
      </c>
      <c r="AX258" s="616" t="str">
        <f t="shared" ca="1" si="114"/>
        <v/>
      </c>
      <c r="AY258" s="616" t="str">
        <f t="shared" ca="1" si="114"/>
        <v/>
      </c>
      <c r="AZ258" s="616" t="str">
        <f t="shared" ca="1" si="114"/>
        <v/>
      </c>
      <c r="BA258" s="587" t="str">
        <f t="shared" ca="1" si="114"/>
        <v/>
      </c>
      <c r="BB258" s="653" t="str">
        <f t="shared" ca="1" si="114"/>
        <v/>
      </c>
      <c r="IE258" s="579"/>
      <c r="IF258" s="579"/>
      <c r="IG258" s="579"/>
      <c r="IH258" s="579"/>
    </row>
    <row r="259" spans="1:242" ht="19.5" hidden="1" customHeight="1" thickBot="1">
      <c r="A259" s="569">
        <v>13</v>
      </c>
      <c r="B259" s="1053"/>
      <c r="C259" s="617" t="s">
        <v>682</v>
      </c>
      <c r="D259" s="618">
        <v>12</v>
      </c>
      <c r="E259" s="738" t="str">
        <f t="shared" ref="E259:AJ259" ca="1" si="115">IFERROR(1-(E258/OFFSET(A1_原単位2024,$D259,E$247+2)),"")</f>
        <v/>
      </c>
      <c r="F259" s="619" t="str">
        <f t="shared" ca="1" si="115"/>
        <v/>
      </c>
      <c r="G259" s="619" t="str">
        <f t="shared" ca="1" si="115"/>
        <v/>
      </c>
      <c r="H259" s="619" t="str">
        <f t="shared" ca="1" si="115"/>
        <v/>
      </c>
      <c r="I259" s="619" t="str">
        <f t="shared" ca="1" si="115"/>
        <v/>
      </c>
      <c r="J259" s="619" t="str">
        <f t="shared" ca="1" si="115"/>
        <v/>
      </c>
      <c r="K259" s="619" t="str">
        <f t="shared" ca="1" si="115"/>
        <v/>
      </c>
      <c r="L259" s="619" t="str">
        <f t="shared" ca="1" si="115"/>
        <v/>
      </c>
      <c r="M259" s="619" t="str">
        <f t="shared" ca="1" si="115"/>
        <v/>
      </c>
      <c r="N259" s="619" t="str">
        <f t="shared" ca="1" si="115"/>
        <v/>
      </c>
      <c r="O259" s="619" t="str">
        <f t="shared" ca="1" si="115"/>
        <v/>
      </c>
      <c r="P259" s="619" t="str">
        <f t="shared" ca="1" si="115"/>
        <v/>
      </c>
      <c r="Q259" s="619" t="str">
        <f t="shared" ca="1" si="115"/>
        <v/>
      </c>
      <c r="R259" s="619" t="str">
        <f t="shared" ca="1" si="115"/>
        <v/>
      </c>
      <c r="S259" s="619" t="str">
        <f t="shared" ca="1" si="115"/>
        <v/>
      </c>
      <c r="T259" s="619" t="str">
        <f t="shared" ca="1" si="115"/>
        <v/>
      </c>
      <c r="U259" s="619" t="str">
        <f t="shared" ca="1" si="115"/>
        <v/>
      </c>
      <c r="V259" s="619" t="str">
        <f t="shared" ca="1" si="115"/>
        <v/>
      </c>
      <c r="W259" s="619" t="str">
        <f t="shared" ca="1" si="115"/>
        <v/>
      </c>
      <c r="X259" s="619" t="str">
        <f t="shared" ca="1" si="115"/>
        <v/>
      </c>
      <c r="Y259" s="619" t="str">
        <f t="shared" ca="1" si="115"/>
        <v/>
      </c>
      <c r="Z259" s="619" t="str">
        <f t="shared" ca="1" si="115"/>
        <v/>
      </c>
      <c r="AA259" s="619" t="str">
        <f t="shared" ca="1" si="115"/>
        <v/>
      </c>
      <c r="AB259" s="619" t="str">
        <f t="shared" ca="1" si="115"/>
        <v/>
      </c>
      <c r="AC259" s="619" t="str">
        <f t="shared" ca="1" si="115"/>
        <v/>
      </c>
      <c r="AD259" s="619" t="str">
        <f t="shared" ca="1" si="115"/>
        <v/>
      </c>
      <c r="AE259" s="619" t="str">
        <f t="shared" ca="1" si="115"/>
        <v/>
      </c>
      <c r="AF259" s="619" t="str">
        <f t="shared" ca="1" si="115"/>
        <v/>
      </c>
      <c r="AG259" s="619" t="str">
        <f t="shared" ca="1" si="115"/>
        <v/>
      </c>
      <c r="AH259" s="619" t="str">
        <f t="shared" ca="1" si="115"/>
        <v/>
      </c>
      <c r="AI259" s="619" t="str">
        <f t="shared" ca="1" si="115"/>
        <v/>
      </c>
      <c r="AJ259" s="619" t="str">
        <f t="shared" ca="1" si="115"/>
        <v/>
      </c>
      <c r="AK259" s="619" t="str">
        <f t="shared" ref="AK259:BB259" ca="1" si="116">IFERROR(1-(AK258/OFFSET(A1_原単位2024,$D259,AK$247+2)),"")</f>
        <v/>
      </c>
      <c r="AL259" s="619" t="str">
        <f t="shared" ca="1" si="116"/>
        <v/>
      </c>
      <c r="AM259" s="619" t="str">
        <f t="shared" ca="1" si="116"/>
        <v/>
      </c>
      <c r="AN259" s="619" t="str">
        <f t="shared" ca="1" si="116"/>
        <v/>
      </c>
      <c r="AO259" s="619" t="str">
        <f t="shared" ca="1" si="116"/>
        <v/>
      </c>
      <c r="AP259" s="619" t="str">
        <f t="shared" ca="1" si="116"/>
        <v/>
      </c>
      <c r="AQ259" s="619" t="str">
        <f t="shared" ca="1" si="116"/>
        <v/>
      </c>
      <c r="AR259" s="619" t="str">
        <f t="shared" ca="1" si="116"/>
        <v/>
      </c>
      <c r="AS259" s="619" t="str">
        <f t="shared" ca="1" si="116"/>
        <v/>
      </c>
      <c r="AT259" s="619" t="str">
        <f t="shared" ca="1" si="116"/>
        <v/>
      </c>
      <c r="AU259" s="619" t="str">
        <f t="shared" ca="1" si="116"/>
        <v/>
      </c>
      <c r="AV259" s="619" t="str">
        <f t="shared" ca="1" si="116"/>
        <v/>
      </c>
      <c r="AW259" s="619" t="str">
        <f t="shared" ca="1" si="116"/>
        <v/>
      </c>
      <c r="AX259" s="619" t="str">
        <f t="shared" ca="1" si="116"/>
        <v/>
      </c>
      <c r="AY259" s="619" t="str">
        <f t="shared" ca="1" si="116"/>
        <v/>
      </c>
      <c r="AZ259" s="619" t="str">
        <f t="shared" ca="1" si="116"/>
        <v/>
      </c>
      <c r="BA259" s="619" t="str">
        <f t="shared" ca="1" si="116"/>
        <v/>
      </c>
      <c r="BB259" s="739" t="str">
        <f t="shared" ca="1" si="116"/>
        <v/>
      </c>
      <c r="BC259" s="164"/>
      <c r="BD259" s="164"/>
      <c r="BE259" s="164"/>
      <c r="BF259" s="164"/>
      <c r="BG259" s="164"/>
      <c r="BH259" s="164"/>
      <c r="BI259" s="164"/>
      <c r="BJ259" s="164"/>
      <c r="BK259" s="164"/>
      <c r="BL259" s="164"/>
      <c r="BM259" s="164"/>
      <c r="BN259" s="164"/>
      <c r="BO259" s="164"/>
      <c r="BP259" s="164"/>
      <c r="BQ259" s="164"/>
      <c r="BR259" s="164"/>
      <c r="BS259" s="164"/>
      <c r="BT259" s="164"/>
      <c r="BU259" s="164"/>
      <c r="BV259" s="164"/>
      <c r="BW259" s="164"/>
      <c r="BX259" s="164"/>
      <c r="BY259" s="164"/>
      <c r="BZ259" s="164"/>
      <c r="CA259" s="164"/>
      <c r="CB259" s="164"/>
      <c r="CC259" s="164"/>
      <c r="CD259" s="164"/>
      <c r="CE259" s="164"/>
      <c r="CF259" s="164"/>
      <c r="CG259" s="164"/>
      <c r="CH259" s="164"/>
      <c r="CI259" s="164"/>
      <c r="CJ259" s="164"/>
      <c r="CK259" s="164"/>
      <c r="CL259" s="164"/>
      <c r="CM259" s="164"/>
      <c r="CN259" s="164"/>
      <c r="CO259" s="164"/>
      <c r="CP259" s="164"/>
      <c r="CQ259" s="164"/>
      <c r="CR259" s="164"/>
      <c r="CS259" s="164"/>
      <c r="CT259" s="164"/>
      <c r="CU259" s="164"/>
      <c r="CV259" s="164"/>
      <c r="CW259" s="164"/>
      <c r="CX259" s="164"/>
      <c r="CY259" s="164"/>
      <c r="CZ259" s="164"/>
      <c r="DA259" s="164"/>
      <c r="DB259" s="164"/>
      <c r="DC259" s="164"/>
      <c r="DD259" s="164"/>
      <c r="DE259" s="164"/>
      <c r="DF259" s="164"/>
      <c r="DG259" s="164"/>
      <c r="DH259" s="164"/>
      <c r="DI259" s="164"/>
      <c r="DJ259" s="164"/>
      <c r="DK259" s="164"/>
      <c r="DL259" s="164"/>
      <c r="DM259" s="164"/>
      <c r="DN259" s="164"/>
      <c r="DO259" s="164"/>
      <c r="DP259" s="164"/>
      <c r="DQ259" s="164"/>
      <c r="DR259" s="164"/>
      <c r="DS259" s="164"/>
      <c r="DT259" s="164"/>
      <c r="DU259" s="164"/>
      <c r="DV259" s="164"/>
      <c r="DW259" s="164"/>
      <c r="DX259" s="164"/>
      <c r="DY259" s="164"/>
      <c r="DZ259" s="164"/>
      <c r="EA259" s="164"/>
      <c r="EB259" s="164"/>
      <c r="EC259" s="164"/>
      <c r="ED259" s="164"/>
      <c r="EE259" s="164"/>
      <c r="EF259" s="164"/>
      <c r="EG259" s="164"/>
      <c r="EH259" s="164"/>
      <c r="EI259" s="164"/>
      <c r="EJ259" s="164"/>
      <c r="EK259" s="164"/>
      <c r="EL259" s="164"/>
      <c r="EM259" s="164"/>
      <c r="EN259" s="164"/>
      <c r="EO259" s="164"/>
      <c r="EP259" s="164"/>
      <c r="EQ259" s="164"/>
      <c r="ER259" s="164"/>
      <c r="ES259" s="164"/>
      <c r="ET259" s="164"/>
      <c r="EU259" s="164"/>
      <c r="EV259" s="164"/>
      <c r="EW259" s="164"/>
      <c r="EX259" s="164"/>
      <c r="EY259" s="164"/>
      <c r="EZ259" s="164"/>
      <c r="FA259" s="164"/>
      <c r="FB259" s="164"/>
      <c r="FC259" s="164"/>
      <c r="FD259" s="164"/>
      <c r="FE259" s="164"/>
      <c r="FF259" s="164"/>
      <c r="FG259" s="164"/>
      <c r="FH259" s="164"/>
      <c r="FI259" s="164"/>
      <c r="FJ259" s="164"/>
      <c r="FK259" s="164"/>
      <c r="FL259" s="164"/>
      <c r="FM259" s="164"/>
      <c r="FN259" s="164"/>
      <c r="FO259" s="164"/>
      <c r="FP259" s="164"/>
      <c r="FQ259" s="164"/>
      <c r="FR259" s="164"/>
      <c r="FS259" s="164"/>
      <c r="FT259" s="164"/>
      <c r="FU259" s="164"/>
      <c r="FV259" s="164"/>
      <c r="FW259" s="164"/>
      <c r="FX259" s="164"/>
      <c r="FY259" s="164"/>
      <c r="FZ259" s="164"/>
      <c r="GA259" s="164"/>
      <c r="GB259" s="164"/>
      <c r="GC259" s="164"/>
      <c r="GD259" s="164"/>
      <c r="GE259" s="164"/>
      <c r="GF259" s="164"/>
      <c r="GG259" s="164"/>
      <c r="GH259" s="164"/>
      <c r="GI259" s="164"/>
      <c r="GJ259" s="164"/>
      <c r="GK259" s="164"/>
      <c r="GL259" s="164"/>
      <c r="GM259" s="164"/>
      <c r="GN259" s="164"/>
      <c r="GO259" s="164"/>
      <c r="GP259" s="164"/>
      <c r="GQ259" s="164"/>
      <c r="GR259" s="164"/>
      <c r="GS259" s="164"/>
      <c r="GT259" s="164"/>
      <c r="GU259" s="164"/>
      <c r="GV259" s="164"/>
      <c r="GW259" s="164"/>
      <c r="GX259" s="164"/>
      <c r="GY259" s="164"/>
      <c r="GZ259" s="164"/>
      <c r="HA259" s="164"/>
      <c r="HB259" s="164"/>
      <c r="HC259" s="164"/>
      <c r="HD259" s="164"/>
      <c r="HE259" s="164"/>
      <c r="HF259" s="164"/>
      <c r="HG259" s="164"/>
      <c r="HH259" s="164"/>
      <c r="HI259" s="164"/>
      <c r="HJ259" s="164"/>
      <c r="HK259" s="164"/>
    </row>
    <row r="260" spans="1:242" s="569" customFormat="1" ht="18.75" hidden="1" customHeight="1">
      <c r="A260" s="569">
        <v>14</v>
      </c>
      <c r="B260" s="1051" t="s">
        <v>652</v>
      </c>
      <c r="C260" s="596" t="s">
        <v>673</v>
      </c>
      <c r="D260" s="597">
        <v>2025</v>
      </c>
      <c r="E260" s="733">
        <f t="shared" ref="E260:BB260" ca="1" si="117">IFERROR(MATCH($B260&amp;E$247,OFFSET(INDIRECT("貼付け_"&amp;$D260&amp;"実績"),4,0,1,205),0)-1,"")</f>
        <v>21</v>
      </c>
      <c r="F260" s="598">
        <f t="shared" ca="1" si="117"/>
        <v>25</v>
      </c>
      <c r="G260" s="598">
        <f t="shared" ca="1" si="117"/>
        <v>29</v>
      </c>
      <c r="H260" s="598">
        <f t="shared" ca="1" si="117"/>
        <v>77</v>
      </c>
      <c r="I260" s="598">
        <f t="shared" ca="1" si="117"/>
        <v>81</v>
      </c>
      <c r="J260" s="598">
        <f t="shared" ca="1" si="117"/>
        <v>85</v>
      </c>
      <c r="K260" s="598">
        <f t="shared" ca="1" si="117"/>
        <v>89</v>
      </c>
      <c r="L260" s="598">
        <f t="shared" ca="1" si="117"/>
        <v>93</v>
      </c>
      <c r="M260" s="598">
        <f t="shared" ca="1" si="117"/>
        <v>97</v>
      </c>
      <c r="N260" s="598">
        <f t="shared" ca="1" si="117"/>
        <v>101</v>
      </c>
      <c r="O260" s="598" t="str">
        <f ca="1">IFERROR(MATCH($B260&amp;O$247,OFFSET(INDIRECT("貼付け_"&amp;$D260&amp;"実績"),4,0,1,205),0)-1,"")</f>
        <v/>
      </c>
      <c r="P260" s="598" t="str">
        <f t="shared" ca="1" si="117"/>
        <v/>
      </c>
      <c r="Q260" s="598" t="str">
        <f t="shared" ca="1" si="117"/>
        <v/>
      </c>
      <c r="R260" s="598" t="str">
        <f t="shared" ca="1" si="117"/>
        <v/>
      </c>
      <c r="S260" s="598" t="str">
        <f t="shared" ca="1" si="117"/>
        <v/>
      </c>
      <c r="T260" s="598" t="str">
        <f t="shared" ca="1" si="117"/>
        <v/>
      </c>
      <c r="U260" s="598" t="str">
        <f t="shared" ca="1" si="117"/>
        <v/>
      </c>
      <c r="V260" s="598" t="str">
        <f t="shared" ca="1" si="117"/>
        <v/>
      </c>
      <c r="W260" s="598" t="str">
        <f t="shared" ca="1" si="117"/>
        <v/>
      </c>
      <c r="X260" s="598" t="str">
        <f t="shared" ca="1" si="117"/>
        <v/>
      </c>
      <c r="Y260" s="598" t="str">
        <f t="shared" ca="1" si="117"/>
        <v/>
      </c>
      <c r="Z260" s="598" t="str">
        <f t="shared" ca="1" si="117"/>
        <v/>
      </c>
      <c r="AA260" s="598" t="str">
        <f t="shared" ca="1" si="117"/>
        <v/>
      </c>
      <c r="AB260" s="598" t="str">
        <f t="shared" ca="1" si="117"/>
        <v/>
      </c>
      <c r="AC260" s="598" t="str">
        <f t="shared" ca="1" si="117"/>
        <v/>
      </c>
      <c r="AD260" s="598" t="str">
        <f t="shared" ca="1" si="117"/>
        <v/>
      </c>
      <c r="AE260" s="598" t="str">
        <f t="shared" ca="1" si="117"/>
        <v/>
      </c>
      <c r="AF260" s="598" t="str">
        <f t="shared" ca="1" si="117"/>
        <v/>
      </c>
      <c r="AG260" s="598" t="str">
        <f t="shared" ca="1" si="117"/>
        <v/>
      </c>
      <c r="AH260" s="598" t="str">
        <f t="shared" ca="1" si="117"/>
        <v/>
      </c>
      <c r="AI260" s="598" t="str">
        <f t="shared" ca="1" si="117"/>
        <v/>
      </c>
      <c r="AJ260" s="598" t="str">
        <f t="shared" ca="1" si="117"/>
        <v/>
      </c>
      <c r="AK260" s="598" t="str">
        <f t="shared" ca="1" si="117"/>
        <v/>
      </c>
      <c r="AL260" s="598" t="str">
        <f t="shared" ca="1" si="117"/>
        <v/>
      </c>
      <c r="AM260" s="598" t="str">
        <f t="shared" ca="1" si="117"/>
        <v/>
      </c>
      <c r="AN260" s="598" t="str">
        <f t="shared" ca="1" si="117"/>
        <v/>
      </c>
      <c r="AO260" s="598" t="str">
        <f t="shared" ca="1" si="117"/>
        <v/>
      </c>
      <c r="AP260" s="598" t="str">
        <f t="shared" ca="1" si="117"/>
        <v/>
      </c>
      <c r="AQ260" s="598" t="str">
        <f t="shared" ca="1" si="117"/>
        <v/>
      </c>
      <c r="AR260" s="598" t="str">
        <f t="shared" ca="1" si="117"/>
        <v/>
      </c>
      <c r="AS260" s="598" t="str">
        <f t="shared" ca="1" si="117"/>
        <v/>
      </c>
      <c r="AT260" s="598" t="str">
        <f t="shared" ca="1" si="117"/>
        <v/>
      </c>
      <c r="AU260" s="598" t="str">
        <f t="shared" ca="1" si="117"/>
        <v/>
      </c>
      <c r="AV260" s="598" t="str">
        <f t="shared" ca="1" si="117"/>
        <v/>
      </c>
      <c r="AW260" s="598" t="str">
        <f t="shared" ca="1" si="117"/>
        <v/>
      </c>
      <c r="AX260" s="598" t="str">
        <f t="shared" ca="1" si="117"/>
        <v/>
      </c>
      <c r="AY260" s="598" t="str">
        <f t="shared" ca="1" si="117"/>
        <v/>
      </c>
      <c r="AZ260" s="598" t="str">
        <f t="shared" ca="1" si="117"/>
        <v/>
      </c>
      <c r="BA260" s="598" t="str">
        <f t="shared" ca="1" si="117"/>
        <v/>
      </c>
      <c r="BB260" s="649" t="str">
        <f t="shared" ca="1" si="117"/>
        <v/>
      </c>
      <c r="BC260" s="156" t="str">
        <f>D260&amp;"年度"</f>
        <v>2025年度</v>
      </c>
      <c r="BD260" s="156">
        <v>1</v>
      </c>
      <c r="BE260" s="156">
        <v>2</v>
      </c>
      <c r="BF260" s="156">
        <v>3</v>
      </c>
      <c r="BG260" s="156">
        <v>4</v>
      </c>
      <c r="BH260" s="156">
        <v>5</v>
      </c>
      <c r="BI260" s="156">
        <v>6</v>
      </c>
      <c r="BJ260" s="156">
        <v>7</v>
      </c>
      <c r="BK260" s="156">
        <v>8</v>
      </c>
      <c r="BL260" s="156">
        <v>9</v>
      </c>
      <c r="BM260" s="156">
        <v>10</v>
      </c>
      <c r="BN260" s="156">
        <v>11</v>
      </c>
      <c r="BO260" s="156">
        <v>12</v>
      </c>
      <c r="BP260" s="156">
        <v>13</v>
      </c>
      <c r="BQ260" s="156">
        <v>14</v>
      </c>
      <c r="BR260" s="156">
        <v>15</v>
      </c>
      <c r="BS260" s="156">
        <v>16</v>
      </c>
      <c r="BT260" s="156">
        <v>17</v>
      </c>
      <c r="BU260" s="156">
        <v>18</v>
      </c>
      <c r="BV260" s="156">
        <v>19</v>
      </c>
      <c r="BW260" s="156">
        <v>20</v>
      </c>
      <c r="BX260" s="156">
        <v>21</v>
      </c>
      <c r="BY260" s="156">
        <v>22</v>
      </c>
      <c r="BZ260" s="156">
        <v>23</v>
      </c>
      <c r="CA260" s="156">
        <v>24</v>
      </c>
      <c r="CB260" s="156">
        <v>25</v>
      </c>
      <c r="CC260" s="156">
        <v>26</v>
      </c>
      <c r="CD260" s="156">
        <v>27</v>
      </c>
      <c r="CE260" s="156">
        <v>28</v>
      </c>
      <c r="CF260" s="156">
        <v>29</v>
      </c>
      <c r="CG260" s="156">
        <v>30</v>
      </c>
      <c r="CH260" s="156">
        <v>31</v>
      </c>
      <c r="CI260" s="156">
        <v>32</v>
      </c>
      <c r="CJ260" s="156">
        <v>33</v>
      </c>
      <c r="CK260" s="156">
        <v>34</v>
      </c>
      <c r="CL260" s="156">
        <v>35</v>
      </c>
      <c r="CM260" s="156">
        <v>36</v>
      </c>
      <c r="CN260" s="156">
        <v>37</v>
      </c>
      <c r="CO260" s="156">
        <v>38</v>
      </c>
      <c r="CP260" s="156">
        <v>39</v>
      </c>
      <c r="CQ260" s="156">
        <v>40</v>
      </c>
      <c r="CR260" s="156">
        <v>41</v>
      </c>
      <c r="CS260" s="156">
        <v>42</v>
      </c>
      <c r="CT260" s="156">
        <v>43</v>
      </c>
      <c r="CU260" s="156">
        <v>44</v>
      </c>
      <c r="CV260" s="156">
        <v>45</v>
      </c>
      <c r="CW260" s="156">
        <v>46</v>
      </c>
      <c r="CX260" s="156">
        <v>47</v>
      </c>
      <c r="CY260" s="156">
        <v>48</v>
      </c>
      <c r="CZ260" s="156">
        <v>49</v>
      </c>
      <c r="DA260" s="156">
        <v>50</v>
      </c>
      <c r="DB260" s="156"/>
      <c r="DC260" s="156"/>
      <c r="DD260" s="156"/>
      <c r="DE260" s="156"/>
      <c r="DF260" s="156"/>
      <c r="DG260" s="156"/>
      <c r="DH260" s="156"/>
      <c r="DI260" s="156"/>
      <c r="DJ260" s="156"/>
      <c r="DK260" s="156"/>
      <c r="DL260" s="156"/>
      <c r="DM260" s="156"/>
      <c r="DN260" s="156"/>
      <c r="DO260" s="156"/>
      <c r="DP260" s="156"/>
      <c r="DQ260" s="156"/>
      <c r="DR260" s="156"/>
      <c r="DS260" s="156"/>
      <c r="DT260" s="156"/>
      <c r="DU260" s="156"/>
      <c r="DV260" s="156"/>
      <c r="DW260" s="156"/>
      <c r="DX260" s="156"/>
      <c r="DY260" s="156"/>
      <c r="DZ260" s="156"/>
      <c r="EA260" s="156"/>
      <c r="EB260" s="156"/>
      <c r="EC260" s="156"/>
      <c r="ED260" s="156"/>
      <c r="EE260" s="156"/>
      <c r="EF260" s="156"/>
      <c r="EG260" s="156"/>
      <c r="EH260" s="156"/>
      <c r="EI260" s="156"/>
      <c r="EJ260" s="156"/>
      <c r="EK260" s="156"/>
      <c r="EL260" s="156"/>
      <c r="EM260" s="156"/>
      <c r="EN260" s="156"/>
      <c r="EO260" s="156"/>
      <c r="EP260" s="156"/>
      <c r="EQ260" s="156"/>
      <c r="ER260" s="156"/>
      <c r="ES260" s="156"/>
      <c r="ET260" s="156"/>
      <c r="EU260" s="156"/>
      <c r="EV260" s="156"/>
      <c r="EW260" s="156"/>
      <c r="EX260" s="156"/>
      <c r="EY260" s="156"/>
      <c r="EZ260" s="156"/>
      <c r="FA260" s="156"/>
      <c r="FB260" s="156"/>
      <c r="FC260" s="156"/>
      <c r="FD260" s="156"/>
      <c r="FE260" s="156"/>
      <c r="FF260" s="156"/>
      <c r="FG260" s="156"/>
      <c r="FH260" s="156"/>
      <c r="FI260" s="156"/>
      <c r="FJ260" s="156"/>
      <c r="FK260" s="156"/>
      <c r="FL260" s="156"/>
      <c r="FM260" s="156"/>
      <c r="FN260" s="156"/>
      <c r="FO260" s="156"/>
      <c r="FP260" s="156"/>
      <c r="FQ260" s="156"/>
      <c r="FR260" s="156"/>
      <c r="FS260" s="156"/>
      <c r="FT260" s="156"/>
      <c r="FU260" s="156"/>
      <c r="FV260" s="156"/>
      <c r="FW260" s="156"/>
      <c r="FX260" s="156"/>
      <c r="FY260" s="156"/>
      <c r="FZ260" s="156"/>
      <c r="GA260" s="156"/>
      <c r="GB260" s="156"/>
      <c r="GC260" s="156"/>
      <c r="GD260" s="156"/>
      <c r="GE260" s="156"/>
      <c r="GF260" s="156"/>
      <c r="GG260" s="156"/>
      <c r="GH260" s="156"/>
      <c r="GI260" s="156"/>
      <c r="GJ260" s="156"/>
      <c r="GK260" s="156"/>
      <c r="GL260" s="156"/>
      <c r="GM260" s="156"/>
      <c r="GN260" s="156"/>
      <c r="GO260" s="156"/>
      <c r="GP260" s="156"/>
      <c r="GQ260" s="156"/>
      <c r="GR260" s="156"/>
      <c r="GS260" s="156"/>
      <c r="GT260" s="156"/>
      <c r="GU260" s="156"/>
      <c r="GV260" s="156"/>
      <c r="GW260" s="156"/>
      <c r="GX260" s="156"/>
      <c r="GY260" s="156"/>
      <c r="GZ260" s="156"/>
      <c r="HA260" s="156"/>
      <c r="HB260" s="156"/>
      <c r="HC260" s="156"/>
      <c r="HD260" s="156"/>
      <c r="HE260" s="156"/>
      <c r="HF260" s="156"/>
      <c r="HG260" s="156"/>
      <c r="HH260" s="156"/>
      <c r="HI260" s="156"/>
      <c r="HJ260" s="156"/>
      <c r="HK260" s="156"/>
      <c r="IE260" s="603"/>
      <c r="IF260" s="603"/>
      <c r="IG260" s="603"/>
      <c r="IH260" s="603"/>
    </row>
    <row r="261" spans="1:242" s="569" customFormat="1" ht="19.5" hidden="1" customHeight="1">
      <c r="A261" s="569">
        <v>15</v>
      </c>
      <c r="B261" s="1052"/>
      <c r="C261" s="599" t="str">
        <f>D260-1&amp;"/"&amp;D260</f>
        <v>2024/2025</v>
      </c>
      <c r="D261" s="600" t="str">
        <f>""</f>
        <v/>
      </c>
      <c r="E261" s="734" t="str">
        <f t="shared" ref="E261:AJ261" ca="1" si="118">OFFSET(A1_原単位2024,18,E$247+2)</f>
        <v/>
      </c>
      <c r="F261" s="601" t="str">
        <f t="shared" ca="1" si="118"/>
        <v/>
      </c>
      <c r="G261" s="601" t="str">
        <f t="shared" ca="1" si="118"/>
        <v/>
      </c>
      <c r="H261" s="601" t="str">
        <f t="shared" ca="1" si="118"/>
        <v/>
      </c>
      <c r="I261" s="601" t="str">
        <f t="shared" ca="1" si="118"/>
        <v/>
      </c>
      <c r="J261" s="601" t="str">
        <f t="shared" ca="1" si="118"/>
        <v/>
      </c>
      <c r="K261" s="601" t="str">
        <f t="shared" ca="1" si="118"/>
        <v/>
      </c>
      <c r="L261" s="601" t="str">
        <f t="shared" ca="1" si="118"/>
        <v/>
      </c>
      <c r="M261" s="601" t="str">
        <f t="shared" ca="1" si="118"/>
        <v/>
      </c>
      <c r="N261" s="601" t="str">
        <f t="shared" ca="1" si="118"/>
        <v/>
      </c>
      <c r="O261" s="601" t="str">
        <f ca="1">OFFSET(A1_原単位2024,18,O$247+2)</f>
        <v/>
      </c>
      <c r="P261" s="601" t="str">
        <f t="shared" ca="1" si="118"/>
        <v/>
      </c>
      <c r="Q261" s="601" t="str">
        <f t="shared" ca="1" si="118"/>
        <v/>
      </c>
      <c r="R261" s="601" t="str">
        <f t="shared" ca="1" si="118"/>
        <v/>
      </c>
      <c r="S261" s="601" t="str">
        <f t="shared" ca="1" si="118"/>
        <v/>
      </c>
      <c r="T261" s="601" t="str">
        <f t="shared" ca="1" si="118"/>
        <v/>
      </c>
      <c r="U261" s="601" t="str">
        <f t="shared" ca="1" si="118"/>
        <v/>
      </c>
      <c r="V261" s="601" t="str">
        <f t="shared" ca="1" si="118"/>
        <v/>
      </c>
      <c r="W261" s="601" t="str">
        <f t="shared" ca="1" si="118"/>
        <v/>
      </c>
      <c r="X261" s="601" t="str">
        <f t="shared" ca="1" si="118"/>
        <v/>
      </c>
      <c r="Y261" s="601" t="str">
        <f t="shared" ca="1" si="118"/>
        <v/>
      </c>
      <c r="Z261" s="601" t="str">
        <f t="shared" ca="1" si="118"/>
        <v/>
      </c>
      <c r="AA261" s="601" t="str">
        <f t="shared" ca="1" si="118"/>
        <v/>
      </c>
      <c r="AB261" s="601" t="str">
        <f t="shared" ca="1" si="118"/>
        <v/>
      </c>
      <c r="AC261" s="601" t="str">
        <f t="shared" ca="1" si="118"/>
        <v/>
      </c>
      <c r="AD261" s="601" t="str">
        <f t="shared" ca="1" si="118"/>
        <v/>
      </c>
      <c r="AE261" s="601" t="str">
        <f t="shared" ca="1" si="118"/>
        <v/>
      </c>
      <c r="AF261" s="601" t="str">
        <f t="shared" ca="1" si="118"/>
        <v/>
      </c>
      <c r="AG261" s="601" t="str">
        <f t="shared" ca="1" si="118"/>
        <v/>
      </c>
      <c r="AH261" s="601" t="str">
        <f t="shared" ca="1" si="118"/>
        <v/>
      </c>
      <c r="AI261" s="601" t="str">
        <f t="shared" ca="1" si="118"/>
        <v/>
      </c>
      <c r="AJ261" s="601" t="str">
        <f t="shared" ca="1" si="118"/>
        <v/>
      </c>
      <c r="AK261" s="601" t="str">
        <f t="shared" ref="AK261:BB261" ca="1" si="119">OFFSET(A1_原単位2024,18,AK$247+2)</f>
        <v/>
      </c>
      <c r="AL261" s="601" t="str">
        <f t="shared" ca="1" si="119"/>
        <v/>
      </c>
      <c r="AM261" s="601" t="str">
        <f t="shared" ca="1" si="119"/>
        <v/>
      </c>
      <c r="AN261" s="601" t="str">
        <f t="shared" ca="1" si="119"/>
        <v/>
      </c>
      <c r="AO261" s="601" t="str">
        <f t="shared" ca="1" si="119"/>
        <v/>
      </c>
      <c r="AP261" s="601" t="str">
        <f t="shared" ca="1" si="119"/>
        <v/>
      </c>
      <c r="AQ261" s="601" t="str">
        <f t="shared" ca="1" si="119"/>
        <v/>
      </c>
      <c r="AR261" s="601" t="str">
        <f t="shared" ca="1" si="119"/>
        <v/>
      </c>
      <c r="AS261" s="601" t="str">
        <f t="shared" ca="1" si="119"/>
        <v/>
      </c>
      <c r="AT261" s="601" t="str">
        <f t="shared" ca="1" si="119"/>
        <v/>
      </c>
      <c r="AU261" s="601" t="str">
        <f t="shared" ca="1" si="119"/>
        <v/>
      </c>
      <c r="AV261" s="601" t="str">
        <f t="shared" ca="1" si="119"/>
        <v/>
      </c>
      <c r="AW261" s="601" t="str">
        <f t="shared" ca="1" si="119"/>
        <v/>
      </c>
      <c r="AX261" s="601" t="str">
        <f t="shared" ca="1" si="119"/>
        <v/>
      </c>
      <c r="AY261" s="601" t="str">
        <f t="shared" ca="1" si="119"/>
        <v/>
      </c>
      <c r="AZ261" s="601" t="str">
        <f t="shared" ca="1" si="119"/>
        <v/>
      </c>
      <c r="BA261" s="601" t="str">
        <f t="shared" ca="1" si="119"/>
        <v/>
      </c>
      <c r="BB261" s="650" t="str">
        <f t="shared" ca="1" si="119"/>
        <v/>
      </c>
      <c r="BC261" s="601" t="str">
        <f>""</f>
        <v/>
      </c>
      <c r="BD261" s="601" t="str">
        <f t="shared" ref="BD261:CI261" ca="1" si="120">IFERROR(OFFSET(貼付け_2025実績,5,E260+1),"")&amp;""</f>
        <v/>
      </c>
      <c r="BE261" s="601" t="str">
        <f t="shared" ca="1" si="120"/>
        <v/>
      </c>
      <c r="BF261" s="601" t="str">
        <f t="shared" ca="1" si="120"/>
        <v/>
      </c>
      <c r="BG261" s="601" t="str">
        <f t="shared" ca="1" si="120"/>
        <v/>
      </c>
      <c r="BH261" s="601" t="str">
        <f t="shared" ca="1" si="120"/>
        <v/>
      </c>
      <c r="BI261" s="601" t="str">
        <f t="shared" ca="1" si="120"/>
        <v/>
      </c>
      <c r="BJ261" s="601" t="str">
        <f t="shared" ca="1" si="120"/>
        <v/>
      </c>
      <c r="BK261" s="601" t="str">
        <f t="shared" ca="1" si="120"/>
        <v/>
      </c>
      <c r="BL261" s="601" t="str">
        <f t="shared" ca="1" si="120"/>
        <v/>
      </c>
      <c r="BM261" s="601" t="str">
        <f t="shared" ca="1" si="120"/>
        <v/>
      </c>
      <c r="BN261" s="601" t="str">
        <f ca="1">IFERROR(OFFSET(貼付け_2025実績,5,O260+1),"")&amp;""</f>
        <v/>
      </c>
      <c r="BO261" s="601" t="str">
        <f t="shared" ca="1" si="120"/>
        <v/>
      </c>
      <c r="BP261" s="601" t="str">
        <f t="shared" ca="1" si="120"/>
        <v/>
      </c>
      <c r="BQ261" s="601" t="str">
        <f t="shared" ca="1" si="120"/>
        <v/>
      </c>
      <c r="BR261" s="601" t="str">
        <f t="shared" ca="1" si="120"/>
        <v/>
      </c>
      <c r="BS261" s="601" t="str">
        <f t="shared" ca="1" si="120"/>
        <v/>
      </c>
      <c r="BT261" s="601" t="str">
        <f t="shared" ca="1" si="120"/>
        <v/>
      </c>
      <c r="BU261" s="601" t="str">
        <f t="shared" ca="1" si="120"/>
        <v/>
      </c>
      <c r="BV261" s="601" t="str">
        <f t="shared" ca="1" si="120"/>
        <v/>
      </c>
      <c r="BW261" s="601" t="str">
        <f t="shared" ca="1" si="120"/>
        <v/>
      </c>
      <c r="BX261" s="601" t="str">
        <f t="shared" ca="1" si="120"/>
        <v/>
      </c>
      <c r="BY261" s="601" t="str">
        <f t="shared" ca="1" si="120"/>
        <v/>
      </c>
      <c r="BZ261" s="601" t="str">
        <f t="shared" ca="1" si="120"/>
        <v/>
      </c>
      <c r="CA261" s="601" t="str">
        <f t="shared" ca="1" si="120"/>
        <v/>
      </c>
      <c r="CB261" s="601" t="str">
        <f t="shared" ca="1" si="120"/>
        <v/>
      </c>
      <c r="CC261" s="601" t="str">
        <f t="shared" ca="1" si="120"/>
        <v/>
      </c>
      <c r="CD261" s="601" t="str">
        <f t="shared" ca="1" si="120"/>
        <v/>
      </c>
      <c r="CE261" s="601" t="str">
        <f t="shared" ca="1" si="120"/>
        <v/>
      </c>
      <c r="CF261" s="601" t="str">
        <f t="shared" ca="1" si="120"/>
        <v/>
      </c>
      <c r="CG261" s="601" t="str">
        <f t="shared" ca="1" si="120"/>
        <v/>
      </c>
      <c r="CH261" s="601" t="str">
        <f t="shared" ca="1" si="120"/>
        <v/>
      </c>
      <c r="CI261" s="601" t="str">
        <f t="shared" ca="1" si="120"/>
        <v/>
      </c>
      <c r="CJ261" s="601" t="str">
        <f t="shared" ref="CJ261:DA261" ca="1" si="121">IFERROR(OFFSET(貼付け_2025実績,5,AK260+1),"")&amp;""</f>
        <v/>
      </c>
      <c r="CK261" s="601" t="str">
        <f t="shared" ca="1" si="121"/>
        <v/>
      </c>
      <c r="CL261" s="601" t="str">
        <f t="shared" ca="1" si="121"/>
        <v/>
      </c>
      <c r="CM261" s="601" t="str">
        <f t="shared" ca="1" si="121"/>
        <v/>
      </c>
      <c r="CN261" s="601" t="str">
        <f t="shared" ca="1" si="121"/>
        <v/>
      </c>
      <c r="CO261" s="601" t="str">
        <f t="shared" ca="1" si="121"/>
        <v/>
      </c>
      <c r="CP261" s="601" t="str">
        <f t="shared" ca="1" si="121"/>
        <v/>
      </c>
      <c r="CQ261" s="601" t="str">
        <f t="shared" ca="1" si="121"/>
        <v/>
      </c>
      <c r="CR261" s="601" t="str">
        <f t="shared" ca="1" si="121"/>
        <v/>
      </c>
      <c r="CS261" s="601" t="str">
        <f t="shared" ca="1" si="121"/>
        <v/>
      </c>
      <c r="CT261" s="601" t="str">
        <f t="shared" ca="1" si="121"/>
        <v/>
      </c>
      <c r="CU261" s="601" t="str">
        <f t="shared" ca="1" si="121"/>
        <v/>
      </c>
      <c r="CV261" s="601" t="str">
        <f t="shared" ca="1" si="121"/>
        <v/>
      </c>
      <c r="CW261" s="601" t="str">
        <f t="shared" ca="1" si="121"/>
        <v/>
      </c>
      <c r="CX261" s="601" t="str">
        <f t="shared" ca="1" si="121"/>
        <v/>
      </c>
      <c r="CY261" s="601" t="str">
        <f t="shared" ca="1" si="121"/>
        <v/>
      </c>
      <c r="CZ261" s="601" t="str">
        <f t="shared" ca="1" si="121"/>
        <v/>
      </c>
      <c r="DA261" s="601" t="str">
        <f t="shared" ca="1" si="121"/>
        <v/>
      </c>
      <c r="IE261" s="603"/>
      <c r="IF261" s="603"/>
      <c r="IG261" s="603"/>
      <c r="IH261" s="603"/>
    </row>
    <row r="262" spans="1:242" s="569" customFormat="1" hidden="1">
      <c r="A262" s="569">
        <v>16</v>
      </c>
      <c r="B262" s="1052"/>
      <c r="C262" s="599" t="str">
        <f>D260-1&amp;"&amp;"&amp;D260</f>
        <v>2024&amp;2025</v>
      </c>
      <c r="D262" s="600" t="str">
        <f>""</f>
        <v/>
      </c>
      <c r="E262" s="734" t="str">
        <f t="array" aca="1" ref="E262" ca="1">IFERROR(INDEX($E261:$DA261,MATCH(0,COUNTIF($D262:D262,$E261:$DA261),0)),"")</f>
        <v/>
      </c>
      <c r="F262" s="601" t="str">
        <f t="array" aca="1" ref="F262" ca="1">IFERROR(INDEX($E261:$DA261,MATCH(0,COUNTIF($D262:E262,$E261:$DA261),0)),"")</f>
        <v/>
      </c>
      <c r="G262" s="601" t="str">
        <f t="array" aca="1" ref="G262" ca="1">IFERROR(INDEX($E261:$DA261,MATCH(0,COUNTIF($D262:F262,$E261:$DA261),0)),"")</f>
        <v/>
      </c>
      <c r="H262" s="601" t="str">
        <f t="array" aca="1" ref="H262" ca="1">IFERROR(INDEX($E261:$DA261,MATCH(0,COUNTIF($D262:G262,$E261:$DA261),0)),"")</f>
        <v/>
      </c>
      <c r="I262" s="601" t="str">
        <f t="array" aca="1" ref="I262" ca="1">IFERROR(INDEX($E261:$DA261,MATCH(0,COUNTIF($D262:H262,$E261:$DA261),0)),"")</f>
        <v/>
      </c>
      <c r="J262" s="601" t="str">
        <f t="array" aca="1" ref="J262" ca="1">IFERROR(INDEX($E261:$DA261,MATCH(0,COUNTIF($D262:I262,$E261:$DA261),0)),"")</f>
        <v/>
      </c>
      <c r="K262" s="601" t="str">
        <f t="array" aca="1" ref="K262" ca="1">IFERROR(INDEX($E261:$DA261,MATCH(0,COUNTIF($D262:J262,$E261:$DA261),0)),"")</f>
        <v/>
      </c>
      <c r="L262" s="601" t="str">
        <f t="array" aca="1" ref="L262" ca="1">IFERROR(INDEX($E261:$DA261,MATCH(0,COUNTIF($D262:K262,$E261:$DA261),0)),"")</f>
        <v/>
      </c>
      <c r="M262" s="601" t="str">
        <f t="array" aca="1" ref="M262" ca="1">IFERROR(INDEX($E261:$DA261,MATCH(0,COUNTIF($D262:L262,$E261:$DA261),0)),"")</f>
        <v/>
      </c>
      <c r="N262" s="601" t="str">
        <f t="array" aca="1" ref="N262" ca="1">IFERROR(INDEX($E261:$DA261,MATCH(0,COUNTIF($D262:M262,$E261:$DA261),0)),"")</f>
        <v/>
      </c>
      <c r="O262" s="601" t="str">
        <f t="array" aca="1" ref="O262" ca="1">IFERROR(INDEX($E261:$DA261,MATCH(0,COUNTIF($D262:N262,$E261:$DA261),0)),"")</f>
        <v/>
      </c>
      <c r="P262" s="601" t="str">
        <f t="array" aca="1" ref="P262" ca="1">IFERROR(INDEX($E261:$DA261,MATCH(0,COUNTIF($D262:O262,$E261:$DA261),0)),"")</f>
        <v/>
      </c>
      <c r="Q262" s="601" t="str">
        <f t="array" aca="1" ref="Q262" ca="1">IFERROR(INDEX($E261:$DA261,MATCH(0,COUNTIF($D262:P262,$E261:$DA261),0)),"")</f>
        <v/>
      </c>
      <c r="R262" s="601" t="str">
        <f t="array" aca="1" ref="R262" ca="1">IFERROR(INDEX($E261:$DA261,MATCH(0,COUNTIF($D262:Q262,$E261:$DA261),0)),"")</f>
        <v/>
      </c>
      <c r="S262" s="601" t="str">
        <f t="array" aca="1" ref="S262" ca="1">IFERROR(INDEX($E261:$DA261,MATCH(0,COUNTIF($D262:R262,$E261:$DA261),0)),"")</f>
        <v/>
      </c>
      <c r="T262" s="601" t="str">
        <f t="array" aca="1" ref="T262" ca="1">IFERROR(INDEX($E261:$DA261,MATCH(0,COUNTIF($D262:S262,$E261:$DA261),0)),"")</f>
        <v/>
      </c>
      <c r="U262" s="601" t="str">
        <f t="array" aca="1" ref="U262" ca="1">IFERROR(INDEX($E261:$DA261,MATCH(0,COUNTIF($D262:T262,$E261:$DA261),0)),"")</f>
        <v/>
      </c>
      <c r="V262" s="601" t="str">
        <f t="array" aca="1" ref="V262" ca="1">IFERROR(INDEX($E261:$DA261,MATCH(0,COUNTIF($D262:U262,$E261:$DA261),0)),"")</f>
        <v/>
      </c>
      <c r="W262" s="601" t="str">
        <f t="array" aca="1" ref="W262" ca="1">IFERROR(INDEX($E261:$DA261,MATCH(0,COUNTIF($D262:V262,$E261:$DA261),0)),"")</f>
        <v/>
      </c>
      <c r="X262" s="601" t="str">
        <f t="array" aca="1" ref="X262" ca="1">IFERROR(INDEX($E261:$DA261,MATCH(0,COUNTIF($D262:W262,$E261:$DA261),0)),"")</f>
        <v/>
      </c>
      <c r="Y262" s="601" t="str">
        <f t="array" aca="1" ref="Y262" ca="1">IFERROR(INDEX($E261:$DA261,MATCH(0,COUNTIF($D262:X262,$E261:$DA261),0)),"")</f>
        <v/>
      </c>
      <c r="Z262" s="601" t="str">
        <f t="array" aca="1" ref="Z262" ca="1">IFERROR(INDEX($E261:$DA261,MATCH(0,COUNTIF($D262:Y262,$E261:$DA261),0)),"")</f>
        <v/>
      </c>
      <c r="AA262" s="601" t="str">
        <f t="array" aca="1" ref="AA262" ca="1">IFERROR(INDEX($E261:$DA261,MATCH(0,COUNTIF($D262:Z262,$E261:$DA261),0)),"")</f>
        <v/>
      </c>
      <c r="AB262" s="601" t="str">
        <f t="array" aca="1" ref="AB262" ca="1">IFERROR(INDEX($E261:$DA261,MATCH(0,COUNTIF($D262:AA262,$E261:$DA261),0)),"")</f>
        <v/>
      </c>
      <c r="AC262" s="601" t="str">
        <f t="array" aca="1" ref="AC262" ca="1">IFERROR(INDEX($E261:$DA261,MATCH(0,COUNTIF($D262:AB262,$E261:$DA261),0)),"")</f>
        <v/>
      </c>
      <c r="AD262" s="601" t="str">
        <f t="array" aca="1" ref="AD262" ca="1">IFERROR(INDEX($E261:$DA261,MATCH(0,COUNTIF($D262:AC262,$E261:$DA261),0)),"")</f>
        <v/>
      </c>
      <c r="AE262" s="601" t="str">
        <f t="array" aca="1" ref="AE262" ca="1">IFERROR(INDEX($E261:$DA261,MATCH(0,COUNTIF($D262:AD262,$E261:$DA261),0)),"")</f>
        <v/>
      </c>
      <c r="AF262" s="601" t="str">
        <f t="array" aca="1" ref="AF262" ca="1">IFERROR(INDEX($E261:$DA261,MATCH(0,COUNTIF($D262:AE262,$E261:$DA261),0)),"")</f>
        <v/>
      </c>
      <c r="AG262" s="601" t="str">
        <f t="array" aca="1" ref="AG262" ca="1">IFERROR(INDEX($E261:$DA261,MATCH(0,COUNTIF($D262:AF262,$E261:$DA261),0)),"")</f>
        <v/>
      </c>
      <c r="AH262" s="601" t="str">
        <f t="array" aca="1" ref="AH262" ca="1">IFERROR(INDEX($E261:$DA261,MATCH(0,COUNTIF($D262:AG262,$E261:$DA261),0)),"")</f>
        <v/>
      </c>
      <c r="AI262" s="601" t="str">
        <f t="array" aca="1" ref="AI262" ca="1">IFERROR(INDEX($E261:$DA261,MATCH(0,COUNTIF($D262:AH262,$E261:$DA261),0)),"")</f>
        <v/>
      </c>
      <c r="AJ262" s="601" t="str">
        <f t="array" aca="1" ref="AJ262" ca="1">IFERROR(INDEX($E261:$DA261,MATCH(0,COUNTIF($D262:AI262,$E261:$DA261),0)),"")</f>
        <v/>
      </c>
      <c r="AK262" s="601" t="str">
        <f t="array" aca="1" ref="AK262" ca="1">IFERROR(INDEX($E261:$DA261,MATCH(0,COUNTIF($D262:AJ262,$E261:$DA261),0)),"")</f>
        <v/>
      </c>
      <c r="AL262" s="601" t="str">
        <f t="array" aca="1" ref="AL262" ca="1">IFERROR(INDEX($E261:$DA261,MATCH(0,COUNTIF($D262:AK262,$E261:$DA261),0)),"")</f>
        <v/>
      </c>
      <c r="AM262" s="601" t="str">
        <f t="array" aca="1" ref="AM262" ca="1">IFERROR(INDEX($E261:$DA261,MATCH(0,COUNTIF($D262:AL262,$E261:$DA261),0)),"")</f>
        <v/>
      </c>
      <c r="AN262" s="601" t="str">
        <f t="array" aca="1" ref="AN262" ca="1">IFERROR(INDEX($E261:$DA261,MATCH(0,COUNTIF($D262:AM262,$E261:$DA261),0)),"")</f>
        <v/>
      </c>
      <c r="AO262" s="601" t="str">
        <f t="array" aca="1" ref="AO262" ca="1">IFERROR(INDEX($E261:$DA261,MATCH(0,COUNTIF($D262:AN262,$E261:$DA261),0)),"")</f>
        <v/>
      </c>
      <c r="AP262" s="601" t="str">
        <f t="array" aca="1" ref="AP262" ca="1">IFERROR(INDEX($E261:$DA261,MATCH(0,COUNTIF($D262:AO262,$E261:$DA261),0)),"")</f>
        <v/>
      </c>
      <c r="AQ262" s="601" t="str">
        <f t="array" aca="1" ref="AQ262" ca="1">IFERROR(INDEX($E261:$DA261,MATCH(0,COUNTIF($D262:AP262,$E261:$DA261),0)),"")</f>
        <v/>
      </c>
      <c r="AR262" s="601" t="str">
        <f t="array" aca="1" ref="AR262" ca="1">IFERROR(INDEX($E261:$DA261,MATCH(0,COUNTIF($D262:AQ262,$E261:$DA261),0)),"")</f>
        <v/>
      </c>
      <c r="AS262" s="601" t="str">
        <f t="array" aca="1" ref="AS262" ca="1">IFERROR(INDEX($E261:$DA261,MATCH(0,COUNTIF($D262:AR262,$E261:$DA261),0)),"")</f>
        <v/>
      </c>
      <c r="AT262" s="601" t="str">
        <f t="array" aca="1" ref="AT262" ca="1">IFERROR(INDEX($E261:$DA261,MATCH(0,COUNTIF($D262:AS262,$E261:$DA261),0)),"")</f>
        <v/>
      </c>
      <c r="AU262" s="601" t="str">
        <f t="array" aca="1" ref="AU262" ca="1">IFERROR(INDEX($E261:$DA261,MATCH(0,COUNTIF($D262:AT262,$E261:$DA261),0)),"")</f>
        <v/>
      </c>
      <c r="AV262" s="601" t="str">
        <f t="array" aca="1" ref="AV262" ca="1">IFERROR(INDEX($E261:$DA261,MATCH(0,COUNTIF($D262:AU262,$E261:$DA261),0)),"")</f>
        <v/>
      </c>
      <c r="AW262" s="601" t="str">
        <f t="array" aca="1" ref="AW262" ca="1">IFERROR(INDEX($E261:$DA261,MATCH(0,COUNTIF($D262:AV262,$E261:$DA261),0)),"")</f>
        <v/>
      </c>
      <c r="AX262" s="601" t="str">
        <f t="array" aca="1" ref="AX262" ca="1">IFERROR(INDEX($E261:$DA261,MATCH(0,COUNTIF($D262:AW262,$E261:$DA261),0)),"")</f>
        <v/>
      </c>
      <c r="AY262" s="601" t="str">
        <f t="array" aca="1" ref="AY262" ca="1">IFERROR(INDEX($E261:$DA261,MATCH(0,COUNTIF($D262:AX262,$E261:$DA261),0)),"")</f>
        <v/>
      </c>
      <c r="AZ262" s="601" t="str">
        <f t="array" aca="1" ref="AZ262" ca="1">IFERROR(INDEX($E261:$DA261,MATCH(0,COUNTIF($D262:AY262,$E261:$DA261),0)),"")</f>
        <v/>
      </c>
      <c r="BA262" s="602" t="str">
        <f t="array" aca="1" ref="BA262" ca="1">IFERROR(INDEX($E261:$DA261,MATCH(0,COUNTIF($D262:AZ262,$E261:$DA261),0)),"")</f>
        <v/>
      </c>
      <c r="BB262" s="650" t="str">
        <f t="array" aca="1" ref="BB262" ca="1">IFERROR(INDEX($E261:$DA261,MATCH(0,COUNTIF($D262:BA262,$E261:$DA261),0)),"")</f>
        <v/>
      </c>
      <c r="BC262" s="604"/>
      <c r="BD262" s="604" t="str">
        <f>""</f>
        <v/>
      </c>
      <c r="BE262" s="604"/>
      <c r="BF262" s="604"/>
      <c r="BG262" s="604"/>
      <c r="BH262" s="604"/>
      <c r="BI262" s="604"/>
      <c r="BJ262" s="604"/>
      <c r="BK262" s="604"/>
      <c r="BL262" s="604"/>
      <c r="BM262" s="604"/>
      <c r="BN262" s="604"/>
      <c r="BO262" s="604"/>
      <c r="BP262" s="604"/>
      <c r="BQ262" s="604"/>
      <c r="BR262" s="604"/>
      <c r="BS262" s="604"/>
      <c r="BT262" s="604"/>
      <c r="BU262" s="604"/>
      <c r="BV262" s="604"/>
      <c r="BW262" s="604"/>
      <c r="IE262" s="603"/>
      <c r="IF262" s="603"/>
      <c r="IG262" s="603"/>
      <c r="IH262" s="603"/>
    </row>
    <row r="263" spans="1:242" s="569" customFormat="1" hidden="1">
      <c r="A263" s="569">
        <v>17</v>
      </c>
      <c r="B263" s="1052"/>
      <c r="C263" s="599" t="s">
        <v>674</v>
      </c>
      <c r="D263" s="600" t="str">
        <f>""</f>
        <v/>
      </c>
      <c r="E263" s="734" t="str">
        <f t="shared" ref="E263:AJ263" ca="1" si="122">IF(OFFSET(貼付け_2025実績,2,12)="■",BD261,IFERROR(INDEX($BD261:$DA261,MATCH(E262,$BD261:$DA261,0)),""))</f>
        <v/>
      </c>
      <c r="F263" s="601" t="str">
        <f t="shared" ca="1" si="122"/>
        <v/>
      </c>
      <c r="G263" s="601" t="str">
        <f t="shared" ca="1" si="122"/>
        <v/>
      </c>
      <c r="H263" s="601" t="str">
        <f t="shared" ca="1" si="122"/>
        <v/>
      </c>
      <c r="I263" s="601" t="str">
        <f t="shared" ca="1" si="122"/>
        <v/>
      </c>
      <c r="J263" s="601" t="str">
        <f t="shared" ca="1" si="122"/>
        <v/>
      </c>
      <c r="K263" s="601" t="str">
        <f t="shared" ca="1" si="122"/>
        <v/>
      </c>
      <c r="L263" s="601" t="str">
        <f t="shared" ca="1" si="122"/>
        <v/>
      </c>
      <c r="M263" s="601" t="str">
        <f t="shared" ca="1" si="122"/>
        <v/>
      </c>
      <c r="N263" s="601" t="str">
        <f t="shared" ca="1" si="122"/>
        <v/>
      </c>
      <c r="O263" s="601" t="str">
        <f ca="1">IF(OFFSET(貼付け_2025実績,2,12)="■",BN261,IFERROR(INDEX($BD261:$DA261,MATCH(O262,$BD261:$DA261,0)),""))</f>
        <v/>
      </c>
      <c r="P263" s="601" t="str">
        <f t="shared" ca="1" si="122"/>
        <v/>
      </c>
      <c r="Q263" s="601" t="str">
        <f t="shared" ca="1" si="122"/>
        <v/>
      </c>
      <c r="R263" s="601" t="str">
        <f t="shared" ca="1" si="122"/>
        <v/>
      </c>
      <c r="S263" s="601" t="str">
        <f t="shared" ca="1" si="122"/>
        <v/>
      </c>
      <c r="T263" s="601" t="str">
        <f t="shared" ca="1" si="122"/>
        <v/>
      </c>
      <c r="U263" s="601" t="str">
        <f t="shared" ca="1" si="122"/>
        <v/>
      </c>
      <c r="V263" s="601" t="str">
        <f t="shared" ca="1" si="122"/>
        <v/>
      </c>
      <c r="W263" s="601" t="str">
        <f t="shared" ca="1" si="122"/>
        <v/>
      </c>
      <c r="X263" s="601" t="str">
        <f t="shared" ca="1" si="122"/>
        <v/>
      </c>
      <c r="Y263" s="601" t="str">
        <f t="shared" ca="1" si="122"/>
        <v/>
      </c>
      <c r="Z263" s="601" t="str">
        <f t="shared" ca="1" si="122"/>
        <v/>
      </c>
      <c r="AA263" s="601" t="str">
        <f t="shared" ca="1" si="122"/>
        <v/>
      </c>
      <c r="AB263" s="601" t="str">
        <f t="shared" ca="1" si="122"/>
        <v/>
      </c>
      <c r="AC263" s="601" t="str">
        <f t="shared" ca="1" si="122"/>
        <v/>
      </c>
      <c r="AD263" s="601" t="str">
        <f t="shared" ca="1" si="122"/>
        <v/>
      </c>
      <c r="AE263" s="601" t="str">
        <f t="shared" ca="1" si="122"/>
        <v/>
      </c>
      <c r="AF263" s="601" t="str">
        <f t="shared" ca="1" si="122"/>
        <v/>
      </c>
      <c r="AG263" s="601" t="str">
        <f t="shared" ca="1" si="122"/>
        <v/>
      </c>
      <c r="AH263" s="601" t="str">
        <f t="shared" ca="1" si="122"/>
        <v/>
      </c>
      <c r="AI263" s="601" t="str">
        <f t="shared" ca="1" si="122"/>
        <v/>
      </c>
      <c r="AJ263" s="601" t="str">
        <f t="shared" ca="1" si="122"/>
        <v/>
      </c>
      <c r="AK263" s="601" t="str">
        <f t="shared" ref="AK263:BB263" ca="1" si="123">IF(OFFSET(貼付け_2025実績,2,12)="■",CJ261,IFERROR(INDEX($BD261:$DA261,MATCH(AK262,$BD261:$DA261,0)),""))</f>
        <v/>
      </c>
      <c r="AL263" s="601" t="str">
        <f t="shared" ca="1" si="123"/>
        <v/>
      </c>
      <c r="AM263" s="601" t="str">
        <f t="shared" ca="1" si="123"/>
        <v/>
      </c>
      <c r="AN263" s="601" t="str">
        <f t="shared" ca="1" si="123"/>
        <v/>
      </c>
      <c r="AO263" s="601" t="str">
        <f t="shared" ca="1" si="123"/>
        <v/>
      </c>
      <c r="AP263" s="601" t="str">
        <f t="shared" ca="1" si="123"/>
        <v/>
      </c>
      <c r="AQ263" s="601" t="str">
        <f t="shared" ca="1" si="123"/>
        <v/>
      </c>
      <c r="AR263" s="601" t="str">
        <f t="shared" ca="1" si="123"/>
        <v/>
      </c>
      <c r="AS263" s="601" t="str">
        <f t="shared" ca="1" si="123"/>
        <v/>
      </c>
      <c r="AT263" s="601" t="str">
        <f t="shared" ca="1" si="123"/>
        <v/>
      </c>
      <c r="AU263" s="601" t="str">
        <f t="shared" ca="1" si="123"/>
        <v/>
      </c>
      <c r="AV263" s="601" t="str">
        <f t="shared" ca="1" si="123"/>
        <v/>
      </c>
      <c r="AW263" s="601" t="str">
        <f t="shared" ca="1" si="123"/>
        <v/>
      </c>
      <c r="AX263" s="601" t="str">
        <f t="shared" ca="1" si="123"/>
        <v/>
      </c>
      <c r="AY263" s="601" t="str">
        <f t="shared" ca="1" si="123"/>
        <v/>
      </c>
      <c r="AZ263" s="601" t="str">
        <f t="shared" ca="1" si="123"/>
        <v/>
      </c>
      <c r="BA263" s="602" t="str">
        <f t="shared" ca="1" si="123"/>
        <v/>
      </c>
      <c r="BB263" s="650" t="str">
        <f t="shared" ca="1" si="123"/>
        <v/>
      </c>
      <c r="BD263" s="569" t="str">
        <f>""</f>
        <v/>
      </c>
      <c r="IE263" s="603"/>
      <c r="IF263" s="603"/>
      <c r="IG263" s="603"/>
      <c r="IH263" s="603"/>
    </row>
    <row r="264" spans="1:242" s="569" customFormat="1" hidden="1">
      <c r="A264" s="569">
        <v>18</v>
      </c>
      <c r="B264" s="1052"/>
      <c r="C264" s="605" t="s">
        <v>675</v>
      </c>
      <c r="D264" s="606">
        <v>6</v>
      </c>
      <c r="E264" s="735" t="str">
        <f ca="1">OFFSET(A1_名称2025,E$247+2,$D264)&amp;""</f>
        <v/>
      </c>
      <c r="F264" s="607" t="str">
        <f t="shared" ref="F264:AJ264" ca="1" si="124">OFFSET(A1_名称2025,F$247+2,$D264)&amp;""</f>
        <v/>
      </c>
      <c r="G264" s="607" t="str">
        <f t="shared" ca="1" si="124"/>
        <v/>
      </c>
      <c r="H264" s="607" t="str">
        <f t="shared" ca="1" si="124"/>
        <v/>
      </c>
      <c r="I264" s="607" t="str">
        <f t="shared" ca="1" si="124"/>
        <v/>
      </c>
      <c r="J264" s="607" t="str">
        <f t="shared" ca="1" si="124"/>
        <v/>
      </c>
      <c r="K264" s="607" t="str">
        <f t="shared" ca="1" si="124"/>
        <v/>
      </c>
      <c r="L264" s="607" t="str">
        <f t="shared" ca="1" si="124"/>
        <v/>
      </c>
      <c r="M264" s="607" t="str">
        <f t="shared" ca="1" si="124"/>
        <v/>
      </c>
      <c r="N264" s="607" t="str">
        <f t="shared" ca="1" si="124"/>
        <v/>
      </c>
      <c r="O264" s="607" t="str">
        <f ca="1">OFFSET(A1_名称2025,O$247+2,$D264)&amp;""</f>
        <v/>
      </c>
      <c r="P264" s="607" t="str">
        <f t="shared" ca="1" si="124"/>
        <v/>
      </c>
      <c r="Q264" s="607" t="str">
        <f t="shared" ca="1" si="124"/>
        <v/>
      </c>
      <c r="R264" s="607" t="str">
        <f t="shared" ca="1" si="124"/>
        <v/>
      </c>
      <c r="S264" s="607" t="str">
        <f t="shared" ca="1" si="124"/>
        <v/>
      </c>
      <c r="T264" s="607" t="str">
        <f t="shared" ca="1" si="124"/>
        <v/>
      </c>
      <c r="U264" s="607" t="str">
        <f t="shared" ca="1" si="124"/>
        <v/>
      </c>
      <c r="V264" s="607" t="str">
        <f t="shared" ca="1" si="124"/>
        <v/>
      </c>
      <c r="W264" s="607" t="str">
        <f t="shared" ca="1" si="124"/>
        <v/>
      </c>
      <c r="X264" s="607" t="str">
        <f t="shared" ca="1" si="124"/>
        <v/>
      </c>
      <c r="Y264" s="607" t="str">
        <f t="shared" ca="1" si="124"/>
        <v/>
      </c>
      <c r="Z264" s="607" t="str">
        <f t="shared" ca="1" si="124"/>
        <v/>
      </c>
      <c r="AA264" s="607" t="str">
        <f t="shared" ca="1" si="124"/>
        <v/>
      </c>
      <c r="AB264" s="607" t="str">
        <f t="shared" ca="1" si="124"/>
        <v/>
      </c>
      <c r="AC264" s="607" t="str">
        <f t="shared" ca="1" si="124"/>
        <v/>
      </c>
      <c r="AD264" s="607" t="str">
        <f t="shared" ca="1" si="124"/>
        <v/>
      </c>
      <c r="AE264" s="607" t="str">
        <f t="shared" ca="1" si="124"/>
        <v/>
      </c>
      <c r="AF264" s="607" t="str">
        <f t="shared" ca="1" si="124"/>
        <v/>
      </c>
      <c r="AG264" s="607" t="str">
        <f t="shared" ca="1" si="124"/>
        <v/>
      </c>
      <c r="AH264" s="607" t="str">
        <f t="shared" ca="1" si="124"/>
        <v/>
      </c>
      <c r="AI264" s="607" t="str">
        <f t="shared" ca="1" si="124"/>
        <v/>
      </c>
      <c r="AJ264" s="607" t="str">
        <f t="shared" ca="1" si="124"/>
        <v/>
      </c>
      <c r="AK264" s="607" t="str">
        <f t="shared" ref="AK264:BB264" ca="1" si="125">OFFSET(A1_名称2025,AK$247+2,$D264)&amp;""</f>
        <v/>
      </c>
      <c r="AL264" s="607" t="str">
        <f t="shared" ca="1" si="125"/>
        <v/>
      </c>
      <c r="AM264" s="607" t="str">
        <f t="shared" ca="1" si="125"/>
        <v/>
      </c>
      <c r="AN264" s="607" t="str">
        <f t="shared" ca="1" si="125"/>
        <v/>
      </c>
      <c r="AO264" s="607" t="str">
        <f t="shared" ca="1" si="125"/>
        <v/>
      </c>
      <c r="AP264" s="607" t="str">
        <f t="shared" ca="1" si="125"/>
        <v/>
      </c>
      <c r="AQ264" s="607" t="str">
        <f t="shared" ca="1" si="125"/>
        <v/>
      </c>
      <c r="AR264" s="607" t="str">
        <f t="shared" ca="1" si="125"/>
        <v/>
      </c>
      <c r="AS264" s="607" t="str">
        <f t="shared" ca="1" si="125"/>
        <v/>
      </c>
      <c r="AT264" s="607" t="str">
        <f t="shared" ca="1" si="125"/>
        <v/>
      </c>
      <c r="AU264" s="607" t="str">
        <f t="shared" ca="1" si="125"/>
        <v/>
      </c>
      <c r="AV264" s="607" t="str">
        <f t="shared" ca="1" si="125"/>
        <v/>
      </c>
      <c r="AW264" s="607" t="str">
        <f t="shared" ca="1" si="125"/>
        <v/>
      </c>
      <c r="AX264" s="607" t="str">
        <f t="shared" ca="1" si="125"/>
        <v/>
      </c>
      <c r="AY264" s="607" t="str">
        <f t="shared" ca="1" si="125"/>
        <v/>
      </c>
      <c r="AZ264" s="607" t="str">
        <f t="shared" ca="1" si="125"/>
        <v/>
      </c>
      <c r="BA264" s="608" t="str">
        <f t="shared" ca="1" si="125"/>
        <v/>
      </c>
      <c r="BB264" s="651" t="str">
        <f t="shared" ca="1" si="125"/>
        <v/>
      </c>
      <c r="IE264" s="603"/>
      <c r="IF264" s="603"/>
      <c r="IG264" s="603"/>
      <c r="IH264" s="603"/>
    </row>
    <row r="265" spans="1:242" s="164" customFormat="1" ht="19.8" hidden="1">
      <c r="A265" s="569">
        <v>19</v>
      </c>
      <c r="B265" s="1052"/>
      <c r="C265" s="599" t="s">
        <v>676</v>
      </c>
      <c r="D265" s="600"/>
      <c r="E265" s="734" t="str">
        <f ca="1">IF(E264="","",IFERROR(INDEX($E260:$BB260,MATCH(E264,$BD261:$DA261,0)),""))</f>
        <v/>
      </c>
      <c r="F265" s="601" t="str">
        <f t="shared" ref="F265:BB265" ca="1" si="126">IF(F264="","",IFERROR(INDEX($E260:$BB260,MATCH(F264,$BD261:$DA261,0)),""))</f>
        <v/>
      </c>
      <c r="G265" s="601" t="str">
        <f t="shared" ca="1" si="126"/>
        <v/>
      </c>
      <c r="H265" s="601" t="str">
        <f t="shared" ca="1" si="126"/>
        <v/>
      </c>
      <c r="I265" s="601" t="str">
        <f t="shared" ca="1" si="126"/>
        <v/>
      </c>
      <c r="J265" s="601" t="str">
        <f t="shared" ca="1" si="126"/>
        <v/>
      </c>
      <c r="K265" s="601" t="str">
        <f t="shared" ca="1" si="126"/>
        <v/>
      </c>
      <c r="L265" s="601" t="str">
        <f t="shared" ca="1" si="126"/>
        <v/>
      </c>
      <c r="M265" s="601" t="str">
        <f t="shared" ca="1" si="126"/>
        <v/>
      </c>
      <c r="N265" s="601" t="str">
        <f t="shared" ca="1" si="126"/>
        <v/>
      </c>
      <c r="O265" s="601" t="str">
        <f ca="1">IF(O264="","",IFERROR(INDEX($E260:$BB260,MATCH(O264,$BD261:$DA261,0)),""))</f>
        <v/>
      </c>
      <c r="P265" s="601" t="str">
        <f t="shared" ca="1" si="126"/>
        <v/>
      </c>
      <c r="Q265" s="601" t="str">
        <f t="shared" ca="1" si="126"/>
        <v/>
      </c>
      <c r="R265" s="601" t="str">
        <f t="shared" ca="1" si="126"/>
        <v/>
      </c>
      <c r="S265" s="601" t="str">
        <f t="shared" ca="1" si="126"/>
        <v/>
      </c>
      <c r="T265" s="601" t="str">
        <f t="shared" ca="1" si="126"/>
        <v/>
      </c>
      <c r="U265" s="601" t="str">
        <f t="shared" ca="1" si="126"/>
        <v/>
      </c>
      <c r="V265" s="601" t="str">
        <f t="shared" ca="1" si="126"/>
        <v/>
      </c>
      <c r="W265" s="601" t="str">
        <f t="shared" ca="1" si="126"/>
        <v/>
      </c>
      <c r="X265" s="601" t="str">
        <f t="shared" ca="1" si="126"/>
        <v/>
      </c>
      <c r="Y265" s="601" t="str">
        <f t="shared" ca="1" si="126"/>
        <v/>
      </c>
      <c r="Z265" s="601" t="str">
        <f t="shared" ca="1" si="126"/>
        <v/>
      </c>
      <c r="AA265" s="601" t="str">
        <f t="shared" ca="1" si="126"/>
        <v/>
      </c>
      <c r="AB265" s="601" t="str">
        <f t="shared" ca="1" si="126"/>
        <v/>
      </c>
      <c r="AC265" s="601" t="str">
        <f t="shared" ca="1" si="126"/>
        <v/>
      </c>
      <c r="AD265" s="601" t="str">
        <f t="shared" ca="1" si="126"/>
        <v/>
      </c>
      <c r="AE265" s="601" t="str">
        <f t="shared" ca="1" si="126"/>
        <v/>
      </c>
      <c r="AF265" s="601" t="str">
        <f t="shared" ca="1" si="126"/>
        <v/>
      </c>
      <c r="AG265" s="601" t="str">
        <f t="shared" ca="1" si="126"/>
        <v/>
      </c>
      <c r="AH265" s="601" t="str">
        <f t="shared" ca="1" si="126"/>
        <v/>
      </c>
      <c r="AI265" s="601" t="str">
        <f t="shared" ca="1" si="126"/>
        <v/>
      </c>
      <c r="AJ265" s="601" t="str">
        <f t="shared" ca="1" si="126"/>
        <v/>
      </c>
      <c r="AK265" s="601" t="str">
        <f t="shared" ca="1" si="126"/>
        <v/>
      </c>
      <c r="AL265" s="601" t="str">
        <f t="shared" ca="1" si="126"/>
        <v/>
      </c>
      <c r="AM265" s="601" t="str">
        <f t="shared" ca="1" si="126"/>
        <v/>
      </c>
      <c r="AN265" s="601" t="str">
        <f t="shared" ca="1" si="126"/>
        <v/>
      </c>
      <c r="AO265" s="601" t="str">
        <f t="shared" ca="1" si="126"/>
        <v/>
      </c>
      <c r="AP265" s="601" t="str">
        <f t="shared" ca="1" si="126"/>
        <v/>
      </c>
      <c r="AQ265" s="601" t="str">
        <f t="shared" ca="1" si="126"/>
        <v/>
      </c>
      <c r="AR265" s="601" t="str">
        <f t="shared" ca="1" si="126"/>
        <v/>
      </c>
      <c r="AS265" s="601" t="str">
        <f t="shared" ca="1" si="126"/>
        <v/>
      </c>
      <c r="AT265" s="601" t="str">
        <f t="shared" ca="1" si="126"/>
        <v/>
      </c>
      <c r="AU265" s="601" t="str">
        <f t="shared" ca="1" si="126"/>
        <v/>
      </c>
      <c r="AV265" s="601" t="str">
        <f t="shared" ca="1" si="126"/>
        <v/>
      </c>
      <c r="AW265" s="601" t="str">
        <f t="shared" ca="1" si="126"/>
        <v/>
      </c>
      <c r="AX265" s="601" t="str">
        <f t="shared" ca="1" si="126"/>
        <v/>
      </c>
      <c r="AY265" s="601" t="str">
        <f t="shared" ca="1" si="126"/>
        <v/>
      </c>
      <c r="AZ265" s="601" t="str">
        <f t="shared" ca="1" si="126"/>
        <v/>
      </c>
      <c r="BA265" s="602" t="str">
        <f t="shared" ca="1" si="126"/>
        <v/>
      </c>
      <c r="BB265" s="650" t="str">
        <f t="shared" ca="1" si="126"/>
        <v/>
      </c>
      <c r="BC265" s="569"/>
      <c r="BD265" s="569"/>
      <c r="BE265" s="569"/>
      <c r="BF265" s="569"/>
      <c r="BG265" s="569"/>
      <c r="BH265" s="569"/>
      <c r="BI265" s="569"/>
      <c r="BJ265" s="569"/>
      <c r="BK265" s="569"/>
      <c r="BL265" s="569"/>
      <c r="BM265" s="569"/>
      <c r="BN265" s="569"/>
      <c r="BO265" s="569"/>
      <c r="BP265" s="569"/>
      <c r="BQ265" s="569"/>
      <c r="BR265" s="569"/>
      <c r="BS265" s="569"/>
      <c r="BT265" s="569"/>
      <c r="BU265" s="569"/>
      <c r="BV265" s="569"/>
      <c r="BW265" s="569"/>
      <c r="BX265" s="569"/>
      <c r="BY265" s="569"/>
      <c r="BZ265" s="569"/>
      <c r="CA265" s="569"/>
      <c r="CB265" s="569"/>
      <c r="CC265" s="569"/>
      <c r="CD265" s="569"/>
      <c r="CE265" s="569"/>
      <c r="CF265" s="569"/>
      <c r="CG265" s="569"/>
      <c r="CH265" s="569"/>
      <c r="CI265" s="569"/>
      <c r="CJ265" s="569"/>
      <c r="CK265" s="569"/>
      <c r="CL265" s="569"/>
      <c r="CM265" s="569"/>
      <c r="CN265" s="569"/>
      <c r="CO265" s="569"/>
      <c r="CP265" s="569"/>
      <c r="CQ265" s="569"/>
      <c r="CR265" s="569"/>
      <c r="CS265" s="569"/>
      <c r="CT265" s="569"/>
      <c r="CU265" s="569"/>
      <c r="CV265" s="569"/>
      <c r="CW265" s="569"/>
      <c r="CX265" s="569"/>
      <c r="CY265" s="569"/>
      <c r="CZ265" s="569"/>
      <c r="DA265" s="569"/>
      <c r="DB265" s="569"/>
      <c r="DC265" s="569"/>
      <c r="DD265" s="569"/>
      <c r="DE265" s="569"/>
      <c r="DF265" s="569"/>
      <c r="DG265" s="569"/>
      <c r="DH265" s="569"/>
      <c r="DI265" s="569"/>
      <c r="DJ265" s="569"/>
      <c r="DK265" s="569"/>
      <c r="DL265" s="569"/>
      <c r="DM265" s="569"/>
      <c r="DN265" s="569"/>
      <c r="DO265" s="569"/>
      <c r="DP265" s="569"/>
      <c r="DQ265" s="569"/>
      <c r="DR265" s="569"/>
      <c r="DS265" s="569"/>
      <c r="DT265" s="569"/>
      <c r="DU265" s="569"/>
      <c r="DV265" s="569"/>
      <c r="DW265" s="569"/>
      <c r="DX265" s="569"/>
      <c r="DY265" s="569"/>
      <c r="DZ265" s="569"/>
      <c r="EA265" s="569"/>
      <c r="EB265" s="569"/>
      <c r="EC265" s="569"/>
      <c r="ED265" s="569"/>
      <c r="EE265" s="569"/>
      <c r="EF265" s="569"/>
      <c r="EG265" s="569"/>
      <c r="EH265" s="569"/>
      <c r="EI265" s="569"/>
      <c r="EJ265" s="569"/>
      <c r="EK265" s="569"/>
      <c r="EL265" s="569"/>
      <c r="EM265" s="569"/>
      <c r="EN265" s="569"/>
      <c r="EO265" s="569"/>
      <c r="EP265" s="569"/>
      <c r="EQ265" s="569"/>
      <c r="ER265" s="569"/>
      <c r="ES265" s="569"/>
      <c r="ET265" s="569"/>
      <c r="EU265" s="569"/>
      <c r="EV265" s="569"/>
      <c r="EW265" s="569"/>
      <c r="EX265" s="569"/>
      <c r="EY265" s="569"/>
      <c r="EZ265" s="569"/>
      <c r="FA265" s="569"/>
      <c r="FB265" s="569"/>
      <c r="FC265" s="569"/>
      <c r="FD265" s="569"/>
      <c r="FE265" s="569"/>
      <c r="FF265" s="569"/>
      <c r="FG265" s="569"/>
      <c r="FH265" s="569"/>
      <c r="FI265" s="569"/>
      <c r="FJ265" s="569"/>
      <c r="FK265" s="569"/>
      <c r="FL265" s="569"/>
      <c r="FM265" s="569"/>
      <c r="FN265" s="569"/>
      <c r="FO265" s="569"/>
      <c r="FP265" s="569"/>
      <c r="FQ265" s="569"/>
      <c r="FR265" s="569"/>
      <c r="FS265" s="569"/>
      <c r="FT265" s="569"/>
      <c r="FU265" s="569"/>
      <c r="FV265" s="569"/>
      <c r="FW265" s="569"/>
      <c r="FX265" s="569"/>
      <c r="FY265" s="569"/>
      <c r="FZ265" s="569"/>
      <c r="GA265" s="569"/>
      <c r="GB265" s="569"/>
      <c r="GC265" s="569"/>
      <c r="GD265" s="569"/>
      <c r="GE265" s="569"/>
      <c r="GF265" s="569"/>
      <c r="GG265" s="569"/>
      <c r="GH265" s="569"/>
      <c r="GI265" s="569"/>
      <c r="GJ265" s="569"/>
      <c r="GK265" s="569"/>
      <c r="GL265" s="569"/>
      <c r="GM265" s="569"/>
      <c r="GN265" s="569"/>
      <c r="GO265" s="569"/>
      <c r="GP265" s="569"/>
      <c r="GQ265" s="569"/>
      <c r="GR265" s="569"/>
      <c r="GS265" s="569"/>
      <c r="GT265" s="569"/>
      <c r="GU265" s="569"/>
      <c r="GV265" s="569"/>
      <c r="GW265" s="569"/>
      <c r="GX265" s="569"/>
      <c r="GY265" s="569"/>
      <c r="GZ265" s="569"/>
      <c r="HA265" s="569"/>
      <c r="HB265" s="569"/>
      <c r="HC265" s="569"/>
      <c r="HD265" s="569"/>
      <c r="HE265" s="569"/>
      <c r="HF265" s="569"/>
      <c r="HG265" s="569"/>
      <c r="HH265" s="569"/>
      <c r="HI265" s="569"/>
      <c r="HJ265" s="569"/>
      <c r="HK265" s="569"/>
      <c r="IE265" s="579"/>
      <c r="IF265" s="579"/>
      <c r="IG265" s="579"/>
      <c r="IH265" s="579"/>
    </row>
    <row r="266" spans="1:242" s="164" customFormat="1" ht="20.100000000000001" hidden="1" customHeight="1">
      <c r="A266" s="569">
        <v>20</v>
      </c>
      <c r="B266" s="1052"/>
      <c r="C266" s="609" t="s">
        <v>677</v>
      </c>
      <c r="D266" s="610">
        <v>6</v>
      </c>
      <c r="E266" s="736" t="str">
        <f t="shared" ref="E266:AJ266" ca="1" si="127">IFERROR(OFFSET(貼付け_2025実績,$D266,E265+1)&amp;"","")</f>
        <v/>
      </c>
      <c r="F266" s="611" t="str">
        <f t="shared" ca="1" si="127"/>
        <v/>
      </c>
      <c r="G266" s="611" t="str">
        <f t="shared" ca="1" si="127"/>
        <v/>
      </c>
      <c r="H266" s="611" t="str">
        <f t="shared" ca="1" si="127"/>
        <v/>
      </c>
      <c r="I266" s="611" t="str">
        <f t="shared" ca="1" si="127"/>
        <v/>
      </c>
      <c r="J266" s="611" t="str">
        <f t="shared" ca="1" si="127"/>
        <v/>
      </c>
      <c r="K266" s="611" t="str">
        <f t="shared" ca="1" si="127"/>
        <v/>
      </c>
      <c r="L266" s="611" t="str">
        <f t="shared" ca="1" si="127"/>
        <v/>
      </c>
      <c r="M266" s="611" t="str">
        <f t="shared" ca="1" si="127"/>
        <v/>
      </c>
      <c r="N266" s="611" t="str">
        <f t="shared" ca="1" si="127"/>
        <v/>
      </c>
      <c r="O266" s="611" t="str">
        <f ca="1">IFERROR(OFFSET(貼付け_2025実績,$D266,O265+1)&amp;"","")</f>
        <v/>
      </c>
      <c r="P266" s="611" t="str">
        <f t="shared" ca="1" si="127"/>
        <v/>
      </c>
      <c r="Q266" s="611" t="str">
        <f t="shared" ca="1" si="127"/>
        <v/>
      </c>
      <c r="R266" s="611" t="str">
        <f t="shared" ca="1" si="127"/>
        <v/>
      </c>
      <c r="S266" s="611" t="str">
        <f t="shared" ca="1" si="127"/>
        <v/>
      </c>
      <c r="T266" s="611" t="str">
        <f t="shared" ca="1" si="127"/>
        <v/>
      </c>
      <c r="U266" s="611" t="str">
        <f t="shared" ca="1" si="127"/>
        <v/>
      </c>
      <c r="V266" s="611" t="str">
        <f t="shared" ca="1" si="127"/>
        <v/>
      </c>
      <c r="W266" s="611" t="str">
        <f t="shared" ca="1" si="127"/>
        <v/>
      </c>
      <c r="X266" s="611" t="str">
        <f t="shared" ca="1" si="127"/>
        <v/>
      </c>
      <c r="Y266" s="611" t="str">
        <f t="shared" ca="1" si="127"/>
        <v/>
      </c>
      <c r="Z266" s="611" t="str">
        <f t="shared" ca="1" si="127"/>
        <v/>
      </c>
      <c r="AA266" s="611" t="str">
        <f t="shared" ca="1" si="127"/>
        <v/>
      </c>
      <c r="AB266" s="611" t="str">
        <f t="shared" ca="1" si="127"/>
        <v/>
      </c>
      <c r="AC266" s="611" t="str">
        <f t="shared" ca="1" si="127"/>
        <v/>
      </c>
      <c r="AD266" s="611" t="str">
        <f t="shared" ca="1" si="127"/>
        <v/>
      </c>
      <c r="AE266" s="611" t="str">
        <f t="shared" ca="1" si="127"/>
        <v/>
      </c>
      <c r="AF266" s="611" t="str">
        <f t="shared" ca="1" si="127"/>
        <v/>
      </c>
      <c r="AG266" s="611" t="str">
        <f t="shared" ca="1" si="127"/>
        <v/>
      </c>
      <c r="AH266" s="611" t="str">
        <f t="shared" ca="1" si="127"/>
        <v/>
      </c>
      <c r="AI266" s="611" t="str">
        <f t="shared" ca="1" si="127"/>
        <v/>
      </c>
      <c r="AJ266" s="611" t="str">
        <f t="shared" ca="1" si="127"/>
        <v/>
      </c>
      <c r="AK266" s="611" t="str">
        <f t="shared" ref="AK266:BB266" ca="1" si="128">IFERROR(OFFSET(貼付け_2025実績,$D266,AK265+1)&amp;"","")</f>
        <v/>
      </c>
      <c r="AL266" s="611" t="str">
        <f t="shared" ca="1" si="128"/>
        <v/>
      </c>
      <c r="AM266" s="611" t="str">
        <f t="shared" ca="1" si="128"/>
        <v/>
      </c>
      <c r="AN266" s="611" t="str">
        <f t="shared" ca="1" si="128"/>
        <v/>
      </c>
      <c r="AO266" s="611" t="str">
        <f t="shared" ca="1" si="128"/>
        <v/>
      </c>
      <c r="AP266" s="611" t="str">
        <f t="shared" ca="1" si="128"/>
        <v/>
      </c>
      <c r="AQ266" s="611" t="str">
        <f t="shared" ca="1" si="128"/>
        <v/>
      </c>
      <c r="AR266" s="611" t="str">
        <f t="shared" ca="1" si="128"/>
        <v/>
      </c>
      <c r="AS266" s="611" t="str">
        <f t="shared" ca="1" si="128"/>
        <v/>
      </c>
      <c r="AT266" s="611" t="str">
        <f t="shared" ca="1" si="128"/>
        <v/>
      </c>
      <c r="AU266" s="611" t="str">
        <f t="shared" ca="1" si="128"/>
        <v/>
      </c>
      <c r="AV266" s="611" t="str">
        <f t="shared" ca="1" si="128"/>
        <v/>
      </c>
      <c r="AW266" s="611" t="str">
        <f t="shared" ca="1" si="128"/>
        <v/>
      </c>
      <c r="AX266" s="611" t="str">
        <f t="shared" ca="1" si="128"/>
        <v/>
      </c>
      <c r="AY266" s="611" t="str">
        <f t="shared" ca="1" si="128"/>
        <v/>
      </c>
      <c r="AZ266" s="611" t="str">
        <f t="shared" ca="1" si="128"/>
        <v/>
      </c>
      <c r="BA266" s="612" t="str">
        <f t="shared" ca="1" si="128"/>
        <v/>
      </c>
      <c r="BB266" s="652" t="str">
        <f t="shared" ca="1" si="128"/>
        <v/>
      </c>
      <c r="BC266" s="613"/>
      <c r="IE266" s="579"/>
      <c r="IF266" s="579"/>
      <c r="IG266" s="579"/>
      <c r="IH266" s="579"/>
    </row>
    <row r="267" spans="1:242" s="164" customFormat="1" ht="20.100000000000001" hidden="1" customHeight="1">
      <c r="A267" s="569">
        <v>21</v>
      </c>
      <c r="B267" s="1052"/>
      <c r="C267" s="614" t="s">
        <v>678</v>
      </c>
      <c r="D267" s="615">
        <v>99</v>
      </c>
      <c r="E267" s="737" t="str">
        <f t="shared" ref="E267:AJ267" ca="1" si="129">IFERROR(OFFSET(貼付け_2025実績,$D267,E265),"")&amp;""</f>
        <v/>
      </c>
      <c r="F267" s="616" t="str">
        <f t="shared" ca="1" si="129"/>
        <v/>
      </c>
      <c r="G267" s="616" t="str">
        <f t="shared" ca="1" si="129"/>
        <v/>
      </c>
      <c r="H267" s="616" t="str">
        <f t="shared" ca="1" si="129"/>
        <v/>
      </c>
      <c r="I267" s="616" t="str">
        <f t="shared" ca="1" si="129"/>
        <v/>
      </c>
      <c r="J267" s="616" t="str">
        <f t="shared" ca="1" si="129"/>
        <v/>
      </c>
      <c r="K267" s="616" t="str">
        <f t="shared" ca="1" si="129"/>
        <v/>
      </c>
      <c r="L267" s="616" t="str">
        <f t="shared" ca="1" si="129"/>
        <v/>
      </c>
      <c r="M267" s="616" t="str">
        <f t="shared" ca="1" si="129"/>
        <v/>
      </c>
      <c r="N267" s="616" t="str">
        <f t="shared" ca="1" si="129"/>
        <v/>
      </c>
      <c r="O267" s="616" t="str">
        <f ca="1">IFERROR(OFFSET(貼付け_2025実績,$D267,O265),"")&amp;""</f>
        <v/>
      </c>
      <c r="P267" s="616" t="str">
        <f t="shared" ca="1" si="129"/>
        <v/>
      </c>
      <c r="Q267" s="616" t="str">
        <f t="shared" ca="1" si="129"/>
        <v/>
      </c>
      <c r="R267" s="616" t="str">
        <f t="shared" ca="1" si="129"/>
        <v/>
      </c>
      <c r="S267" s="616" t="str">
        <f t="shared" ca="1" si="129"/>
        <v/>
      </c>
      <c r="T267" s="616" t="str">
        <f t="shared" ca="1" si="129"/>
        <v/>
      </c>
      <c r="U267" s="616" t="str">
        <f t="shared" ca="1" si="129"/>
        <v/>
      </c>
      <c r="V267" s="616" t="str">
        <f t="shared" ca="1" si="129"/>
        <v/>
      </c>
      <c r="W267" s="616" t="str">
        <f t="shared" ca="1" si="129"/>
        <v/>
      </c>
      <c r="X267" s="616" t="str">
        <f t="shared" ca="1" si="129"/>
        <v/>
      </c>
      <c r="Y267" s="616" t="str">
        <f t="shared" ca="1" si="129"/>
        <v/>
      </c>
      <c r="Z267" s="616" t="str">
        <f t="shared" ca="1" si="129"/>
        <v/>
      </c>
      <c r="AA267" s="616" t="str">
        <f t="shared" ca="1" si="129"/>
        <v/>
      </c>
      <c r="AB267" s="616" t="str">
        <f t="shared" ca="1" si="129"/>
        <v/>
      </c>
      <c r="AC267" s="616" t="str">
        <f t="shared" ca="1" si="129"/>
        <v/>
      </c>
      <c r="AD267" s="616" t="str">
        <f t="shared" ca="1" si="129"/>
        <v/>
      </c>
      <c r="AE267" s="616" t="str">
        <f t="shared" ca="1" si="129"/>
        <v/>
      </c>
      <c r="AF267" s="616" t="str">
        <f t="shared" ca="1" si="129"/>
        <v/>
      </c>
      <c r="AG267" s="616" t="str">
        <f t="shared" ca="1" si="129"/>
        <v/>
      </c>
      <c r="AH267" s="616" t="str">
        <f t="shared" ca="1" si="129"/>
        <v/>
      </c>
      <c r="AI267" s="616" t="str">
        <f t="shared" ca="1" si="129"/>
        <v/>
      </c>
      <c r="AJ267" s="616" t="str">
        <f t="shared" ca="1" si="129"/>
        <v/>
      </c>
      <c r="AK267" s="616" t="str">
        <f t="shared" ref="AK267:BB267" ca="1" si="130">IFERROR(OFFSET(貼付け_2025実績,$D267,AK265),"")&amp;""</f>
        <v/>
      </c>
      <c r="AL267" s="616" t="str">
        <f t="shared" ca="1" si="130"/>
        <v/>
      </c>
      <c r="AM267" s="616" t="str">
        <f t="shared" ca="1" si="130"/>
        <v/>
      </c>
      <c r="AN267" s="616" t="str">
        <f t="shared" ca="1" si="130"/>
        <v/>
      </c>
      <c r="AO267" s="616" t="str">
        <f t="shared" ca="1" si="130"/>
        <v/>
      </c>
      <c r="AP267" s="616" t="str">
        <f t="shared" ca="1" si="130"/>
        <v/>
      </c>
      <c r="AQ267" s="616" t="str">
        <f t="shared" ca="1" si="130"/>
        <v/>
      </c>
      <c r="AR267" s="616" t="str">
        <f t="shared" ca="1" si="130"/>
        <v/>
      </c>
      <c r="AS267" s="616" t="str">
        <f t="shared" ca="1" si="130"/>
        <v/>
      </c>
      <c r="AT267" s="616" t="str">
        <f t="shared" ca="1" si="130"/>
        <v/>
      </c>
      <c r="AU267" s="616" t="str">
        <f t="shared" ca="1" si="130"/>
        <v/>
      </c>
      <c r="AV267" s="616" t="str">
        <f t="shared" ca="1" si="130"/>
        <v/>
      </c>
      <c r="AW267" s="616" t="str">
        <f t="shared" ca="1" si="130"/>
        <v/>
      </c>
      <c r="AX267" s="616" t="str">
        <f t="shared" ca="1" si="130"/>
        <v/>
      </c>
      <c r="AY267" s="616" t="str">
        <f t="shared" ca="1" si="130"/>
        <v/>
      </c>
      <c r="AZ267" s="616" t="str">
        <f t="shared" ca="1" si="130"/>
        <v/>
      </c>
      <c r="BA267" s="616" t="str">
        <f t="shared" ca="1" si="130"/>
        <v/>
      </c>
      <c r="BB267" s="653" t="str">
        <f t="shared" ca="1" si="130"/>
        <v/>
      </c>
      <c r="IE267" s="579"/>
      <c r="IF267" s="579"/>
      <c r="IG267" s="579"/>
      <c r="IH267" s="579"/>
    </row>
    <row r="268" spans="1:242" s="164" customFormat="1" ht="20.100000000000001" hidden="1" customHeight="1">
      <c r="A268" s="569">
        <v>22</v>
      </c>
      <c r="B268" s="1052"/>
      <c r="C268" s="614" t="s">
        <v>679</v>
      </c>
      <c r="D268" s="615">
        <v>6</v>
      </c>
      <c r="E268" s="737" t="str">
        <f t="shared" ref="E268:AJ268" ca="1" si="131">IFERROR(OFFSET(A1_集計2025,$D268,E265),"")</f>
        <v/>
      </c>
      <c r="F268" s="616" t="str">
        <f t="shared" ca="1" si="131"/>
        <v/>
      </c>
      <c r="G268" s="616" t="str">
        <f t="shared" ca="1" si="131"/>
        <v/>
      </c>
      <c r="H268" s="616" t="str">
        <f t="shared" ca="1" si="131"/>
        <v/>
      </c>
      <c r="I268" s="616" t="str">
        <f t="shared" ca="1" si="131"/>
        <v/>
      </c>
      <c r="J268" s="616" t="str">
        <f t="shared" ca="1" si="131"/>
        <v/>
      </c>
      <c r="K268" s="616" t="str">
        <f t="shared" ca="1" si="131"/>
        <v/>
      </c>
      <c r="L268" s="616" t="str">
        <f t="shared" ca="1" si="131"/>
        <v/>
      </c>
      <c r="M268" s="616" t="str">
        <f t="shared" ca="1" si="131"/>
        <v/>
      </c>
      <c r="N268" s="616" t="str">
        <f t="shared" ca="1" si="131"/>
        <v/>
      </c>
      <c r="O268" s="616" t="str">
        <f ca="1">IFERROR(OFFSET(A1_集計2025,$D268,O265),"")</f>
        <v/>
      </c>
      <c r="P268" s="616" t="str">
        <f t="shared" ca="1" si="131"/>
        <v/>
      </c>
      <c r="Q268" s="616" t="str">
        <f t="shared" ca="1" si="131"/>
        <v/>
      </c>
      <c r="R268" s="616" t="str">
        <f t="shared" ca="1" si="131"/>
        <v/>
      </c>
      <c r="S268" s="616" t="str">
        <f t="shared" ca="1" si="131"/>
        <v/>
      </c>
      <c r="T268" s="616" t="str">
        <f t="shared" ca="1" si="131"/>
        <v/>
      </c>
      <c r="U268" s="616" t="str">
        <f t="shared" ca="1" si="131"/>
        <v/>
      </c>
      <c r="V268" s="616" t="str">
        <f t="shared" ca="1" si="131"/>
        <v/>
      </c>
      <c r="W268" s="616" t="str">
        <f t="shared" ca="1" si="131"/>
        <v/>
      </c>
      <c r="X268" s="616" t="str">
        <f t="shared" ca="1" si="131"/>
        <v/>
      </c>
      <c r="Y268" s="616" t="str">
        <f t="shared" ca="1" si="131"/>
        <v/>
      </c>
      <c r="Z268" s="616" t="str">
        <f t="shared" ca="1" si="131"/>
        <v/>
      </c>
      <c r="AA268" s="616" t="str">
        <f t="shared" ca="1" si="131"/>
        <v/>
      </c>
      <c r="AB268" s="616" t="str">
        <f t="shared" ca="1" si="131"/>
        <v/>
      </c>
      <c r="AC268" s="616" t="str">
        <f t="shared" ca="1" si="131"/>
        <v/>
      </c>
      <c r="AD268" s="616" t="str">
        <f t="shared" ca="1" si="131"/>
        <v/>
      </c>
      <c r="AE268" s="616" t="str">
        <f t="shared" ca="1" si="131"/>
        <v/>
      </c>
      <c r="AF268" s="616" t="str">
        <f t="shared" ca="1" si="131"/>
        <v/>
      </c>
      <c r="AG268" s="616" t="str">
        <f t="shared" ca="1" si="131"/>
        <v/>
      </c>
      <c r="AH268" s="616" t="str">
        <f t="shared" ca="1" si="131"/>
        <v/>
      </c>
      <c r="AI268" s="616" t="str">
        <f t="shared" ca="1" si="131"/>
        <v/>
      </c>
      <c r="AJ268" s="616" t="str">
        <f t="shared" ca="1" si="131"/>
        <v/>
      </c>
      <c r="AK268" s="616" t="str">
        <f t="shared" ref="AK268:BB268" ca="1" si="132">IFERROR(OFFSET(A1_集計2025,$D268,AK265),"")</f>
        <v/>
      </c>
      <c r="AL268" s="616" t="str">
        <f t="shared" ca="1" si="132"/>
        <v/>
      </c>
      <c r="AM268" s="616" t="str">
        <f t="shared" ca="1" si="132"/>
        <v/>
      </c>
      <c r="AN268" s="616" t="str">
        <f t="shared" ca="1" si="132"/>
        <v/>
      </c>
      <c r="AO268" s="616" t="str">
        <f t="shared" ca="1" si="132"/>
        <v/>
      </c>
      <c r="AP268" s="616" t="str">
        <f t="shared" ca="1" si="132"/>
        <v/>
      </c>
      <c r="AQ268" s="616" t="str">
        <f t="shared" ca="1" si="132"/>
        <v/>
      </c>
      <c r="AR268" s="616" t="str">
        <f t="shared" ca="1" si="132"/>
        <v/>
      </c>
      <c r="AS268" s="616" t="str">
        <f t="shared" ca="1" si="132"/>
        <v/>
      </c>
      <c r="AT268" s="616" t="str">
        <f t="shared" ca="1" si="132"/>
        <v/>
      </c>
      <c r="AU268" s="616" t="str">
        <f t="shared" ca="1" si="132"/>
        <v/>
      </c>
      <c r="AV268" s="616" t="str">
        <f t="shared" ca="1" si="132"/>
        <v/>
      </c>
      <c r="AW268" s="616" t="str">
        <f t="shared" ca="1" si="132"/>
        <v/>
      </c>
      <c r="AX268" s="616" t="str">
        <f t="shared" ca="1" si="132"/>
        <v/>
      </c>
      <c r="AY268" s="616" t="str">
        <f t="shared" ca="1" si="132"/>
        <v/>
      </c>
      <c r="AZ268" s="616" t="str">
        <f t="shared" ca="1" si="132"/>
        <v/>
      </c>
      <c r="BA268" s="587" t="str">
        <f t="shared" ca="1" si="132"/>
        <v/>
      </c>
      <c r="BB268" s="653" t="str">
        <f t="shared" ca="1" si="132"/>
        <v/>
      </c>
      <c r="IE268" s="579"/>
      <c r="IF268" s="579"/>
      <c r="IG268" s="579"/>
      <c r="IH268" s="579"/>
    </row>
    <row r="269" spans="1:242" s="164" customFormat="1" ht="20.100000000000001" hidden="1" customHeight="1">
      <c r="A269" s="569">
        <v>23</v>
      </c>
      <c r="B269" s="1052"/>
      <c r="C269" s="614" t="s">
        <v>680</v>
      </c>
      <c r="D269" s="615">
        <v>101</v>
      </c>
      <c r="E269" s="737" t="str">
        <f t="shared" ref="E269:AJ269" ca="1" si="133">IFERROR(OFFSET(貼付け_2025実績,$D269,E265),"")</f>
        <v/>
      </c>
      <c r="F269" s="616" t="str">
        <f t="shared" ca="1" si="133"/>
        <v/>
      </c>
      <c r="G269" s="616" t="str">
        <f t="shared" ca="1" si="133"/>
        <v/>
      </c>
      <c r="H269" s="616" t="str">
        <f t="shared" ca="1" si="133"/>
        <v/>
      </c>
      <c r="I269" s="616" t="str">
        <f t="shared" ca="1" si="133"/>
        <v/>
      </c>
      <c r="J269" s="616" t="str">
        <f t="shared" ca="1" si="133"/>
        <v/>
      </c>
      <c r="K269" s="616" t="str">
        <f t="shared" ca="1" si="133"/>
        <v/>
      </c>
      <c r="L269" s="616" t="str">
        <f t="shared" ca="1" si="133"/>
        <v/>
      </c>
      <c r="M269" s="616" t="str">
        <f t="shared" ca="1" si="133"/>
        <v/>
      </c>
      <c r="N269" s="616" t="str">
        <f t="shared" ca="1" si="133"/>
        <v/>
      </c>
      <c r="O269" s="616" t="str">
        <f ca="1">IFERROR(OFFSET(貼付け_2025実績,$D269,O265),"")</f>
        <v/>
      </c>
      <c r="P269" s="616" t="str">
        <f t="shared" ca="1" si="133"/>
        <v/>
      </c>
      <c r="Q269" s="616" t="str">
        <f t="shared" ca="1" si="133"/>
        <v/>
      </c>
      <c r="R269" s="616" t="str">
        <f t="shared" ca="1" si="133"/>
        <v/>
      </c>
      <c r="S269" s="616" t="str">
        <f t="shared" ca="1" si="133"/>
        <v/>
      </c>
      <c r="T269" s="616" t="str">
        <f t="shared" ca="1" si="133"/>
        <v/>
      </c>
      <c r="U269" s="616" t="str">
        <f t="shared" ca="1" si="133"/>
        <v/>
      </c>
      <c r="V269" s="616" t="str">
        <f t="shared" ca="1" si="133"/>
        <v/>
      </c>
      <c r="W269" s="616" t="str">
        <f t="shared" ca="1" si="133"/>
        <v/>
      </c>
      <c r="X269" s="616" t="str">
        <f t="shared" ca="1" si="133"/>
        <v/>
      </c>
      <c r="Y269" s="616" t="str">
        <f t="shared" ca="1" si="133"/>
        <v/>
      </c>
      <c r="Z269" s="616" t="str">
        <f t="shared" ca="1" si="133"/>
        <v/>
      </c>
      <c r="AA269" s="616" t="str">
        <f t="shared" ca="1" si="133"/>
        <v/>
      </c>
      <c r="AB269" s="616" t="str">
        <f t="shared" ca="1" si="133"/>
        <v/>
      </c>
      <c r="AC269" s="616" t="str">
        <f t="shared" ca="1" si="133"/>
        <v/>
      </c>
      <c r="AD269" s="616" t="str">
        <f t="shared" ca="1" si="133"/>
        <v/>
      </c>
      <c r="AE269" s="616" t="str">
        <f t="shared" ca="1" si="133"/>
        <v/>
      </c>
      <c r="AF269" s="616" t="str">
        <f t="shared" ca="1" si="133"/>
        <v/>
      </c>
      <c r="AG269" s="616" t="str">
        <f t="shared" ca="1" si="133"/>
        <v/>
      </c>
      <c r="AH269" s="616" t="str">
        <f t="shared" ca="1" si="133"/>
        <v/>
      </c>
      <c r="AI269" s="616" t="str">
        <f t="shared" ca="1" si="133"/>
        <v/>
      </c>
      <c r="AJ269" s="616" t="str">
        <f t="shared" ca="1" si="133"/>
        <v/>
      </c>
      <c r="AK269" s="616" t="str">
        <f t="shared" ref="AK269:BB269" ca="1" si="134">IFERROR(OFFSET(貼付け_2025実績,$D269,AK265),"")</f>
        <v/>
      </c>
      <c r="AL269" s="616" t="str">
        <f t="shared" ca="1" si="134"/>
        <v/>
      </c>
      <c r="AM269" s="616" t="str">
        <f t="shared" ca="1" si="134"/>
        <v/>
      </c>
      <c r="AN269" s="616" t="str">
        <f t="shared" ca="1" si="134"/>
        <v/>
      </c>
      <c r="AO269" s="616" t="str">
        <f t="shared" ca="1" si="134"/>
        <v/>
      </c>
      <c r="AP269" s="616" t="str">
        <f t="shared" ca="1" si="134"/>
        <v/>
      </c>
      <c r="AQ269" s="616" t="str">
        <f t="shared" ca="1" si="134"/>
        <v/>
      </c>
      <c r="AR269" s="616" t="str">
        <f t="shared" ca="1" si="134"/>
        <v/>
      </c>
      <c r="AS269" s="616" t="str">
        <f t="shared" ca="1" si="134"/>
        <v/>
      </c>
      <c r="AT269" s="616" t="str">
        <f t="shared" ca="1" si="134"/>
        <v/>
      </c>
      <c r="AU269" s="616" t="str">
        <f t="shared" ca="1" si="134"/>
        <v/>
      </c>
      <c r="AV269" s="616" t="str">
        <f t="shared" ca="1" si="134"/>
        <v/>
      </c>
      <c r="AW269" s="616" t="str">
        <f t="shared" ca="1" si="134"/>
        <v/>
      </c>
      <c r="AX269" s="616" t="str">
        <f t="shared" ca="1" si="134"/>
        <v/>
      </c>
      <c r="AY269" s="616" t="str">
        <f t="shared" ca="1" si="134"/>
        <v/>
      </c>
      <c r="AZ269" s="616" t="str">
        <f t="shared" ca="1" si="134"/>
        <v/>
      </c>
      <c r="BA269" s="587" t="str">
        <f t="shared" ca="1" si="134"/>
        <v/>
      </c>
      <c r="BB269" s="653" t="str">
        <f t="shared" ca="1" si="134"/>
        <v/>
      </c>
      <c r="IE269" s="579"/>
      <c r="IF269" s="579"/>
      <c r="IG269" s="579"/>
      <c r="IH269" s="579"/>
    </row>
    <row r="270" spans="1:242" s="164" customFormat="1" ht="20.100000000000001" hidden="1" customHeight="1">
      <c r="A270" s="569">
        <v>24</v>
      </c>
      <c r="B270" s="1052"/>
      <c r="C270" s="614" t="s">
        <v>681</v>
      </c>
      <c r="D270" s="615"/>
      <c r="E270" s="737" t="str">
        <f ca="1">IFERROR(E268/E269,"")</f>
        <v/>
      </c>
      <c r="F270" s="616" t="str">
        <f t="shared" ref="F270:BB270" ca="1" si="135">IFERROR(F268/F269,"")</f>
        <v/>
      </c>
      <c r="G270" s="616" t="str">
        <f t="shared" ca="1" si="135"/>
        <v/>
      </c>
      <c r="H270" s="616" t="str">
        <f t="shared" ca="1" si="135"/>
        <v/>
      </c>
      <c r="I270" s="616" t="str">
        <f t="shared" ca="1" si="135"/>
        <v/>
      </c>
      <c r="J270" s="616" t="str">
        <f t="shared" ca="1" si="135"/>
        <v/>
      </c>
      <c r="K270" s="616" t="str">
        <f t="shared" ca="1" si="135"/>
        <v/>
      </c>
      <c r="L270" s="616" t="str">
        <f t="shared" ca="1" si="135"/>
        <v/>
      </c>
      <c r="M270" s="616" t="str">
        <f t="shared" ca="1" si="135"/>
        <v/>
      </c>
      <c r="N270" s="616" t="str">
        <f t="shared" ca="1" si="135"/>
        <v/>
      </c>
      <c r="O270" s="616" t="str">
        <f t="shared" ca="1" si="135"/>
        <v/>
      </c>
      <c r="P270" s="616" t="str">
        <f t="shared" ca="1" si="135"/>
        <v/>
      </c>
      <c r="Q270" s="616" t="str">
        <f t="shared" ca="1" si="135"/>
        <v/>
      </c>
      <c r="R270" s="616" t="str">
        <f t="shared" ca="1" si="135"/>
        <v/>
      </c>
      <c r="S270" s="616" t="str">
        <f t="shared" ca="1" si="135"/>
        <v/>
      </c>
      <c r="T270" s="616" t="str">
        <f t="shared" ca="1" si="135"/>
        <v/>
      </c>
      <c r="U270" s="616" t="str">
        <f t="shared" ca="1" si="135"/>
        <v/>
      </c>
      <c r="V270" s="616" t="str">
        <f t="shared" ca="1" si="135"/>
        <v/>
      </c>
      <c r="W270" s="616" t="str">
        <f t="shared" ca="1" si="135"/>
        <v/>
      </c>
      <c r="X270" s="616" t="str">
        <f t="shared" ca="1" si="135"/>
        <v/>
      </c>
      <c r="Y270" s="616" t="str">
        <f t="shared" ca="1" si="135"/>
        <v/>
      </c>
      <c r="Z270" s="616" t="str">
        <f t="shared" ca="1" si="135"/>
        <v/>
      </c>
      <c r="AA270" s="616" t="str">
        <f t="shared" ca="1" si="135"/>
        <v/>
      </c>
      <c r="AB270" s="616" t="str">
        <f t="shared" ca="1" si="135"/>
        <v/>
      </c>
      <c r="AC270" s="616" t="str">
        <f t="shared" ca="1" si="135"/>
        <v/>
      </c>
      <c r="AD270" s="616" t="str">
        <f t="shared" ca="1" si="135"/>
        <v/>
      </c>
      <c r="AE270" s="616" t="str">
        <f t="shared" ca="1" si="135"/>
        <v/>
      </c>
      <c r="AF270" s="616" t="str">
        <f t="shared" ca="1" si="135"/>
        <v/>
      </c>
      <c r="AG270" s="616" t="str">
        <f t="shared" ca="1" si="135"/>
        <v/>
      </c>
      <c r="AH270" s="616" t="str">
        <f t="shared" ca="1" si="135"/>
        <v/>
      </c>
      <c r="AI270" s="616" t="str">
        <f t="shared" ca="1" si="135"/>
        <v/>
      </c>
      <c r="AJ270" s="616" t="str">
        <f t="shared" ca="1" si="135"/>
        <v/>
      </c>
      <c r="AK270" s="616" t="str">
        <f t="shared" ca="1" si="135"/>
        <v/>
      </c>
      <c r="AL270" s="616" t="str">
        <f t="shared" ca="1" si="135"/>
        <v/>
      </c>
      <c r="AM270" s="616" t="str">
        <f t="shared" ca="1" si="135"/>
        <v/>
      </c>
      <c r="AN270" s="616" t="str">
        <f t="shared" ca="1" si="135"/>
        <v/>
      </c>
      <c r="AO270" s="616" t="str">
        <f t="shared" ca="1" si="135"/>
        <v/>
      </c>
      <c r="AP270" s="616" t="str">
        <f t="shared" ca="1" si="135"/>
        <v/>
      </c>
      <c r="AQ270" s="616" t="str">
        <f t="shared" ca="1" si="135"/>
        <v/>
      </c>
      <c r="AR270" s="616" t="str">
        <f t="shared" ca="1" si="135"/>
        <v/>
      </c>
      <c r="AS270" s="616" t="str">
        <f t="shared" ca="1" si="135"/>
        <v/>
      </c>
      <c r="AT270" s="616" t="str">
        <f t="shared" ca="1" si="135"/>
        <v/>
      </c>
      <c r="AU270" s="616" t="str">
        <f t="shared" ca="1" si="135"/>
        <v/>
      </c>
      <c r="AV270" s="616" t="str">
        <f t="shared" ca="1" si="135"/>
        <v/>
      </c>
      <c r="AW270" s="616" t="str">
        <f t="shared" ca="1" si="135"/>
        <v/>
      </c>
      <c r="AX270" s="616" t="str">
        <f t="shared" ca="1" si="135"/>
        <v/>
      </c>
      <c r="AY270" s="616" t="str">
        <f t="shared" ca="1" si="135"/>
        <v/>
      </c>
      <c r="AZ270" s="616" t="str">
        <f t="shared" ca="1" si="135"/>
        <v/>
      </c>
      <c r="BA270" s="587" t="str">
        <f t="shared" ca="1" si="135"/>
        <v/>
      </c>
      <c r="BB270" s="653" t="str">
        <f t="shared" ca="1" si="135"/>
        <v/>
      </c>
      <c r="IE270" s="579"/>
      <c r="IF270" s="579"/>
      <c r="IG270" s="579"/>
      <c r="IH270" s="579"/>
    </row>
    <row r="271" spans="1:242" ht="19.5" hidden="1" customHeight="1" thickBot="1">
      <c r="A271" s="569">
        <v>25</v>
      </c>
      <c r="B271" s="1053"/>
      <c r="C271" s="617" t="s">
        <v>682</v>
      </c>
      <c r="D271" s="618">
        <v>24</v>
      </c>
      <c r="E271" s="738" t="str">
        <f t="shared" ref="E271:AJ271" ca="1" si="136">IFERROR(1-(E270/OFFSET(A1_原単位2024,$D271,E$247+2)),"")</f>
        <v/>
      </c>
      <c r="F271" s="619" t="str">
        <f t="shared" ca="1" si="136"/>
        <v/>
      </c>
      <c r="G271" s="619" t="str">
        <f t="shared" ca="1" si="136"/>
        <v/>
      </c>
      <c r="H271" s="619" t="str">
        <f t="shared" ca="1" si="136"/>
        <v/>
      </c>
      <c r="I271" s="619" t="str">
        <f t="shared" ca="1" si="136"/>
        <v/>
      </c>
      <c r="J271" s="619" t="str">
        <f t="shared" ca="1" si="136"/>
        <v/>
      </c>
      <c r="K271" s="619" t="str">
        <f t="shared" ca="1" si="136"/>
        <v/>
      </c>
      <c r="L271" s="619" t="str">
        <f t="shared" ca="1" si="136"/>
        <v/>
      </c>
      <c r="M271" s="619" t="str">
        <f t="shared" ca="1" si="136"/>
        <v/>
      </c>
      <c r="N271" s="619" t="str">
        <f t="shared" ca="1" si="136"/>
        <v/>
      </c>
      <c r="O271" s="619" t="str">
        <f t="shared" ca="1" si="136"/>
        <v/>
      </c>
      <c r="P271" s="619" t="str">
        <f t="shared" ca="1" si="136"/>
        <v/>
      </c>
      <c r="Q271" s="619" t="str">
        <f t="shared" ca="1" si="136"/>
        <v/>
      </c>
      <c r="R271" s="619" t="str">
        <f t="shared" ca="1" si="136"/>
        <v/>
      </c>
      <c r="S271" s="619" t="str">
        <f t="shared" ca="1" si="136"/>
        <v/>
      </c>
      <c r="T271" s="619" t="str">
        <f t="shared" ca="1" si="136"/>
        <v/>
      </c>
      <c r="U271" s="619" t="str">
        <f t="shared" ca="1" si="136"/>
        <v/>
      </c>
      <c r="V271" s="619" t="str">
        <f t="shared" ca="1" si="136"/>
        <v/>
      </c>
      <c r="W271" s="619" t="str">
        <f t="shared" ca="1" si="136"/>
        <v/>
      </c>
      <c r="X271" s="619" t="str">
        <f t="shared" ca="1" si="136"/>
        <v/>
      </c>
      <c r="Y271" s="619" t="str">
        <f t="shared" ca="1" si="136"/>
        <v/>
      </c>
      <c r="Z271" s="619" t="str">
        <f t="shared" ca="1" si="136"/>
        <v/>
      </c>
      <c r="AA271" s="619" t="str">
        <f t="shared" ca="1" si="136"/>
        <v/>
      </c>
      <c r="AB271" s="619" t="str">
        <f t="shared" ca="1" si="136"/>
        <v/>
      </c>
      <c r="AC271" s="619" t="str">
        <f t="shared" ca="1" si="136"/>
        <v/>
      </c>
      <c r="AD271" s="619" t="str">
        <f t="shared" ca="1" si="136"/>
        <v/>
      </c>
      <c r="AE271" s="619" t="str">
        <f t="shared" ca="1" si="136"/>
        <v/>
      </c>
      <c r="AF271" s="619" t="str">
        <f t="shared" ca="1" si="136"/>
        <v/>
      </c>
      <c r="AG271" s="619" t="str">
        <f t="shared" ca="1" si="136"/>
        <v/>
      </c>
      <c r="AH271" s="619" t="str">
        <f t="shared" ca="1" si="136"/>
        <v/>
      </c>
      <c r="AI271" s="619" t="str">
        <f t="shared" ca="1" si="136"/>
        <v/>
      </c>
      <c r="AJ271" s="619" t="str">
        <f t="shared" ca="1" si="136"/>
        <v/>
      </c>
      <c r="AK271" s="619" t="str">
        <f t="shared" ref="AK271:BB271" ca="1" si="137">IFERROR(1-(AK270/OFFSET(A1_原単位2024,$D271,AK$247+2)),"")</f>
        <v/>
      </c>
      <c r="AL271" s="619" t="str">
        <f t="shared" ca="1" si="137"/>
        <v/>
      </c>
      <c r="AM271" s="619" t="str">
        <f t="shared" ca="1" si="137"/>
        <v/>
      </c>
      <c r="AN271" s="619" t="str">
        <f t="shared" ca="1" si="137"/>
        <v/>
      </c>
      <c r="AO271" s="619" t="str">
        <f t="shared" ca="1" si="137"/>
        <v/>
      </c>
      <c r="AP271" s="619" t="str">
        <f t="shared" ca="1" si="137"/>
        <v/>
      </c>
      <c r="AQ271" s="619" t="str">
        <f t="shared" ca="1" si="137"/>
        <v/>
      </c>
      <c r="AR271" s="619" t="str">
        <f t="shared" ca="1" si="137"/>
        <v/>
      </c>
      <c r="AS271" s="619" t="str">
        <f t="shared" ca="1" si="137"/>
        <v/>
      </c>
      <c r="AT271" s="619" t="str">
        <f t="shared" ca="1" si="137"/>
        <v/>
      </c>
      <c r="AU271" s="619" t="str">
        <f t="shared" ca="1" si="137"/>
        <v/>
      </c>
      <c r="AV271" s="619" t="str">
        <f t="shared" ca="1" si="137"/>
        <v/>
      </c>
      <c r="AW271" s="619" t="str">
        <f t="shared" ca="1" si="137"/>
        <v/>
      </c>
      <c r="AX271" s="619" t="str">
        <f t="shared" ca="1" si="137"/>
        <v/>
      </c>
      <c r="AY271" s="619" t="str">
        <f t="shared" ca="1" si="137"/>
        <v/>
      </c>
      <c r="AZ271" s="619" t="str">
        <f t="shared" ca="1" si="137"/>
        <v/>
      </c>
      <c r="BA271" s="619" t="str">
        <f t="shared" ca="1" si="137"/>
        <v/>
      </c>
      <c r="BB271" s="739" t="str">
        <f t="shared" ca="1" si="137"/>
        <v/>
      </c>
      <c r="BC271" s="164"/>
      <c r="BD271" s="164"/>
      <c r="BE271" s="164"/>
      <c r="BF271" s="164"/>
      <c r="BG271" s="164"/>
      <c r="BH271" s="164"/>
      <c r="BI271" s="164"/>
      <c r="BJ271" s="164"/>
      <c r="BK271" s="164"/>
      <c r="BL271" s="164"/>
      <c r="BM271" s="164"/>
      <c r="BN271" s="164"/>
      <c r="BO271" s="164"/>
      <c r="BP271" s="164"/>
      <c r="BQ271" s="164"/>
      <c r="BR271" s="164"/>
      <c r="BS271" s="164"/>
      <c r="BT271" s="164"/>
      <c r="BU271" s="164"/>
      <c r="BV271" s="164"/>
      <c r="BW271" s="164"/>
      <c r="BX271" s="164"/>
      <c r="BY271" s="164"/>
      <c r="BZ271" s="164"/>
      <c r="CA271" s="164"/>
      <c r="CB271" s="164"/>
      <c r="CC271" s="164"/>
      <c r="CD271" s="164"/>
      <c r="CE271" s="164"/>
      <c r="CF271" s="164"/>
      <c r="CG271" s="164"/>
      <c r="CH271" s="164"/>
      <c r="CI271" s="164"/>
      <c r="CJ271" s="164"/>
      <c r="CK271" s="164"/>
      <c r="CL271" s="164"/>
      <c r="CM271" s="164"/>
      <c r="CN271" s="164"/>
      <c r="CO271" s="164"/>
      <c r="CP271" s="164"/>
      <c r="CQ271" s="164"/>
      <c r="CR271" s="164"/>
      <c r="CS271" s="164"/>
      <c r="CT271" s="164"/>
      <c r="CU271" s="164"/>
      <c r="CV271" s="164"/>
      <c r="CW271" s="164"/>
      <c r="CX271" s="164"/>
      <c r="CY271" s="164"/>
      <c r="CZ271" s="164"/>
      <c r="DA271" s="164"/>
      <c r="DB271" s="164"/>
      <c r="DC271" s="164"/>
      <c r="DD271" s="164"/>
      <c r="DE271" s="164"/>
      <c r="DF271" s="164"/>
      <c r="DG271" s="164"/>
      <c r="DH271" s="164"/>
      <c r="DI271" s="164"/>
      <c r="DJ271" s="164"/>
      <c r="DK271" s="164"/>
      <c r="DL271" s="164"/>
      <c r="DM271" s="164"/>
      <c r="DN271" s="164"/>
      <c r="DO271" s="164"/>
      <c r="DP271" s="164"/>
      <c r="DQ271" s="164"/>
      <c r="DR271" s="164"/>
      <c r="DS271" s="164"/>
      <c r="DT271" s="164"/>
      <c r="DU271" s="164"/>
      <c r="DV271" s="164"/>
      <c r="DW271" s="164"/>
      <c r="DX271" s="164"/>
      <c r="DY271" s="164"/>
      <c r="DZ271" s="164"/>
      <c r="EA271" s="164"/>
      <c r="EB271" s="164"/>
      <c r="EC271" s="164"/>
      <c r="ED271" s="164"/>
      <c r="EE271" s="164"/>
      <c r="EF271" s="164"/>
      <c r="EG271" s="164"/>
      <c r="EH271" s="164"/>
      <c r="EI271" s="164"/>
      <c r="EJ271" s="164"/>
      <c r="EK271" s="164"/>
      <c r="EL271" s="164"/>
      <c r="EM271" s="164"/>
      <c r="EN271" s="164"/>
      <c r="EO271" s="164"/>
      <c r="EP271" s="164"/>
      <c r="EQ271" s="164"/>
      <c r="ER271" s="164"/>
      <c r="ES271" s="164"/>
      <c r="ET271" s="164"/>
      <c r="EU271" s="164"/>
      <c r="EV271" s="164"/>
      <c r="EW271" s="164"/>
      <c r="EX271" s="164"/>
      <c r="EY271" s="164"/>
      <c r="EZ271" s="164"/>
      <c r="FA271" s="164"/>
      <c r="FB271" s="164"/>
      <c r="FC271" s="164"/>
      <c r="FD271" s="164"/>
      <c r="FE271" s="164"/>
      <c r="FF271" s="164"/>
      <c r="FG271" s="164"/>
      <c r="FH271" s="164"/>
      <c r="FI271" s="164"/>
      <c r="FJ271" s="164"/>
      <c r="FK271" s="164"/>
      <c r="FL271" s="164"/>
      <c r="FM271" s="164"/>
      <c r="FN271" s="164"/>
      <c r="FO271" s="164"/>
      <c r="FP271" s="164"/>
      <c r="FQ271" s="164"/>
      <c r="FR271" s="164"/>
      <c r="FS271" s="164"/>
      <c r="FT271" s="164"/>
      <c r="FU271" s="164"/>
      <c r="FV271" s="164"/>
      <c r="FW271" s="164"/>
      <c r="FX271" s="164"/>
      <c r="FY271" s="164"/>
      <c r="FZ271" s="164"/>
      <c r="GA271" s="164"/>
      <c r="GB271" s="164"/>
      <c r="GC271" s="164"/>
      <c r="GD271" s="164"/>
      <c r="GE271" s="164"/>
      <c r="GF271" s="164"/>
      <c r="GG271" s="164"/>
      <c r="GH271" s="164"/>
      <c r="GI271" s="164"/>
      <c r="GJ271" s="164"/>
      <c r="GK271" s="164"/>
      <c r="GL271" s="164"/>
      <c r="GM271" s="164"/>
      <c r="GN271" s="164"/>
      <c r="GO271" s="164"/>
      <c r="GP271" s="164"/>
      <c r="GQ271" s="164"/>
      <c r="GR271" s="164"/>
      <c r="GS271" s="164"/>
      <c r="GT271" s="164"/>
      <c r="GU271" s="164"/>
      <c r="GV271" s="164"/>
      <c r="GW271" s="164"/>
      <c r="GX271" s="164"/>
      <c r="GY271" s="164"/>
      <c r="GZ271" s="164"/>
      <c r="HA271" s="164"/>
      <c r="HB271" s="164"/>
      <c r="HC271" s="164"/>
      <c r="HD271" s="164"/>
      <c r="HE271" s="164"/>
      <c r="HF271" s="164"/>
      <c r="HG271" s="164"/>
      <c r="HH271" s="164"/>
      <c r="HI271" s="164"/>
      <c r="HJ271" s="164"/>
      <c r="HK271" s="164"/>
    </row>
    <row r="272" spans="1:242" s="569" customFormat="1" ht="18.75" hidden="1" customHeight="1">
      <c r="A272" s="569">
        <v>26</v>
      </c>
      <c r="B272" s="1051" t="s">
        <v>683</v>
      </c>
      <c r="C272" s="596" t="s">
        <v>673</v>
      </c>
      <c r="D272" s="597">
        <v>2025</v>
      </c>
      <c r="E272" s="733">
        <f t="shared" ref="E272:BB272" ca="1" si="138">IFERROR(MATCH($B272&amp;E$247,OFFSET(INDIRECT("貼付け_"&amp;$D272&amp;"実績"),4,0,1,205),0)-1,"")</f>
        <v>9</v>
      </c>
      <c r="F272" s="598">
        <f t="shared" ca="1" si="138"/>
        <v>13</v>
      </c>
      <c r="G272" s="598">
        <f t="shared" ca="1" si="138"/>
        <v>17</v>
      </c>
      <c r="H272" s="598">
        <f t="shared" ca="1" si="138"/>
        <v>109</v>
      </c>
      <c r="I272" s="598">
        <f t="shared" ca="1" si="138"/>
        <v>113</v>
      </c>
      <c r="J272" s="598">
        <f t="shared" ca="1" si="138"/>
        <v>117</v>
      </c>
      <c r="K272" s="598">
        <f t="shared" ca="1" si="138"/>
        <v>121</v>
      </c>
      <c r="L272" s="598">
        <f t="shared" ca="1" si="138"/>
        <v>125</v>
      </c>
      <c r="M272" s="598">
        <f t="shared" ca="1" si="138"/>
        <v>129</v>
      </c>
      <c r="N272" s="598">
        <f t="shared" ca="1" si="138"/>
        <v>133</v>
      </c>
      <c r="O272" s="598" t="str">
        <f ca="1">IFERROR(MATCH($B272&amp;O$247,OFFSET(INDIRECT("貼付け_"&amp;$D272&amp;"実績"),4,0,1,205),0)-1,"")</f>
        <v/>
      </c>
      <c r="P272" s="598" t="str">
        <f t="shared" ca="1" si="138"/>
        <v/>
      </c>
      <c r="Q272" s="598" t="str">
        <f t="shared" ca="1" si="138"/>
        <v/>
      </c>
      <c r="R272" s="598" t="str">
        <f t="shared" ca="1" si="138"/>
        <v/>
      </c>
      <c r="S272" s="598" t="str">
        <f t="shared" ca="1" si="138"/>
        <v/>
      </c>
      <c r="T272" s="598" t="str">
        <f t="shared" ca="1" si="138"/>
        <v/>
      </c>
      <c r="U272" s="598" t="str">
        <f t="shared" ca="1" si="138"/>
        <v/>
      </c>
      <c r="V272" s="598" t="str">
        <f t="shared" ca="1" si="138"/>
        <v/>
      </c>
      <c r="W272" s="598" t="str">
        <f t="shared" ca="1" si="138"/>
        <v/>
      </c>
      <c r="X272" s="598" t="str">
        <f t="shared" ca="1" si="138"/>
        <v/>
      </c>
      <c r="Y272" s="598" t="str">
        <f t="shared" ca="1" si="138"/>
        <v/>
      </c>
      <c r="Z272" s="598" t="str">
        <f t="shared" ca="1" si="138"/>
        <v/>
      </c>
      <c r="AA272" s="598" t="str">
        <f t="shared" ca="1" si="138"/>
        <v/>
      </c>
      <c r="AB272" s="598" t="str">
        <f t="shared" ca="1" si="138"/>
        <v/>
      </c>
      <c r="AC272" s="598" t="str">
        <f t="shared" ca="1" si="138"/>
        <v/>
      </c>
      <c r="AD272" s="598" t="str">
        <f t="shared" ca="1" si="138"/>
        <v/>
      </c>
      <c r="AE272" s="598" t="str">
        <f t="shared" ca="1" si="138"/>
        <v/>
      </c>
      <c r="AF272" s="598" t="str">
        <f t="shared" ca="1" si="138"/>
        <v/>
      </c>
      <c r="AG272" s="598" t="str">
        <f t="shared" ca="1" si="138"/>
        <v/>
      </c>
      <c r="AH272" s="598" t="str">
        <f t="shared" ca="1" si="138"/>
        <v/>
      </c>
      <c r="AI272" s="598" t="str">
        <f t="shared" ca="1" si="138"/>
        <v/>
      </c>
      <c r="AJ272" s="598" t="str">
        <f t="shared" ca="1" si="138"/>
        <v/>
      </c>
      <c r="AK272" s="598" t="str">
        <f t="shared" ca="1" si="138"/>
        <v/>
      </c>
      <c r="AL272" s="598" t="str">
        <f t="shared" ca="1" si="138"/>
        <v/>
      </c>
      <c r="AM272" s="598" t="str">
        <f t="shared" ca="1" si="138"/>
        <v/>
      </c>
      <c r="AN272" s="598" t="str">
        <f t="shared" ca="1" si="138"/>
        <v/>
      </c>
      <c r="AO272" s="598" t="str">
        <f t="shared" ca="1" si="138"/>
        <v/>
      </c>
      <c r="AP272" s="598" t="str">
        <f t="shared" ca="1" si="138"/>
        <v/>
      </c>
      <c r="AQ272" s="598" t="str">
        <f t="shared" ca="1" si="138"/>
        <v/>
      </c>
      <c r="AR272" s="598" t="str">
        <f t="shared" ca="1" si="138"/>
        <v/>
      </c>
      <c r="AS272" s="598" t="str">
        <f t="shared" ca="1" si="138"/>
        <v/>
      </c>
      <c r="AT272" s="598" t="str">
        <f t="shared" ca="1" si="138"/>
        <v/>
      </c>
      <c r="AU272" s="598" t="str">
        <f t="shared" ca="1" si="138"/>
        <v/>
      </c>
      <c r="AV272" s="598" t="str">
        <f t="shared" ca="1" si="138"/>
        <v/>
      </c>
      <c r="AW272" s="598" t="str">
        <f t="shared" ca="1" si="138"/>
        <v/>
      </c>
      <c r="AX272" s="598" t="str">
        <f t="shared" ca="1" si="138"/>
        <v/>
      </c>
      <c r="AY272" s="598" t="str">
        <f t="shared" ca="1" si="138"/>
        <v/>
      </c>
      <c r="AZ272" s="598" t="str">
        <f t="shared" ca="1" si="138"/>
        <v/>
      </c>
      <c r="BA272" s="598" t="str">
        <f t="shared" ca="1" si="138"/>
        <v/>
      </c>
      <c r="BB272" s="649" t="str">
        <f t="shared" ca="1" si="138"/>
        <v/>
      </c>
      <c r="BC272" s="156" t="str">
        <f>D272&amp;"年度"</f>
        <v>2025年度</v>
      </c>
      <c r="BD272" s="156">
        <v>1</v>
      </c>
      <c r="BE272" s="156">
        <v>2</v>
      </c>
      <c r="BF272" s="156">
        <v>3</v>
      </c>
      <c r="BG272" s="156">
        <v>4</v>
      </c>
      <c r="BH272" s="156">
        <v>5</v>
      </c>
      <c r="BI272" s="156">
        <v>6</v>
      </c>
      <c r="BJ272" s="156">
        <v>7</v>
      </c>
      <c r="BK272" s="156">
        <v>8</v>
      </c>
      <c r="BL272" s="156">
        <v>9</v>
      </c>
      <c r="BM272" s="156">
        <v>10</v>
      </c>
      <c r="BN272" s="156">
        <v>11</v>
      </c>
      <c r="BO272" s="156">
        <v>12</v>
      </c>
      <c r="BP272" s="156">
        <v>13</v>
      </c>
      <c r="BQ272" s="156">
        <v>14</v>
      </c>
      <c r="BR272" s="156">
        <v>15</v>
      </c>
      <c r="BS272" s="156">
        <v>16</v>
      </c>
      <c r="BT272" s="156">
        <v>17</v>
      </c>
      <c r="BU272" s="156">
        <v>18</v>
      </c>
      <c r="BV272" s="156">
        <v>19</v>
      </c>
      <c r="BW272" s="156">
        <v>20</v>
      </c>
      <c r="BX272" s="156">
        <v>21</v>
      </c>
      <c r="BY272" s="156">
        <v>22</v>
      </c>
      <c r="BZ272" s="156">
        <v>23</v>
      </c>
      <c r="CA272" s="156">
        <v>24</v>
      </c>
      <c r="CB272" s="156">
        <v>25</v>
      </c>
      <c r="CC272" s="156">
        <v>26</v>
      </c>
      <c r="CD272" s="156">
        <v>27</v>
      </c>
      <c r="CE272" s="156">
        <v>28</v>
      </c>
      <c r="CF272" s="156">
        <v>29</v>
      </c>
      <c r="CG272" s="156">
        <v>30</v>
      </c>
      <c r="CH272" s="156">
        <v>31</v>
      </c>
      <c r="CI272" s="156">
        <v>32</v>
      </c>
      <c r="CJ272" s="156">
        <v>33</v>
      </c>
      <c r="CK272" s="156">
        <v>34</v>
      </c>
      <c r="CL272" s="156">
        <v>35</v>
      </c>
      <c r="CM272" s="156">
        <v>36</v>
      </c>
      <c r="CN272" s="156">
        <v>37</v>
      </c>
      <c r="CO272" s="156">
        <v>38</v>
      </c>
      <c r="CP272" s="156">
        <v>39</v>
      </c>
      <c r="CQ272" s="156">
        <v>40</v>
      </c>
      <c r="CR272" s="156">
        <v>41</v>
      </c>
      <c r="CS272" s="156">
        <v>42</v>
      </c>
      <c r="CT272" s="156">
        <v>43</v>
      </c>
      <c r="CU272" s="156">
        <v>44</v>
      </c>
      <c r="CV272" s="156">
        <v>45</v>
      </c>
      <c r="CW272" s="156">
        <v>46</v>
      </c>
      <c r="CX272" s="156">
        <v>47</v>
      </c>
      <c r="CY272" s="156">
        <v>48</v>
      </c>
      <c r="CZ272" s="156">
        <v>49</v>
      </c>
      <c r="DA272" s="156">
        <v>50</v>
      </c>
      <c r="DB272" s="156"/>
      <c r="DC272" s="156"/>
      <c r="DD272" s="156"/>
      <c r="DE272" s="156"/>
      <c r="DF272" s="156"/>
      <c r="DG272" s="156"/>
      <c r="DH272" s="156"/>
      <c r="DI272" s="156"/>
      <c r="DJ272" s="156"/>
      <c r="DK272" s="156"/>
      <c r="DL272" s="156"/>
      <c r="DM272" s="156"/>
      <c r="DN272" s="156"/>
      <c r="DO272" s="156"/>
      <c r="DP272" s="156"/>
      <c r="DQ272" s="156"/>
      <c r="DR272" s="156"/>
      <c r="DS272" s="156"/>
      <c r="DT272" s="156"/>
      <c r="DU272" s="156"/>
      <c r="DV272" s="156"/>
      <c r="DW272" s="156"/>
      <c r="DX272" s="156"/>
      <c r="DY272" s="156"/>
      <c r="DZ272" s="156"/>
      <c r="EA272" s="156"/>
      <c r="EB272" s="156"/>
      <c r="EC272" s="156"/>
      <c r="ED272" s="156"/>
      <c r="EE272" s="156"/>
      <c r="EF272" s="156"/>
      <c r="EG272" s="156"/>
      <c r="EH272" s="156"/>
      <c r="EI272" s="156"/>
      <c r="EJ272" s="156"/>
      <c r="EK272" s="156"/>
      <c r="EL272" s="156"/>
      <c r="EM272" s="156"/>
      <c r="EN272" s="156"/>
      <c r="EO272" s="156"/>
      <c r="EP272" s="156"/>
      <c r="EQ272" s="156"/>
      <c r="ER272" s="156"/>
      <c r="ES272" s="156"/>
      <c r="ET272" s="156"/>
      <c r="EU272" s="156"/>
      <c r="EV272" s="156"/>
      <c r="EW272" s="156"/>
      <c r="EX272" s="156"/>
      <c r="EY272" s="156"/>
      <c r="EZ272" s="156"/>
      <c r="FA272" s="156"/>
      <c r="FB272" s="156"/>
      <c r="FC272" s="156"/>
      <c r="FD272" s="156"/>
      <c r="FE272" s="156"/>
      <c r="FF272" s="156"/>
      <c r="FG272" s="156"/>
      <c r="FH272" s="156"/>
      <c r="FI272" s="156"/>
      <c r="FJ272" s="156"/>
      <c r="FK272" s="156"/>
      <c r="FL272" s="156"/>
      <c r="FM272" s="156"/>
      <c r="FN272" s="156"/>
      <c r="FO272" s="156"/>
      <c r="FP272" s="156"/>
      <c r="FQ272" s="156"/>
      <c r="FR272" s="156"/>
      <c r="FS272" s="156"/>
      <c r="FT272" s="156"/>
      <c r="FU272" s="156"/>
      <c r="FV272" s="156"/>
      <c r="FW272" s="156"/>
      <c r="FX272" s="156"/>
      <c r="FY272" s="156"/>
      <c r="FZ272" s="156"/>
      <c r="GA272" s="156"/>
      <c r="GB272" s="156"/>
      <c r="GC272" s="156"/>
      <c r="GD272" s="156"/>
      <c r="GE272" s="156"/>
      <c r="GF272" s="156"/>
      <c r="GG272" s="156"/>
      <c r="GH272" s="156"/>
      <c r="GI272" s="156"/>
      <c r="GJ272" s="156"/>
      <c r="GK272" s="156"/>
      <c r="GL272" s="156"/>
      <c r="GM272" s="156"/>
      <c r="GN272" s="156"/>
      <c r="GO272" s="156"/>
      <c r="GP272" s="156"/>
      <c r="GQ272" s="156"/>
      <c r="GR272" s="156"/>
      <c r="GS272" s="156"/>
      <c r="GT272" s="156"/>
      <c r="GU272" s="156"/>
      <c r="GV272" s="156"/>
      <c r="GW272" s="156"/>
      <c r="GX272" s="156"/>
      <c r="GY272" s="156"/>
      <c r="GZ272" s="156"/>
      <c r="HA272" s="156"/>
      <c r="HB272" s="156"/>
      <c r="HC272" s="156"/>
      <c r="HD272" s="156"/>
      <c r="HE272" s="156"/>
      <c r="HF272" s="156"/>
      <c r="HG272" s="156"/>
      <c r="HH272" s="156"/>
      <c r="HI272" s="156"/>
      <c r="HJ272" s="156"/>
      <c r="HK272" s="156"/>
      <c r="IE272" s="603"/>
      <c r="IF272" s="603"/>
      <c r="IG272" s="603"/>
      <c r="IH272" s="603"/>
    </row>
    <row r="273" spans="1:242" s="569" customFormat="1" ht="19.5" hidden="1" customHeight="1">
      <c r="A273" s="569">
        <v>27</v>
      </c>
      <c r="B273" s="1052"/>
      <c r="C273" s="599" t="str">
        <f>D272-1&amp;"/"&amp;D272</f>
        <v>2024/2025</v>
      </c>
      <c r="D273" s="600" t="str">
        <f>""</f>
        <v/>
      </c>
      <c r="E273" s="734" t="str">
        <f t="shared" ref="E273:AJ273" ca="1" si="139">OFFSET(A1_原単位2024,30,E$247+2)</f>
        <v/>
      </c>
      <c r="F273" s="601" t="str">
        <f t="shared" ca="1" si="139"/>
        <v/>
      </c>
      <c r="G273" s="601" t="str">
        <f t="shared" ca="1" si="139"/>
        <v/>
      </c>
      <c r="H273" s="601" t="str">
        <f t="shared" ca="1" si="139"/>
        <v/>
      </c>
      <c r="I273" s="601" t="str">
        <f t="shared" ca="1" si="139"/>
        <v/>
      </c>
      <c r="J273" s="601" t="str">
        <f t="shared" ca="1" si="139"/>
        <v/>
      </c>
      <c r="K273" s="601" t="str">
        <f t="shared" ca="1" si="139"/>
        <v/>
      </c>
      <c r="L273" s="601" t="str">
        <f t="shared" ca="1" si="139"/>
        <v/>
      </c>
      <c r="M273" s="601" t="str">
        <f t="shared" ca="1" si="139"/>
        <v/>
      </c>
      <c r="N273" s="601" t="str">
        <f t="shared" ca="1" si="139"/>
        <v/>
      </c>
      <c r="O273" s="601" t="str">
        <f ca="1">OFFSET(A1_原単位2024,30,O$247+2)</f>
        <v/>
      </c>
      <c r="P273" s="601" t="str">
        <f t="shared" ca="1" si="139"/>
        <v/>
      </c>
      <c r="Q273" s="601" t="str">
        <f t="shared" ca="1" si="139"/>
        <v/>
      </c>
      <c r="R273" s="601" t="str">
        <f t="shared" ca="1" si="139"/>
        <v/>
      </c>
      <c r="S273" s="601" t="str">
        <f t="shared" ca="1" si="139"/>
        <v/>
      </c>
      <c r="T273" s="601" t="str">
        <f t="shared" ca="1" si="139"/>
        <v/>
      </c>
      <c r="U273" s="601" t="str">
        <f t="shared" ca="1" si="139"/>
        <v/>
      </c>
      <c r="V273" s="601" t="str">
        <f t="shared" ca="1" si="139"/>
        <v/>
      </c>
      <c r="W273" s="601" t="str">
        <f t="shared" ca="1" si="139"/>
        <v/>
      </c>
      <c r="X273" s="601" t="str">
        <f t="shared" ca="1" si="139"/>
        <v/>
      </c>
      <c r="Y273" s="601" t="str">
        <f t="shared" ca="1" si="139"/>
        <v/>
      </c>
      <c r="Z273" s="601" t="str">
        <f t="shared" ca="1" si="139"/>
        <v/>
      </c>
      <c r="AA273" s="601" t="str">
        <f t="shared" ca="1" si="139"/>
        <v/>
      </c>
      <c r="AB273" s="601" t="str">
        <f t="shared" ca="1" si="139"/>
        <v/>
      </c>
      <c r="AC273" s="601" t="str">
        <f t="shared" ca="1" si="139"/>
        <v/>
      </c>
      <c r="AD273" s="601" t="str">
        <f t="shared" ca="1" si="139"/>
        <v/>
      </c>
      <c r="AE273" s="601" t="str">
        <f t="shared" ca="1" si="139"/>
        <v/>
      </c>
      <c r="AF273" s="601" t="str">
        <f t="shared" ca="1" si="139"/>
        <v/>
      </c>
      <c r="AG273" s="601" t="str">
        <f t="shared" ca="1" si="139"/>
        <v/>
      </c>
      <c r="AH273" s="601" t="str">
        <f t="shared" ca="1" si="139"/>
        <v/>
      </c>
      <c r="AI273" s="601" t="str">
        <f t="shared" ca="1" si="139"/>
        <v/>
      </c>
      <c r="AJ273" s="601" t="str">
        <f t="shared" ca="1" si="139"/>
        <v/>
      </c>
      <c r="AK273" s="601" t="str">
        <f t="shared" ref="AK273:BB273" ca="1" si="140">OFFSET(A1_原単位2024,30,AK$247+2)</f>
        <v/>
      </c>
      <c r="AL273" s="601" t="str">
        <f t="shared" ca="1" si="140"/>
        <v/>
      </c>
      <c r="AM273" s="601" t="str">
        <f t="shared" ca="1" si="140"/>
        <v/>
      </c>
      <c r="AN273" s="601" t="str">
        <f t="shared" ca="1" si="140"/>
        <v/>
      </c>
      <c r="AO273" s="601" t="str">
        <f t="shared" ca="1" si="140"/>
        <v/>
      </c>
      <c r="AP273" s="601" t="str">
        <f t="shared" ca="1" si="140"/>
        <v/>
      </c>
      <c r="AQ273" s="601" t="str">
        <f t="shared" ca="1" si="140"/>
        <v/>
      </c>
      <c r="AR273" s="601" t="str">
        <f t="shared" ca="1" si="140"/>
        <v/>
      </c>
      <c r="AS273" s="601" t="str">
        <f t="shared" ca="1" si="140"/>
        <v/>
      </c>
      <c r="AT273" s="601" t="str">
        <f t="shared" ca="1" si="140"/>
        <v/>
      </c>
      <c r="AU273" s="601" t="str">
        <f t="shared" ca="1" si="140"/>
        <v/>
      </c>
      <c r="AV273" s="601" t="str">
        <f t="shared" ca="1" si="140"/>
        <v/>
      </c>
      <c r="AW273" s="601" t="str">
        <f t="shared" ca="1" si="140"/>
        <v/>
      </c>
      <c r="AX273" s="601" t="str">
        <f t="shared" ca="1" si="140"/>
        <v/>
      </c>
      <c r="AY273" s="601" t="str">
        <f t="shared" ca="1" si="140"/>
        <v/>
      </c>
      <c r="AZ273" s="601" t="str">
        <f t="shared" ca="1" si="140"/>
        <v/>
      </c>
      <c r="BA273" s="601" t="str">
        <f t="shared" ca="1" si="140"/>
        <v/>
      </c>
      <c r="BB273" s="650" t="str">
        <f t="shared" ca="1" si="140"/>
        <v/>
      </c>
      <c r="BC273" s="601" t="str">
        <f>""</f>
        <v/>
      </c>
      <c r="BD273" s="601" t="str">
        <f t="shared" ref="BD273:CI273" ca="1" si="141">IFERROR(OFFSET(貼付け_2025実績,5,E272+1),"")&amp;""</f>
        <v/>
      </c>
      <c r="BE273" s="601" t="str">
        <f t="shared" ca="1" si="141"/>
        <v/>
      </c>
      <c r="BF273" s="601" t="str">
        <f t="shared" ca="1" si="141"/>
        <v/>
      </c>
      <c r="BG273" s="601" t="str">
        <f t="shared" ca="1" si="141"/>
        <v/>
      </c>
      <c r="BH273" s="601" t="str">
        <f t="shared" ca="1" si="141"/>
        <v/>
      </c>
      <c r="BI273" s="601" t="str">
        <f t="shared" ca="1" si="141"/>
        <v/>
      </c>
      <c r="BJ273" s="601" t="str">
        <f t="shared" ca="1" si="141"/>
        <v/>
      </c>
      <c r="BK273" s="601" t="str">
        <f t="shared" ca="1" si="141"/>
        <v/>
      </c>
      <c r="BL273" s="601" t="str">
        <f t="shared" ca="1" si="141"/>
        <v/>
      </c>
      <c r="BM273" s="601" t="str">
        <f t="shared" ca="1" si="141"/>
        <v/>
      </c>
      <c r="BN273" s="601" t="str">
        <f ca="1">IFERROR(OFFSET(貼付け_2025実績,5,O272+1),"")&amp;""</f>
        <v/>
      </c>
      <c r="BO273" s="601" t="str">
        <f t="shared" ca="1" si="141"/>
        <v/>
      </c>
      <c r="BP273" s="601" t="str">
        <f t="shared" ca="1" si="141"/>
        <v/>
      </c>
      <c r="BQ273" s="601" t="str">
        <f t="shared" ca="1" si="141"/>
        <v/>
      </c>
      <c r="BR273" s="601" t="str">
        <f t="shared" ca="1" si="141"/>
        <v/>
      </c>
      <c r="BS273" s="601" t="str">
        <f t="shared" ca="1" si="141"/>
        <v/>
      </c>
      <c r="BT273" s="601" t="str">
        <f t="shared" ca="1" si="141"/>
        <v/>
      </c>
      <c r="BU273" s="601" t="str">
        <f t="shared" ca="1" si="141"/>
        <v/>
      </c>
      <c r="BV273" s="601" t="str">
        <f t="shared" ca="1" si="141"/>
        <v/>
      </c>
      <c r="BW273" s="601" t="str">
        <f t="shared" ca="1" si="141"/>
        <v/>
      </c>
      <c r="BX273" s="601" t="str">
        <f t="shared" ca="1" si="141"/>
        <v/>
      </c>
      <c r="BY273" s="601" t="str">
        <f t="shared" ca="1" si="141"/>
        <v/>
      </c>
      <c r="BZ273" s="601" t="str">
        <f t="shared" ca="1" si="141"/>
        <v/>
      </c>
      <c r="CA273" s="601" t="str">
        <f t="shared" ca="1" si="141"/>
        <v/>
      </c>
      <c r="CB273" s="601" t="str">
        <f t="shared" ca="1" si="141"/>
        <v/>
      </c>
      <c r="CC273" s="601" t="str">
        <f t="shared" ca="1" si="141"/>
        <v/>
      </c>
      <c r="CD273" s="601" t="str">
        <f t="shared" ca="1" si="141"/>
        <v/>
      </c>
      <c r="CE273" s="601" t="str">
        <f t="shared" ca="1" si="141"/>
        <v/>
      </c>
      <c r="CF273" s="601" t="str">
        <f t="shared" ca="1" si="141"/>
        <v/>
      </c>
      <c r="CG273" s="601" t="str">
        <f t="shared" ca="1" si="141"/>
        <v/>
      </c>
      <c r="CH273" s="601" t="str">
        <f t="shared" ca="1" si="141"/>
        <v/>
      </c>
      <c r="CI273" s="601" t="str">
        <f t="shared" ca="1" si="141"/>
        <v/>
      </c>
      <c r="CJ273" s="601" t="str">
        <f t="shared" ref="CJ273:DA273" ca="1" si="142">IFERROR(OFFSET(貼付け_2025実績,5,AK272+1),"")&amp;""</f>
        <v/>
      </c>
      <c r="CK273" s="601" t="str">
        <f t="shared" ca="1" si="142"/>
        <v/>
      </c>
      <c r="CL273" s="601" t="str">
        <f t="shared" ca="1" si="142"/>
        <v/>
      </c>
      <c r="CM273" s="601" t="str">
        <f t="shared" ca="1" si="142"/>
        <v/>
      </c>
      <c r="CN273" s="601" t="str">
        <f t="shared" ca="1" si="142"/>
        <v/>
      </c>
      <c r="CO273" s="601" t="str">
        <f t="shared" ca="1" si="142"/>
        <v/>
      </c>
      <c r="CP273" s="601" t="str">
        <f t="shared" ca="1" si="142"/>
        <v/>
      </c>
      <c r="CQ273" s="601" t="str">
        <f t="shared" ca="1" si="142"/>
        <v/>
      </c>
      <c r="CR273" s="601" t="str">
        <f t="shared" ca="1" si="142"/>
        <v/>
      </c>
      <c r="CS273" s="601" t="str">
        <f t="shared" ca="1" si="142"/>
        <v/>
      </c>
      <c r="CT273" s="601" t="str">
        <f t="shared" ca="1" si="142"/>
        <v/>
      </c>
      <c r="CU273" s="601" t="str">
        <f t="shared" ca="1" si="142"/>
        <v/>
      </c>
      <c r="CV273" s="601" t="str">
        <f t="shared" ca="1" si="142"/>
        <v/>
      </c>
      <c r="CW273" s="601" t="str">
        <f t="shared" ca="1" si="142"/>
        <v/>
      </c>
      <c r="CX273" s="601" t="str">
        <f t="shared" ca="1" si="142"/>
        <v/>
      </c>
      <c r="CY273" s="601" t="str">
        <f t="shared" ca="1" si="142"/>
        <v/>
      </c>
      <c r="CZ273" s="601" t="str">
        <f t="shared" ca="1" si="142"/>
        <v/>
      </c>
      <c r="DA273" s="601" t="str">
        <f t="shared" ca="1" si="142"/>
        <v/>
      </c>
      <c r="IE273" s="603"/>
      <c r="IF273" s="603"/>
      <c r="IG273" s="603"/>
      <c r="IH273" s="603"/>
    </row>
    <row r="274" spans="1:242" s="569" customFormat="1" hidden="1">
      <c r="A274" s="569">
        <v>28</v>
      </c>
      <c r="B274" s="1052"/>
      <c r="C274" s="599" t="str">
        <f>D272-1&amp;"&amp;"&amp;D272</f>
        <v>2024&amp;2025</v>
      </c>
      <c r="D274" s="600" t="str">
        <f>""</f>
        <v/>
      </c>
      <c r="E274" s="734" t="str">
        <f t="array" aca="1" ref="E274" ca="1">IFERROR(INDEX($E273:$DA273,MATCH(0,COUNTIF($D274:D274,$E273:$DA273),0)),"")</f>
        <v/>
      </c>
      <c r="F274" s="601" t="str">
        <f t="array" aca="1" ref="F274" ca="1">IFERROR(INDEX($E273:$DA273,MATCH(0,COUNTIF($D274:E274,$E273:$DA273),0)),"")</f>
        <v/>
      </c>
      <c r="G274" s="601" t="str">
        <f t="array" aca="1" ref="G274" ca="1">IFERROR(INDEX($E273:$DA273,MATCH(0,COUNTIF($D274:F274,$E273:$DA273),0)),"")</f>
        <v/>
      </c>
      <c r="H274" s="601" t="str">
        <f t="array" aca="1" ref="H274" ca="1">IFERROR(INDEX($E273:$DA273,MATCH(0,COUNTIF($D274:G274,$E273:$DA273),0)),"")</f>
        <v/>
      </c>
      <c r="I274" s="601" t="str">
        <f t="array" aca="1" ref="I274" ca="1">IFERROR(INDEX($E273:$DA273,MATCH(0,COUNTIF($D274:H274,$E273:$DA273),0)),"")</f>
        <v/>
      </c>
      <c r="J274" s="601" t="str">
        <f t="array" aca="1" ref="J274" ca="1">IFERROR(INDEX($E273:$DA273,MATCH(0,COUNTIF($D274:I274,$E273:$DA273),0)),"")</f>
        <v/>
      </c>
      <c r="K274" s="601" t="str">
        <f t="array" aca="1" ref="K274" ca="1">IFERROR(INDEX($E273:$DA273,MATCH(0,COUNTIF($D274:J274,$E273:$DA273),0)),"")</f>
        <v/>
      </c>
      <c r="L274" s="601" t="str">
        <f t="array" aca="1" ref="L274" ca="1">IFERROR(INDEX($E273:$DA273,MATCH(0,COUNTIF($D274:K274,$E273:$DA273),0)),"")</f>
        <v/>
      </c>
      <c r="M274" s="601" t="str">
        <f t="array" aca="1" ref="M274" ca="1">IFERROR(INDEX($E273:$DA273,MATCH(0,COUNTIF($D274:L274,$E273:$DA273),0)),"")</f>
        <v/>
      </c>
      <c r="N274" s="601" t="str">
        <f t="array" aca="1" ref="N274" ca="1">IFERROR(INDEX($E273:$DA273,MATCH(0,COUNTIF($D274:M274,$E273:$DA273),0)),"")</f>
        <v/>
      </c>
      <c r="O274" s="601" t="str">
        <f t="array" aca="1" ref="O274" ca="1">IFERROR(INDEX($E273:$DA273,MATCH(0,COUNTIF($D274:N274,$E273:$DA273),0)),"")</f>
        <v/>
      </c>
      <c r="P274" s="601" t="str">
        <f t="array" aca="1" ref="P274" ca="1">IFERROR(INDEX($E273:$DA273,MATCH(0,COUNTIF($D274:O274,$E273:$DA273),0)),"")</f>
        <v/>
      </c>
      <c r="Q274" s="601" t="str">
        <f t="array" aca="1" ref="Q274" ca="1">IFERROR(INDEX($E273:$DA273,MATCH(0,COUNTIF($D274:P274,$E273:$DA273),0)),"")</f>
        <v/>
      </c>
      <c r="R274" s="601" t="str">
        <f t="array" aca="1" ref="R274" ca="1">IFERROR(INDEX($E273:$DA273,MATCH(0,COUNTIF($D274:Q274,$E273:$DA273),0)),"")</f>
        <v/>
      </c>
      <c r="S274" s="601" t="str">
        <f t="array" aca="1" ref="S274" ca="1">IFERROR(INDEX($E273:$DA273,MATCH(0,COUNTIF($D274:R274,$E273:$DA273),0)),"")</f>
        <v/>
      </c>
      <c r="T274" s="601" t="str">
        <f t="array" aca="1" ref="T274" ca="1">IFERROR(INDEX($E273:$DA273,MATCH(0,COUNTIF($D274:S274,$E273:$DA273),0)),"")</f>
        <v/>
      </c>
      <c r="U274" s="601" t="str">
        <f t="array" aca="1" ref="U274" ca="1">IFERROR(INDEX($E273:$DA273,MATCH(0,COUNTIF($D274:T274,$E273:$DA273),0)),"")</f>
        <v/>
      </c>
      <c r="V274" s="601" t="str">
        <f t="array" aca="1" ref="V274" ca="1">IFERROR(INDEX($E273:$DA273,MATCH(0,COUNTIF($D274:U274,$E273:$DA273),0)),"")</f>
        <v/>
      </c>
      <c r="W274" s="601" t="str">
        <f t="array" aca="1" ref="W274" ca="1">IFERROR(INDEX($E273:$DA273,MATCH(0,COUNTIF($D274:V274,$E273:$DA273),0)),"")</f>
        <v/>
      </c>
      <c r="X274" s="601" t="str">
        <f t="array" aca="1" ref="X274" ca="1">IFERROR(INDEX($E273:$DA273,MATCH(0,COUNTIF($D274:W274,$E273:$DA273),0)),"")</f>
        <v/>
      </c>
      <c r="Y274" s="601" t="str">
        <f t="array" aca="1" ref="Y274" ca="1">IFERROR(INDEX($E273:$DA273,MATCH(0,COUNTIF($D274:X274,$E273:$DA273),0)),"")</f>
        <v/>
      </c>
      <c r="Z274" s="601" t="str">
        <f t="array" aca="1" ref="Z274" ca="1">IFERROR(INDEX($E273:$DA273,MATCH(0,COUNTIF($D274:Y274,$E273:$DA273),0)),"")</f>
        <v/>
      </c>
      <c r="AA274" s="601" t="str">
        <f t="array" aca="1" ref="AA274" ca="1">IFERROR(INDEX($E273:$DA273,MATCH(0,COUNTIF($D274:Z274,$E273:$DA273),0)),"")</f>
        <v/>
      </c>
      <c r="AB274" s="601" t="str">
        <f t="array" aca="1" ref="AB274" ca="1">IFERROR(INDEX($E273:$DA273,MATCH(0,COUNTIF($D274:AA274,$E273:$DA273),0)),"")</f>
        <v/>
      </c>
      <c r="AC274" s="601" t="str">
        <f t="array" aca="1" ref="AC274" ca="1">IFERROR(INDEX($E273:$DA273,MATCH(0,COUNTIF($D274:AB274,$E273:$DA273),0)),"")</f>
        <v/>
      </c>
      <c r="AD274" s="601" t="str">
        <f t="array" aca="1" ref="AD274" ca="1">IFERROR(INDEX($E273:$DA273,MATCH(0,COUNTIF($D274:AC274,$E273:$DA273),0)),"")</f>
        <v/>
      </c>
      <c r="AE274" s="601" t="str">
        <f t="array" aca="1" ref="AE274" ca="1">IFERROR(INDEX($E273:$DA273,MATCH(0,COUNTIF($D274:AD274,$E273:$DA273),0)),"")</f>
        <v/>
      </c>
      <c r="AF274" s="601" t="str">
        <f t="array" aca="1" ref="AF274" ca="1">IFERROR(INDEX($E273:$DA273,MATCH(0,COUNTIF($D274:AE274,$E273:$DA273),0)),"")</f>
        <v/>
      </c>
      <c r="AG274" s="601" t="str">
        <f t="array" aca="1" ref="AG274" ca="1">IFERROR(INDEX($E273:$DA273,MATCH(0,COUNTIF($D274:AF274,$E273:$DA273),0)),"")</f>
        <v/>
      </c>
      <c r="AH274" s="601" t="str">
        <f t="array" aca="1" ref="AH274" ca="1">IFERROR(INDEX($E273:$DA273,MATCH(0,COUNTIF($D274:AG274,$E273:$DA273),0)),"")</f>
        <v/>
      </c>
      <c r="AI274" s="601" t="str">
        <f t="array" aca="1" ref="AI274" ca="1">IFERROR(INDEX($E273:$DA273,MATCH(0,COUNTIF($D274:AH274,$E273:$DA273),0)),"")</f>
        <v/>
      </c>
      <c r="AJ274" s="601" t="str">
        <f t="array" aca="1" ref="AJ274" ca="1">IFERROR(INDEX($E273:$DA273,MATCH(0,COUNTIF($D274:AI274,$E273:$DA273),0)),"")</f>
        <v/>
      </c>
      <c r="AK274" s="601" t="str">
        <f t="array" aca="1" ref="AK274" ca="1">IFERROR(INDEX($E273:$DA273,MATCH(0,COUNTIF($D274:AJ274,$E273:$DA273),0)),"")</f>
        <v/>
      </c>
      <c r="AL274" s="601" t="str">
        <f t="array" aca="1" ref="AL274" ca="1">IFERROR(INDEX($E273:$DA273,MATCH(0,COUNTIF($D274:AK274,$E273:$DA273),0)),"")</f>
        <v/>
      </c>
      <c r="AM274" s="601" t="str">
        <f t="array" aca="1" ref="AM274" ca="1">IFERROR(INDEX($E273:$DA273,MATCH(0,COUNTIF($D274:AL274,$E273:$DA273),0)),"")</f>
        <v/>
      </c>
      <c r="AN274" s="601" t="str">
        <f t="array" aca="1" ref="AN274" ca="1">IFERROR(INDEX($E273:$DA273,MATCH(0,COUNTIF($D274:AM274,$E273:$DA273),0)),"")</f>
        <v/>
      </c>
      <c r="AO274" s="601" t="str">
        <f t="array" aca="1" ref="AO274" ca="1">IFERROR(INDEX($E273:$DA273,MATCH(0,COUNTIF($D274:AN274,$E273:$DA273),0)),"")</f>
        <v/>
      </c>
      <c r="AP274" s="601" t="str">
        <f t="array" aca="1" ref="AP274" ca="1">IFERROR(INDEX($E273:$DA273,MATCH(0,COUNTIF($D274:AO274,$E273:$DA273),0)),"")</f>
        <v/>
      </c>
      <c r="AQ274" s="601" t="str">
        <f t="array" aca="1" ref="AQ274" ca="1">IFERROR(INDEX($E273:$DA273,MATCH(0,COUNTIF($D274:AP274,$E273:$DA273),0)),"")</f>
        <v/>
      </c>
      <c r="AR274" s="601" t="str">
        <f t="array" aca="1" ref="AR274" ca="1">IFERROR(INDEX($E273:$DA273,MATCH(0,COUNTIF($D274:AQ274,$E273:$DA273),0)),"")</f>
        <v/>
      </c>
      <c r="AS274" s="601" t="str">
        <f t="array" aca="1" ref="AS274" ca="1">IFERROR(INDEX($E273:$DA273,MATCH(0,COUNTIF($D274:AR274,$E273:$DA273),0)),"")</f>
        <v/>
      </c>
      <c r="AT274" s="601" t="str">
        <f t="array" aca="1" ref="AT274" ca="1">IFERROR(INDEX($E273:$DA273,MATCH(0,COUNTIF($D274:AS274,$E273:$DA273),0)),"")</f>
        <v/>
      </c>
      <c r="AU274" s="601" t="str">
        <f t="array" aca="1" ref="AU274" ca="1">IFERROR(INDEX($E273:$DA273,MATCH(0,COUNTIF($D274:AT274,$E273:$DA273),0)),"")</f>
        <v/>
      </c>
      <c r="AV274" s="601" t="str">
        <f t="array" aca="1" ref="AV274" ca="1">IFERROR(INDEX($E273:$DA273,MATCH(0,COUNTIF($D274:AU274,$E273:$DA273),0)),"")</f>
        <v/>
      </c>
      <c r="AW274" s="601" t="str">
        <f t="array" aca="1" ref="AW274" ca="1">IFERROR(INDEX($E273:$DA273,MATCH(0,COUNTIF($D274:AV274,$E273:$DA273),0)),"")</f>
        <v/>
      </c>
      <c r="AX274" s="601" t="str">
        <f t="array" aca="1" ref="AX274" ca="1">IFERROR(INDEX($E273:$DA273,MATCH(0,COUNTIF($D274:AW274,$E273:$DA273),0)),"")</f>
        <v/>
      </c>
      <c r="AY274" s="601" t="str">
        <f t="array" aca="1" ref="AY274" ca="1">IFERROR(INDEX($E273:$DA273,MATCH(0,COUNTIF($D274:AX274,$E273:$DA273),0)),"")</f>
        <v/>
      </c>
      <c r="AZ274" s="601" t="str">
        <f t="array" aca="1" ref="AZ274" ca="1">IFERROR(INDEX($E273:$DA273,MATCH(0,COUNTIF($D274:AY274,$E273:$DA273),0)),"")</f>
        <v/>
      </c>
      <c r="BA274" s="602" t="str">
        <f t="array" aca="1" ref="BA274" ca="1">IFERROR(INDEX($E273:$DA273,MATCH(0,COUNTIF($D274:AZ274,$E273:$DA273),0)),"")</f>
        <v/>
      </c>
      <c r="BB274" s="650" t="str">
        <f t="array" aca="1" ref="BB274" ca="1">IFERROR(INDEX($E273:$DA273,MATCH(0,COUNTIF($D274:BA274,$E273:$DA273),0)),"")</f>
        <v/>
      </c>
      <c r="BC274" s="604"/>
      <c r="BD274" s="604" t="str">
        <f>""</f>
        <v/>
      </c>
      <c r="BE274" s="604"/>
      <c r="BF274" s="604"/>
      <c r="BG274" s="604"/>
      <c r="BH274" s="604"/>
      <c r="BI274" s="604"/>
      <c r="BJ274" s="604"/>
      <c r="BK274" s="604"/>
      <c r="BL274" s="604"/>
      <c r="BM274" s="604"/>
      <c r="BN274" s="604"/>
      <c r="BO274" s="604"/>
      <c r="BP274" s="604"/>
      <c r="BQ274" s="604"/>
      <c r="BR274" s="604"/>
      <c r="BS274" s="604"/>
      <c r="BT274" s="604"/>
      <c r="BU274" s="604"/>
      <c r="BV274" s="604"/>
      <c r="BW274" s="604"/>
      <c r="IE274" s="603"/>
      <c r="IF274" s="603"/>
      <c r="IG274" s="603"/>
      <c r="IH274" s="603"/>
    </row>
    <row r="275" spans="1:242" s="569" customFormat="1" hidden="1">
      <c r="A275" s="569">
        <v>29</v>
      </c>
      <c r="B275" s="1052"/>
      <c r="C275" s="599" t="s">
        <v>674</v>
      </c>
      <c r="D275" s="600" t="str">
        <f>""</f>
        <v/>
      </c>
      <c r="E275" s="734" t="str">
        <f t="shared" ref="E275:AJ275" ca="1" si="143">IF(OFFSET(貼付け_2025実績,2,12)="■",BD273,IFERROR(INDEX($BD273:$DA273,MATCH(E274,$BD273:$DA273,0)),""))</f>
        <v/>
      </c>
      <c r="F275" s="601" t="str">
        <f t="shared" ca="1" si="143"/>
        <v/>
      </c>
      <c r="G275" s="601" t="str">
        <f t="shared" ca="1" si="143"/>
        <v/>
      </c>
      <c r="H275" s="601" t="str">
        <f t="shared" ca="1" si="143"/>
        <v/>
      </c>
      <c r="I275" s="601" t="str">
        <f t="shared" ca="1" si="143"/>
        <v/>
      </c>
      <c r="J275" s="601" t="str">
        <f t="shared" ca="1" si="143"/>
        <v/>
      </c>
      <c r="K275" s="601" t="str">
        <f t="shared" ca="1" si="143"/>
        <v/>
      </c>
      <c r="L275" s="601" t="str">
        <f t="shared" ca="1" si="143"/>
        <v/>
      </c>
      <c r="M275" s="601" t="str">
        <f t="shared" ca="1" si="143"/>
        <v/>
      </c>
      <c r="N275" s="601" t="str">
        <f t="shared" ca="1" si="143"/>
        <v/>
      </c>
      <c r="O275" s="601" t="str">
        <f ca="1">IF(OFFSET(貼付け_2025実績,2,12)="■",BN273,IFERROR(INDEX($BD273:$DA273,MATCH(O274,$BD273:$DA273,0)),""))</f>
        <v/>
      </c>
      <c r="P275" s="601" t="str">
        <f t="shared" ca="1" si="143"/>
        <v/>
      </c>
      <c r="Q275" s="601" t="str">
        <f t="shared" ca="1" si="143"/>
        <v/>
      </c>
      <c r="R275" s="601" t="str">
        <f t="shared" ca="1" si="143"/>
        <v/>
      </c>
      <c r="S275" s="601" t="str">
        <f t="shared" ca="1" si="143"/>
        <v/>
      </c>
      <c r="T275" s="601" t="str">
        <f t="shared" ca="1" si="143"/>
        <v/>
      </c>
      <c r="U275" s="601" t="str">
        <f t="shared" ca="1" si="143"/>
        <v/>
      </c>
      <c r="V275" s="601" t="str">
        <f t="shared" ca="1" si="143"/>
        <v/>
      </c>
      <c r="W275" s="601" t="str">
        <f t="shared" ca="1" si="143"/>
        <v/>
      </c>
      <c r="X275" s="601" t="str">
        <f t="shared" ca="1" si="143"/>
        <v/>
      </c>
      <c r="Y275" s="601" t="str">
        <f t="shared" ca="1" si="143"/>
        <v/>
      </c>
      <c r="Z275" s="601" t="str">
        <f t="shared" ca="1" si="143"/>
        <v/>
      </c>
      <c r="AA275" s="601" t="str">
        <f t="shared" ca="1" si="143"/>
        <v/>
      </c>
      <c r="AB275" s="601" t="str">
        <f t="shared" ca="1" si="143"/>
        <v/>
      </c>
      <c r="AC275" s="601" t="str">
        <f t="shared" ca="1" si="143"/>
        <v/>
      </c>
      <c r="AD275" s="601" t="str">
        <f t="shared" ca="1" si="143"/>
        <v/>
      </c>
      <c r="AE275" s="601" t="str">
        <f t="shared" ca="1" si="143"/>
        <v/>
      </c>
      <c r="AF275" s="601" t="str">
        <f t="shared" ca="1" si="143"/>
        <v/>
      </c>
      <c r="AG275" s="601" t="str">
        <f t="shared" ca="1" si="143"/>
        <v/>
      </c>
      <c r="AH275" s="601" t="str">
        <f t="shared" ca="1" si="143"/>
        <v/>
      </c>
      <c r="AI275" s="601" t="str">
        <f t="shared" ca="1" si="143"/>
        <v/>
      </c>
      <c r="AJ275" s="601" t="str">
        <f t="shared" ca="1" si="143"/>
        <v/>
      </c>
      <c r="AK275" s="601" t="str">
        <f t="shared" ref="AK275:BB275" ca="1" si="144">IF(OFFSET(貼付け_2025実績,2,12)="■",CJ273,IFERROR(INDEX($BD273:$DA273,MATCH(AK274,$BD273:$DA273,0)),""))</f>
        <v/>
      </c>
      <c r="AL275" s="601" t="str">
        <f t="shared" ca="1" si="144"/>
        <v/>
      </c>
      <c r="AM275" s="601" t="str">
        <f t="shared" ca="1" si="144"/>
        <v/>
      </c>
      <c r="AN275" s="601" t="str">
        <f t="shared" ca="1" si="144"/>
        <v/>
      </c>
      <c r="AO275" s="601" t="str">
        <f t="shared" ca="1" si="144"/>
        <v/>
      </c>
      <c r="AP275" s="601" t="str">
        <f t="shared" ca="1" si="144"/>
        <v/>
      </c>
      <c r="AQ275" s="601" t="str">
        <f t="shared" ca="1" si="144"/>
        <v/>
      </c>
      <c r="AR275" s="601" t="str">
        <f t="shared" ca="1" si="144"/>
        <v/>
      </c>
      <c r="AS275" s="601" t="str">
        <f t="shared" ca="1" si="144"/>
        <v/>
      </c>
      <c r="AT275" s="601" t="str">
        <f t="shared" ca="1" si="144"/>
        <v/>
      </c>
      <c r="AU275" s="601" t="str">
        <f t="shared" ca="1" si="144"/>
        <v/>
      </c>
      <c r="AV275" s="601" t="str">
        <f t="shared" ca="1" si="144"/>
        <v/>
      </c>
      <c r="AW275" s="601" t="str">
        <f t="shared" ca="1" si="144"/>
        <v/>
      </c>
      <c r="AX275" s="601" t="str">
        <f t="shared" ca="1" si="144"/>
        <v/>
      </c>
      <c r="AY275" s="601" t="str">
        <f t="shared" ca="1" si="144"/>
        <v/>
      </c>
      <c r="AZ275" s="601" t="str">
        <f t="shared" ca="1" si="144"/>
        <v/>
      </c>
      <c r="BA275" s="602" t="str">
        <f t="shared" ca="1" si="144"/>
        <v/>
      </c>
      <c r="BB275" s="650" t="str">
        <f t="shared" ca="1" si="144"/>
        <v/>
      </c>
      <c r="BD275" s="569" t="str">
        <f>""</f>
        <v/>
      </c>
      <c r="IE275" s="603"/>
      <c r="IF275" s="603"/>
      <c r="IG275" s="603"/>
      <c r="IH275" s="603"/>
    </row>
    <row r="276" spans="1:242" s="569" customFormat="1" hidden="1">
      <c r="A276" s="569">
        <v>30</v>
      </c>
      <c r="B276" s="1052"/>
      <c r="C276" s="605" t="s">
        <v>675</v>
      </c>
      <c r="D276" s="606">
        <v>10</v>
      </c>
      <c r="E276" s="735" t="str">
        <f t="shared" ref="E276:AJ276" ca="1" si="145">OFFSET(A1_名称2025,E$247+2,$D276)&amp;""</f>
        <v/>
      </c>
      <c r="F276" s="607" t="str">
        <f t="shared" ca="1" si="145"/>
        <v/>
      </c>
      <c r="G276" s="607" t="str">
        <f t="shared" ca="1" si="145"/>
        <v/>
      </c>
      <c r="H276" s="607" t="str">
        <f t="shared" ca="1" si="145"/>
        <v/>
      </c>
      <c r="I276" s="607" t="str">
        <f t="shared" ca="1" si="145"/>
        <v/>
      </c>
      <c r="J276" s="607" t="str">
        <f t="shared" ca="1" si="145"/>
        <v/>
      </c>
      <c r="K276" s="607" t="str">
        <f t="shared" ca="1" si="145"/>
        <v/>
      </c>
      <c r="L276" s="607" t="str">
        <f t="shared" ca="1" si="145"/>
        <v/>
      </c>
      <c r="M276" s="607" t="str">
        <f t="shared" ca="1" si="145"/>
        <v/>
      </c>
      <c r="N276" s="607" t="str">
        <f t="shared" ca="1" si="145"/>
        <v/>
      </c>
      <c r="O276" s="607" t="str">
        <f ca="1">OFFSET(A1_名称2025,O$247+2,$D276)&amp;""</f>
        <v/>
      </c>
      <c r="P276" s="607" t="str">
        <f t="shared" ca="1" si="145"/>
        <v/>
      </c>
      <c r="Q276" s="607" t="str">
        <f t="shared" ca="1" si="145"/>
        <v/>
      </c>
      <c r="R276" s="607" t="str">
        <f t="shared" ca="1" si="145"/>
        <v/>
      </c>
      <c r="S276" s="607" t="str">
        <f t="shared" ca="1" si="145"/>
        <v/>
      </c>
      <c r="T276" s="607" t="str">
        <f t="shared" ca="1" si="145"/>
        <v/>
      </c>
      <c r="U276" s="607" t="str">
        <f t="shared" ca="1" si="145"/>
        <v/>
      </c>
      <c r="V276" s="607" t="str">
        <f t="shared" ca="1" si="145"/>
        <v/>
      </c>
      <c r="W276" s="607" t="str">
        <f t="shared" ca="1" si="145"/>
        <v/>
      </c>
      <c r="X276" s="607" t="str">
        <f t="shared" ca="1" si="145"/>
        <v/>
      </c>
      <c r="Y276" s="607" t="str">
        <f t="shared" ca="1" si="145"/>
        <v/>
      </c>
      <c r="Z276" s="607" t="str">
        <f t="shared" ca="1" si="145"/>
        <v/>
      </c>
      <c r="AA276" s="607" t="str">
        <f t="shared" ca="1" si="145"/>
        <v/>
      </c>
      <c r="AB276" s="607" t="str">
        <f t="shared" ca="1" si="145"/>
        <v/>
      </c>
      <c r="AC276" s="607" t="str">
        <f t="shared" ca="1" si="145"/>
        <v/>
      </c>
      <c r="AD276" s="607" t="str">
        <f t="shared" ca="1" si="145"/>
        <v/>
      </c>
      <c r="AE276" s="607" t="str">
        <f t="shared" ca="1" si="145"/>
        <v/>
      </c>
      <c r="AF276" s="607" t="str">
        <f t="shared" ca="1" si="145"/>
        <v/>
      </c>
      <c r="AG276" s="607" t="str">
        <f t="shared" ca="1" si="145"/>
        <v/>
      </c>
      <c r="AH276" s="607" t="str">
        <f t="shared" ca="1" si="145"/>
        <v/>
      </c>
      <c r="AI276" s="607" t="str">
        <f t="shared" ca="1" si="145"/>
        <v/>
      </c>
      <c r="AJ276" s="607" t="str">
        <f t="shared" ca="1" si="145"/>
        <v/>
      </c>
      <c r="AK276" s="607" t="str">
        <f t="shared" ref="AK276:BB276" ca="1" si="146">OFFSET(A1_名称2025,AK$247+2,$D276)&amp;""</f>
        <v/>
      </c>
      <c r="AL276" s="607" t="str">
        <f t="shared" ca="1" si="146"/>
        <v/>
      </c>
      <c r="AM276" s="607" t="str">
        <f t="shared" ca="1" si="146"/>
        <v/>
      </c>
      <c r="AN276" s="607" t="str">
        <f t="shared" ca="1" si="146"/>
        <v/>
      </c>
      <c r="AO276" s="607" t="str">
        <f t="shared" ca="1" si="146"/>
        <v/>
      </c>
      <c r="AP276" s="607" t="str">
        <f t="shared" ca="1" si="146"/>
        <v/>
      </c>
      <c r="AQ276" s="607" t="str">
        <f t="shared" ca="1" si="146"/>
        <v/>
      </c>
      <c r="AR276" s="607" t="str">
        <f t="shared" ca="1" si="146"/>
        <v/>
      </c>
      <c r="AS276" s="607" t="str">
        <f t="shared" ca="1" si="146"/>
        <v/>
      </c>
      <c r="AT276" s="607" t="str">
        <f t="shared" ca="1" si="146"/>
        <v/>
      </c>
      <c r="AU276" s="607" t="str">
        <f t="shared" ca="1" si="146"/>
        <v/>
      </c>
      <c r="AV276" s="607" t="str">
        <f t="shared" ca="1" si="146"/>
        <v/>
      </c>
      <c r="AW276" s="607" t="str">
        <f t="shared" ca="1" si="146"/>
        <v/>
      </c>
      <c r="AX276" s="607" t="str">
        <f t="shared" ca="1" si="146"/>
        <v/>
      </c>
      <c r="AY276" s="607" t="str">
        <f t="shared" ca="1" si="146"/>
        <v/>
      </c>
      <c r="AZ276" s="607" t="str">
        <f t="shared" ca="1" si="146"/>
        <v/>
      </c>
      <c r="BA276" s="608" t="str">
        <f t="shared" ca="1" si="146"/>
        <v/>
      </c>
      <c r="BB276" s="651" t="str">
        <f t="shared" ca="1" si="146"/>
        <v/>
      </c>
      <c r="IE276" s="603"/>
      <c r="IF276" s="603"/>
      <c r="IG276" s="603"/>
      <c r="IH276" s="603"/>
    </row>
    <row r="277" spans="1:242" s="164" customFormat="1" ht="19.8" hidden="1">
      <c r="A277" s="569">
        <v>31</v>
      </c>
      <c r="B277" s="1052"/>
      <c r="C277" s="599" t="s">
        <v>676</v>
      </c>
      <c r="D277" s="600"/>
      <c r="E277" s="734" t="str">
        <f ca="1">IF(E276="","",IFERROR(INDEX($E272:$BB272,MATCH(E276,$BD273:$DA273,0)),""))</f>
        <v/>
      </c>
      <c r="F277" s="601" t="str">
        <f t="shared" ref="F277:BB277" ca="1" si="147">IF(F276="","",IFERROR(INDEX($E272:$BB272,MATCH(F276,$BD273:$DA273,0)),""))</f>
        <v/>
      </c>
      <c r="G277" s="601" t="str">
        <f t="shared" ca="1" si="147"/>
        <v/>
      </c>
      <c r="H277" s="601" t="str">
        <f t="shared" ca="1" si="147"/>
        <v/>
      </c>
      <c r="I277" s="601" t="str">
        <f t="shared" ca="1" si="147"/>
        <v/>
      </c>
      <c r="J277" s="601" t="str">
        <f t="shared" ca="1" si="147"/>
        <v/>
      </c>
      <c r="K277" s="601" t="str">
        <f t="shared" ca="1" si="147"/>
        <v/>
      </c>
      <c r="L277" s="601" t="str">
        <f t="shared" ca="1" si="147"/>
        <v/>
      </c>
      <c r="M277" s="601" t="str">
        <f t="shared" ca="1" si="147"/>
        <v/>
      </c>
      <c r="N277" s="601" t="str">
        <f t="shared" ca="1" si="147"/>
        <v/>
      </c>
      <c r="O277" s="601" t="str">
        <f ca="1">IF(O276="","",IFERROR(INDEX($E272:$BB272,MATCH(O276,$BD273:$DA273,0)),""))</f>
        <v/>
      </c>
      <c r="P277" s="601" t="str">
        <f t="shared" ca="1" si="147"/>
        <v/>
      </c>
      <c r="Q277" s="601" t="str">
        <f t="shared" ca="1" si="147"/>
        <v/>
      </c>
      <c r="R277" s="601" t="str">
        <f t="shared" ca="1" si="147"/>
        <v/>
      </c>
      <c r="S277" s="601" t="str">
        <f t="shared" ca="1" si="147"/>
        <v/>
      </c>
      <c r="T277" s="601" t="str">
        <f t="shared" ca="1" si="147"/>
        <v/>
      </c>
      <c r="U277" s="601" t="str">
        <f t="shared" ca="1" si="147"/>
        <v/>
      </c>
      <c r="V277" s="601" t="str">
        <f t="shared" ca="1" si="147"/>
        <v/>
      </c>
      <c r="W277" s="601" t="str">
        <f t="shared" ca="1" si="147"/>
        <v/>
      </c>
      <c r="X277" s="601" t="str">
        <f t="shared" ca="1" si="147"/>
        <v/>
      </c>
      <c r="Y277" s="601" t="str">
        <f t="shared" ca="1" si="147"/>
        <v/>
      </c>
      <c r="Z277" s="601" t="str">
        <f t="shared" ca="1" si="147"/>
        <v/>
      </c>
      <c r="AA277" s="601" t="str">
        <f t="shared" ca="1" si="147"/>
        <v/>
      </c>
      <c r="AB277" s="601" t="str">
        <f t="shared" ca="1" si="147"/>
        <v/>
      </c>
      <c r="AC277" s="601" t="str">
        <f t="shared" ca="1" si="147"/>
        <v/>
      </c>
      <c r="AD277" s="601" t="str">
        <f t="shared" ca="1" si="147"/>
        <v/>
      </c>
      <c r="AE277" s="601" t="str">
        <f t="shared" ca="1" si="147"/>
        <v/>
      </c>
      <c r="AF277" s="601" t="str">
        <f t="shared" ca="1" si="147"/>
        <v/>
      </c>
      <c r="AG277" s="601" t="str">
        <f t="shared" ca="1" si="147"/>
        <v/>
      </c>
      <c r="AH277" s="601" t="str">
        <f t="shared" ca="1" si="147"/>
        <v/>
      </c>
      <c r="AI277" s="601" t="str">
        <f t="shared" ca="1" si="147"/>
        <v/>
      </c>
      <c r="AJ277" s="601" t="str">
        <f t="shared" ca="1" si="147"/>
        <v/>
      </c>
      <c r="AK277" s="601" t="str">
        <f t="shared" ca="1" si="147"/>
        <v/>
      </c>
      <c r="AL277" s="601" t="str">
        <f t="shared" ca="1" si="147"/>
        <v/>
      </c>
      <c r="AM277" s="601" t="str">
        <f t="shared" ca="1" si="147"/>
        <v/>
      </c>
      <c r="AN277" s="601" t="str">
        <f t="shared" ca="1" si="147"/>
        <v/>
      </c>
      <c r="AO277" s="601" t="str">
        <f t="shared" ca="1" si="147"/>
        <v/>
      </c>
      <c r="AP277" s="601" t="str">
        <f t="shared" ca="1" si="147"/>
        <v/>
      </c>
      <c r="AQ277" s="601" t="str">
        <f t="shared" ca="1" si="147"/>
        <v/>
      </c>
      <c r="AR277" s="601" t="str">
        <f t="shared" ca="1" si="147"/>
        <v/>
      </c>
      <c r="AS277" s="601" t="str">
        <f t="shared" ca="1" si="147"/>
        <v/>
      </c>
      <c r="AT277" s="601" t="str">
        <f t="shared" ca="1" si="147"/>
        <v/>
      </c>
      <c r="AU277" s="601" t="str">
        <f t="shared" ca="1" si="147"/>
        <v/>
      </c>
      <c r="AV277" s="601" t="str">
        <f t="shared" ca="1" si="147"/>
        <v/>
      </c>
      <c r="AW277" s="601" t="str">
        <f t="shared" ca="1" si="147"/>
        <v/>
      </c>
      <c r="AX277" s="601" t="str">
        <f t="shared" ca="1" si="147"/>
        <v/>
      </c>
      <c r="AY277" s="601" t="str">
        <f t="shared" ca="1" si="147"/>
        <v/>
      </c>
      <c r="AZ277" s="601" t="str">
        <f t="shared" ca="1" si="147"/>
        <v/>
      </c>
      <c r="BA277" s="602" t="str">
        <f t="shared" ca="1" si="147"/>
        <v/>
      </c>
      <c r="BB277" s="650" t="str">
        <f t="shared" ca="1" si="147"/>
        <v/>
      </c>
      <c r="BC277" s="569"/>
      <c r="BD277" s="569"/>
      <c r="BE277" s="569"/>
      <c r="BF277" s="569"/>
      <c r="BG277" s="569"/>
      <c r="BH277" s="569"/>
      <c r="BI277" s="569"/>
      <c r="BJ277" s="569"/>
      <c r="BK277" s="569"/>
      <c r="BL277" s="569"/>
      <c r="BM277" s="569"/>
      <c r="BN277" s="569"/>
      <c r="BO277" s="569"/>
      <c r="BP277" s="569"/>
      <c r="BQ277" s="569"/>
      <c r="BR277" s="569"/>
      <c r="BS277" s="569"/>
      <c r="BT277" s="569"/>
      <c r="BU277" s="569"/>
      <c r="BV277" s="569"/>
      <c r="BW277" s="569"/>
      <c r="BX277" s="569"/>
      <c r="BY277" s="569"/>
      <c r="BZ277" s="569"/>
      <c r="CA277" s="569"/>
      <c r="CB277" s="569"/>
      <c r="CC277" s="569"/>
      <c r="CD277" s="569"/>
      <c r="CE277" s="569"/>
      <c r="CF277" s="569"/>
      <c r="CG277" s="569"/>
      <c r="CH277" s="569"/>
      <c r="CI277" s="569"/>
      <c r="CJ277" s="569"/>
      <c r="CK277" s="569"/>
      <c r="CL277" s="569"/>
      <c r="CM277" s="569"/>
      <c r="CN277" s="569"/>
      <c r="CO277" s="569"/>
      <c r="CP277" s="569"/>
      <c r="CQ277" s="569"/>
      <c r="CR277" s="569"/>
      <c r="CS277" s="569"/>
      <c r="CT277" s="569"/>
      <c r="CU277" s="569"/>
      <c r="CV277" s="569"/>
      <c r="CW277" s="569"/>
      <c r="CX277" s="569"/>
      <c r="CY277" s="569"/>
      <c r="CZ277" s="569"/>
      <c r="DA277" s="569"/>
      <c r="DB277" s="569"/>
      <c r="DC277" s="569"/>
      <c r="DD277" s="569"/>
      <c r="DE277" s="569"/>
      <c r="DF277" s="569"/>
      <c r="DG277" s="569"/>
      <c r="DH277" s="569"/>
      <c r="DI277" s="569"/>
      <c r="DJ277" s="569"/>
      <c r="DK277" s="569"/>
      <c r="DL277" s="569"/>
      <c r="DM277" s="569"/>
      <c r="DN277" s="569"/>
      <c r="DO277" s="569"/>
      <c r="DP277" s="569"/>
      <c r="DQ277" s="569"/>
      <c r="DR277" s="569"/>
      <c r="DS277" s="569"/>
      <c r="DT277" s="569"/>
      <c r="DU277" s="569"/>
      <c r="DV277" s="569"/>
      <c r="DW277" s="569"/>
      <c r="DX277" s="569"/>
      <c r="DY277" s="569"/>
      <c r="DZ277" s="569"/>
      <c r="EA277" s="569"/>
      <c r="EB277" s="569"/>
      <c r="EC277" s="569"/>
      <c r="ED277" s="569"/>
      <c r="EE277" s="569"/>
      <c r="EF277" s="569"/>
      <c r="EG277" s="569"/>
      <c r="EH277" s="569"/>
      <c r="EI277" s="569"/>
      <c r="EJ277" s="569"/>
      <c r="EK277" s="569"/>
      <c r="EL277" s="569"/>
      <c r="EM277" s="569"/>
      <c r="EN277" s="569"/>
      <c r="EO277" s="569"/>
      <c r="EP277" s="569"/>
      <c r="EQ277" s="569"/>
      <c r="ER277" s="569"/>
      <c r="ES277" s="569"/>
      <c r="ET277" s="569"/>
      <c r="EU277" s="569"/>
      <c r="EV277" s="569"/>
      <c r="EW277" s="569"/>
      <c r="EX277" s="569"/>
      <c r="EY277" s="569"/>
      <c r="EZ277" s="569"/>
      <c r="FA277" s="569"/>
      <c r="FB277" s="569"/>
      <c r="FC277" s="569"/>
      <c r="FD277" s="569"/>
      <c r="FE277" s="569"/>
      <c r="FF277" s="569"/>
      <c r="FG277" s="569"/>
      <c r="FH277" s="569"/>
      <c r="FI277" s="569"/>
      <c r="FJ277" s="569"/>
      <c r="FK277" s="569"/>
      <c r="FL277" s="569"/>
      <c r="FM277" s="569"/>
      <c r="FN277" s="569"/>
      <c r="FO277" s="569"/>
      <c r="FP277" s="569"/>
      <c r="FQ277" s="569"/>
      <c r="FR277" s="569"/>
      <c r="FS277" s="569"/>
      <c r="FT277" s="569"/>
      <c r="FU277" s="569"/>
      <c r="FV277" s="569"/>
      <c r="FW277" s="569"/>
      <c r="FX277" s="569"/>
      <c r="FY277" s="569"/>
      <c r="FZ277" s="569"/>
      <c r="GA277" s="569"/>
      <c r="GB277" s="569"/>
      <c r="GC277" s="569"/>
      <c r="GD277" s="569"/>
      <c r="GE277" s="569"/>
      <c r="GF277" s="569"/>
      <c r="GG277" s="569"/>
      <c r="GH277" s="569"/>
      <c r="GI277" s="569"/>
      <c r="GJ277" s="569"/>
      <c r="GK277" s="569"/>
      <c r="GL277" s="569"/>
      <c r="GM277" s="569"/>
      <c r="GN277" s="569"/>
      <c r="GO277" s="569"/>
      <c r="GP277" s="569"/>
      <c r="GQ277" s="569"/>
      <c r="GR277" s="569"/>
      <c r="GS277" s="569"/>
      <c r="GT277" s="569"/>
      <c r="GU277" s="569"/>
      <c r="GV277" s="569"/>
      <c r="GW277" s="569"/>
      <c r="GX277" s="569"/>
      <c r="GY277" s="569"/>
      <c r="GZ277" s="569"/>
      <c r="HA277" s="569"/>
      <c r="HB277" s="569"/>
      <c r="HC277" s="569"/>
      <c r="HD277" s="569"/>
      <c r="HE277" s="569"/>
      <c r="HF277" s="569"/>
      <c r="HG277" s="569"/>
      <c r="HH277" s="569"/>
      <c r="HI277" s="569"/>
      <c r="HJ277" s="569"/>
      <c r="HK277" s="569"/>
      <c r="IE277" s="579"/>
      <c r="IF277" s="579"/>
      <c r="IG277" s="579"/>
      <c r="IH277" s="579"/>
    </row>
    <row r="278" spans="1:242" s="164" customFormat="1" ht="20.100000000000001" hidden="1" customHeight="1">
      <c r="A278" s="569">
        <v>32</v>
      </c>
      <c r="B278" s="1052"/>
      <c r="C278" s="609" t="s">
        <v>677</v>
      </c>
      <c r="D278" s="610">
        <v>6</v>
      </c>
      <c r="E278" s="736" t="str">
        <f t="shared" ref="E278:AJ278" ca="1" si="148">IFERROR(OFFSET(貼付け_2025実績,$D278,E277+1)&amp;"","")</f>
        <v/>
      </c>
      <c r="F278" s="611" t="str">
        <f t="shared" ca="1" si="148"/>
        <v/>
      </c>
      <c r="G278" s="611" t="str">
        <f t="shared" ca="1" si="148"/>
        <v/>
      </c>
      <c r="H278" s="611" t="str">
        <f t="shared" ca="1" si="148"/>
        <v/>
      </c>
      <c r="I278" s="611" t="str">
        <f t="shared" ca="1" si="148"/>
        <v/>
      </c>
      <c r="J278" s="611" t="str">
        <f t="shared" ca="1" si="148"/>
        <v/>
      </c>
      <c r="K278" s="611" t="str">
        <f t="shared" ca="1" si="148"/>
        <v/>
      </c>
      <c r="L278" s="611" t="str">
        <f t="shared" ca="1" si="148"/>
        <v/>
      </c>
      <c r="M278" s="611" t="str">
        <f t="shared" ca="1" si="148"/>
        <v/>
      </c>
      <c r="N278" s="611" t="str">
        <f t="shared" ca="1" si="148"/>
        <v/>
      </c>
      <c r="O278" s="611" t="str">
        <f ca="1">IFERROR(OFFSET(貼付け_2025実績,$D278,O277+1)&amp;"","")</f>
        <v/>
      </c>
      <c r="P278" s="611" t="str">
        <f t="shared" ca="1" si="148"/>
        <v/>
      </c>
      <c r="Q278" s="611" t="str">
        <f t="shared" ca="1" si="148"/>
        <v/>
      </c>
      <c r="R278" s="611" t="str">
        <f t="shared" ca="1" si="148"/>
        <v/>
      </c>
      <c r="S278" s="611" t="str">
        <f t="shared" ca="1" si="148"/>
        <v/>
      </c>
      <c r="T278" s="611" t="str">
        <f t="shared" ca="1" si="148"/>
        <v/>
      </c>
      <c r="U278" s="611" t="str">
        <f t="shared" ca="1" si="148"/>
        <v/>
      </c>
      <c r="V278" s="611" t="str">
        <f t="shared" ca="1" si="148"/>
        <v/>
      </c>
      <c r="W278" s="611" t="str">
        <f t="shared" ca="1" si="148"/>
        <v/>
      </c>
      <c r="X278" s="611" t="str">
        <f t="shared" ca="1" si="148"/>
        <v/>
      </c>
      <c r="Y278" s="611" t="str">
        <f t="shared" ca="1" si="148"/>
        <v/>
      </c>
      <c r="Z278" s="611" t="str">
        <f t="shared" ca="1" si="148"/>
        <v/>
      </c>
      <c r="AA278" s="611" t="str">
        <f t="shared" ca="1" si="148"/>
        <v/>
      </c>
      <c r="AB278" s="611" t="str">
        <f t="shared" ca="1" si="148"/>
        <v/>
      </c>
      <c r="AC278" s="611" t="str">
        <f t="shared" ca="1" si="148"/>
        <v/>
      </c>
      <c r="AD278" s="611" t="str">
        <f t="shared" ca="1" si="148"/>
        <v/>
      </c>
      <c r="AE278" s="611" t="str">
        <f t="shared" ca="1" si="148"/>
        <v/>
      </c>
      <c r="AF278" s="611" t="str">
        <f t="shared" ca="1" si="148"/>
        <v/>
      </c>
      <c r="AG278" s="611" t="str">
        <f t="shared" ca="1" si="148"/>
        <v/>
      </c>
      <c r="AH278" s="611" t="str">
        <f t="shared" ca="1" si="148"/>
        <v/>
      </c>
      <c r="AI278" s="611" t="str">
        <f t="shared" ca="1" si="148"/>
        <v/>
      </c>
      <c r="AJ278" s="611" t="str">
        <f t="shared" ca="1" si="148"/>
        <v/>
      </c>
      <c r="AK278" s="611" t="str">
        <f t="shared" ref="AK278:BB278" ca="1" si="149">IFERROR(OFFSET(貼付け_2025実績,$D278,AK277+1)&amp;"","")</f>
        <v/>
      </c>
      <c r="AL278" s="611" t="str">
        <f t="shared" ca="1" si="149"/>
        <v/>
      </c>
      <c r="AM278" s="611" t="str">
        <f t="shared" ca="1" si="149"/>
        <v/>
      </c>
      <c r="AN278" s="611" t="str">
        <f t="shared" ca="1" si="149"/>
        <v/>
      </c>
      <c r="AO278" s="611" t="str">
        <f t="shared" ca="1" si="149"/>
        <v/>
      </c>
      <c r="AP278" s="611" t="str">
        <f t="shared" ca="1" si="149"/>
        <v/>
      </c>
      <c r="AQ278" s="611" t="str">
        <f t="shared" ca="1" si="149"/>
        <v/>
      </c>
      <c r="AR278" s="611" t="str">
        <f t="shared" ca="1" si="149"/>
        <v/>
      </c>
      <c r="AS278" s="611" t="str">
        <f t="shared" ca="1" si="149"/>
        <v/>
      </c>
      <c r="AT278" s="611" t="str">
        <f t="shared" ca="1" si="149"/>
        <v/>
      </c>
      <c r="AU278" s="611" t="str">
        <f t="shared" ca="1" si="149"/>
        <v/>
      </c>
      <c r="AV278" s="611" t="str">
        <f t="shared" ca="1" si="149"/>
        <v/>
      </c>
      <c r="AW278" s="611" t="str">
        <f t="shared" ca="1" si="149"/>
        <v/>
      </c>
      <c r="AX278" s="611" t="str">
        <f t="shared" ca="1" si="149"/>
        <v/>
      </c>
      <c r="AY278" s="611" t="str">
        <f t="shared" ca="1" si="149"/>
        <v/>
      </c>
      <c r="AZ278" s="611" t="str">
        <f t="shared" ca="1" si="149"/>
        <v/>
      </c>
      <c r="BA278" s="612" t="str">
        <f t="shared" ca="1" si="149"/>
        <v/>
      </c>
      <c r="BB278" s="652" t="str">
        <f t="shared" ca="1" si="149"/>
        <v/>
      </c>
      <c r="BC278" s="613"/>
      <c r="IE278" s="579"/>
      <c r="IF278" s="579"/>
      <c r="IG278" s="579"/>
      <c r="IH278" s="579"/>
    </row>
    <row r="279" spans="1:242" s="164" customFormat="1" ht="20.100000000000001" hidden="1" customHeight="1">
      <c r="A279" s="569">
        <v>33</v>
      </c>
      <c r="B279" s="1052"/>
      <c r="C279" s="614" t="s">
        <v>678</v>
      </c>
      <c r="D279" s="615">
        <v>99</v>
      </c>
      <c r="E279" s="737" t="str">
        <f t="shared" ref="E279:AJ279" ca="1" si="150">IFERROR(OFFSET(貼付け_2025実績,$D279,E277),"")&amp;""</f>
        <v/>
      </c>
      <c r="F279" s="616" t="str">
        <f t="shared" ca="1" si="150"/>
        <v/>
      </c>
      <c r="G279" s="616" t="str">
        <f t="shared" ca="1" si="150"/>
        <v/>
      </c>
      <c r="H279" s="616" t="str">
        <f t="shared" ca="1" si="150"/>
        <v/>
      </c>
      <c r="I279" s="616" t="str">
        <f t="shared" ca="1" si="150"/>
        <v/>
      </c>
      <c r="J279" s="616" t="str">
        <f t="shared" ca="1" si="150"/>
        <v/>
      </c>
      <c r="K279" s="616" t="str">
        <f t="shared" ca="1" si="150"/>
        <v/>
      </c>
      <c r="L279" s="616" t="str">
        <f t="shared" ca="1" si="150"/>
        <v/>
      </c>
      <c r="M279" s="616" t="str">
        <f t="shared" ca="1" si="150"/>
        <v/>
      </c>
      <c r="N279" s="616" t="str">
        <f t="shared" ca="1" si="150"/>
        <v/>
      </c>
      <c r="O279" s="616" t="str">
        <f ca="1">IFERROR(OFFSET(貼付け_2025実績,$D279,O277),"")&amp;""</f>
        <v/>
      </c>
      <c r="P279" s="616" t="str">
        <f t="shared" ca="1" si="150"/>
        <v/>
      </c>
      <c r="Q279" s="616" t="str">
        <f t="shared" ca="1" si="150"/>
        <v/>
      </c>
      <c r="R279" s="616" t="str">
        <f t="shared" ca="1" si="150"/>
        <v/>
      </c>
      <c r="S279" s="616" t="str">
        <f t="shared" ca="1" si="150"/>
        <v/>
      </c>
      <c r="T279" s="616" t="str">
        <f t="shared" ca="1" si="150"/>
        <v/>
      </c>
      <c r="U279" s="616" t="str">
        <f t="shared" ca="1" si="150"/>
        <v/>
      </c>
      <c r="V279" s="616" t="str">
        <f t="shared" ca="1" si="150"/>
        <v/>
      </c>
      <c r="W279" s="616" t="str">
        <f t="shared" ca="1" si="150"/>
        <v/>
      </c>
      <c r="X279" s="616" t="str">
        <f t="shared" ca="1" si="150"/>
        <v/>
      </c>
      <c r="Y279" s="616" t="str">
        <f t="shared" ca="1" si="150"/>
        <v/>
      </c>
      <c r="Z279" s="616" t="str">
        <f t="shared" ca="1" si="150"/>
        <v/>
      </c>
      <c r="AA279" s="616" t="str">
        <f t="shared" ca="1" si="150"/>
        <v/>
      </c>
      <c r="AB279" s="616" t="str">
        <f t="shared" ca="1" si="150"/>
        <v/>
      </c>
      <c r="AC279" s="616" t="str">
        <f t="shared" ca="1" si="150"/>
        <v/>
      </c>
      <c r="AD279" s="616" t="str">
        <f t="shared" ca="1" si="150"/>
        <v/>
      </c>
      <c r="AE279" s="616" t="str">
        <f t="shared" ca="1" si="150"/>
        <v/>
      </c>
      <c r="AF279" s="616" t="str">
        <f t="shared" ca="1" si="150"/>
        <v/>
      </c>
      <c r="AG279" s="616" t="str">
        <f t="shared" ca="1" si="150"/>
        <v/>
      </c>
      <c r="AH279" s="616" t="str">
        <f t="shared" ca="1" si="150"/>
        <v/>
      </c>
      <c r="AI279" s="616" t="str">
        <f t="shared" ca="1" si="150"/>
        <v/>
      </c>
      <c r="AJ279" s="616" t="str">
        <f t="shared" ca="1" si="150"/>
        <v/>
      </c>
      <c r="AK279" s="616" t="str">
        <f t="shared" ref="AK279:BB279" ca="1" si="151">IFERROR(OFFSET(貼付け_2025実績,$D279,AK277),"")&amp;""</f>
        <v/>
      </c>
      <c r="AL279" s="616" t="str">
        <f t="shared" ca="1" si="151"/>
        <v/>
      </c>
      <c r="AM279" s="616" t="str">
        <f t="shared" ca="1" si="151"/>
        <v/>
      </c>
      <c r="AN279" s="616" t="str">
        <f t="shared" ca="1" si="151"/>
        <v/>
      </c>
      <c r="AO279" s="616" t="str">
        <f t="shared" ca="1" si="151"/>
        <v/>
      </c>
      <c r="AP279" s="616" t="str">
        <f t="shared" ca="1" si="151"/>
        <v/>
      </c>
      <c r="AQ279" s="616" t="str">
        <f t="shared" ca="1" si="151"/>
        <v/>
      </c>
      <c r="AR279" s="616" t="str">
        <f t="shared" ca="1" si="151"/>
        <v/>
      </c>
      <c r="AS279" s="616" t="str">
        <f t="shared" ca="1" si="151"/>
        <v/>
      </c>
      <c r="AT279" s="616" t="str">
        <f t="shared" ca="1" si="151"/>
        <v/>
      </c>
      <c r="AU279" s="616" t="str">
        <f t="shared" ca="1" si="151"/>
        <v/>
      </c>
      <c r="AV279" s="616" t="str">
        <f t="shared" ca="1" si="151"/>
        <v/>
      </c>
      <c r="AW279" s="616" t="str">
        <f t="shared" ca="1" si="151"/>
        <v/>
      </c>
      <c r="AX279" s="616" t="str">
        <f t="shared" ca="1" si="151"/>
        <v/>
      </c>
      <c r="AY279" s="616" t="str">
        <f t="shared" ca="1" si="151"/>
        <v/>
      </c>
      <c r="AZ279" s="616" t="str">
        <f t="shared" ca="1" si="151"/>
        <v/>
      </c>
      <c r="BA279" s="616" t="str">
        <f t="shared" ca="1" si="151"/>
        <v/>
      </c>
      <c r="BB279" s="653" t="str">
        <f t="shared" ca="1" si="151"/>
        <v/>
      </c>
      <c r="IE279" s="579"/>
      <c r="IF279" s="579"/>
      <c r="IG279" s="579"/>
      <c r="IH279" s="579"/>
    </row>
    <row r="280" spans="1:242" s="164" customFormat="1" ht="20.100000000000001" hidden="1" customHeight="1">
      <c r="A280" s="569">
        <v>34</v>
      </c>
      <c r="B280" s="1052"/>
      <c r="C280" s="614" t="s">
        <v>679</v>
      </c>
      <c r="D280" s="615">
        <v>6</v>
      </c>
      <c r="E280" s="737" t="str">
        <f t="shared" ref="E280:AJ280" ca="1" si="152">IFERROR(OFFSET(A1_集計2025,$D280,E277),"")</f>
        <v/>
      </c>
      <c r="F280" s="616" t="str">
        <f t="shared" ca="1" si="152"/>
        <v/>
      </c>
      <c r="G280" s="616" t="str">
        <f t="shared" ca="1" si="152"/>
        <v/>
      </c>
      <c r="H280" s="616" t="str">
        <f t="shared" ca="1" si="152"/>
        <v/>
      </c>
      <c r="I280" s="616" t="str">
        <f t="shared" ca="1" si="152"/>
        <v/>
      </c>
      <c r="J280" s="616" t="str">
        <f t="shared" ca="1" si="152"/>
        <v/>
      </c>
      <c r="K280" s="616" t="str">
        <f t="shared" ca="1" si="152"/>
        <v/>
      </c>
      <c r="L280" s="616" t="str">
        <f t="shared" ca="1" si="152"/>
        <v/>
      </c>
      <c r="M280" s="616" t="str">
        <f t="shared" ca="1" si="152"/>
        <v/>
      </c>
      <c r="N280" s="616" t="str">
        <f t="shared" ca="1" si="152"/>
        <v/>
      </c>
      <c r="O280" s="616" t="str">
        <f ca="1">IFERROR(OFFSET(A1_集計2025,$D280,O277),"")</f>
        <v/>
      </c>
      <c r="P280" s="616" t="str">
        <f t="shared" ca="1" si="152"/>
        <v/>
      </c>
      <c r="Q280" s="616" t="str">
        <f t="shared" ca="1" si="152"/>
        <v/>
      </c>
      <c r="R280" s="616" t="str">
        <f t="shared" ca="1" si="152"/>
        <v/>
      </c>
      <c r="S280" s="616" t="str">
        <f t="shared" ca="1" si="152"/>
        <v/>
      </c>
      <c r="T280" s="616" t="str">
        <f t="shared" ca="1" si="152"/>
        <v/>
      </c>
      <c r="U280" s="616" t="str">
        <f t="shared" ca="1" si="152"/>
        <v/>
      </c>
      <c r="V280" s="616" t="str">
        <f t="shared" ca="1" si="152"/>
        <v/>
      </c>
      <c r="W280" s="616" t="str">
        <f t="shared" ca="1" si="152"/>
        <v/>
      </c>
      <c r="X280" s="616" t="str">
        <f t="shared" ca="1" si="152"/>
        <v/>
      </c>
      <c r="Y280" s="616" t="str">
        <f t="shared" ca="1" si="152"/>
        <v/>
      </c>
      <c r="Z280" s="616" t="str">
        <f t="shared" ca="1" si="152"/>
        <v/>
      </c>
      <c r="AA280" s="616" t="str">
        <f t="shared" ca="1" si="152"/>
        <v/>
      </c>
      <c r="AB280" s="616" t="str">
        <f t="shared" ca="1" si="152"/>
        <v/>
      </c>
      <c r="AC280" s="616" t="str">
        <f t="shared" ca="1" si="152"/>
        <v/>
      </c>
      <c r="AD280" s="616" t="str">
        <f t="shared" ca="1" si="152"/>
        <v/>
      </c>
      <c r="AE280" s="616" t="str">
        <f t="shared" ca="1" si="152"/>
        <v/>
      </c>
      <c r="AF280" s="616" t="str">
        <f t="shared" ca="1" si="152"/>
        <v/>
      </c>
      <c r="AG280" s="616" t="str">
        <f t="shared" ca="1" si="152"/>
        <v/>
      </c>
      <c r="AH280" s="616" t="str">
        <f t="shared" ca="1" si="152"/>
        <v/>
      </c>
      <c r="AI280" s="616" t="str">
        <f t="shared" ca="1" si="152"/>
        <v/>
      </c>
      <c r="AJ280" s="616" t="str">
        <f t="shared" ca="1" si="152"/>
        <v/>
      </c>
      <c r="AK280" s="616" t="str">
        <f t="shared" ref="AK280:BB280" ca="1" si="153">IFERROR(OFFSET(A1_集計2025,$D280,AK277),"")</f>
        <v/>
      </c>
      <c r="AL280" s="616" t="str">
        <f t="shared" ca="1" si="153"/>
        <v/>
      </c>
      <c r="AM280" s="616" t="str">
        <f t="shared" ca="1" si="153"/>
        <v/>
      </c>
      <c r="AN280" s="616" t="str">
        <f t="shared" ca="1" si="153"/>
        <v/>
      </c>
      <c r="AO280" s="616" t="str">
        <f t="shared" ca="1" si="153"/>
        <v/>
      </c>
      <c r="AP280" s="616" t="str">
        <f t="shared" ca="1" si="153"/>
        <v/>
      </c>
      <c r="AQ280" s="616" t="str">
        <f t="shared" ca="1" si="153"/>
        <v/>
      </c>
      <c r="AR280" s="616" t="str">
        <f t="shared" ca="1" si="153"/>
        <v/>
      </c>
      <c r="AS280" s="616" t="str">
        <f t="shared" ca="1" si="153"/>
        <v/>
      </c>
      <c r="AT280" s="616" t="str">
        <f t="shared" ca="1" si="153"/>
        <v/>
      </c>
      <c r="AU280" s="616" t="str">
        <f t="shared" ca="1" si="153"/>
        <v/>
      </c>
      <c r="AV280" s="616" t="str">
        <f t="shared" ca="1" si="153"/>
        <v/>
      </c>
      <c r="AW280" s="616" t="str">
        <f t="shared" ca="1" si="153"/>
        <v/>
      </c>
      <c r="AX280" s="616" t="str">
        <f t="shared" ca="1" si="153"/>
        <v/>
      </c>
      <c r="AY280" s="616" t="str">
        <f t="shared" ca="1" si="153"/>
        <v/>
      </c>
      <c r="AZ280" s="616" t="str">
        <f t="shared" ca="1" si="153"/>
        <v/>
      </c>
      <c r="BA280" s="587" t="str">
        <f t="shared" ca="1" si="153"/>
        <v/>
      </c>
      <c r="BB280" s="653" t="str">
        <f t="shared" ca="1" si="153"/>
        <v/>
      </c>
      <c r="IE280" s="579"/>
      <c r="IF280" s="579"/>
      <c r="IG280" s="579"/>
      <c r="IH280" s="579"/>
    </row>
    <row r="281" spans="1:242" s="164" customFormat="1" ht="20.100000000000001" hidden="1" customHeight="1">
      <c r="A281" s="569">
        <v>35</v>
      </c>
      <c r="B281" s="1052"/>
      <c r="C281" s="614" t="s">
        <v>680</v>
      </c>
      <c r="D281" s="615">
        <v>101</v>
      </c>
      <c r="E281" s="737" t="str">
        <f t="shared" ref="E281:AJ281" ca="1" si="154">IFERROR(OFFSET(貼付け_2025実績,$D281,E277),"")</f>
        <v/>
      </c>
      <c r="F281" s="616" t="str">
        <f t="shared" ca="1" si="154"/>
        <v/>
      </c>
      <c r="G281" s="616" t="str">
        <f t="shared" ca="1" si="154"/>
        <v/>
      </c>
      <c r="H281" s="616" t="str">
        <f t="shared" ca="1" si="154"/>
        <v/>
      </c>
      <c r="I281" s="616" t="str">
        <f t="shared" ca="1" si="154"/>
        <v/>
      </c>
      <c r="J281" s="616" t="str">
        <f t="shared" ca="1" si="154"/>
        <v/>
      </c>
      <c r="K281" s="616" t="str">
        <f t="shared" ca="1" si="154"/>
        <v/>
      </c>
      <c r="L281" s="616" t="str">
        <f t="shared" ca="1" si="154"/>
        <v/>
      </c>
      <c r="M281" s="616" t="str">
        <f t="shared" ca="1" si="154"/>
        <v/>
      </c>
      <c r="N281" s="616" t="str">
        <f t="shared" ca="1" si="154"/>
        <v/>
      </c>
      <c r="O281" s="616" t="str">
        <f ca="1">IFERROR(OFFSET(貼付け_2025実績,$D281,O277),"")</f>
        <v/>
      </c>
      <c r="P281" s="616" t="str">
        <f t="shared" ca="1" si="154"/>
        <v/>
      </c>
      <c r="Q281" s="616" t="str">
        <f t="shared" ca="1" si="154"/>
        <v/>
      </c>
      <c r="R281" s="616" t="str">
        <f t="shared" ca="1" si="154"/>
        <v/>
      </c>
      <c r="S281" s="616" t="str">
        <f t="shared" ca="1" si="154"/>
        <v/>
      </c>
      <c r="T281" s="616" t="str">
        <f t="shared" ca="1" si="154"/>
        <v/>
      </c>
      <c r="U281" s="616" t="str">
        <f t="shared" ca="1" si="154"/>
        <v/>
      </c>
      <c r="V281" s="616" t="str">
        <f t="shared" ca="1" si="154"/>
        <v/>
      </c>
      <c r="W281" s="616" t="str">
        <f t="shared" ca="1" si="154"/>
        <v/>
      </c>
      <c r="X281" s="616" t="str">
        <f t="shared" ca="1" si="154"/>
        <v/>
      </c>
      <c r="Y281" s="616" t="str">
        <f t="shared" ca="1" si="154"/>
        <v/>
      </c>
      <c r="Z281" s="616" t="str">
        <f t="shared" ca="1" si="154"/>
        <v/>
      </c>
      <c r="AA281" s="616" t="str">
        <f t="shared" ca="1" si="154"/>
        <v/>
      </c>
      <c r="AB281" s="616" t="str">
        <f t="shared" ca="1" si="154"/>
        <v/>
      </c>
      <c r="AC281" s="616" t="str">
        <f t="shared" ca="1" si="154"/>
        <v/>
      </c>
      <c r="AD281" s="616" t="str">
        <f t="shared" ca="1" si="154"/>
        <v/>
      </c>
      <c r="AE281" s="616" t="str">
        <f t="shared" ca="1" si="154"/>
        <v/>
      </c>
      <c r="AF281" s="616" t="str">
        <f t="shared" ca="1" si="154"/>
        <v/>
      </c>
      <c r="AG281" s="616" t="str">
        <f t="shared" ca="1" si="154"/>
        <v/>
      </c>
      <c r="AH281" s="616" t="str">
        <f t="shared" ca="1" si="154"/>
        <v/>
      </c>
      <c r="AI281" s="616" t="str">
        <f t="shared" ca="1" si="154"/>
        <v/>
      </c>
      <c r="AJ281" s="616" t="str">
        <f t="shared" ca="1" si="154"/>
        <v/>
      </c>
      <c r="AK281" s="616" t="str">
        <f t="shared" ref="AK281:BB281" ca="1" si="155">IFERROR(OFFSET(貼付け_2025実績,$D281,AK277),"")</f>
        <v/>
      </c>
      <c r="AL281" s="616" t="str">
        <f t="shared" ca="1" si="155"/>
        <v/>
      </c>
      <c r="AM281" s="616" t="str">
        <f t="shared" ca="1" si="155"/>
        <v/>
      </c>
      <c r="AN281" s="616" t="str">
        <f t="shared" ca="1" si="155"/>
        <v/>
      </c>
      <c r="AO281" s="616" t="str">
        <f t="shared" ca="1" si="155"/>
        <v/>
      </c>
      <c r="AP281" s="616" t="str">
        <f t="shared" ca="1" si="155"/>
        <v/>
      </c>
      <c r="AQ281" s="616" t="str">
        <f t="shared" ca="1" si="155"/>
        <v/>
      </c>
      <c r="AR281" s="616" t="str">
        <f t="shared" ca="1" si="155"/>
        <v/>
      </c>
      <c r="AS281" s="616" t="str">
        <f t="shared" ca="1" si="155"/>
        <v/>
      </c>
      <c r="AT281" s="616" t="str">
        <f t="shared" ca="1" si="155"/>
        <v/>
      </c>
      <c r="AU281" s="616" t="str">
        <f t="shared" ca="1" si="155"/>
        <v/>
      </c>
      <c r="AV281" s="616" t="str">
        <f t="shared" ca="1" si="155"/>
        <v/>
      </c>
      <c r="AW281" s="616" t="str">
        <f t="shared" ca="1" si="155"/>
        <v/>
      </c>
      <c r="AX281" s="616" t="str">
        <f t="shared" ca="1" si="155"/>
        <v/>
      </c>
      <c r="AY281" s="616" t="str">
        <f t="shared" ca="1" si="155"/>
        <v/>
      </c>
      <c r="AZ281" s="616" t="str">
        <f t="shared" ca="1" si="155"/>
        <v/>
      </c>
      <c r="BA281" s="587" t="str">
        <f t="shared" ca="1" si="155"/>
        <v/>
      </c>
      <c r="BB281" s="653" t="str">
        <f t="shared" ca="1" si="155"/>
        <v/>
      </c>
      <c r="IE281" s="579"/>
      <c r="IF281" s="579"/>
      <c r="IG281" s="579"/>
      <c r="IH281" s="579"/>
    </row>
    <row r="282" spans="1:242" s="164" customFormat="1" ht="20.100000000000001" hidden="1" customHeight="1">
      <c r="A282" s="569">
        <v>36</v>
      </c>
      <c r="B282" s="1052"/>
      <c r="C282" s="614" t="s">
        <v>681</v>
      </c>
      <c r="D282" s="615"/>
      <c r="E282" s="737" t="str">
        <f ca="1">IFERROR(E280/E281,"")</f>
        <v/>
      </c>
      <c r="F282" s="616" t="str">
        <f t="shared" ref="F282:BB282" ca="1" si="156">IFERROR(F280/F281,"")</f>
        <v/>
      </c>
      <c r="G282" s="616" t="str">
        <f t="shared" ca="1" si="156"/>
        <v/>
      </c>
      <c r="H282" s="616" t="str">
        <f t="shared" ca="1" si="156"/>
        <v/>
      </c>
      <c r="I282" s="616" t="str">
        <f t="shared" ca="1" si="156"/>
        <v/>
      </c>
      <c r="J282" s="616" t="str">
        <f t="shared" ca="1" si="156"/>
        <v/>
      </c>
      <c r="K282" s="616" t="str">
        <f t="shared" ca="1" si="156"/>
        <v/>
      </c>
      <c r="L282" s="616" t="str">
        <f t="shared" ca="1" si="156"/>
        <v/>
      </c>
      <c r="M282" s="616" t="str">
        <f t="shared" ca="1" si="156"/>
        <v/>
      </c>
      <c r="N282" s="616" t="str">
        <f t="shared" ca="1" si="156"/>
        <v/>
      </c>
      <c r="O282" s="616" t="str">
        <f t="shared" ca="1" si="156"/>
        <v/>
      </c>
      <c r="P282" s="616" t="str">
        <f t="shared" ca="1" si="156"/>
        <v/>
      </c>
      <c r="Q282" s="616" t="str">
        <f t="shared" ca="1" si="156"/>
        <v/>
      </c>
      <c r="R282" s="616" t="str">
        <f t="shared" ca="1" si="156"/>
        <v/>
      </c>
      <c r="S282" s="616" t="str">
        <f t="shared" ca="1" si="156"/>
        <v/>
      </c>
      <c r="T282" s="616" t="str">
        <f t="shared" ca="1" si="156"/>
        <v/>
      </c>
      <c r="U282" s="616" t="str">
        <f t="shared" ca="1" si="156"/>
        <v/>
      </c>
      <c r="V282" s="616" t="str">
        <f t="shared" ca="1" si="156"/>
        <v/>
      </c>
      <c r="W282" s="616" t="str">
        <f t="shared" ca="1" si="156"/>
        <v/>
      </c>
      <c r="X282" s="616" t="str">
        <f t="shared" ca="1" si="156"/>
        <v/>
      </c>
      <c r="Y282" s="616" t="str">
        <f t="shared" ca="1" si="156"/>
        <v/>
      </c>
      <c r="Z282" s="616" t="str">
        <f t="shared" ca="1" si="156"/>
        <v/>
      </c>
      <c r="AA282" s="616" t="str">
        <f t="shared" ca="1" si="156"/>
        <v/>
      </c>
      <c r="AB282" s="616" t="str">
        <f t="shared" ca="1" si="156"/>
        <v/>
      </c>
      <c r="AC282" s="616" t="str">
        <f t="shared" ca="1" si="156"/>
        <v/>
      </c>
      <c r="AD282" s="616" t="str">
        <f t="shared" ca="1" si="156"/>
        <v/>
      </c>
      <c r="AE282" s="616" t="str">
        <f t="shared" ca="1" si="156"/>
        <v/>
      </c>
      <c r="AF282" s="616" t="str">
        <f t="shared" ca="1" si="156"/>
        <v/>
      </c>
      <c r="AG282" s="616" t="str">
        <f t="shared" ca="1" si="156"/>
        <v/>
      </c>
      <c r="AH282" s="616" t="str">
        <f t="shared" ca="1" si="156"/>
        <v/>
      </c>
      <c r="AI282" s="616" t="str">
        <f t="shared" ca="1" si="156"/>
        <v/>
      </c>
      <c r="AJ282" s="616" t="str">
        <f t="shared" ca="1" si="156"/>
        <v/>
      </c>
      <c r="AK282" s="616" t="str">
        <f t="shared" ca="1" si="156"/>
        <v/>
      </c>
      <c r="AL282" s="616" t="str">
        <f t="shared" ca="1" si="156"/>
        <v/>
      </c>
      <c r="AM282" s="616" t="str">
        <f t="shared" ca="1" si="156"/>
        <v/>
      </c>
      <c r="AN282" s="616" t="str">
        <f t="shared" ca="1" si="156"/>
        <v/>
      </c>
      <c r="AO282" s="616" t="str">
        <f t="shared" ca="1" si="156"/>
        <v/>
      </c>
      <c r="AP282" s="616" t="str">
        <f t="shared" ca="1" si="156"/>
        <v/>
      </c>
      <c r="AQ282" s="616" t="str">
        <f t="shared" ca="1" si="156"/>
        <v/>
      </c>
      <c r="AR282" s="616" t="str">
        <f t="shared" ca="1" si="156"/>
        <v/>
      </c>
      <c r="AS282" s="616" t="str">
        <f t="shared" ca="1" si="156"/>
        <v/>
      </c>
      <c r="AT282" s="616" t="str">
        <f t="shared" ca="1" si="156"/>
        <v/>
      </c>
      <c r="AU282" s="616" t="str">
        <f t="shared" ca="1" si="156"/>
        <v/>
      </c>
      <c r="AV282" s="616" t="str">
        <f t="shared" ca="1" si="156"/>
        <v/>
      </c>
      <c r="AW282" s="616" t="str">
        <f t="shared" ca="1" si="156"/>
        <v/>
      </c>
      <c r="AX282" s="616" t="str">
        <f t="shared" ca="1" si="156"/>
        <v/>
      </c>
      <c r="AY282" s="616" t="str">
        <f t="shared" ca="1" si="156"/>
        <v/>
      </c>
      <c r="AZ282" s="616" t="str">
        <f t="shared" ca="1" si="156"/>
        <v/>
      </c>
      <c r="BA282" s="587" t="str">
        <f t="shared" ca="1" si="156"/>
        <v/>
      </c>
      <c r="BB282" s="653" t="str">
        <f t="shared" ca="1" si="156"/>
        <v/>
      </c>
      <c r="IE282" s="579"/>
      <c r="IF282" s="579"/>
      <c r="IG282" s="579"/>
      <c r="IH282" s="579"/>
    </row>
    <row r="283" spans="1:242" ht="19.5" hidden="1" customHeight="1" thickBot="1">
      <c r="A283" s="569">
        <v>37</v>
      </c>
      <c r="B283" s="1053"/>
      <c r="C283" s="617" t="s">
        <v>682</v>
      </c>
      <c r="D283" s="618">
        <v>36</v>
      </c>
      <c r="E283" s="738" t="str">
        <f t="shared" ref="E283:AJ283" ca="1" si="157">IFERROR(1-(E282/OFFSET(A1_原単位2024,$D283,E$247+2)),"")</f>
        <v/>
      </c>
      <c r="F283" s="619" t="str">
        <f t="shared" ca="1" si="157"/>
        <v/>
      </c>
      <c r="G283" s="619" t="str">
        <f t="shared" ca="1" si="157"/>
        <v/>
      </c>
      <c r="H283" s="619" t="str">
        <f t="shared" ca="1" si="157"/>
        <v/>
      </c>
      <c r="I283" s="619" t="str">
        <f t="shared" ca="1" si="157"/>
        <v/>
      </c>
      <c r="J283" s="619" t="str">
        <f t="shared" ca="1" si="157"/>
        <v/>
      </c>
      <c r="K283" s="619" t="str">
        <f t="shared" ca="1" si="157"/>
        <v/>
      </c>
      <c r="L283" s="619" t="str">
        <f t="shared" ca="1" si="157"/>
        <v/>
      </c>
      <c r="M283" s="619" t="str">
        <f t="shared" ca="1" si="157"/>
        <v/>
      </c>
      <c r="N283" s="619" t="str">
        <f t="shared" ca="1" si="157"/>
        <v/>
      </c>
      <c r="O283" s="619" t="str">
        <f t="shared" ca="1" si="157"/>
        <v/>
      </c>
      <c r="P283" s="619" t="str">
        <f t="shared" ca="1" si="157"/>
        <v/>
      </c>
      <c r="Q283" s="619" t="str">
        <f t="shared" ca="1" si="157"/>
        <v/>
      </c>
      <c r="R283" s="619" t="str">
        <f t="shared" ca="1" si="157"/>
        <v/>
      </c>
      <c r="S283" s="619" t="str">
        <f t="shared" ca="1" si="157"/>
        <v/>
      </c>
      <c r="T283" s="619" t="str">
        <f t="shared" ca="1" si="157"/>
        <v/>
      </c>
      <c r="U283" s="619" t="str">
        <f t="shared" ca="1" si="157"/>
        <v/>
      </c>
      <c r="V283" s="619" t="str">
        <f t="shared" ca="1" si="157"/>
        <v/>
      </c>
      <c r="W283" s="619" t="str">
        <f t="shared" ca="1" si="157"/>
        <v/>
      </c>
      <c r="X283" s="619" t="str">
        <f t="shared" ca="1" si="157"/>
        <v/>
      </c>
      <c r="Y283" s="619" t="str">
        <f t="shared" ca="1" si="157"/>
        <v/>
      </c>
      <c r="Z283" s="619" t="str">
        <f t="shared" ca="1" si="157"/>
        <v/>
      </c>
      <c r="AA283" s="619" t="str">
        <f t="shared" ca="1" si="157"/>
        <v/>
      </c>
      <c r="AB283" s="619" t="str">
        <f t="shared" ca="1" si="157"/>
        <v/>
      </c>
      <c r="AC283" s="619" t="str">
        <f t="shared" ca="1" si="157"/>
        <v/>
      </c>
      <c r="AD283" s="619" t="str">
        <f t="shared" ca="1" si="157"/>
        <v/>
      </c>
      <c r="AE283" s="619" t="str">
        <f t="shared" ca="1" si="157"/>
        <v/>
      </c>
      <c r="AF283" s="619" t="str">
        <f t="shared" ca="1" si="157"/>
        <v/>
      </c>
      <c r="AG283" s="619" t="str">
        <f t="shared" ca="1" si="157"/>
        <v/>
      </c>
      <c r="AH283" s="619" t="str">
        <f t="shared" ca="1" si="157"/>
        <v/>
      </c>
      <c r="AI283" s="619" t="str">
        <f t="shared" ca="1" si="157"/>
        <v/>
      </c>
      <c r="AJ283" s="619" t="str">
        <f t="shared" ca="1" si="157"/>
        <v/>
      </c>
      <c r="AK283" s="619" t="str">
        <f t="shared" ref="AK283:BB283" ca="1" si="158">IFERROR(1-(AK282/OFFSET(A1_原単位2024,$D283,AK$247+2)),"")</f>
        <v/>
      </c>
      <c r="AL283" s="619" t="str">
        <f t="shared" ca="1" si="158"/>
        <v/>
      </c>
      <c r="AM283" s="619" t="str">
        <f t="shared" ca="1" si="158"/>
        <v/>
      </c>
      <c r="AN283" s="619" t="str">
        <f t="shared" ca="1" si="158"/>
        <v/>
      </c>
      <c r="AO283" s="619" t="str">
        <f t="shared" ca="1" si="158"/>
        <v/>
      </c>
      <c r="AP283" s="619" t="str">
        <f t="shared" ca="1" si="158"/>
        <v/>
      </c>
      <c r="AQ283" s="619" t="str">
        <f t="shared" ca="1" si="158"/>
        <v/>
      </c>
      <c r="AR283" s="619" t="str">
        <f t="shared" ca="1" si="158"/>
        <v/>
      </c>
      <c r="AS283" s="619" t="str">
        <f t="shared" ca="1" si="158"/>
        <v/>
      </c>
      <c r="AT283" s="619" t="str">
        <f t="shared" ca="1" si="158"/>
        <v/>
      </c>
      <c r="AU283" s="619" t="str">
        <f t="shared" ca="1" si="158"/>
        <v/>
      </c>
      <c r="AV283" s="619" t="str">
        <f t="shared" ca="1" si="158"/>
        <v/>
      </c>
      <c r="AW283" s="619" t="str">
        <f t="shared" ca="1" si="158"/>
        <v/>
      </c>
      <c r="AX283" s="619" t="str">
        <f t="shared" ca="1" si="158"/>
        <v/>
      </c>
      <c r="AY283" s="619" t="str">
        <f t="shared" ca="1" si="158"/>
        <v/>
      </c>
      <c r="AZ283" s="619" t="str">
        <f t="shared" ca="1" si="158"/>
        <v/>
      </c>
      <c r="BA283" s="619" t="str">
        <f t="shared" ca="1" si="158"/>
        <v/>
      </c>
      <c r="BB283" s="739" t="str">
        <f t="shared" ca="1" si="158"/>
        <v/>
      </c>
      <c r="BC283" s="164"/>
      <c r="BD283" s="164"/>
      <c r="BE283" s="164"/>
      <c r="BF283" s="164"/>
      <c r="BG283" s="164"/>
      <c r="BH283" s="164"/>
      <c r="BI283" s="164"/>
      <c r="BJ283" s="164"/>
      <c r="BK283" s="164"/>
      <c r="BL283" s="164"/>
      <c r="BM283" s="164"/>
      <c r="BN283" s="164"/>
      <c r="BO283" s="164"/>
      <c r="BP283" s="164"/>
      <c r="BQ283" s="164"/>
      <c r="BR283" s="164"/>
      <c r="BS283" s="164"/>
      <c r="BT283" s="164"/>
      <c r="BU283" s="164"/>
      <c r="BV283" s="164"/>
      <c r="BW283" s="164"/>
      <c r="BX283" s="164"/>
      <c r="BY283" s="164"/>
      <c r="BZ283" s="164"/>
      <c r="CA283" s="164"/>
      <c r="CB283" s="164"/>
      <c r="CC283" s="164"/>
      <c r="CD283" s="164"/>
      <c r="CE283" s="164"/>
      <c r="CF283" s="164"/>
      <c r="CG283" s="164"/>
      <c r="CH283" s="164"/>
      <c r="CI283" s="164"/>
      <c r="CJ283" s="164"/>
      <c r="CK283" s="164"/>
      <c r="CL283" s="164"/>
      <c r="CM283" s="164"/>
      <c r="CN283" s="164"/>
      <c r="CO283" s="164"/>
      <c r="CP283" s="164"/>
      <c r="CQ283" s="164"/>
      <c r="CR283" s="164"/>
      <c r="CS283" s="164"/>
      <c r="CT283" s="164"/>
      <c r="CU283" s="164"/>
      <c r="CV283" s="164"/>
      <c r="CW283" s="164"/>
      <c r="CX283" s="164"/>
      <c r="CY283" s="164"/>
      <c r="CZ283" s="164"/>
      <c r="DA283" s="164"/>
      <c r="DB283" s="164"/>
      <c r="DC283" s="164"/>
      <c r="DD283" s="164"/>
      <c r="DE283" s="164"/>
      <c r="DF283" s="164"/>
      <c r="DG283" s="164"/>
      <c r="DH283" s="164"/>
      <c r="DI283" s="164"/>
      <c r="DJ283" s="164"/>
      <c r="DK283" s="164"/>
      <c r="DL283" s="164"/>
      <c r="DM283" s="164"/>
      <c r="DN283" s="164"/>
      <c r="DO283" s="164"/>
      <c r="DP283" s="164"/>
      <c r="DQ283" s="164"/>
      <c r="DR283" s="164"/>
      <c r="DS283" s="164"/>
      <c r="DT283" s="164"/>
      <c r="DU283" s="164"/>
      <c r="DV283" s="164"/>
      <c r="DW283" s="164"/>
      <c r="DX283" s="164"/>
      <c r="DY283" s="164"/>
      <c r="DZ283" s="164"/>
      <c r="EA283" s="164"/>
      <c r="EB283" s="164"/>
      <c r="EC283" s="164"/>
      <c r="ED283" s="164"/>
      <c r="EE283" s="164"/>
      <c r="EF283" s="164"/>
      <c r="EG283" s="164"/>
      <c r="EH283" s="164"/>
      <c r="EI283" s="164"/>
      <c r="EJ283" s="164"/>
      <c r="EK283" s="164"/>
      <c r="EL283" s="164"/>
      <c r="EM283" s="164"/>
      <c r="EN283" s="164"/>
      <c r="EO283" s="164"/>
      <c r="EP283" s="164"/>
      <c r="EQ283" s="164"/>
      <c r="ER283" s="164"/>
      <c r="ES283" s="164"/>
      <c r="ET283" s="164"/>
      <c r="EU283" s="164"/>
      <c r="EV283" s="164"/>
      <c r="EW283" s="164"/>
      <c r="EX283" s="164"/>
      <c r="EY283" s="164"/>
      <c r="EZ283" s="164"/>
      <c r="FA283" s="164"/>
      <c r="FB283" s="164"/>
      <c r="FC283" s="164"/>
      <c r="FD283" s="164"/>
      <c r="FE283" s="164"/>
      <c r="FF283" s="164"/>
      <c r="FG283" s="164"/>
      <c r="FH283" s="164"/>
      <c r="FI283" s="164"/>
      <c r="FJ283" s="164"/>
      <c r="FK283" s="164"/>
      <c r="FL283" s="164"/>
      <c r="FM283" s="164"/>
      <c r="FN283" s="164"/>
      <c r="FO283" s="164"/>
      <c r="FP283" s="164"/>
      <c r="FQ283" s="164"/>
      <c r="FR283" s="164"/>
      <c r="FS283" s="164"/>
      <c r="FT283" s="164"/>
      <c r="FU283" s="164"/>
      <c r="FV283" s="164"/>
      <c r="FW283" s="164"/>
      <c r="FX283" s="164"/>
      <c r="FY283" s="164"/>
      <c r="FZ283" s="164"/>
      <c r="GA283" s="164"/>
      <c r="GB283" s="164"/>
      <c r="GC283" s="164"/>
      <c r="GD283" s="164"/>
      <c r="GE283" s="164"/>
      <c r="GF283" s="164"/>
      <c r="GG283" s="164"/>
      <c r="GH283" s="164"/>
      <c r="GI283" s="164"/>
      <c r="GJ283" s="164"/>
      <c r="GK283" s="164"/>
      <c r="GL283" s="164"/>
      <c r="GM283" s="164"/>
      <c r="GN283" s="164"/>
      <c r="GO283" s="164"/>
      <c r="GP283" s="164"/>
      <c r="GQ283" s="164"/>
      <c r="GR283" s="164"/>
      <c r="GS283" s="164"/>
      <c r="GT283" s="164"/>
      <c r="GU283" s="164"/>
      <c r="GV283" s="164"/>
      <c r="GW283" s="164"/>
      <c r="GX283" s="164"/>
      <c r="GY283" s="164"/>
      <c r="GZ283" s="164"/>
      <c r="HA283" s="164"/>
      <c r="HB283" s="164"/>
      <c r="HC283" s="164"/>
      <c r="HD283" s="164"/>
      <c r="HE283" s="164"/>
      <c r="HF283" s="164"/>
      <c r="HG283" s="164"/>
      <c r="HH283" s="164"/>
      <c r="HI283" s="164"/>
      <c r="HJ283" s="164"/>
      <c r="HK283" s="164"/>
    </row>
    <row r="284" spans="1:242" s="569" customFormat="1" ht="18.75" hidden="1" customHeight="1">
      <c r="A284" s="569">
        <v>38</v>
      </c>
      <c r="B284" s="1051" t="s">
        <v>684</v>
      </c>
      <c r="C284" s="596" t="s">
        <v>673</v>
      </c>
      <c r="D284" s="597">
        <v>2025</v>
      </c>
      <c r="E284" s="733">
        <f t="shared" ref="E284:BB284" ca="1" si="159">IFERROR(MATCH($B284&amp;E$247,OFFSET(INDIRECT("貼付け_"&amp;$D284&amp;"実績"),4,0,1,205),0)-1,"")</f>
        <v>137</v>
      </c>
      <c r="F284" s="598">
        <f t="shared" ca="1" si="159"/>
        <v>141</v>
      </c>
      <c r="G284" s="598">
        <f t="shared" ca="1" si="159"/>
        <v>145</v>
      </c>
      <c r="H284" s="598" t="str">
        <f t="shared" ca="1" si="159"/>
        <v/>
      </c>
      <c r="I284" s="598" t="str">
        <f t="shared" ca="1" si="159"/>
        <v/>
      </c>
      <c r="J284" s="598">
        <f t="shared" ca="1" si="159"/>
        <v>149</v>
      </c>
      <c r="K284" s="598">
        <f t="shared" ca="1" si="159"/>
        <v>153</v>
      </c>
      <c r="L284" s="598">
        <f t="shared" ca="1" si="159"/>
        <v>157</v>
      </c>
      <c r="M284" s="598">
        <f t="shared" ca="1" si="159"/>
        <v>161</v>
      </c>
      <c r="N284" s="598">
        <f t="shared" ca="1" si="159"/>
        <v>165</v>
      </c>
      <c r="O284" s="598">
        <f ca="1">IFERROR(MATCH($B284&amp;O$247,OFFSET(INDIRECT("貼付け_"&amp;$D284&amp;"実績"),4,0,1,205),0)-1,"")</f>
        <v>169</v>
      </c>
      <c r="P284" s="598">
        <f t="shared" ca="1" si="159"/>
        <v>173</v>
      </c>
      <c r="Q284" s="598">
        <f t="shared" ca="1" si="159"/>
        <v>177</v>
      </c>
      <c r="R284" s="598">
        <f t="shared" ca="1" si="159"/>
        <v>181</v>
      </c>
      <c r="S284" s="598">
        <f t="shared" ca="1" si="159"/>
        <v>185</v>
      </c>
      <c r="T284" s="598">
        <f t="shared" ca="1" si="159"/>
        <v>189</v>
      </c>
      <c r="U284" s="598">
        <f t="shared" ca="1" si="159"/>
        <v>193</v>
      </c>
      <c r="V284" s="598">
        <f t="shared" ca="1" si="159"/>
        <v>197</v>
      </c>
      <c r="W284" s="598">
        <f t="shared" ca="1" si="159"/>
        <v>201</v>
      </c>
      <c r="X284" s="598" t="str">
        <f t="shared" ca="1" si="159"/>
        <v/>
      </c>
      <c r="Y284" s="598" t="str">
        <f t="shared" ca="1" si="159"/>
        <v/>
      </c>
      <c r="Z284" s="598" t="str">
        <f t="shared" ca="1" si="159"/>
        <v/>
      </c>
      <c r="AA284" s="598" t="str">
        <f t="shared" ca="1" si="159"/>
        <v/>
      </c>
      <c r="AB284" s="598" t="str">
        <f t="shared" ca="1" si="159"/>
        <v/>
      </c>
      <c r="AC284" s="598" t="str">
        <f t="shared" ca="1" si="159"/>
        <v/>
      </c>
      <c r="AD284" s="598" t="str">
        <f t="shared" ca="1" si="159"/>
        <v/>
      </c>
      <c r="AE284" s="598" t="str">
        <f t="shared" ca="1" si="159"/>
        <v/>
      </c>
      <c r="AF284" s="598" t="str">
        <f t="shared" ca="1" si="159"/>
        <v/>
      </c>
      <c r="AG284" s="598" t="str">
        <f t="shared" ca="1" si="159"/>
        <v/>
      </c>
      <c r="AH284" s="598" t="str">
        <f t="shared" ca="1" si="159"/>
        <v/>
      </c>
      <c r="AI284" s="598" t="str">
        <f t="shared" ca="1" si="159"/>
        <v/>
      </c>
      <c r="AJ284" s="598" t="str">
        <f t="shared" ca="1" si="159"/>
        <v/>
      </c>
      <c r="AK284" s="598" t="str">
        <f t="shared" ca="1" si="159"/>
        <v/>
      </c>
      <c r="AL284" s="598" t="str">
        <f t="shared" ca="1" si="159"/>
        <v/>
      </c>
      <c r="AM284" s="598" t="str">
        <f t="shared" ca="1" si="159"/>
        <v/>
      </c>
      <c r="AN284" s="598" t="str">
        <f t="shared" ca="1" si="159"/>
        <v/>
      </c>
      <c r="AO284" s="598" t="str">
        <f t="shared" ca="1" si="159"/>
        <v/>
      </c>
      <c r="AP284" s="598" t="str">
        <f t="shared" ca="1" si="159"/>
        <v/>
      </c>
      <c r="AQ284" s="598" t="str">
        <f t="shared" ca="1" si="159"/>
        <v/>
      </c>
      <c r="AR284" s="598" t="str">
        <f t="shared" ca="1" si="159"/>
        <v/>
      </c>
      <c r="AS284" s="598" t="str">
        <f t="shared" ca="1" si="159"/>
        <v/>
      </c>
      <c r="AT284" s="598" t="str">
        <f t="shared" ca="1" si="159"/>
        <v/>
      </c>
      <c r="AU284" s="598" t="str">
        <f t="shared" ca="1" si="159"/>
        <v/>
      </c>
      <c r="AV284" s="598" t="str">
        <f t="shared" ca="1" si="159"/>
        <v/>
      </c>
      <c r="AW284" s="598" t="str">
        <f t="shared" ca="1" si="159"/>
        <v/>
      </c>
      <c r="AX284" s="598" t="str">
        <f t="shared" ca="1" si="159"/>
        <v/>
      </c>
      <c r="AY284" s="598" t="str">
        <f t="shared" ca="1" si="159"/>
        <v/>
      </c>
      <c r="AZ284" s="598" t="str">
        <f t="shared" ca="1" si="159"/>
        <v/>
      </c>
      <c r="BA284" s="598" t="str">
        <f t="shared" ca="1" si="159"/>
        <v/>
      </c>
      <c r="BB284" s="649" t="str">
        <f t="shared" ca="1" si="159"/>
        <v/>
      </c>
      <c r="BC284" s="156" t="str">
        <f>D284&amp;"年度"</f>
        <v>2025年度</v>
      </c>
      <c r="BD284" s="156">
        <v>1</v>
      </c>
      <c r="BE284" s="156">
        <v>2</v>
      </c>
      <c r="BF284" s="156">
        <v>3</v>
      </c>
      <c r="BG284" s="156">
        <v>4</v>
      </c>
      <c r="BH284" s="156">
        <v>5</v>
      </c>
      <c r="BI284" s="156">
        <v>6</v>
      </c>
      <c r="BJ284" s="156">
        <v>7</v>
      </c>
      <c r="BK284" s="156">
        <v>8</v>
      </c>
      <c r="BL284" s="156">
        <v>9</v>
      </c>
      <c r="BM284" s="156">
        <v>10</v>
      </c>
      <c r="BN284" s="156">
        <v>11</v>
      </c>
      <c r="BO284" s="156">
        <v>12</v>
      </c>
      <c r="BP284" s="156">
        <v>13</v>
      </c>
      <c r="BQ284" s="156">
        <v>14</v>
      </c>
      <c r="BR284" s="156">
        <v>15</v>
      </c>
      <c r="BS284" s="156">
        <v>16</v>
      </c>
      <c r="BT284" s="156">
        <v>17</v>
      </c>
      <c r="BU284" s="156">
        <v>18</v>
      </c>
      <c r="BV284" s="156">
        <v>19</v>
      </c>
      <c r="BW284" s="156">
        <v>20</v>
      </c>
      <c r="BX284" s="156">
        <v>21</v>
      </c>
      <c r="BY284" s="156">
        <v>22</v>
      </c>
      <c r="BZ284" s="156">
        <v>23</v>
      </c>
      <c r="CA284" s="156">
        <v>24</v>
      </c>
      <c r="CB284" s="156">
        <v>25</v>
      </c>
      <c r="CC284" s="156">
        <v>26</v>
      </c>
      <c r="CD284" s="156">
        <v>27</v>
      </c>
      <c r="CE284" s="156">
        <v>28</v>
      </c>
      <c r="CF284" s="156">
        <v>29</v>
      </c>
      <c r="CG284" s="156">
        <v>30</v>
      </c>
      <c r="CH284" s="156">
        <v>31</v>
      </c>
      <c r="CI284" s="156">
        <v>32</v>
      </c>
      <c r="CJ284" s="156">
        <v>33</v>
      </c>
      <c r="CK284" s="156">
        <v>34</v>
      </c>
      <c r="CL284" s="156">
        <v>35</v>
      </c>
      <c r="CM284" s="156">
        <v>36</v>
      </c>
      <c r="CN284" s="156">
        <v>37</v>
      </c>
      <c r="CO284" s="156">
        <v>38</v>
      </c>
      <c r="CP284" s="156">
        <v>39</v>
      </c>
      <c r="CQ284" s="156">
        <v>40</v>
      </c>
      <c r="CR284" s="156">
        <v>41</v>
      </c>
      <c r="CS284" s="156">
        <v>42</v>
      </c>
      <c r="CT284" s="156">
        <v>43</v>
      </c>
      <c r="CU284" s="156">
        <v>44</v>
      </c>
      <c r="CV284" s="156">
        <v>45</v>
      </c>
      <c r="CW284" s="156">
        <v>46</v>
      </c>
      <c r="CX284" s="156">
        <v>47</v>
      </c>
      <c r="CY284" s="156">
        <v>48</v>
      </c>
      <c r="CZ284" s="156">
        <v>49</v>
      </c>
      <c r="DA284" s="156">
        <v>50</v>
      </c>
      <c r="DB284" s="156"/>
      <c r="DC284" s="156"/>
      <c r="DD284" s="156"/>
      <c r="DE284" s="156"/>
      <c r="DF284" s="156"/>
      <c r="DG284" s="156"/>
      <c r="DH284" s="156"/>
      <c r="DI284" s="156"/>
      <c r="DJ284" s="156"/>
      <c r="DK284" s="156"/>
      <c r="DL284" s="156"/>
      <c r="DM284" s="156"/>
      <c r="DN284" s="156"/>
      <c r="DO284" s="156"/>
      <c r="DP284" s="156"/>
      <c r="DQ284" s="156"/>
      <c r="DR284" s="156"/>
      <c r="DS284" s="156"/>
      <c r="DT284" s="156"/>
      <c r="DU284" s="156"/>
      <c r="DV284" s="156"/>
      <c r="DW284" s="156"/>
      <c r="DX284" s="156"/>
      <c r="DY284" s="156"/>
      <c r="DZ284" s="156"/>
      <c r="EA284" s="156"/>
      <c r="EB284" s="156"/>
      <c r="EC284" s="156"/>
      <c r="ED284" s="156"/>
      <c r="EE284" s="156"/>
      <c r="EF284" s="156"/>
      <c r="EG284" s="156"/>
      <c r="EH284" s="156"/>
      <c r="EI284" s="156"/>
      <c r="EJ284" s="156"/>
      <c r="EK284" s="156"/>
      <c r="EL284" s="156"/>
      <c r="EM284" s="156"/>
      <c r="EN284" s="156"/>
      <c r="EO284" s="156"/>
      <c r="EP284" s="156"/>
      <c r="EQ284" s="156"/>
      <c r="ER284" s="156"/>
      <c r="ES284" s="156"/>
      <c r="ET284" s="156"/>
      <c r="EU284" s="156"/>
      <c r="EV284" s="156"/>
      <c r="EW284" s="156"/>
      <c r="EX284" s="156"/>
      <c r="EY284" s="156"/>
      <c r="EZ284" s="156"/>
      <c r="FA284" s="156"/>
      <c r="FB284" s="156"/>
      <c r="FC284" s="156"/>
      <c r="FD284" s="156"/>
      <c r="FE284" s="156"/>
      <c r="FF284" s="156"/>
      <c r="FG284" s="156"/>
      <c r="FH284" s="156"/>
      <c r="FI284" s="156"/>
      <c r="FJ284" s="156"/>
      <c r="FK284" s="156"/>
      <c r="FL284" s="156"/>
      <c r="FM284" s="156"/>
      <c r="FN284" s="156"/>
      <c r="FO284" s="156"/>
      <c r="FP284" s="156"/>
      <c r="FQ284" s="156"/>
      <c r="FR284" s="156"/>
      <c r="FS284" s="156"/>
      <c r="FT284" s="156"/>
      <c r="FU284" s="156"/>
      <c r="FV284" s="156"/>
      <c r="FW284" s="156"/>
      <c r="FX284" s="156"/>
      <c r="FY284" s="156"/>
      <c r="FZ284" s="156"/>
      <c r="GA284" s="156"/>
      <c r="GB284" s="156"/>
      <c r="GC284" s="156"/>
      <c r="GD284" s="156"/>
      <c r="GE284" s="156"/>
      <c r="GF284" s="156"/>
      <c r="GG284" s="156"/>
      <c r="GH284" s="156"/>
      <c r="GI284" s="156"/>
      <c r="GJ284" s="156"/>
      <c r="GK284" s="156"/>
      <c r="GL284" s="156"/>
      <c r="GM284" s="156"/>
      <c r="GN284" s="156"/>
      <c r="GO284" s="156"/>
      <c r="GP284" s="156"/>
      <c r="GQ284" s="156"/>
      <c r="GR284" s="156"/>
      <c r="GS284" s="156"/>
      <c r="GT284" s="156"/>
      <c r="GU284" s="156"/>
      <c r="GV284" s="156"/>
      <c r="GW284" s="156"/>
      <c r="GX284" s="156"/>
      <c r="GY284" s="156"/>
      <c r="GZ284" s="156"/>
      <c r="HA284" s="156"/>
      <c r="HB284" s="156"/>
      <c r="HC284" s="156"/>
      <c r="HD284" s="156"/>
      <c r="HE284" s="156"/>
      <c r="HF284" s="156"/>
      <c r="HG284" s="156"/>
      <c r="HH284" s="156"/>
      <c r="HI284" s="156"/>
      <c r="HJ284" s="156"/>
      <c r="HK284" s="156"/>
      <c r="IE284" s="603"/>
      <c r="IF284" s="603"/>
      <c r="IG284" s="603"/>
      <c r="IH284" s="603"/>
    </row>
    <row r="285" spans="1:242" s="569" customFormat="1" ht="19.5" hidden="1" customHeight="1">
      <c r="A285" s="569">
        <v>39</v>
      </c>
      <c r="B285" s="1052"/>
      <c r="C285" s="599" t="str">
        <f>D284-1&amp;"/"&amp;D284</f>
        <v>2024/2025</v>
      </c>
      <c r="D285" s="600" t="str">
        <f>""</f>
        <v/>
      </c>
      <c r="E285" s="734" t="str">
        <f t="shared" ref="E285:AJ285" ca="1" si="160">OFFSET(A1_原単位2024,42,E$247+2)</f>
        <v/>
      </c>
      <c r="F285" s="601" t="str">
        <f t="shared" ca="1" si="160"/>
        <v/>
      </c>
      <c r="G285" s="601" t="str">
        <f t="shared" ca="1" si="160"/>
        <v/>
      </c>
      <c r="H285" s="601" t="str">
        <f t="shared" ca="1" si="160"/>
        <v/>
      </c>
      <c r="I285" s="601" t="str">
        <f t="shared" ca="1" si="160"/>
        <v/>
      </c>
      <c r="J285" s="601" t="str">
        <f t="shared" ca="1" si="160"/>
        <v/>
      </c>
      <c r="K285" s="601" t="str">
        <f t="shared" ca="1" si="160"/>
        <v/>
      </c>
      <c r="L285" s="601" t="str">
        <f t="shared" ca="1" si="160"/>
        <v/>
      </c>
      <c r="M285" s="601" t="str">
        <f t="shared" ca="1" si="160"/>
        <v/>
      </c>
      <c r="N285" s="601" t="str">
        <f t="shared" ca="1" si="160"/>
        <v/>
      </c>
      <c r="O285" s="601" t="str">
        <f ca="1">OFFSET(A1_原単位2024,42,O$247+2)</f>
        <v/>
      </c>
      <c r="P285" s="601" t="str">
        <f t="shared" ca="1" si="160"/>
        <v/>
      </c>
      <c r="Q285" s="601" t="str">
        <f t="shared" ca="1" si="160"/>
        <v/>
      </c>
      <c r="R285" s="601" t="str">
        <f t="shared" ca="1" si="160"/>
        <v/>
      </c>
      <c r="S285" s="601" t="str">
        <f t="shared" ca="1" si="160"/>
        <v/>
      </c>
      <c r="T285" s="601" t="str">
        <f t="shared" ca="1" si="160"/>
        <v/>
      </c>
      <c r="U285" s="601" t="str">
        <f t="shared" ca="1" si="160"/>
        <v/>
      </c>
      <c r="V285" s="601" t="str">
        <f t="shared" ca="1" si="160"/>
        <v/>
      </c>
      <c r="W285" s="601" t="str">
        <f t="shared" ca="1" si="160"/>
        <v/>
      </c>
      <c r="X285" s="601" t="str">
        <f t="shared" ca="1" si="160"/>
        <v/>
      </c>
      <c r="Y285" s="601" t="str">
        <f t="shared" ca="1" si="160"/>
        <v/>
      </c>
      <c r="Z285" s="601" t="str">
        <f t="shared" ca="1" si="160"/>
        <v/>
      </c>
      <c r="AA285" s="601" t="str">
        <f t="shared" ca="1" si="160"/>
        <v/>
      </c>
      <c r="AB285" s="601" t="str">
        <f t="shared" ca="1" si="160"/>
        <v/>
      </c>
      <c r="AC285" s="601" t="str">
        <f t="shared" ca="1" si="160"/>
        <v/>
      </c>
      <c r="AD285" s="601" t="str">
        <f t="shared" ca="1" si="160"/>
        <v/>
      </c>
      <c r="AE285" s="601" t="str">
        <f t="shared" ca="1" si="160"/>
        <v/>
      </c>
      <c r="AF285" s="601" t="str">
        <f t="shared" ca="1" si="160"/>
        <v/>
      </c>
      <c r="AG285" s="601" t="str">
        <f t="shared" ca="1" si="160"/>
        <v/>
      </c>
      <c r="AH285" s="601" t="str">
        <f t="shared" ca="1" si="160"/>
        <v/>
      </c>
      <c r="AI285" s="601" t="str">
        <f t="shared" ca="1" si="160"/>
        <v/>
      </c>
      <c r="AJ285" s="601" t="str">
        <f t="shared" ca="1" si="160"/>
        <v/>
      </c>
      <c r="AK285" s="601" t="str">
        <f t="shared" ref="AK285:BB285" ca="1" si="161">OFFSET(A1_原単位2024,42,AK$247+2)</f>
        <v/>
      </c>
      <c r="AL285" s="601" t="str">
        <f t="shared" ca="1" si="161"/>
        <v/>
      </c>
      <c r="AM285" s="601" t="str">
        <f t="shared" ca="1" si="161"/>
        <v/>
      </c>
      <c r="AN285" s="601" t="str">
        <f t="shared" ca="1" si="161"/>
        <v/>
      </c>
      <c r="AO285" s="601" t="str">
        <f t="shared" ca="1" si="161"/>
        <v/>
      </c>
      <c r="AP285" s="601" t="str">
        <f t="shared" ca="1" si="161"/>
        <v/>
      </c>
      <c r="AQ285" s="601" t="str">
        <f t="shared" ca="1" si="161"/>
        <v/>
      </c>
      <c r="AR285" s="601" t="str">
        <f t="shared" ca="1" si="161"/>
        <v/>
      </c>
      <c r="AS285" s="601" t="str">
        <f t="shared" ca="1" si="161"/>
        <v/>
      </c>
      <c r="AT285" s="601" t="str">
        <f t="shared" ca="1" si="161"/>
        <v/>
      </c>
      <c r="AU285" s="601" t="str">
        <f t="shared" ca="1" si="161"/>
        <v/>
      </c>
      <c r="AV285" s="601" t="str">
        <f t="shared" ca="1" si="161"/>
        <v/>
      </c>
      <c r="AW285" s="601" t="str">
        <f t="shared" ca="1" si="161"/>
        <v/>
      </c>
      <c r="AX285" s="601" t="str">
        <f t="shared" ca="1" si="161"/>
        <v/>
      </c>
      <c r="AY285" s="601" t="str">
        <f t="shared" ca="1" si="161"/>
        <v/>
      </c>
      <c r="AZ285" s="601" t="str">
        <f t="shared" ca="1" si="161"/>
        <v/>
      </c>
      <c r="BA285" s="601" t="str">
        <f t="shared" ca="1" si="161"/>
        <v/>
      </c>
      <c r="BB285" s="650" t="str">
        <f t="shared" ca="1" si="161"/>
        <v/>
      </c>
      <c r="BC285" s="601" t="str">
        <f>""</f>
        <v/>
      </c>
      <c r="BD285" s="601" t="str">
        <f t="shared" ref="BD285:CI285" ca="1" si="162">IFERROR(OFFSET(貼付け_2025実績,5,E284+1),"")&amp;""</f>
        <v/>
      </c>
      <c r="BE285" s="601" t="str">
        <f t="shared" ca="1" si="162"/>
        <v/>
      </c>
      <c r="BF285" s="601" t="str">
        <f t="shared" ca="1" si="162"/>
        <v/>
      </c>
      <c r="BG285" s="601" t="str">
        <f t="shared" ca="1" si="162"/>
        <v/>
      </c>
      <c r="BH285" s="601" t="str">
        <f t="shared" ca="1" si="162"/>
        <v/>
      </c>
      <c r="BI285" s="601" t="str">
        <f t="shared" ca="1" si="162"/>
        <v/>
      </c>
      <c r="BJ285" s="601" t="str">
        <f t="shared" ca="1" si="162"/>
        <v/>
      </c>
      <c r="BK285" s="601" t="str">
        <f t="shared" ca="1" si="162"/>
        <v/>
      </c>
      <c r="BL285" s="601" t="str">
        <f t="shared" ca="1" si="162"/>
        <v/>
      </c>
      <c r="BM285" s="601" t="str">
        <f t="shared" ca="1" si="162"/>
        <v/>
      </c>
      <c r="BN285" s="601" t="str">
        <f ca="1">IFERROR(OFFSET(貼付け_2025実績,5,O284+1),"")&amp;""</f>
        <v/>
      </c>
      <c r="BO285" s="601" t="str">
        <f t="shared" ca="1" si="162"/>
        <v/>
      </c>
      <c r="BP285" s="601" t="str">
        <f t="shared" ca="1" si="162"/>
        <v/>
      </c>
      <c r="BQ285" s="601" t="str">
        <f t="shared" ca="1" si="162"/>
        <v/>
      </c>
      <c r="BR285" s="601" t="str">
        <f t="shared" ca="1" si="162"/>
        <v/>
      </c>
      <c r="BS285" s="601" t="str">
        <f t="shared" ca="1" si="162"/>
        <v/>
      </c>
      <c r="BT285" s="601" t="str">
        <f t="shared" ca="1" si="162"/>
        <v/>
      </c>
      <c r="BU285" s="601" t="str">
        <f t="shared" ca="1" si="162"/>
        <v/>
      </c>
      <c r="BV285" s="601" t="str">
        <f t="shared" ca="1" si="162"/>
        <v/>
      </c>
      <c r="BW285" s="601" t="str">
        <f t="shared" ca="1" si="162"/>
        <v/>
      </c>
      <c r="BX285" s="601" t="str">
        <f t="shared" ca="1" si="162"/>
        <v/>
      </c>
      <c r="BY285" s="601" t="str">
        <f t="shared" ca="1" si="162"/>
        <v/>
      </c>
      <c r="BZ285" s="601" t="str">
        <f t="shared" ca="1" si="162"/>
        <v/>
      </c>
      <c r="CA285" s="601" t="str">
        <f t="shared" ca="1" si="162"/>
        <v/>
      </c>
      <c r="CB285" s="601" t="str">
        <f t="shared" ca="1" si="162"/>
        <v/>
      </c>
      <c r="CC285" s="601" t="str">
        <f t="shared" ca="1" si="162"/>
        <v/>
      </c>
      <c r="CD285" s="601" t="str">
        <f t="shared" ca="1" si="162"/>
        <v/>
      </c>
      <c r="CE285" s="601" t="str">
        <f t="shared" ca="1" si="162"/>
        <v/>
      </c>
      <c r="CF285" s="601" t="str">
        <f t="shared" ca="1" si="162"/>
        <v/>
      </c>
      <c r="CG285" s="601" t="str">
        <f t="shared" ca="1" si="162"/>
        <v/>
      </c>
      <c r="CH285" s="601" t="str">
        <f t="shared" ca="1" si="162"/>
        <v/>
      </c>
      <c r="CI285" s="601" t="str">
        <f t="shared" ca="1" si="162"/>
        <v/>
      </c>
      <c r="CJ285" s="601" t="str">
        <f t="shared" ref="CJ285:DA285" ca="1" si="163">IFERROR(OFFSET(貼付け_2025実績,5,AK284+1),"")&amp;""</f>
        <v/>
      </c>
      <c r="CK285" s="601" t="str">
        <f t="shared" ca="1" si="163"/>
        <v/>
      </c>
      <c r="CL285" s="601" t="str">
        <f t="shared" ca="1" si="163"/>
        <v/>
      </c>
      <c r="CM285" s="601" t="str">
        <f t="shared" ca="1" si="163"/>
        <v/>
      </c>
      <c r="CN285" s="601" t="str">
        <f t="shared" ca="1" si="163"/>
        <v/>
      </c>
      <c r="CO285" s="601" t="str">
        <f t="shared" ca="1" si="163"/>
        <v/>
      </c>
      <c r="CP285" s="601" t="str">
        <f t="shared" ca="1" si="163"/>
        <v/>
      </c>
      <c r="CQ285" s="601" t="str">
        <f t="shared" ca="1" si="163"/>
        <v/>
      </c>
      <c r="CR285" s="601" t="str">
        <f t="shared" ca="1" si="163"/>
        <v/>
      </c>
      <c r="CS285" s="601" t="str">
        <f t="shared" ca="1" si="163"/>
        <v/>
      </c>
      <c r="CT285" s="601" t="str">
        <f t="shared" ca="1" si="163"/>
        <v/>
      </c>
      <c r="CU285" s="601" t="str">
        <f t="shared" ca="1" si="163"/>
        <v/>
      </c>
      <c r="CV285" s="601" t="str">
        <f t="shared" ca="1" si="163"/>
        <v/>
      </c>
      <c r="CW285" s="601" t="str">
        <f t="shared" ca="1" si="163"/>
        <v/>
      </c>
      <c r="CX285" s="601" t="str">
        <f t="shared" ca="1" si="163"/>
        <v/>
      </c>
      <c r="CY285" s="601" t="str">
        <f t="shared" ca="1" si="163"/>
        <v/>
      </c>
      <c r="CZ285" s="601" t="str">
        <f t="shared" ca="1" si="163"/>
        <v/>
      </c>
      <c r="DA285" s="601" t="str">
        <f t="shared" ca="1" si="163"/>
        <v/>
      </c>
      <c r="IE285" s="603"/>
      <c r="IF285" s="603"/>
      <c r="IG285" s="603"/>
      <c r="IH285" s="603"/>
    </row>
    <row r="286" spans="1:242" s="569" customFormat="1" hidden="1">
      <c r="A286" s="569">
        <v>40</v>
      </c>
      <c r="B286" s="1052"/>
      <c r="C286" s="599" t="str">
        <f>D284-1&amp;"&amp;"&amp;D284</f>
        <v>2024&amp;2025</v>
      </c>
      <c r="D286" s="600" t="str">
        <f>""</f>
        <v/>
      </c>
      <c r="E286" s="734" t="str">
        <f t="array" aca="1" ref="E286" ca="1">IFERROR(INDEX($E285:$DA285,MATCH(0,COUNTIF($D286:D286,$E285:$DA285),0)),"")</f>
        <v/>
      </c>
      <c r="F286" s="601" t="str">
        <f t="array" aca="1" ref="F286" ca="1">IFERROR(INDEX($E285:$DA285,MATCH(0,COUNTIF($D286:E286,$E285:$DA285),0)),"")</f>
        <v/>
      </c>
      <c r="G286" s="601" t="str">
        <f t="array" aca="1" ref="G286" ca="1">IFERROR(INDEX($E285:$DA285,MATCH(0,COUNTIF($D286:F286,$E285:$DA285),0)),"")</f>
        <v/>
      </c>
      <c r="H286" s="601" t="str">
        <f t="array" aca="1" ref="H286" ca="1">IFERROR(INDEX($E285:$DA285,MATCH(0,COUNTIF($D286:G286,$E285:$DA285),0)),"")</f>
        <v/>
      </c>
      <c r="I286" s="601" t="str">
        <f t="array" aca="1" ref="I286" ca="1">IFERROR(INDEX($E285:$DA285,MATCH(0,COUNTIF($D286:H286,$E285:$DA285),0)),"")</f>
        <v/>
      </c>
      <c r="J286" s="601" t="str">
        <f t="array" aca="1" ref="J286" ca="1">IFERROR(INDEX($E285:$DA285,MATCH(0,COUNTIF($D286:I286,$E285:$DA285),0)),"")</f>
        <v/>
      </c>
      <c r="K286" s="601" t="str">
        <f t="array" aca="1" ref="K286" ca="1">IFERROR(INDEX($E285:$DA285,MATCH(0,COUNTIF($D286:J286,$E285:$DA285),0)),"")</f>
        <v/>
      </c>
      <c r="L286" s="601" t="str">
        <f t="array" aca="1" ref="L286" ca="1">IFERROR(INDEX($E285:$DA285,MATCH(0,COUNTIF($D286:K286,$E285:$DA285),0)),"")</f>
        <v/>
      </c>
      <c r="M286" s="601" t="str">
        <f t="array" aca="1" ref="M286" ca="1">IFERROR(INDEX($E285:$DA285,MATCH(0,COUNTIF($D286:L286,$E285:$DA285),0)),"")</f>
        <v/>
      </c>
      <c r="N286" s="601" t="str">
        <f t="array" aca="1" ref="N286" ca="1">IFERROR(INDEX($E285:$DA285,MATCH(0,COUNTIF($D286:M286,$E285:$DA285),0)),"")</f>
        <v/>
      </c>
      <c r="O286" s="601" t="str">
        <f t="array" aca="1" ref="O286" ca="1">IFERROR(INDEX($E285:$DA285,MATCH(0,COUNTIF($D286:N286,$E285:$DA285),0)),"")</f>
        <v/>
      </c>
      <c r="P286" s="601" t="str">
        <f t="array" aca="1" ref="P286" ca="1">IFERROR(INDEX($E285:$DA285,MATCH(0,COUNTIF($D286:O286,$E285:$DA285),0)),"")</f>
        <v/>
      </c>
      <c r="Q286" s="601" t="str">
        <f t="array" aca="1" ref="Q286" ca="1">IFERROR(INDEX($E285:$DA285,MATCH(0,COUNTIF($D286:P286,$E285:$DA285),0)),"")</f>
        <v/>
      </c>
      <c r="R286" s="601" t="str">
        <f t="array" aca="1" ref="R286" ca="1">IFERROR(INDEX($E285:$DA285,MATCH(0,COUNTIF($D286:Q286,$E285:$DA285),0)),"")</f>
        <v/>
      </c>
      <c r="S286" s="601" t="str">
        <f t="array" aca="1" ref="S286" ca="1">IFERROR(INDEX($E285:$DA285,MATCH(0,COUNTIF($D286:R286,$E285:$DA285),0)),"")</f>
        <v/>
      </c>
      <c r="T286" s="601" t="str">
        <f t="array" aca="1" ref="T286" ca="1">IFERROR(INDEX($E285:$DA285,MATCH(0,COUNTIF($D286:S286,$E285:$DA285),0)),"")</f>
        <v/>
      </c>
      <c r="U286" s="601" t="str">
        <f t="array" aca="1" ref="U286" ca="1">IFERROR(INDEX($E285:$DA285,MATCH(0,COUNTIF($D286:T286,$E285:$DA285),0)),"")</f>
        <v/>
      </c>
      <c r="V286" s="601" t="str">
        <f t="array" aca="1" ref="V286" ca="1">IFERROR(INDEX($E285:$DA285,MATCH(0,COUNTIF($D286:U286,$E285:$DA285),0)),"")</f>
        <v/>
      </c>
      <c r="W286" s="601" t="str">
        <f t="array" aca="1" ref="W286" ca="1">IFERROR(INDEX($E285:$DA285,MATCH(0,COUNTIF($D286:V286,$E285:$DA285),0)),"")</f>
        <v/>
      </c>
      <c r="X286" s="601" t="str">
        <f t="array" aca="1" ref="X286" ca="1">IFERROR(INDEX($E285:$DA285,MATCH(0,COUNTIF($D286:W286,$E285:$DA285),0)),"")</f>
        <v/>
      </c>
      <c r="Y286" s="601" t="str">
        <f t="array" aca="1" ref="Y286" ca="1">IFERROR(INDEX($E285:$DA285,MATCH(0,COUNTIF($D286:X286,$E285:$DA285),0)),"")</f>
        <v/>
      </c>
      <c r="Z286" s="601" t="str">
        <f t="array" aca="1" ref="Z286" ca="1">IFERROR(INDEX($E285:$DA285,MATCH(0,COUNTIF($D286:Y286,$E285:$DA285),0)),"")</f>
        <v/>
      </c>
      <c r="AA286" s="601" t="str">
        <f t="array" aca="1" ref="AA286" ca="1">IFERROR(INDEX($E285:$DA285,MATCH(0,COUNTIF($D286:Z286,$E285:$DA285),0)),"")</f>
        <v/>
      </c>
      <c r="AB286" s="601" t="str">
        <f t="array" aca="1" ref="AB286" ca="1">IFERROR(INDEX($E285:$DA285,MATCH(0,COUNTIF($D286:AA286,$E285:$DA285),0)),"")</f>
        <v/>
      </c>
      <c r="AC286" s="601" t="str">
        <f t="array" aca="1" ref="AC286" ca="1">IFERROR(INDEX($E285:$DA285,MATCH(0,COUNTIF($D286:AB286,$E285:$DA285),0)),"")</f>
        <v/>
      </c>
      <c r="AD286" s="601" t="str">
        <f t="array" aca="1" ref="AD286" ca="1">IFERROR(INDEX($E285:$DA285,MATCH(0,COUNTIF($D286:AC286,$E285:$DA285),0)),"")</f>
        <v/>
      </c>
      <c r="AE286" s="601" t="str">
        <f t="array" aca="1" ref="AE286" ca="1">IFERROR(INDEX($E285:$DA285,MATCH(0,COUNTIF($D286:AD286,$E285:$DA285),0)),"")</f>
        <v/>
      </c>
      <c r="AF286" s="601" t="str">
        <f t="array" aca="1" ref="AF286" ca="1">IFERROR(INDEX($E285:$DA285,MATCH(0,COUNTIF($D286:AE286,$E285:$DA285),0)),"")</f>
        <v/>
      </c>
      <c r="AG286" s="601" t="str">
        <f t="array" aca="1" ref="AG286" ca="1">IFERROR(INDEX($E285:$DA285,MATCH(0,COUNTIF($D286:AF286,$E285:$DA285),0)),"")</f>
        <v/>
      </c>
      <c r="AH286" s="601" t="str">
        <f t="array" aca="1" ref="AH286" ca="1">IFERROR(INDEX($E285:$DA285,MATCH(0,COUNTIF($D286:AG286,$E285:$DA285),0)),"")</f>
        <v/>
      </c>
      <c r="AI286" s="601" t="str">
        <f t="array" aca="1" ref="AI286" ca="1">IFERROR(INDEX($E285:$DA285,MATCH(0,COUNTIF($D286:AH286,$E285:$DA285),0)),"")</f>
        <v/>
      </c>
      <c r="AJ286" s="601" t="str">
        <f t="array" aca="1" ref="AJ286" ca="1">IFERROR(INDEX($E285:$DA285,MATCH(0,COUNTIF($D286:AI286,$E285:$DA285),0)),"")</f>
        <v/>
      </c>
      <c r="AK286" s="601" t="str">
        <f t="array" aca="1" ref="AK286" ca="1">IFERROR(INDEX($E285:$DA285,MATCH(0,COUNTIF($D286:AJ286,$E285:$DA285),0)),"")</f>
        <v/>
      </c>
      <c r="AL286" s="601" t="str">
        <f t="array" aca="1" ref="AL286" ca="1">IFERROR(INDEX($E285:$DA285,MATCH(0,COUNTIF($D286:AK286,$E285:$DA285),0)),"")</f>
        <v/>
      </c>
      <c r="AM286" s="601" t="str">
        <f t="array" aca="1" ref="AM286" ca="1">IFERROR(INDEX($E285:$DA285,MATCH(0,COUNTIF($D286:AL286,$E285:$DA285),0)),"")</f>
        <v/>
      </c>
      <c r="AN286" s="601" t="str">
        <f t="array" aca="1" ref="AN286" ca="1">IFERROR(INDEX($E285:$DA285,MATCH(0,COUNTIF($D286:AM286,$E285:$DA285),0)),"")</f>
        <v/>
      </c>
      <c r="AO286" s="601" t="str">
        <f t="array" aca="1" ref="AO286" ca="1">IFERROR(INDEX($E285:$DA285,MATCH(0,COUNTIF($D286:AN286,$E285:$DA285),0)),"")</f>
        <v/>
      </c>
      <c r="AP286" s="601" t="str">
        <f t="array" aca="1" ref="AP286" ca="1">IFERROR(INDEX($E285:$DA285,MATCH(0,COUNTIF($D286:AO286,$E285:$DA285),0)),"")</f>
        <v/>
      </c>
      <c r="AQ286" s="601" t="str">
        <f t="array" aca="1" ref="AQ286" ca="1">IFERROR(INDEX($E285:$DA285,MATCH(0,COUNTIF($D286:AP286,$E285:$DA285),0)),"")</f>
        <v/>
      </c>
      <c r="AR286" s="601" t="str">
        <f t="array" aca="1" ref="AR286" ca="1">IFERROR(INDEX($E285:$DA285,MATCH(0,COUNTIF($D286:AQ286,$E285:$DA285),0)),"")</f>
        <v/>
      </c>
      <c r="AS286" s="601" t="str">
        <f t="array" aca="1" ref="AS286" ca="1">IFERROR(INDEX($E285:$DA285,MATCH(0,COUNTIF($D286:AR286,$E285:$DA285),0)),"")</f>
        <v/>
      </c>
      <c r="AT286" s="601" t="str">
        <f t="array" aca="1" ref="AT286" ca="1">IFERROR(INDEX($E285:$DA285,MATCH(0,COUNTIF($D286:AS286,$E285:$DA285),0)),"")</f>
        <v/>
      </c>
      <c r="AU286" s="601" t="str">
        <f t="array" aca="1" ref="AU286" ca="1">IFERROR(INDEX($E285:$DA285,MATCH(0,COUNTIF($D286:AT286,$E285:$DA285),0)),"")</f>
        <v/>
      </c>
      <c r="AV286" s="601" t="str">
        <f t="array" aca="1" ref="AV286" ca="1">IFERROR(INDEX($E285:$DA285,MATCH(0,COUNTIF($D286:AU286,$E285:$DA285),0)),"")</f>
        <v/>
      </c>
      <c r="AW286" s="601" t="str">
        <f t="array" aca="1" ref="AW286" ca="1">IFERROR(INDEX($E285:$DA285,MATCH(0,COUNTIF($D286:AV286,$E285:$DA285),0)),"")</f>
        <v/>
      </c>
      <c r="AX286" s="601" t="str">
        <f t="array" aca="1" ref="AX286" ca="1">IFERROR(INDEX($E285:$DA285,MATCH(0,COUNTIF($D286:AW286,$E285:$DA285),0)),"")</f>
        <v/>
      </c>
      <c r="AY286" s="601" t="str">
        <f t="array" aca="1" ref="AY286" ca="1">IFERROR(INDEX($E285:$DA285,MATCH(0,COUNTIF($D286:AX286,$E285:$DA285),0)),"")</f>
        <v/>
      </c>
      <c r="AZ286" s="601" t="str">
        <f t="array" aca="1" ref="AZ286" ca="1">IFERROR(INDEX($E285:$DA285,MATCH(0,COUNTIF($D286:AY286,$E285:$DA285),0)),"")</f>
        <v/>
      </c>
      <c r="BA286" s="602" t="str">
        <f t="array" aca="1" ref="BA286" ca="1">IFERROR(INDEX($E285:$DA285,MATCH(0,COUNTIF($D286:AZ286,$E285:$DA285),0)),"")</f>
        <v/>
      </c>
      <c r="BB286" s="650" t="str">
        <f t="array" aca="1" ref="BB286" ca="1">IFERROR(INDEX($E285:$DA285,MATCH(0,COUNTIF($D286:BA286,$E285:$DA285),0)),"")</f>
        <v/>
      </c>
      <c r="BC286" s="604"/>
      <c r="BD286" s="604" t="str">
        <f>""</f>
        <v/>
      </c>
      <c r="BE286" s="604"/>
      <c r="BF286" s="604"/>
      <c r="BG286" s="604"/>
      <c r="BH286" s="604"/>
      <c r="BI286" s="604"/>
      <c r="BJ286" s="604"/>
      <c r="BK286" s="604"/>
      <c r="BL286" s="604"/>
      <c r="BM286" s="604"/>
      <c r="BN286" s="604"/>
      <c r="BO286" s="604"/>
      <c r="BP286" s="604"/>
      <c r="BQ286" s="604"/>
      <c r="BR286" s="604"/>
      <c r="BS286" s="604"/>
      <c r="BT286" s="604"/>
      <c r="BU286" s="604"/>
      <c r="BV286" s="604"/>
      <c r="BW286" s="604"/>
      <c r="IE286" s="603"/>
      <c r="IF286" s="603"/>
      <c r="IG286" s="603"/>
      <c r="IH286" s="603"/>
    </row>
    <row r="287" spans="1:242" s="569" customFormat="1" hidden="1">
      <c r="A287" s="569">
        <v>41</v>
      </c>
      <c r="B287" s="1052"/>
      <c r="C287" s="599" t="s">
        <v>674</v>
      </c>
      <c r="D287" s="600" t="str">
        <f>""</f>
        <v/>
      </c>
      <c r="E287" s="734" t="str">
        <f t="shared" ref="E287:AJ287" ca="1" si="164">IF(OFFSET(貼付け_2025実績,2,12)="■",BD285,IFERROR(INDEX($BD285:$DA285,MATCH(E286,$BD285:$DA285,0)),""))</f>
        <v/>
      </c>
      <c r="F287" s="601" t="str">
        <f t="shared" ca="1" si="164"/>
        <v/>
      </c>
      <c r="G287" s="601" t="str">
        <f t="shared" ca="1" si="164"/>
        <v/>
      </c>
      <c r="H287" s="601" t="str">
        <f t="shared" ca="1" si="164"/>
        <v/>
      </c>
      <c r="I287" s="601" t="str">
        <f t="shared" ca="1" si="164"/>
        <v/>
      </c>
      <c r="J287" s="601" t="str">
        <f t="shared" ca="1" si="164"/>
        <v/>
      </c>
      <c r="K287" s="601" t="str">
        <f t="shared" ca="1" si="164"/>
        <v/>
      </c>
      <c r="L287" s="601" t="str">
        <f t="shared" ca="1" si="164"/>
        <v/>
      </c>
      <c r="M287" s="601" t="str">
        <f t="shared" ca="1" si="164"/>
        <v/>
      </c>
      <c r="N287" s="601" t="str">
        <f t="shared" ca="1" si="164"/>
        <v/>
      </c>
      <c r="O287" s="601" t="str">
        <f ca="1">IF(OFFSET(貼付け_2025実績,2,12)="■",BN285,IFERROR(INDEX($BD285:$DA285,MATCH(O286,$BD285:$DA285,0)),""))</f>
        <v/>
      </c>
      <c r="P287" s="601" t="str">
        <f t="shared" ca="1" si="164"/>
        <v/>
      </c>
      <c r="Q287" s="601" t="str">
        <f t="shared" ca="1" si="164"/>
        <v/>
      </c>
      <c r="R287" s="601" t="str">
        <f t="shared" ca="1" si="164"/>
        <v/>
      </c>
      <c r="S287" s="601" t="str">
        <f t="shared" ca="1" si="164"/>
        <v/>
      </c>
      <c r="T287" s="601" t="str">
        <f t="shared" ca="1" si="164"/>
        <v/>
      </c>
      <c r="U287" s="601" t="str">
        <f t="shared" ca="1" si="164"/>
        <v/>
      </c>
      <c r="V287" s="601" t="str">
        <f t="shared" ca="1" si="164"/>
        <v/>
      </c>
      <c r="W287" s="601" t="str">
        <f t="shared" ca="1" si="164"/>
        <v/>
      </c>
      <c r="X287" s="601" t="str">
        <f t="shared" ca="1" si="164"/>
        <v/>
      </c>
      <c r="Y287" s="601" t="str">
        <f t="shared" ca="1" si="164"/>
        <v/>
      </c>
      <c r="Z287" s="601" t="str">
        <f t="shared" ca="1" si="164"/>
        <v/>
      </c>
      <c r="AA287" s="601" t="str">
        <f t="shared" ca="1" si="164"/>
        <v/>
      </c>
      <c r="AB287" s="601" t="str">
        <f t="shared" ca="1" si="164"/>
        <v/>
      </c>
      <c r="AC287" s="601" t="str">
        <f t="shared" ca="1" si="164"/>
        <v/>
      </c>
      <c r="AD287" s="601" t="str">
        <f t="shared" ca="1" si="164"/>
        <v/>
      </c>
      <c r="AE287" s="601" t="str">
        <f t="shared" ca="1" si="164"/>
        <v/>
      </c>
      <c r="AF287" s="601" t="str">
        <f t="shared" ca="1" si="164"/>
        <v/>
      </c>
      <c r="AG287" s="601" t="str">
        <f t="shared" ca="1" si="164"/>
        <v/>
      </c>
      <c r="AH287" s="601" t="str">
        <f t="shared" ca="1" si="164"/>
        <v/>
      </c>
      <c r="AI287" s="601" t="str">
        <f t="shared" ca="1" si="164"/>
        <v/>
      </c>
      <c r="AJ287" s="601" t="str">
        <f t="shared" ca="1" si="164"/>
        <v/>
      </c>
      <c r="AK287" s="601" t="str">
        <f t="shared" ref="AK287:BB287" ca="1" si="165">IF(OFFSET(貼付け_2025実績,2,12)="■",CJ285,IFERROR(INDEX($BD285:$DA285,MATCH(AK286,$BD285:$DA285,0)),""))</f>
        <v/>
      </c>
      <c r="AL287" s="601" t="str">
        <f t="shared" ca="1" si="165"/>
        <v/>
      </c>
      <c r="AM287" s="601" t="str">
        <f t="shared" ca="1" si="165"/>
        <v/>
      </c>
      <c r="AN287" s="601" t="str">
        <f t="shared" ca="1" si="165"/>
        <v/>
      </c>
      <c r="AO287" s="601" t="str">
        <f t="shared" ca="1" si="165"/>
        <v/>
      </c>
      <c r="AP287" s="601" t="str">
        <f t="shared" ca="1" si="165"/>
        <v/>
      </c>
      <c r="AQ287" s="601" t="str">
        <f t="shared" ca="1" si="165"/>
        <v/>
      </c>
      <c r="AR287" s="601" t="str">
        <f t="shared" ca="1" si="165"/>
        <v/>
      </c>
      <c r="AS287" s="601" t="str">
        <f t="shared" ca="1" si="165"/>
        <v/>
      </c>
      <c r="AT287" s="601" t="str">
        <f t="shared" ca="1" si="165"/>
        <v/>
      </c>
      <c r="AU287" s="601" t="str">
        <f t="shared" ca="1" si="165"/>
        <v/>
      </c>
      <c r="AV287" s="601" t="str">
        <f t="shared" ca="1" si="165"/>
        <v/>
      </c>
      <c r="AW287" s="601" t="str">
        <f t="shared" ca="1" si="165"/>
        <v/>
      </c>
      <c r="AX287" s="601" t="str">
        <f t="shared" ca="1" si="165"/>
        <v/>
      </c>
      <c r="AY287" s="601" t="str">
        <f t="shared" ca="1" si="165"/>
        <v/>
      </c>
      <c r="AZ287" s="601" t="str">
        <f t="shared" ca="1" si="165"/>
        <v/>
      </c>
      <c r="BA287" s="602" t="str">
        <f t="shared" ca="1" si="165"/>
        <v/>
      </c>
      <c r="BB287" s="650" t="str">
        <f t="shared" ca="1" si="165"/>
        <v/>
      </c>
      <c r="BD287" s="569" t="str">
        <f>""</f>
        <v/>
      </c>
      <c r="IE287" s="603"/>
      <c r="IF287" s="603"/>
      <c r="IG287" s="603"/>
      <c r="IH287" s="603"/>
    </row>
    <row r="288" spans="1:242" s="569" customFormat="1" hidden="1">
      <c r="A288" s="569">
        <v>42</v>
      </c>
      <c r="B288" s="1052"/>
      <c r="C288" s="605" t="s">
        <v>675</v>
      </c>
      <c r="D288" s="606">
        <v>14</v>
      </c>
      <c r="E288" s="735" t="str">
        <f t="shared" ref="E288:AJ288" ca="1" si="166">OFFSET(A1_名称2025,E$247+2,$D288)&amp;""</f>
        <v/>
      </c>
      <c r="F288" s="607" t="str">
        <f t="shared" ca="1" si="166"/>
        <v/>
      </c>
      <c r="G288" s="607" t="str">
        <f t="shared" ca="1" si="166"/>
        <v/>
      </c>
      <c r="H288" s="607" t="str">
        <f t="shared" ca="1" si="166"/>
        <v/>
      </c>
      <c r="I288" s="607" t="str">
        <f t="shared" ca="1" si="166"/>
        <v/>
      </c>
      <c r="J288" s="607" t="str">
        <f t="shared" ca="1" si="166"/>
        <v/>
      </c>
      <c r="K288" s="607" t="str">
        <f t="shared" ca="1" si="166"/>
        <v/>
      </c>
      <c r="L288" s="607" t="str">
        <f t="shared" ca="1" si="166"/>
        <v/>
      </c>
      <c r="M288" s="607" t="str">
        <f t="shared" ca="1" si="166"/>
        <v/>
      </c>
      <c r="N288" s="607" t="str">
        <f t="shared" ca="1" si="166"/>
        <v/>
      </c>
      <c r="O288" s="607" t="str">
        <f ca="1">OFFSET(A1_名称2025,O$247+2,$D288)&amp;""</f>
        <v/>
      </c>
      <c r="P288" s="607" t="str">
        <f t="shared" ca="1" si="166"/>
        <v/>
      </c>
      <c r="Q288" s="607" t="str">
        <f t="shared" ca="1" si="166"/>
        <v/>
      </c>
      <c r="R288" s="607" t="str">
        <f t="shared" ca="1" si="166"/>
        <v/>
      </c>
      <c r="S288" s="607" t="str">
        <f t="shared" ca="1" si="166"/>
        <v/>
      </c>
      <c r="T288" s="607" t="str">
        <f t="shared" ca="1" si="166"/>
        <v/>
      </c>
      <c r="U288" s="607" t="str">
        <f t="shared" ca="1" si="166"/>
        <v/>
      </c>
      <c r="V288" s="607" t="str">
        <f t="shared" ca="1" si="166"/>
        <v/>
      </c>
      <c r="W288" s="607" t="str">
        <f t="shared" ca="1" si="166"/>
        <v/>
      </c>
      <c r="X288" s="607" t="str">
        <f t="shared" ca="1" si="166"/>
        <v/>
      </c>
      <c r="Y288" s="607" t="str">
        <f t="shared" ca="1" si="166"/>
        <v/>
      </c>
      <c r="Z288" s="607" t="str">
        <f t="shared" ca="1" si="166"/>
        <v/>
      </c>
      <c r="AA288" s="607" t="str">
        <f t="shared" ca="1" si="166"/>
        <v/>
      </c>
      <c r="AB288" s="607" t="str">
        <f t="shared" ca="1" si="166"/>
        <v/>
      </c>
      <c r="AC288" s="607" t="str">
        <f t="shared" ca="1" si="166"/>
        <v/>
      </c>
      <c r="AD288" s="607" t="str">
        <f t="shared" ca="1" si="166"/>
        <v/>
      </c>
      <c r="AE288" s="607" t="str">
        <f t="shared" ca="1" si="166"/>
        <v/>
      </c>
      <c r="AF288" s="607" t="str">
        <f t="shared" ca="1" si="166"/>
        <v/>
      </c>
      <c r="AG288" s="607" t="str">
        <f t="shared" ca="1" si="166"/>
        <v/>
      </c>
      <c r="AH288" s="607" t="str">
        <f t="shared" ca="1" si="166"/>
        <v/>
      </c>
      <c r="AI288" s="607" t="str">
        <f t="shared" ca="1" si="166"/>
        <v/>
      </c>
      <c r="AJ288" s="607" t="str">
        <f t="shared" ca="1" si="166"/>
        <v/>
      </c>
      <c r="AK288" s="607" t="str">
        <f t="shared" ref="AK288:BB288" ca="1" si="167">OFFSET(A1_名称2025,AK$247+2,$D288)&amp;""</f>
        <v/>
      </c>
      <c r="AL288" s="607" t="str">
        <f t="shared" ca="1" si="167"/>
        <v/>
      </c>
      <c r="AM288" s="607" t="str">
        <f t="shared" ca="1" si="167"/>
        <v/>
      </c>
      <c r="AN288" s="607" t="str">
        <f t="shared" ca="1" si="167"/>
        <v/>
      </c>
      <c r="AO288" s="607" t="str">
        <f t="shared" ca="1" si="167"/>
        <v/>
      </c>
      <c r="AP288" s="607" t="str">
        <f t="shared" ca="1" si="167"/>
        <v/>
      </c>
      <c r="AQ288" s="607" t="str">
        <f t="shared" ca="1" si="167"/>
        <v/>
      </c>
      <c r="AR288" s="607" t="str">
        <f t="shared" ca="1" si="167"/>
        <v/>
      </c>
      <c r="AS288" s="607" t="str">
        <f t="shared" ca="1" si="167"/>
        <v/>
      </c>
      <c r="AT288" s="607" t="str">
        <f t="shared" ca="1" si="167"/>
        <v/>
      </c>
      <c r="AU288" s="607" t="str">
        <f t="shared" ca="1" si="167"/>
        <v/>
      </c>
      <c r="AV288" s="607" t="str">
        <f t="shared" ca="1" si="167"/>
        <v/>
      </c>
      <c r="AW288" s="607" t="str">
        <f t="shared" ca="1" si="167"/>
        <v/>
      </c>
      <c r="AX288" s="607" t="str">
        <f t="shared" ca="1" si="167"/>
        <v/>
      </c>
      <c r="AY288" s="607" t="str">
        <f t="shared" ca="1" si="167"/>
        <v/>
      </c>
      <c r="AZ288" s="607" t="str">
        <f t="shared" ca="1" si="167"/>
        <v/>
      </c>
      <c r="BA288" s="608" t="str">
        <f t="shared" ca="1" si="167"/>
        <v/>
      </c>
      <c r="BB288" s="651" t="str">
        <f t="shared" ca="1" si="167"/>
        <v/>
      </c>
      <c r="IE288" s="603"/>
      <c r="IF288" s="603"/>
      <c r="IG288" s="603"/>
      <c r="IH288" s="603"/>
    </row>
    <row r="289" spans="1:242" s="164" customFormat="1" ht="19.8" hidden="1">
      <c r="A289" s="569">
        <v>43</v>
      </c>
      <c r="B289" s="1052"/>
      <c r="C289" s="599" t="s">
        <v>676</v>
      </c>
      <c r="D289" s="600"/>
      <c r="E289" s="734" t="str">
        <f ca="1">IF(E288="","",IFERROR(INDEX($E284:$BB284,MATCH(E288,$BD285:$DA285,0)),""))</f>
        <v/>
      </c>
      <c r="F289" s="601" t="str">
        <f t="shared" ref="F289:BB289" ca="1" si="168">IF(F288="","",IFERROR(INDEX($E284:$BB284,MATCH(F288,$BD285:$DA285,0)),""))</f>
        <v/>
      </c>
      <c r="G289" s="601" t="str">
        <f t="shared" ca="1" si="168"/>
        <v/>
      </c>
      <c r="H289" s="601" t="str">
        <f t="shared" ca="1" si="168"/>
        <v/>
      </c>
      <c r="I289" s="601" t="str">
        <f t="shared" ca="1" si="168"/>
        <v/>
      </c>
      <c r="J289" s="601" t="str">
        <f t="shared" ca="1" si="168"/>
        <v/>
      </c>
      <c r="K289" s="601" t="str">
        <f t="shared" ca="1" si="168"/>
        <v/>
      </c>
      <c r="L289" s="601" t="str">
        <f t="shared" ca="1" si="168"/>
        <v/>
      </c>
      <c r="M289" s="601" t="str">
        <f t="shared" ca="1" si="168"/>
        <v/>
      </c>
      <c r="N289" s="601" t="str">
        <f t="shared" ca="1" si="168"/>
        <v/>
      </c>
      <c r="O289" s="601" t="str">
        <f ca="1">IF(O288="","",IFERROR(INDEX($E284:$BB284,MATCH(O288,$BD285:$DA285,0)),""))</f>
        <v/>
      </c>
      <c r="P289" s="601" t="str">
        <f t="shared" ca="1" si="168"/>
        <v/>
      </c>
      <c r="Q289" s="601" t="str">
        <f t="shared" ca="1" si="168"/>
        <v/>
      </c>
      <c r="R289" s="601" t="str">
        <f t="shared" ca="1" si="168"/>
        <v/>
      </c>
      <c r="S289" s="601" t="str">
        <f t="shared" ca="1" si="168"/>
        <v/>
      </c>
      <c r="T289" s="601" t="str">
        <f t="shared" ca="1" si="168"/>
        <v/>
      </c>
      <c r="U289" s="601" t="str">
        <f t="shared" ca="1" si="168"/>
        <v/>
      </c>
      <c r="V289" s="601" t="str">
        <f t="shared" ca="1" si="168"/>
        <v/>
      </c>
      <c r="W289" s="601" t="str">
        <f t="shared" ca="1" si="168"/>
        <v/>
      </c>
      <c r="X289" s="601" t="str">
        <f t="shared" ca="1" si="168"/>
        <v/>
      </c>
      <c r="Y289" s="601" t="str">
        <f t="shared" ca="1" si="168"/>
        <v/>
      </c>
      <c r="Z289" s="601" t="str">
        <f t="shared" ca="1" si="168"/>
        <v/>
      </c>
      <c r="AA289" s="601" t="str">
        <f t="shared" ca="1" si="168"/>
        <v/>
      </c>
      <c r="AB289" s="601" t="str">
        <f t="shared" ca="1" si="168"/>
        <v/>
      </c>
      <c r="AC289" s="601" t="str">
        <f t="shared" ca="1" si="168"/>
        <v/>
      </c>
      <c r="AD289" s="601" t="str">
        <f t="shared" ca="1" si="168"/>
        <v/>
      </c>
      <c r="AE289" s="601" t="str">
        <f t="shared" ca="1" si="168"/>
        <v/>
      </c>
      <c r="AF289" s="601" t="str">
        <f t="shared" ca="1" si="168"/>
        <v/>
      </c>
      <c r="AG289" s="601" t="str">
        <f t="shared" ca="1" si="168"/>
        <v/>
      </c>
      <c r="AH289" s="601" t="str">
        <f t="shared" ca="1" si="168"/>
        <v/>
      </c>
      <c r="AI289" s="601" t="str">
        <f t="shared" ca="1" si="168"/>
        <v/>
      </c>
      <c r="AJ289" s="601" t="str">
        <f t="shared" ca="1" si="168"/>
        <v/>
      </c>
      <c r="AK289" s="601" t="str">
        <f t="shared" ca="1" si="168"/>
        <v/>
      </c>
      <c r="AL289" s="601" t="str">
        <f t="shared" ca="1" si="168"/>
        <v/>
      </c>
      <c r="AM289" s="601" t="str">
        <f t="shared" ca="1" si="168"/>
        <v/>
      </c>
      <c r="AN289" s="601" t="str">
        <f t="shared" ca="1" si="168"/>
        <v/>
      </c>
      <c r="AO289" s="601" t="str">
        <f t="shared" ca="1" si="168"/>
        <v/>
      </c>
      <c r="AP289" s="601" t="str">
        <f t="shared" ca="1" si="168"/>
        <v/>
      </c>
      <c r="AQ289" s="601" t="str">
        <f t="shared" ca="1" si="168"/>
        <v/>
      </c>
      <c r="AR289" s="601" t="str">
        <f t="shared" ca="1" si="168"/>
        <v/>
      </c>
      <c r="AS289" s="601" t="str">
        <f t="shared" ca="1" si="168"/>
        <v/>
      </c>
      <c r="AT289" s="601" t="str">
        <f t="shared" ca="1" si="168"/>
        <v/>
      </c>
      <c r="AU289" s="601" t="str">
        <f t="shared" ca="1" si="168"/>
        <v/>
      </c>
      <c r="AV289" s="601" t="str">
        <f t="shared" ca="1" si="168"/>
        <v/>
      </c>
      <c r="AW289" s="601" t="str">
        <f t="shared" ca="1" si="168"/>
        <v/>
      </c>
      <c r="AX289" s="601" t="str">
        <f t="shared" ca="1" si="168"/>
        <v/>
      </c>
      <c r="AY289" s="601" t="str">
        <f t="shared" ca="1" si="168"/>
        <v/>
      </c>
      <c r="AZ289" s="601" t="str">
        <f t="shared" ca="1" si="168"/>
        <v/>
      </c>
      <c r="BA289" s="602" t="str">
        <f t="shared" ca="1" si="168"/>
        <v/>
      </c>
      <c r="BB289" s="650" t="str">
        <f t="shared" ca="1" si="168"/>
        <v/>
      </c>
      <c r="BC289" s="569"/>
      <c r="BD289" s="569"/>
      <c r="BE289" s="569"/>
      <c r="BF289" s="569"/>
      <c r="BG289" s="569"/>
      <c r="BH289" s="569"/>
      <c r="BI289" s="569"/>
      <c r="BJ289" s="569"/>
      <c r="BK289" s="569"/>
      <c r="BL289" s="569"/>
      <c r="BM289" s="569"/>
      <c r="BN289" s="569"/>
      <c r="BO289" s="569"/>
      <c r="BP289" s="569"/>
      <c r="BQ289" s="569"/>
      <c r="BR289" s="569"/>
      <c r="BS289" s="569"/>
      <c r="BT289" s="569"/>
      <c r="BU289" s="569"/>
      <c r="BV289" s="569"/>
      <c r="BW289" s="569"/>
      <c r="BX289" s="569"/>
      <c r="BY289" s="569"/>
      <c r="BZ289" s="569"/>
      <c r="CA289" s="569"/>
      <c r="CB289" s="569"/>
      <c r="CC289" s="569"/>
      <c r="CD289" s="569"/>
      <c r="CE289" s="569"/>
      <c r="CF289" s="569"/>
      <c r="CG289" s="569"/>
      <c r="CH289" s="569"/>
      <c r="CI289" s="569"/>
      <c r="CJ289" s="569"/>
      <c r="CK289" s="569"/>
      <c r="CL289" s="569"/>
      <c r="CM289" s="569"/>
      <c r="CN289" s="569"/>
      <c r="CO289" s="569"/>
      <c r="CP289" s="569"/>
      <c r="CQ289" s="569"/>
      <c r="CR289" s="569"/>
      <c r="CS289" s="569"/>
      <c r="CT289" s="569"/>
      <c r="CU289" s="569"/>
      <c r="CV289" s="569"/>
      <c r="CW289" s="569"/>
      <c r="CX289" s="569"/>
      <c r="CY289" s="569"/>
      <c r="CZ289" s="569"/>
      <c r="DA289" s="569"/>
      <c r="DB289" s="569"/>
      <c r="DC289" s="569"/>
      <c r="DD289" s="569"/>
      <c r="DE289" s="569"/>
      <c r="DF289" s="569"/>
      <c r="DG289" s="569"/>
      <c r="DH289" s="569"/>
      <c r="DI289" s="569"/>
      <c r="DJ289" s="569"/>
      <c r="DK289" s="569"/>
      <c r="DL289" s="569"/>
      <c r="DM289" s="569"/>
      <c r="DN289" s="569"/>
      <c r="DO289" s="569"/>
      <c r="DP289" s="569"/>
      <c r="DQ289" s="569"/>
      <c r="DR289" s="569"/>
      <c r="DS289" s="569"/>
      <c r="DT289" s="569"/>
      <c r="DU289" s="569"/>
      <c r="DV289" s="569"/>
      <c r="DW289" s="569"/>
      <c r="DX289" s="569"/>
      <c r="DY289" s="569"/>
      <c r="DZ289" s="569"/>
      <c r="EA289" s="569"/>
      <c r="EB289" s="569"/>
      <c r="EC289" s="569"/>
      <c r="ED289" s="569"/>
      <c r="EE289" s="569"/>
      <c r="EF289" s="569"/>
      <c r="EG289" s="569"/>
      <c r="EH289" s="569"/>
      <c r="EI289" s="569"/>
      <c r="EJ289" s="569"/>
      <c r="EK289" s="569"/>
      <c r="EL289" s="569"/>
      <c r="EM289" s="569"/>
      <c r="EN289" s="569"/>
      <c r="EO289" s="569"/>
      <c r="EP289" s="569"/>
      <c r="EQ289" s="569"/>
      <c r="ER289" s="569"/>
      <c r="ES289" s="569"/>
      <c r="ET289" s="569"/>
      <c r="EU289" s="569"/>
      <c r="EV289" s="569"/>
      <c r="EW289" s="569"/>
      <c r="EX289" s="569"/>
      <c r="EY289" s="569"/>
      <c r="EZ289" s="569"/>
      <c r="FA289" s="569"/>
      <c r="FB289" s="569"/>
      <c r="FC289" s="569"/>
      <c r="FD289" s="569"/>
      <c r="FE289" s="569"/>
      <c r="FF289" s="569"/>
      <c r="FG289" s="569"/>
      <c r="FH289" s="569"/>
      <c r="FI289" s="569"/>
      <c r="FJ289" s="569"/>
      <c r="FK289" s="569"/>
      <c r="FL289" s="569"/>
      <c r="FM289" s="569"/>
      <c r="FN289" s="569"/>
      <c r="FO289" s="569"/>
      <c r="FP289" s="569"/>
      <c r="FQ289" s="569"/>
      <c r="FR289" s="569"/>
      <c r="FS289" s="569"/>
      <c r="FT289" s="569"/>
      <c r="FU289" s="569"/>
      <c r="FV289" s="569"/>
      <c r="FW289" s="569"/>
      <c r="FX289" s="569"/>
      <c r="FY289" s="569"/>
      <c r="FZ289" s="569"/>
      <c r="GA289" s="569"/>
      <c r="GB289" s="569"/>
      <c r="GC289" s="569"/>
      <c r="GD289" s="569"/>
      <c r="GE289" s="569"/>
      <c r="GF289" s="569"/>
      <c r="GG289" s="569"/>
      <c r="GH289" s="569"/>
      <c r="GI289" s="569"/>
      <c r="GJ289" s="569"/>
      <c r="GK289" s="569"/>
      <c r="GL289" s="569"/>
      <c r="GM289" s="569"/>
      <c r="GN289" s="569"/>
      <c r="GO289" s="569"/>
      <c r="GP289" s="569"/>
      <c r="GQ289" s="569"/>
      <c r="GR289" s="569"/>
      <c r="GS289" s="569"/>
      <c r="GT289" s="569"/>
      <c r="GU289" s="569"/>
      <c r="GV289" s="569"/>
      <c r="GW289" s="569"/>
      <c r="GX289" s="569"/>
      <c r="GY289" s="569"/>
      <c r="GZ289" s="569"/>
      <c r="HA289" s="569"/>
      <c r="HB289" s="569"/>
      <c r="HC289" s="569"/>
      <c r="HD289" s="569"/>
      <c r="HE289" s="569"/>
      <c r="HF289" s="569"/>
      <c r="HG289" s="569"/>
      <c r="HH289" s="569"/>
      <c r="HI289" s="569"/>
      <c r="HJ289" s="569"/>
      <c r="HK289" s="569"/>
      <c r="IE289" s="579"/>
      <c r="IF289" s="579"/>
      <c r="IG289" s="579"/>
      <c r="IH289" s="579"/>
    </row>
    <row r="290" spans="1:242" s="164" customFormat="1" ht="20.100000000000001" hidden="1" customHeight="1">
      <c r="A290" s="569">
        <v>44</v>
      </c>
      <c r="B290" s="1052"/>
      <c r="C290" s="609" t="s">
        <v>677</v>
      </c>
      <c r="D290" s="610">
        <v>6</v>
      </c>
      <c r="E290" s="736" t="str">
        <f t="shared" ref="E290:AJ290" ca="1" si="169">IFERROR(OFFSET(貼付け_2025実績,$D290,E289+1)&amp;"","")</f>
        <v/>
      </c>
      <c r="F290" s="611" t="str">
        <f t="shared" ca="1" si="169"/>
        <v/>
      </c>
      <c r="G290" s="611" t="str">
        <f t="shared" ca="1" si="169"/>
        <v/>
      </c>
      <c r="H290" s="611" t="str">
        <f t="shared" ca="1" si="169"/>
        <v/>
      </c>
      <c r="I290" s="611" t="str">
        <f t="shared" ca="1" si="169"/>
        <v/>
      </c>
      <c r="J290" s="611" t="str">
        <f t="shared" ca="1" si="169"/>
        <v/>
      </c>
      <c r="K290" s="611" t="str">
        <f t="shared" ca="1" si="169"/>
        <v/>
      </c>
      <c r="L290" s="611" t="str">
        <f t="shared" ca="1" si="169"/>
        <v/>
      </c>
      <c r="M290" s="611" t="str">
        <f t="shared" ca="1" si="169"/>
        <v/>
      </c>
      <c r="N290" s="611" t="str">
        <f t="shared" ca="1" si="169"/>
        <v/>
      </c>
      <c r="O290" s="611" t="str">
        <f ca="1">IFERROR(OFFSET(貼付け_2025実績,$D290,O289+1)&amp;"","")</f>
        <v/>
      </c>
      <c r="P290" s="611" t="str">
        <f t="shared" ca="1" si="169"/>
        <v/>
      </c>
      <c r="Q290" s="611" t="str">
        <f t="shared" ca="1" si="169"/>
        <v/>
      </c>
      <c r="R290" s="611" t="str">
        <f t="shared" ca="1" si="169"/>
        <v/>
      </c>
      <c r="S290" s="611" t="str">
        <f t="shared" ca="1" si="169"/>
        <v/>
      </c>
      <c r="T290" s="611" t="str">
        <f t="shared" ca="1" si="169"/>
        <v/>
      </c>
      <c r="U290" s="611" t="str">
        <f t="shared" ca="1" si="169"/>
        <v/>
      </c>
      <c r="V290" s="611" t="str">
        <f t="shared" ca="1" si="169"/>
        <v/>
      </c>
      <c r="W290" s="611" t="str">
        <f t="shared" ca="1" si="169"/>
        <v/>
      </c>
      <c r="X290" s="611" t="str">
        <f t="shared" ca="1" si="169"/>
        <v/>
      </c>
      <c r="Y290" s="611" t="str">
        <f t="shared" ca="1" si="169"/>
        <v/>
      </c>
      <c r="Z290" s="611" t="str">
        <f t="shared" ca="1" si="169"/>
        <v/>
      </c>
      <c r="AA290" s="611" t="str">
        <f t="shared" ca="1" si="169"/>
        <v/>
      </c>
      <c r="AB290" s="611" t="str">
        <f t="shared" ca="1" si="169"/>
        <v/>
      </c>
      <c r="AC290" s="611" t="str">
        <f t="shared" ca="1" si="169"/>
        <v/>
      </c>
      <c r="AD290" s="611" t="str">
        <f t="shared" ca="1" si="169"/>
        <v/>
      </c>
      <c r="AE290" s="611" t="str">
        <f t="shared" ca="1" si="169"/>
        <v/>
      </c>
      <c r="AF290" s="611" t="str">
        <f t="shared" ca="1" si="169"/>
        <v/>
      </c>
      <c r="AG290" s="611" t="str">
        <f t="shared" ca="1" si="169"/>
        <v/>
      </c>
      <c r="AH290" s="611" t="str">
        <f t="shared" ca="1" si="169"/>
        <v/>
      </c>
      <c r="AI290" s="611" t="str">
        <f t="shared" ca="1" si="169"/>
        <v/>
      </c>
      <c r="AJ290" s="611" t="str">
        <f t="shared" ca="1" si="169"/>
        <v/>
      </c>
      <c r="AK290" s="611" t="str">
        <f t="shared" ref="AK290:BB290" ca="1" si="170">IFERROR(OFFSET(貼付け_2025実績,$D290,AK289+1)&amp;"","")</f>
        <v/>
      </c>
      <c r="AL290" s="611" t="str">
        <f t="shared" ca="1" si="170"/>
        <v/>
      </c>
      <c r="AM290" s="611" t="str">
        <f t="shared" ca="1" si="170"/>
        <v/>
      </c>
      <c r="AN290" s="611" t="str">
        <f t="shared" ca="1" si="170"/>
        <v/>
      </c>
      <c r="AO290" s="611" t="str">
        <f t="shared" ca="1" si="170"/>
        <v/>
      </c>
      <c r="AP290" s="611" t="str">
        <f t="shared" ca="1" si="170"/>
        <v/>
      </c>
      <c r="AQ290" s="611" t="str">
        <f t="shared" ca="1" si="170"/>
        <v/>
      </c>
      <c r="AR290" s="611" t="str">
        <f t="shared" ca="1" si="170"/>
        <v/>
      </c>
      <c r="AS290" s="611" t="str">
        <f t="shared" ca="1" si="170"/>
        <v/>
      </c>
      <c r="AT290" s="611" t="str">
        <f t="shared" ca="1" si="170"/>
        <v/>
      </c>
      <c r="AU290" s="611" t="str">
        <f t="shared" ca="1" si="170"/>
        <v/>
      </c>
      <c r="AV290" s="611" t="str">
        <f t="shared" ca="1" si="170"/>
        <v/>
      </c>
      <c r="AW290" s="611" t="str">
        <f t="shared" ca="1" si="170"/>
        <v/>
      </c>
      <c r="AX290" s="611" t="str">
        <f t="shared" ca="1" si="170"/>
        <v/>
      </c>
      <c r="AY290" s="611" t="str">
        <f t="shared" ca="1" si="170"/>
        <v/>
      </c>
      <c r="AZ290" s="611" t="str">
        <f t="shared" ca="1" si="170"/>
        <v/>
      </c>
      <c r="BA290" s="612" t="str">
        <f t="shared" ca="1" si="170"/>
        <v/>
      </c>
      <c r="BB290" s="652" t="str">
        <f t="shared" ca="1" si="170"/>
        <v/>
      </c>
      <c r="BC290" s="613"/>
      <c r="IE290" s="579"/>
      <c r="IF290" s="579"/>
      <c r="IG290" s="579"/>
      <c r="IH290" s="579"/>
    </row>
    <row r="291" spans="1:242" s="164" customFormat="1" ht="20.100000000000001" hidden="1" customHeight="1">
      <c r="A291" s="569">
        <v>45</v>
      </c>
      <c r="B291" s="1052"/>
      <c r="C291" s="614" t="s">
        <v>678</v>
      </c>
      <c r="D291" s="615">
        <v>99</v>
      </c>
      <c r="E291" s="737" t="str">
        <f t="shared" ref="E291:AJ291" ca="1" si="171">IFERROR(OFFSET(貼付け_2025実績,$D291,E289),"")&amp;""</f>
        <v/>
      </c>
      <c r="F291" s="616" t="str">
        <f t="shared" ca="1" si="171"/>
        <v/>
      </c>
      <c r="G291" s="616" t="str">
        <f t="shared" ca="1" si="171"/>
        <v/>
      </c>
      <c r="H291" s="616" t="str">
        <f t="shared" ca="1" si="171"/>
        <v/>
      </c>
      <c r="I291" s="616" t="str">
        <f t="shared" ca="1" si="171"/>
        <v/>
      </c>
      <c r="J291" s="616" t="str">
        <f t="shared" ca="1" si="171"/>
        <v/>
      </c>
      <c r="K291" s="616" t="str">
        <f t="shared" ca="1" si="171"/>
        <v/>
      </c>
      <c r="L291" s="616" t="str">
        <f t="shared" ca="1" si="171"/>
        <v/>
      </c>
      <c r="M291" s="616" t="str">
        <f t="shared" ca="1" si="171"/>
        <v/>
      </c>
      <c r="N291" s="616" t="str">
        <f t="shared" ca="1" si="171"/>
        <v/>
      </c>
      <c r="O291" s="616" t="str">
        <f ca="1">IFERROR(OFFSET(貼付け_2025実績,$D291,O289),"")&amp;""</f>
        <v/>
      </c>
      <c r="P291" s="616" t="str">
        <f t="shared" ca="1" si="171"/>
        <v/>
      </c>
      <c r="Q291" s="616" t="str">
        <f t="shared" ca="1" si="171"/>
        <v/>
      </c>
      <c r="R291" s="616" t="str">
        <f t="shared" ca="1" si="171"/>
        <v/>
      </c>
      <c r="S291" s="616" t="str">
        <f t="shared" ca="1" si="171"/>
        <v/>
      </c>
      <c r="T291" s="616" t="str">
        <f t="shared" ca="1" si="171"/>
        <v/>
      </c>
      <c r="U291" s="616" t="str">
        <f t="shared" ca="1" si="171"/>
        <v/>
      </c>
      <c r="V291" s="616" t="str">
        <f t="shared" ca="1" si="171"/>
        <v/>
      </c>
      <c r="W291" s="616" t="str">
        <f t="shared" ca="1" si="171"/>
        <v/>
      </c>
      <c r="X291" s="616" t="str">
        <f t="shared" ca="1" si="171"/>
        <v/>
      </c>
      <c r="Y291" s="616" t="str">
        <f t="shared" ca="1" si="171"/>
        <v/>
      </c>
      <c r="Z291" s="616" t="str">
        <f t="shared" ca="1" si="171"/>
        <v/>
      </c>
      <c r="AA291" s="616" t="str">
        <f t="shared" ca="1" si="171"/>
        <v/>
      </c>
      <c r="AB291" s="616" t="str">
        <f t="shared" ca="1" si="171"/>
        <v/>
      </c>
      <c r="AC291" s="616" t="str">
        <f t="shared" ca="1" si="171"/>
        <v/>
      </c>
      <c r="AD291" s="616" t="str">
        <f t="shared" ca="1" si="171"/>
        <v/>
      </c>
      <c r="AE291" s="616" t="str">
        <f t="shared" ca="1" si="171"/>
        <v/>
      </c>
      <c r="AF291" s="616" t="str">
        <f t="shared" ca="1" si="171"/>
        <v/>
      </c>
      <c r="AG291" s="616" t="str">
        <f t="shared" ca="1" si="171"/>
        <v/>
      </c>
      <c r="AH291" s="616" t="str">
        <f t="shared" ca="1" si="171"/>
        <v/>
      </c>
      <c r="AI291" s="616" t="str">
        <f t="shared" ca="1" si="171"/>
        <v/>
      </c>
      <c r="AJ291" s="616" t="str">
        <f t="shared" ca="1" si="171"/>
        <v/>
      </c>
      <c r="AK291" s="616" t="str">
        <f t="shared" ref="AK291:BB291" ca="1" si="172">IFERROR(OFFSET(貼付け_2025実績,$D291,AK289),"")&amp;""</f>
        <v/>
      </c>
      <c r="AL291" s="616" t="str">
        <f t="shared" ca="1" si="172"/>
        <v/>
      </c>
      <c r="AM291" s="616" t="str">
        <f t="shared" ca="1" si="172"/>
        <v/>
      </c>
      <c r="AN291" s="616" t="str">
        <f t="shared" ca="1" si="172"/>
        <v/>
      </c>
      <c r="AO291" s="616" t="str">
        <f t="shared" ca="1" si="172"/>
        <v/>
      </c>
      <c r="AP291" s="616" t="str">
        <f t="shared" ca="1" si="172"/>
        <v/>
      </c>
      <c r="AQ291" s="616" t="str">
        <f t="shared" ca="1" si="172"/>
        <v/>
      </c>
      <c r="AR291" s="616" t="str">
        <f t="shared" ca="1" si="172"/>
        <v/>
      </c>
      <c r="AS291" s="616" t="str">
        <f t="shared" ca="1" si="172"/>
        <v/>
      </c>
      <c r="AT291" s="616" t="str">
        <f t="shared" ca="1" si="172"/>
        <v/>
      </c>
      <c r="AU291" s="616" t="str">
        <f t="shared" ca="1" si="172"/>
        <v/>
      </c>
      <c r="AV291" s="616" t="str">
        <f t="shared" ca="1" si="172"/>
        <v/>
      </c>
      <c r="AW291" s="616" t="str">
        <f t="shared" ca="1" si="172"/>
        <v/>
      </c>
      <c r="AX291" s="616" t="str">
        <f t="shared" ca="1" si="172"/>
        <v/>
      </c>
      <c r="AY291" s="616" t="str">
        <f t="shared" ca="1" si="172"/>
        <v/>
      </c>
      <c r="AZ291" s="616" t="str">
        <f t="shared" ca="1" si="172"/>
        <v/>
      </c>
      <c r="BA291" s="616" t="str">
        <f t="shared" ca="1" si="172"/>
        <v/>
      </c>
      <c r="BB291" s="653" t="str">
        <f t="shared" ca="1" si="172"/>
        <v/>
      </c>
      <c r="IE291" s="579"/>
      <c r="IF291" s="579"/>
      <c r="IG291" s="579"/>
      <c r="IH291" s="579"/>
    </row>
    <row r="292" spans="1:242" s="164" customFormat="1" ht="20.100000000000001" hidden="1" customHeight="1">
      <c r="A292" s="569">
        <v>46</v>
      </c>
      <c r="B292" s="1052"/>
      <c r="C292" s="614" t="s">
        <v>679</v>
      </c>
      <c r="D292" s="615">
        <v>6</v>
      </c>
      <c r="E292" s="737" t="str">
        <f t="shared" ref="E292:AJ292" ca="1" si="173">IFERROR(OFFSET(A1_集計2025,$D292,E289),"")</f>
        <v/>
      </c>
      <c r="F292" s="616" t="str">
        <f t="shared" ca="1" si="173"/>
        <v/>
      </c>
      <c r="G292" s="616" t="str">
        <f t="shared" ca="1" si="173"/>
        <v/>
      </c>
      <c r="H292" s="616" t="str">
        <f t="shared" ca="1" si="173"/>
        <v/>
      </c>
      <c r="I292" s="616" t="str">
        <f t="shared" ca="1" si="173"/>
        <v/>
      </c>
      <c r="J292" s="616" t="str">
        <f t="shared" ca="1" si="173"/>
        <v/>
      </c>
      <c r="K292" s="616" t="str">
        <f t="shared" ca="1" si="173"/>
        <v/>
      </c>
      <c r="L292" s="616" t="str">
        <f t="shared" ca="1" si="173"/>
        <v/>
      </c>
      <c r="M292" s="616" t="str">
        <f t="shared" ca="1" si="173"/>
        <v/>
      </c>
      <c r="N292" s="616" t="str">
        <f t="shared" ca="1" si="173"/>
        <v/>
      </c>
      <c r="O292" s="616" t="str">
        <f ca="1">IFERROR(OFFSET(A1_集計2025,$D292,O289),"")</f>
        <v/>
      </c>
      <c r="P292" s="616" t="str">
        <f t="shared" ca="1" si="173"/>
        <v/>
      </c>
      <c r="Q292" s="616" t="str">
        <f t="shared" ca="1" si="173"/>
        <v/>
      </c>
      <c r="R292" s="616" t="str">
        <f t="shared" ca="1" si="173"/>
        <v/>
      </c>
      <c r="S292" s="616" t="str">
        <f t="shared" ca="1" si="173"/>
        <v/>
      </c>
      <c r="T292" s="616" t="str">
        <f t="shared" ca="1" si="173"/>
        <v/>
      </c>
      <c r="U292" s="616" t="str">
        <f t="shared" ca="1" si="173"/>
        <v/>
      </c>
      <c r="V292" s="616" t="str">
        <f t="shared" ca="1" si="173"/>
        <v/>
      </c>
      <c r="W292" s="616" t="str">
        <f t="shared" ca="1" si="173"/>
        <v/>
      </c>
      <c r="X292" s="616" t="str">
        <f t="shared" ca="1" si="173"/>
        <v/>
      </c>
      <c r="Y292" s="616" t="str">
        <f t="shared" ca="1" si="173"/>
        <v/>
      </c>
      <c r="Z292" s="616" t="str">
        <f t="shared" ca="1" si="173"/>
        <v/>
      </c>
      <c r="AA292" s="616" t="str">
        <f t="shared" ca="1" si="173"/>
        <v/>
      </c>
      <c r="AB292" s="616" t="str">
        <f t="shared" ca="1" si="173"/>
        <v/>
      </c>
      <c r="AC292" s="616" t="str">
        <f t="shared" ca="1" si="173"/>
        <v/>
      </c>
      <c r="AD292" s="616" t="str">
        <f t="shared" ca="1" si="173"/>
        <v/>
      </c>
      <c r="AE292" s="616" t="str">
        <f t="shared" ca="1" si="173"/>
        <v/>
      </c>
      <c r="AF292" s="616" t="str">
        <f t="shared" ca="1" si="173"/>
        <v/>
      </c>
      <c r="AG292" s="616" t="str">
        <f t="shared" ca="1" si="173"/>
        <v/>
      </c>
      <c r="AH292" s="616" t="str">
        <f t="shared" ca="1" si="173"/>
        <v/>
      </c>
      <c r="AI292" s="616" t="str">
        <f t="shared" ca="1" si="173"/>
        <v/>
      </c>
      <c r="AJ292" s="616" t="str">
        <f t="shared" ca="1" si="173"/>
        <v/>
      </c>
      <c r="AK292" s="616" t="str">
        <f t="shared" ref="AK292:BB292" ca="1" si="174">IFERROR(OFFSET(A1_集計2025,$D292,AK289),"")</f>
        <v/>
      </c>
      <c r="AL292" s="616" t="str">
        <f t="shared" ca="1" si="174"/>
        <v/>
      </c>
      <c r="AM292" s="616" t="str">
        <f t="shared" ca="1" si="174"/>
        <v/>
      </c>
      <c r="AN292" s="616" t="str">
        <f t="shared" ca="1" si="174"/>
        <v/>
      </c>
      <c r="AO292" s="616" t="str">
        <f t="shared" ca="1" si="174"/>
        <v/>
      </c>
      <c r="AP292" s="616" t="str">
        <f t="shared" ca="1" si="174"/>
        <v/>
      </c>
      <c r="AQ292" s="616" t="str">
        <f t="shared" ca="1" si="174"/>
        <v/>
      </c>
      <c r="AR292" s="616" t="str">
        <f t="shared" ca="1" si="174"/>
        <v/>
      </c>
      <c r="AS292" s="616" t="str">
        <f t="shared" ca="1" si="174"/>
        <v/>
      </c>
      <c r="AT292" s="616" t="str">
        <f t="shared" ca="1" si="174"/>
        <v/>
      </c>
      <c r="AU292" s="616" t="str">
        <f t="shared" ca="1" si="174"/>
        <v/>
      </c>
      <c r="AV292" s="616" t="str">
        <f t="shared" ca="1" si="174"/>
        <v/>
      </c>
      <c r="AW292" s="616" t="str">
        <f t="shared" ca="1" si="174"/>
        <v/>
      </c>
      <c r="AX292" s="616" t="str">
        <f t="shared" ca="1" si="174"/>
        <v/>
      </c>
      <c r="AY292" s="616" t="str">
        <f t="shared" ca="1" si="174"/>
        <v/>
      </c>
      <c r="AZ292" s="616" t="str">
        <f t="shared" ca="1" si="174"/>
        <v/>
      </c>
      <c r="BA292" s="587" t="str">
        <f t="shared" ca="1" si="174"/>
        <v/>
      </c>
      <c r="BB292" s="653" t="str">
        <f t="shared" ca="1" si="174"/>
        <v/>
      </c>
      <c r="IE292" s="579"/>
      <c r="IF292" s="579"/>
      <c r="IG292" s="579"/>
      <c r="IH292" s="579"/>
    </row>
    <row r="293" spans="1:242" s="164" customFormat="1" ht="20.100000000000001" hidden="1" customHeight="1">
      <c r="A293" s="569">
        <v>47</v>
      </c>
      <c r="B293" s="1052"/>
      <c r="C293" s="614" t="s">
        <v>680</v>
      </c>
      <c r="D293" s="615">
        <v>101</v>
      </c>
      <c r="E293" s="737" t="str">
        <f t="shared" ref="E293:AJ293" ca="1" si="175">IFERROR(OFFSET(貼付け_2025実績,$D293,E289),"")</f>
        <v/>
      </c>
      <c r="F293" s="616" t="str">
        <f t="shared" ca="1" si="175"/>
        <v/>
      </c>
      <c r="G293" s="616" t="str">
        <f t="shared" ca="1" si="175"/>
        <v/>
      </c>
      <c r="H293" s="616" t="str">
        <f t="shared" ca="1" si="175"/>
        <v/>
      </c>
      <c r="I293" s="616" t="str">
        <f t="shared" ca="1" si="175"/>
        <v/>
      </c>
      <c r="J293" s="616" t="str">
        <f t="shared" ca="1" si="175"/>
        <v/>
      </c>
      <c r="K293" s="616" t="str">
        <f t="shared" ca="1" si="175"/>
        <v/>
      </c>
      <c r="L293" s="616" t="str">
        <f t="shared" ca="1" si="175"/>
        <v/>
      </c>
      <c r="M293" s="616" t="str">
        <f t="shared" ca="1" si="175"/>
        <v/>
      </c>
      <c r="N293" s="616" t="str">
        <f t="shared" ca="1" si="175"/>
        <v/>
      </c>
      <c r="O293" s="616" t="str">
        <f ca="1">IFERROR(OFFSET(貼付け_2025実績,$D293,O289),"")</f>
        <v/>
      </c>
      <c r="P293" s="616" t="str">
        <f t="shared" ca="1" si="175"/>
        <v/>
      </c>
      <c r="Q293" s="616" t="str">
        <f t="shared" ca="1" si="175"/>
        <v/>
      </c>
      <c r="R293" s="616" t="str">
        <f t="shared" ca="1" si="175"/>
        <v/>
      </c>
      <c r="S293" s="616" t="str">
        <f t="shared" ca="1" si="175"/>
        <v/>
      </c>
      <c r="T293" s="616" t="str">
        <f t="shared" ca="1" si="175"/>
        <v/>
      </c>
      <c r="U293" s="616" t="str">
        <f t="shared" ca="1" si="175"/>
        <v/>
      </c>
      <c r="V293" s="616" t="str">
        <f t="shared" ca="1" si="175"/>
        <v/>
      </c>
      <c r="W293" s="616" t="str">
        <f t="shared" ca="1" si="175"/>
        <v/>
      </c>
      <c r="X293" s="616" t="str">
        <f t="shared" ca="1" si="175"/>
        <v/>
      </c>
      <c r="Y293" s="616" t="str">
        <f t="shared" ca="1" si="175"/>
        <v/>
      </c>
      <c r="Z293" s="616" t="str">
        <f t="shared" ca="1" si="175"/>
        <v/>
      </c>
      <c r="AA293" s="616" t="str">
        <f t="shared" ca="1" si="175"/>
        <v/>
      </c>
      <c r="AB293" s="616" t="str">
        <f t="shared" ca="1" si="175"/>
        <v/>
      </c>
      <c r="AC293" s="616" t="str">
        <f t="shared" ca="1" si="175"/>
        <v/>
      </c>
      <c r="AD293" s="616" t="str">
        <f t="shared" ca="1" si="175"/>
        <v/>
      </c>
      <c r="AE293" s="616" t="str">
        <f t="shared" ca="1" si="175"/>
        <v/>
      </c>
      <c r="AF293" s="616" t="str">
        <f t="shared" ca="1" si="175"/>
        <v/>
      </c>
      <c r="AG293" s="616" t="str">
        <f t="shared" ca="1" si="175"/>
        <v/>
      </c>
      <c r="AH293" s="616" t="str">
        <f t="shared" ca="1" si="175"/>
        <v/>
      </c>
      <c r="AI293" s="616" t="str">
        <f t="shared" ca="1" si="175"/>
        <v/>
      </c>
      <c r="AJ293" s="616" t="str">
        <f t="shared" ca="1" si="175"/>
        <v/>
      </c>
      <c r="AK293" s="616" t="str">
        <f t="shared" ref="AK293:BB293" ca="1" si="176">IFERROR(OFFSET(貼付け_2025実績,$D293,AK289),"")</f>
        <v/>
      </c>
      <c r="AL293" s="616" t="str">
        <f t="shared" ca="1" si="176"/>
        <v/>
      </c>
      <c r="AM293" s="616" t="str">
        <f t="shared" ca="1" si="176"/>
        <v/>
      </c>
      <c r="AN293" s="616" t="str">
        <f t="shared" ca="1" si="176"/>
        <v/>
      </c>
      <c r="AO293" s="616" t="str">
        <f t="shared" ca="1" si="176"/>
        <v/>
      </c>
      <c r="AP293" s="616" t="str">
        <f t="shared" ca="1" si="176"/>
        <v/>
      </c>
      <c r="AQ293" s="616" t="str">
        <f t="shared" ca="1" si="176"/>
        <v/>
      </c>
      <c r="AR293" s="616" t="str">
        <f t="shared" ca="1" si="176"/>
        <v/>
      </c>
      <c r="AS293" s="616" t="str">
        <f t="shared" ca="1" si="176"/>
        <v/>
      </c>
      <c r="AT293" s="616" t="str">
        <f t="shared" ca="1" si="176"/>
        <v/>
      </c>
      <c r="AU293" s="616" t="str">
        <f t="shared" ca="1" si="176"/>
        <v/>
      </c>
      <c r="AV293" s="616" t="str">
        <f t="shared" ca="1" si="176"/>
        <v/>
      </c>
      <c r="AW293" s="616" t="str">
        <f t="shared" ca="1" si="176"/>
        <v/>
      </c>
      <c r="AX293" s="616" t="str">
        <f t="shared" ca="1" si="176"/>
        <v/>
      </c>
      <c r="AY293" s="616" t="str">
        <f t="shared" ca="1" si="176"/>
        <v/>
      </c>
      <c r="AZ293" s="616" t="str">
        <f t="shared" ca="1" si="176"/>
        <v/>
      </c>
      <c r="BA293" s="587" t="str">
        <f t="shared" ca="1" si="176"/>
        <v/>
      </c>
      <c r="BB293" s="653" t="str">
        <f t="shared" ca="1" si="176"/>
        <v/>
      </c>
      <c r="IE293" s="579"/>
      <c r="IF293" s="579"/>
      <c r="IG293" s="579"/>
      <c r="IH293" s="579"/>
    </row>
    <row r="294" spans="1:242" s="164" customFormat="1" ht="20.100000000000001" hidden="1" customHeight="1">
      <c r="A294" s="569">
        <v>48</v>
      </c>
      <c r="B294" s="1052"/>
      <c r="C294" s="614" t="s">
        <v>681</v>
      </c>
      <c r="D294" s="615" t="str">
        <f ca="1">IFERROR(OFFSET(A1_集計2025,6,#REF!+2),"")</f>
        <v/>
      </c>
      <c r="E294" s="737" t="str">
        <f ca="1">IFERROR(E292/E293,"")</f>
        <v/>
      </c>
      <c r="F294" s="616" t="str">
        <f t="shared" ref="F294:BB294" ca="1" si="177">IFERROR(F292/F293,"")</f>
        <v/>
      </c>
      <c r="G294" s="616" t="str">
        <f t="shared" ca="1" si="177"/>
        <v/>
      </c>
      <c r="H294" s="616" t="str">
        <f t="shared" ca="1" si="177"/>
        <v/>
      </c>
      <c r="I294" s="616" t="str">
        <f t="shared" ca="1" si="177"/>
        <v/>
      </c>
      <c r="J294" s="616" t="str">
        <f t="shared" ca="1" si="177"/>
        <v/>
      </c>
      <c r="K294" s="616" t="str">
        <f t="shared" ca="1" si="177"/>
        <v/>
      </c>
      <c r="L294" s="616" t="str">
        <f t="shared" ca="1" si="177"/>
        <v/>
      </c>
      <c r="M294" s="616" t="str">
        <f t="shared" ca="1" si="177"/>
        <v/>
      </c>
      <c r="N294" s="616" t="str">
        <f t="shared" ca="1" si="177"/>
        <v/>
      </c>
      <c r="O294" s="616" t="str">
        <f t="shared" ca="1" si="177"/>
        <v/>
      </c>
      <c r="P294" s="616" t="str">
        <f t="shared" ca="1" si="177"/>
        <v/>
      </c>
      <c r="Q294" s="616" t="str">
        <f t="shared" ca="1" si="177"/>
        <v/>
      </c>
      <c r="R294" s="616" t="str">
        <f t="shared" ca="1" si="177"/>
        <v/>
      </c>
      <c r="S294" s="616" t="str">
        <f t="shared" ca="1" si="177"/>
        <v/>
      </c>
      <c r="T294" s="616" t="str">
        <f t="shared" ca="1" si="177"/>
        <v/>
      </c>
      <c r="U294" s="616" t="str">
        <f t="shared" ca="1" si="177"/>
        <v/>
      </c>
      <c r="V294" s="616" t="str">
        <f t="shared" ca="1" si="177"/>
        <v/>
      </c>
      <c r="W294" s="616" t="str">
        <f t="shared" ca="1" si="177"/>
        <v/>
      </c>
      <c r="X294" s="616" t="str">
        <f t="shared" ca="1" si="177"/>
        <v/>
      </c>
      <c r="Y294" s="616" t="str">
        <f t="shared" ca="1" si="177"/>
        <v/>
      </c>
      <c r="Z294" s="616" t="str">
        <f t="shared" ca="1" si="177"/>
        <v/>
      </c>
      <c r="AA294" s="616" t="str">
        <f t="shared" ca="1" si="177"/>
        <v/>
      </c>
      <c r="AB294" s="616" t="str">
        <f t="shared" ca="1" si="177"/>
        <v/>
      </c>
      <c r="AC294" s="616" t="str">
        <f t="shared" ca="1" si="177"/>
        <v/>
      </c>
      <c r="AD294" s="616" t="str">
        <f t="shared" ca="1" si="177"/>
        <v/>
      </c>
      <c r="AE294" s="616" t="str">
        <f t="shared" ca="1" si="177"/>
        <v/>
      </c>
      <c r="AF294" s="616" t="str">
        <f t="shared" ca="1" si="177"/>
        <v/>
      </c>
      <c r="AG294" s="616" t="str">
        <f t="shared" ca="1" si="177"/>
        <v/>
      </c>
      <c r="AH294" s="616" t="str">
        <f t="shared" ca="1" si="177"/>
        <v/>
      </c>
      <c r="AI294" s="616" t="str">
        <f t="shared" ca="1" si="177"/>
        <v/>
      </c>
      <c r="AJ294" s="616" t="str">
        <f t="shared" ca="1" si="177"/>
        <v/>
      </c>
      <c r="AK294" s="616" t="str">
        <f t="shared" ca="1" si="177"/>
        <v/>
      </c>
      <c r="AL294" s="616" t="str">
        <f t="shared" ca="1" si="177"/>
        <v/>
      </c>
      <c r="AM294" s="616" t="str">
        <f t="shared" ca="1" si="177"/>
        <v/>
      </c>
      <c r="AN294" s="616" t="str">
        <f t="shared" ca="1" si="177"/>
        <v/>
      </c>
      <c r="AO294" s="616" t="str">
        <f t="shared" ca="1" si="177"/>
        <v/>
      </c>
      <c r="AP294" s="616" t="str">
        <f t="shared" ca="1" si="177"/>
        <v/>
      </c>
      <c r="AQ294" s="616" t="str">
        <f t="shared" ca="1" si="177"/>
        <v/>
      </c>
      <c r="AR294" s="616" t="str">
        <f t="shared" ca="1" si="177"/>
        <v/>
      </c>
      <c r="AS294" s="616" t="str">
        <f t="shared" ca="1" si="177"/>
        <v/>
      </c>
      <c r="AT294" s="616" t="str">
        <f t="shared" ca="1" si="177"/>
        <v/>
      </c>
      <c r="AU294" s="616" t="str">
        <f t="shared" ca="1" si="177"/>
        <v/>
      </c>
      <c r="AV294" s="616" t="str">
        <f t="shared" ca="1" si="177"/>
        <v/>
      </c>
      <c r="AW294" s="616" t="str">
        <f t="shared" ca="1" si="177"/>
        <v/>
      </c>
      <c r="AX294" s="616" t="str">
        <f t="shared" ca="1" si="177"/>
        <v/>
      </c>
      <c r="AY294" s="616" t="str">
        <f t="shared" ca="1" si="177"/>
        <v/>
      </c>
      <c r="AZ294" s="616" t="str">
        <f t="shared" ca="1" si="177"/>
        <v/>
      </c>
      <c r="BA294" s="587" t="str">
        <f t="shared" ca="1" si="177"/>
        <v/>
      </c>
      <c r="BB294" s="653" t="str">
        <f t="shared" ca="1" si="177"/>
        <v/>
      </c>
      <c r="IE294" s="579"/>
      <c r="IF294" s="579"/>
      <c r="IG294" s="579"/>
      <c r="IH294" s="579"/>
    </row>
    <row r="295" spans="1:242" ht="20.399999999999999" hidden="1" thickBot="1">
      <c r="A295" s="569">
        <v>49</v>
      </c>
      <c r="B295" s="1053"/>
      <c r="C295" s="617" t="s">
        <v>682</v>
      </c>
      <c r="D295" s="618">
        <v>48</v>
      </c>
      <c r="E295" s="738" t="str">
        <f t="shared" ref="E295:AJ295" ca="1" si="178">IFERROR(1-(E294/OFFSET(A1_原単位2024,$D295,E$247+2)),"")</f>
        <v/>
      </c>
      <c r="F295" s="619" t="str">
        <f t="shared" ca="1" si="178"/>
        <v/>
      </c>
      <c r="G295" s="619" t="str">
        <f t="shared" ca="1" si="178"/>
        <v/>
      </c>
      <c r="H295" s="619" t="str">
        <f t="shared" ca="1" si="178"/>
        <v/>
      </c>
      <c r="I295" s="619" t="str">
        <f t="shared" ca="1" si="178"/>
        <v/>
      </c>
      <c r="J295" s="619" t="str">
        <f t="shared" ca="1" si="178"/>
        <v/>
      </c>
      <c r="K295" s="619" t="str">
        <f t="shared" ca="1" si="178"/>
        <v/>
      </c>
      <c r="L295" s="619" t="str">
        <f t="shared" ca="1" si="178"/>
        <v/>
      </c>
      <c r="M295" s="619" t="str">
        <f t="shared" ca="1" si="178"/>
        <v/>
      </c>
      <c r="N295" s="619" t="str">
        <f t="shared" ca="1" si="178"/>
        <v/>
      </c>
      <c r="O295" s="619" t="str">
        <f t="shared" ca="1" si="178"/>
        <v/>
      </c>
      <c r="P295" s="619" t="str">
        <f t="shared" ca="1" si="178"/>
        <v/>
      </c>
      <c r="Q295" s="619" t="str">
        <f t="shared" ca="1" si="178"/>
        <v/>
      </c>
      <c r="R295" s="619" t="str">
        <f t="shared" ca="1" si="178"/>
        <v/>
      </c>
      <c r="S295" s="619" t="str">
        <f t="shared" ca="1" si="178"/>
        <v/>
      </c>
      <c r="T295" s="619" t="str">
        <f t="shared" ca="1" si="178"/>
        <v/>
      </c>
      <c r="U295" s="619" t="str">
        <f t="shared" ca="1" si="178"/>
        <v/>
      </c>
      <c r="V295" s="619" t="str">
        <f t="shared" ca="1" si="178"/>
        <v/>
      </c>
      <c r="W295" s="619" t="str">
        <f t="shared" ca="1" si="178"/>
        <v/>
      </c>
      <c r="X295" s="619" t="str">
        <f t="shared" ca="1" si="178"/>
        <v/>
      </c>
      <c r="Y295" s="619" t="str">
        <f t="shared" ca="1" si="178"/>
        <v/>
      </c>
      <c r="Z295" s="619" t="str">
        <f t="shared" ca="1" si="178"/>
        <v/>
      </c>
      <c r="AA295" s="619" t="str">
        <f t="shared" ca="1" si="178"/>
        <v/>
      </c>
      <c r="AB295" s="619" t="str">
        <f t="shared" ca="1" si="178"/>
        <v/>
      </c>
      <c r="AC295" s="619" t="str">
        <f t="shared" ca="1" si="178"/>
        <v/>
      </c>
      <c r="AD295" s="619" t="str">
        <f t="shared" ca="1" si="178"/>
        <v/>
      </c>
      <c r="AE295" s="619" t="str">
        <f t="shared" ca="1" si="178"/>
        <v/>
      </c>
      <c r="AF295" s="619" t="str">
        <f t="shared" ca="1" si="178"/>
        <v/>
      </c>
      <c r="AG295" s="619" t="str">
        <f t="shared" ca="1" si="178"/>
        <v/>
      </c>
      <c r="AH295" s="619" t="str">
        <f t="shared" ca="1" si="178"/>
        <v/>
      </c>
      <c r="AI295" s="619" t="str">
        <f t="shared" ca="1" si="178"/>
        <v/>
      </c>
      <c r="AJ295" s="619" t="str">
        <f t="shared" ca="1" si="178"/>
        <v/>
      </c>
      <c r="AK295" s="619" t="str">
        <f t="shared" ref="AK295:BB295" ca="1" si="179">IFERROR(1-(AK294/OFFSET(A1_原単位2024,$D295,AK$247+2)),"")</f>
        <v/>
      </c>
      <c r="AL295" s="619" t="str">
        <f t="shared" ca="1" si="179"/>
        <v/>
      </c>
      <c r="AM295" s="619" t="str">
        <f t="shared" ca="1" si="179"/>
        <v/>
      </c>
      <c r="AN295" s="619" t="str">
        <f t="shared" ca="1" si="179"/>
        <v/>
      </c>
      <c r="AO295" s="619" t="str">
        <f t="shared" ca="1" si="179"/>
        <v/>
      </c>
      <c r="AP295" s="619" t="str">
        <f t="shared" ca="1" si="179"/>
        <v/>
      </c>
      <c r="AQ295" s="619" t="str">
        <f t="shared" ca="1" si="179"/>
        <v/>
      </c>
      <c r="AR295" s="619" t="str">
        <f t="shared" ca="1" si="179"/>
        <v/>
      </c>
      <c r="AS295" s="619" t="str">
        <f t="shared" ca="1" si="179"/>
        <v/>
      </c>
      <c r="AT295" s="619" t="str">
        <f t="shared" ca="1" si="179"/>
        <v/>
      </c>
      <c r="AU295" s="619" t="str">
        <f t="shared" ca="1" si="179"/>
        <v/>
      </c>
      <c r="AV295" s="619" t="str">
        <f t="shared" ca="1" si="179"/>
        <v/>
      </c>
      <c r="AW295" s="619" t="str">
        <f t="shared" ca="1" si="179"/>
        <v/>
      </c>
      <c r="AX295" s="619" t="str">
        <f t="shared" ca="1" si="179"/>
        <v/>
      </c>
      <c r="AY295" s="619" t="str">
        <f t="shared" ca="1" si="179"/>
        <v/>
      </c>
      <c r="AZ295" s="619" t="str">
        <f t="shared" ca="1" si="179"/>
        <v/>
      </c>
      <c r="BA295" s="619" t="str">
        <f t="shared" ca="1" si="179"/>
        <v/>
      </c>
      <c r="BB295" s="739" t="str">
        <f t="shared" ca="1" si="179"/>
        <v/>
      </c>
      <c r="BC295" s="164"/>
      <c r="BD295" s="164"/>
      <c r="BE295" s="164"/>
      <c r="BF295" s="164"/>
      <c r="BG295" s="164"/>
      <c r="BH295" s="164"/>
      <c r="BI295" s="164"/>
      <c r="BJ295" s="164"/>
      <c r="BK295" s="164"/>
      <c r="BL295" s="164"/>
      <c r="BM295" s="164"/>
      <c r="BN295" s="164"/>
      <c r="BO295" s="164"/>
      <c r="BP295" s="164"/>
      <c r="BQ295" s="164"/>
      <c r="BR295" s="164"/>
      <c r="BS295" s="164"/>
      <c r="BT295" s="164"/>
      <c r="BU295" s="164"/>
      <c r="BV295" s="164"/>
      <c r="BW295" s="164"/>
      <c r="BX295" s="164"/>
      <c r="BY295" s="164"/>
      <c r="BZ295" s="164"/>
      <c r="CA295" s="164"/>
      <c r="CB295" s="164"/>
      <c r="CC295" s="164"/>
      <c r="CD295" s="164"/>
      <c r="CE295" s="164"/>
      <c r="CF295" s="164"/>
      <c r="CG295" s="164"/>
      <c r="CH295" s="164"/>
      <c r="CI295" s="164"/>
      <c r="CJ295" s="164"/>
      <c r="CK295" s="164"/>
      <c r="CL295" s="164"/>
      <c r="CM295" s="164"/>
      <c r="CN295" s="164"/>
      <c r="CO295" s="164"/>
      <c r="CP295" s="164"/>
      <c r="CQ295" s="164"/>
      <c r="CR295" s="164"/>
      <c r="CS295" s="164"/>
      <c r="CT295" s="164"/>
      <c r="CU295" s="164"/>
      <c r="CV295" s="164"/>
      <c r="CW295" s="164"/>
      <c r="CX295" s="164"/>
      <c r="CY295" s="164"/>
      <c r="CZ295" s="164"/>
      <c r="DA295" s="164"/>
      <c r="DB295" s="164"/>
      <c r="DC295" s="164"/>
      <c r="DD295" s="164"/>
      <c r="DE295" s="164"/>
      <c r="DF295" s="164"/>
      <c r="DG295" s="164"/>
      <c r="DH295" s="164"/>
      <c r="DI295" s="164"/>
      <c r="DJ295" s="164"/>
      <c r="DK295" s="164"/>
      <c r="DL295" s="164"/>
      <c r="DM295" s="164"/>
      <c r="DN295" s="164"/>
      <c r="DO295" s="164"/>
      <c r="DP295" s="164"/>
      <c r="DQ295" s="164"/>
      <c r="DR295" s="164"/>
      <c r="DS295" s="164"/>
      <c r="DT295" s="164"/>
      <c r="DU295" s="164"/>
      <c r="DV295" s="164"/>
      <c r="DW295" s="164"/>
      <c r="DX295" s="164"/>
      <c r="DY295" s="164"/>
      <c r="DZ295" s="164"/>
      <c r="EA295" s="164"/>
      <c r="EB295" s="164"/>
      <c r="EC295" s="164"/>
      <c r="ED295" s="164"/>
      <c r="EE295" s="164"/>
      <c r="EF295" s="164"/>
      <c r="EG295" s="164"/>
      <c r="EH295" s="164"/>
      <c r="EI295" s="164"/>
      <c r="EJ295" s="164"/>
      <c r="EK295" s="164"/>
      <c r="EL295" s="164"/>
      <c r="EM295" s="164"/>
      <c r="EN295" s="164"/>
      <c r="EO295" s="164"/>
      <c r="EP295" s="164"/>
      <c r="EQ295" s="164"/>
      <c r="ER295" s="164"/>
      <c r="ES295" s="164"/>
      <c r="ET295" s="164"/>
      <c r="EU295" s="164"/>
      <c r="EV295" s="164"/>
      <c r="EW295" s="164"/>
      <c r="EX295" s="164"/>
      <c r="EY295" s="164"/>
      <c r="EZ295" s="164"/>
      <c r="FA295" s="164"/>
      <c r="FB295" s="164"/>
      <c r="FC295" s="164"/>
      <c r="FD295" s="164"/>
      <c r="FE295" s="164"/>
      <c r="FF295" s="164"/>
      <c r="FG295" s="164"/>
      <c r="FH295" s="164"/>
      <c r="FI295" s="164"/>
      <c r="FJ295" s="164"/>
      <c r="FK295" s="164"/>
      <c r="FL295" s="164"/>
      <c r="FM295" s="164"/>
      <c r="FN295" s="164"/>
      <c r="FO295" s="164"/>
      <c r="FP295" s="164"/>
      <c r="FQ295" s="164"/>
      <c r="FR295" s="164"/>
      <c r="FS295" s="164"/>
      <c r="FT295" s="164"/>
      <c r="FU295" s="164"/>
      <c r="FV295" s="164"/>
      <c r="FW295" s="164"/>
      <c r="FX295" s="164"/>
      <c r="FY295" s="164"/>
      <c r="FZ295" s="164"/>
      <c r="GA295" s="164"/>
      <c r="GB295" s="164"/>
      <c r="GC295" s="164"/>
      <c r="GD295" s="164"/>
      <c r="GE295" s="164"/>
      <c r="GF295" s="164"/>
      <c r="GG295" s="164"/>
      <c r="GH295" s="164"/>
      <c r="GI295" s="164"/>
      <c r="GJ295" s="164"/>
      <c r="GK295" s="164"/>
      <c r="GL295" s="164"/>
      <c r="GM295" s="164"/>
      <c r="GN295" s="164"/>
      <c r="GO295" s="164"/>
      <c r="GP295" s="164"/>
      <c r="GQ295" s="164"/>
      <c r="GR295" s="164"/>
      <c r="GS295" s="164"/>
      <c r="GT295" s="164"/>
      <c r="GU295" s="164"/>
      <c r="GV295" s="164"/>
      <c r="GW295" s="164"/>
      <c r="GX295" s="164"/>
      <c r="GY295" s="164"/>
      <c r="GZ295" s="164"/>
      <c r="HA295" s="164"/>
      <c r="HB295" s="164"/>
      <c r="HC295" s="164"/>
      <c r="HD295" s="164"/>
      <c r="HE295" s="164"/>
      <c r="HF295" s="164"/>
      <c r="HG295" s="164"/>
      <c r="HH295" s="164"/>
      <c r="HI295" s="164"/>
      <c r="HJ295" s="164"/>
      <c r="HK295" s="164"/>
    </row>
    <row r="296" spans="1:242" ht="13.5" hidden="1" customHeight="1">
      <c r="A296" s="569">
        <v>50</v>
      </c>
      <c r="B296" s="621" t="s">
        <v>685</v>
      </c>
      <c r="C296" s="1054" t="s">
        <v>703</v>
      </c>
      <c r="D296" s="1055"/>
      <c r="E296" s="622" t="str">
        <f ca="1">IFERROR((SUMPRODUCT(E283:BB283,E280:BB280)+SUMPRODUCT(E295:BB295,E292:BB292))/SUM(E280:BB280,E292:BB292)*100,"")</f>
        <v/>
      </c>
      <c r="F296" s="1058" t="s">
        <v>687</v>
      </c>
      <c r="G296" s="622" t="str">
        <f ca="1">IF(ROUND(SUMPRODUCT(1/COUNTIF(E302:BB303,E302:BB303)),0)-1&lt;&gt;1,"-",IFERROR(INDEX(E302:BB302,MATCH(TRUE,INDEX(E302:BB302&lt;&gt;"",),0)),INDEX(E303:BB303,MATCH(TRUE,INDEX(E303:BB303&lt;&gt;"",),0))))</f>
        <v>-</v>
      </c>
      <c r="H296" s="1058" t="s">
        <v>688</v>
      </c>
      <c r="I296" s="622" t="str">
        <f ca="1">IF(G296="-","-",OFFSET(貼付け_2024実績,100,IFERROR(INDEX(E277:BB277,MATCH(G296,E279:BB279,0)),INDEX(E289:BB289,MATCH(G296,E291:BB291,0)))))</f>
        <v>-</v>
      </c>
      <c r="J296" s="1058" t="s">
        <v>689</v>
      </c>
      <c r="K296" s="622" t="str">
        <f ca="1">IF(G296="-","-",SUM(E281:BB281,E293:BB293))</f>
        <v>-</v>
      </c>
      <c r="L296" s="740" t="s">
        <v>1529</v>
      </c>
      <c r="M296" s="741" t="str">
        <f ca="1">IFERROR((SUMPRODUCT(E283:BB283,E280:BB280)+SUMPRODUCT(E295:BB295,E292:BB292)+(SUMPRODUCT(E271:BB271,E268:BB268)+SUMPRODUCT(E256:BB256,E259:BB259)))/SUM(E280:BB280,E292:BB292,E268:BB268,E256:BB256)*100,"")</f>
        <v/>
      </c>
    </row>
    <row r="297" spans="1:242" ht="19.5" hidden="1" customHeight="1" thickBot="1">
      <c r="A297" s="569">
        <v>51</v>
      </c>
      <c r="B297" s="623" t="s">
        <v>498</v>
      </c>
      <c r="C297" s="1056"/>
      <c r="D297" s="1057"/>
      <c r="E297" s="624" t="str">
        <f ca="1">IFERROR(SUMPRODUCT(E271:BB271,E268:BB268)/SUM(E268:BB268)*100,"")</f>
        <v/>
      </c>
      <c r="F297" s="1059"/>
      <c r="G297" s="625" t="str">
        <f ca="1">IF(SUMPRODUCT(1/COUNTIF(E301:BB301,E301:BB301))-1&lt;&gt;1,"-",INDEX(E301:BB301,MATCH(TRUE,INDEX(E301:BB301&lt;&gt;"",),0)))</f>
        <v>-</v>
      </c>
      <c r="H297" s="1059"/>
      <c r="I297" s="625" t="str">
        <f ca="1">IF(G297="-","-",OFFSET(貼付け_2024実績,100,INDEX(E265:BB265,MATCH(G297,E267:BB267,0))))</f>
        <v>-</v>
      </c>
      <c r="J297" s="1059"/>
      <c r="K297" s="625" t="str">
        <f ca="1">IF(G297="-","-",SUM(E269:BB269))</f>
        <v>-</v>
      </c>
      <c r="L297" s="742" t="s">
        <v>1530</v>
      </c>
      <c r="M297" s="743" t="str">
        <f ca="1">IFERROR((SUMPRODUCT(E271:BB271,E268:BB268)+SUMPRODUCT(E256:BB256,E259:BB259))/SUM(E268:BB268,E256:BB256)*100,"")</f>
        <v/>
      </c>
    </row>
    <row r="298" spans="1:242" ht="18.600000000000001" hidden="1" thickBot="1">
      <c r="A298" s="569">
        <v>52</v>
      </c>
    </row>
    <row r="299" spans="1:242" ht="18.600000000000001" hidden="1" thickBot="1">
      <c r="A299" s="569">
        <v>53</v>
      </c>
      <c r="B299" s="1043" t="s">
        <v>690</v>
      </c>
      <c r="C299" s="1044"/>
      <c r="D299" s="1045"/>
      <c r="E299" s="626" t="str">
        <f t="shared" ref="E299:AJ299" ca="1" si="180">IF(E253="",OFFSET(A1_原単位2024,53,E247+2),IFERROR(OFFSET(貼付け_2025実績,6,E253+1)&amp;"",""))</f>
        <v/>
      </c>
      <c r="F299" s="627" t="str">
        <f t="shared" ca="1" si="180"/>
        <v/>
      </c>
      <c r="G299" s="627" t="str">
        <f t="shared" ca="1" si="180"/>
        <v/>
      </c>
      <c r="H299" s="627" t="str">
        <f t="shared" ca="1" si="180"/>
        <v/>
      </c>
      <c r="I299" s="627" t="str">
        <f t="shared" ca="1" si="180"/>
        <v/>
      </c>
      <c r="J299" s="627" t="str">
        <f t="shared" ca="1" si="180"/>
        <v/>
      </c>
      <c r="K299" s="627" t="str">
        <f t="shared" ca="1" si="180"/>
        <v/>
      </c>
      <c r="L299" s="627" t="str">
        <f t="shared" ca="1" si="180"/>
        <v/>
      </c>
      <c r="M299" s="627" t="str">
        <f t="shared" ca="1" si="180"/>
        <v/>
      </c>
      <c r="N299" s="627" t="str">
        <f t="shared" ca="1" si="180"/>
        <v/>
      </c>
      <c r="O299" s="627" t="str">
        <f t="shared" ca="1" si="180"/>
        <v/>
      </c>
      <c r="P299" s="627" t="str">
        <f t="shared" ca="1" si="180"/>
        <v/>
      </c>
      <c r="Q299" s="627" t="str">
        <f t="shared" ca="1" si="180"/>
        <v/>
      </c>
      <c r="R299" s="627" t="str">
        <f t="shared" ca="1" si="180"/>
        <v/>
      </c>
      <c r="S299" s="627" t="str">
        <f t="shared" ca="1" si="180"/>
        <v/>
      </c>
      <c r="T299" s="627" t="str">
        <f t="shared" ca="1" si="180"/>
        <v/>
      </c>
      <c r="U299" s="627" t="str">
        <f t="shared" ca="1" si="180"/>
        <v/>
      </c>
      <c r="V299" s="627" t="str">
        <f t="shared" ca="1" si="180"/>
        <v/>
      </c>
      <c r="W299" s="627" t="str">
        <f t="shared" ca="1" si="180"/>
        <v/>
      </c>
      <c r="X299" s="627" t="str">
        <f t="shared" ca="1" si="180"/>
        <v/>
      </c>
      <c r="Y299" s="627" t="str">
        <f t="shared" ca="1" si="180"/>
        <v/>
      </c>
      <c r="Z299" s="627" t="str">
        <f t="shared" ca="1" si="180"/>
        <v/>
      </c>
      <c r="AA299" s="627" t="str">
        <f t="shared" ca="1" si="180"/>
        <v/>
      </c>
      <c r="AB299" s="627" t="str">
        <f t="shared" ca="1" si="180"/>
        <v/>
      </c>
      <c r="AC299" s="627" t="str">
        <f t="shared" ca="1" si="180"/>
        <v/>
      </c>
      <c r="AD299" s="627" t="str">
        <f t="shared" ca="1" si="180"/>
        <v/>
      </c>
      <c r="AE299" s="627" t="str">
        <f t="shared" ca="1" si="180"/>
        <v/>
      </c>
      <c r="AF299" s="627" t="str">
        <f t="shared" ca="1" si="180"/>
        <v/>
      </c>
      <c r="AG299" s="627" t="str">
        <f t="shared" ca="1" si="180"/>
        <v/>
      </c>
      <c r="AH299" s="627" t="str">
        <f t="shared" ca="1" si="180"/>
        <v/>
      </c>
      <c r="AI299" s="627" t="str">
        <f t="shared" ca="1" si="180"/>
        <v/>
      </c>
      <c r="AJ299" s="627" t="str">
        <f t="shared" ca="1" si="180"/>
        <v/>
      </c>
      <c r="AK299" s="627" t="str">
        <f t="shared" ref="AK299:BB299" ca="1" si="181">IF(AK253="",OFFSET(A1_原単位2024,53,AK247+2),IFERROR(OFFSET(貼付け_2025実績,6,AK253+1)&amp;"",""))</f>
        <v/>
      </c>
      <c r="AL299" s="627" t="str">
        <f t="shared" ca="1" si="181"/>
        <v/>
      </c>
      <c r="AM299" s="627" t="str">
        <f t="shared" ca="1" si="181"/>
        <v/>
      </c>
      <c r="AN299" s="627" t="str">
        <f t="shared" ca="1" si="181"/>
        <v/>
      </c>
      <c r="AO299" s="627" t="str">
        <f t="shared" ca="1" si="181"/>
        <v/>
      </c>
      <c r="AP299" s="627" t="str">
        <f t="shared" ca="1" si="181"/>
        <v/>
      </c>
      <c r="AQ299" s="627" t="str">
        <f t="shared" ca="1" si="181"/>
        <v/>
      </c>
      <c r="AR299" s="627" t="str">
        <f t="shared" ca="1" si="181"/>
        <v/>
      </c>
      <c r="AS299" s="627" t="str">
        <f t="shared" ca="1" si="181"/>
        <v/>
      </c>
      <c r="AT299" s="627" t="str">
        <f t="shared" ca="1" si="181"/>
        <v/>
      </c>
      <c r="AU299" s="627" t="str">
        <f t="shared" ca="1" si="181"/>
        <v/>
      </c>
      <c r="AV299" s="627" t="str">
        <f t="shared" ca="1" si="181"/>
        <v/>
      </c>
      <c r="AW299" s="627" t="str">
        <f t="shared" ca="1" si="181"/>
        <v/>
      </c>
      <c r="AX299" s="627" t="str">
        <f t="shared" ca="1" si="181"/>
        <v/>
      </c>
      <c r="AY299" s="627" t="str">
        <f t="shared" ca="1" si="181"/>
        <v/>
      </c>
      <c r="AZ299" s="627" t="str">
        <f t="shared" ca="1" si="181"/>
        <v/>
      </c>
      <c r="BA299" s="627" t="str">
        <f t="shared" ca="1" si="181"/>
        <v/>
      </c>
      <c r="BB299" s="628" t="str">
        <f t="shared" ca="1" si="181"/>
        <v/>
      </c>
    </row>
    <row r="300" spans="1:242" hidden="1">
      <c r="A300" s="569">
        <v>54</v>
      </c>
      <c r="B300" s="1060" t="s">
        <v>691</v>
      </c>
      <c r="C300" s="629" t="s">
        <v>497</v>
      </c>
      <c r="D300" s="630"/>
      <c r="E300" s="631" t="str">
        <f ca="1">E255</f>
        <v/>
      </c>
      <c r="F300" s="631" t="str">
        <f t="shared" ref="F300:BB300" ca="1" si="182">F255</f>
        <v/>
      </c>
      <c r="G300" s="631" t="str">
        <f t="shared" ca="1" si="182"/>
        <v/>
      </c>
      <c r="H300" s="631" t="str">
        <f t="shared" ca="1" si="182"/>
        <v/>
      </c>
      <c r="I300" s="631" t="str">
        <f t="shared" ca="1" si="182"/>
        <v/>
      </c>
      <c r="J300" s="631" t="str">
        <f t="shared" ca="1" si="182"/>
        <v/>
      </c>
      <c r="K300" s="631" t="str">
        <f t="shared" ca="1" si="182"/>
        <v/>
      </c>
      <c r="L300" s="631" t="str">
        <f t="shared" ca="1" si="182"/>
        <v/>
      </c>
      <c r="M300" s="631" t="str">
        <f t="shared" ca="1" si="182"/>
        <v/>
      </c>
      <c r="N300" s="631" t="str">
        <f t="shared" ca="1" si="182"/>
        <v/>
      </c>
      <c r="O300" s="631" t="str">
        <f t="shared" ca="1" si="182"/>
        <v/>
      </c>
      <c r="P300" s="631" t="str">
        <f t="shared" ca="1" si="182"/>
        <v/>
      </c>
      <c r="Q300" s="631" t="str">
        <f t="shared" ca="1" si="182"/>
        <v/>
      </c>
      <c r="R300" s="631" t="str">
        <f t="shared" ca="1" si="182"/>
        <v/>
      </c>
      <c r="S300" s="631" t="str">
        <f t="shared" ca="1" si="182"/>
        <v/>
      </c>
      <c r="T300" s="631" t="str">
        <f t="shared" ca="1" si="182"/>
        <v/>
      </c>
      <c r="U300" s="631" t="str">
        <f t="shared" ca="1" si="182"/>
        <v/>
      </c>
      <c r="V300" s="631" t="str">
        <f t="shared" ca="1" si="182"/>
        <v/>
      </c>
      <c r="W300" s="631" t="str">
        <f t="shared" ca="1" si="182"/>
        <v/>
      </c>
      <c r="X300" s="631" t="str">
        <f t="shared" ca="1" si="182"/>
        <v/>
      </c>
      <c r="Y300" s="631" t="str">
        <f t="shared" ca="1" si="182"/>
        <v/>
      </c>
      <c r="Z300" s="631" t="str">
        <f t="shared" ca="1" si="182"/>
        <v/>
      </c>
      <c r="AA300" s="631" t="str">
        <f t="shared" ca="1" si="182"/>
        <v/>
      </c>
      <c r="AB300" s="631" t="str">
        <f t="shared" ca="1" si="182"/>
        <v/>
      </c>
      <c r="AC300" s="631" t="str">
        <f t="shared" ca="1" si="182"/>
        <v/>
      </c>
      <c r="AD300" s="631" t="str">
        <f t="shared" ca="1" si="182"/>
        <v/>
      </c>
      <c r="AE300" s="631" t="str">
        <f t="shared" ca="1" si="182"/>
        <v/>
      </c>
      <c r="AF300" s="631" t="str">
        <f t="shared" ca="1" si="182"/>
        <v/>
      </c>
      <c r="AG300" s="631" t="str">
        <f t="shared" ca="1" si="182"/>
        <v/>
      </c>
      <c r="AH300" s="631" t="str">
        <f t="shared" ca="1" si="182"/>
        <v/>
      </c>
      <c r="AI300" s="631" t="str">
        <f t="shared" ca="1" si="182"/>
        <v/>
      </c>
      <c r="AJ300" s="631" t="str">
        <f t="shared" ca="1" si="182"/>
        <v/>
      </c>
      <c r="AK300" s="631" t="str">
        <f t="shared" ca="1" si="182"/>
        <v/>
      </c>
      <c r="AL300" s="631" t="str">
        <f t="shared" ca="1" si="182"/>
        <v/>
      </c>
      <c r="AM300" s="631" t="str">
        <f t="shared" ca="1" si="182"/>
        <v/>
      </c>
      <c r="AN300" s="631" t="str">
        <f t="shared" ca="1" si="182"/>
        <v/>
      </c>
      <c r="AO300" s="631" t="str">
        <f t="shared" ca="1" si="182"/>
        <v/>
      </c>
      <c r="AP300" s="631" t="str">
        <f t="shared" ca="1" si="182"/>
        <v/>
      </c>
      <c r="AQ300" s="631" t="str">
        <f t="shared" ca="1" si="182"/>
        <v/>
      </c>
      <c r="AR300" s="631" t="str">
        <f t="shared" ca="1" si="182"/>
        <v/>
      </c>
      <c r="AS300" s="631" t="str">
        <f t="shared" ca="1" si="182"/>
        <v/>
      </c>
      <c r="AT300" s="631" t="str">
        <f t="shared" ca="1" si="182"/>
        <v/>
      </c>
      <c r="AU300" s="631" t="str">
        <f t="shared" ca="1" si="182"/>
        <v/>
      </c>
      <c r="AV300" s="631" t="str">
        <f t="shared" ca="1" si="182"/>
        <v/>
      </c>
      <c r="AW300" s="631" t="str">
        <f t="shared" ca="1" si="182"/>
        <v/>
      </c>
      <c r="AX300" s="631" t="str">
        <f t="shared" ca="1" si="182"/>
        <v/>
      </c>
      <c r="AY300" s="631" t="str">
        <f t="shared" ca="1" si="182"/>
        <v/>
      </c>
      <c r="AZ300" s="631" t="str">
        <f t="shared" ca="1" si="182"/>
        <v/>
      </c>
      <c r="BA300" s="631" t="str">
        <f t="shared" ca="1" si="182"/>
        <v/>
      </c>
      <c r="BB300" s="631" t="str">
        <f t="shared" ca="1" si="182"/>
        <v/>
      </c>
    </row>
    <row r="301" spans="1:242" hidden="1">
      <c r="A301" s="569">
        <v>55</v>
      </c>
      <c r="B301" s="1061"/>
      <c r="C301" s="633" t="s">
        <v>498</v>
      </c>
      <c r="D301" s="634"/>
      <c r="E301" s="581" t="str">
        <f ca="1">E267</f>
        <v/>
      </c>
      <c r="F301" s="581" t="str">
        <f t="shared" ref="F301:BB301" ca="1" si="183">F267</f>
        <v/>
      </c>
      <c r="G301" s="581" t="str">
        <f t="shared" ca="1" si="183"/>
        <v/>
      </c>
      <c r="H301" s="581" t="str">
        <f t="shared" ca="1" si="183"/>
        <v/>
      </c>
      <c r="I301" s="581" t="str">
        <f t="shared" ca="1" si="183"/>
        <v/>
      </c>
      <c r="J301" s="581" t="str">
        <f t="shared" ca="1" si="183"/>
        <v/>
      </c>
      <c r="K301" s="581" t="str">
        <f t="shared" ca="1" si="183"/>
        <v/>
      </c>
      <c r="L301" s="581" t="str">
        <f t="shared" ca="1" si="183"/>
        <v/>
      </c>
      <c r="M301" s="581" t="str">
        <f t="shared" ca="1" si="183"/>
        <v/>
      </c>
      <c r="N301" s="581" t="str">
        <f t="shared" ca="1" si="183"/>
        <v/>
      </c>
      <c r="O301" s="581" t="str">
        <f t="shared" ca="1" si="183"/>
        <v/>
      </c>
      <c r="P301" s="581" t="str">
        <f t="shared" ca="1" si="183"/>
        <v/>
      </c>
      <c r="Q301" s="581" t="str">
        <f t="shared" ca="1" si="183"/>
        <v/>
      </c>
      <c r="R301" s="581" t="str">
        <f t="shared" ca="1" si="183"/>
        <v/>
      </c>
      <c r="S301" s="581" t="str">
        <f t="shared" ca="1" si="183"/>
        <v/>
      </c>
      <c r="T301" s="581" t="str">
        <f t="shared" ca="1" si="183"/>
        <v/>
      </c>
      <c r="U301" s="581" t="str">
        <f t="shared" ca="1" si="183"/>
        <v/>
      </c>
      <c r="V301" s="581" t="str">
        <f t="shared" ca="1" si="183"/>
        <v/>
      </c>
      <c r="W301" s="581" t="str">
        <f t="shared" ca="1" si="183"/>
        <v/>
      </c>
      <c r="X301" s="581" t="str">
        <f t="shared" ca="1" si="183"/>
        <v/>
      </c>
      <c r="Y301" s="581" t="str">
        <f t="shared" ca="1" si="183"/>
        <v/>
      </c>
      <c r="Z301" s="581" t="str">
        <f t="shared" ca="1" si="183"/>
        <v/>
      </c>
      <c r="AA301" s="581" t="str">
        <f t="shared" ca="1" si="183"/>
        <v/>
      </c>
      <c r="AB301" s="581" t="str">
        <f t="shared" ca="1" si="183"/>
        <v/>
      </c>
      <c r="AC301" s="581" t="str">
        <f t="shared" ca="1" si="183"/>
        <v/>
      </c>
      <c r="AD301" s="581" t="str">
        <f t="shared" ca="1" si="183"/>
        <v/>
      </c>
      <c r="AE301" s="581" t="str">
        <f t="shared" ca="1" si="183"/>
        <v/>
      </c>
      <c r="AF301" s="581" t="str">
        <f t="shared" ca="1" si="183"/>
        <v/>
      </c>
      <c r="AG301" s="581" t="str">
        <f t="shared" ca="1" si="183"/>
        <v/>
      </c>
      <c r="AH301" s="581" t="str">
        <f t="shared" ca="1" si="183"/>
        <v/>
      </c>
      <c r="AI301" s="581" t="str">
        <f t="shared" ca="1" si="183"/>
        <v/>
      </c>
      <c r="AJ301" s="581" t="str">
        <f t="shared" ca="1" si="183"/>
        <v/>
      </c>
      <c r="AK301" s="581" t="str">
        <f t="shared" ca="1" si="183"/>
        <v/>
      </c>
      <c r="AL301" s="581" t="str">
        <f t="shared" ca="1" si="183"/>
        <v/>
      </c>
      <c r="AM301" s="581" t="str">
        <f t="shared" ca="1" si="183"/>
        <v/>
      </c>
      <c r="AN301" s="581" t="str">
        <f t="shared" ca="1" si="183"/>
        <v/>
      </c>
      <c r="AO301" s="581" t="str">
        <f t="shared" ca="1" si="183"/>
        <v/>
      </c>
      <c r="AP301" s="581" t="str">
        <f t="shared" ca="1" si="183"/>
        <v/>
      </c>
      <c r="AQ301" s="581" t="str">
        <f t="shared" ca="1" si="183"/>
        <v/>
      </c>
      <c r="AR301" s="581" t="str">
        <f t="shared" ca="1" si="183"/>
        <v/>
      </c>
      <c r="AS301" s="581" t="str">
        <f t="shared" ca="1" si="183"/>
        <v/>
      </c>
      <c r="AT301" s="581" t="str">
        <f t="shared" ca="1" si="183"/>
        <v/>
      </c>
      <c r="AU301" s="581" t="str">
        <f t="shared" ca="1" si="183"/>
        <v/>
      </c>
      <c r="AV301" s="581" t="str">
        <f t="shared" ca="1" si="183"/>
        <v/>
      </c>
      <c r="AW301" s="581" t="str">
        <f t="shared" ca="1" si="183"/>
        <v/>
      </c>
      <c r="AX301" s="581" t="str">
        <f t="shared" ca="1" si="183"/>
        <v/>
      </c>
      <c r="AY301" s="581" t="str">
        <f t="shared" ca="1" si="183"/>
        <v/>
      </c>
      <c r="AZ301" s="581" t="str">
        <f t="shared" ca="1" si="183"/>
        <v/>
      </c>
      <c r="BA301" s="581" t="str">
        <f t="shared" ca="1" si="183"/>
        <v/>
      </c>
      <c r="BB301" s="581" t="str">
        <f t="shared" ca="1" si="183"/>
        <v/>
      </c>
    </row>
    <row r="302" spans="1:242" hidden="1">
      <c r="A302" s="569">
        <v>56</v>
      </c>
      <c r="B302" s="1061"/>
      <c r="C302" s="633" t="s">
        <v>499</v>
      </c>
      <c r="D302" s="634"/>
      <c r="E302" s="581" t="str">
        <f ca="1">E279</f>
        <v/>
      </c>
      <c r="F302" s="581" t="str">
        <f t="shared" ref="F302:BB302" ca="1" si="184">F279</f>
        <v/>
      </c>
      <c r="G302" s="581" t="str">
        <f t="shared" ca="1" si="184"/>
        <v/>
      </c>
      <c r="H302" s="581" t="str">
        <f t="shared" ca="1" si="184"/>
        <v/>
      </c>
      <c r="I302" s="581" t="str">
        <f t="shared" ca="1" si="184"/>
        <v/>
      </c>
      <c r="J302" s="581" t="str">
        <f t="shared" ca="1" si="184"/>
        <v/>
      </c>
      <c r="K302" s="581" t="str">
        <f t="shared" ca="1" si="184"/>
        <v/>
      </c>
      <c r="L302" s="581" t="str">
        <f t="shared" ca="1" si="184"/>
        <v/>
      </c>
      <c r="M302" s="581" t="str">
        <f t="shared" ca="1" si="184"/>
        <v/>
      </c>
      <c r="N302" s="581" t="str">
        <f t="shared" ca="1" si="184"/>
        <v/>
      </c>
      <c r="O302" s="581" t="str">
        <f t="shared" ca="1" si="184"/>
        <v/>
      </c>
      <c r="P302" s="581" t="str">
        <f t="shared" ca="1" si="184"/>
        <v/>
      </c>
      <c r="Q302" s="581" t="str">
        <f t="shared" ca="1" si="184"/>
        <v/>
      </c>
      <c r="R302" s="581" t="str">
        <f t="shared" ca="1" si="184"/>
        <v/>
      </c>
      <c r="S302" s="581" t="str">
        <f t="shared" ca="1" si="184"/>
        <v/>
      </c>
      <c r="T302" s="581" t="str">
        <f t="shared" ca="1" si="184"/>
        <v/>
      </c>
      <c r="U302" s="581" t="str">
        <f t="shared" ca="1" si="184"/>
        <v/>
      </c>
      <c r="V302" s="581" t="str">
        <f t="shared" ca="1" si="184"/>
        <v/>
      </c>
      <c r="W302" s="581" t="str">
        <f t="shared" ca="1" si="184"/>
        <v/>
      </c>
      <c r="X302" s="581" t="str">
        <f t="shared" ca="1" si="184"/>
        <v/>
      </c>
      <c r="Y302" s="581" t="str">
        <f t="shared" ca="1" si="184"/>
        <v/>
      </c>
      <c r="Z302" s="581" t="str">
        <f t="shared" ca="1" si="184"/>
        <v/>
      </c>
      <c r="AA302" s="581" t="str">
        <f t="shared" ca="1" si="184"/>
        <v/>
      </c>
      <c r="AB302" s="581" t="str">
        <f t="shared" ca="1" si="184"/>
        <v/>
      </c>
      <c r="AC302" s="581" t="str">
        <f t="shared" ca="1" si="184"/>
        <v/>
      </c>
      <c r="AD302" s="581" t="str">
        <f t="shared" ca="1" si="184"/>
        <v/>
      </c>
      <c r="AE302" s="581" t="str">
        <f t="shared" ca="1" si="184"/>
        <v/>
      </c>
      <c r="AF302" s="581" t="str">
        <f t="shared" ca="1" si="184"/>
        <v/>
      </c>
      <c r="AG302" s="581" t="str">
        <f t="shared" ca="1" si="184"/>
        <v/>
      </c>
      <c r="AH302" s="581" t="str">
        <f t="shared" ca="1" si="184"/>
        <v/>
      </c>
      <c r="AI302" s="581" t="str">
        <f t="shared" ca="1" si="184"/>
        <v/>
      </c>
      <c r="AJ302" s="581" t="str">
        <f t="shared" ca="1" si="184"/>
        <v/>
      </c>
      <c r="AK302" s="581" t="str">
        <f t="shared" ca="1" si="184"/>
        <v/>
      </c>
      <c r="AL302" s="581" t="str">
        <f t="shared" ca="1" si="184"/>
        <v/>
      </c>
      <c r="AM302" s="581" t="str">
        <f t="shared" ca="1" si="184"/>
        <v/>
      </c>
      <c r="AN302" s="581" t="str">
        <f t="shared" ca="1" si="184"/>
        <v/>
      </c>
      <c r="AO302" s="581" t="str">
        <f t="shared" ca="1" si="184"/>
        <v/>
      </c>
      <c r="AP302" s="581" t="str">
        <f t="shared" ca="1" si="184"/>
        <v/>
      </c>
      <c r="AQ302" s="581" t="str">
        <f t="shared" ca="1" si="184"/>
        <v/>
      </c>
      <c r="AR302" s="581" t="str">
        <f t="shared" ca="1" si="184"/>
        <v/>
      </c>
      <c r="AS302" s="581" t="str">
        <f t="shared" ca="1" si="184"/>
        <v/>
      </c>
      <c r="AT302" s="581" t="str">
        <f t="shared" ca="1" si="184"/>
        <v/>
      </c>
      <c r="AU302" s="581" t="str">
        <f t="shared" ca="1" si="184"/>
        <v/>
      </c>
      <c r="AV302" s="581" t="str">
        <f t="shared" ca="1" si="184"/>
        <v/>
      </c>
      <c r="AW302" s="581" t="str">
        <f t="shared" ca="1" si="184"/>
        <v/>
      </c>
      <c r="AX302" s="581" t="str">
        <f t="shared" ca="1" si="184"/>
        <v/>
      </c>
      <c r="AY302" s="581" t="str">
        <f t="shared" ca="1" si="184"/>
        <v/>
      </c>
      <c r="AZ302" s="581" t="str">
        <f t="shared" ca="1" si="184"/>
        <v/>
      </c>
      <c r="BA302" s="581" t="str">
        <f t="shared" ca="1" si="184"/>
        <v/>
      </c>
      <c r="BB302" s="581" t="str">
        <f t="shared" ca="1" si="184"/>
        <v/>
      </c>
    </row>
    <row r="303" spans="1:242" ht="18.600000000000001" hidden="1" thickBot="1">
      <c r="A303" s="569">
        <v>57</v>
      </c>
      <c r="B303" s="1062"/>
      <c r="C303" s="636" t="s">
        <v>500</v>
      </c>
      <c r="D303" s="639"/>
      <c r="E303" s="637" t="str">
        <f ca="1">E291</f>
        <v/>
      </c>
      <c r="F303" s="637" t="str">
        <f t="shared" ref="F303:BB303" ca="1" si="185">F291</f>
        <v/>
      </c>
      <c r="G303" s="637" t="str">
        <f t="shared" ca="1" si="185"/>
        <v/>
      </c>
      <c r="H303" s="637" t="str">
        <f t="shared" ca="1" si="185"/>
        <v/>
      </c>
      <c r="I303" s="637" t="str">
        <f t="shared" ca="1" si="185"/>
        <v/>
      </c>
      <c r="J303" s="637" t="str">
        <f t="shared" ca="1" si="185"/>
        <v/>
      </c>
      <c r="K303" s="637" t="str">
        <f t="shared" ca="1" si="185"/>
        <v/>
      </c>
      <c r="L303" s="637" t="str">
        <f t="shared" ca="1" si="185"/>
        <v/>
      </c>
      <c r="M303" s="637" t="str">
        <f t="shared" ca="1" si="185"/>
        <v/>
      </c>
      <c r="N303" s="637" t="str">
        <f t="shared" ca="1" si="185"/>
        <v/>
      </c>
      <c r="O303" s="637" t="str">
        <f t="shared" ca="1" si="185"/>
        <v/>
      </c>
      <c r="P303" s="637" t="str">
        <f t="shared" ca="1" si="185"/>
        <v/>
      </c>
      <c r="Q303" s="637" t="str">
        <f t="shared" ca="1" si="185"/>
        <v/>
      </c>
      <c r="R303" s="637" t="str">
        <f t="shared" ca="1" si="185"/>
        <v/>
      </c>
      <c r="S303" s="637" t="str">
        <f t="shared" ca="1" si="185"/>
        <v/>
      </c>
      <c r="T303" s="637" t="str">
        <f t="shared" ca="1" si="185"/>
        <v/>
      </c>
      <c r="U303" s="637" t="str">
        <f t="shared" ca="1" si="185"/>
        <v/>
      </c>
      <c r="V303" s="637" t="str">
        <f t="shared" ca="1" si="185"/>
        <v/>
      </c>
      <c r="W303" s="637" t="str">
        <f t="shared" ca="1" si="185"/>
        <v/>
      </c>
      <c r="X303" s="637" t="str">
        <f t="shared" ca="1" si="185"/>
        <v/>
      </c>
      <c r="Y303" s="637" t="str">
        <f t="shared" ca="1" si="185"/>
        <v/>
      </c>
      <c r="Z303" s="637" t="str">
        <f t="shared" ca="1" si="185"/>
        <v/>
      </c>
      <c r="AA303" s="637" t="str">
        <f t="shared" ca="1" si="185"/>
        <v/>
      </c>
      <c r="AB303" s="637" t="str">
        <f t="shared" ca="1" si="185"/>
        <v/>
      </c>
      <c r="AC303" s="637" t="str">
        <f t="shared" ca="1" si="185"/>
        <v/>
      </c>
      <c r="AD303" s="637" t="str">
        <f t="shared" ca="1" si="185"/>
        <v/>
      </c>
      <c r="AE303" s="637" t="str">
        <f t="shared" ca="1" si="185"/>
        <v/>
      </c>
      <c r="AF303" s="637" t="str">
        <f t="shared" ca="1" si="185"/>
        <v/>
      </c>
      <c r="AG303" s="637" t="str">
        <f t="shared" ca="1" si="185"/>
        <v/>
      </c>
      <c r="AH303" s="637" t="str">
        <f t="shared" ca="1" si="185"/>
        <v/>
      </c>
      <c r="AI303" s="637" t="str">
        <f t="shared" ca="1" si="185"/>
        <v/>
      </c>
      <c r="AJ303" s="637" t="str">
        <f t="shared" ca="1" si="185"/>
        <v/>
      </c>
      <c r="AK303" s="637" t="str">
        <f t="shared" ca="1" si="185"/>
        <v/>
      </c>
      <c r="AL303" s="637" t="str">
        <f t="shared" ca="1" si="185"/>
        <v/>
      </c>
      <c r="AM303" s="637" t="str">
        <f t="shared" ca="1" si="185"/>
        <v/>
      </c>
      <c r="AN303" s="637" t="str">
        <f t="shared" ca="1" si="185"/>
        <v/>
      </c>
      <c r="AO303" s="637" t="str">
        <f t="shared" ca="1" si="185"/>
        <v/>
      </c>
      <c r="AP303" s="637" t="str">
        <f t="shared" ca="1" si="185"/>
        <v/>
      </c>
      <c r="AQ303" s="637" t="str">
        <f t="shared" ca="1" si="185"/>
        <v/>
      </c>
      <c r="AR303" s="637" t="str">
        <f t="shared" ca="1" si="185"/>
        <v/>
      </c>
      <c r="AS303" s="637" t="str">
        <f t="shared" ca="1" si="185"/>
        <v/>
      </c>
      <c r="AT303" s="637" t="str">
        <f t="shared" ca="1" si="185"/>
        <v/>
      </c>
      <c r="AU303" s="637" t="str">
        <f t="shared" ca="1" si="185"/>
        <v/>
      </c>
      <c r="AV303" s="637" t="str">
        <f t="shared" ca="1" si="185"/>
        <v/>
      </c>
      <c r="AW303" s="637" t="str">
        <f t="shared" ca="1" si="185"/>
        <v/>
      </c>
      <c r="AX303" s="637" t="str">
        <f t="shared" ca="1" si="185"/>
        <v/>
      </c>
      <c r="AY303" s="637" t="str">
        <f t="shared" ca="1" si="185"/>
        <v/>
      </c>
      <c r="AZ303" s="637" t="str">
        <f t="shared" ca="1" si="185"/>
        <v/>
      </c>
      <c r="BA303" s="637" t="str">
        <f t="shared" ca="1" si="185"/>
        <v/>
      </c>
      <c r="BB303" s="637" t="str">
        <f t="shared" ca="1" si="185"/>
        <v/>
      </c>
    </row>
    <row r="304" spans="1:242" hidden="1">
      <c r="A304" s="569">
        <v>58</v>
      </c>
      <c r="B304" s="1060" t="s">
        <v>692</v>
      </c>
      <c r="C304" s="629" t="s">
        <v>497</v>
      </c>
      <c r="D304" s="630"/>
      <c r="E304" s="631" t="str">
        <f t="shared" ref="E304:AJ304" ca="1" si="186">OFFSET(A1_原単位2024,9,E247+2)</f>
        <v/>
      </c>
      <c r="F304" s="631" t="str">
        <f t="shared" ca="1" si="186"/>
        <v/>
      </c>
      <c r="G304" s="631" t="str">
        <f t="shared" ca="1" si="186"/>
        <v/>
      </c>
      <c r="H304" s="631" t="str">
        <f t="shared" ca="1" si="186"/>
        <v/>
      </c>
      <c r="I304" s="631" t="str">
        <f t="shared" ca="1" si="186"/>
        <v/>
      </c>
      <c r="J304" s="631" t="str">
        <f t="shared" ca="1" si="186"/>
        <v/>
      </c>
      <c r="K304" s="631" t="str">
        <f t="shared" ca="1" si="186"/>
        <v/>
      </c>
      <c r="L304" s="631" t="str">
        <f t="shared" ca="1" si="186"/>
        <v/>
      </c>
      <c r="M304" s="631" t="str">
        <f t="shared" ca="1" si="186"/>
        <v/>
      </c>
      <c r="N304" s="631" t="str">
        <f t="shared" ca="1" si="186"/>
        <v/>
      </c>
      <c r="O304" s="631" t="str">
        <f t="shared" ca="1" si="186"/>
        <v/>
      </c>
      <c r="P304" s="631" t="str">
        <f t="shared" ca="1" si="186"/>
        <v/>
      </c>
      <c r="Q304" s="631" t="str">
        <f t="shared" ca="1" si="186"/>
        <v/>
      </c>
      <c r="R304" s="631" t="str">
        <f t="shared" ca="1" si="186"/>
        <v/>
      </c>
      <c r="S304" s="631" t="str">
        <f t="shared" ca="1" si="186"/>
        <v/>
      </c>
      <c r="T304" s="631" t="str">
        <f t="shared" ca="1" si="186"/>
        <v/>
      </c>
      <c r="U304" s="631" t="str">
        <f t="shared" ca="1" si="186"/>
        <v/>
      </c>
      <c r="V304" s="631" t="str">
        <f t="shared" ca="1" si="186"/>
        <v/>
      </c>
      <c r="W304" s="631" t="str">
        <f t="shared" ca="1" si="186"/>
        <v/>
      </c>
      <c r="X304" s="631" t="str">
        <f t="shared" ca="1" si="186"/>
        <v/>
      </c>
      <c r="Y304" s="631" t="str">
        <f t="shared" ca="1" si="186"/>
        <v/>
      </c>
      <c r="Z304" s="631" t="str">
        <f t="shared" ca="1" si="186"/>
        <v/>
      </c>
      <c r="AA304" s="631" t="str">
        <f t="shared" ca="1" si="186"/>
        <v/>
      </c>
      <c r="AB304" s="631" t="str">
        <f t="shared" ca="1" si="186"/>
        <v/>
      </c>
      <c r="AC304" s="631" t="str">
        <f t="shared" ca="1" si="186"/>
        <v/>
      </c>
      <c r="AD304" s="631" t="str">
        <f t="shared" ca="1" si="186"/>
        <v/>
      </c>
      <c r="AE304" s="631" t="str">
        <f t="shared" ca="1" si="186"/>
        <v/>
      </c>
      <c r="AF304" s="631" t="str">
        <f t="shared" ca="1" si="186"/>
        <v/>
      </c>
      <c r="AG304" s="631" t="str">
        <f t="shared" ca="1" si="186"/>
        <v/>
      </c>
      <c r="AH304" s="631" t="str">
        <f t="shared" ca="1" si="186"/>
        <v/>
      </c>
      <c r="AI304" s="631" t="str">
        <f t="shared" ca="1" si="186"/>
        <v/>
      </c>
      <c r="AJ304" s="631" t="str">
        <f t="shared" ca="1" si="186"/>
        <v/>
      </c>
      <c r="AK304" s="631" t="str">
        <f t="shared" ref="AK304:BB304" ca="1" si="187">OFFSET(A1_原単位2024,9,AK247+2)</f>
        <v/>
      </c>
      <c r="AL304" s="631" t="str">
        <f t="shared" ca="1" si="187"/>
        <v/>
      </c>
      <c r="AM304" s="631" t="str">
        <f t="shared" ca="1" si="187"/>
        <v/>
      </c>
      <c r="AN304" s="631" t="str">
        <f t="shared" ca="1" si="187"/>
        <v/>
      </c>
      <c r="AO304" s="631" t="str">
        <f t="shared" ca="1" si="187"/>
        <v/>
      </c>
      <c r="AP304" s="631" t="str">
        <f t="shared" ca="1" si="187"/>
        <v/>
      </c>
      <c r="AQ304" s="631" t="str">
        <f t="shared" ca="1" si="187"/>
        <v/>
      </c>
      <c r="AR304" s="631" t="str">
        <f t="shared" ca="1" si="187"/>
        <v/>
      </c>
      <c r="AS304" s="631" t="str">
        <f t="shared" ca="1" si="187"/>
        <v/>
      </c>
      <c r="AT304" s="631" t="str">
        <f t="shared" ca="1" si="187"/>
        <v/>
      </c>
      <c r="AU304" s="631" t="str">
        <f t="shared" ca="1" si="187"/>
        <v/>
      </c>
      <c r="AV304" s="631" t="str">
        <f t="shared" ca="1" si="187"/>
        <v/>
      </c>
      <c r="AW304" s="631" t="str">
        <f t="shared" ca="1" si="187"/>
        <v/>
      </c>
      <c r="AX304" s="631" t="str">
        <f t="shared" ca="1" si="187"/>
        <v/>
      </c>
      <c r="AY304" s="631" t="str">
        <f t="shared" ca="1" si="187"/>
        <v/>
      </c>
      <c r="AZ304" s="631" t="str">
        <f t="shared" ca="1" si="187"/>
        <v/>
      </c>
      <c r="BA304" s="631" t="str">
        <f t="shared" ca="1" si="187"/>
        <v/>
      </c>
      <c r="BB304" s="631" t="str">
        <f t="shared" ca="1" si="187"/>
        <v/>
      </c>
    </row>
    <row r="305" spans="1:54" hidden="1">
      <c r="A305" s="569">
        <v>59</v>
      </c>
      <c r="B305" s="1061"/>
      <c r="C305" s="633" t="s">
        <v>498</v>
      </c>
      <c r="D305" s="634"/>
      <c r="E305" s="581" t="str">
        <f t="shared" ref="E305:AJ305" ca="1" si="188">OFFSET(A1_原単位2024,9+12,E247+2)</f>
        <v/>
      </c>
      <c r="F305" s="581" t="str">
        <f t="shared" ca="1" si="188"/>
        <v/>
      </c>
      <c r="G305" s="581" t="str">
        <f t="shared" ca="1" si="188"/>
        <v/>
      </c>
      <c r="H305" s="581" t="str">
        <f t="shared" ca="1" si="188"/>
        <v/>
      </c>
      <c r="I305" s="581" t="str">
        <f t="shared" ca="1" si="188"/>
        <v/>
      </c>
      <c r="J305" s="581" t="str">
        <f t="shared" ca="1" si="188"/>
        <v/>
      </c>
      <c r="K305" s="581" t="str">
        <f t="shared" ca="1" si="188"/>
        <v/>
      </c>
      <c r="L305" s="581" t="str">
        <f t="shared" ca="1" si="188"/>
        <v/>
      </c>
      <c r="M305" s="581" t="str">
        <f t="shared" ca="1" si="188"/>
        <v/>
      </c>
      <c r="N305" s="581" t="str">
        <f t="shared" ca="1" si="188"/>
        <v/>
      </c>
      <c r="O305" s="581" t="str">
        <f t="shared" ca="1" si="188"/>
        <v/>
      </c>
      <c r="P305" s="581" t="str">
        <f t="shared" ca="1" si="188"/>
        <v/>
      </c>
      <c r="Q305" s="581" t="str">
        <f t="shared" ca="1" si="188"/>
        <v/>
      </c>
      <c r="R305" s="581" t="str">
        <f t="shared" ca="1" si="188"/>
        <v/>
      </c>
      <c r="S305" s="581" t="str">
        <f t="shared" ca="1" si="188"/>
        <v/>
      </c>
      <c r="T305" s="581" t="str">
        <f t="shared" ca="1" si="188"/>
        <v/>
      </c>
      <c r="U305" s="581" t="str">
        <f t="shared" ca="1" si="188"/>
        <v/>
      </c>
      <c r="V305" s="581" t="str">
        <f t="shared" ca="1" si="188"/>
        <v/>
      </c>
      <c r="W305" s="581" t="str">
        <f t="shared" ca="1" si="188"/>
        <v/>
      </c>
      <c r="X305" s="581" t="str">
        <f t="shared" ca="1" si="188"/>
        <v/>
      </c>
      <c r="Y305" s="581" t="str">
        <f t="shared" ca="1" si="188"/>
        <v/>
      </c>
      <c r="Z305" s="581" t="str">
        <f t="shared" ca="1" si="188"/>
        <v/>
      </c>
      <c r="AA305" s="581" t="str">
        <f t="shared" ca="1" si="188"/>
        <v/>
      </c>
      <c r="AB305" s="581" t="str">
        <f t="shared" ca="1" si="188"/>
        <v/>
      </c>
      <c r="AC305" s="581" t="str">
        <f t="shared" ca="1" si="188"/>
        <v/>
      </c>
      <c r="AD305" s="581" t="str">
        <f t="shared" ca="1" si="188"/>
        <v/>
      </c>
      <c r="AE305" s="581" t="str">
        <f t="shared" ca="1" si="188"/>
        <v/>
      </c>
      <c r="AF305" s="581" t="str">
        <f t="shared" ca="1" si="188"/>
        <v/>
      </c>
      <c r="AG305" s="581" t="str">
        <f t="shared" ca="1" si="188"/>
        <v/>
      </c>
      <c r="AH305" s="581" t="str">
        <f t="shared" ca="1" si="188"/>
        <v/>
      </c>
      <c r="AI305" s="581" t="str">
        <f t="shared" ca="1" si="188"/>
        <v/>
      </c>
      <c r="AJ305" s="581" t="str">
        <f t="shared" ca="1" si="188"/>
        <v/>
      </c>
      <c r="AK305" s="581" t="str">
        <f t="shared" ref="AK305:BB305" ca="1" si="189">OFFSET(A1_原単位2024,9+12,AK247+2)</f>
        <v/>
      </c>
      <c r="AL305" s="581" t="str">
        <f t="shared" ca="1" si="189"/>
        <v/>
      </c>
      <c r="AM305" s="581" t="str">
        <f t="shared" ca="1" si="189"/>
        <v/>
      </c>
      <c r="AN305" s="581" t="str">
        <f t="shared" ca="1" si="189"/>
        <v/>
      </c>
      <c r="AO305" s="581" t="str">
        <f t="shared" ca="1" si="189"/>
        <v/>
      </c>
      <c r="AP305" s="581" t="str">
        <f t="shared" ca="1" si="189"/>
        <v/>
      </c>
      <c r="AQ305" s="581" t="str">
        <f t="shared" ca="1" si="189"/>
        <v/>
      </c>
      <c r="AR305" s="581" t="str">
        <f t="shared" ca="1" si="189"/>
        <v/>
      </c>
      <c r="AS305" s="581" t="str">
        <f t="shared" ca="1" si="189"/>
        <v/>
      </c>
      <c r="AT305" s="581" t="str">
        <f t="shared" ca="1" si="189"/>
        <v/>
      </c>
      <c r="AU305" s="581" t="str">
        <f t="shared" ca="1" si="189"/>
        <v/>
      </c>
      <c r="AV305" s="581" t="str">
        <f t="shared" ca="1" si="189"/>
        <v/>
      </c>
      <c r="AW305" s="581" t="str">
        <f t="shared" ca="1" si="189"/>
        <v/>
      </c>
      <c r="AX305" s="581" t="str">
        <f t="shared" ca="1" si="189"/>
        <v/>
      </c>
      <c r="AY305" s="581" t="str">
        <f t="shared" ca="1" si="189"/>
        <v/>
      </c>
      <c r="AZ305" s="581" t="str">
        <f t="shared" ca="1" si="189"/>
        <v/>
      </c>
      <c r="BA305" s="581" t="str">
        <f t="shared" ca="1" si="189"/>
        <v/>
      </c>
      <c r="BB305" s="635" t="str">
        <f t="shared" ca="1" si="189"/>
        <v/>
      </c>
    </row>
    <row r="306" spans="1:54" hidden="1">
      <c r="A306" s="569">
        <v>60</v>
      </c>
      <c r="B306" s="1061"/>
      <c r="C306" s="633" t="s">
        <v>499</v>
      </c>
      <c r="D306" s="634"/>
      <c r="E306" s="581" t="str">
        <f t="shared" ref="E306:AJ306" ca="1" si="190">OFFSET(A1_原単位2024,9+24,E247+2)</f>
        <v/>
      </c>
      <c r="F306" s="581" t="str">
        <f t="shared" ca="1" si="190"/>
        <v/>
      </c>
      <c r="G306" s="581" t="str">
        <f t="shared" ca="1" si="190"/>
        <v/>
      </c>
      <c r="H306" s="581" t="str">
        <f t="shared" ca="1" si="190"/>
        <v/>
      </c>
      <c r="I306" s="581" t="str">
        <f t="shared" ca="1" si="190"/>
        <v/>
      </c>
      <c r="J306" s="581" t="str">
        <f t="shared" ca="1" si="190"/>
        <v/>
      </c>
      <c r="K306" s="581" t="str">
        <f t="shared" ca="1" si="190"/>
        <v/>
      </c>
      <c r="L306" s="581" t="str">
        <f t="shared" ca="1" si="190"/>
        <v/>
      </c>
      <c r="M306" s="581" t="str">
        <f t="shared" ca="1" si="190"/>
        <v/>
      </c>
      <c r="N306" s="581" t="str">
        <f t="shared" ca="1" si="190"/>
        <v/>
      </c>
      <c r="O306" s="581" t="str">
        <f t="shared" ca="1" si="190"/>
        <v/>
      </c>
      <c r="P306" s="581" t="str">
        <f t="shared" ca="1" si="190"/>
        <v/>
      </c>
      <c r="Q306" s="581" t="str">
        <f t="shared" ca="1" si="190"/>
        <v/>
      </c>
      <c r="R306" s="581" t="str">
        <f t="shared" ca="1" si="190"/>
        <v/>
      </c>
      <c r="S306" s="581" t="str">
        <f t="shared" ca="1" si="190"/>
        <v/>
      </c>
      <c r="T306" s="581" t="str">
        <f t="shared" ca="1" si="190"/>
        <v/>
      </c>
      <c r="U306" s="581" t="str">
        <f t="shared" ca="1" si="190"/>
        <v/>
      </c>
      <c r="V306" s="581" t="str">
        <f t="shared" ca="1" si="190"/>
        <v/>
      </c>
      <c r="W306" s="581" t="str">
        <f t="shared" ca="1" si="190"/>
        <v/>
      </c>
      <c r="X306" s="581" t="str">
        <f t="shared" ca="1" si="190"/>
        <v/>
      </c>
      <c r="Y306" s="581" t="str">
        <f t="shared" ca="1" si="190"/>
        <v/>
      </c>
      <c r="Z306" s="581" t="str">
        <f t="shared" ca="1" si="190"/>
        <v/>
      </c>
      <c r="AA306" s="581" t="str">
        <f t="shared" ca="1" si="190"/>
        <v/>
      </c>
      <c r="AB306" s="581" t="str">
        <f t="shared" ca="1" si="190"/>
        <v/>
      </c>
      <c r="AC306" s="581" t="str">
        <f t="shared" ca="1" si="190"/>
        <v/>
      </c>
      <c r="AD306" s="581" t="str">
        <f t="shared" ca="1" si="190"/>
        <v/>
      </c>
      <c r="AE306" s="581" t="str">
        <f t="shared" ca="1" si="190"/>
        <v/>
      </c>
      <c r="AF306" s="581" t="str">
        <f t="shared" ca="1" si="190"/>
        <v/>
      </c>
      <c r="AG306" s="581" t="str">
        <f t="shared" ca="1" si="190"/>
        <v/>
      </c>
      <c r="AH306" s="581" t="str">
        <f t="shared" ca="1" si="190"/>
        <v/>
      </c>
      <c r="AI306" s="581" t="str">
        <f t="shared" ca="1" si="190"/>
        <v/>
      </c>
      <c r="AJ306" s="581" t="str">
        <f t="shared" ca="1" si="190"/>
        <v/>
      </c>
      <c r="AK306" s="581" t="str">
        <f t="shared" ref="AK306:BB306" ca="1" si="191">OFFSET(A1_原単位2024,9+24,AK247+2)</f>
        <v/>
      </c>
      <c r="AL306" s="581" t="str">
        <f t="shared" ca="1" si="191"/>
        <v/>
      </c>
      <c r="AM306" s="581" t="str">
        <f t="shared" ca="1" si="191"/>
        <v/>
      </c>
      <c r="AN306" s="581" t="str">
        <f t="shared" ca="1" si="191"/>
        <v/>
      </c>
      <c r="AO306" s="581" t="str">
        <f t="shared" ca="1" si="191"/>
        <v/>
      </c>
      <c r="AP306" s="581" t="str">
        <f t="shared" ca="1" si="191"/>
        <v/>
      </c>
      <c r="AQ306" s="581" t="str">
        <f t="shared" ca="1" si="191"/>
        <v/>
      </c>
      <c r="AR306" s="581" t="str">
        <f t="shared" ca="1" si="191"/>
        <v/>
      </c>
      <c r="AS306" s="581" t="str">
        <f t="shared" ca="1" si="191"/>
        <v/>
      </c>
      <c r="AT306" s="581" t="str">
        <f t="shared" ca="1" si="191"/>
        <v/>
      </c>
      <c r="AU306" s="581" t="str">
        <f t="shared" ca="1" si="191"/>
        <v/>
      </c>
      <c r="AV306" s="581" t="str">
        <f t="shared" ca="1" si="191"/>
        <v/>
      </c>
      <c r="AW306" s="581" t="str">
        <f t="shared" ca="1" si="191"/>
        <v/>
      </c>
      <c r="AX306" s="581" t="str">
        <f t="shared" ca="1" si="191"/>
        <v/>
      </c>
      <c r="AY306" s="581" t="str">
        <f t="shared" ca="1" si="191"/>
        <v/>
      </c>
      <c r="AZ306" s="581" t="str">
        <f t="shared" ca="1" si="191"/>
        <v/>
      </c>
      <c r="BA306" s="581" t="str">
        <f t="shared" ca="1" si="191"/>
        <v/>
      </c>
      <c r="BB306" s="635" t="str">
        <f t="shared" ca="1" si="191"/>
        <v/>
      </c>
    </row>
    <row r="307" spans="1:54" ht="18.600000000000001" hidden="1" thickBot="1">
      <c r="A307" s="569">
        <v>61</v>
      </c>
      <c r="B307" s="1062"/>
      <c r="C307" s="636" t="s">
        <v>500</v>
      </c>
      <c r="D307" s="639"/>
      <c r="E307" s="637" t="str">
        <f t="shared" ref="E307:AJ307" ca="1" si="192">OFFSET(A1_原単位2024,9+36,E247+2)</f>
        <v/>
      </c>
      <c r="F307" s="637" t="str">
        <f t="shared" ca="1" si="192"/>
        <v/>
      </c>
      <c r="G307" s="637" t="str">
        <f t="shared" ca="1" si="192"/>
        <v/>
      </c>
      <c r="H307" s="637" t="str">
        <f t="shared" ca="1" si="192"/>
        <v/>
      </c>
      <c r="I307" s="637" t="str">
        <f t="shared" ca="1" si="192"/>
        <v/>
      </c>
      <c r="J307" s="637" t="str">
        <f t="shared" ca="1" si="192"/>
        <v/>
      </c>
      <c r="K307" s="637" t="str">
        <f t="shared" ca="1" si="192"/>
        <v/>
      </c>
      <c r="L307" s="637" t="str">
        <f t="shared" ca="1" si="192"/>
        <v/>
      </c>
      <c r="M307" s="637" t="str">
        <f t="shared" ca="1" si="192"/>
        <v/>
      </c>
      <c r="N307" s="637" t="str">
        <f t="shared" ca="1" si="192"/>
        <v/>
      </c>
      <c r="O307" s="637" t="str">
        <f t="shared" ca="1" si="192"/>
        <v/>
      </c>
      <c r="P307" s="637" t="str">
        <f t="shared" ca="1" si="192"/>
        <v/>
      </c>
      <c r="Q307" s="637" t="str">
        <f t="shared" ca="1" si="192"/>
        <v/>
      </c>
      <c r="R307" s="637" t="str">
        <f t="shared" ca="1" si="192"/>
        <v/>
      </c>
      <c r="S307" s="637" t="str">
        <f t="shared" ca="1" si="192"/>
        <v/>
      </c>
      <c r="T307" s="637" t="str">
        <f t="shared" ca="1" si="192"/>
        <v/>
      </c>
      <c r="U307" s="637" t="str">
        <f t="shared" ca="1" si="192"/>
        <v/>
      </c>
      <c r="V307" s="637" t="str">
        <f t="shared" ca="1" si="192"/>
        <v/>
      </c>
      <c r="W307" s="637" t="str">
        <f t="shared" ca="1" si="192"/>
        <v/>
      </c>
      <c r="X307" s="637" t="str">
        <f t="shared" ca="1" si="192"/>
        <v/>
      </c>
      <c r="Y307" s="637" t="str">
        <f t="shared" ca="1" si="192"/>
        <v/>
      </c>
      <c r="Z307" s="637" t="str">
        <f t="shared" ca="1" si="192"/>
        <v/>
      </c>
      <c r="AA307" s="637" t="str">
        <f t="shared" ca="1" si="192"/>
        <v/>
      </c>
      <c r="AB307" s="637" t="str">
        <f t="shared" ca="1" si="192"/>
        <v/>
      </c>
      <c r="AC307" s="637" t="str">
        <f t="shared" ca="1" si="192"/>
        <v/>
      </c>
      <c r="AD307" s="637" t="str">
        <f t="shared" ca="1" si="192"/>
        <v/>
      </c>
      <c r="AE307" s="637" t="str">
        <f t="shared" ca="1" si="192"/>
        <v/>
      </c>
      <c r="AF307" s="637" t="str">
        <f t="shared" ca="1" si="192"/>
        <v/>
      </c>
      <c r="AG307" s="637" t="str">
        <f t="shared" ca="1" si="192"/>
        <v/>
      </c>
      <c r="AH307" s="637" t="str">
        <f t="shared" ca="1" si="192"/>
        <v/>
      </c>
      <c r="AI307" s="637" t="str">
        <f t="shared" ca="1" si="192"/>
        <v/>
      </c>
      <c r="AJ307" s="637" t="str">
        <f t="shared" ca="1" si="192"/>
        <v/>
      </c>
      <c r="AK307" s="637" t="str">
        <f t="shared" ref="AK307:BB307" ca="1" si="193">OFFSET(A1_原単位2024,9+36,AK247+2)</f>
        <v/>
      </c>
      <c r="AL307" s="637" t="str">
        <f t="shared" ca="1" si="193"/>
        <v/>
      </c>
      <c r="AM307" s="637" t="str">
        <f t="shared" ca="1" si="193"/>
        <v/>
      </c>
      <c r="AN307" s="637" t="str">
        <f t="shared" ca="1" si="193"/>
        <v/>
      </c>
      <c r="AO307" s="637" t="str">
        <f t="shared" ca="1" si="193"/>
        <v/>
      </c>
      <c r="AP307" s="637" t="str">
        <f t="shared" ca="1" si="193"/>
        <v/>
      </c>
      <c r="AQ307" s="637" t="str">
        <f t="shared" ca="1" si="193"/>
        <v/>
      </c>
      <c r="AR307" s="637" t="str">
        <f t="shared" ca="1" si="193"/>
        <v/>
      </c>
      <c r="AS307" s="637" t="str">
        <f t="shared" ca="1" si="193"/>
        <v/>
      </c>
      <c r="AT307" s="637" t="str">
        <f t="shared" ca="1" si="193"/>
        <v/>
      </c>
      <c r="AU307" s="637" t="str">
        <f t="shared" ca="1" si="193"/>
        <v/>
      </c>
      <c r="AV307" s="637" t="str">
        <f t="shared" ca="1" si="193"/>
        <v/>
      </c>
      <c r="AW307" s="637" t="str">
        <f t="shared" ca="1" si="193"/>
        <v/>
      </c>
      <c r="AX307" s="637" t="str">
        <f t="shared" ca="1" si="193"/>
        <v/>
      </c>
      <c r="AY307" s="637" t="str">
        <f t="shared" ca="1" si="193"/>
        <v/>
      </c>
      <c r="AZ307" s="637" t="str">
        <f t="shared" ca="1" si="193"/>
        <v/>
      </c>
      <c r="BA307" s="637" t="str">
        <f t="shared" ca="1" si="193"/>
        <v/>
      </c>
      <c r="BB307" s="638" t="str">
        <f t="shared" ca="1" si="193"/>
        <v/>
      </c>
    </row>
    <row r="308" spans="1:54" hidden="1">
      <c r="A308" s="569">
        <v>62</v>
      </c>
      <c r="B308" s="1060" t="s">
        <v>693</v>
      </c>
      <c r="C308" s="629" t="s">
        <v>497</v>
      </c>
      <c r="D308" s="640"/>
      <c r="E308" s="631" t="str">
        <f ca="1">IF(AND($HE$10="",$HG$10=""),IF(AND(E300="",E252&lt;&gt;""),"&lt;"&amp;E312&amp;"&gt;要入力",IF(OR(E300=E304,E300="",E304=""),"","&lt;"&amp;E312&amp;"&gt;要修正("&amp;E300&amp;"→"&amp;E304&amp;")")),"")</f>
        <v/>
      </c>
      <c r="F308" s="631" t="str">
        <f t="shared" ref="F308:BB308" ca="1" si="194">IF(AND($HE$10="",$HG$10=""),IF(AND(F300="",F252&lt;&gt;""),"&lt;"&amp;F312&amp;"&gt;要入力",IF(OR(F300=F304,F300="",F304=""),"","&lt;"&amp;F312&amp;"&gt;要修正("&amp;F300&amp;"→"&amp;F304&amp;")")),"")</f>
        <v/>
      </c>
      <c r="G308" s="631" t="str">
        <f t="shared" ca="1" si="194"/>
        <v/>
      </c>
      <c r="H308" s="631" t="str">
        <f t="shared" ca="1" si="194"/>
        <v/>
      </c>
      <c r="I308" s="631" t="str">
        <f t="shared" ca="1" si="194"/>
        <v/>
      </c>
      <c r="J308" s="631" t="str">
        <f t="shared" ca="1" si="194"/>
        <v/>
      </c>
      <c r="K308" s="631" t="str">
        <f t="shared" ca="1" si="194"/>
        <v/>
      </c>
      <c r="L308" s="631" t="str">
        <f t="shared" ca="1" si="194"/>
        <v/>
      </c>
      <c r="M308" s="631" t="str">
        <f t="shared" ca="1" si="194"/>
        <v/>
      </c>
      <c r="N308" s="631" t="str">
        <f t="shared" ca="1" si="194"/>
        <v/>
      </c>
      <c r="O308" s="631" t="str">
        <f t="shared" ca="1" si="194"/>
        <v/>
      </c>
      <c r="P308" s="631" t="str">
        <f t="shared" ca="1" si="194"/>
        <v/>
      </c>
      <c r="Q308" s="631" t="str">
        <f t="shared" ca="1" si="194"/>
        <v/>
      </c>
      <c r="R308" s="631" t="str">
        <f t="shared" ca="1" si="194"/>
        <v/>
      </c>
      <c r="S308" s="631" t="str">
        <f t="shared" ca="1" si="194"/>
        <v/>
      </c>
      <c r="T308" s="631" t="str">
        <f t="shared" ca="1" si="194"/>
        <v/>
      </c>
      <c r="U308" s="631" t="str">
        <f t="shared" ca="1" si="194"/>
        <v/>
      </c>
      <c r="V308" s="631" t="str">
        <f t="shared" ca="1" si="194"/>
        <v/>
      </c>
      <c r="W308" s="631" t="str">
        <f t="shared" ca="1" si="194"/>
        <v/>
      </c>
      <c r="X308" s="631" t="str">
        <f t="shared" ca="1" si="194"/>
        <v/>
      </c>
      <c r="Y308" s="631" t="str">
        <f t="shared" ca="1" si="194"/>
        <v/>
      </c>
      <c r="Z308" s="631" t="str">
        <f t="shared" ca="1" si="194"/>
        <v/>
      </c>
      <c r="AA308" s="631" t="str">
        <f t="shared" ca="1" si="194"/>
        <v/>
      </c>
      <c r="AB308" s="631" t="str">
        <f t="shared" ca="1" si="194"/>
        <v/>
      </c>
      <c r="AC308" s="631" t="str">
        <f t="shared" ca="1" si="194"/>
        <v/>
      </c>
      <c r="AD308" s="631" t="str">
        <f t="shared" ca="1" si="194"/>
        <v/>
      </c>
      <c r="AE308" s="631" t="str">
        <f t="shared" ca="1" si="194"/>
        <v/>
      </c>
      <c r="AF308" s="631" t="str">
        <f t="shared" ca="1" si="194"/>
        <v/>
      </c>
      <c r="AG308" s="631" t="str">
        <f t="shared" ca="1" si="194"/>
        <v/>
      </c>
      <c r="AH308" s="631" t="str">
        <f t="shared" ca="1" si="194"/>
        <v/>
      </c>
      <c r="AI308" s="631" t="str">
        <f t="shared" ca="1" si="194"/>
        <v/>
      </c>
      <c r="AJ308" s="631" t="str">
        <f t="shared" ca="1" si="194"/>
        <v/>
      </c>
      <c r="AK308" s="631" t="str">
        <f t="shared" ca="1" si="194"/>
        <v/>
      </c>
      <c r="AL308" s="631" t="str">
        <f t="shared" ca="1" si="194"/>
        <v/>
      </c>
      <c r="AM308" s="631" t="str">
        <f t="shared" ca="1" si="194"/>
        <v/>
      </c>
      <c r="AN308" s="631" t="str">
        <f t="shared" ca="1" si="194"/>
        <v/>
      </c>
      <c r="AO308" s="631" t="str">
        <f t="shared" ca="1" si="194"/>
        <v/>
      </c>
      <c r="AP308" s="631" t="str">
        <f t="shared" ca="1" si="194"/>
        <v/>
      </c>
      <c r="AQ308" s="631" t="str">
        <f t="shared" ca="1" si="194"/>
        <v/>
      </c>
      <c r="AR308" s="631" t="str">
        <f t="shared" ca="1" si="194"/>
        <v/>
      </c>
      <c r="AS308" s="631" t="str">
        <f t="shared" ca="1" si="194"/>
        <v/>
      </c>
      <c r="AT308" s="631" t="str">
        <f t="shared" ca="1" si="194"/>
        <v/>
      </c>
      <c r="AU308" s="631" t="str">
        <f t="shared" ca="1" si="194"/>
        <v/>
      </c>
      <c r="AV308" s="631" t="str">
        <f t="shared" ca="1" si="194"/>
        <v/>
      </c>
      <c r="AW308" s="631" t="str">
        <f t="shared" ca="1" si="194"/>
        <v/>
      </c>
      <c r="AX308" s="631" t="str">
        <f t="shared" ca="1" si="194"/>
        <v/>
      </c>
      <c r="AY308" s="631" t="str">
        <f t="shared" ca="1" si="194"/>
        <v/>
      </c>
      <c r="AZ308" s="631" t="str">
        <f t="shared" ca="1" si="194"/>
        <v/>
      </c>
      <c r="BA308" s="631" t="str">
        <f t="shared" ca="1" si="194"/>
        <v/>
      </c>
      <c r="BB308" s="631" t="str">
        <f t="shared" ca="1" si="194"/>
        <v/>
      </c>
    </row>
    <row r="309" spans="1:54" hidden="1">
      <c r="A309" s="569">
        <v>63</v>
      </c>
      <c r="B309" s="1061"/>
      <c r="C309" s="633" t="s">
        <v>498</v>
      </c>
      <c r="D309" s="641"/>
      <c r="E309" s="581" t="str">
        <f ca="1">IF(AND($HE$10="",$HG$10=""),IF(AND(E301="",E264&lt;&gt;""),"&lt;"&amp;E313&amp;"&gt;要入力",IF(OR(E301=E305,E301="",E305=""),"","&lt;"&amp;E313&amp;"&gt;要修正("&amp;E301&amp;"→"&amp;E305&amp;")")),"")</f>
        <v/>
      </c>
      <c r="F309" s="581" t="str">
        <f t="shared" ref="F309:BB309" ca="1" si="195">IF(AND($HE$10="",$HG$10=""),IF(AND(F301="",F264&lt;&gt;""),"&lt;"&amp;F313&amp;"&gt;要入力",IF(OR(F301=F305,F301="",F305=""),"","&lt;"&amp;F313&amp;"&gt;要修正("&amp;F301&amp;"→"&amp;F305&amp;")")),"")</f>
        <v/>
      </c>
      <c r="G309" s="581" t="str">
        <f t="shared" ca="1" si="195"/>
        <v/>
      </c>
      <c r="H309" s="581" t="str">
        <f t="shared" ca="1" si="195"/>
        <v/>
      </c>
      <c r="I309" s="581" t="str">
        <f t="shared" ca="1" si="195"/>
        <v/>
      </c>
      <c r="J309" s="581" t="str">
        <f t="shared" ca="1" si="195"/>
        <v/>
      </c>
      <c r="K309" s="581" t="str">
        <f t="shared" ca="1" si="195"/>
        <v/>
      </c>
      <c r="L309" s="581" t="str">
        <f t="shared" ca="1" si="195"/>
        <v/>
      </c>
      <c r="M309" s="581" t="str">
        <f t="shared" ca="1" si="195"/>
        <v/>
      </c>
      <c r="N309" s="581" t="str">
        <f t="shared" ca="1" si="195"/>
        <v/>
      </c>
      <c r="O309" s="581" t="str">
        <f t="shared" ca="1" si="195"/>
        <v/>
      </c>
      <c r="P309" s="581" t="str">
        <f t="shared" ca="1" si="195"/>
        <v/>
      </c>
      <c r="Q309" s="581" t="str">
        <f t="shared" ca="1" si="195"/>
        <v/>
      </c>
      <c r="R309" s="581" t="str">
        <f t="shared" ca="1" si="195"/>
        <v/>
      </c>
      <c r="S309" s="581" t="str">
        <f t="shared" ca="1" si="195"/>
        <v/>
      </c>
      <c r="T309" s="581" t="str">
        <f t="shared" ca="1" si="195"/>
        <v/>
      </c>
      <c r="U309" s="581" t="str">
        <f t="shared" ca="1" si="195"/>
        <v/>
      </c>
      <c r="V309" s="581" t="str">
        <f t="shared" ca="1" si="195"/>
        <v/>
      </c>
      <c r="W309" s="581" t="str">
        <f t="shared" ca="1" si="195"/>
        <v/>
      </c>
      <c r="X309" s="581" t="str">
        <f t="shared" ca="1" si="195"/>
        <v/>
      </c>
      <c r="Y309" s="581" t="str">
        <f t="shared" ca="1" si="195"/>
        <v/>
      </c>
      <c r="Z309" s="581" t="str">
        <f t="shared" ca="1" si="195"/>
        <v/>
      </c>
      <c r="AA309" s="581" t="str">
        <f t="shared" ca="1" si="195"/>
        <v/>
      </c>
      <c r="AB309" s="581" t="str">
        <f t="shared" ca="1" si="195"/>
        <v/>
      </c>
      <c r="AC309" s="581" t="str">
        <f t="shared" ca="1" si="195"/>
        <v/>
      </c>
      <c r="AD309" s="581" t="str">
        <f t="shared" ca="1" si="195"/>
        <v/>
      </c>
      <c r="AE309" s="581" t="str">
        <f t="shared" ca="1" si="195"/>
        <v/>
      </c>
      <c r="AF309" s="581" t="str">
        <f t="shared" ca="1" si="195"/>
        <v/>
      </c>
      <c r="AG309" s="581" t="str">
        <f t="shared" ca="1" si="195"/>
        <v/>
      </c>
      <c r="AH309" s="581" t="str">
        <f t="shared" ca="1" si="195"/>
        <v/>
      </c>
      <c r="AI309" s="581" t="str">
        <f t="shared" ca="1" si="195"/>
        <v/>
      </c>
      <c r="AJ309" s="581" t="str">
        <f t="shared" ca="1" si="195"/>
        <v/>
      </c>
      <c r="AK309" s="581" t="str">
        <f t="shared" ca="1" si="195"/>
        <v/>
      </c>
      <c r="AL309" s="581" t="str">
        <f t="shared" ca="1" si="195"/>
        <v/>
      </c>
      <c r="AM309" s="581" t="str">
        <f t="shared" ca="1" si="195"/>
        <v/>
      </c>
      <c r="AN309" s="581" t="str">
        <f t="shared" ca="1" si="195"/>
        <v/>
      </c>
      <c r="AO309" s="581" t="str">
        <f t="shared" ca="1" si="195"/>
        <v/>
      </c>
      <c r="AP309" s="581" t="str">
        <f t="shared" ca="1" si="195"/>
        <v/>
      </c>
      <c r="AQ309" s="581" t="str">
        <f t="shared" ca="1" si="195"/>
        <v/>
      </c>
      <c r="AR309" s="581" t="str">
        <f t="shared" ca="1" si="195"/>
        <v/>
      </c>
      <c r="AS309" s="581" t="str">
        <f t="shared" ca="1" si="195"/>
        <v/>
      </c>
      <c r="AT309" s="581" t="str">
        <f t="shared" ca="1" si="195"/>
        <v/>
      </c>
      <c r="AU309" s="581" t="str">
        <f t="shared" ca="1" si="195"/>
        <v/>
      </c>
      <c r="AV309" s="581" t="str">
        <f t="shared" ca="1" si="195"/>
        <v/>
      </c>
      <c r="AW309" s="581" t="str">
        <f t="shared" ca="1" si="195"/>
        <v/>
      </c>
      <c r="AX309" s="581" t="str">
        <f t="shared" ca="1" si="195"/>
        <v/>
      </c>
      <c r="AY309" s="581" t="str">
        <f t="shared" ca="1" si="195"/>
        <v/>
      </c>
      <c r="AZ309" s="581" t="str">
        <f t="shared" ca="1" si="195"/>
        <v/>
      </c>
      <c r="BA309" s="581" t="str">
        <f t="shared" ca="1" si="195"/>
        <v/>
      </c>
      <c r="BB309" s="581" t="str">
        <f t="shared" ca="1" si="195"/>
        <v/>
      </c>
    </row>
    <row r="310" spans="1:54" hidden="1">
      <c r="A310" s="569">
        <v>64</v>
      </c>
      <c r="B310" s="1061"/>
      <c r="C310" s="633" t="s">
        <v>499</v>
      </c>
      <c r="D310" s="641"/>
      <c r="E310" s="581" t="str">
        <f ca="1">IF(AND($HE$10="",$HG$10=""),IF(AND(E302="",E276&lt;&gt;""),"&lt;"&amp;E314&amp;"&gt;要入力",IF(OR(E302=E306,E302="",E306=""),"","&lt;"&amp;E314&amp;"&gt;要修正("&amp;E302&amp;"→"&amp;E306&amp;")")),"")</f>
        <v/>
      </c>
      <c r="F310" s="581" t="str">
        <f t="shared" ref="F310:BB310" ca="1" si="196">IF(AND($HE$10="",$HG$10=""),IF(AND(F302="",F276&lt;&gt;""),"&lt;"&amp;F314&amp;"&gt;要入力",IF(OR(F302=F306,F302="",F306=""),"","&lt;"&amp;F314&amp;"&gt;要修正("&amp;F302&amp;"→"&amp;F306&amp;")")),"")</f>
        <v/>
      </c>
      <c r="G310" s="581" t="str">
        <f t="shared" ca="1" si="196"/>
        <v/>
      </c>
      <c r="H310" s="581" t="str">
        <f t="shared" ca="1" si="196"/>
        <v/>
      </c>
      <c r="I310" s="581" t="str">
        <f t="shared" ca="1" si="196"/>
        <v/>
      </c>
      <c r="J310" s="581" t="str">
        <f t="shared" ca="1" si="196"/>
        <v/>
      </c>
      <c r="K310" s="581" t="str">
        <f t="shared" ca="1" si="196"/>
        <v/>
      </c>
      <c r="L310" s="581" t="str">
        <f t="shared" ca="1" si="196"/>
        <v/>
      </c>
      <c r="M310" s="581" t="str">
        <f t="shared" ca="1" si="196"/>
        <v/>
      </c>
      <c r="N310" s="581" t="str">
        <f t="shared" ca="1" si="196"/>
        <v/>
      </c>
      <c r="O310" s="581" t="str">
        <f t="shared" ca="1" si="196"/>
        <v/>
      </c>
      <c r="P310" s="581" t="str">
        <f t="shared" ca="1" si="196"/>
        <v/>
      </c>
      <c r="Q310" s="581" t="str">
        <f t="shared" ca="1" si="196"/>
        <v/>
      </c>
      <c r="R310" s="581" t="str">
        <f t="shared" ca="1" si="196"/>
        <v/>
      </c>
      <c r="S310" s="581" t="str">
        <f t="shared" ca="1" si="196"/>
        <v/>
      </c>
      <c r="T310" s="581" t="str">
        <f t="shared" ca="1" si="196"/>
        <v/>
      </c>
      <c r="U310" s="581" t="str">
        <f t="shared" ca="1" si="196"/>
        <v/>
      </c>
      <c r="V310" s="581" t="str">
        <f t="shared" ca="1" si="196"/>
        <v/>
      </c>
      <c r="W310" s="581" t="str">
        <f t="shared" ca="1" si="196"/>
        <v/>
      </c>
      <c r="X310" s="581" t="str">
        <f t="shared" ca="1" si="196"/>
        <v/>
      </c>
      <c r="Y310" s="581" t="str">
        <f t="shared" ca="1" si="196"/>
        <v/>
      </c>
      <c r="Z310" s="581" t="str">
        <f t="shared" ca="1" si="196"/>
        <v/>
      </c>
      <c r="AA310" s="581" t="str">
        <f t="shared" ca="1" si="196"/>
        <v/>
      </c>
      <c r="AB310" s="581" t="str">
        <f t="shared" ca="1" si="196"/>
        <v/>
      </c>
      <c r="AC310" s="581" t="str">
        <f t="shared" ca="1" si="196"/>
        <v/>
      </c>
      <c r="AD310" s="581" t="str">
        <f t="shared" ca="1" si="196"/>
        <v/>
      </c>
      <c r="AE310" s="581" t="str">
        <f t="shared" ca="1" si="196"/>
        <v/>
      </c>
      <c r="AF310" s="581" t="str">
        <f t="shared" ca="1" si="196"/>
        <v/>
      </c>
      <c r="AG310" s="581" t="str">
        <f t="shared" ca="1" si="196"/>
        <v/>
      </c>
      <c r="AH310" s="581" t="str">
        <f t="shared" ca="1" si="196"/>
        <v/>
      </c>
      <c r="AI310" s="581" t="str">
        <f t="shared" ca="1" si="196"/>
        <v/>
      </c>
      <c r="AJ310" s="581" t="str">
        <f t="shared" ca="1" si="196"/>
        <v/>
      </c>
      <c r="AK310" s="581" t="str">
        <f t="shared" ca="1" si="196"/>
        <v/>
      </c>
      <c r="AL310" s="581" t="str">
        <f t="shared" ca="1" si="196"/>
        <v/>
      </c>
      <c r="AM310" s="581" t="str">
        <f t="shared" ca="1" si="196"/>
        <v/>
      </c>
      <c r="AN310" s="581" t="str">
        <f t="shared" ca="1" si="196"/>
        <v/>
      </c>
      <c r="AO310" s="581" t="str">
        <f t="shared" ca="1" si="196"/>
        <v/>
      </c>
      <c r="AP310" s="581" t="str">
        <f t="shared" ca="1" si="196"/>
        <v/>
      </c>
      <c r="AQ310" s="581" t="str">
        <f t="shared" ca="1" si="196"/>
        <v/>
      </c>
      <c r="AR310" s="581" t="str">
        <f t="shared" ca="1" si="196"/>
        <v/>
      </c>
      <c r="AS310" s="581" t="str">
        <f t="shared" ca="1" si="196"/>
        <v/>
      </c>
      <c r="AT310" s="581" t="str">
        <f t="shared" ca="1" si="196"/>
        <v/>
      </c>
      <c r="AU310" s="581" t="str">
        <f t="shared" ca="1" si="196"/>
        <v/>
      </c>
      <c r="AV310" s="581" t="str">
        <f t="shared" ca="1" si="196"/>
        <v/>
      </c>
      <c r="AW310" s="581" t="str">
        <f t="shared" ca="1" si="196"/>
        <v/>
      </c>
      <c r="AX310" s="581" t="str">
        <f t="shared" ca="1" si="196"/>
        <v/>
      </c>
      <c r="AY310" s="581" t="str">
        <f t="shared" ca="1" si="196"/>
        <v/>
      </c>
      <c r="AZ310" s="581" t="str">
        <f t="shared" ca="1" si="196"/>
        <v/>
      </c>
      <c r="BA310" s="581" t="str">
        <f t="shared" ca="1" si="196"/>
        <v/>
      </c>
      <c r="BB310" s="581" t="str">
        <f t="shared" ca="1" si="196"/>
        <v/>
      </c>
    </row>
    <row r="311" spans="1:54" ht="18.600000000000001" hidden="1" thickBot="1">
      <c r="A311" s="569">
        <v>65</v>
      </c>
      <c r="B311" s="1062"/>
      <c r="C311" s="636" t="s">
        <v>500</v>
      </c>
      <c r="D311" s="642"/>
      <c r="E311" s="637" t="str">
        <f ca="1">IF(AND($HE$10="",$HG$10=""),IF(AND(E303="",E288&lt;&gt;""),"&lt;"&amp;E315&amp;"&gt;要入力",IF(OR(E303=E307,E303="",E307=""),"","&lt;"&amp;E315&amp;"&gt;要修正("&amp;E303&amp;"→"&amp;E307&amp;")")),"")</f>
        <v/>
      </c>
      <c r="F311" s="637" t="str">
        <f t="shared" ref="F311:BB311" ca="1" si="197">IF(AND($HE$10="",$HG$10=""),IF(AND(F303="",F288&lt;&gt;""),"&lt;"&amp;F315&amp;"&gt;要入力",IF(OR(F303=F307,F303="",F307=""),"","&lt;"&amp;F315&amp;"&gt;要修正("&amp;F303&amp;"→"&amp;F307&amp;")")),"")</f>
        <v/>
      </c>
      <c r="G311" s="637" t="str">
        <f t="shared" ca="1" si="197"/>
        <v/>
      </c>
      <c r="H311" s="637" t="str">
        <f t="shared" ca="1" si="197"/>
        <v/>
      </c>
      <c r="I311" s="637" t="str">
        <f t="shared" ca="1" si="197"/>
        <v/>
      </c>
      <c r="J311" s="637" t="str">
        <f t="shared" ca="1" si="197"/>
        <v/>
      </c>
      <c r="K311" s="637" t="str">
        <f t="shared" ca="1" si="197"/>
        <v/>
      </c>
      <c r="L311" s="637" t="str">
        <f t="shared" ca="1" si="197"/>
        <v/>
      </c>
      <c r="M311" s="637" t="str">
        <f t="shared" ca="1" si="197"/>
        <v/>
      </c>
      <c r="N311" s="637" t="str">
        <f t="shared" ca="1" si="197"/>
        <v/>
      </c>
      <c r="O311" s="637" t="str">
        <f t="shared" ca="1" si="197"/>
        <v/>
      </c>
      <c r="P311" s="637" t="str">
        <f t="shared" ca="1" si="197"/>
        <v/>
      </c>
      <c r="Q311" s="637" t="str">
        <f t="shared" ca="1" si="197"/>
        <v/>
      </c>
      <c r="R311" s="637" t="str">
        <f t="shared" ca="1" si="197"/>
        <v/>
      </c>
      <c r="S311" s="637" t="str">
        <f t="shared" ca="1" si="197"/>
        <v/>
      </c>
      <c r="T311" s="637" t="str">
        <f t="shared" ca="1" si="197"/>
        <v/>
      </c>
      <c r="U311" s="637" t="str">
        <f t="shared" ca="1" si="197"/>
        <v/>
      </c>
      <c r="V311" s="637" t="str">
        <f t="shared" ca="1" si="197"/>
        <v/>
      </c>
      <c r="W311" s="637" t="str">
        <f t="shared" ca="1" si="197"/>
        <v/>
      </c>
      <c r="X311" s="637" t="str">
        <f t="shared" ca="1" si="197"/>
        <v/>
      </c>
      <c r="Y311" s="637" t="str">
        <f t="shared" ca="1" si="197"/>
        <v/>
      </c>
      <c r="Z311" s="637" t="str">
        <f t="shared" ca="1" si="197"/>
        <v/>
      </c>
      <c r="AA311" s="637" t="str">
        <f t="shared" ca="1" si="197"/>
        <v/>
      </c>
      <c r="AB311" s="637" t="str">
        <f t="shared" ca="1" si="197"/>
        <v/>
      </c>
      <c r="AC311" s="637" t="str">
        <f t="shared" ca="1" si="197"/>
        <v/>
      </c>
      <c r="AD311" s="637" t="str">
        <f t="shared" ca="1" si="197"/>
        <v/>
      </c>
      <c r="AE311" s="637" t="str">
        <f t="shared" ca="1" si="197"/>
        <v/>
      </c>
      <c r="AF311" s="637" t="str">
        <f t="shared" ca="1" si="197"/>
        <v/>
      </c>
      <c r="AG311" s="637" t="str">
        <f t="shared" ca="1" si="197"/>
        <v/>
      </c>
      <c r="AH311" s="637" t="str">
        <f t="shared" ca="1" si="197"/>
        <v/>
      </c>
      <c r="AI311" s="637" t="str">
        <f t="shared" ca="1" si="197"/>
        <v/>
      </c>
      <c r="AJ311" s="637" t="str">
        <f t="shared" ca="1" si="197"/>
        <v/>
      </c>
      <c r="AK311" s="637" t="str">
        <f t="shared" ca="1" si="197"/>
        <v/>
      </c>
      <c r="AL311" s="637" t="str">
        <f t="shared" ca="1" si="197"/>
        <v/>
      </c>
      <c r="AM311" s="637" t="str">
        <f t="shared" ca="1" si="197"/>
        <v/>
      </c>
      <c r="AN311" s="637" t="str">
        <f t="shared" ca="1" si="197"/>
        <v/>
      </c>
      <c r="AO311" s="637" t="str">
        <f t="shared" ca="1" si="197"/>
        <v/>
      </c>
      <c r="AP311" s="637" t="str">
        <f t="shared" ca="1" si="197"/>
        <v/>
      </c>
      <c r="AQ311" s="637" t="str">
        <f t="shared" ca="1" si="197"/>
        <v/>
      </c>
      <c r="AR311" s="637" t="str">
        <f t="shared" ca="1" si="197"/>
        <v/>
      </c>
      <c r="AS311" s="637" t="str">
        <f t="shared" ca="1" si="197"/>
        <v/>
      </c>
      <c r="AT311" s="637" t="str">
        <f t="shared" ca="1" si="197"/>
        <v/>
      </c>
      <c r="AU311" s="637" t="str">
        <f t="shared" ca="1" si="197"/>
        <v/>
      </c>
      <c r="AV311" s="637" t="str">
        <f t="shared" ca="1" si="197"/>
        <v/>
      </c>
      <c r="AW311" s="637" t="str">
        <f t="shared" ca="1" si="197"/>
        <v/>
      </c>
      <c r="AX311" s="637" t="str">
        <f t="shared" ca="1" si="197"/>
        <v/>
      </c>
      <c r="AY311" s="637" t="str">
        <f t="shared" ca="1" si="197"/>
        <v/>
      </c>
      <c r="AZ311" s="637" t="str">
        <f t="shared" ca="1" si="197"/>
        <v/>
      </c>
      <c r="BA311" s="637" t="str">
        <f t="shared" ca="1" si="197"/>
        <v/>
      </c>
      <c r="BB311" s="637" t="str">
        <f t="shared" ca="1" si="197"/>
        <v/>
      </c>
    </row>
    <row r="312" spans="1:54" ht="14.25" hidden="1" customHeight="1">
      <c r="B312" s="1060" t="s">
        <v>694</v>
      </c>
      <c r="C312" s="629" t="s">
        <v>497</v>
      </c>
      <c r="D312" s="640"/>
      <c r="E312" s="631" t="str">
        <f t="shared" ref="E312:AJ312" ca="1" si="198">IFERROR(ADDRESS(ROW(貼付け_2024実績)+99,E253+COLUMN(貼付け_2024実績),4),"")</f>
        <v/>
      </c>
      <c r="F312" s="631" t="str">
        <f t="shared" ca="1" si="198"/>
        <v/>
      </c>
      <c r="G312" s="631" t="str">
        <f t="shared" ca="1" si="198"/>
        <v/>
      </c>
      <c r="H312" s="631" t="str">
        <f t="shared" ca="1" si="198"/>
        <v/>
      </c>
      <c r="I312" s="631" t="str">
        <f t="shared" ca="1" si="198"/>
        <v/>
      </c>
      <c r="J312" s="631" t="str">
        <f t="shared" ca="1" si="198"/>
        <v/>
      </c>
      <c r="K312" s="631" t="str">
        <f t="shared" ca="1" si="198"/>
        <v/>
      </c>
      <c r="L312" s="631" t="str">
        <f t="shared" ca="1" si="198"/>
        <v/>
      </c>
      <c r="M312" s="631" t="str">
        <f t="shared" ca="1" si="198"/>
        <v/>
      </c>
      <c r="N312" s="631" t="str">
        <f t="shared" ca="1" si="198"/>
        <v/>
      </c>
      <c r="O312" s="631" t="str">
        <f t="shared" ca="1" si="198"/>
        <v/>
      </c>
      <c r="P312" s="631" t="str">
        <f t="shared" ca="1" si="198"/>
        <v/>
      </c>
      <c r="Q312" s="631" t="str">
        <f t="shared" ca="1" si="198"/>
        <v/>
      </c>
      <c r="R312" s="631" t="str">
        <f t="shared" ca="1" si="198"/>
        <v/>
      </c>
      <c r="S312" s="631" t="str">
        <f t="shared" ca="1" si="198"/>
        <v/>
      </c>
      <c r="T312" s="631" t="str">
        <f t="shared" ca="1" si="198"/>
        <v/>
      </c>
      <c r="U312" s="631" t="str">
        <f t="shared" ca="1" si="198"/>
        <v/>
      </c>
      <c r="V312" s="631" t="str">
        <f t="shared" ca="1" si="198"/>
        <v/>
      </c>
      <c r="W312" s="631" t="str">
        <f t="shared" ca="1" si="198"/>
        <v/>
      </c>
      <c r="X312" s="631" t="str">
        <f t="shared" ca="1" si="198"/>
        <v/>
      </c>
      <c r="Y312" s="631" t="str">
        <f t="shared" ca="1" si="198"/>
        <v/>
      </c>
      <c r="Z312" s="631" t="str">
        <f t="shared" ca="1" si="198"/>
        <v/>
      </c>
      <c r="AA312" s="631" t="str">
        <f t="shared" ca="1" si="198"/>
        <v/>
      </c>
      <c r="AB312" s="631" t="str">
        <f t="shared" ca="1" si="198"/>
        <v/>
      </c>
      <c r="AC312" s="631" t="str">
        <f t="shared" ca="1" si="198"/>
        <v/>
      </c>
      <c r="AD312" s="631" t="str">
        <f t="shared" ca="1" si="198"/>
        <v/>
      </c>
      <c r="AE312" s="631" t="str">
        <f t="shared" ca="1" si="198"/>
        <v/>
      </c>
      <c r="AF312" s="631" t="str">
        <f t="shared" ca="1" si="198"/>
        <v/>
      </c>
      <c r="AG312" s="631" t="str">
        <f t="shared" ca="1" si="198"/>
        <v/>
      </c>
      <c r="AH312" s="631" t="str">
        <f t="shared" ca="1" si="198"/>
        <v/>
      </c>
      <c r="AI312" s="631" t="str">
        <f t="shared" ca="1" si="198"/>
        <v/>
      </c>
      <c r="AJ312" s="631" t="str">
        <f t="shared" ca="1" si="198"/>
        <v/>
      </c>
      <c r="AK312" s="631" t="str">
        <f t="shared" ref="AK312:BB312" ca="1" si="199">IFERROR(ADDRESS(ROW(貼付け_2024実績)+99,AK253+COLUMN(貼付け_2024実績),4),"")</f>
        <v/>
      </c>
      <c r="AL312" s="631" t="str">
        <f t="shared" ca="1" si="199"/>
        <v/>
      </c>
      <c r="AM312" s="631" t="str">
        <f t="shared" ca="1" si="199"/>
        <v/>
      </c>
      <c r="AN312" s="631" t="str">
        <f t="shared" ca="1" si="199"/>
        <v/>
      </c>
      <c r="AO312" s="631" t="str">
        <f t="shared" ca="1" si="199"/>
        <v/>
      </c>
      <c r="AP312" s="631" t="str">
        <f t="shared" ca="1" si="199"/>
        <v/>
      </c>
      <c r="AQ312" s="631" t="str">
        <f t="shared" ca="1" si="199"/>
        <v/>
      </c>
      <c r="AR312" s="631" t="str">
        <f t="shared" ca="1" si="199"/>
        <v/>
      </c>
      <c r="AS312" s="631" t="str">
        <f t="shared" ca="1" si="199"/>
        <v/>
      </c>
      <c r="AT312" s="631" t="str">
        <f t="shared" ca="1" si="199"/>
        <v/>
      </c>
      <c r="AU312" s="631" t="str">
        <f t="shared" ca="1" si="199"/>
        <v/>
      </c>
      <c r="AV312" s="631" t="str">
        <f t="shared" ca="1" si="199"/>
        <v/>
      </c>
      <c r="AW312" s="631" t="str">
        <f t="shared" ca="1" si="199"/>
        <v/>
      </c>
      <c r="AX312" s="631" t="str">
        <f t="shared" ca="1" si="199"/>
        <v/>
      </c>
      <c r="AY312" s="631" t="str">
        <f t="shared" ca="1" si="199"/>
        <v/>
      </c>
      <c r="AZ312" s="631" t="str">
        <f t="shared" ca="1" si="199"/>
        <v/>
      </c>
      <c r="BA312" s="631" t="str">
        <f t="shared" ca="1" si="199"/>
        <v/>
      </c>
      <c r="BB312" s="631" t="str">
        <f t="shared" ca="1" si="199"/>
        <v/>
      </c>
    </row>
    <row r="313" spans="1:54" hidden="1">
      <c r="B313" s="1061"/>
      <c r="C313" s="633" t="s">
        <v>498</v>
      </c>
      <c r="D313" s="641"/>
      <c r="E313" s="581" t="str">
        <f t="shared" ref="E313:AJ313" ca="1" si="200">IFERROR(ADDRESS(ROW(貼付け_2024実績)+99,E265+COLUMN(貼付け_2024実績),4),"")</f>
        <v/>
      </c>
      <c r="F313" s="581" t="str">
        <f t="shared" ca="1" si="200"/>
        <v/>
      </c>
      <c r="G313" s="581" t="str">
        <f t="shared" ca="1" si="200"/>
        <v/>
      </c>
      <c r="H313" s="581" t="str">
        <f t="shared" ca="1" si="200"/>
        <v/>
      </c>
      <c r="I313" s="581" t="str">
        <f t="shared" ca="1" si="200"/>
        <v/>
      </c>
      <c r="J313" s="581" t="str">
        <f t="shared" ca="1" si="200"/>
        <v/>
      </c>
      <c r="K313" s="581" t="str">
        <f t="shared" ca="1" si="200"/>
        <v/>
      </c>
      <c r="L313" s="581" t="str">
        <f t="shared" ca="1" si="200"/>
        <v/>
      </c>
      <c r="M313" s="581" t="str">
        <f t="shared" ca="1" si="200"/>
        <v/>
      </c>
      <c r="N313" s="581" t="str">
        <f t="shared" ca="1" si="200"/>
        <v/>
      </c>
      <c r="O313" s="581" t="str">
        <f t="shared" ca="1" si="200"/>
        <v/>
      </c>
      <c r="P313" s="581" t="str">
        <f t="shared" ca="1" si="200"/>
        <v/>
      </c>
      <c r="Q313" s="581" t="str">
        <f t="shared" ca="1" si="200"/>
        <v/>
      </c>
      <c r="R313" s="581" t="str">
        <f t="shared" ca="1" si="200"/>
        <v/>
      </c>
      <c r="S313" s="581" t="str">
        <f t="shared" ca="1" si="200"/>
        <v/>
      </c>
      <c r="T313" s="581" t="str">
        <f t="shared" ca="1" si="200"/>
        <v/>
      </c>
      <c r="U313" s="581" t="str">
        <f t="shared" ca="1" si="200"/>
        <v/>
      </c>
      <c r="V313" s="581" t="str">
        <f t="shared" ca="1" si="200"/>
        <v/>
      </c>
      <c r="W313" s="581" t="str">
        <f t="shared" ca="1" si="200"/>
        <v/>
      </c>
      <c r="X313" s="581" t="str">
        <f t="shared" ca="1" si="200"/>
        <v/>
      </c>
      <c r="Y313" s="581" t="str">
        <f t="shared" ca="1" si="200"/>
        <v/>
      </c>
      <c r="Z313" s="581" t="str">
        <f t="shared" ca="1" si="200"/>
        <v/>
      </c>
      <c r="AA313" s="581" t="str">
        <f t="shared" ca="1" si="200"/>
        <v/>
      </c>
      <c r="AB313" s="581" t="str">
        <f t="shared" ca="1" si="200"/>
        <v/>
      </c>
      <c r="AC313" s="581" t="str">
        <f t="shared" ca="1" si="200"/>
        <v/>
      </c>
      <c r="AD313" s="581" t="str">
        <f t="shared" ca="1" si="200"/>
        <v/>
      </c>
      <c r="AE313" s="581" t="str">
        <f t="shared" ca="1" si="200"/>
        <v/>
      </c>
      <c r="AF313" s="581" t="str">
        <f t="shared" ca="1" si="200"/>
        <v/>
      </c>
      <c r="AG313" s="581" t="str">
        <f t="shared" ca="1" si="200"/>
        <v/>
      </c>
      <c r="AH313" s="581" t="str">
        <f t="shared" ca="1" si="200"/>
        <v/>
      </c>
      <c r="AI313" s="581" t="str">
        <f t="shared" ca="1" si="200"/>
        <v/>
      </c>
      <c r="AJ313" s="581" t="str">
        <f t="shared" ca="1" si="200"/>
        <v/>
      </c>
      <c r="AK313" s="581" t="str">
        <f t="shared" ref="AK313:BB313" ca="1" si="201">IFERROR(ADDRESS(ROW(貼付け_2024実績)+99,AK265+COLUMN(貼付け_2024実績),4),"")</f>
        <v/>
      </c>
      <c r="AL313" s="581" t="str">
        <f t="shared" ca="1" si="201"/>
        <v/>
      </c>
      <c r="AM313" s="581" t="str">
        <f t="shared" ca="1" si="201"/>
        <v/>
      </c>
      <c r="AN313" s="581" t="str">
        <f t="shared" ca="1" si="201"/>
        <v/>
      </c>
      <c r="AO313" s="581" t="str">
        <f t="shared" ca="1" si="201"/>
        <v/>
      </c>
      <c r="AP313" s="581" t="str">
        <f t="shared" ca="1" si="201"/>
        <v/>
      </c>
      <c r="AQ313" s="581" t="str">
        <f t="shared" ca="1" si="201"/>
        <v/>
      </c>
      <c r="AR313" s="581" t="str">
        <f t="shared" ca="1" si="201"/>
        <v/>
      </c>
      <c r="AS313" s="581" t="str">
        <f t="shared" ca="1" si="201"/>
        <v/>
      </c>
      <c r="AT313" s="581" t="str">
        <f t="shared" ca="1" si="201"/>
        <v/>
      </c>
      <c r="AU313" s="581" t="str">
        <f t="shared" ca="1" si="201"/>
        <v/>
      </c>
      <c r="AV313" s="581" t="str">
        <f t="shared" ca="1" si="201"/>
        <v/>
      </c>
      <c r="AW313" s="581" t="str">
        <f t="shared" ca="1" si="201"/>
        <v/>
      </c>
      <c r="AX313" s="581" t="str">
        <f t="shared" ca="1" si="201"/>
        <v/>
      </c>
      <c r="AY313" s="581" t="str">
        <f t="shared" ca="1" si="201"/>
        <v/>
      </c>
      <c r="AZ313" s="581" t="str">
        <f t="shared" ca="1" si="201"/>
        <v/>
      </c>
      <c r="BA313" s="581" t="str">
        <f t="shared" ca="1" si="201"/>
        <v/>
      </c>
      <c r="BB313" s="581" t="str">
        <f t="shared" ca="1" si="201"/>
        <v/>
      </c>
    </row>
    <row r="314" spans="1:54" hidden="1">
      <c r="B314" s="1061"/>
      <c r="C314" s="633" t="s">
        <v>499</v>
      </c>
      <c r="D314" s="641"/>
      <c r="E314" s="581" t="str">
        <f t="shared" ref="E314:AJ314" ca="1" si="202">IFERROR(ADDRESS(ROW(貼付け_2024実績)+99,E277+COLUMN(貼付け_2024実績),4),"")</f>
        <v/>
      </c>
      <c r="F314" s="581" t="str">
        <f t="shared" ca="1" si="202"/>
        <v/>
      </c>
      <c r="G314" s="581" t="str">
        <f t="shared" ca="1" si="202"/>
        <v/>
      </c>
      <c r="H314" s="581" t="str">
        <f t="shared" ca="1" si="202"/>
        <v/>
      </c>
      <c r="I314" s="581" t="str">
        <f t="shared" ca="1" si="202"/>
        <v/>
      </c>
      <c r="J314" s="581" t="str">
        <f t="shared" ca="1" si="202"/>
        <v/>
      </c>
      <c r="K314" s="581" t="str">
        <f t="shared" ca="1" si="202"/>
        <v/>
      </c>
      <c r="L314" s="581" t="str">
        <f t="shared" ca="1" si="202"/>
        <v/>
      </c>
      <c r="M314" s="581" t="str">
        <f t="shared" ca="1" si="202"/>
        <v/>
      </c>
      <c r="N314" s="581" t="str">
        <f t="shared" ca="1" si="202"/>
        <v/>
      </c>
      <c r="O314" s="581" t="str">
        <f t="shared" ca="1" si="202"/>
        <v/>
      </c>
      <c r="P314" s="581" t="str">
        <f t="shared" ca="1" si="202"/>
        <v/>
      </c>
      <c r="Q314" s="581" t="str">
        <f t="shared" ca="1" si="202"/>
        <v/>
      </c>
      <c r="R314" s="581" t="str">
        <f t="shared" ca="1" si="202"/>
        <v/>
      </c>
      <c r="S314" s="581" t="str">
        <f t="shared" ca="1" si="202"/>
        <v/>
      </c>
      <c r="T314" s="581" t="str">
        <f t="shared" ca="1" si="202"/>
        <v/>
      </c>
      <c r="U314" s="581" t="str">
        <f t="shared" ca="1" si="202"/>
        <v/>
      </c>
      <c r="V314" s="581" t="str">
        <f t="shared" ca="1" si="202"/>
        <v/>
      </c>
      <c r="W314" s="581" t="str">
        <f t="shared" ca="1" si="202"/>
        <v/>
      </c>
      <c r="X314" s="581" t="str">
        <f t="shared" ca="1" si="202"/>
        <v/>
      </c>
      <c r="Y314" s="581" t="str">
        <f t="shared" ca="1" si="202"/>
        <v/>
      </c>
      <c r="Z314" s="581" t="str">
        <f t="shared" ca="1" si="202"/>
        <v/>
      </c>
      <c r="AA314" s="581" t="str">
        <f t="shared" ca="1" si="202"/>
        <v/>
      </c>
      <c r="AB314" s="581" t="str">
        <f t="shared" ca="1" si="202"/>
        <v/>
      </c>
      <c r="AC314" s="581" t="str">
        <f t="shared" ca="1" si="202"/>
        <v/>
      </c>
      <c r="AD314" s="581" t="str">
        <f t="shared" ca="1" si="202"/>
        <v/>
      </c>
      <c r="AE314" s="581" t="str">
        <f t="shared" ca="1" si="202"/>
        <v/>
      </c>
      <c r="AF314" s="581" t="str">
        <f t="shared" ca="1" si="202"/>
        <v/>
      </c>
      <c r="AG314" s="581" t="str">
        <f t="shared" ca="1" si="202"/>
        <v/>
      </c>
      <c r="AH314" s="581" t="str">
        <f t="shared" ca="1" si="202"/>
        <v/>
      </c>
      <c r="AI314" s="581" t="str">
        <f t="shared" ca="1" si="202"/>
        <v/>
      </c>
      <c r="AJ314" s="581" t="str">
        <f t="shared" ca="1" si="202"/>
        <v/>
      </c>
      <c r="AK314" s="581" t="str">
        <f t="shared" ref="AK314:BB314" ca="1" si="203">IFERROR(ADDRESS(ROW(貼付け_2024実績)+99,AK277+COLUMN(貼付け_2024実績),4),"")</f>
        <v/>
      </c>
      <c r="AL314" s="581" t="str">
        <f t="shared" ca="1" si="203"/>
        <v/>
      </c>
      <c r="AM314" s="581" t="str">
        <f t="shared" ca="1" si="203"/>
        <v/>
      </c>
      <c r="AN314" s="581" t="str">
        <f t="shared" ca="1" si="203"/>
        <v/>
      </c>
      <c r="AO314" s="581" t="str">
        <f t="shared" ca="1" si="203"/>
        <v/>
      </c>
      <c r="AP314" s="581" t="str">
        <f t="shared" ca="1" si="203"/>
        <v/>
      </c>
      <c r="AQ314" s="581" t="str">
        <f t="shared" ca="1" si="203"/>
        <v/>
      </c>
      <c r="AR314" s="581" t="str">
        <f t="shared" ca="1" si="203"/>
        <v/>
      </c>
      <c r="AS314" s="581" t="str">
        <f t="shared" ca="1" si="203"/>
        <v/>
      </c>
      <c r="AT314" s="581" t="str">
        <f t="shared" ca="1" si="203"/>
        <v/>
      </c>
      <c r="AU314" s="581" t="str">
        <f t="shared" ca="1" si="203"/>
        <v/>
      </c>
      <c r="AV314" s="581" t="str">
        <f t="shared" ca="1" si="203"/>
        <v/>
      </c>
      <c r="AW314" s="581" t="str">
        <f t="shared" ca="1" si="203"/>
        <v/>
      </c>
      <c r="AX314" s="581" t="str">
        <f t="shared" ca="1" si="203"/>
        <v/>
      </c>
      <c r="AY314" s="581" t="str">
        <f t="shared" ca="1" si="203"/>
        <v/>
      </c>
      <c r="AZ314" s="581" t="str">
        <f t="shared" ca="1" si="203"/>
        <v/>
      </c>
      <c r="BA314" s="581" t="str">
        <f t="shared" ca="1" si="203"/>
        <v/>
      </c>
      <c r="BB314" s="581" t="str">
        <f t="shared" ca="1" si="203"/>
        <v/>
      </c>
    </row>
    <row r="315" spans="1:54" ht="18.600000000000001" hidden="1" thickBot="1">
      <c r="B315" s="1062"/>
      <c r="C315" s="636" t="s">
        <v>500</v>
      </c>
      <c r="D315" s="642"/>
      <c r="E315" s="637" t="str">
        <f t="shared" ref="E315:AJ315" ca="1" si="204">IFERROR(ADDRESS(ROW(貼付け_2024実績)+99,E289+COLUMN(貼付け_2024実績),4),"")</f>
        <v/>
      </c>
      <c r="F315" s="637" t="str">
        <f t="shared" ca="1" si="204"/>
        <v/>
      </c>
      <c r="G315" s="637" t="str">
        <f t="shared" ca="1" si="204"/>
        <v/>
      </c>
      <c r="H315" s="637" t="str">
        <f t="shared" ca="1" si="204"/>
        <v/>
      </c>
      <c r="I315" s="637" t="str">
        <f t="shared" ca="1" si="204"/>
        <v/>
      </c>
      <c r="J315" s="637" t="str">
        <f t="shared" ca="1" si="204"/>
        <v/>
      </c>
      <c r="K315" s="637" t="str">
        <f t="shared" ca="1" si="204"/>
        <v/>
      </c>
      <c r="L315" s="637" t="str">
        <f t="shared" ca="1" si="204"/>
        <v/>
      </c>
      <c r="M315" s="637" t="str">
        <f t="shared" ca="1" si="204"/>
        <v/>
      </c>
      <c r="N315" s="637" t="str">
        <f t="shared" ca="1" si="204"/>
        <v/>
      </c>
      <c r="O315" s="637" t="str">
        <f t="shared" ca="1" si="204"/>
        <v/>
      </c>
      <c r="P315" s="637" t="str">
        <f t="shared" ca="1" si="204"/>
        <v/>
      </c>
      <c r="Q315" s="637" t="str">
        <f t="shared" ca="1" si="204"/>
        <v/>
      </c>
      <c r="R315" s="637" t="str">
        <f t="shared" ca="1" si="204"/>
        <v/>
      </c>
      <c r="S315" s="637" t="str">
        <f t="shared" ca="1" si="204"/>
        <v/>
      </c>
      <c r="T315" s="637" t="str">
        <f t="shared" ca="1" si="204"/>
        <v/>
      </c>
      <c r="U315" s="637" t="str">
        <f t="shared" ca="1" si="204"/>
        <v/>
      </c>
      <c r="V315" s="637" t="str">
        <f t="shared" ca="1" si="204"/>
        <v/>
      </c>
      <c r="W315" s="637" t="str">
        <f t="shared" ca="1" si="204"/>
        <v/>
      </c>
      <c r="X315" s="637" t="str">
        <f t="shared" ca="1" si="204"/>
        <v/>
      </c>
      <c r="Y315" s="637" t="str">
        <f t="shared" ca="1" si="204"/>
        <v/>
      </c>
      <c r="Z315" s="637" t="str">
        <f t="shared" ca="1" si="204"/>
        <v/>
      </c>
      <c r="AA315" s="637" t="str">
        <f t="shared" ca="1" si="204"/>
        <v/>
      </c>
      <c r="AB315" s="637" t="str">
        <f t="shared" ca="1" si="204"/>
        <v/>
      </c>
      <c r="AC315" s="637" t="str">
        <f t="shared" ca="1" si="204"/>
        <v/>
      </c>
      <c r="AD315" s="637" t="str">
        <f t="shared" ca="1" si="204"/>
        <v/>
      </c>
      <c r="AE315" s="637" t="str">
        <f t="shared" ca="1" si="204"/>
        <v/>
      </c>
      <c r="AF315" s="637" t="str">
        <f t="shared" ca="1" si="204"/>
        <v/>
      </c>
      <c r="AG315" s="637" t="str">
        <f t="shared" ca="1" si="204"/>
        <v/>
      </c>
      <c r="AH315" s="637" t="str">
        <f t="shared" ca="1" si="204"/>
        <v/>
      </c>
      <c r="AI315" s="637" t="str">
        <f t="shared" ca="1" si="204"/>
        <v/>
      </c>
      <c r="AJ315" s="637" t="str">
        <f t="shared" ca="1" si="204"/>
        <v/>
      </c>
      <c r="AK315" s="637" t="str">
        <f t="shared" ref="AK315:BB315" ca="1" si="205">IFERROR(ADDRESS(ROW(貼付け_2024実績)+99,AK289+COLUMN(貼付け_2024実績),4),"")</f>
        <v/>
      </c>
      <c r="AL315" s="637" t="str">
        <f t="shared" ca="1" si="205"/>
        <v/>
      </c>
      <c r="AM315" s="637" t="str">
        <f t="shared" ca="1" si="205"/>
        <v/>
      </c>
      <c r="AN315" s="637" t="str">
        <f t="shared" ca="1" si="205"/>
        <v/>
      </c>
      <c r="AO315" s="637" t="str">
        <f t="shared" ca="1" si="205"/>
        <v/>
      </c>
      <c r="AP315" s="637" t="str">
        <f t="shared" ca="1" si="205"/>
        <v/>
      </c>
      <c r="AQ315" s="637" t="str">
        <f t="shared" ca="1" si="205"/>
        <v/>
      </c>
      <c r="AR315" s="637" t="str">
        <f t="shared" ca="1" si="205"/>
        <v/>
      </c>
      <c r="AS315" s="637" t="str">
        <f t="shared" ca="1" si="205"/>
        <v/>
      </c>
      <c r="AT315" s="637" t="str">
        <f t="shared" ca="1" si="205"/>
        <v/>
      </c>
      <c r="AU315" s="637" t="str">
        <f t="shared" ca="1" si="205"/>
        <v/>
      </c>
      <c r="AV315" s="637" t="str">
        <f t="shared" ca="1" si="205"/>
        <v/>
      </c>
      <c r="AW315" s="637" t="str">
        <f t="shared" ca="1" si="205"/>
        <v/>
      </c>
      <c r="AX315" s="637" t="str">
        <f t="shared" ca="1" si="205"/>
        <v/>
      </c>
      <c r="AY315" s="637" t="str">
        <f t="shared" ca="1" si="205"/>
        <v/>
      </c>
      <c r="AZ315" s="637" t="str">
        <f t="shared" ca="1" si="205"/>
        <v/>
      </c>
      <c r="BA315" s="637" t="str">
        <f t="shared" ca="1" si="205"/>
        <v/>
      </c>
      <c r="BB315" s="637" t="str">
        <f t="shared" ca="1" si="205"/>
        <v/>
      </c>
    </row>
  </sheetData>
  <sheetProtection formatCells="0"/>
  <dataConsolidate/>
  <mergeCells count="44">
    <mergeCell ref="B300:B303"/>
    <mergeCell ref="B304:B307"/>
    <mergeCell ref="B308:B311"/>
    <mergeCell ref="B312:B315"/>
    <mergeCell ref="B284:B295"/>
    <mergeCell ref="C296:D297"/>
    <mergeCell ref="F296:F297"/>
    <mergeCell ref="H296:H297"/>
    <mergeCell ref="J296:J297"/>
    <mergeCell ref="B299:D299"/>
    <mergeCell ref="HC12:HD12"/>
    <mergeCell ref="HE12:HF12"/>
    <mergeCell ref="HG12:HJ12"/>
    <mergeCell ref="B272:B283"/>
    <mergeCell ref="HC13:HF13"/>
    <mergeCell ref="HG13:HJ13"/>
    <mergeCell ref="HC14:HD14"/>
    <mergeCell ref="HG14:HH14"/>
    <mergeCell ref="HC15:HD15"/>
    <mergeCell ref="HG15:HH15"/>
    <mergeCell ref="F226:F227"/>
    <mergeCell ref="G226:H226"/>
    <mergeCell ref="B247:D247"/>
    <mergeCell ref="B248:B259"/>
    <mergeCell ref="B260:B271"/>
    <mergeCell ref="HC10:HD10"/>
    <mergeCell ref="HE10:HF10"/>
    <mergeCell ref="HG10:HJ10"/>
    <mergeCell ref="HC11:HD11"/>
    <mergeCell ref="HE11:HF11"/>
    <mergeCell ref="HG11:HJ11"/>
    <mergeCell ref="B6:J6"/>
    <mergeCell ref="HL8:HL9"/>
    <mergeCell ref="HM8:HP8"/>
    <mergeCell ref="HQ8:HT8"/>
    <mergeCell ref="HU8:HX8"/>
    <mergeCell ref="HR9:HS9"/>
    <mergeCell ref="HV9:HW9"/>
    <mergeCell ref="HY8:IB8"/>
    <mergeCell ref="HC9:HD9"/>
    <mergeCell ref="HE9:HF9"/>
    <mergeCell ref="HG9:HJ9"/>
    <mergeCell ref="HN9:HO9"/>
    <mergeCell ref="HZ9:IA9"/>
  </mergeCells>
  <phoneticPr fontId="4"/>
  <conditionalFormatting sqref="HL1:HM6">
    <cfRule type="duplicateValues" dxfId="9" priority="1"/>
  </conditionalFormatting>
  <dataValidations count="4">
    <dataValidation type="list" allowBlank="1" showInputMessage="1" showErrorMessage="1" sqref="HN10:HN59" xr:uid="{00000000-0002-0000-0200-000000000000}">
      <formula1>$BC$249:$DA$249</formula1>
    </dataValidation>
    <dataValidation type="list" allowBlank="1" showInputMessage="1" showErrorMessage="1" sqref="HV10:HV59" xr:uid="{00000000-0002-0000-0200-000001000000}">
      <formula1>$BC$273:$DA$273</formula1>
    </dataValidation>
    <dataValidation type="list" allowBlank="1" showInputMessage="1" showErrorMessage="1" sqref="HZ10:HZ59" xr:uid="{00000000-0002-0000-0200-000002000000}">
      <formula1>$BC$285:$DA$285</formula1>
    </dataValidation>
    <dataValidation type="list" allowBlank="1" showInputMessage="1" showErrorMessage="1" sqref="HR10:HR59" xr:uid="{00000000-0002-0000-0200-000003000000}">
      <formula1>$BC$261:$DA$261</formula1>
    </dataValidation>
  </dataValidations>
  <hyperlinks>
    <hyperlink ref="S3" location="A1_集計2024" display="集計(2024年度)" xr:uid="{00000000-0004-0000-0200-000000000000}"/>
    <hyperlink ref="T3" location="A1_原単位集計" display="A1_原単位集計" xr:uid="{00000000-0004-0000-0200-000001000000}"/>
    <hyperlink ref="B2" location="A.貼付_2026提出!B9" display="Ｂ９セルに2025年度排出量実績を貼付けてください。" xr:uid="{00000000-0004-0000-0200-000002000000}"/>
    <hyperlink ref="B6:J6" location="報告1面!R6" display="次に、「計画書本体」（Ｂ１シート）に必要事項を入力してください。" xr:uid="{00000000-0004-0000-0200-000003000000}"/>
  </hyperlinks>
  <pageMargins left="0.7" right="0.7" top="0.75" bottom="0.75" header="0.3" footer="0.3"/>
  <pageSetup paperSize="9" scale="31" fitToHeight="0" orientation="landscape"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200-000004000000}">
          <x14:formula1>
            <xm:f>'非表示_リスト(計画・実績報告)'!$G$49:$L$49</xm:f>
          </x14:formula1>
          <xm:sqref>K109:HB109</xm:sqref>
        </x14:dataValidation>
        <x14:dataValidation type="list" allowBlank="1" showInputMessage="1" xr:uid="{00000000-0002-0000-0200-000005000000}">
          <x14:formula1>
            <xm:f>'非表示_リスト(計画・実績報告)'!$G$33:$L$33</xm:f>
          </x14:formula1>
          <xm:sqref>HE10:HF10</xm:sqref>
        </x14:dataValidation>
        <x14:dataValidation type="list" allowBlank="1" showInputMessage="1" xr:uid="{00000000-0002-0000-0200-000006000000}">
          <x14:formula1>
            <xm:f>'非表示_リスト(計画・実績報告)'!$G$34:$L$34</xm:f>
          </x14:formula1>
          <xm:sqref>HG10:HJ10</xm:sqref>
        </x14:dataValidation>
        <x14:dataValidation type="list" allowBlank="1" showInputMessage="1" xr:uid="{00000000-0002-0000-0200-000007000000}">
          <x14:formula1>
            <xm:f>'非表示_リスト(計画・実績報告)'!$G$38:$L$38</xm:f>
          </x14:formula1>
          <xm:sqref>HE11:HF11</xm:sqref>
        </x14:dataValidation>
        <x14:dataValidation type="list" allowBlank="1" showInputMessage="1" xr:uid="{00000000-0002-0000-0200-000008000000}">
          <x14:formula1>
            <xm:f>'非表示_リスト(計画・実績報告)'!$G$39:$L$39</xm:f>
          </x14:formula1>
          <xm:sqref>HG11:HJ11</xm:sqref>
        </x14:dataValidation>
        <x14:dataValidation type="list" allowBlank="1" showInputMessage="1" xr:uid="{00000000-0002-0000-0200-000009000000}">
          <x14:formula1>
            <xm:f>'非表示_リスト(計画・実績報告)'!$G$41:$I$41</xm:f>
          </x14:formula1>
          <xm:sqref>I108</xm:sqref>
        </x14:dataValidation>
        <x14:dataValidation type="list" allowBlank="1" showInputMessage="1" xr:uid="{00000000-0002-0000-0200-00000A000000}">
          <x14:formula1>
            <xm:f>'非表示_リスト(計画・実績報告)'!$G$42:$I$42</xm:f>
          </x14:formula1>
          <xm:sqref>J108</xm:sqref>
        </x14:dataValidation>
        <x14:dataValidation type="list" allowBlank="1" showInputMessage="1" xr:uid="{00000000-0002-0000-0200-00000B000000}">
          <x14:formula1>
            <xm:f>'非表示_リスト(計画・実績報告)'!$G$44:$I$44</xm:f>
          </x14:formula1>
          <xm:sqref>I109</xm:sqref>
        </x14:dataValidation>
        <x14:dataValidation type="list" allowBlank="1" showInputMessage="1" xr:uid="{00000000-0002-0000-0200-00000C000000}">
          <x14:formula1>
            <xm:f>'非表示_リスト(計画・実績報告)'!$G$45:$I$45</xm:f>
          </x14:formula1>
          <xm:sqref>J109</xm:sqref>
        </x14:dataValidation>
        <x14:dataValidation type="list" allowBlank="1" showInputMessage="1" xr:uid="{00000000-0002-0000-0200-00000D000000}">
          <x14:formula1>
            <xm:f>'非表示_リスト(計画・実績報告)'!$G$47:$L$47</xm:f>
          </x14:formula1>
          <xm:sqref>K108:HB108</xm:sqref>
        </x14:dataValidation>
        <x14:dataValidation type="list" allowBlank="1" showInputMessage="1" xr:uid="{00000000-0002-0000-0200-00000E000000}">
          <x14:formula1>
            <xm:f>'非表示_リスト(計画・実績報告)'!$G$36:$L$36</xm:f>
          </x14:formula1>
          <xm:sqref>L11</xm:sqref>
        </x14:dataValidation>
        <x14:dataValidation type="list" allowBlank="1" showInputMessage="1" xr:uid="{00000000-0002-0000-0200-00000F000000}">
          <x14:formula1>
            <xm:f>'非表示_リスト(計画・実績報告)'!$G$37:$L$37</xm:f>
          </x14:formula1>
          <xm:sqref>M11</xm:sqref>
        </x14:dataValidation>
        <x14:dataValidation type="list" allowBlank="1" showInputMessage="1" xr:uid="{00000000-0002-0000-0200-000010000000}">
          <x14:formula1>
            <xm:f>'非表示_リスト(計画・実績報告)'!$G$31:$L$31</xm:f>
          </x14:formula1>
          <xm:sqref>L10</xm:sqref>
        </x14:dataValidation>
        <x14:dataValidation type="list" allowBlank="1" showInputMessage="1" xr:uid="{00000000-0002-0000-0200-000011000000}">
          <x14:formula1>
            <xm:f>'非表示_リスト(計画・実績報告)'!$G$32:$L$32</xm:f>
          </x14:formula1>
          <xm:sqref>M10</xm:sqref>
        </x14:dataValidation>
        <x14:dataValidation type="list" allowBlank="1" showInputMessage="1" showErrorMessage="1" xr:uid="{00000000-0002-0000-0200-000012000000}">
          <x14:formula1>
            <xm:f>'非表示_リスト(計画・実績報告)'!$G$25:$H$25</xm:f>
          </x14:formula1>
          <xm:sqref>J11</xm:sqref>
        </x14:dataValidation>
        <x14:dataValidation type="list" allowBlank="1" showInputMessage="1" showErrorMessage="1" xr:uid="{00000000-0002-0000-0200-000013000000}">
          <x14:formula1>
            <xm:f>'非表示_リスト(計画・実績報告)'!$G$24:$H$24</xm:f>
          </x14:formula1>
          <xm:sqref>J10</xm:sqref>
        </x14:dataValidation>
        <x14:dataValidation type="list" allowBlank="1" showInputMessage="1" showErrorMessage="1" xr:uid="{00000000-0002-0000-0200-000014000000}">
          <x14:formula1>
            <xm:f>'非表示_リスト(計画・実績報告)'!$G$14:$H$14</xm:f>
          </x14:formula1>
          <xm:sqref>H12</xm:sqref>
        </x14:dataValidation>
        <x14:dataValidation type="list" allowBlank="1" showInputMessage="1" showErrorMessage="1" xr:uid="{00000000-0002-0000-0200-000015000000}">
          <x14:formula1>
            <xm:f>'非表示_リスト(計画・実績報告)'!$G$13:$H$13</xm:f>
          </x14:formula1>
          <xm:sqref>H11</xm:sqref>
        </x14:dataValidation>
        <x14:dataValidation type="list" allowBlank="1" showInputMessage="1" showErrorMessage="1" xr:uid="{00000000-0002-0000-0200-000016000000}">
          <x14:formula1>
            <xm:f>'非表示_リスト(計画・実績報告)'!$G$12:$H$12</xm:f>
          </x14:formula1>
          <xm:sqref>H10</xm:sqref>
        </x14:dataValidation>
        <x14:dataValidation type="list" allowBlank="1" showInputMessage="1" xr:uid="{00000000-0002-0000-0200-000017000000}">
          <x14:formula1>
            <xm:f>'非表示_リスト(計画・実績報告)'!$G$5:$K$5</xm:f>
          </x14:formula1>
          <xm:sqref>F9</xm:sqref>
        </x14:dataValidation>
        <x14:dataValidation type="list" allowBlank="1" showInputMessage="1" showErrorMessage="1" xr:uid="{00000000-0002-0000-0200-000018000000}">
          <x14:formula1>
            <xm:f>'非表示_リスト(計画・実績報告)'!$G$52:$H$52</xm:f>
          </x14:formula1>
          <xm:sqref>N11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IH315"/>
  <sheetViews>
    <sheetView showGridLines="0" zoomScale="80" zoomScaleNormal="80" workbookViewId="0">
      <selection activeCell="B9" sqref="B9"/>
    </sheetView>
  </sheetViews>
  <sheetFormatPr defaultColWidth="10" defaultRowHeight="18" outlineLevelCol="1"/>
  <cols>
    <col min="1" max="1" width="10.109375" style="156" bestFit="1" customWidth="1"/>
    <col min="2" max="2" width="18.88671875" style="156" customWidth="1"/>
    <col min="3" max="3" width="10.109375" style="156" bestFit="1" customWidth="1"/>
    <col min="4" max="4" width="10.44140625" style="156" customWidth="1"/>
    <col min="5" max="10" width="12.88671875" style="156" bestFit="1" customWidth="1"/>
    <col min="11" max="210" width="10" style="156" customWidth="1" outlineLevel="1"/>
    <col min="211" max="218" width="9.44140625" style="156" customWidth="1"/>
    <col min="219" max="219" width="10" style="156"/>
    <col min="220" max="220" width="5.77734375" style="156" customWidth="1"/>
    <col min="221" max="236" width="13.21875" style="156" customWidth="1"/>
    <col min="237" max="238" width="10" style="156"/>
    <col min="239" max="242" width="10" style="159" hidden="1" customWidth="1"/>
    <col min="243" max="16384" width="10" style="156"/>
  </cols>
  <sheetData>
    <row r="1" spans="1:242" ht="39.9" customHeight="1">
      <c r="A1" s="152" t="s">
        <v>704</v>
      </c>
      <c r="B1" s="153"/>
      <c r="C1" s="154"/>
      <c r="D1" s="155"/>
      <c r="E1" s="154"/>
      <c r="F1" s="155"/>
      <c r="G1" s="154"/>
      <c r="H1" s="155"/>
      <c r="I1" s="154"/>
      <c r="J1" s="155"/>
      <c r="K1" s="154"/>
      <c r="L1" s="155"/>
      <c r="M1" s="154"/>
      <c r="N1" s="155"/>
      <c r="O1" s="154"/>
      <c r="P1" s="155"/>
      <c r="Q1" s="154"/>
      <c r="R1" s="155"/>
      <c r="S1" s="154"/>
      <c r="T1" s="155"/>
      <c r="U1" s="154"/>
      <c r="V1" s="155"/>
      <c r="W1" s="154"/>
      <c r="X1" s="155"/>
      <c r="Y1" s="154"/>
      <c r="Z1" s="155"/>
      <c r="AA1" s="154"/>
      <c r="AB1" s="155"/>
      <c r="AC1" s="154"/>
      <c r="AD1" s="155"/>
      <c r="AE1" s="154"/>
      <c r="AF1" s="155"/>
      <c r="AG1" s="154"/>
      <c r="AH1" s="155"/>
      <c r="AI1" s="154"/>
      <c r="AJ1" s="155"/>
      <c r="AK1" s="154"/>
      <c r="AL1" s="155"/>
      <c r="AM1" s="154"/>
      <c r="AN1" s="155"/>
      <c r="AO1" s="154"/>
      <c r="AP1" s="155"/>
      <c r="AQ1" s="154"/>
      <c r="AR1" s="155"/>
      <c r="AS1" s="154"/>
      <c r="AT1" s="155"/>
      <c r="AU1" s="154"/>
      <c r="AV1" s="155"/>
      <c r="AW1" s="154"/>
      <c r="AX1" s="155"/>
      <c r="AY1" s="154"/>
      <c r="AZ1" s="155"/>
      <c r="BA1" s="154"/>
      <c r="BB1" s="155"/>
      <c r="BC1" s="154"/>
      <c r="BD1" s="155"/>
      <c r="BE1" s="154"/>
      <c r="BF1" s="155"/>
      <c r="BG1" s="154"/>
      <c r="BH1" s="155"/>
      <c r="BI1" s="154"/>
      <c r="BJ1" s="155"/>
      <c r="BK1" s="154"/>
      <c r="BL1" s="155"/>
      <c r="BM1" s="154"/>
      <c r="BN1" s="155"/>
      <c r="BO1" s="154"/>
      <c r="BP1" s="155"/>
      <c r="BQ1" s="154"/>
      <c r="BR1" s="155"/>
      <c r="BS1" s="154"/>
      <c r="BT1" s="155"/>
      <c r="BU1" s="154"/>
      <c r="BV1" s="155"/>
      <c r="BW1" s="154"/>
      <c r="BX1" s="155"/>
      <c r="BY1" s="154"/>
      <c r="BZ1" s="155"/>
      <c r="CA1" s="154"/>
      <c r="CB1" s="155"/>
      <c r="CC1" s="154"/>
      <c r="CD1" s="155"/>
      <c r="CE1" s="154"/>
      <c r="CF1" s="155"/>
      <c r="CG1" s="154"/>
      <c r="CH1" s="155"/>
      <c r="CI1" s="154"/>
      <c r="CJ1" s="155"/>
      <c r="CK1" s="154"/>
      <c r="CL1" s="155"/>
      <c r="CM1" s="154"/>
      <c r="CN1" s="155"/>
      <c r="CO1" s="154"/>
      <c r="CP1" s="155"/>
      <c r="CQ1" s="154"/>
      <c r="CR1" s="155"/>
      <c r="CS1" s="154"/>
      <c r="CT1" s="155"/>
      <c r="CU1" s="154"/>
      <c r="CV1" s="155"/>
      <c r="CW1" s="154"/>
      <c r="CX1" s="155"/>
      <c r="CY1" s="154"/>
      <c r="CZ1" s="155"/>
      <c r="DA1" s="154"/>
      <c r="DB1" s="155"/>
      <c r="DC1" s="154"/>
      <c r="DD1" s="155"/>
      <c r="DE1" s="154"/>
      <c r="DF1" s="155"/>
      <c r="DG1" s="154"/>
      <c r="DH1" s="155"/>
      <c r="DI1" s="154"/>
      <c r="DJ1" s="155"/>
      <c r="DK1" s="154"/>
      <c r="DL1" s="155"/>
      <c r="DM1" s="154"/>
      <c r="DN1" s="155"/>
      <c r="DO1" s="154"/>
      <c r="DP1" s="155"/>
      <c r="DQ1" s="154"/>
      <c r="DR1" s="155"/>
      <c r="DS1" s="154"/>
      <c r="DT1" s="155"/>
      <c r="DU1" s="154"/>
      <c r="DV1" s="155"/>
      <c r="DW1" s="154"/>
      <c r="DX1" s="155"/>
      <c r="DY1" s="154"/>
      <c r="DZ1" s="155"/>
      <c r="EA1" s="154"/>
      <c r="EB1" s="155"/>
      <c r="EC1" s="154"/>
      <c r="ED1" s="155"/>
      <c r="EE1" s="154"/>
      <c r="EF1" s="155"/>
      <c r="EG1" s="154"/>
      <c r="EH1" s="155"/>
      <c r="EI1" s="154"/>
      <c r="EJ1" s="155"/>
      <c r="EK1" s="154"/>
      <c r="EL1" s="155"/>
      <c r="EM1" s="154"/>
      <c r="EN1" s="155"/>
      <c r="EO1" s="154"/>
      <c r="EP1" s="155"/>
      <c r="EQ1" s="154"/>
      <c r="ER1" s="155"/>
      <c r="ES1" s="154"/>
      <c r="ET1" s="155"/>
      <c r="EU1" s="154"/>
      <c r="EV1" s="155"/>
      <c r="EW1" s="154"/>
      <c r="EX1" s="155"/>
      <c r="EY1" s="154"/>
      <c r="EZ1" s="155"/>
      <c r="FA1" s="154"/>
      <c r="FB1" s="155"/>
      <c r="FC1" s="154"/>
      <c r="FD1" s="155"/>
      <c r="FE1" s="154"/>
      <c r="FF1" s="155"/>
      <c r="FG1" s="154"/>
      <c r="FH1" s="155"/>
      <c r="FI1" s="154"/>
      <c r="FJ1" s="155"/>
      <c r="FK1" s="154"/>
      <c r="FL1" s="155"/>
      <c r="FM1" s="154"/>
      <c r="FN1" s="155"/>
      <c r="FO1" s="154"/>
      <c r="FP1" s="155"/>
      <c r="FQ1" s="154"/>
      <c r="FR1" s="155"/>
      <c r="FS1" s="154"/>
      <c r="FT1" s="155"/>
      <c r="FU1" s="154"/>
      <c r="FV1" s="155"/>
      <c r="FW1" s="154"/>
      <c r="FX1" s="155"/>
      <c r="FY1" s="154"/>
      <c r="FZ1" s="155"/>
      <c r="GA1" s="154"/>
      <c r="GB1" s="155"/>
      <c r="GC1" s="154"/>
      <c r="GD1" s="155"/>
      <c r="GE1" s="154"/>
      <c r="GF1" s="155"/>
      <c r="GG1" s="154"/>
      <c r="GH1" s="155"/>
      <c r="GI1" s="154"/>
      <c r="GJ1" s="155"/>
      <c r="GK1" s="154"/>
      <c r="GL1" s="155"/>
      <c r="GM1" s="154"/>
      <c r="GN1" s="155"/>
      <c r="GO1" s="154"/>
      <c r="GP1" s="155"/>
      <c r="GQ1" s="154"/>
      <c r="GR1" s="155"/>
      <c r="GS1" s="154"/>
      <c r="GT1" s="155"/>
      <c r="GU1" s="154"/>
      <c r="GV1" s="155"/>
      <c r="GW1" s="154"/>
      <c r="GX1" s="155"/>
      <c r="GY1" s="154"/>
      <c r="GZ1" s="155"/>
      <c r="HA1" s="154"/>
      <c r="HB1" s="155"/>
      <c r="HC1" s="154"/>
      <c r="HD1" s="155"/>
      <c r="HE1" s="154"/>
      <c r="HF1" s="155"/>
      <c r="HG1" s="154"/>
      <c r="HH1" s="155"/>
      <c r="HI1" s="154"/>
      <c r="HJ1" s="155"/>
      <c r="HL1" s="157" t="s">
        <v>484</v>
      </c>
      <c r="HM1" s="158"/>
    </row>
    <row r="2" spans="1:242" ht="26.4">
      <c r="A2" s="703" t="s">
        <v>485</v>
      </c>
      <c r="B2" s="732" t="s">
        <v>705</v>
      </c>
      <c r="C2" s="160"/>
      <c r="D2" s="161"/>
      <c r="E2" s="161"/>
      <c r="F2" s="162"/>
      <c r="G2" s="704"/>
      <c r="H2" s="163"/>
      <c r="I2" s="160"/>
      <c r="J2" s="161"/>
      <c r="K2" s="154"/>
      <c r="L2" s="155"/>
      <c r="M2" s="154"/>
      <c r="N2" s="155"/>
      <c r="O2" s="154"/>
      <c r="P2" s="155"/>
      <c r="Q2" s="154"/>
      <c r="R2" s="155"/>
      <c r="S2" s="154"/>
      <c r="T2" s="155"/>
      <c r="U2" s="154"/>
      <c r="V2" s="155"/>
      <c r="W2" s="154"/>
      <c r="X2" s="155"/>
      <c r="Y2" s="154"/>
      <c r="Z2" s="155"/>
      <c r="AA2" s="154"/>
      <c r="AB2" s="155"/>
      <c r="AC2" s="154"/>
      <c r="AD2" s="155"/>
      <c r="AE2" s="154"/>
      <c r="AF2" s="155"/>
      <c r="AG2" s="154"/>
      <c r="AH2" s="155"/>
      <c r="AI2" s="154"/>
      <c r="AJ2" s="155"/>
      <c r="AK2" s="154"/>
      <c r="AL2" s="155"/>
      <c r="AM2" s="154"/>
      <c r="AN2" s="155"/>
      <c r="AO2" s="154"/>
      <c r="AP2" s="155"/>
      <c r="AQ2" s="154"/>
      <c r="AR2" s="155"/>
      <c r="AS2" s="154"/>
      <c r="AT2" s="155"/>
      <c r="AU2" s="154"/>
      <c r="AV2" s="155"/>
      <c r="AW2" s="154"/>
      <c r="AX2" s="155"/>
      <c r="AY2" s="154"/>
      <c r="AZ2" s="155"/>
      <c r="BA2" s="154"/>
      <c r="BB2" s="155"/>
      <c r="BC2" s="154"/>
      <c r="BD2" s="155"/>
      <c r="BE2" s="154"/>
      <c r="BF2" s="155"/>
      <c r="BG2" s="154"/>
      <c r="BH2" s="155"/>
      <c r="BI2" s="154"/>
      <c r="BJ2" s="155"/>
      <c r="BK2" s="154"/>
      <c r="BL2" s="155"/>
      <c r="BM2" s="154"/>
      <c r="BN2" s="155"/>
      <c r="BO2" s="154"/>
      <c r="BP2" s="155"/>
      <c r="BQ2" s="154"/>
      <c r="BR2" s="155"/>
      <c r="BS2" s="154"/>
      <c r="BT2" s="155"/>
      <c r="BU2" s="154"/>
      <c r="BV2" s="155"/>
      <c r="BW2" s="154"/>
      <c r="BX2" s="155"/>
      <c r="BY2" s="154"/>
      <c r="BZ2" s="155"/>
      <c r="CA2" s="154"/>
      <c r="CB2" s="155"/>
      <c r="CC2" s="154"/>
      <c r="CD2" s="155"/>
      <c r="CE2" s="154"/>
      <c r="CF2" s="155"/>
      <c r="CG2" s="154"/>
      <c r="CH2" s="155"/>
      <c r="CI2" s="154"/>
      <c r="CJ2" s="155"/>
      <c r="CK2" s="154"/>
      <c r="CL2" s="155"/>
      <c r="CM2" s="154"/>
      <c r="CN2" s="155"/>
      <c r="CO2" s="154"/>
      <c r="CP2" s="155"/>
      <c r="CQ2" s="154"/>
      <c r="CR2" s="155"/>
      <c r="CS2" s="154"/>
      <c r="CT2" s="155"/>
      <c r="CU2" s="154"/>
      <c r="CV2" s="155"/>
      <c r="CW2" s="154"/>
      <c r="CX2" s="155"/>
      <c r="CY2" s="154"/>
      <c r="CZ2" s="155"/>
      <c r="DA2" s="154"/>
      <c r="DB2" s="155"/>
      <c r="DC2" s="154"/>
      <c r="DD2" s="155"/>
      <c r="DE2" s="154"/>
      <c r="DF2" s="155"/>
      <c r="DG2" s="154"/>
      <c r="DH2" s="155"/>
      <c r="DI2" s="154"/>
      <c r="DJ2" s="155"/>
      <c r="DK2" s="154"/>
      <c r="DL2" s="155"/>
      <c r="DM2" s="154"/>
      <c r="DN2" s="155"/>
      <c r="DO2" s="154"/>
      <c r="DP2" s="155"/>
      <c r="DQ2" s="154"/>
      <c r="DR2" s="155"/>
      <c r="DS2" s="154"/>
      <c r="DT2" s="155"/>
      <c r="DU2" s="154"/>
      <c r="DV2" s="155"/>
      <c r="DW2" s="154"/>
      <c r="DX2" s="155"/>
      <c r="DY2" s="154"/>
      <c r="DZ2" s="155"/>
      <c r="EA2" s="154"/>
      <c r="EB2" s="155"/>
      <c r="EC2" s="154"/>
      <c r="ED2" s="155"/>
      <c r="EE2" s="154"/>
      <c r="EF2" s="155"/>
      <c r="EG2" s="154"/>
      <c r="EH2" s="155"/>
      <c r="EI2" s="154"/>
      <c r="EJ2" s="155"/>
      <c r="EK2" s="154"/>
      <c r="EL2" s="155"/>
      <c r="EM2" s="154"/>
      <c r="EN2" s="155"/>
      <c r="EO2" s="154"/>
      <c r="EP2" s="155"/>
      <c r="EQ2" s="154"/>
      <c r="ER2" s="155"/>
      <c r="ES2" s="154"/>
      <c r="ET2" s="155"/>
      <c r="EU2" s="154"/>
      <c r="EV2" s="155"/>
      <c r="EW2" s="154"/>
      <c r="EX2" s="155"/>
      <c r="EY2" s="154"/>
      <c r="EZ2" s="155"/>
      <c r="FA2" s="154"/>
      <c r="FB2" s="155"/>
      <c r="FC2" s="154"/>
      <c r="FD2" s="155"/>
      <c r="FE2" s="154"/>
      <c r="FF2" s="155"/>
      <c r="FG2" s="154"/>
      <c r="FH2" s="155"/>
      <c r="FI2" s="154"/>
      <c r="FJ2" s="155"/>
      <c r="FK2" s="154"/>
      <c r="FL2" s="155"/>
      <c r="FM2" s="154"/>
      <c r="FN2" s="155"/>
      <c r="FO2" s="154"/>
      <c r="FP2" s="155"/>
      <c r="FQ2" s="154"/>
      <c r="FR2" s="155"/>
      <c r="FS2" s="154"/>
      <c r="FT2" s="155"/>
      <c r="FU2" s="154"/>
      <c r="FV2" s="155"/>
      <c r="FW2" s="154"/>
      <c r="FX2" s="155"/>
      <c r="FY2" s="154"/>
      <c r="FZ2" s="155"/>
      <c r="GA2" s="154"/>
      <c r="GB2" s="155"/>
      <c r="GC2" s="154"/>
      <c r="GD2" s="155"/>
      <c r="GE2" s="154"/>
      <c r="GF2" s="155"/>
      <c r="GG2" s="154"/>
      <c r="GH2" s="155"/>
      <c r="GI2" s="154"/>
      <c r="GJ2" s="155"/>
      <c r="GK2" s="154"/>
      <c r="GL2" s="155"/>
      <c r="GM2" s="154"/>
      <c r="GN2" s="155"/>
      <c r="GO2" s="154"/>
      <c r="GP2" s="155"/>
      <c r="GQ2" s="154"/>
      <c r="GR2" s="155"/>
      <c r="GS2" s="154"/>
      <c r="GT2" s="155"/>
      <c r="GU2" s="154"/>
      <c r="GV2" s="155"/>
      <c r="GW2" s="154"/>
      <c r="GX2" s="155"/>
      <c r="GY2" s="154"/>
      <c r="GZ2" s="155"/>
      <c r="HA2" s="154"/>
      <c r="HB2" s="155"/>
      <c r="HC2" s="154"/>
      <c r="HD2" s="155"/>
      <c r="HE2" s="154"/>
      <c r="HF2" s="155"/>
      <c r="HG2" s="154"/>
      <c r="HH2" s="155"/>
      <c r="HI2" s="154"/>
      <c r="HJ2" s="155"/>
      <c r="HL2" s="158"/>
      <c r="HM2" s="158" t="s">
        <v>487</v>
      </c>
    </row>
    <row r="3" spans="1:242" ht="26.4">
      <c r="A3" s="703" t="s">
        <v>488</v>
      </c>
      <c r="B3" s="165" t="str">
        <f>IF(N11&lt;&gt;"■","「前年度からの法人情報変更有無」、「区分」を選択してください。","")</f>
        <v>「前年度からの法人情報変更有無」、「区分」を選択してください。</v>
      </c>
      <c r="C3" s="162"/>
      <c r="D3" s="162"/>
      <c r="E3" s="162"/>
      <c r="F3" s="162"/>
      <c r="G3" s="704"/>
      <c r="H3" s="163"/>
      <c r="I3" s="160"/>
      <c r="J3" s="161"/>
      <c r="K3" s="154"/>
      <c r="L3" s="154"/>
      <c r="M3" s="154"/>
      <c r="N3" s="154"/>
      <c r="O3" s="154"/>
      <c r="P3" s="16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67" t="s">
        <v>489</v>
      </c>
      <c r="HM3" s="167"/>
    </row>
    <row r="4" spans="1:242" ht="26.4">
      <c r="A4" s="703" t="s">
        <v>490</v>
      </c>
      <c r="B4" s="165"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162"/>
      <c r="D4" s="162"/>
      <c r="E4" s="162"/>
      <c r="F4" s="162"/>
      <c r="G4" s="704"/>
      <c r="H4" s="168"/>
      <c r="I4" s="160"/>
      <c r="J4" s="161"/>
      <c r="K4" s="154"/>
      <c r="L4" s="154"/>
      <c r="M4" s="154"/>
      <c r="N4" s="154"/>
      <c r="O4" s="154"/>
      <c r="P4" s="166"/>
      <c r="Q4" s="154"/>
      <c r="R4" s="154"/>
      <c r="S4" s="154"/>
      <c r="T4" s="154"/>
      <c r="V4" s="705"/>
      <c r="W4" s="705"/>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8" t="s">
        <v>491</v>
      </c>
      <c r="HM4" s="167"/>
    </row>
    <row r="5" spans="1:242" ht="26.4">
      <c r="A5" s="703" t="s">
        <v>492</v>
      </c>
      <c r="B5" s="165" t="str">
        <f>IF(N11&lt;&gt;"■","「工場等の名称」が過年度と一致しているか確認してください。","")</f>
        <v>「工場等の名称」が過年度と一致しているか確認してください。</v>
      </c>
      <c r="C5" s="162"/>
      <c r="D5" s="161"/>
      <c r="E5" s="161"/>
      <c r="F5" s="706"/>
      <c r="G5" s="704"/>
      <c r="H5" s="168"/>
      <c r="I5" s="160"/>
      <c r="J5" s="161"/>
      <c r="K5" s="154"/>
      <c r="L5" s="154"/>
      <c r="M5" s="154"/>
      <c r="N5" s="154"/>
      <c r="O5" s="154"/>
      <c r="P5" s="166"/>
      <c r="Q5" s="154"/>
      <c r="R5" s="154"/>
      <c r="S5" s="154"/>
      <c r="T5" s="154"/>
      <c r="V5" s="705"/>
      <c r="W5" s="705"/>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8" t="s">
        <v>1283</v>
      </c>
      <c r="HM5" s="167"/>
    </row>
    <row r="6" spans="1:242" ht="26.4">
      <c r="A6" s="169" t="s">
        <v>1269</v>
      </c>
      <c r="B6" s="1020" t="s">
        <v>1268</v>
      </c>
      <c r="C6" s="1020"/>
      <c r="D6" s="1020"/>
      <c r="E6" s="1020"/>
      <c r="F6" s="1020"/>
      <c r="G6" s="1020"/>
      <c r="H6" s="1020"/>
      <c r="I6" s="1020"/>
      <c r="J6" s="1021"/>
      <c r="K6" s="643" t="s">
        <v>444</v>
      </c>
      <c r="L6" s="644" t="str">
        <f>L14&amp;""</f>
        <v/>
      </c>
      <c r="M6" s="644"/>
      <c r="N6" s="645"/>
      <c r="O6" s="643" t="s">
        <v>444</v>
      </c>
      <c r="P6" s="644" t="str">
        <f t="shared" ref="P6" si="0">P14&amp;""</f>
        <v/>
      </c>
      <c r="Q6" s="644"/>
      <c r="R6" s="645"/>
      <c r="S6" s="643" t="s">
        <v>444</v>
      </c>
      <c r="T6" s="644" t="str">
        <f t="shared" ref="T6" si="1">T14&amp;""</f>
        <v/>
      </c>
      <c r="U6" s="644"/>
      <c r="V6" s="645"/>
      <c r="W6" s="643" t="s">
        <v>444</v>
      </c>
      <c r="X6" s="644" t="str">
        <f t="shared" ref="X6" si="2">X14&amp;""</f>
        <v/>
      </c>
      <c r="Y6" s="644"/>
      <c r="Z6" s="645"/>
      <c r="AA6" s="643" t="s">
        <v>444</v>
      </c>
      <c r="AB6" s="644" t="str">
        <f t="shared" ref="AB6" si="3">AB14&amp;""</f>
        <v/>
      </c>
      <c r="AC6" s="644"/>
      <c r="AD6" s="645"/>
      <c r="AE6" s="643" t="s">
        <v>444</v>
      </c>
      <c r="AF6" s="644" t="str">
        <f t="shared" ref="AF6" si="4">AF14&amp;""</f>
        <v/>
      </c>
      <c r="AG6" s="644"/>
      <c r="AH6" s="645"/>
      <c r="AI6" s="643" t="s">
        <v>444</v>
      </c>
      <c r="AJ6" s="644" t="str">
        <f t="shared" ref="AJ6" si="5">AJ14&amp;""</f>
        <v/>
      </c>
      <c r="AK6" s="644"/>
      <c r="AL6" s="645"/>
      <c r="AM6" s="643" t="s">
        <v>444</v>
      </c>
      <c r="AN6" s="644" t="str">
        <f t="shared" ref="AN6" si="6">AN14&amp;""</f>
        <v/>
      </c>
      <c r="AO6" s="644"/>
      <c r="AP6" s="645"/>
      <c r="AQ6" s="643" t="s">
        <v>444</v>
      </c>
      <c r="AR6" s="644" t="str">
        <f t="shared" ref="AR6" si="7">AR14&amp;""</f>
        <v/>
      </c>
      <c r="AS6" s="644"/>
      <c r="AT6" s="645"/>
      <c r="AU6" s="643" t="s">
        <v>444</v>
      </c>
      <c r="AV6" s="644" t="str">
        <f t="shared" ref="AV6" si="8">AV14&amp;""</f>
        <v/>
      </c>
      <c r="AW6" s="644"/>
      <c r="AX6" s="645"/>
      <c r="AY6" s="643" t="s">
        <v>444</v>
      </c>
      <c r="AZ6" s="644" t="str">
        <f t="shared" ref="AZ6" si="9">AZ14&amp;""</f>
        <v/>
      </c>
      <c r="BA6" s="644"/>
      <c r="BB6" s="645"/>
      <c r="BC6" s="643" t="s">
        <v>444</v>
      </c>
      <c r="BD6" s="644" t="str">
        <f t="shared" ref="BD6" si="10">BD14&amp;""</f>
        <v/>
      </c>
      <c r="BE6" s="644"/>
      <c r="BF6" s="645"/>
      <c r="BG6" s="643" t="s">
        <v>444</v>
      </c>
      <c r="BH6" s="644" t="str">
        <f t="shared" ref="BH6" si="11">BH14&amp;""</f>
        <v/>
      </c>
      <c r="BI6" s="644"/>
      <c r="BJ6" s="645"/>
      <c r="BK6" s="643" t="s">
        <v>444</v>
      </c>
      <c r="BL6" s="644" t="str">
        <f t="shared" ref="BL6" si="12">BL14&amp;""</f>
        <v/>
      </c>
      <c r="BM6" s="644"/>
      <c r="BN6" s="645"/>
      <c r="BO6" s="643" t="s">
        <v>444</v>
      </c>
      <c r="BP6" s="644" t="str">
        <f t="shared" ref="BP6" si="13">BP14&amp;""</f>
        <v/>
      </c>
      <c r="BQ6" s="644"/>
      <c r="BR6" s="645"/>
      <c r="BS6" s="643" t="s">
        <v>444</v>
      </c>
      <c r="BT6" s="644" t="str">
        <f t="shared" ref="BT6" si="14">BT14&amp;""</f>
        <v/>
      </c>
      <c r="BU6" s="644"/>
      <c r="BV6" s="645"/>
      <c r="BW6" s="643" t="s">
        <v>444</v>
      </c>
      <c r="BX6" s="644" t="str">
        <f t="shared" ref="BX6" si="15">BX14&amp;""</f>
        <v/>
      </c>
      <c r="BY6" s="644"/>
      <c r="BZ6" s="645"/>
      <c r="CA6" s="643" t="s">
        <v>444</v>
      </c>
      <c r="CB6" s="644" t="str">
        <f t="shared" ref="CB6" si="16">CB14&amp;""</f>
        <v/>
      </c>
      <c r="CC6" s="644"/>
      <c r="CD6" s="645"/>
      <c r="CE6" s="643" t="s">
        <v>444</v>
      </c>
      <c r="CF6" s="644" t="str">
        <f t="shared" ref="CF6" si="17">CF14&amp;""</f>
        <v/>
      </c>
      <c r="CG6" s="644"/>
      <c r="CH6" s="645"/>
      <c r="CI6" s="643" t="s">
        <v>444</v>
      </c>
      <c r="CJ6" s="644" t="str">
        <f t="shared" ref="CJ6" si="18">CJ14&amp;""</f>
        <v/>
      </c>
      <c r="CK6" s="644"/>
      <c r="CL6" s="645"/>
      <c r="CM6" s="643" t="s">
        <v>444</v>
      </c>
      <c r="CN6" s="644" t="str">
        <f t="shared" ref="CN6" si="19">CN14&amp;""</f>
        <v/>
      </c>
      <c r="CO6" s="644"/>
      <c r="CP6" s="645"/>
      <c r="CQ6" s="643" t="s">
        <v>444</v>
      </c>
      <c r="CR6" s="644" t="str">
        <f t="shared" ref="CR6" si="20">CR14&amp;""</f>
        <v/>
      </c>
      <c r="CS6" s="644"/>
      <c r="CT6" s="645"/>
      <c r="CU6" s="643" t="s">
        <v>444</v>
      </c>
      <c r="CV6" s="644" t="str">
        <f t="shared" ref="CV6" si="21">CV14&amp;""</f>
        <v/>
      </c>
      <c r="CW6" s="644"/>
      <c r="CX6" s="645"/>
      <c r="CY6" s="643" t="s">
        <v>444</v>
      </c>
      <c r="CZ6" s="644" t="str">
        <f t="shared" ref="CZ6" si="22">CZ14&amp;""</f>
        <v/>
      </c>
      <c r="DA6" s="644"/>
      <c r="DB6" s="645"/>
      <c r="DC6" s="643" t="s">
        <v>444</v>
      </c>
      <c r="DD6" s="644" t="str">
        <f t="shared" ref="DD6" si="23">DD14&amp;""</f>
        <v/>
      </c>
      <c r="DE6" s="644"/>
      <c r="DF6" s="645"/>
      <c r="DG6" s="643" t="s">
        <v>444</v>
      </c>
      <c r="DH6" s="644" t="str">
        <f t="shared" ref="DH6" si="24">DH14&amp;""</f>
        <v/>
      </c>
      <c r="DI6" s="644"/>
      <c r="DJ6" s="645"/>
      <c r="DK6" s="643" t="s">
        <v>444</v>
      </c>
      <c r="DL6" s="644" t="str">
        <f t="shared" ref="DL6" si="25">DL14&amp;""</f>
        <v/>
      </c>
      <c r="DM6" s="644"/>
      <c r="DN6" s="645"/>
      <c r="DO6" s="643" t="s">
        <v>444</v>
      </c>
      <c r="DP6" s="644" t="str">
        <f t="shared" ref="DP6" si="26">DP14&amp;""</f>
        <v/>
      </c>
      <c r="DQ6" s="644"/>
      <c r="DR6" s="645"/>
      <c r="DS6" s="643" t="s">
        <v>444</v>
      </c>
      <c r="DT6" s="644" t="str">
        <f t="shared" ref="DT6" si="27">DT14&amp;""</f>
        <v/>
      </c>
      <c r="DU6" s="644"/>
      <c r="DV6" s="645"/>
      <c r="DW6" s="643" t="s">
        <v>444</v>
      </c>
      <c r="DX6" s="644" t="str">
        <f t="shared" ref="DX6" si="28">DX14&amp;""</f>
        <v/>
      </c>
      <c r="DY6" s="644"/>
      <c r="DZ6" s="645"/>
      <c r="EA6" s="643" t="s">
        <v>444</v>
      </c>
      <c r="EB6" s="644" t="str">
        <f t="shared" ref="EB6" si="29">EB14&amp;""</f>
        <v/>
      </c>
      <c r="EC6" s="644"/>
      <c r="ED6" s="645"/>
      <c r="EE6" s="643" t="s">
        <v>444</v>
      </c>
      <c r="EF6" s="644" t="str">
        <f t="shared" ref="EF6" si="30">EF14&amp;""</f>
        <v/>
      </c>
      <c r="EG6" s="644"/>
      <c r="EH6" s="645"/>
      <c r="EI6" s="643" t="s">
        <v>444</v>
      </c>
      <c r="EJ6" s="644" t="str">
        <f t="shared" ref="EJ6" si="31">EJ14&amp;""</f>
        <v/>
      </c>
      <c r="EK6" s="644"/>
      <c r="EL6" s="645"/>
      <c r="EM6" s="643" t="s">
        <v>444</v>
      </c>
      <c r="EN6" s="644" t="str">
        <f t="shared" ref="EN6" si="32">EN14&amp;""</f>
        <v/>
      </c>
      <c r="EO6" s="644"/>
      <c r="EP6" s="645"/>
      <c r="EQ6" s="643" t="s">
        <v>444</v>
      </c>
      <c r="ER6" s="644" t="str">
        <f t="shared" ref="ER6" si="33">ER14&amp;""</f>
        <v/>
      </c>
      <c r="ES6" s="644"/>
      <c r="ET6" s="645"/>
      <c r="EU6" s="643" t="s">
        <v>444</v>
      </c>
      <c r="EV6" s="644" t="str">
        <f t="shared" ref="EV6" si="34">EV14&amp;""</f>
        <v/>
      </c>
      <c r="EW6" s="644"/>
      <c r="EX6" s="645"/>
      <c r="EY6" s="643" t="s">
        <v>444</v>
      </c>
      <c r="EZ6" s="644" t="str">
        <f t="shared" ref="EZ6" si="35">EZ14&amp;""</f>
        <v/>
      </c>
      <c r="FA6" s="644"/>
      <c r="FB6" s="645"/>
      <c r="FC6" s="643" t="s">
        <v>444</v>
      </c>
      <c r="FD6" s="644" t="str">
        <f t="shared" ref="FD6" si="36">FD14&amp;""</f>
        <v/>
      </c>
      <c r="FE6" s="644"/>
      <c r="FF6" s="645"/>
      <c r="FG6" s="643" t="s">
        <v>444</v>
      </c>
      <c r="FH6" s="644" t="str">
        <f t="shared" ref="FH6" si="37">FH14&amp;""</f>
        <v/>
      </c>
      <c r="FI6" s="644"/>
      <c r="FJ6" s="645"/>
      <c r="FK6" s="643" t="s">
        <v>444</v>
      </c>
      <c r="FL6" s="644" t="str">
        <f t="shared" ref="FL6" si="38">FL14&amp;""</f>
        <v/>
      </c>
      <c r="FM6" s="644"/>
      <c r="FN6" s="645"/>
      <c r="FO6" s="643" t="s">
        <v>444</v>
      </c>
      <c r="FP6" s="644" t="str">
        <f t="shared" ref="FP6" si="39">FP14&amp;""</f>
        <v/>
      </c>
      <c r="FQ6" s="644"/>
      <c r="FR6" s="645"/>
      <c r="FS6" s="643" t="s">
        <v>444</v>
      </c>
      <c r="FT6" s="644" t="str">
        <f t="shared" ref="FT6" si="40">FT14&amp;""</f>
        <v/>
      </c>
      <c r="FU6" s="644"/>
      <c r="FV6" s="645"/>
      <c r="FW6" s="643" t="s">
        <v>444</v>
      </c>
      <c r="FX6" s="644" t="str">
        <f t="shared" ref="FX6" si="41">FX14&amp;""</f>
        <v/>
      </c>
      <c r="FY6" s="644"/>
      <c r="FZ6" s="645"/>
      <c r="GA6" s="643" t="s">
        <v>444</v>
      </c>
      <c r="GB6" s="644" t="str">
        <f t="shared" ref="GB6" si="42">GB14&amp;""</f>
        <v/>
      </c>
      <c r="GC6" s="644"/>
      <c r="GD6" s="645"/>
      <c r="GE6" s="643" t="s">
        <v>444</v>
      </c>
      <c r="GF6" s="644" t="str">
        <f t="shared" ref="GF6" si="43">GF14&amp;""</f>
        <v/>
      </c>
      <c r="GG6" s="644"/>
      <c r="GH6" s="645"/>
      <c r="GI6" s="643" t="s">
        <v>444</v>
      </c>
      <c r="GJ6" s="644" t="str">
        <f t="shared" ref="GJ6" si="44">GJ14&amp;""</f>
        <v/>
      </c>
      <c r="GK6" s="644"/>
      <c r="GL6" s="645"/>
      <c r="GM6" s="643" t="s">
        <v>444</v>
      </c>
      <c r="GN6" s="644" t="str">
        <f t="shared" ref="GN6" si="45">GN14&amp;""</f>
        <v/>
      </c>
      <c r="GO6" s="644"/>
      <c r="GP6" s="645"/>
      <c r="GQ6" s="643" t="s">
        <v>444</v>
      </c>
      <c r="GR6" s="644" t="str">
        <f t="shared" ref="GR6" si="46">GR14&amp;""</f>
        <v/>
      </c>
      <c r="GS6" s="644"/>
      <c r="GT6" s="645"/>
      <c r="GU6" s="643" t="s">
        <v>444</v>
      </c>
      <c r="GV6" s="644" t="str">
        <f t="shared" ref="GV6" si="47">GV14&amp;""</f>
        <v/>
      </c>
      <c r="GW6" s="644"/>
      <c r="GX6" s="645"/>
      <c r="GY6" s="643" t="s">
        <v>444</v>
      </c>
      <c r="GZ6" s="644" t="str">
        <f t="shared" ref="GZ6" si="48">GZ14&amp;""</f>
        <v/>
      </c>
      <c r="HA6" s="644"/>
      <c r="HB6" s="645"/>
      <c r="HC6" s="154"/>
      <c r="HD6" s="154"/>
      <c r="HE6" s="154"/>
      <c r="HF6" s="154"/>
      <c r="HG6" s="154"/>
      <c r="HH6" s="154"/>
      <c r="HI6" s="154"/>
      <c r="HJ6" s="154"/>
      <c r="HK6" s="154"/>
      <c r="HL6" s="158" t="s">
        <v>493</v>
      </c>
      <c r="HM6" s="158"/>
    </row>
    <row r="7" spans="1:242" ht="27" thickBot="1">
      <c r="A7" s="173" t="s">
        <v>1273</v>
      </c>
      <c r="B7" s="173"/>
      <c r="C7" s="179"/>
      <c r="D7" s="179"/>
      <c r="E7" s="646"/>
      <c r="F7" s="179"/>
      <c r="G7" s="179"/>
      <c r="H7" s="179"/>
      <c r="I7" s="179"/>
      <c r="J7" s="179"/>
      <c r="K7" s="179"/>
      <c r="L7" s="179"/>
      <c r="M7" s="179"/>
      <c r="N7" s="179"/>
      <c r="O7" s="654"/>
      <c r="P7" s="654"/>
      <c r="Q7" s="654"/>
      <c r="R7" s="654"/>
      <c r="S7" s="654"/>
      <c r="T7" s="654"/>
      <c r="U7" s="654"/>
      <c r="V7" s="654"/>
      <c r="W7" s="654"/>
      <c r="X7" s="654"/>
      <c r="Y7" s="654"/>
      <c r="Z7" s="654"/>
      <c r="AA7" s="654"/>
      <c r="AB7" s="654"/>
      <c r="AC7" s="654"/>
      <c r="AD7" s="654"/>
      <c r="AE7" s="654"/>
      <c r="AF7" s="654"/>
      <c r="AG7" s="654"/>
      <c r="AH7" s="654"/>
      <c r="AI7" s="654"/>
      <c r="AJ7" s="654"/>
      <c r="AK7" s="654"/>
      <c r="AL7" s="654"/>
      <c r="AM7" s="654"/>
      <c r="AN7" s="6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c r="DE7" s="154"/>
      <c r="DF7" s="154"/>
      <c r="DG7" s="154"/>
      <c r="DH7" s="154"/>
      <c r="DI7" s="154"/>
      <c r="DJ7" s="154"/>
      <c r="DK7" s="154"/>
      <c r="DL7" s="154"/>
      <c r="DM7" s="154"/>
      <c r="DN7" s="154"/>
      <c r="DO7" s="154"/>
      <c r="DP7" s="154"/>
      <c r="DQ7" s="154"/>
      <c r="DR7" s="154"/>
      <c r="DS7" s="154"/>
      <c r="DT7" s="154"/>
      <c r="DU7" s="154"/>
      <c r="DV7" s="154"/>
      <c r="DW7" s="154"/>
      <c r="DX7" s="154"/>
      <c r="DY7" s="154"/>
      <c r="DZ7" s="154"/>
      <c r="EA7" s="154"/>
      <c r="EB7" s="154"/>
      <c r="EC7" s="154"/>
      <c r="ED7" s="154"/>
      <c r="EE7" s="154"/>
      <c r="EF7" s="154"/>
      <c r="EG7" s="154"/>
      <c r="EH7" s="154"/>
      <c r="EI7" s="154"/>
      <c r="EJ7" s="154"/>
      <c r="EK7" s="154"/>
      <c r="EL7" s="154"/>
      <c r="EM7" s="154"/>
      <c r="EN7" s="154"/>
      <c r="EO7" s="154"/>
      <c r="EP7" s="154"/>
      <c r="EQ7" s="154"/>
      <c r="ER7" s="154"/>
      <c r="ES7" s="154"/>
      <c r="ET7" s="154"/>
      <c r="EU7" s="154"/>
      <c r="EV7" s="154"/>
      <c r="EW7" s="154"/>
      <c r="EX7" s="154"/>
      <c r="EY7" s="154"/>
      <c r="EZ7" s="154"/>
      <c r="FA7" s="154"/>
      <c r="FB7" s="154"/>
      <c r="FC7" s="154"/>
      <c r="FD7" s="154"/>
      <c r="FE7" s="154"/>
      <c r="FF7" s="154"/>
      <c r="FG7" s="154"/>
      <c r="FH7" s="154"/>
      <c r="FI7" s="154"/>
      <c r="FJ7" s="154"/>
      <c r="FK7" s="154"/>
      <c r="FL7" s="154"/>
      <c r="FM7" s="154"/>
      <c r="FN7" s="154"/>
      <c r="FO7" s="154"/>
      <c r="FP7" s="154"/>
      <c r="FQ7" s="154"/>
      <c r="FR7" s="154"/>
      <c r="FS7" s="154"/>
      <c r="FT7" s="154"/>
      <c r="FU7" s="154"/>
      <c r="FV7" s="154"/>
      <c r="FW7" s="154"/>
      <c r="FX7" s="154"/>
      <c r="FY7" s="154"/>
      <c r="FZ7" s="154"/>
      <c r="GA7" s="154"/>
      <c r="GB7" s="154"/>
      <c r="GC7" s="154"/>
      <c r="GD7" s="154"/>
      <c r="GE7" s="154"/>
      <c r="GF7" s="154"/>
      <c r="GG7" s="154"/>
      <c r="GH7" s="154"/>
      <c r="GI7" s="154"/>
      <c r="GJ7" s="154"/>
      <c r="GK7" s="154"/>
      <c r="GL7" s="154"/>
      <c r="GM7" s="154"/>
      <c r="GN7" s="154"/>
      <c r="GO7" s="154"/>
      <c r="GP7" s="154"/>
      <c r="GQ7" s="154"/>
      <c r="GR7" s="154"/>
      <c r="GS7" s="154"/>
      <c r="GT7" s="154"/>
      <c r="GU7" s="154"/>
      <c r="GV7" s="154"/>
      <c r="GW7" s="154"/>
      <c r="GX7" s="154"/>
      <c r="GY7" s="154"/>
      <c r="GZ7" s="154"/>
      <c r="HA7" s="154"/>
      <c r="HB7" s="154"/>
      <c r="HL7" s="173" t="s">
        <v>494</v>
      </c>
      <c r="HM7" s="173"/>
      <c r="HN7" s="179"/>
      <c r="HO7" s="180"/>
      <c r="HP7" s="181"/>
      <c r="HQ7" s="180"/>
      <c r="HR7" s="180"/>
      <c r="HS7" s="181"/>
      <c r="HT7" s="180"/>
      <c r="HU7" s="180"/>
      <c r="HV7" s="181"/>
      <c r="HW7" s="180"/>
      <c r="HX7" s="180"/>
      <c r="HY7" s="181"/>
      <c r="HZ7" s="181"/>
      <c r="IA7" s="181"/>
      <c r="IB7" s="181"/>
    </row>
    <row r="8" spans="1:242" ht="27" thickBot="1">
      <c r="A8" s="154"/>
      <c r="B8" s="655" t="s">
        <v>706</v>
      </c>
      <c r="C8" s="154"/>
      <c r="D8" s="154"/>
      <c r="E8" s="656"/>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154"/>
      <c r="BK8" s="154"/>
      <c r="BL8" s="154"/>
      <c r="BM8" s="154"/>
      <c r="BN8" s="154"/>
      <c r="BO8" s="154"/>
      <c r="BP8" s="154"/>
      <c r="BQ8" s="154"/>
      <c r="BR8" s="154"/>
      <c r="BS8" s="154"/>
      <c r="BT8" s="154"/>
      <c r="BU8" s="154"/>
      <c r="BV8" s="154"/>
      <c r="BW8" s="154"/>
      <c r="BX8" s="154"/>
      <c r="BY8" s="154"/>
      <c r="BZ8" s="154"/>
      <c r="CA8" s="154"/>
      <c r="CB8" s="154"/>
      <c r="CC8" s="154"/>
      <c r="CD8" s="154"/>
      <c r="CE8" s="154"/>
      <c r="CF8" s="154"/>
      <c r="CG8" s="154"/>
      <c r="CH8" s="154"/>
      <c r="CI8" s="154"/>
      <c r="CJ8" s="154"/>
      <c r="CK8" s="154"/>
      <c r="CL8" s="154"/>
      <c r="CM8" s="154"/>
      <c r="CN8" s="154"/>
      <c r="CO8" s="154"/>
      <c r="CP8" s="154"/>
      <c r="CQ8" s="154"/>
      <c r="CR8" s="154"/>
      <c r="CS8" s="154"/>
      <c r="CT8" s="154"/>
      <c r="CU8" s="154"/>
      <c r="CV8" s="154"/>
      <c r="CW8" s="154"/>
      <c r="CX8" s="154"/>
      <c r="CY8" s="154"/>
      <c r="CZ8" s="154"/>
      <c r="DA8" s="154"/>
      <c r="DB8" s="154"/>
      <c r="DC8" s="154"/>
      <c r="DD8" s="154"/>
      <c r="DE8" s="154"/>
      <c r="DF8" s="154"/>
      <c r="DG8" s="154"/>
      <c r="DH8" s="154"/>
      <c r="DI8" s="154"/>
      <c r="DJ8" s="154"/>
      <c r="DK8" s="154"/>
      <c r="DL8" s="154"/>
      <c r="DM8" s="154"/>
      <c r="DN8" s="154"/>
      <c r="DO8" s="154"/>
      <c r="DP8" s="154"/>
      <c r="DQ8" s="154"/>
      <c r="DR8" s="154"/>
      <c r="DS8" s="154"/>
      <c r="DT8" s="154"/>
      <c r="DU8" s="154"/>
      <c r="DV8" s="154"/>
      <c r="DW8" s="154"/>
      <c r="DX8" s="154"/>
      <c r="DY8" s="154"/>
      <c r="DZ8" s="154"/>
      <c r="EA8" s="154"/>
      <c r="EB8" s="154"/>
      <c r="EC8" s="154"/>
      <c r="ED8" s="154"/>
      <c r="EE8" s="154"/>
      <c r="EF8" s="154"/>
      <c r="EG8" s="154"/>
      <c r="EH8" s="154"/>
      <c r="EI8" s="154"/>
      <c r="EJ8" s="154"/>
      <c r="EK8" s="154"/>
      <c r="EL8" s="154"/>
      <c r="EM8" s="154"/>
      <c r="EN8" s="154"/>
      <c r="EO8" s="154"/>
      <c r="EP8" s="154"/>
      <c r="EQ8" s="154"/>
      <c r="ER8" s="154"/>
      <c r="ES8" s="154"/>
      <c r="ET8" s="154"/>
      <c r="EU8" s="154"/>
      <c r="EV8" s="154"/>
      <c r="EW8" s="154"/>
      <c r="EX8" s="154"/>
      <c r="EY8" s="154"/>
      <c r="EZ8" s="154"/>
      <c r="FA8" s="154"/>
      <c r="FB8" s="154"/>
      <c r="FC8" s="154"/>
      <c r="FD8" s="154"/>
      <c r="FE8" s="154"/>
      <c r="FF8" s="154"/>
      <c r="FG8" s="154"/>
      <c r="FH8" s="154"/>
      <c r="FI8" s="154"/>
      <c r="FJ8" s="154"/>
      <c r="FK8" s="154"/>
      <c r="FL8" s="154"/>
      <c r="FM8" s="154"/>
      <c r="FN8" s="154"/>
      <c r="FO8" s="154"/>
      <c r="FP8" s="154"/>
      <c r="FQ8" s="154"/>
      <c r="FR8" s="154"/>
      <c r="FS8" s="154"/>
      <c r="FT8" s="154"/>
      <c r="FU8" s="154"/>
      <c r="FV8" s="154"/>
      <c r="FW8" s="154"/>
      <c r="FX8" s="154"/>
      <c r="FY8" s="154"/>
      <c r="FZ8" s="154"/>
      <c r="GA8" s="154"/>
      <c r="GB8" s="154"/>
      <c r="GC8" s="154"/>
      <c r="GD8" s="154"/>
      <c r="GE8" s="154"/>
      <c r="GF8" s="154"/>
      <c r="GG8" s="154"/>
      <c r="GH8" s="154"/>
      <c r="GI8" s="154"/>
      <c r="GJ8" s="154"/>
      <c r="GK8" s="154"/>
      <c r="GL8" s="154"/>
      <c r="GM8" s="154"/>
      <c r="GN8" s="154"/>
      <c r="GO8" s="154"/>
      <c r="GP8" s="154"/>
      <c r="GQ8" s="154"/>
      <c r="GR8" s="154"/>
      <c r="GS8" s="154"/>
      <c r="GT8" s="154"/>
      <c r="GU8" s="154"/>
      <c r="GV8" s="154"/>
      <c r="GW8" s="154"/>
      <c r="GX8" s="154"/>
      <c r="GY8" s="154"/>
      <c r="GZ8" s="154"/>
      <c r="HA8" s="154"/>
      <c r="HB8" s="154"/>
      <c r="HL8" s="1022" t="s">
        <v>496</v>
      </c>
      <c r="HM8" s="1009" t="s">
        <v>497</v>
      </c>
      <c r="HN8" s="1010"/>
      <c r="HO8" s="1010"/>
      <c r="HP8" s="1011"/>
      <c r="HQ8" s="1009" t="s">
        <v>498</v>
      </c>
      <c r="HR8" s="1010"/>
      <c r="HS8" s="1010"/>
      <c r="HT8" s="1011"/>
      <c r="HU8" s="1009" t="s">
        <v>499</v>
      </c>
      <c r="HV8" s="1010"/>
      <c r="HW8" s="1010"/>
      <c r="HX8" s="1011"/>
      <c r="HY8" s="1009" t="s">
        <v>500</v>
      </c>
      <c r="HZ8" s="1010"/>
      <c r="IA8" s="1010"/>
      <c r="IB8" s="1011"/>
      <c r="IE8" s="159" t="s">
        <v>501</v>
      </c>
    </row>
    <row r="9" spans="1:242" s="164" customFormat="1" ht="69.900000000000006" customHeight="1" thickBot="1">
      <c r="B9" s="184" t="s">
        <v>707</v>
      </c>
      <c r="C9" s="185"/>
      <c r="D9" s="186" t="s">
        <v>1284</v>
      </c>
      <c r="E9" s="187" t="s">
        <v>1285</v>
      </c>
      <c r="F9" s="188" t="s">
        <v>1267</v>
      </c>
      <c r="G9" s="189" t="s">
        <v>1286</v>
      </c>
      <c r="H9" s="190"/>
      <c r="I9" s="657" t="s">
        <v>1287</v>
      </c>
      <c r="J9" s="658"/>
      <c r="K9" s="191" t="s">
        <v>1288</v>
      </c>
      <c r="L9" s="192" t="s">
        <v>1289</v>
      </c>
      <c r="M9" s="193" t="s">
        <v>1290</v>
      </c>
      <c r="N9" s="194" t="s">
        <v>1291</v>
      </c>
      <c r="O9" s="195" t="s">
        <v>1292</v>
      </c>
      <c r="P9" s="196" t="s">
        <v>1293</v>
      </c>
      <c r="Q9" s="197" t="s">
        <v>1294</v>
      </c>
      <c r="R9" s="197" t="s">
        <v>1295</v>
      </c>
      <c r="S9" s="197" t="s">
        <v>1296</v>
      </c>
      <c r="T9" s="197" t="s">
        <v>1297</v>
      </c>
      <c r="U9" s="197" t="s">
        <v>1298</v>
      </c>
      <c r="V9" s="197" t="s">
        <v>1299</v>
      </c>
      <c r="W9" s="197" t="s">
        <v>1300</v>
      </c>
      <c r="X9" s="197" t="s">
        <v>1301</v>
      </c>
      <c r="Y9" s="197" t="s">
        <v>1302</v>
      </c>
      <c r="Z9" s="197" t="s">
        <v>1303</v>
      </c>
      <c r="AA9" s="197" t="s">
        <v>1304</v>
      </c>
      <c r="AB9" s="197" t="s">
        <v>1305</v>
      </c>
      <c r="AC9" s="197" t="s">
        <v>1306</v>
      </c>
      <c r="AD9" s="197" t="s">
        <v>1307</v>
      </c>
      <c r="AE9" s="197" t="s">
        <v>1308</v>
      </c>
      <c r="AF9" s="197" t="s">
        <v>1309</v>
      </c>
      <c r="AG9" s="197" t="s">
        <v>1310</v>
      </c>
      <c r="AH9" s="197" t="s">
        <v>1311</v>
      </c>
      <c r="AI9" s="197" t="s">
        <v>1312</v>
      </c>
      <c r="AJ9" s="197" t="s">
        <v>1313</v>
      </c>
      <c r="AK9" s="197" t="s">
        <v>1314</v>
      </c>
      <c r="AL9" s="197" t="s">
        <v>1315</v>
      </c>
      <c r="AM9" s="197" t="s">
        <v>1316</v>
      </c>
      <c r="AN9" s="197" t="s">
        <v>1317</v>
      </c>
      <c r="AO9" s="197" t="s">
        <v>1318</v>
      </c>
      <c r="AP9" s="197" t="s">
        <v>1319</v>
      </c>
      <c r="AQ9" s="197" t="s">
        <v>1320</v>
      </c>
      <c r="AR9" s="197" t="s">
        <v>1321</v>
      </c>
      <c r="AS9" s="197" t="s">
        <v>1322</v>
      </c>
      <c r="AT9" s="197" t="s">
        <v>1323</v>
      </c>
      <c r="AU9" s="197" t="s">
        <v>1324</v>
      </c>
      <c r="AV9" s="197" t="s">
        <v>1325</v>
      </c>
      <c r="AW9" s="197" t="s">
        <v>1326</v>
      </c>
      <c r="AX9" s="197" t="s">
        <v>1327</v>
      </c>
      <c r="AY9" s="197" t="s">
        <v>1328</v>
      </c>
      <c r="AZ9" s="198" t="s">
        <v>1329</v>
      </c>
      <c r="BA9" s="198" t="s">
        <v>1330</v>
      </c>
      <c r="BB9" s="198" t="s">
        <v>1331</v>
      </c>
      <c r="BC9" s="198" t="s">
        <v>1332</v>
      </c>
      <c r="BD9" s="198" t="s">
        <v>1333</v>
      </c>
      <c r="BE9" s="198" t="s">
        <v>1334</v>
      </c>
      <c r="BF9" s="198" t="s">
        <v>1335</v>
      </c>
      <c r="BG9" s="198" t="s">
        <v>1336</v>
      </c>
      <c r="BH9" s="198" t="s">
        <v>1337</v>
      </c>
      <c r="BI9" s="198" t="s">
        <v>1338</v>
      </c>
      <c r="BJ9" s="198" t="s">
        <v>1339</v>
      </c>
      <c r="BK9" s="198" t="s">
        <v>1340</v>
      </c>
      <c r="BL9" s="198" t="s">
        <v>1341</v>
      </c>
      <c r="BM9" s="198" t="s">
        <v>1342</v>
      </c>
      <c r="BN9" s="198" t="s">
        <v>1343</v>
      </c>
      <c r="BO9" s="198" t="s">
        <v>1344</v>
      </c>
      <c r="BP9" s="198" t="s">
        <v>1345</v>
      </c>
      <c r="BQ9" s="198" t="s">
        <v>1346</v>
      </c>
      <c r="BR9" s="198" t="s">
        <v>1347</v>
      </c>
      <c r="BS9" s="199" t="s">
        <v>1348</v>
      </c>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200"/>
      <c r="GV9" s="200"/>
      <c r="GW9" s="200"/>
      <c r="GX9" s="200"/>
      <c r="GY9" s="200"/>
      <c r="GZ9" s="200"/>
      <c r="HA9" s="200"/>
      <c r="HB9" s="200"/>
      <c r="HC9" s="1012" t="s">
        <v>503</v>
      </c>
      <c r="HD9" s="1013"/>
      <c r="HE9" s="1014" t="s">
        <v>504</v>
      </c>
      <c r="HF9" s="1015"/>
      <c r="HG9" s="1016" t="s">
        <v>498</v>
      </c>
      <c r="HH9" s="1014"/>
      <c r="HI9" s="1014"/>
      <c r="HJ9" s="1017"/>
      <c r="HL9" s="1023"/>
      <c r="HM9" s="201" t="s">
        <v>505</v>
      </c>
      <c r="HN9" s="1018" t="s">
        <v>1271</v>
      </c>
      <c r="HO9" s="1019"/>
      <c r="HP9" s="202" t="s">
        <v>506</v>
      </c>
      <c r="HQ9" s="201" t="s">
        <v>505</v>
      </c>
      <c r="HR9" s="1018" t="s">
        <v>1271</v>
      </c>
      <c r="HS9" s="1019"/>
      <c r="HT9" s="202" t="s">
        <v>506</v>
      </c>
      <c r="HU9" s="201" t="s">
        <v>505</v>
      </c>
      <c r="HV9" s="1018" t="s">
        <v>1271</v>
      </c>
      <c r="HW9" s="1019"/>
      <c r="HX9" s="202" t="s">
        <v>506</v>
      </c>
      <c r="HY9" s="201" t="s">
        <v>505</v>
      </c>
      <c r="HZ9" s="1018" t="s">
        <v>1271</v>
      </c>
      <c r="IA9" s="1019"/>
      <c r="IB9" s="202" t="s">
        <v>506</v>
      </c>
      <c r="IE9" s="159" t="s">
        <v>507</v>
      </c>
      <c r="IF9" s="159" t="s">
        <v>498</v>
      </c>
      <c r="IG9" s="159" t="s">
        <v>499</v>
      </c>
      <c r="IH9" s="159" t="s">
        <v>500</v>
      </c>
    </row>
    <row r="10" spans="1:242" s="164" customFormat="1" ht="20.100000000000001" customHeight="1">
      <c r="B10" s="203" t="s">
        <v>440</v>
      </c>
      <c r="C10" s="204"/>
      <c r="D10" s="205"/>
      <c r="E10" s="205"/>
      <c r="F10" s="205"/>
      <c r="G10" s="206" t="s">
        <v>1349</v>
      </c>
      <c r="H10" s="207"/>
      <c r="I10" s="206" t="s">
        <v>1350</v>
      </c>
      <c r="J10" s="208"/>
      <c r="K10" s="209" t="s">
        <v>508</v>
      </c>
      <c r="L10" s="210"/>
      <c r="M10" s="211"/>
      <c r="N10" s="659"/>
      <c r="O10" s="213"/>
      <c r="P10" s="214"/>
      <c r="Q10" s="215"/>
      <c r="R10" s="215"/>
      <c r="S10" s="215"/>
      <c r="T10" s="215"/>
      <c r="U10" s="215"/>
      <c r="V10" s="215"/>
      <c r="W10" s="215"/>
      <c r="X10" s="215"/>
      <c r="Y10" s="215"/>
      <c r="Z10" s="215"/>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7"/>
      <c r="BA10" s="217"/>
      <c r="BB10" s="217"/>
      <c r="BC10" s="217"/>
      <c r="BD10" s="217"/>
      <c r="BE10" s="217"/>
      <c r="BF10" s="217"/>
      <c r="BG10" s="217"/>
      <c r="BH10" s="217"/>
      <c r="BI10" s="217"/>
      <c r="BJ10" s="217"/>
      <c r="BK10" s="217"/>
      <c r="BL10" s="217"/>
      <c r="BM10" s="217"/>
      <c r="BN10" s="217"/>
      <c r="BO10" s="217"/>
      <c r="BP10" s="217"/>
      <c r="BQ10" s="217"/>
      <c r="BR10" s="217"/>
      <c r="BS10" s="218"/>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1024" t="s">
        <v>509</v>
      </c>
      <c r="HD10" s="1025"/>
      <c r="HE10" s="1026" t="str">
        <f>IF(L10="","",L10)</f>
        <v/>
      </c>
      <c r="HF10" s="1027"/>
      <c r="HG10" s="1028" t="str">
        <f>IF(M10="","",M10)</f>
        <v/>
      </c>
      <c r="HH10" s="1026"/>
      <c r="HI10" s="1026"/>
      <c r="HJ10" s="1029"/>
      <c r="HL10" s="219">
        <v>1</v>
      </c>
      <c r="HM10" s="707" t="str">
        <f t="shared" ref="HM10:HM41" ca="1" si="49">OFFSET(A1_原単位2025,6,$HL10+2)</f>
        <v/>
      </c>
      <c r="HN10" s="708" t="str">
        <f ca="1">OFFSET(A1_原単位2026,5,HL10+2)&amp;""</f>
        <v/>
      </c>
      <c r="HO10" s="709" t="str">
        <f t="shared" ref="HO10:HO59" ca="1" si="50">IF(HN10="","",HYPERLINK("#"&amp;IE10,"&lt;"&amp;IE10&amp;"&gt;"))</f>
        <v/>
      </c>
      <c r="HP10" s="710" t="str">
        <f t="shared" ref="HP10:HP41" ca="1" si="51">IF(HN10="","",HYPERLINK("#"&amp;OFFSET(A1_原単位2026,66,$HL10+2),OFFSET(A1_原単位2026,62,$HL10+2)))</f>
        <v/>
      </c>
      <c r="HQ10" s="707" t="str">
        <f t="shared" ref="HQ10:HQ41" ca="1" si="52">OFFSET(A1_原単位2025,18,$HL10+2)</f>
        <v/>
      </c>
      <c r="HR10" s="708" t="str">
        <f ca="1">OFFSET(A1_原単位2026,17,HL10+2)&amp;""</f>
        <v/>
      </c>
      <c r="HS10" s="709" t="str">
        <f t="shared" ref="HS10:HS59" ca="1" si="53">IF(HR10="","",HYPERLINK("#"&amp;IF10,"&lt;"&amp;IF10&amp;"&gt;"))</f>
        <v/>
      </c>
      <c r="HT10" s="711" t="str">
        <f t="shared" ref="HT10:HT41" ca="1" si="54">IF(HR10="","",HYPERLINK("#"&amp;OFFSET(A1_原単位2026,67,$HL10+2),OFFSET(A1_原単位2026,63,$HL10+2)))</f>
        <v/>
      </c>
      <c r="HU10" s="707" t="str">
        <f t="shared" ref="HU10:HU41" ca="1" si="55">OFFSET(A1_原単位2025,30,$HL10+2)</f>
        <v/>
      </c>
      <c r="HV10" s="708" t="str">
        <f ca="1">OFFSET(A1_原単位2026,29,HL10+2)&amp;""</f>
        <v/>
      </c>
      <c r="HW10" s="712" t="str">
        <f t="shared" ref="HW10:HW59" ca="1" si="56">IF(HV10="","",HYPERLINK("#"&amp;IG10,"&lt;"&amp;IG10&amp;"&gt;"))</f>
        <v/>
      </c>
      <c r="HX10" s="711" t="str">
        <f t="shared" ref="HX10:HX41" ca="1" si="57">IF(HV10="","",HYPERLINK("#"&amp;OFFSET(A1_原単位2026,68,$HL10+2),OFFSET(A1_原単位2026,64,$HL10+2)))</f>
        <v/>
      </c>
      <c r="HY10" s="707" t="str">
        <f t="shared" ref="HY10:HY41" ca="1" si="58">OFFSET(A1_原単位2025,42,$HL10+2)</f>
        <v/>
      </c>
      <c r="HZ10" s="708" t="str">
        <f ca="1">OFFSET(A1_原単位2026,41,HL10+2)&amp;""</f>
        <v/>
      </c>
      <c r="IA10" s="712" t="str">
        <f t="shared" ref="IA10:IA59" ca="1" si="59">IF(HZ10="","",HYPERLINK("#"&amp;IH10,"&lt;"&amp;IH10&amp;"&gt;"))</f>
        <v/>
      </c>
      <c r="IB10" s="713" t="str">
        <f t="shared" ref="IB10:IB41" ca="1" si="60">IF(HZ10="","",HYPERLINK("#"&amp;OFFSET(A1_原単位2026,69,$HL10+2),OFFSET(A1_原単位2026,65,$HL10+2)))</f>
        <v/>
      </c>
      <c r="IE10" s="159" t="str">
        <f t="shared" ref="IE10:IE41" ca="1" si="61">IF($HN10="","",ADDRESS(ROW(貼付け_2026実績)+5,OFFSET(A1_原単位2026,7,$HL10+2)+COLUMN(貼付け_2026実績)+1,4))</f>
        <v/>
      </c>
      <c r="IF10" s="159" t="str">
        <f t="shared" ref="IF10:IF41" ca="1" si="62">IF($HR10="","",ADDRESS(ROW(貼付け_2026実績)+5,OFFSET(A1_原単位2026,19,$HL10+2)+COLUMN(貼付け_2026実績)+1,4))</f>
        <v/>
      </c>
      <c r="IG10" s="159" t="str">
        <f t="shared" ref="IG10:IG41" ca="1" si="63">IF($HV10="","",ADDRESS(ROW(貼付け_2026実績)+5,OFFSET(A1_原単位2026,31,$HL10+2)+COLUMN(貼付け_2026実績)+1,4))</f>
        <v/>
      </c>
      <c r="IH10" s="159" t="str">
        <f t="shared" ref="IH10:IH41" ca="1" si="64">IF($HZ10="","",ADDRESS(ROW(貼付け_2026実績)+5,OFFSET(A1_原単位2026,43,$HL10+2)+COLUMN(貼付け_2026実績)+1,4))</f>
        <v/>
      </c>
    </row>
    <row r="11" spans="1:242" s="164" customFormat="1" ht="19.8">
      <c r="B11" s="220" t="s">
        <v>1351</v>
      </c>
      <c r="C11" s="221" t="s">
        <v>1352</v>
      </c>
      <c r="D11" s="222"/>
      <c r="E11" s="223" t="s">
        <v>1353</v>
      </c>
      <c r="F11" s="224"/>
      <c r="G11" s="206" t="s">
        <v>1354</v>
      </c>
      <c r="H11" s="207"/>
      <c r="I11" s="206" t="s">
        <v>1355</v>
      </c>
      <c r="J11" s="208"/>
      <c r="K11" s="209" t="s">
        <v>510</v>
      </c>
      <c r="L11" s="210"/>
      <c r="M11" s="211"/>
      <c r="N11" s="225"/>
      <c r="O11" s="226"/>
      <c r="P11" s="227" t="s">
        <v>327</v>
      </c>
      <c r="Q11" s="228" t="s">
        <v>327</v>
      </c>
      <c r="R11" s="228" t="s">
        <v>327</v>
      </c>
      <c r="S11" s="228" t="s">
        <v>327</v>
      </c>
      <c r="T11" s="228" t="s">
        <v>327</v>
      </c>
      <c r="U11" s="228" t="s">
        <v>327</v>
      </c>
      <c r="V11" s="228" t="s">
        <v>327</v>
      </c>
      <c r="W11" s="228" t="s">
        <v>327</v>
      </c>
      <c r="X11" s="228" t="s">
        <v>327</v>
      </c>
      <c r="Y11" s="228" t="s">
        <v>327</v>
      </c>
      <c r="Z11" s="228" t="s">
        <v>327</v>
      </c>
      <c r="AA11" s="228" t="s">
        <v>327</v>
      </c>
      <c r="AB11" s="228" t="s">
        <v>327</v>
      </c>
      <c r="AC11" s="228" t="s">
        <v>327</v>
      </c>
      <c r="AD11" s="228" t="s">
        <v>327</v>
      </c>
      <c r="AE11" s="228" t="s">
        <v>327</v>
      </c>
      <c r="AF11" s="228" t="s">
        <v>327</v>
      </c>
      <c r="AG11" s="228" t="s">
        <v>327</v>
      </c>
      <c r="AH11" s="228" t="s">
        <v>327</v>
      </c>
      <c r="AI11" s="228" t="s">
        <v>327</v>
      </c>
      <c r="AJ11" s="228" t="s">
        <v>327</v>
      </c>
      <c r="AK11" s="228" t="s">
        <v>327</v>
      </c>
      <c r="AL11" s="228" t="s">
        <v>327</v>
      </c>
      <c r="AM11" s="228" t="s">
        <v>327</v>
      </c>
      <c r="AN11" s="228" t="s">
        <v>327</v>
      </c>
      <c r="AO11" s="228" t="s">
        <v>327</v>
      </c>
      <c r="AP11" s="228" t="s">
        <v>327</v>
      </c>
      <c r="AQ11" s="228" t="s">
        <v>327</v>
      </c>
      <c r="AR11" s="228" t="s">
        <v>327</v>
      </c>
      <c r="AS11" s="228" t="s">
        <v>327</v>
      </c>
      <c r="AT11" s="228" t="s">
        <v>327</v>
      </c>
      <c r="AU11" s="228" t="s">
        <v>327</v>
      </c>
      <c r="AV11" s="228" t="s">
        <v>327</v>
      </c>
      <c r="AW11" s="228" t="s">
        <v>327</v>
      </c>
      <c r="AX11" s="228" t="s">
        <v>327</v>
      </c>
      <c r="AY11" s="228" t="s">
        <v>327</v>
      </c>
      <c r="AZ11" s="229" t="s">
        <v>327</v>
      </c>
      <c r="BA11" s="229" t="s">
        <v>327</v>
      </c>
      <c r="BB11" s="229" t="s">
        <v>327</v>
      </c>
      <c r="BC11" s="229" t="s">
        <v>327</v>
      </c>
      <c r="BD11" s="229" t="s">
        <v>327</v>
      </c>
      <c r="BE11" s="229" t="s">
        <v>327</v>
      </c>
      <c r="BF11" s="229" t="s">
        <v>327</v>
      </c>
      <c r="BG11" s="229" t="s">
        <v>327</v>
      </c>
      <c r="BH11" s="229" t="s">
        <v>327</v>
      </c>
      <c r="BI11" s="229" t="s">
        <v>327</v>
      </c>
      <c r="BJ11" s="229" t="s">
        <v>327</v>
      </c>
      <c r="BK11" s="229" t="s">
        <v>327</v>
      </c>
      <c r="BL11" s="229" t="s">
        <v>327</v>
      </c>
      <c r="BM11" s="229" t="s">
        <v>327</v>
      </c>
      <c r="BN11" s="229" t="s">
        <v>327</v>
      </c>
      <c r="BO11" s="229" t="s">
        <v>327</v>
      </c>
      <c r="BP11" s="229" t="s">
        <v>327</v>
      </c>
      <c r="BQ11" s="229" t="s">
        <v>327</v>
      </c>
      <c r="BR11" s="229" t="s">
        <v>327</v>
      </c>
      <c r="BS11" s="208" t="s">
        <v>327</v>
      </c>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0"/>
      <c r="GH11" s="200"/>
      <c r="GI11" s="200"/>
      <c r="GJ11" s="200"/>
      <c r="GK11" s="200"/>
      <c r="GL11" s="200"/>
      <c r="GM11" s="200"/>
      <c r="GN11" s="200"/>
      <c r="GO11" s="200"/>
      <c r="GP11" s="200"/>
      <c r="GQ11" s="200"/>
      <c r="GR11" s="200"/>
      <c r="GS11" s="200"/>
      <c r="GT11" s="200"/>
      <c r="GU11" s="200"/>
      <c r="GV11" s="200"/>
      <c r="GW11" s="200"/>
      <c r="GX11" s="200"/>
      <c r="GY11" s="200"/>
      <c r="GZ11" s="200"/>
      <c r="HA11" s="200"/>
      <c r="HB11" s="200"/>
      <c r="HC11" s="1024" t="s">
        <v>511</v>
      </c>
      <c r="HD11" s="1025"/>
      <c r="HE11" s="1026" t="str">
        <f t="shared" ref="HE11:HE12" si="65">IF(L11="","",L11)</f>
        <v/>
      </c>
      <c r="HF11" s="1027"/>
      <c r="HG11" s="1028" t="str">
        <f>IF(M11="","",M11)</f>
        <v/>
      </c>
      <c r="HH11" s="1026"/>
      <c r="HI11" s="1026"/>
      <c r="HJ11" s="1029"/>
      <c r="HL11" s="230">
        <v>2</v>
      </c>
      <c r="HM11" s="714" t="str">
        <f t="shared" ca="1" si="49"/>
        <v/>
      </c>
      <c r="HN11" s="715" t="str">
        <f ca="1">IF(COUNTIF(HN$10:HN10,OFFSET(A1_原単位2026,5,HL11+2))&gt;=1,"",OFFSET(A1_原単位2026,5,HL11+2)&amp;"")</f>
        <v/>
      </c>
      <c r="HO11" s="716" t="str">
        <f t="shared" ca="1" si="50"/>
        <v/>
      </c>
      <c r="HP11" s="717" t="str">
        <f t="shared" ca="1" si="51"/>
        <v/>
      </c>
      <c r="HQ11" s="714" t="str">
        <f t="shared" ca="1" si="52"/>
        <v/>
      </c>
      <c r="HR11" s="715" t="str">
        <f ca="1">IF(COUNTIF(HR$10:HR10,OFFSET(A1_原単位2026,17,HL11+2))&gt;=1,"",OFFSET(A1_原単位2026,17,HL11+2)&amp;"")</f>
        <v/>
      </c>
      <c r="HS11" s="718" t="str">
        <f t="shared" ca="1" si="53"/>
        <v/>
      </c>
      <c r="HT11" s="719" t="str">
        <f t="shared" ca="1" si="54"/>
        <v/>
      </c>
      <c r="HU11" s="714" t="str">
        <f t="shared" ca="1" si="55"/>
        <v/>
      </c>
      <c r="HV11" s="715" t="str">
        <f ca="1">IF(COUNTIF(HV$10:HV10,OFFSET(A1_原単位2026,29,HL11+2))&gt;=1,"",OFFSET(A1_原単位2026,29,HL11+2)&amp;"")</f>
        <v/>
      </c>
      <c r="HW11" s="718" t="str">
        <f t="shared" ca="1" si="56"/>
        <v/>
      </c>
      <c r="HX11" s="719" t="str">
        <f t="shared" ca="1" si="57"/>
        <v/>
      </c>
      <c r="HY11" s="714" t="str">
        <f t="shared" ca="1" si="58"/>
        <v/>
      </c>
      <c r="HZ11" s="715" t="str">
        <f ca="1">IF(COUNTIF(HZ$10:HZ10,OFFSET(A1_原単位2026,41,HL11+2))&gt;=1,"",OFFSET(A1_原単位2026,41,HL11+2)&amp;"")</f>
        <v/>
      </c>
      <c r="IA11" s="720" t="str">
        <f t="shared" ca="1" si="59"/>
        <v/>
      </c>
      <c r="IB11" s="721" t="str">
        <f t="shared" ca="1" si="60"/>
        <v/>
      </c>
      <c r="IE11" s="159" t="str">
        <f t="shared" ca="1" si="61"/>
        <v/>
      </c>
      <c r="IF11" s="159" t="str">
        <f t="shared" ca="1" si="62"/>
        <v/>
      </c>
      <c r="IG11" s="159" t="str">
        <f t="shared" ca="1" si="63"/>
        <v/>
      </c>
      <c r="IH11" s="159" t="str">
        <f t="shared" ca="1" si="64"/>
        <v/>
      </c>
    </row>
    <row r="12" spans="1:242" s="164" customFormat="1" ht="20.100000000000001" customHeight="1" thickBot="1">
      <c r="B12" s="231" t="s">
        <v>441</v>
      </c>
      <c r="C12" s="232"/>
      <c r="D12" s="233"/>
      <c r="E12" s="234"/>
      <c r="F12" s="235"/>
      <c r="G12" s="236" t="s">
        <v>1356</v>
      </c>
      <c r="H12" s="237"/>
      <c r="I12" s="238"/>
      <c r="J12" s="239"/>
      <c r="K12" s="240" t="s">
        <v>1357</v>
      </c>
      <c r="L12" s="241"/>
      <c r="M12" s="242"/>
      <c r="N12" s="660"/>
      <c r="O12" s="244"/>
      <c r="P12" s="245"/>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7"/>
      <c r="BA12" s="247"/>
      <c r="BB12" s="247"/>
      <c r="BC12" s="247"/>
      <c r="BD12" s="247"/>
      <c r="BE12" s="247"/>
      <c r="BF12" s="247"/>
      <c r="BG12" s="247"/>
      <c r="BH12" s="247"/>
      <c r="BI12" s="247"/>
      <c r="BJ12" s="247"/>
      <c r="BK12" s="247"/>
      <c r="BL12" s="247"/>
      <c r="BM12" s="247"/>
      <c r="BN12" s="247"/>
      <c r="BO12" s="247"/>
      <c r="BP12" s="247"/>
      <c r="BQ12" s="247"/>
      <c r="BR12" s="247"/>
      <c r="BS12" s="248"/>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1030" t="s">
        <v>512</v>
      </c>
      <c r="HD12" s="1031"/>
      <c r="HE12" s="1032" t="str">
        <f t="shared" si="65"/>
        <v/>
      </c>
      <c r="HF12" s="1033"/>
      <c r="HG12" s="1034" t="str">
        <f>IF(M12="","",M12)</f>
        <v/>
      </c>
      <c r="HH12" s="1032"/>
      <c r="HI12" s="1032"/>
      <c r="HJ12" s="1035"/>
      <c r="HL12" s="219">
        <v>3</v>
      </c>
      <c r="HM12" s="714" t="str">
        <f t="shared" ca="1" si="49"/>
        <v/>
      </c>
      <c r="HN12" s="715" t="str">
        <f ca="1">IF(COUNTIF(HN$10:HN11,OFFSET(A1_原単位2026,5,HL12+2))&gt;=1,"",OFFSET(A1_原単位2026,5,HL12+2)&amp;"")</f>
        <v/>
      </c>
      <c r="HO12" s="716" t="str">
        <f t="shared" ca="1" si="50"/>
        <v/>
      </c>
      <c r="HP12" s="717" t="str">
        <f t="shared" ca="1" si="51"/>
        <v/>
      </c>
      <c r="HQ12" s="714" t="str">
        <f t="shared" ca="1" si="52"/>
        <v/>
      </c>
      <c r="HR12" s="715" t="str">
        <f ca="1">IF(COUNTIF(HR$10:HR11,OFFSET(A1_原単位2026,17,HL12+2))&gt;=1,"",OFFSET(A1_原単位2026,17,HL12+2)&amp;"")</f>
        <v/>
      </c>
      <c r="HS12" s="718" t="str">
        <f t="shared" ca="1" si="53"/>
        <v/>
      </c>
      <c r="HT12" s="719" t="str">
        <f t="shared" ca="1" si="54"/>
        <v/>
      </c>
      <c r="HU12" s="714" t="str">
        <f t="shared" ca="1" si="55"/>
        <v/>
      </c>
      <c r="HV12" s="715" t="str">
        <f ca="1">IF(COUNTIF(HV$10:HV11,OFFSET(A1_原単位2026,29,HL12+2))&gt;=1,"",OFFSET(A1_原単位2026,29,HL12+2)&amp;"")</f>
        <v/>
      </c>
      <c r="HW12" s="718" t="str">
        <f t="shared" ca="1" si="56"/>
        <v/>
      </c>
      <c r="HX12" s="719" t="str">
        <f t="shared" ca="1" si="57"/>
        <v/>
      </c>
      <c r="HY12" s="714" t="str">
        <f t="shared" ca="1" si="58"/>
        <v/>
      </c>
      <c r="HZ12" s="715" t="str">
        <f ca="1">IF(COUNTIF(HZ$10:HZ11,OFFSET(A1_原単位2026,41,HL12+2))&gt;=1,"",OFFSET(A1_原単位2026,41,HL12+2)&amp;"")</f>
        <v/>
      </c>
      <c r="IA12" s="720" t="str">
        <f t="shared" ca="1" si="59"/>
        <v/>
      </c>
      <c r="IB12" s="721" t="str">
        <f t="shared" ca="1" si="60"/>
        <v/>
      </c>
      <c r="IE12" s="159" t="str">
        <f t="shared" ca="1" si="61"/>
        <v/>
      </c>
      <c r="IF12" s="159" t="str">
        <f t="shared" ca="1" si="62"/>
        <v/>
      </c>
      <c r="IG12" s="159" t="str">
        <f t="shared" ca="1" si="63"/>
        <v/>
      </c>
      <c r="IH12" s="159" t="str">
        <f t="shared" ca="1" si="64"/>
        <v/>
      </c>
    </row>
    <row r="13" spans="1:242" s="164" customFormat="1" ht="20.100000000000001" customHeight="1">
      <c r="B13" s="250" t="s">
        <v>1358</v>
      </c>
      <c r="C13" s="251"/>
      <c r="D13" s="251"/>
      <c r="E13" s="251"/>
      <c r="F13" s="252" t="s">
        <v>442</v>
      </c>
      <c r="G13" s="250" t="s">
        <v>1359</v>
      </c>
      <c r="H13" s="253"/>
      <c r="I13" s="250" t="s">
        <v>1355</v>
      </c>
      <c r="J13" s="253"/>
      <c r="K13" s="254" t="s">
        <v>513</v>
      </c>
      <c r="L13" s="255"/>
      <c r="M13" s="255" t="s">
        <v>1360</v>
      </c>
      <c r="N13" s="256"/>
      <c r="O13" s="257" t="s">
        <v>1361</v>
      </c>
      <c r="P13" s="258"/>
      <c r="Q13" s="258" t="s">
        <v>1360</v>
      </c>
      <c r="R13" s="256"/>
      <c r="S13" s="257" t="s">
        <v>514</v>
      </c>
      <c r="T13" s="258"/>
      <c r="U13" s="259" t="s">
        <v>1360</v>
      </c>
      <c r="V13" s="260"/>
      <c r="W13" s="257" t="s">
        <v>515</v>
      </c>
      <c r="X13" s="258"/>
      <c r="Y13" s="259" t="s">
        <v>1360</v>
      </c>
      <c r="Z13" s="260"/>
      <c r="AA13" s="257" t="s">
        <v>516</v>
      </c>
      <c r="AB13" s="258"/>
      <c r="AC13" s="259" t="s">
        <v>1360</v>
      </c>
      <c r="AD13" s="260"/>
      <c r="AE13" s="257" t="s">
        <v>517</v>
      </c>
      <c r="AF13" s="258"/>
      <c r="AG13" s="259" t="s">
        <v>1360</v>
      </c>
      <c r="AH13" s="260"/>
      <c r="AI13" s="257" t="s">
        <v>518</v>
      </c>
      <c r="AJ13" s="258"/>
      <c r="AK13" s="259"/>
      <c r="AL13" s="260"/>
      <c r="AM13" s="257" t="s">
        <v>519</v>
      </c>
      <c r="AN13" s="258"/>
      <c r="AO13" s="259"/>
      <c r="AP13" s="260"/>
      <c r="AQ13" s="257" t="s">
        <v>520</v>
      </c>
      <c r="AR13" s="258"/>
      <c r="AS13" s="259"/>
      <c r="AT13" s="260"/>
      <c r="AU13" s="257" t="s">
        <v>521</v>
      </c>
      <c r="AV13" s="258"/>
      <c r="AW13" s="259"/>
      <c r="AX13" s="260"/>
      <c r="AY13" s="257" t="s">
        <v>522</v>
      </c>
      <c r="AZ13" s="258"/>
      <c r="BA13" s="259"/>
      <c r="BB13" s="260"/>
      <c r="BC13" s="257" t="s">
        <v>523</v>
      </c>
      <c r="BD13" s="258"/>
      <c r="BE13" s="259"/>
      <c r="BF13" s="260"/>
      <c r="BG13" s="257" t="s">
        <v>524</v>
      </c>
      <c r="BH13" s="258"/>
      <c r="BI13" s="259"/>
      <c r="BJ13" s="260"/>
      <c r="BK13" s="257" t="s">
        <v>525</v>
      </c>
      <c r="BL13" s="258"/>
      <c r="BM13" s="259"/>
      <c r="BN13" s="260"/>
      <c r="BO13" s="257" t="s">
        <v>526</v>
      </c>
      <c r="BP13" s="258"/>
      <c r="BQ13" s="259"/>
      <c r="BR13" s="260"/>
      <c r="BS13" s="257" t="s">
        <v>527</v>
      </c>
      <c r="BT13" s="258"/>
      <c r="BU13" s="259"/>
      <c r="BV13" s="260"/>
      <c r="BW13" s="257"/>
      <c r="BX13" s="258"/>
      <c r="BY13" s="259" t="s">
        <v>443</v>
      </c>
      <c r="BZ13" s="260"/>
      <c r="CA13" s="257" t="s">
        <v>528</v>
      </c>
      <c r="CB13" s="258"/>
      <c r="CC13" s="259" t="s">
        <v>443</v>
      </c>
      <c r="CD13" s="260"/>
      <c r="CE13" s="257" t="s">
        <v>529</v>
      </c>
      <c r="CF13" s="258"/>
      <c r="CG13" s="259" t="s">
        <v>443</v>
      </c>
      <c r="CH13" s="260"/>
      <c r="CI13" s="257" t="s">
        <v>530</v>
      </c>
      <c r="CJ13" s="258"/>
      <c r="CK13" s="259" t="s">
        <v>443</v>
      </c>
      <c r="CL13" s="260"/>
      <c r="CM13" s="257" t="s">
        <v>531</v>
      </c>
      <c r="CN13" s="258"/>
      <c r="CO13" s="259" t="s">
        <v>443</v>
      </c>
      <c r="CP13" s="260"/>
      <c r="CQ13" s="257" t="s">
        <v>532</v>
      </c>
      <c r="CR13" s="258"/>
      <c r="CS13" s="259" t="s">
        <v>443</v>
      </c>
      <c r="CT13" s="260"/>
      <c r="CU13" s="257" t="s">
        <v>533</v>
      </c>
      <c r="CV13" s="258"/>
      <c r="CW13" s="259" t="s">
        <v>443</v>
      </c>
      <c r="CX13" s="260"/>
      <c r="CY13" s="257" t="s">
        <v>534</v>
      </c>
      <c r="CZ13" s="258"/>
      <c r="DA13" s="259" t="s">
        <v>443</v>
      </c>
      <c r="DB13" s="260"/>
      <c r="DC13" s="257" t="s">
        <v>535</v>
      </c>
      <c r="DD13" s="258"/>
      <c r="DE13" s="259" t="s">
        <v>443</v>
      </c>
      <c r="DF13" s="260"/>
      <c r="DG13" s="257" t="s">
        <v>536</v>
      </c>
      <c r="DH13" s="258"/>
      <c r="DI13" s="259" t="s">
        <v>443</v>
      </c>
      <c r="DJ13" s="260"/>
      <c r="DK13" s="257" t="s">
        <v>537</v>
      </c>
      <c r="DL13" s="258"/>
      <c r="DM13" s="259" t="s">
        <v>443</v>
      </c>
      <c r="DN13" s="260"/>
      <c r="DO13" s="257" t="s">
        <v>538</v>
      </c>
      <c r="DP13" s="258"/>
      <c r="DQ13" s="259" t="s">
        <v>443</v>
      </c>
      <c r="DR13" s="260"/>
      <c r="DS13" s="257" t="s">
        <v>539</v>
      </c>
      <c r="DT13" s="258"/>
      <c r="DU13" s="259" t="s">
        <v>443</v>
      </c>
      <c r="DV13" s="260"/>
      <c r="DW13" s="257" t="s">
        <v>540</v>
      </c>
      <c r="DX13" s="258"/>
      <c r="DY13" s="259" t="s">
        <v>443</v>
      </c>
      <c r="DZ13" s="260"/>
      <c r="EA13" s="257" t="s">
        <v>541</v>
      </c>
      <c r="EB13" s="258"/>
      <c r="EC13" s="259" t="s">
        <v>443</v>
      </c>
      <c r="ED13" s="260"/>
      <c r="EE13" s="257" t="s">
        <v>542</v>
      </c>
      <c r="EF13" s="258"/>
      <c r="EG13" s="259" t="s">
        <v>443</v>
      </c>
      <c r="EH13" s="260"/>
      <c r="EI13" s="257" t="s">
        <v>543</v>
      </c>
      <c r="EJ13" s="258"/>
      <c r="EK13" s="259" t="s">
        <v>443</v>
      </c>
      <c r="EL13" s="260"/>
      <c r="EM13" s="257" t="s">
        <v>544</v>
      </c>
      <c r="EN13" s="258"/>
      <c r="EO13" s="259" t="s">
        <v>443</v>
      </c>
      <c r="EP13" s="260"/>
      <c r="EQ13" s="257" t="s">
        <v>545</v>
      </c>
      <c r="ER13" s="258"/>
      <c r="ES13" s="259" t="s">
        <v>443</v>
      </c>
      <c r="ET13" s="260"/>
      <c r="EU13" s="257" t="s">
        <v>546</v>
      </c>
      <c r="EV13" s="258"/>
      <c r="EW13" s="259" t="s">
        <v>443</v>
      </c>
      <c r="EX13" s="260"/>
      <c r="EY13" s="257" t="s">
        <v>547</v>
      </c>
      <c r="EZ13" s="258"/>
      <c r="FA13" s="259" t="s">
        <v>443</v>
      </c>
      <c r="FB13" s="260"/>
      <c r="FC13" s="257" t="s">
        <v>548</v>
      </c>
      <c r="FD13" s="258"/>
      <c r="FE13" s="259" t="s">
        <v>443</v>
      </c>
      <c r="FF13" s="260"/>
      <c r="FG13" s="257" t="s">
        <v>549</v>
      </c>
      <c r="FH13" s="258"/>
      <c r="FI13" s="259" t="s">
        <v>443</v>
      </c>
      <c r="FJ13" s="260"/>
      <c r="FK13" s="257" t="s">
        <v>550</v>
      </c>
      <c r="FL13" s="258"/>
      <c r="FM13" s="259" t="s">
        <v>443</v>
      </c>
      <c r="FN13" s="260"/>
      <c r="FO13" s="257" t="s">
        <v>551</v>
      </c>
      <c r="FP13" s="258"/>
      <c r="FQ13" s="259" t="s">
        <v>443</v>
      </c>
      <c r="FR13" s="260"/>
      <c r="FS13" s="257" t="s">
        <v>552</v>
      </c>
      <c r="FT13" s="258"/>
      <c r="FU13" s="259" t="s">
        <v>443</v>
      </c>
      <c r="FV13" s="260"/>
      <c r="FW13" s="257" t="s">
        <v>553</v>
      </c>
      <c r="FX13" s="258"/>
      <c r="FY13" s="259" t="s">
        <v>443</v>
      </c>
      <c r="FZ13" s="260"/>
      <c r="GA13" s="257" t="s">
        <v>554</v>
      </c>
      <c r="GB13" s="258"/>
      <c r="GC13" s="259" t="s">
        <v>443</v>
      </c>
      <c r="GD13" s="260"/>
      <c r="GE13" s="257" t="s">
        <v>555</v>
      </c>
      <c r="GF13" s="258"/>
      <c r="GG13" s="259" t="s">
        <v>443</v>
      </c>
      <c r="GH13" s="260"/>
      <c r="GI13" s="257" t="s">
        <v>556</v>
      </c>
      <c r="GJ13" s="258"/>
      <c r="GK13" s="259" t="s">
        <v>443</v>
      </c>
      <c r="GL13" s="260"/>
      <c r="GM13" s="257" t="s">
        <v>557</v>
      </c>
      <c r="GN13" s="258"/>
      <c r="GO13" s="259" t="s">
        <v>443</v>
      </c>
      <c r="GP13" s="260"/>
      <c r="GQ13" s="257" t="s">
        <v>558</v>
      </c>
      <c r="GR13" s="258"/>
      <c r="GS13" s="259" t="s">
        <v>443</v>
      </c>
      <c r="GT13" s="260"/>
      <c r="GU13" s="257" t="s">
        <v>559</v>
      </c>
      <c r="GV13" s="258"/>
      <c r="GW13" s="259" t="s">
        <v>443</v>
      </c>
      <c r="GX13" s="260"/>
      <c r="GY13" s="257" t="s">
        <v>560</v>
      </c>
      <c r="GZ13" s="258"/>
      <c r="HA13" s="259" t="s">
        <v>443</v>
      </c>
      <c r="HB13" s="260"/>
      <c r="HC13" s="1036" t="s">
        <v>504</v>
      </c>
      <c r="HD13" s="1037"/>
      <c r="HE13" s="1037"/>
      <c r="HF13" s="1038"/>
      <c r="HG13" s="1036" t="s">
        <v>498</v>
      </c>
      <c r="HH13" s="1037"/>
      <c r="HI13" s="1037"/>
      <c r="HJ13" s="1038"/>
      <c r="HL13" s="230">
        <v>4</v>
      </c>
      <c r="HM13" s="714" t="str">
        <f t="shared" ca="1" si="49"/>
        <v/>
      </c>
      <c r="HN13" s="715" t="str">
        <f ca="1">IF(COUNTIF(HN$10:HN12,OFFSET(A1_原単位2026,5,HL13+2))&gt;=1,"",OFFSET(A1_原単位2026,5,HL13+2)&amp;"")</f>
        <v/>
      </c>
      <c r="HO13" s="716" t="str">
        <f t="shared" ca="1" si="50"/>
        <v/>
      </c>
      <c r="HP13" s="717" t="str">
        <f t="shared" ca="1" si="51"/>
        <v/>
      </c>
      <c r="HQ13" s="714" t="str">
        <f t="shared" ca="1" si="52"/>
        <v/>
      </c>
      <c r="HR13" s="715" t="str">
        <f ca="1">IF(COUNTIF(HR$10:HR12,OFFSET(A1_原単位2026,17,HL13+2))&gt;=1,"",OFFSET(A1_原単位2026,17,HL13+2)&amp;"")</f>
        <v/>
      </c>
      <c r="HS13" s="718" t="str">
        <f t="shared" ca="1" si="53"/>
        <v/>
      </c>
      <c r="HT13" s="719" t="str">
        <f t="shared" ca="1" si="54"/>
        <v/>
      </c>
      <c r="HU13" s="714" t="str">
        <f t="shared" ca="1" si="55"/>
        <v/>
      </c>
      <c r="HV13" s="715" t="str">
        <f ca="1">IF(COUNTIF(HV$10:HV12,OFFSET(A1_原単位2026,29,HL13+2))&gt;=1,"",OFFSET(A1_原単位2026,29,HL13+2)&amp;"")</f>
        <v/>
      </c>
      <c r="HW13" s="718" t="str">
        <f t="shared" ca="1" si="56"/>
        <v/>
      </c>
      <c r="HX13" s="719" t="str">
        <f t="shared" ca="1" si="57"/>
        <v/>
      </c>
      <c r="HY13" s="714" t="str">
        <f t="shared" ca="1" si="58"/>
        <v/>
      </c>
      <c r="HZ13" s="715" t="str">
        <f ca="1">IF(COUNTIF(HZ$10:HZ12,OFFSET(A1_原単位2026,41,HL13+2))&gt;=1,"",OFFSET(A1_原単位2026,41,HL13+2)&amp;"")</f>
        <v/>
      </c>
      <c r="IA13" s="720" t="str">
        <f t="shared" ca="1" si="59"/>
        <v/>
      </c>
      <c r="IB13" s="721" t="str">
        <f t="shared" ca="1" si="60"/>
        <v/>
      </c>
      <c r="IE13" s="159" t="str">
        <f t="shared" ca="1" si="61"/>
        <v/>
      </c>
      <c r="IF13" s="159" t="str">
        <f t="shared" ca="1" si="62"/>
        <v/>
      </c>
      <c r="IG13" s="159" t="str">
        <f t="shared" ca="1" si="63"/>
        <v/>
      </c>
      <c r="IH13" s="159" t="str">
        <f t="shared" ca="1" si="64"/>
        <v/>
      </c>
    </row>
    <row r="14" spans="1:242" s="164" customFormat="1" ht="20.100000000000001" customHeight="1">
      <c r="B14" s="250" t="s">
        <v>1362</v>
      </c>
      <c r="C14" s="251"/>
      <c r="D14" s="251"/>
      <c r="E14" s="261"/>
      <c r="F14" s="262" t="s">
        <v>444</v>
      </c>
      <c r="G14" s="254" t="s">
        <v>1363</v>
      </c>
      <c r="H14" s="263"/>
      <c r="I14" s="264" t="s">
        <v>1364</v>
      </c>
      <c r="J14" s="265"/>
      <c r="K14" s="266" t="s">
        <v>1365</v>
      </c>
      <c r="L14" s="267"/>
      <c r="M14" s="267"/>
      <c r="N14" s="268"/>
      <c r="O14" s="266" t="s">
        <v>1365</v>
      </c>
      <c r="P14" s="267"/>
      <c r="Q14" s="267"/>
      <c r="R14" s="268"/>
      <c r="S14" s="266" t="s">
        <v>1365</v>
      </c>
      <c r="T14" s="267"/>
      <c r="U14" s="267"/>
      <c r="V14" s="268"/>
      <c r="W14" s="266" t="s">
        <v>1365</v>
      </c>
      <c r="X14" s="267"/>
      <c r="Y14" s="267"/>
      <c r="Z14" s="268"/>
      <c r="AA14" s="266" t="s">
        <v>1365</v>
      </c>
      <c r="AB14" s="267"/>
      <c r="AC14" s="267"/>
      <c r="AD14" s="268"/>
      <c r="AE14" s="266" t="s">
        <v>1365</v>
      </c>
      <c r="AF14" s="267"/>
      <c r="AG14" s="267"/>
      <c r="AH14" s="268"/>
      <c r="AI14" s="266" t="s">
        <v>1365</v>
      </c>
      <c r="AJ14" s="267"/>
      <c r="AK14" s="267"/>
      <c r="AL14" s="268"/>
      <c r="AM14" s="266" t="s">
        <v>1365</v>
      </c>
      <c r="AN14" s="267"/>
      <c r="AO14" s="267"/>
      <c r="AP14" s="268"/>
      <c r="AQ14" s="266" t="s">
        <v>1365</v>
      </c>
      <c r="AR14" s="267"/>
      <c r="AS14" s="267"/>
      <c r="AT14" s="268"/>
      <c r="AU14" s="266" t="s">
        <v>1365</v>
      </c>
      <c r="AV14" s="267"/>
      <c r="AW14" s="267"/>
      <c r="AX14" s="268"/>
      <c r="AY14" s="266" t="s">
        <v>1365</v>
      </c>
      <c r="AZ14" s="267"/>
      <c r="BA14" s="267"/>
      <c r="BB14" s="268"/>
      <c r="BC14" s="266" t="s">
        <v>1365</v>
      </c>
      <c r="BD14" s="267"/>
      <c r="BE14" s="267"/>
      <c r="BF14" s="268"/>
      <c r="BG14" s="266" t="s">
        <v>1365</v>
      </c>
      <c r="BH14" s="267"/>
      <c r="BI14" s="267"/>
      <c r="BJ14" s="268"/>
      <c r="BK14" s="266" t="s">
        <v>1365</v>
      </c>
      <c r="BL14" s="267"/>
      <c r="BM14" s="267"/>
      <c r="BN14" s="268"/>
      <c r="BO14" s="266" t="s">
        <v>1365</v>
      </c>
      <c r="BP14" s="267"/>
      <c r="BQ14" s="267"/>
      <c r="BR14" s="268"/>
      <c r="BS14" s="266" t="s">
        <v>1365</v>
      </c>
      <c r="BT14" s="267"/>
      <c r="BU14" s="267"/>
      <c r="BV14" s="268"/>
      <c r="BW14" s="266" t="s">
        <v>444</v>
      </c>
      <c r="BX14" s="267"/>
      <c r="BY14" s="267"/>
      <c r="BZ14" s="268"/>
      <c r="CA14" s="266" t="s">
        <v>444</v>
      </c>
      <c r="CB14" s="267"/>
      <c r="CC14" s="267"/>
      <c r="CD14" s="268"/>
      <c r="CE14" s="266" t="s">
        <v>444</v>
      </c>
      <c r="CF14" s="267"/>
      <c r="CG14" s="267"/>
      <c r="CH14" s="268"/>
      <c r="CI14" s="266" t="s">
        <v>444</v>
      </c>
      <c r="CJ14" s="267"/>
      <c r="CK14" s="267"/>
      <c r="CL14" s="268"/>
      <c r="CM14" s="266" t="s">
        <v>444</v>
      </c>
      <c r="CN14" s="267"/>
      <c r="CO14" s="267"/>
      <c r="CP14" s="268"/>
      <c r="CQ14" s="266" t="s">
        <v>444</v>
      </c>
      <c r="CR14" s="267"/>
      <c r="CS14" s="267"/>
      <c r="CT14" s="268"/>
      <c r="CU14" s="266" t="s">
        <v>444</v>
      </c>
      <c r="CV14" s="267"/>
      <c r="CW14" s="267"/>
      <c r="CX14" s="268"/>
      <c r="CY14" s="266" t="s">
        <v>444</v>
      </c>
      <c r="CZ14" s="267"/>
      <c r="DA14" s="267"/>
      <c r="DB14" s="268"/>
      <c r="DC14" s="266" t="s">
        <v>444</v>
      </c>
      <c r="DD14" s="267"/>
      <c r="DE14" s="267"/>
      <c r="DF14" s="268"/>
      <c r="DG14" s="266" t="s">
        <v>444</v>
      </c>
      <c r="DH14" s="267"/>
      <c r="DI14" s="267"/>
      <c r="DJ14" s="268"/>
      <c r="DK14" s="266" t="s">
        <v>444</v>
      </c>
      <c r="DL14" s="267"/>
      <c r="DM14" s="267"/>
      <c r="DN14" s="268"/>
      <c r="DO14" s="266" t="s">
        <v>444</v>
      </c>
      <c r="DP14" s="267"/>
      <c r="DQ14" s="267"/>
      <c r="DR14" s="268"/>
      <c r="DS14" s="266" t="s">
        <v>444</v>
      </c>
      <c r="DT14" s="267"/>
      <c r="DU14" s="267"/>
      <c r="DV14" s="268"/>
      <c r="DW14" s="266" t="s">
        <v>444</v>
      </c>
      <c r="DX14" s="267"/>
      <c r="DY14" s="267"/>
      <c r="DZ14" s="268"/>
      <c r="EA14" s="266" t="s">
        <v>444</v>
      </c>
      <c r="EB14" s="267"/>
      <c r="EC14" s="267"/>
      <c r="ED14" s="268"/>
      <c r="EE14" s="266" t="s">
        <v>444</v>
      </c>
      <c r="EF14" s="267"/>
      <c r="EG14" s="267"/>
      <c r="EH14" s="268"/>
      <c r="EI14" s="266" t="s">
        <v>444</v>
      </c>
      <c r="EJ14" s="267"/>
      <c r="EK14" s="267"/>
      <c r="EL14" s="268"/>
      <c r="EM14" s="266" t="s">
        <v>444</v>
      </c>
      <c r="EN14" s="267"/>
      <c r="EO14" s="267"/>
      <c r="EP14" s="268"/>
      <c r="EQ14" s="266" t="s">
        <v>444</v>
      </c>
      <c r="ER14" s="267"/>
      <c r="ES14" s="267"/>
      <c r="ET14" s="268"/>
      <c r="EU14" s="266" t="s">
        <v>444</v>
      </c>
      <c r="EV14" s="267"/>
      <c r="EW14" s="267"/>
      <c r="EX14" s="268"/>
      <c r="EY14" s="266" t="s">
        <v>444</v>
      </c>
      <c r="EZ14" s="267"/>
      <c r="FA14" s="267"/>
      <c r="FB14" s="268"/>
      <c r="FC14" s="266" t="s">
        <v>444</v>
      </c>
      <c r="FD14" s="267"/>
      <c r="FE14" s="267"/>
      <c r="FF14" s="268"/>
      <c r="FG14" s="266" t="s">
        <v>444</v>
      </c>
      <c r="FH14" s="267"/>
      <c r="FI14" s="267"/>
      <c r="FJ14" s="268"/>
      <c r="FK14" s="266" t="s">
        <v>444</v>
      </c>
      <c r="FL14" s="267"/>
      <c r="FM14" s="267"/>
      <c r="FN14" s="268"/>
      <c r="FO14" s="266" t="s">
        <v>444</v>
      </c>
      <c r="FP14" s="267"/>
      <c r="FQ14" s="267"/>
      <c r="FR14" s="268"/>
      <c r="FS14" s="266" t="s">
        <v>444</v>
      </c>
      <c r="FT14" s="267"/>
      <c r="FU14" s="267"/>
      <c r="FV14" s="268"/>
      <c r="FW14" s="266" t="s">
        <v>444</v>
      </c>
      <c r="FX14" s="267"/>
      <c r="FY14" s="267"/>
      <c r="FZ14" s="268"/>
      <c r="GA14" s="266" t="s">
        <v>444</v>
      </c>
      <c r="GB14" s="267"/>
      <c r="GC14" s="267"/>
      <c r="GD14" s="268"/>
      <c r="GE14" s="266" t="s">
        <v>444</v>
      </c>
      <c r="GF14" s="267"/>
      <c r="GG14" s="267"/>
      <c r="GH14" s="268"/>
      <c r="GI14" s="266" t="s">
        <v>444</v>
      </c>
      <c r="GJ14" s="267"/>
      <c r="GK14" s="267"/>
      <c r="GL14" s="268"/>
      <c r="GM14" s="266" t="s">
        <v>444</v>
      </c>
      <c r="GN14" s="267"/>
      <c r="GO14" s="267"/>
      <c r="GP14" s="268"/>
      <c r="GQ14" s="266" t="s">
        <v>444</v>
      </c>
      <c r="GR14" s="267"/>
      <c r="GS14" s="267"/>
      <c r="GT14" s="268"/>
      <c r="GU14" s="266" t="s">
        <v>444</v>
      </c>
      <c r="GV14" s="267"/>
      <c r="GW14" s="267"/>
      <c r="GX14" s="268"/>
      <c r="GY14" s="266" t="s">
        <v>444</v>
      </c>
      <c r="GZ14" s="267"/>
      <c r="HA14" s="267"/>
      <c r="HB14" s="268"/>
      <c r="HC14" s="1039" t="s">
        <v>561</v>
      </c>
      <c r="HD14" s="1040"/>
      <c r="HE14" s="722">
        <f ca="1">参考2_エネ使用量経年!N95</f>
        <v>0</v>
      </c>
      <c r="HF14" s="269" t="s">
        <v>562</v>
      </c>
      <c r="HG14" s="1039" t="s">
        <v>561</v>
      </c>
      <c r="HH14" s="1040"/>
      <c r="HI14" s="722">
        <f ca="1">参考2_エネ使用量経年!V95</f>
        <v>0</v>
      </c>
      <c r="HJ14" s="269" t="s">
        <v>562</v>
      </c>
      <c r="HL14" s="219">
        <v>5</v>
      </c>
      <c r="HM14" s="714" t="str">
        <f t="shared" ca="1" si="49"/>
        <v/>
      </c>
      <c r="HN14" s="715" t="str">
        <f ca="1">IF(COUNTIF(HN$10:HN13,OFFSET(A1_原単位2026,5,HL14+2))&gt;=1,"",OFFSET(A1_原単位2026,5,HL14+2)&amp;"")</f>
        <v/>
      </c>
      <c r="HO14" s="716" t="str">
        <f t="shared" ca="1" si="50"/>
        <v/>
      </c>
      <c r="HP14" s="717" t="str">
        <f t="shared" ca="1" si="51"/>
        <v/>
      </c>
      <c r="HQ14" s="714" t="str">
        <f t="shared" ca="1" si="52"/>
        <v/>
      </c>
      <c r="HR14" s="715" t="str">
        <f ca="1">IF(COUNTIF(HR$10:HR13,OFFSET(A1_原単位2026,17,HL14+2))&gt;=1,"",OFFSET(A1_原単位2026,17,HL14+2)&amp;"")</f>
        <v/>
      </c>
      <c r="HS14" s="718" t="str">
        <f t="shared" ca="1" si="53"/>
        <v/>
      </c>
      <c r="HT14" s="719" t="str">
        <f t="shared" ca="1" si="54"/>
        <v/>
      </c>
      <c r="HU14" s="714" t="str">
        <f t="shared" ca="1" si="55"/>
        <v/>
      </c>
      <c r="HV14" s="715" t="str">
        <f ca="1">IF(COUNTIF(HV$10:HV13,OFFSET(A1_原単位2026,29,HL14+2))&gt;=1,"",OFFSET(A1_原単位2026,29,HL14+2)&amp;"")</f>
        <v/>
      </c>
      <c r="HW14" s="718" t="str">
        <f t="shared" ca="1" si="56"/>
        <v/>
      </c>
      <c r="HX14" s="719" t="str">
        <f t="shared" ca="1" si="57"/>
        <v/>
      </c>
      <c r="HY14" s="714" t="str">
        <f t="shared" ca="1" si="58"/>
        <v/>
      </c>
      <c r="HZ14" s="715" t="str">
        <f ca="1">IF(COUNTIF(HZ$10:HZ13,OFFSET(A1_原単位2026,41,HL14+2))&gt;=1,"",OFFSET(A1_原単位2026,41,HL14+2)&amp;"")</f>
        <v/>
      </c>
      <c r="IA14" s="720" t="str">
        <f t="shared" ca="1" si="59"/>
        <v/>
      </c>
      <c r="IB14" s="721" t="str">
        <f t="shared" ca="1" si="60"/>
        <v/>
      </c>
      <c r="IE14" s="159" t="str">
        <f t="shared" ca="1" si="61"/>
        <v/>
      </c>
      <c r="IF14" s="159" t="str">
        <f t="shared" ca="1" si="62"/>
        <v/>
      </c>
      <c r="IG14" s="159" t="str">
        <f t="shared" ca="1" si="63"/>
        <v/>
      </c>
      <c r="IH14" s="159" t="str">
        <f t="shared" ca="1" si="64"/>
        <v/>
      </c>
    </row>
    <row r="15" spans="1:242" s="164" customFormat="1" ht="20.100000000000001" customHeight="1" thickBot="1">
      <c r="B15" s="254" t="s">
        <v>445</v>
      </c>
      <c r="C15" s="255"/>
      <c r="D15" s="255"/>
      <c r="E15" s="270"/>
      <c r="F15" s="271" t="s">
        <v>446</v>
      </c>
      <c r="G15" s="272" t="s">
        <v>447</v>
      </c>
      <c r="H15" s="273" t="s">
        <v>448</v>
      </c>
      <c r="I15" s="272" t="s">
        <v>1366</v>
      </c>
      <c r="J15" s="273" t="s">
        <v>1290</v>
      </c>
      <c r="K15" s="274" t="s">
        <v>1367</v>
      </c>
      <c r="L15" s="275"/>
      <c r="M15" s="275"/>
      <c r="N15" s="276"/>
      <c r="O15" s="274" t="s">
        <v>1367</v>
      </c>
      <c r="P15" s="275"/>
      <c r="Q15" s="275"/>
      <c r="R15" s="276"/>
      <c r="S15" s="274" t="s">
        <v>1367</v>
      </c>
      <c r="T15" s="275"/>
      <c r="U15" s="275"/>
      <c r="V15" s="276"/>
      <c r="W15" s="274" t="s">
        <v>1367</v>
      </c>
      <c r="X15" s="275"/>
      <c r="Y15" s="275"/>
      <c r="Z15" s="276"/>
      <c r="AA15" s="274" t="s">
        <v>1367</v>
      </c>
      <c r="AB15" s="275"/>
      <c r="AC15" s="275"/>
      <c r="AD15" s="276"/>
      <c r="AE15" s="274" t="s">
        <v>1367</v>
      </c>
      <c r="AF15" s="275"/>
      <c r="AG15" s="275"/>
      <c r="AH15" s="276"/>
      <c r="AI15" s="274" t="s">
        <v>1367</v>
      </c>
      <c r="AJ15" s="275"/>
      <c r="AK15" s="275"/>
      <c r="AL15" s="276"/>
      <c r="AM15" s="274" t="s">
        <v>1367</v>
      </c>
      <c r="AN15" s="275"/>
      <c r="AO15" s="275"/>
      <c r="AP15" s="276"/>
      <c r="AQ15" s="274" t="s">
        <v>1367</v>
      </c>
      <c r="AR15" s="275"/>
      <c r="AS15" s="275"/>
      <c r="AT15" s="276"/>
      <c r="AU15" s="274" t="s">
        <v>1367</v>
      </c>
      <c r="AV15" s="275"/>
      <c r="AW15" s="275"/>
      <c r="AX15" s="276"/>
      <c r="AY15" s="274" t="s">
        <v>1367</v>
      </c>
      <c r="AZ15" s="275"/>
      <c r="BA15" s="275"/>
      <c r="BB15" s="276"/>
      <c r="BC15" s="274" t="s">
        <v>1367</v>
      </c>
      <c r="BD15" s="275"/>
      <c r="BE15" s="275"/>
      <c r="BF15" s="276"/>
      <c r="BG15" s="274" t="s">
        <v>1367</v>
      </c>
      <c r="BH15" s="275"/>
      <c r="BI15" s="275"/>
      <c r="BJ15" s="276"/>
      <c r="BK15" s="274" t="s">
        <v>1367</v>
      </c>
      <c r="BL15" s="275"/>
      <c r="BM15" s="275"/>
      <c r="BN15" s="276"/>
      <c r="BO15" s="274" t="s">
        <v>1367</v>
      </c>
      <c r="BP15" s="275"/>
      <c r="BQ15" s="275"/>
      <c r="BR15" s="276"/>
      <c r="BS15" s="274" t="s">
        <v>1367</v>
      </c>
      <c r="BT15" s="275"/>
      <c r="BU15" s="275"/>
      <c r="BV15" s="276"/>
      <c r="BW15" s="274" t="s">
        <v>446</v>
      </c>
      <c r="BX15" s="275"/>
      <c r="BY15" s="275"/>
      <c r="BZ15" s="276"/>
      <c r="CA15" s="274" t="s">
        <v>446</v>
      </c>
      <c r="CB15" s="275"/>
      <c r="CC15" s="275"/>
      <c r="CD15" s="276"/>
      <c r="CE15" s="274" t="s">
        <v>446</v>
      </c>
      <c r="CF15" s="275"/>
      <c r="CG15" s="275"/>
      <c r="CH15" s="276"/>
      <c r="CI15" s="274" t="s">
        <v>446</v>
      </c>
      <c r="CJ15" s="275"/>
      <c r="CK15" s="275"/>
      <c r="CL15" s="276"/>
      <c r="CM15" s="274" t="s">
        <v>446</v>
      </c>
      <c r="CN15" s="275"/>
      <c r="CO15" s="275"/>
      <c r="CP15" s="276"/>
      <c r="CQ15" s="274" t="s">
        <v>446</v>
      </c>
      <c r="CR15" s="275"/>
      <c r="CS15" s="275"/>
      <c r="CT15" s="276"/>
      <c r="CU15" s="274" t="s">
        <v>446</v>
      </c>
      <c r="CV15" s="275"/>
      <c r="CW15" s="275"/>
      <c r="CX15" s="276"/>
      <c r="CY15" s="274" t="s">
        <v>446</v>
      </c>
      <c r="CZ15" s="275"/>
      <c r="DA15" s="275"/>
      <c r="DB15" s="276"/>
      <c r="DC15" s="274" t="s">
        <v>446</v>
      </c>
      <c r="DD15" s="275"/>
      <c r="DE15" s="275"/>
      <c r="DF15" s="276"/>
      <c r="DG15" s="274" t="s">
        <v>446</v>
      </c>
      <c r="DH15" s="275"/>
      <c r="DI15" s="275"/>
      <c r="DJ15" s="276"/>
      <c r="DK15" s="274" t="s">
        <v>446</v>
      </c>
      <c r="DL15" s="275"/>
      <c r="DM15" s="275"/>
      <c r="DN15" s="276"/>
      <c r="DO15" s="274" t="s">
        <v>446</v>
      </c>
      <c r="DP15" s="275"/>
      <c r="DQ15" s="275"/>
      <c r="DR15" s="276"/>
      <c r="DS15" s="274" t="s">
        <v>446</v>
      </c>
      <c r="DT15" s="275"/>
      <c r="DU15" s="275"/>
      <c r="DV15" s="276"/>
      <c r="DW15" s="274" t="s">
        <v>446</v>
      </c>
      <c r="DX15" s="275"/>
      <c r="DY15" s="275"/>
      <c r="DZ15" s="276"/>
      <c r="EA15" s="274" t="s">
        <v>446</v>
      </c>
      <c r="EB15" s="275"/>
      <c r="EC15" s="275"/>
      <c r="ED15" s="276"/>
      <c r="EE15" s="274" t="s">
        <v>446</v>
      </c>
      <c r="EF15" s="275"/>
      <c r="EG15" s="275"/>
      <c r="EH15" s="276"/>
      <c r="EI15" s="274" t="s">
        <v>446</v>
      </c>
      <c r="EJ15" s="275"/>
      <c r="EK15" s="275"/>
      <c r="EL15" s="276"/>
      <c r="EM15" s="274" t="s">
        <v>446</v>
      </c>
      <c r="EN15" s="275"/>
      <c r="EO15" s="275"/>
      <c r="EP15" s="276"/>
      <c r="EQ15" s="274" t="s">
        <v>446</v>
      </c>
      <c r="ER15" s="275"/>
      <c r="ES15" s="275"/>
      <c r="ET15" s="276"/>
      <c r="EU15" s="274" t="s">
        <v>446</v>
      </c>
      <c r="EV15" s="275"/>
      <c r="EW15" s="275"/>
      <c r="EX15" s="276"/>
      <c r="EY15" s="274" t="s">
        <v>446</v>
      </c>
      <c r="EZ15" s="275"/>
      <c r="FA15" s="275"/>
      <c r="FB15" s="276"/>
      <c r="FC15" s="274" t="s">
        <v>446</v>
      </c>
      <c r="FD15" s="275"/>
      <c r="FE15" s="275"/>
      <c r="FF15" s="276"/>
      <c r="FG15" s="274" t="s">
        <v>446</v>
      </c>
      <c r="FH15" s="275"/>
      <c r="FI15" s="275"/>
      <c r="FJ15" s="276"/>
      <c r="FK15" s="274" t="s">
        <v>446</v>
      </c>
      <c r="FL15" s="275"/>
      <c r="FM15" s="275"/>
      <c r="FN15" s="276"/>
      <c r="FO15" s="274" t="s">
        <v>446</v>
      </c>
      <c r="FP15" s="275"/>
      <c r="FQ15" s="275"/>
      <c r="FR15" s="276"/>
      <c r="FS15" s="274" t="s">
        <v>446</v>
      </c>
      <c r="FT15" s="275"/>
      <c r="FU15" s="275"/>
      <c r="FV15" s="276"/>
      <c r="FW15" s="274" t="s">
        <v>446</v>
      </c>
      <c r="FX15" s="275"/>
      <c r="FY15" s="275"/>
      <c r="FZ15" s="276"/>
      <c r="GA15" s="274" t="s">
        <v>446</v>
      </c>
      <c r="GB15" s="275"/>
      <c r="GC15" s="275"/>
      <c r="GD15" s="276"/>
      <c r="GE15" s="274" t="s">
        <v>446</v>
      </c>
      <c r="GF15" s="275"/>
      <c r="GG15" s="275"/>
      <c r="GH15" s="276"/>
      <c r="GI15" s="274" t="s">
        <v>446</v>
      </c>
      <c r="GJ15" s="275"/>
      <c r="GK15" s="275"/>
      <c r="GL15" s="276"/>
      <c r="GM15" s="274" t="s">
        <v>446</v>
      </c>
      <c r="GN15" s="275"/>
      <c r="GO15" s="275"/>
      <c r="GP15" s="276"/>
      <c r="GQ15" s="274" t="s">
        <v>446</v>
      </c>
      <c r="GR15" s="275"/>
      <c r="GS15" s="275"/>
      <c r="GT15" s="276"/>
      <c r="GU15" s="274" t="s">
        <v>446</v>
      </c>
      <c r="GV15" s="275"/>
      <c r="GW15" s="275"/>
      <c r="GX15" s="276"/>
      <c r="GY15" s="274" t="s">
        <v>446</v>
      </c>
      <c r="GZ15" s="275"/>
      <c r="HA15" s="275"/>
      <c r="HB15" s="276"/>
      <c r="HC15" s="1041" t="s">
        <v>563</v>
      </c>
      <c r="HD15" s="1042"/>
      <c r="HE15" s="723">
        <f ca="1">参考3_排出量経年!N116</f>
        <v>0</v>
      </c>
      <c r="HF15" s="277" t="s">
        <v>564</v>
      </c>
      <c r="HG15" s="1041" t="s">
        <v>563</v>
      </c>
      <c r="HH15" s="1042"/>
      <c r="HI15" s="723">
        <f ca="1">参考3_排出量経年!V116</f>
        <v>0</v>
      </c>
      <c r="HJ15" s="277" t="s">
        <v>564</v>
      </c>
      <c r="HL15" s="230">
        <v>6</v>
      </c>
      <c r="HM15" s="714" t="str">
        <f t="shared" ca="1" si="49"/>
        <v/>
      </c>
      <c r="HN15" s="715" t="str">
        <f ca="1">IF(COUNTIF(HN$10:HN14,OFFSET(A1_原単位2026,5,HL15+2))&gt;=1,"",OFFSET(A1_原単位2026,5,HL15+2)&amp;"")</f>
        <v/>
      </c>
      <c r="HO15" s="716" t="str">
        <f t="shared" ca="1" si="50"/>
        <v/>
      </c>
      <c r="HP15" s="717" t="str">
        <f t="shared" ca="1" si="51"/>
        <v/>
      </c>
      <c r="HQ15" s="714" t="str">
        <f t="shared" ca="1" si="52"/>
        <v/>
      </c>
      <c r="HR15" s="715" t="str">
        <f ca="1">IF(COUNTIF(HR$10:HR14,OFFSET(A1_原単位2026,17,HL15+2))&gt;=1,"",OFFSET(A1_原単位2026,17,HL15+2)&amp;"")</f>
        <v/>
      </c>
      <c r="HS15" s="718" t="str">
        <f t="shared" ca="1" si="53"/>
        <v/>
      </c>
      <c r="HT15" s="719" t="str">
        <f t="shared" ca="1" si="54"/>
        <v/>
      </c>
      <c r="HU15" s="714" t="str">
        <f t="shared" ca="1" si="55"/>
        <v/>
      </c>
      <c r="HV15" s="715" t="str">
        <f ca="1">IF(COUNTIF(HV$10:HV14,OFFSET(A1_原単位2026,29,HL15+2))&gt;=1,"",OFFSET(A1_原単位2026,29,HL15+2)&amp;"")</f>
        <v/>
      </c>
      <c r="HW15" s="718" t="str">
        <f t="shared" ca="1" si="56"/>
        <v/>
      </c>
      <c r="HX15" s="719" t="str">
        <f t="shared" ca="1" si="57"/>
        <v/>
      </c>
      <c r="HY15" s="714" t="str">
        <f t="shared" ca="1" si="58"/>
        <v/>
      </c>
      <c r="HZ15" s="715" t="str">
        <f ca="1">IF(COUNTIF(HZ$10:HZ14,OFFSET(A1_原単位2026,41,HL15+2))&gt;=1,"",OFFSET(A1_原単位2026,41,HL15+2)&amp;"")</f>
        <v/>
      </c>
      <c r="IA15" s="720" t="str">
        <f t="shared" ca="1" si="59"/>
        <v/>
      </c>
      <c r="IB15" s="721" t="str">
        <f t="shared" ca="1" si="60"/>
        <v/>
      </c>
      <c r="IE15" s="159" t="str">
        <f t="shared" ca="1" si="61"/>
        <v/>
      </c>
      <c r="IF15" s="159" t="str">
        <f t="shared" ca="1" si="62"/>
        <v/>
      </c>
      <c r="IG15" s="159" t="str">
        <f t="shared" ca="1" si="63"/>
        <v/>
      </c>
      <c r="IH15" s="159" t="str">
        <f t="shared" ca="1" si="64"/>
        <v/>
      </c>
    </row>
    <row r="16" spans="1:242" s="164" customFormat="1" ht="20.100000000000001" customHeight="1" thickBot="1">
      <c r="B16" s="250" t="s">
        <v>565</v>
      </c>
      <c r="C16" s="278"/>
      <c r="D16" s="278"/>
      <c r="E16" s="279"/>
      <c r="F16" s="280" t="s">
        <v>566</v>
      </c>
      <c r="G16" s="281" t="s">
        <v>1368</v>
      </c>
      <c r="H16" s="282" t="s">
        <v>348</v>
      </c>
      <c r="I16" s="283" t="s">
        <v>1369</v>
      </c>
      <c r="J16" s="284" t="s">
        <v>1369</v>
      </c>
      <c r="K16" s="285" t="s">
        <v>567</v>
      </c>
      <c r="L16" s="286" t="s">
        <v>1370</v>
      </c>
      <c r="M16" s="286" t="s">
        <v>1371</v>
      </c>
      <c r="N16" s="282" t="s">
        <v>568</v>
      </c>
      <c r="O16" s="285" t="s">
        <v>567</v>
      </c>
      <c r="P16" s="286" t="s">
        <v>1370</v>
      </c>
      <c r="Q16" s="286" t="s">
        <v>1371</v>
      </c>
      <c r="R16" s="282" t="s">
        <v>568</v>
      </c>
      <c r="S16" s="285" t="s">
        <v>567</v>
      </c>
      <c r="T16" s="286" t="s">
        <v>1370</v>
      </c>
      <c r="U16" s="286" t="s">
        <v>1371</v>
      </c>
      <c r="V16" s="282" t="s">
        <v>568</v>
      </c>
      <c r="W16" s="285" t="s">
        <v>567</v>
      </c>
      <c r="X16" s="286" t="s">
        <v>1370</v>
      </c>
      <c r="Y16" s="286" t="s">
        <v>1371</v>
      </c>
      <c r="Z16" s="282" t="s">
        <v>568</v>
      </c>
      <c r="AA16" s="285" t="s">
        <v>567</v>
      </c>
      <c r="AB16" s="286" t="s">
        <v>1370</v>
      </c>
      <c r="AC16" s="286" t="s">
        <v>1371</v>
      </c>
      <c r="AD16" s="282" t="s">
        <v>568</v>
      </c>
      <c r="AE16" s="285" t="s">
        <v>567</v>
      </c>
      <c r="AF16" s="286" t="s">
        <v>1370</v>
      </c>
      <c r="AG16" s="286" t="s">
        <v>1371</v>
      </c>
      <c r="AH16" s="282" t="s">
        <v>568</v>
      </c>
      <c r="AI16" s="285" t="s">
        <v>567</v>
      </c>
      <c r="AJ16" s="286" t="s">
        <v>1370</v>
      </c>
      <c r="AK16" s="286" t="s">
        <v>1371</v>
      </c>
      <c r="AL16" s="282" t="s">
        <v>568</v>
      </c>
      <c r="AM16" s="285" t="s">
        <v>567</v>
      </c>
      <c r="AN16" s="286" t="s">
        <v>1370</v>
      </c>
      <c r="AO16" s="286" t="s">
        <v>1371</v>
      </c>
      <c r="AP16" s="282" t="s">
        <v>568</v>
      </c>
      <c r="AQ16" s="285" t="s">
        <v>567</v>
      </c>
      <c r="AR16" s="286" t="s">
        <v>1370</v>
      </c>
      <c r="AS16" s="286" t="s">
        <v>1371</v>
      </c>
      <c r="AT16" s="282" t="s">
        <v>568</v>
      </c>
      <c r="AU16" s="285" t="s">
        <v>567</v>
      </c>
      <c r="AV16" s="286" t="s">
        <v>1370</v>
      </c>
      <c r="AW16" s="286" t="s">
        <v>1371</v>
      </c>
      <c r="AX16" s="282" t="s">
        <v>568</v>
      </c>
      <c r="AY16" s="285" t="s">
        <v>567</v>
      </c>
      <c r="AZ16" s="286" t="s">
        <v>1370</v>
      </c>
      <c r="BA16" s="286" t="s">
        <v>1371</v>
      </c>
      <c r="BB16" s="282" t="s">
        <v>568</v>
      </c>
      <c r="BC16" s="285" t="s">
        <v>567</v>
      </c>
      <c r="BD16" s="286" t="s">
        <v>1370</v>
      </c>
      <c r="BE16" s="286" t="s">
        <v>1371</v>
      </c>
      <c r="BF16" s="282" t="s">
        <v>568</v>
      </c>
      <c r="BG16" s="285" t="s">
        <v>567</v>
      </c>
      <c r="BH16" s="286" t="s">
        <v>1370</v>
      </c>
      <c r="BI16" s="286" t="s">
        <v>1371</v>
      </c>
      <c r="BJ16" s="282" t="s">
        <v>568</v>
      </c>
      <c r="BK16" s="285" t="s">
        <v>567</v>
      </c>
      <c r="BL16" s="286" t="s">
        <v>1370</v>
      </c>
      <c r="BM16" s="286" t="s">
        <v>1371</v>
      </c>
      <c r="BN16" s="282" t="s">
        <v>568</v>
      </c>
      <c r="BO16" s="285" t="s">
        <v>567</v>
      </c>
      <c r="BP16" s="286" t="s">
        <v>1370</v>
      </c>
      <c r="BQ16" s="286" t="s">
        <v>1371</v>
      </c>
      <c r="BR16" s="282" t="s">
        <v>568</v>
      </c>
      <c r="BS16" s="285" t="s">
        <v>567</v>
      </c>
      <c r="BT16" s="286" t="s">
        <v>1370</v>
      </c>
      <c r="BU16" s="286" t="s">
        <v>1371</v>
      </c>
      <c r="BV16" s="282" t="s">
        <v>568</v>
      </c>
      <c r="BW16" s="285" t="s">
        <v>449</v>
      </c>
      <c r="BX16" s="286" t="s">
        <v>450</v>
      </c>
      <c r="BY16" s="286" t="s">
        <v>451</v>
      </c>
      <c r="BZ16" s="282" t="s">
        <v>452</v>
      </c>
      <c r="CA16" s="285" t="s">
        <v>449</v>
      </c>
      <c r="CB16" s="286" t="s">
        <v>450</v>
      </c>
      <c r="CC16" s="286" t="s">
        <v>451</v>
      </c>
      <c r="CD16" s="282" t="s">
        <v>452</v>
      </c>
      <c r="CE16" s="285" t="s">
        <v>449</v>
      </c>
      <c r="CF16" s="286" t="s">
        <v>450</v>
      </c>
      <c r="CG16" s="286" t="s">
        <v>451</v>
      </c>
      <c r="CH16" s="282" t="s">
        <v>452</v>
      </c>
      <c r="CI16" s="285" t="s">
        <v>449</v>
      </c>
      <c r="CJ16" s="286" t="s">
        <v>450</v>
      </c>
      <c r="CK16" s="286" t="s">
        <v>451</v>
      </c>
      <c r="CL16" s="282" t="s">
        <v>452</v>
      </c>
      <c r="CM16" s="285" t="s">
        <v>449</v>
      </c>
      <c r="CN16" s="286" t="s">
        <v>450</v>
      </c>
      <c r="CO16" s="286" t="s">
        <v>451</v>
      </c>
      <c r="CP16" s="282" t="s">
        <v>452</v>
      </c>
      <c r="CQ16" s="285" t="s">
        <v>449</v>
      </c>
      <c r="CR16" s="286" t="s">
        <v>450</v>
      </c>
      <c r="CS16" s="286" t="s">
        <v>451</v>
      </c>
      <c r="CT16" s="282" t="s">
        <v>452</v>
      </c>
      <c r="CU16" s="285" t="s">
        <v>449</v>
      </c>
      <c r="CV16" s="286" t="s">
        <v>450</v>
      </c>
      <c r="CW16" s="286" t="s">
        <v>451</v>
      </c>
      <c r="CX16" s="282" t="s">
        <v>452</v>
      </c>
      <c r="CY16" s="285" t="s">
        <v>449</v>
      </c>
      <c r="CZ16" s="286" t="s">
        <v>450</v>
      </c>
      <c r="DA16" s="286" t="s">
        <v>451</v>
      </c>
      <c r="DB16" s="282" t="s">
        <v>452</v>
      </c>
      <c r="DC16" s="285" t="s">
        <v>449</v>
      </c>
      <c r="DD16" s="286" t="s">
        <v>450</v>
      </c>
      <c r="DE16" s="286" t="s">
        <v>451</v>
      </c>
      <c r="DF16" s="282" t="s">
        <v>452</v>
      </c>
      <c r="DG16" s="285" t="s">
        <v>449</v>
      </c>
      <c r="DH16" s="286" t="s">
        <v>450</v>
      </c>
      <c r="DI16" s="286" t="s">
        <v>451</v>
      </c>
      <c r="DJ16" s="282" t="s">
        <v>452</v>
      </c>
      <c r="DK16" s="285" t="s">
        <v>449</v>
      </c>
      <c r="DL16" s="286" t="s">
        <v>450</v>
      </c>
      <c r="DM16" s="286" t="s">
        <v>451</v>
      </c>
      <c r="DN16" s="282" t="s">
        <v>452</v>
      </c>
      <c r="DO16" s="285" t="s">
        <v>449</v>
      </c>
      <c r="DP16" s="286" t="s">
        <v>450</v>
      </c>
      <c r="DQ16" s="286" t="s">
        <v>451</v>
      </c>
      <c r="DR16" s="282" t="s">
        <v>452</v>
      </c>
      <c r="DS16" s="285" t="s">
        <v>449</v>
      </c>
      <c r="DT16" s="286" t="s">
        <v>450</v>
      </c>
      <c r="DU16" s="286" t="s">
        <v>451</v>
      </c>
      <c r="DV16" s="282" t="s">
        <v>452</v>
      </c>
      <c r="DW16" s="285" t="s">
        <v>449</v>
      </c>
      <c r="DX16" s="286" t="s">
        <v>450</v>
      </c>
      <c r="DY16" s="286" t="s">
        <v>451</v>
      </c>
      <c r="DZ16" s="282" t="s">
        <v>452</v>
      </c>
      <c r="EA16" s="285" t="s">
        <v>449</v>
      </c>
      <c r="EB16" s="286" t="s">
        <v>450</v>
      </c>
      <c r="EC16" s="286" t="s">
        <v>451</v>
      </c>
      <c r="ED16" s="282" t="s">
        <v>452</v>
      </c>
      <c r="EE16" s="285" t="s">
        <v>449</v>
      </c>
      <c r="EF16" s="286" t="s">
        <v>450</v>
      </c>
      <c r="EG16" s="286" t="s">
        <v>451</v>
      </c>
      <c r="EH16" s="282" t="s">
        <v>452</v>
      </c>
      <c r="EI16" s="285" t="s">
        <v>449</v>
      </c>
      <c r="EJ16" s="286" t="s">
        <v>450</v>
      </c>
      <c r="EK16" s="286" t="s">
        <v>451</v>
      </c>
      <c r="EL16" s="282" t="s">
        <v>452</v>
      </c>
      <c r="EM16" s="285" t="s">
        <v>449</v>
      </c>
      <c r="EN16" s="286" t="s">
        <v>450</v>
      </c>
      <c r="EO16" s="286" t="s">
        <v>451</v>
      </c>
      <c r="EP16" s="282" t="s">
        <v>452</v>
      </c>
      <c r="EQ16" s="285" t="s">
        <v>449</v>
      </c>
      <c r="ER16" s="286" t="s">
        <v>450</v>
      </c>
      <c r="ES16" s="286" t="s">
        <v>451</v>
      </c>
      <c r="ET16" s="282" t="s">
        <v>452</v>
      </c>
      <c r="EU16" s="285" t="s">
        <v>449</v>
      </c>
      <c r="EV16" s="286" t="s">
        <v>450</v>
      </c>
      <c r="EW16" s="286" t="s">
        <v>451</v>
      </c>
      <c r="EX16" s="282" t="s">
        <v>452</v>
      </c>
      <c r="EY16" s="285" t="s">
        <v>449</v>
      </c>
      <c r="EZ16" s="286" t="s">
        <v>450</v>
      </c>
      <c r="FA16" s="286" t="s">
        <v>451</v>
      </c>
      <c r="FB16" s="282" t="s">
        <v>452</v>
      </c>
      <c r="FC16" s="285" t="s">
        <v>449</v>
      </c>
      <c r="FD16" s="286" t="s">
        <v>450</v>
      </c>
      <c r="FE16" s="286" t="s">
        <v>451</v>
      </c>
      <c r="FF16" s="282" t="s">
        <v>452</v>
      </c>
      <c r="FG16" s="285" t="s">
        <v>449</v>
      </c>
      <c r="FH16" s="286" t="s">
        <v>450</v>
      </c>
      <c r="FI16" s="286" t="s">
        <v>451</v>
      </c>
      <c r="FJ16" s="282" t="s">
        <v>452</v>
      </c>
      <c r="FK16" s="285" t="s">
        <v>449</v>
      </c>
      <c r="FL16" s="286" t="s">
        <v>450</v>
      </c>
      <c r="FM16" s="286" t="s">
        <v>451</v>
      </c>
      <c r="FN16" s="282" t="s">
        <v>452</v>
      </c>
      <c r="FO16" s="285" t="s">
        <v>449</v>
      </c>
      <c r="FP16" s="286" t="s">
        <v>450</v>
      </c>
      <c r="FQ16" s="286" t="s">
        <v>451</v>
      </c>
      <c r="FR16" s="282" t="s">
        <v>452</v>
      </c>
      <c r="FS16" s="285" t="s">
        <v>449</v>
      </c>
      <c r="FT16" s="286" t="s">
        <v>450</v>
      </c>
      <c r="FU16" s="286" t="s">
        <v>451</v>
      </c>
      <c r="FV16" s="282" t="s">
        <v>452</v>
      </c>
      <c r="FW16" s="285" t="s">
        <v>449</v>
      </c>
      <c r="FX16" s="286" t="s">
        <v>450</v>
      </c>
      <c r="FY16" s="286" t="s">
        <v>451</v>
      </c>
      <c r="FZ16" s="282" t="s">
        <v>452</v>
      </c>
      <c r="GA16" s="285" t="s">
        <v>449</v>
      </c>
      <c r="GB16" s="286" t="s">
        <v>450</v>
      </c>
      <c r="GC16" s="286" t="s">
        <v>451</v>
      </c>
      <c r="GD16" s="282" t="s">
        <v>452</v>
      </c>
      <c r="GE16" s="285" t="s">
        <v>449</v>
      </c>
      <c r="GF16" s="286" t="s">
        <v>450</v>
      </c>
      <c r="GG16" s="286" t="s">
        <v>451</v>
      </c>
      <c r="GH16" s="282" t="s">
        <v>452</v>
      </c>
      <c r="GI16" s="285" t="s">
        <v>449</v>
      </c>
      <c r="GJ16" s="286" t="s">
        <v>450</v>
      </c>
      <c r="GK16" s="286" t="s">
        <v>451</v>
      </c>
      <c r="GL16" s="282" t="s">
        <v>452</v>
      </c>
      <c r="GM16" s="285" t="s">
        <v>449</v>
      </c>
      <c r="GN16" s="286" t="s">
        <v>450</v>
      </c>
      <c r="GO16" s="286" t="s">
        <v>451</v>
      </c>
      <c r="GP16" s="282" t="s">
        <v>452</v>
      </c>
      <c r="GQ16" s="285" t="s">
        <v>449</v>
      </c>
      <c r="GR16" s="286" t="s">
        <v>450</v>
      </c>
      <c r="GS16" s="286" t="s">
        <v>451</v>
      </c>
      <c r="GT16" s="282" t="s">
        <v>452</v>
      </c>
      <c r="GU16" s="285" t="s">
        <v>449</v>
      </c>
      <c r="GV16" s="286" t="s">
        <v>450</v>
      </c>
      <c r="GW16" s="286" t="s">
        <v>451</v>
      </c>
      <c r="GX16" s="282" t="s">
        <v>452</v>
      </c>
      <c r="GY16" s="285" t="s">
        <v>449</v>
      </c>
      <c r="GZ16" s="286" t="s">
        <v>450</v>
      </c>
      <c r="HA16" s="286" t="s">
        <v>451</v>
      </c>
      <c r="HB16" s="282" t="s">
        <v>452</v>
      </c>
      <c r="HC16" s="287" t="s">
        <v>569</v>
      </c>
      <c r="HD16" s="288" t="s">
        <v>570</v>
      </c>
      <c r="HE16" s="288" t="s">
        <v>571</v>
      </c>
      <c r="HF16" s="289" t="s">
        <v>572</v>
      </c>
      <c r="HG16" s="287" t="s">
        <v>569</v>
      </c>
      <c r="HH16" s="288" t="s">
        <v>570</v>
      </c>
      <c r="HI16" s="288" t="s">
        <v>571</v>
      </c>
      <c r="HJ16" s="289" t="s">
        <v>572</v>
      </c>
      <c r="HL16" s="219">
        <v>7</v>
      </c>
      <c r="HM16" s="714" t="str">
        <f t="shared" ca="1" si="49"/>
        <v/>
      </c>
      <c r="HN16" s="715" t="str">
        <f ca="1">IF(COUNTIF(HN$10:HN15,OFFSET(A1_原単位2026,5,HL16+2))&gt;=1,"",OFFSET(A1_原単位2026,5,HL16+2)&amp;"")</f>
        <v/>
      </c>
      <c r="HO16" s="716" t="str">
        <f t="shared" ca="1" si="50"/>
        <v/>
      </c>
      <c r="HP16" s="717" t="str">
        <f t="shared" ca="1" si="51"/>
        <v/>
      </c>
      <c r="HQ16" s="714" t="str">
        <f t="shared" ca="1" si="52"/>
        <v/>
      </c>
      <c r="HR16" s="715" t="str">
        <f ca="1">IF(COUNTIF(HR$10:HR15,OFFSET(A1_原単位2026,17,HL16+2))&gt;=1,"",OFFSET(A1_原単位2026,17,HL16+2)&amp;"")</f>
        <v/>
      </c>
      <c r="HS16" s="718" t="str">
        <f t="shared" ca="1" si="53"/>
        <v/>
      </c>
      <c r="HT16" s="719" t="str">
        <f t="shared" ca="1" si="54"/>
        <v/>
      </c>
      <c r="HU16" s="714" t="str">
        <f t="shared" ca="1" si="55"/>
        <v/>
      </c>
      <c r="HV16" s="715" t="str">
        <f ca="1">IF(COUNTIF(HV$10:HV15,OFFSET(A1_原単位2026,29,HL16+2))&gt;=1,"",OFFSET(A1_原単位2026,29,HL16+2)&amp;"")</f>
        <v/>
      </c>
      <c r="HW16" s="718" t="str">
        <f t="shared" ca="1" si="56"/>
        <v/>
      </c>
      <c r="HX16" s="719" t="str">
        <f t="shared" ca="1" si="57"/>
        <v/>
      </c>
      <c r="HY16" s="714" t="str">
        <f t="shared" ca="1" si="58"/>
        <v/>
      </c>
      <c r="HZ16" s="715" t="str">
        <f ca="1">IF(COUNTIF(HZ$10:HZ15,OFFSET(A1_原単位2026,41,HL16+2))&gt;=1,"",OFFSET(A1_原単位2026,41,HL16+2)&amp;"")</f>
        <v/>
      </c>
      <c r="IA16" s="720" t="str">
        <f t="shared" ca="1" si="59"/>
        <v/>
      </c>
      <c r="IB16" s="721" t="str">
        <f t="shared" ca="1" si="60"/>
        <v/>
      </c>
      <c r="IE16" s="159" t="str">
        <f t="shared" ca="1" si="61"/>
        <v/>
      </c>
      <c r="IF16" s="159" t="str">
        <f t="shared" ca="1" si="62"/>
        <v/>
      </c>
      <c r="IG16" s="159" t="str">
        <f t="shared" ca="1" si="63"/>
        <v/>
      </c>
      <c r="IH16" s="159" t="str">
        <f t="shared" ca="1" si="64"/>
        <v/>
      </c>
    </row>
    <row r="17" spans="2:242" s="164" customFormat="1" ht="20.100000000000001" customHeight="1">
      <c r="B17" s="290" t="s">
        <v>573</v>
      </c>
      <c r="C17" s="291" t="s">
        <v>346</v>
      </c>
      <c r="D17" s="258"/>
      <c r="E17" s="292"/>
      <c r="F17" s="291" t="s">
        <v>453</v>
      </c>
      <c r="G17" s="293">
        <v>38.299999999999997</v>
      </c>
      <c r="H17" s="294">
        <v>1.9E-2</v>
      </c>
      <c r="I17" s="295"/>
      <c r="J17" s="296"/>
      <c r="K17" s="297"/>
      <c r="L17" s="298"/>
      <c r="M17" s="298"/>
      <c r="N17" s="296"/>
      <c r="O17" s="297"/>
      <c r="P17" s="298"/>
      <c r="Q17" s="298"/>
      <c r="R17" s="296"/>
      <c r="S17" s="297"/>
      <c r="T17" s="298"/>
      <c r="U17" s="298"/>
      <c r="V17" s="296"/>
      <c r="W17" s="297"/>
      <c r="X17" s="298"/>
      <c r="Y17" s="298"/>
      <c r="Z17" s="296"/>
      <c r="AA17" s="297"/>
      <c r="AB17" s="298"/>
      <c r="AC17" s="298"/>
      <c r="AD17" s="296"/>
      <c r="AE17" s="297"/>
      <c r="AF17" s="298"/>
      <c r="AG17" s="298"/>
      <c r="AH17" s="296"/>
      <c r="AI17" s="297"/>
      <c r="AJ17" s="298"/>
      <c r="AK17" s="298"/>
      <c r="AL17" s="296"/>
      <c r="AM17" s="297"/>
      <c r="AN17" s="298"/>
      <c r="AO17" s="298"/>
      <c r="AP17" s="296"/>
      <c r="AQ17" s="297"/>
      <c r="AR17" s="298"/>
      <c r="AS17" s="298"/>
      <c r="AT17" s="296"/>
      <c r="AU17" s="297"/>
      <c r="AV17" s="298"/>
      <c r="AW17" s="298"/>
      <c r="AX17" s="296"/>
      <c r="AY17" s="297"/>
      <c r="AZ17" s="298"/>
      <c r="BA17" s="298"/>
      <c r="BB17" s="296"/>
      <c r="BC17" s="297"/>
      <c r="BD17" s="298"/>
      <c r="BE17" s="298"/>
      <c r="BF17" s="296"/>
      <c r="BG17" s="297"/>
      <c r="BH17" s="298"/>
      <c r="BI17" s="298"/>
      <c r="BJ17" s="296"/>
      <c r="BK17" s="297"/>
      <c r="BL17" s="298"/>
      <c r="BM17" s="298"/>
      <c r="BN17" s="296"/>
      <c r="BO17" s="297"/>
      <c r="BP17" s="298"/>
      <c r="BQ17" s="298"/>
      <c r="BR17" s="296"/>
      <c r="BS17" s="297"/>
      <c r="BT17" s="298"/>
      <c r="BU17" s="298"/>
      <c r="BV17" s="296"/>
      <c r="BW17" s="297"/>
      <c r="BX17" s="298"/>
      <c r="BY17" s="298"/>
      <c r="BZ17" s="296"/>
      <c r="CA17" s="297"/>
      <c r="CB17" s="298"/>
      <c r="CC17" s="298"/>
      <c r="CD17" s="296"/>
      <c r="CE17" s="297"/>
      <c r="CF17" s="298"/>
      <c r="CG17" s="298"/>
      <c r="CH17" s="296"/>
      <c r="CI17" s="297"/>
      <c r="CJ17" s="298"/>
      <c r="CK17" s="298"/>
      <c r="CL17" s="296"/>
      <c r="CM17" s="297"/>
      <c r="CN17" s="298"/>
      <c r="CO17" s="298"/>
      <c r="CP17" s="296"/>
      <c r="CQ17" s="297"/>
      <c r="CR17" s="298"/>
      <c r="CS17" s="298"/>
      <c r="CT17" s="296"/>
      <c r="CU17" s="297"/>
      <c r="CV17" s="298"/>
      <c r="CW17" s="298"/>
      <c r="CX17" s="296"/>
      <c r="CY17" s="297"/>
      <c r="CZ17" s="298"/>
      <c r="DA17" s="298"/>
      <c r="DB17" s="296"/>
      <c r="DC17" s="297"/>
      <c r="DD17" s="298"/>
      <c r="DE17" s="298"/>
      <c r="DF17" s="296"/>
      <c r="DG17" s="297"/>
      <c r="DH17" s="298"/>
      <c r="DI17" s="298"/>
      <c r="DJ17" s="296"/>
      <c r="DK17" s="297"/>
      <c r="DL17" s="298"/>
      <c r="DM17" s="298"/>
      <c r="DN17" s="296"/>
      <c r="DO17" s="297"/>
      <c r="DP17" s="298"/>
      <c r="DQ17" s="298"/>
      <c r="DR17" s="296"/>
      <c r="DS17" s="297"/>
      <c r="DT17" s="298"/>
      <c r="DU17" s="298"/>
      <c r="DV17" s="296"/>
      <c r="DW17" s="297"/>
      <c r="DX17" s="298"/>
      <c r="DY17" s="298"/>
      <c r="DZ17" s="296"/>
      <c r="EA17" s="297"/>
      <c r="EB17" s="298"/>
      <c r="EC17" s="298"/>
      <c r="ED17" s="296"/>
      <c r="EE17" s="297"/>
      <c r="EF17" s="298"/>
      <c r="EG17" s="298"/>
      <c r="EH17" s="296"/>
      <c r="EI17" s="297"/>
      <c r="EJ17" s="298"/>
      <c r="EK17" s="298"/>
      <c r="EL17" s="296"/>
      <c r="EM17" s="297"/>
      <c r="EN17" s="298"/>
      <c r="EO17" s="298"/>
      <c r="EP17" s="296"/>
      <c r="EQ17" s="297"/>
      <c r="ER17" s="298"/>
      <c r="ES17" s="298"/>
      <c r="ET17" s="296"/>
      <c r="EU17" s="297"/>
      <c r="EV17" s="298"/>
      <c r="EW17" s="298"/>
      <c r="EX17" s="296"/>
      <c r="EY17" s="297"/>
      <c r="EZ17" s="298"/>
      <c r="FA17" s="298"/>
      <c r="FB17" s="296"/>
      <c r="FC17" s="297"/>
      <c r="FD17" s="298"/>
      <c r="FE17" s="298"/>
      <c r="FF17" s="296"/>
      <c r="FG17" s="297"/>
      <c r="FH17" s="298"/>
      <c r="FI17" s="298"/>
      <c r="FJ17" s="296"/>
      <c r="FK17" s="297"/>
      <c r="FL17" s="298"/>
      <c r="FM17" s="298"/>
      <c r="FN17" s="296"/>
      <c r="FO17" s="297"/>
      <c r="FP17" s="298"/>
      <c r="FQ17" s="298"/>
      <c r="FR17" s="296"/>
      <c r="FS17" s="297"/>
      <c r="FT17" s="298"/>
      <c r="FU17" s="298"/>
      <c r="FV17" s="296"/>
      <c r="FW17" s="297"/>
      <c r="FX17" s="298"/>
      <c r="FY17" s="298"/>
      <c r="FZ17" s="296"/>
      <c r="GA17" s="297"/>
      <c r="GB17" s="298"/>
      <c r="GC17" s="298"/>
      <c r="GD17" s="296"/>
      <c r="GE17" s="297"/>
      <c r="GF17" s="298"/>
      <c r="GG17" s="298"/>
      <c r="GH17" s="296"/>
      <c r="GI17" s="297"/>
      <c r="GJ17" s="298"/>
      <c r="GK17" s="298"/>
      <c r="GL17" s="296"/>
      <c r="GM17" s="297"/>
      <c r="GN17" s="298"/>
      <c r="GO17" s="298"/>
      <c r="GP17" s="296"/>
      <c r="GQ17" s="297"/>
      <c r="GR17" s="298"/>
      <c r="GS17" s="298"/>
      <c r="GT17" s="296"/>
      <c r="GU17" s="297"/>
      <c r="GV17" s="298"/>
      <c r="GW17" s="298"/>
      <c r="GX17" s="296"/>
      <c r="GY17" s="297"/>
      <c r="GZ17" s="298"/>
      <c r="HA17" s="298"/>
      <c r="HB17" s="296"/>
      <c r="HC17" s="299">
        <f t="shared" ref="HC17:HE48" si="66">K17+O17+S17+W17+AA17+AE17+AI17+AM17+AQ17+AU17+AY17+BC17+BG17+BK17+BO17+BS17+BW17+CA17+CE17+CI17+CM17+CQ17+CU17+CY17+DC17+DG17+DK17+DO17+DS17+DW17+EA17+EE17+EI17+EM17+EQ17+EU17+EY17+FC17+FG17+FK17+FO17+FS17+FW17+GA17+GE17+GI17+GM17+GQ17+GU17+GY17</f>
        <v>0</v>
      </c>
      <c r="HD17" s="300">
        <f t="shared" si="66"/>
        <v>0</v>
      </c>
      <c r="HE17" s="300">
        <f t="shared" si="66"/>
        <v>0</v>
      </c>
      <c r="HF17" s="301"/>
      <c r="HG17" s="299">
        <f>SUM(SUMIFS(K17:HB17,$K$13:$HB$13,{"エネルギー管理指定工場等*","県域*"}))</f>
        <v>0</v>
      </c>
      <c r="HH17" s="300">
        <f>SUM(SUMIFS(L17:HC17,$K$13:$HB$13,{"エネルギー管理指定工場等*","県域*"}))</f>
        <v>0</v>
      </c>
      <c r="HI17" s="300">
        <f>SUM(SUMIFS(M17:HD17,$K$13:$HB$13,{"エネルギー管理指定工場等*","県域*"}))</f>
        <v>0</v>
      </c>
      <c r="HJ17" s="301"/>
      <c r="HL17" s="219">
        <v>8</v>
      </c>
      <c r="HM17" s="714" t="str">
        <f t="shared" ca="1" si="49"/>
        <v/>
      </c>
      <c r="HN17" s="715" t="str">
        <f ca="1">IF(COUNTIF(HN$10:HN16,OFFSET(A1_原単位2026,5,HL17+2))&gt;=1,"",OFFSET(A1_原単位2026,5,HL17+2)&amp;"")</f>
        <v/>
      </c>
      <c r="HO17" s="716" t="str">
        <f t="shared" ca="1" si="50"/>
        <v/>
      </c>
      <c r="HP17" s="717" t="str">
        <f t="shared" ca="1" si="51"/>
        <v/>
      </c>
      <c r="HQ17" s="714" t="str">
        <f t="shared" ca="1" si="52"/>
        <v/>
      </c>
      <c r="HR17" s="715" t="str">
        <f ca="1">IF(COUNTIF(HR$10:HR16,OFFSET(A1_原単位2026,17,HL17+2))&gt;=1,"",OFFSET(A1_原単位2026,17,HL17+2)&amp;"")</f>
        <v/>
      </c>
      <c r="HS17" s="718" t="str">
        <f t="shared" ca="1" si="53"/>
        <v/>
      </c>
      <c r="HT17" s="719" t="str">
        <f t="shared" ca="1" si="54"/>
        <v/>
      </c>
      <c r="HU17" s="714" t="str">
        <f t="shared" ca="1" si="55"/>
        <v/>
      </c>
      <c r="HV17" s="715" t="str">
        <f ca="1">IF(COUNTIF(HV$10:HV16,OFFSET(A1_原単位2026,29,HL17+2))&gt;=1,"",OFFSET(A1_原単位2026,29,HL17+2)&amp;"")</f>
        <v/>
      </c>
      <c r="HW17" s="718" t="str">
        <f t="shared" ca="1" si="56"/>
        <v/>
      </c>
      <c r="HX17" s="719" t="str">
        <f t="shared" ca="1" si="57"/>
        <v/>
      </c>
      <c r="HY17" s="714" t="str">
        <f t="shared" ca="1" si="58"/>
        <v/>
      </c>
      <c r="HZ17" s="715" t="str">
        <f ca="1">IF(COUNTIF(HZ$10:HZ16,OFFSET(A1_原単位2026,41,HL17+2))&gt;=1,"",OFFSET(A1_原単位2026,41,HL17+2)&amp;"")</f>
        <v/>
      </c>
      <c r="IA17" s="720" t="str">
        <f t="shared" ca="1" si="59"/>
        <v/>
      </c>
      <c r="IB17" s="721" t="str">
        <f t="shared" ca="1" si="60"/>
        <v/>
      </c>
      <c r="IE17" s="159" t="str">
        <f t="shared" ca="1" si="61"/>
        <v/>
      </c>
      <c r="IF17" s="159" t="str">
        <f t="shared" ca="1" si="62"/>
        <v/>
      </c>
      <c r="IG17" s="159" t="str">
        <f t="shared" ca="1" si="63"/>
        <v/>
      </c>
      <c r="IH17" s="159" t="str">
        <f t="shared" ca="1" si="64"/>
        <v/>
      </c>
    </row>
    <row r="18" spans="2:242" s="164" customFormat="1" ht="20.100000000000001" customHeight="1">
      <c r="B18" s="302"/>
      <c r="C18" s="303" t="s">
        <v>574</v>
      </c>
      <c r="D18" s="304"/>
      <c r="E18" s="305"/>
      <c r="F18" s="303" t="s">
        <v>453</v>
      </c>
      <c r="G18" s="306">
        <v>34.799999999999997</v>
      </c>
      <c r="H18" s="307">
        <v>1.83E-2</v>
      </c>
      <c r="I18" s="308"/>
      <c r="J18" s="309"/>
      <c r="K18" s="310"/>
      <c r="L18" s="311"/>
      <c r="M18" s="311"/>
      <c r="N18" s="309"/>
      <c r="O18" s="310"/>
      <c r="P18" s="311"/>
      <c r="Q18" s="311"/>
      <c r="R18" s="309"/>
      <c r="S18" s="310"/>
      <c r="T18" s="311"/>
      <c r="U18" s="311"/>
      <c r="V18" s="309"/>
      <c r="W18" s="310"/>
      <c r="X18" s="311"/>
      <c r="Y18" s="311"/>
      <c r="Z18" s="309"/>
      <c r="AA18" s="310"/>
      <c r="AB18" s="311"/>
      <c r="AC18" s="311"/>
      <c r="AD18" s="309"/>
      <c r="AE18" s="310"/>
      <c r="AF18" s="311"/>
      <c r="AG18" s="311"/>
      <c r="AH18" s="309"/>
      <c r="AI18" s="310"/>
      <c r="AJ18" s="311"/>
      <c r="AK18" s="311"/>
      <c r="AL18" s="309"/>
      <c r="AM18" s="310"/>
      <c r="AN18" s="311"/>
      <c r="AO18" s="311"/>
      <c r="AP18" s="309"/>
      <c r="AQ18" s="310"/>
      <c r="AR18" s="311"/>
      <c r="AS18" s="311"/>
      <c r="AT18" s="309"/>
      <c r="AU18" s="310"/>
      <c r="AV18" s="311"/>
      <c r="AW18" s="311"/>
      <c r="AX18" s="309"/>
      <c r="AY18" s="310"/>
      <c r="AZ18" s="311"/>
      <c r="BA18" s="311"/>
      <c r="BB18" s="309"/>
      <c r="BC18" s="310"/>
      <c r="BD18" s="311"/>
      <c r="BE18" s="311"/>
      <c r="BF18" s="309"/>
      <c r="BG18" s="310"/>
      <c r="BH18" s="311"/>
      <c r="BI18" s="311"/>
      <c r="BJ18" s="309"/>
      <c r="BK18" s="310"/>
      <c r="BL18" s="311"/>
      <c r="BM18" s="311"/>
      <c r="BN18" s="309"/>
      <c r="BO18" s="310"/>
      <c r="BP18" s="311"/>
      <c r="BQ18" s="311"/>
      <c r="BR18" s="309"/>
      <c r="BS18" s="310"/>
      <c r="BT18" s="311"/>
      <c r="BU18" s="311"/>
      <c r="BV18" s="309"/>
      <c r="BW18" s="310"/>
      <c r="BX18" s="311"/>
      <c r="BY18" s="311"/>
      <c r="BZ18" s="309"/>
      <c r="CA18" s="310"/>
      <c r="CB18" s="311"/>
      <c r="CC18" s="311"/>
      <c r="CD18" s="309"/>
      <c r="CE18" s="310"/>
      <c r="CF18" s="311"/>
      <c r="CG18" s="311"/>
      <c r="CH18" s="309"/>
      <c r="CI18" s="310"/>
      <c r="CJ18" s="311"/>
      <c r="CK18" s="311"/>
      <c r="CL18" s="309"/>
      <c r="CM18" s="310"/>
      <c r="CN18" s="311"/>
      <c r="CO18" s="311"/>
      <c r="CP18" s="309"/>
      <c r="CQ18" s="310"/>
      <c r="CR18" s="311"/>
      <c r="CS18" s="311"/>
      <c r="CT18" s="309"/>
      <c r="CU18" s="310"/>
      <c r="CV18" s="311"/>
      <c r="CW18" s="311"/>
      <c r="CX18" s="309"/>
      <c r="CY18" s="310"/>
      <c r="CZ18" s="311"/>
      <c r="DA18" s="311"/>
      <c r="DB18" s="309"/>
      <c r="DC18" s="310"/>
      <c r="DD18" s="311"/>
      <c r="DE18" s="311"/>
      <c r="DF18" s="309"/>
      <c r="DG18" s="310"/>
      <c r="DH18" s="311"/>
      <c r="DI18" s="311"/>
      <c r="DJ18" s="309"/>
      <c r="DK18" s="310"/>
      <c r="DL18" s="311"/>
      <c r="DM18" s="311"/>
      <c r="DN18" s="309"/>
      <c r="DO18" s="310"/>
      <c r="DP18" s="311"/>
      <c r="DQ18" s="311"/>
      <c r="DR18" s="309"/>
      <c r="DS18" s="310"/>
      <c r="DT18" s="311"/>
      <c r="DU18" s="311"/>
      <c r="DV18" s="309"/>
      <c r="DW18" s="310"/>
      <c r="DX18" s="311"/>
      <c r="DY18" s="311"/>
      <c r="DZ18" s="309"/>
      <c r="EA18" s="310"/>
      <c r="EB18" s="311"/>
      <c r="EC18" s="311"/>
      <c r="ED18" s="309"/>
      <c r="EE18" s="310"/>
      <c r="EF18" s="311"/>
      <c r="EG18" s="311"/>
      <c r="EH18" s="309"/>
      <c r="EI18" s="310"/>
      <c r="EJ18" s="311"/>
      <c r="EK18" s="311"/>
      <c r="EL18" s="309"/>
      <c r="EM18" s="310"/>
      <c r="EN18" s="311"/>
      <c r="EO18" s="311"/>
      <c r="EP18" s="309"/>
      <c r="EQ18" s="310"/>
      <c r="ER18" s="311"/>
      <c r="ES18" s="311"/>
      <c r="ET18" s="309"/>
      <c r="EU18" s="310"/>
      <c r="EV18" s="311"/>
      <c r="EW18" s="311"/>
      <c r="EX18" s="309"/>
      <c r="EY18" s="310"/>
      <c r="EZ18" s="311"/>
      <c r="FA18" s="311"/>
      <c r="FB18" s="309"/>
      <c r="FC18" s="310"/>
      <c r="FD18" s="311"/>
      <c r="FE18" s="311"/>
      <c r="FF18" s="309"/>
      <c r="FG18" s="310"/>
      <c r="FH18" s="311"/>
      <c r="FI18" s="311"/>
      <c r="FJ18" s="309"/>
      <c r="FK18" s="310"/>
      <c r="FL18" s="311"/>
      <c r="FM18" s="311"/>
      <c r="FN18" s="309"/>
      <c r="FO18" s="310"/>
      <c r="FP18" s="311"/>
      <c r="FQ18" s="311"/>
      <c r="FR18" s="309"/>
      <c r="FS18" s="310"/>
      <c r="FT18" s="311"/>
      <c r="FU18" s="311"/>
      <c r="FV18" s="309"/>
      <c r="FW18" s="310"/>
      <c r="FX18" s="311"/>
      <c r="FY18" s="311"/>
      <c r="FZ18" s="309"/>
      <c r="GA18" s="310"/>
      <c r="GB18" s="311"/>
      <c r="GC18" s="311"/>
      <c r="GD18" s="309"/>
      <c r="GE18" s="310"/>
      <c r="GF18" s="311"/>
      <c r="GG18" s="311"/>
      <c r="GH18" s="309"/>
      <c r="GI18" s="310"/>
      <c r="GJ18" s="311"/>
      <c r="GK18" s="311"/>
      <c r="GL18" s="309"/>
      <c r="GM18" s="310"/>
      <c r="GN18" s="311"/>
      <c r="GO18" s="311"/>
      <c r="GP18" s="309"/>
      <c r="GQ18" s="310"/>
      <c r="GR18" s="311"/>
      <c r="GS18" s="311"/>
      <c r="GT18" s="309"/>
      <c r="GU18" s="310"/>
      <c r="GV18" s="311"/>
      <c r="GW18" s="311"/>
      <c r="GX18" s="309"/>
      <c r="GY18" s="310"/>
      <c r="GZ18" s="311"/>
      <c r="HA18" s="311"/>
      <c r="HB18" s="309"/>
      <c r="HC18" s="312">
        <f t="shared" si="66"/>
        <v>0</v>
      </c>
      <c r="HD18" s="313">
        <f t="shared" si="66"/>
        <v>0</v>
      </c>
      <c r="HE18" s="313">
        <f t="shared" si="66"/>
        <v>0</v>
      </c>
      <c r="HF18" s="314"/>
      <c r="HG18" s="312">
        <f>SUM(SUMIFS(K18:HB18,$K$13:$HB$13,{"エネルギー管理指定工場等*","県域*"}))</f>
        <v>0</v>
      </c>
      <c r="HH18" s="313">
        <f>SUM(SUMIFS(L18:HC18,$K$13:$HB$13,{"エネルギー管理指定工場等*","県域*"}))</f>
        <v>0</v>
      </c>
      <c r="HI18" s="313">
        <f>SUM(SUMIFS(M18:HD18,$K$13:$HB$13,{"エネルギー管理指定工場等*","県域*"}))</f>
        <v>0</v>
      </c>
      <c r="HJ18" s="314"/>
      <c r="HL18" s="230">
        <v>9</v>
      </c>
      <c r="HM18" s="714" t="str">
        <f t="shared" ca="1" si="49"/>
        <v/>
      </c>
      <c r="HN18" s="715" t="str">
        <f ca="1">IF(COUNTIF(HN$10:HN17,OFFSET(A1_原単位2026,5,HL18+2))&gt;=1,"",OFFSET(A1_原単位2026,5,HL18+2)&amp;"")</f>
        <v/>
      </c>
      <c r="HO18" s="716" t="str">
        <f t="shared" ca="1" si="50"/>
        <v/>
      </c>
      <c r="HP18" s="717" t="str">
        <f t="shared" ca="1" si="51"/>
        <v/>
      </c>
      <c r="HQ18" s="714" t="str">
        <f t="shared" ca="1" si="52"/>
        <v/>
      </c>
      <c r="HR18" s="715" t="str">
        <f ca="1">IF(COUNTIF(HR$10:HR17,OFFSET(A1_原単位2026,17,HL18+2))&gt;=1,"",OFFSET(A1_原単位2026,17,HL18+2)&amp;"")</f>
        <v/>
      </c>
      <c r="HS18" s="718" t="str">
        <f t="shared" ca="1" si="53"/>
        <v/>
      </c>
      <c r="HT18" s="719" t="str">
        <f t="shared" ca="1" si="54"/>
        <v/>
      </c>
      <c r="HU18" s="714" t="str">
        <f t="shared" ca="1" si="55"/>
        <v/>
      </c>
      <c r="HV18" s="715" t="str">
        <f ca="1">IF(COUNTIF(HV$10:HV17,OFFSET(A1_原単位2026,29,HL18+2))&gt;=1,"",OFFSET(A1_原単位2026,29,HL18+2)&amp;"")</f>
        <v/>
      </c>
      <c r="HW18" s="718" t="str">
        <f t="shared" ca="1" si="56"/>
        <v/>
      </c>
      <c r="HX18" s="719" t="str">
        <f t="shared" ca="1" si="57"/>
        <v/>
      </c>
      <c r="HY18" s="714" t="str">
        <f t="shared" ca="1" si="58"/>
        <v/>
      </c>
      <c r="HZ18" s="715" t="str">
        <f ca="1">IF(COUNTIF(HZ$10:HZ17,OFFSET(A1_原単位2026,41,HL18+2))&gt;=1,"",OFFSET(A1_原単位2026,41,HL18+2)&amp;"")</f>
        <v/>
      </c>
      <c r="IA18" s="720" t="str">
        <f t="shared" ca="1" si="59"/>
        <v/>
      </c>
      <c r="IB18" s="721" t="str">
        <f t="shared" ca="1" si="60"/>
        <v/>
      </c>
      <c r="IE18" s="159" t="str">
        <f t="shared" ca="1" si="61"/>
        <v/>
      </c>
      <c r="IF18" s="159" t="str">
        <f t="shared" ca="1" si="62"/>
        <v/>
      </c>
      <c r="IG18" s="159" t="str">
        <f t="shared" ca="1" si="63"/>
        <v/>
      </c>
      <c r="IH18" s="159" t="str">
        <f t="shared" ca="1" si="64"/>
        <v/>
      </c>
    </row>
    <row r="19" spans="2:242" s="164" customFormat="1" ht="20.100000000000001" customHeight="1">
      <c r="B19" s="302"/>
      <c r="C19" s="303" t="s">
        <v>454</v>
      </c>
      <c r="D19" s="304"/>
      <c r="E19" s="305"/>
      <c r="F19" s="303" t="s">
        <v>453</v>
      </c>
      <c r="G19" s="306">
        <v>33.4</v>
      </c>
      <c r="H19" s="307">
        <v>1.8700000000000001E-2</v>
      </c>
      <c r="I19" s="310"/>
      <c r="J19" s="315"/>
      <c r="K19" s="310"/>
      <c r="L19" s="311"/>
      <c r="M19" s="311"/>
      <c r="N19" s="309"/>
      <c r="O19" s="310"/>
      <c r="P19" s="311"/>
      <c r="Q19" s="311"/>
      <c r="R19" s="309"/>
      <c r="S19" s="310"/>
      <c r="T19" s="311"/>
      <c r="U19" s="311"/>
      <c r="V19" s="309"/>
      <c r="W19" s="310"/>
      <c r="X19" s="311"/>
      <c r="Y19" s="311"/>
      <c r="Z19" s="309"/>
      <c r="AA19" s="310"/>
      <c r="AB19" s="311"/>
      <c r="AC19" s="311"/>
      <c r="AD19" s="309"/>
      <c r="AE19" s="310"/>
      <c r="AF19" s="311"/>
      <c r="AG19" s="311"/>
      <c r="AH19" s="309"/>
      <c r="AI19" s="310"/>
      <c r="AJ19" s="311"/>
      <c r="AK19" s="311"/>
      <c r="AL19" s="309"/>
      <c r="AM19" s="310"/>
      <c r="AN19" s="311"/>
      <c r="AO19" s="311"/>
      <c r="AP19" s="309"/>
      <c r="AQ19" s="310"/>
      <c r="AR19" s="311"/>
      <c r="AS19" s="311"/>
      <c r="AT19" s="309"/>
      <c r="AU19" s="310"/>
      <c r="AV19" s="311"/>
      <c r="AW19" s="311"/>
      <c r="AX19" s="309"/>
      <c r="AY19" s="310"/>
      <c r="AZ19" s="311"/>
      <c r="BA19" s="311"/>
      <c r="BB19" s="309"/>
      <c r="BC19" s="310"/>
      <c r="BD19" s="311"/>
      <c r="BE19" s="311"/>
      <c r="BF19" s="309"/>
      <c r="BG19" s="310"/>
      <c r="BH19" s="311"/>
      <c r="BI19" s="311"/>
      <c r="BJ19" s="309"/>
      <c r="BK19" s="310"/>
      <c r="BL19" s="311"/>
      <c r="BM19" s="311"/>
      <c r="BN19" s="309"/>
      <c r="BO19" s="310"/>
      <c r="BP19" s="311"/>
      <c r="BQ19" s="311"/>
      <c r="BR19" s="309"/>
      <c r="BS19" s="310"/>
      <c r="BT19" s="311"/>
      <c r="BU19" s="311"/>
      <c r="BV19" s="309"/>
      <c r="BW19" s="310"/>
      <c r="BX19" s="311"/>
      <c r="BY19" s="311"/>
      <c r="BZ19" s="309"/>
      <c r="CA19" s="310"/>
      <c r="CB19" s="311"/>
      <c r="CC19" s="311"/>
      <c r="CD19" s="309"/>
      <c r="CE19" s="310"/>
      <c r="CF19" s="311"/>
      <c r="CG19" s="311"/>
      <c r="CH19" s="309"/>
      <c r="CI19" s="310"/>
      <c r="CJ19" s="311"/>
      <c r="CK19" s="311"/>
      <c r="CL19" s="309"/>
      <c r="CM19" s="310"/>
      <c r="CN19" s="311"/>
      <c r="CO19" s="311"/>
      <c r="CP19" s="309"/>
      <c r="CQ19" s="310"/>
      <c r="CR19" s="311"/>
      <c r="CS19" s="311"/>
      <c r="CT19" s="309"/>
      <c r="CU19" s="310"/>
      <c r="CV19" s="311"/>
      <c r="CW19" s="311"/>
      <c r="CX19" s="309"/>
      <c r="CY19" s="310"/>
      <c r="CZ19" s="311"/>
      <c r="DA19" s="311"/>
      <c r="DB19" s="309"/>
      <c r="DC19" s="310"/>
      <c r="DD19" s="311"/>
      <c r="DE19" s="311"/>
      <c r="DF19" s="309"/>
      <c r="DG19" s="310"/>
      <c r="DH19" s="311"/>
      <c r="DI19" s="311"/>
      <c r="DJ19" s="309"/>
      <c r="DK19" s="310"/>
      <c r="DL19" s="311"/>
      <c r="DM19" s="311"/>
      <c r="DN19" s="309"/>
      <c r="DO19" s="310"/>
      <c r="DP19" s="311"/>
      <c r="DQ19" s="311"/>
      <c r="DR19" s="309"/>
      <c r="DS19" s="310"/>
      <c r="DT19" s="311"/>
      <c r="DU19" s="311"/>
      <c r="DV19" s="309"/>
      <c r="DW19" s="310"/>
      <c r="DX19" s="311"/>
      <c r="DY19" s="311"/>
      <c r="DZ19" s="309"/>
      <c r="EA19" s="310"/>
      <c r="EB19" s="311"/>
      <c r="EC19" s="311"/>
      <c r="ED19" s="309"/>
      <c r="EE19" s="310"/>
      <c r="EF19" s="311"/>
      <c r="EG19" s="311"/>
      <c r="EH19" s="309"/>
      <c r="EI19" s="310"/>
      <c r="EJ19" s="311"/>
      <c r="EK19" s="311"/>
      <c r="EL19" s="309"/>
      <c r="EM19" s="310"/>
      <c r="EN19" s="311"/>
      <c r="EO19" s="311"/>
      <c r="EP19" s="309"/>
      <c r="EQ19" s="310"/>
      <c r="ER19" s="311"/>
      <c r="ES19" s="311"/>
      <c r="ET19" s="309"/>
      <c r="EU19" s="310"/>
      <c r="EV19" s="311"/>
      <c r="EW19" s="311"/>
      <c r="EX19" s="309"/>
      <c r="EY19" s="310"/>
      <c r="EZ19" s="311"/>
      <c r="FA19" s="311"/>
      <c r="FB19" s="309"/>
      <c r="FC19" s="310"/>
      <c r="FD19" s="311"/>
      <c r="FE19" s="311"/>
      <c r="FF19" s="309"/>
      <c r="FG19" s="310"/>
      <c r="FH19" s="311"/>
      <c r="FI19" s="311"/>
      <c r="FJ19" s="309"/>
      <c r="FK19" s="310"/>
      <c r="FL19" s="311"/>
      <c r="FM19" s="311"/>
      <c r="FN19" s="309"/>
      <c r="FO19" s="310"/>
      <c r="FP19" s="311"/>
      <c r="FQ19" s="311"/>
      <c r="FR19" s="309"/>
      <c r="FS19" s="310"/>
      <c r="FT19" s="311"/>
      <c r="FU19" s="311"/>
      <c r="FV19" s="309"/>
      <c r="FW19" s="310"/>
      <c r="FX19" s="311"/>
      <c r="FY19" s="311"/>
      <c r="FZ19" s="309"/>
      <c r="GA19" s="310"/>
      <c r="GB19" s="311"/>
      <c r="GC19" s="311"/>
      <c r="GD19" s="309"/>
      <c r="GE19" s="310"/>
      <c r="GF19" s="311"/>
      <c r="GG19" s="311"/>
      <c r="GH19" s="309"/>
      <c r="GI19" s="310"/>
      <c r="GJ19" s="311"/>
      <c r="GK19" s="311"/>
      <c r="GL19" s="309"/>
      <c r="GM19" s="310"/>
      <c r="GN19" s="311"/>
      <c r="GO19" s="311"/>
      <c r="GP19" s="309"/>
      <c r="GQ19" s="310"/>
      <c r="GR19" s="311"/>
      <c r="GS19" s="311"/>
      <c r="GT19" s="309"/>
      <c r="GU19" s="310"/>
      <c r="GV19" s="311"/>
      <c r="GW19" s="311"/>
      <c r="GX19" s="309"/>
      <c r="GY19" s="310"/>
      <c r="GZ19" s="311"/>
      <c r="HA19" s="311"/>
      <c r="HB19" s="309"/>
      <c r="HC19" s="312">
        <f t="shared" si="66"/>
        <v>0</v>
      </c>
      <c r="HD19" s="313">
        <f t="shared" si="66"/>
        <v>0</v>
      </c>
      <c r="HE19" s="313">
        <f t="shared" si="66"/>
        <v>0</v>
      </c>
      <c r="HF19" s="314"/>
      <c r="HG19" s="312">
        <f>SUM(SUMIFS(K19:HB19,$K$13:$HB$13,{"エネルギー管理指定工場等*","県域*"}))</f>
        <v>0</v>
      </c>
      <c r="HH19" s="313">
        <f>SUM(SUMIFS(L19:HC19,$K$13:$HB$13,{"エネルギー管理指定工場等*","県域*"}))</f>
        <v>0</v>
      </c>
      <c r="HI19" s="313">
        <f>SUM(SUMIFS(M19:HD19,$K$13:$HB$13,{"エネルギー管理指定工場等*","県域*"}))</f>
        <v>0</v>
      </c>
      <c r="HJ19" s="314"/>
      <c r="HL19" s="219">
        <v>10</v>
      </c>
      <c r="HM19" s="714" t="str">
        <f t="shared" ca="1" si="49"/>
        <v/>
      </c>
      <c r="HN19" s="715" t="str">
        <f ca="1">IF(COUNTIF(HN$10:HN18,OFFSET(A1_原単位2026,5,HL19+2))&gt;=1,"",OFFSET(A1_原単位2026,5,HL19+2)&amp;"")</f>
        <v/>
      </c>
      <c r="HO19" s="716" t="str">
        <f t="shared" ca="1" si="50"/>
        <v/>
      </c>
      <c r="HP19" s="717" t="str">
        <f t="shared" ca="1" si="51"/>
        <v/>
      </c>
      <c r="HQ19" s="714" t="str">
        <f t="shared" ca="1" si="52"/>
        <v/>
      </c>
      <c r="HR19" s="715" t="str">
        <f ca="1">IF(COUNTIF(HR$10:HR18,OFFSET(A1_原単位2026,17,HL19+2))&gt;=1,"",OFFSET(A1_原単位2026,17,HL19+2)&amp;"")</f>
        <v/>
      </c>
      <c r="HS19" s="718" t="str">
        <f t="shared" ca="1" si="53"/>
        <v/>
      </c>
      <c r="HT19" s="719" t="str">
        <f t="shared" ca="1" si="54"/>
        <v/>
      </c>
      <c r="HU19" s="714" t="str">
        <f t="shared" ca="1" si="55"/>
        <v/>
      </c>
      <c r="HV19" s="715" t="str">
        <f ca="1">IF(COUNTIF(HV$10:HV18,OFFSET(A1_原単位2026,29,HL19+2))&gt;=1,"",OFFSET(A1_原単位2026,29,HL19+2)&amp;"")</f>
        <v/>
      </c>
      <c r="HW19" s="718" t="str">
        <f t="shared" ca="1" si="56"/>
        <v/>
      </c>
      <c r="HX19" s="719" t="str">
        <f t="shared" ca="1" si="57"/>
        <v/>
      </c>
      <c r="HY19" s="714" t="str">
        <f t="shared" ca="1" si="58"/>
        <v/>
      </c>
      <c r="HZ19" s="715" t="str">
        <f ca="1">IF(COUNTIF(HZ$10:HZ18,OFFSET(A1_原単位2026,41,HL19+2))&gt;=1,"",OFFSET(A1_原単位2026,41,HL19+2)&amp;"")</f>
        <v/>
      </c>
      <c r="IA19" s="720" t="str">
        <f t="shared" ca="1" si="59"/>
        <v/>
      </c>
      <c r="IB19" s="721" t="str">
        <f t="shared" ca="1" si="60"/>
        <v/>
      </c>
      <c r="IE19" s="159" t="str">
        <f t="shared" ca="1" si="61"/>
        <v/>
      </c>
      <c r="IF19" s="159" t="str">
        <f t="shared" ca="1" si="62"/>
        <v/>
      </c>
      <c r="IG19" s="159" t="str">
        <f t="shared" ca="1" si="63"/>
        <v/>
      </c>
      <c r="IH19" s="159" t="str">
        <f t="shared" ca="1" si="64"/>
        <v/>
      </c>
    </row>
    <row r="20" spans="2:242" s="164" customFormat="1" ht="20.100000000000001" customHeight="1">
      <c r="B20" s="302"/>
      <c r="C20" s="303" t="s">
        <v>351</v>
      </c>
      <c r="D20" s="304"/>
      <c r="E20" s="305"/>
      <c r="F20" s="303" t="s">
        <v>453</v>
      </c>
      <c r="G20" s="306">
        <v>33.299999999999997</v>
      </c>
      <c r="H20" s="307">
        <v>1.8599999999999998E-2</v>
      </c>
      <c r="I20" s="308"/>
      <c r="J20" s="309"/>
      <c r="K20" s="310"/>
      <c r="L20" s="311"/>
      <c r="M20" s="311"/>
      <c r="N20" s="309"/>
      <c r="O20" s="310"/>
      <c r="P20" s="311"/>
      <c r="Q20" s="311"/>
      <c r="R20" s="309"/>
      <c r="S20" s="310"/>
      <c r="T20" s="311"/>
      <c r="U20" s="311"/>
      <c r="V20" s="309"/>
      <c r="W20" s="310"/>
      <c r="X20" s="311"/>
      <c r="Y20" s="311"/>
      <c r="Z20" s="309"/>
      <c r="AA20" s="310"/>
      <c r="AB20" s="311"/>
      <c r="AC20" s="311"/>
      <c r="AD20" s="309"/>
      <c r="AE20" s="310"/>
      <c r="AF20" s="311"/>
      <c r="AG20" s="311"/>
      <c r="AH20" s="309"/>
      <c r="AI20" s="310"/>
      <c r="AJ20" s="311"/>
      <c r="AK20" s="311"/>
      <c r="AL20" s="309"/>
      <c r="AM20" s="310"/>
      <c r="AN20" s="311"/>
      <c r="AO20" s="311"/>
      <c r="AP20" s="309"/>
      <c r="AQ20" s="310"/>
      <c r="AR20" s="311"/>
      <c r="AS20" s="311"/>
      <c r="AT20" s="309"/>
      <c r="AU20" s="310"/>
      <c r="AV20" s="311"/>
      <c r="AW20" s="311"/>
      <c r="AX20" s="309"/>
      <c r="AY20" s="310"/>
      <c r="AZ20" s="311"/>
      <c r="BA20" s="311"/>
      <c r="BB20" s="309"/>
      <c r="BC20" s="310"/>
      <c r="BD20" s="311"/>
      <c r="BE20" s="311"/>
      <c r="BF20" s="309"/>
      <c r="BG20" s="310"/>
      <c r="BH20" s="311"/>
      <c r="BI20" s="311"/>
      <c r="BJ20" s="309"/>
      <c r="BK20" s="310"/>
      <c r="BL20" s="311"/>
      <c r="BM20" s="311"/>
      <c r="BN20" s="309"/>
      <c r="BO20" s="310"/>
      <c r="BP20" s="311"/>
      <c r="BQ20" s="311"/>
      <c r="BR20" s="309"/>
      <c r="BS20" s="310"/>
      <c r="BT20" s="311"/>
      <c r="BU20" s="311"/>
      <c r="BV20" s="309"/>
      <c r="BW20" s="310"/>
      <c r="BX20" s="311"/>
      <c r="BY20" s="311"/>
      <c r="BZ20" s="309"/>
      <c r="CA20" s="310"/>
      <c r="CB20" s="311"/>
      <c r="CC20" s="311"/>
      <c r="CD20" s="309"/>
      <c r="CE20" s="310"/>
      <c r="CF20" s="311"/>
      <c r="CG20" s="311"/>
      <c r="CH20" s="309"/>
      <c r="CI20" s="310"/>
      <c r="CJ20" s="311"/>
      <c r="CK20" s="311"/>
      <c r="CL20" s="309"/>
      <c r="CM20" s="310"/>
      <c r="CN20" s="311"/>
      <c r="CO20" s="311"/>
      <c r="CP20" s="309"/>
      <c r="CQ20" s="310"/>
      <c r="CR20" s="311"/>
      <c r="CS20" s="311"/>
      <c r="CT20" s="309"/>
      <c r="CU20" s="310"/>
      <c r="CV20" s="311"/>
      <c r="CW20" s="311"/>
      <c r="CX20" s="309"/>
      <c r="CY20" s="310"/>
      <c r="CZ20" s="311"/>
      <c r="DA20" s="311"/>
      <c r="DB20" s="309"/>
      <c r="DC20" s="310"/>
      <c r="DD20" s="311"/>
      <c r="DE20" s="311"/>
      <c r="DF20" s="309"/>
      <c r="DG20" s="310"/>
      <c r="DH20" s="311"/>
      <c r="DI20" s="311"/>
      <c r="DJ20" s="309"/>
      <c r="DK20" s="310"/>
      <c r="DL20" s="311"/>
      <c r="DM20" s="311"/>
      <c r="DN20" s="309"/>
      <c r="DO20" s="310"/>
      <c r="DP20" s="311"/>
      <c r="DQ20" s="311"/>
      <c r="DR20" s="309"/>
      <c r="DS20" s="310"/>
      <c r="DT20" s="311"/>
      <c r="DU20" s="311"/>
      <c r="DV20" s="309"/>
      <c r="DW20" s="310"/>
      <c r="DX20" s="311"/>
      <c r="DY20" s="311"/>
      <c r="DZ20" s="309"/>
      <c r="EA20" s="310"/>
      <c r="EB20" s="311"/>
      <c r="EC20" s="311"/>
      <c r="ED20" s="309"/>
      <c r="EE20" s="310"/>
      <c r="EF20" s="311"/>
      <c r="EG20" s="311"/>
      <c r="EH20" s="309"/>
      <c r="EI20" s="310"/>
      <c r="EJ20" s="311"/>
      <c r="EK20" s="311"/>
      <c r="EL20" s="309"/>
      <c r="EM20" s="310"/>
      <c r="EN20" s="311"/>
      <c r="EO20" s="311"/>
      <c r="EP20" s="309"/>
      <c r="EQ20" s="310"/>
      <c r="ER20" s="311"/>
      <c r="ES20" s="311"/>
      <c r="ET20" s="309"/>
      <c r="EU20" s="310"/>
      <c r="EV20" s="311"/>
      <c r="EW20" s="311"/>
      <c r="EX20" s="309"/>
      <c r="EY20" s="310"/>
      <c r="EZ20" s="311"/>
      <c r="FA20" s="311"/>
      <c r="FB20" s="309"/>
      <c r="FC20" s="310"/>
      <c r="FD20" s="311"/>
      <c r="FE20" s="311"/>
      <c r="FF20" s="309"/>
      <c r="FG20" s="310"/>
      <c r="FH20" s="311"/>
      <c r="FI20" s="311"/>
      <c r="FJ20" s="309"/>
      <c r="FK20" s="310"/>
      <c r="FL20" s="311"/>
      <c r="FM20" s="311"/>
      <c r="FN20" s="309"/>
      <c r="FO20" s="310"/>
      <c r="FP20" s="311"/>
      <c r="FQ20" s="311"/>
      <c r="FR20" s="309"/>
      <c r="FS20" s="310"/>
      <c r="FT20" s="311"/>
      <c r="FU20" s="311"/>
      <c r="FV20" s="309"/>
      <c r="FW20" s="310"/>
      <c r="FX20" s="311"/>
      <c r="FY20" s="311"/>
      <c r="FZ20" s="309"/>
      <c r="GA20" s="310"/>
      <c r="GB20" s="311"/>
      <c r="GC20" s="311"/>
      <c r="GD20" s="309"/>
      <c r="GE20" s="310"/>
      <c r="GF20" s="311"/>
      <c r="GG20" s="311"/>
      <c r="GH20" s="309"/>
      <c r="GI20" s="310"/>
      <c r="GJ20" s="311"/>
      <c r="GK20" s="311"/>
      <c r="GL20" s="309"/>
      <c r="GM20" s="310"/>
      <c r="GN20" s="311"/>
      <c r="GO20" s="311"/>
      <c r="GP20" s="309"/>
      <c r="GQ20" s="310"/>
      <c r="GR20" s="311"/>
      <c r="GS20" s="311"/>
      <c r="GT20" s="309"/>
      <c r="GU20" s="310"/>
      <c r="GV20" s="311"/>
      <c r="GW20" s="311"/>
      <c r="GX20" s="309"/>
      <c r="GY20" s="310"/>
      <c r="GZ20" s="311"/>
      <c r="HA20" s="311"/>
      <c r="HB20" s="309"/>
      <c r="HC20" s="312">
        <f t="shared" si="66"/>
        <v>0</v>
      </c>
      <c r="HD20" s="313">
        <f t="shared" si="66"/>
        <v>0</v>
      </c>
      <c r="HE20" s="313">
        <f t="shared" si="66"/>
        <v>0</v>
      </c>
      <c r="HF20" s="314"/>
      <c r="HG20" s="312">
        <f>SUM(SUMIFS(K20:HB20,$K$13:$HB$13,{"エネルギー管理指定工場等*","県域*"}))</f>
        <v>0</v>
      </c>
      <c r="HH20" s="313">
        <f>SUM(SUMIFS(L20:HC20,$K$13:$HB$13,{"エネルギー管理指定工場等*","県域*"}))</f>
        <v>0</v>
      </c>
      <c r="HI20" s="313">
        <f>SUM(SUMIFS(M20:HD20,$K$13:$HB$13,{"エネルギー管理指定工場等*","県域*"}))</f>
        <v>0</v>
      </c>
      <c r="HJ20" s="314"/>
      <c r="HL20" s="230">
        <v>11</v>
      </c>
      <c r="HM20" s="714" t="str">
        <f t="shared" ca="1" si="49"/>
        <v/>
      </c>
      <c r="HN20" s="715" t="str">
        <f ca="1">IF(COUNTIF(HN$10:HN19,OFFSET(A1_原単位2026,5,HL20+2))&gt;=1,"",OFFSET(A1_原単位2026,5,HL20+2)&amp;"")</f>
        <v/>
      </c>
      <c r="HO20" s="716" t="str">
        <f t="shared" ca="1" si="50"/>
        <v/>
      </c>
      <c r="HP20" s="717" t="str">
        <f t="shared" ca="1" si="51"/>
        <v/>
      </c>
      <c r="HQ20" s="714" t="str">
        <f t="shared" ca="1" si="52"/>
        <v/>
      </c>
      <c r="HR20" s="715" t="str">
        <f ca="1">IF(COUNTIF(HR$10:HR19,OFFSET(A1_原単位2026,17,HL20+2))&gt;=1,"",OFFSET(A1_原単位2026,17,HL20+2)&amp;"")</f>
        <v/>
      </c>
      <c r="HS20" s="718" t="str">
        <f t="shared" ca="1" si="53"/>
        <v/>
      </c>
      <c r="HT20" s="719" t="str">
        <f t="shared" ca="1" si="54"/>
        <v/>
      </c>
      <c r="HU20" s="714" t="str">
        <f t="shared" ca="1" si="55"/>
        <v/>
      </c>
      <c r="HV20" s="715" t="str">
        <f ca="1">IF(COUNTIF(HV$10:HV19,OFFSET(A1_原単位2026,29,HL20+2))&gt;=1,"",OFFSET(A1_原単位2026,29,HL20+2)&amp;"")</f>
        <v/>
      </c>
      <c r="HW20" s="718" t="str">
        <f t="shared" ca="1" si="56"/>
        <v/>
      </c>
      <c r="HX20" s="719" t="str">
        <f t="shared" ca="1" si="57"/>
        <v/>
      </c>
      <c r="HY20" s="714" t="str">
        <f t="shared" ca="1" si="58"/>
        <v/>
      </c>
      <c r="HZ20" s="715" t="str">
        <f ca="1">IF(COUNTIF(HZ$10:HZ19,OFFSET(A1_原単位2026,41,HL20+2))&gt;=1,"",OFFSET(A1_原単位2026,41,HL20+2)&amp;"")</f>
        <v/>
      </c>
      <c r="IA20" s="720" t="str">
        <f t="shared" ca="1" si="59"/>
        <v/>
      </c>
      <c r="IB20" s="721" t="str">
        <f t="shared" ca="1" si="60"/>
        <v/>
      </c>
      <c r="IE20" s="159" t="str">
        <f t="shared" ca="1" si="61"/>
        <v/>
      </c>
      <c r="IF20" s="159" t="str">
        <f t="shared" ca="1" si="62"/>
        <v/>
      </c>
      <c r="IG20" s="159" t="str">
        <f t="shared" ca="1" si="63"/>
        <v/>
      </c>
      <c r="IH20" s="159" t="str">
        <f t="shared" ca="1" si="64"/>
        <v/>
      </c>
    </row>
    <row r="21" spans="2:242" s="164" customFormat="1" ht="20.100000000000001" customHeight="1">
      <c r="B21" s="302"/>
      <c r="C21" s="303" t="s">
        <v>575</v>
      </c>
      <c r="D21" s="304"/>
      <c r="E21" s="305"/>
      <c r="F21" s="303" t="s">
        <v>453</v>
      </c>
      <c r="G21" s="306">
        <v>36.299999999999997</v>
      </c>
      <c r="H21" s="307">
        <v>1.8599999999999998E-2</v>
      </c>
      <c r="I21" s="310"/>
      <c r="J21" s="315"/>
      <c r="K21" s="310"/>
      <c r="L21" s="311"/>
      <c r="M21" s="311"/>
      <c r="N21" s="309"/>
      <c r="O21" s="310"/>
      <c r="P21" s="311"/>
      <c r="Q21" s="311"/>
      <c r="R21" s="309"/>
      <c r="S21" s="310"/>
      <c r="T21" s="311"/>
      <c r="U21" s="311"/>
      <c r="V21" s="309"/>
      <c r="W21" s="310"/>
      <c r="X21" s="311"/>
      <c r="Y21" s="311"/>
      <c r="Z21" s="309"/>
      <c r="AA21" s="310"/>
      <c r="AB21" s="311"/>
      <c r="AC21" s="311"/>
      <c r="AD21" s="309"/>
      <c r="AE21" s="310"/>
      <c r="AF21" s="311"/>
      <c r="AG21" s="311"/>
      <c r="AH21" s="309"/>
      <c r="AI21" s="310"/>
      <c r="AJ21" s="311"/>
      <c r="AK21" s="311"/>
      <c r="AL21" s="309"/>
      <c r="AM21" s="310"/>
      <c r="AN21" s="311"/>
      <c r="AO21" s="311"/>
      <c r="AP21" s="309"/>
      <c r="AQ21" s="310"/>
      <c r="AR21" s="311"/>
      <c r="AS21" s="311"/>
      <c r="AT21" s="309"/>
      <c r="AU21" s="310"/>
      <c r="AV21" s="311"/>
      <c r="AW21" s="311"/>
      <c r="AX21" s="309"/>
      <c r="AY21" s="310"/>
      <c r="AZ21" s="311"/>
      <c r="BA21" s="311"/>
      <c r="BB21" s="309"/>
      <c r="BC21" s="310"/>
      <c r="BD21" s="311"/>
      <c r="BE21" s="311"/>
      <c r="BF21" s="309"/>
      <c r="BG21" s="310"/>
      <c r="BH21" s="311"/>
      <c r="BI21" s="311"/>
      <c r="BJ21" s="309"/>
      <c r="BK21" s="310"/>
      <c r="BL21" s="311"/>
      <c r="BM21" s="311"/>
      <c r="BN21" s="309"/>
      <c r="BO21" s="310"/>
      <c r="BP21" s="311"/>
      <c r="BQ21" s="311"/>
      <c r="BR21" s="309"/>
      <c r="BS21" s="310"/>
      <c r="BT21" s="311"/>
      <c r="BU21" s="311"/>
      <c r="BV21" s="309"/>
      <c r="BW21" s="310"/>
      <c r="BX21" s="311"/>
      <c r="BY21" s="311"/>
      <c r="BZ21" s="309"/>
      <c r="CA21" s="310"/>
      <c r="CB21" s="311"/>
      <c r="CC21" s="311"/>
      <c r="CD21" s="309"/>
      <c r="CE21" s="310"/>
      <c r="CF21" s="311"/>
      <c r="CG21" s="311"/>
      <c r="CH21" s="309"/>
      <c r="CI21" s="310"/>
      <c r="CJ21" s="311"/>
      <c r="CK21" s="311"/>
      <c r="CL21" s="309"/>
      <c r="CM21" s="310"/>
      <c r="CN21" s="311"/>
      <c r="CO21" s="311"/>
      <c r="CP21" s="309"/>
      <c r="CQ21" s="310"/>
      <c r="CR21" s="311"/>
      <c r="CS21" s="311"/>
      <c r="CT21" s="309"/>
      <c r="CU21" s="310"/>
      <c r="CV21" s="311"/>
      <c r="CW21" s="311"/>
      <c r="CX21" s="309"/>
      <c r="CY21" s="310"/>
      <c r="CZ21" s="311"/>
      <c r="DA21" s="311"/>
      <c r="DB21" s="309"/>
      <c r="DC21" s="310"/>
      <c r="DD21" s="311"/>
      <c r="DE21" s="311"/>
      <c r="DF21" s="309"/>
      <c r="DG21" s="310"/>
      <c r="DH21" s="311"/>
      <c r="DI21" s="311"/>
      <c r="DJ21" s="309"/>
      <c r="DK21" s="310"/>
      <c r="DL21" s="311"/>
      <c r="DM21" s="311"/>
      <c r="DN21" s="309"/>
      <c r="DO21" s="310"/>
      <c r="DP21" s="311"/>
      <c r="DQ21" s="311"/>
      <c r="DR21" s="309"/>
      <c r="DS21" s="310"/>
      <c r="DT21" s="311"/>
      <c r="DU21" s="311"/>
      <c r="DV21" s="309"/>
      <c r="DW21" s="310"/>
      <c r="DX21" s="311"/>
      <c r="DY21" s="311"/>
      <c r="DZ21" s="309"/>
      <c r="EA21" s="310"/>
      <c r="EB21" s="311"/>
      <c r="EC21" s="311"/>
      <c r="ED21" s="309"/>
      <c r="EE21" s="310"/>
      <c r="EF21" s="311"/>
      <c r="EG21" s="311"/>
      <c r="EH21" s="309"/>
      <c r="EI21" s="310"/>
      <c r="EJ21" s="311"/>
      <c r="EK21" s="311"/>
      <c r="EL21" s="309"/>
      <c r="EM21" s="310"/>
      <c r="EN21" s="311"/>
      <c r="EO21" s="311"/>
      <c r="EP21" s="309"/>
      <c r="EQ21" s="310"/>
      <c r="ER21" s="311"/>
      <c r="ES21" s="311"/>
      <c r="ET21" s="309"/>
      <c r="EU21" s="310"/>
      <c r="EV21" s="311"/>
      <c r="EW21" s="311"/>
      <c r="EX21" s="309"/>
      <c r="EY21" s="310"/>
      <c r="EZ21" s="311"/>
      <c r="FA21" s="311"/>
      <c r="FB21" s="309"/>
      <c r="FC21" s="310"/>
      <c r="FD21" s="311"/>
      <c r="FE21" s="311"/>
      <c r="FF21" s="309"/>
      <c r="FG21" s="310"/>
      <c r="FH21" s="311"/>
      <c r="FI21" s="311"/>
      <c r="FJ21" s="309"/>
      <c r="FK21" s="310"/>
      <c r="FL21" s="311"/>
      <c r="FM21" s="311"/>
      <c r="FN21" s="309"/>
      <c r="FO21" s="310"/>
      <c r="FP21" s="311"/>
      <c r="FQ21" s="311"/>
      <c r="FR21" s="309"/>
      <c r="FS21" s="310"/>
      <c r="FT21" s="311"/>
      <c r="FU21" s="311"/>
      <c r="FV21" s="309"/>
      <c r="FW21" s="310"/>
      <c r="FX21" s="311"/>
      <c r="FY21" s="311"/>
      <c r="FZ21" s="309"/>
      <c r="GA21" s="310"/>
      <c r="GB21" s="311"/>
      <c r="GC21" s="311"/>
      <c r="GD21" s="309"/>
      <c r="GE21" s="310"/>
      <c r="GF21" s="311"/>
      <c r="GG21" s="311"/>
      <c r="GH21" s="309"/>
      <c r="GI21" s="310"/>
      <c r="GJ21" s="311"/>
      <c r="GK21" s="311"/>
      <c r="GL21" s="309"/>
      <c r="GM21" s="310"/>
      <c r="GN21" s="311"/>
      <c r="GO21" s="311"/>
      <c r="GP21" s="309"/>
      <c r="GQ21" s="310"/>
      <c r="GR21" s="311"/>
      <c r="GS21" s="311"/>
      <c r="GT21" s="309"/>
      <c r="GU21" s="310"/>
      <c r="GV21" s="311"/>
      <c r="GW21" s="311"/>
      <c r="GX21" s="309"/>
      <c r="GY21" s="310"/>
      <c r="GZ21" s="311"/>
      <c r="HA21" s="311"/>
      <c r="HB21" s="309"/>
      <c r="HC21" s="312">
        <f t="shared" si="66"/>
        <v>0</v>
      </c>
      <c r="HD21" s="313">
        <f t="shared" si="66"/>
        <v>0</v>
      </c>
      <c r="HE21" s="313">
        <f t="shared" si="66"/>
        <v>0</v>
      </c>
      <c r="HF21" s="314"/>
      <c r="HG21" s="312">
        <f>SUM(SUMIFS(K21:HB21,$K$13:$HB$13,{"エネルギー管理指定工場等*","県域*"}))</f>
        <v>0</v>
      </c>
      <c r="HH21" s="313">
        <f>SUM(SUMIFS(L21:HC21,$K$13:$HB$13,{"エネルギー管理指定工場等*","県域*"}))</f>
        <v>0</v>
      </c>
      <c r="HI21" s="313">
        <f>SUM(SUMIFS(M21:HD21,$K$13:$HB$13,{"エネルギー管理指定工場等*","県域*"}))</f>
        <v>0</v>
      </c>
      <c r="HJ21" s="314"/>
      <c r="HL21" s="219">
        <v>12</v>
      </c>
      <c r="HM21" s="714" t="str">
        <f t="shared" ca="1" si="49"/>
        <v/>
      </c>
      <c r="HN21" s="715" t="str">
        <f ca="1">IF(COUNTIF(HN$10:HN20,OFFSET(A1_原単位2026,5,HL21+2))&gt;=1,"",OFFSET(A1_原単位2026,5,HL21+2)&amp;"")</f>
        <v/>
      </c>
      <c r="HO21" s="716" t="str">
        <f t="shared" ca="1" si="50"/>
        <v/>
      </c>
      <c r="HP21" s="717" t="str">
        <f t="shared" ca="1" si="51"/>
        <v/>
      </c>
      <c r="HQ21" s="714" t="str">
        <f t="shared" ca="1" si="52"/>
        <v/>
      </c>
      <c r="HR21" s="715" t="str">
        <f ca="1">IF(COUNTIF(HR$10:HR20,OFFSET(A1_原単位2026,17,HL21+2))&gt;=1,"",OFFSET(A1_原単位2026,17,HL21+2)&amp;"")</f>
        <v/>
      </c>
      <c r="HS21" s="718" t="str">
        <f t="shared" ca="1" si="53"/>
        <v/>
      </c>
      <c r="HT21" s="719" t="str">
        <f t="shared" ca="1" si="54"/>
        <v/>
      </c>
      <c r="HU21" s="714" t="str">
        <f t="shared" ca="1" si="55"/>
        <v/>
      </c>
      <c r="HV21" s="715" t="str">
        <f ca="1">IF(COUNTIF(HV$10:HV20,OFFSET(A1_原単位2026,29,HL21+2))&gt;=1,"",OFFSET(A1_原単位2026,29,HL21+2)&amp;"")</f>
        <v/>
      </c>
      <c r="HW21" s="718" t="str">
        <f t="shared" ca="1" si="56"/>
        <v/>
      </c>
      <c r="HX21" s="719" t="str">
        <f t="shared" ca="1" si="57"/>
        <v/>
      </c>
      <c r="HY21" s="714" t="str">
        <f t="shared" ca="1" si="58"/>
        <v/>
      </c>
      <c r="HZ21" s="715" t="str">
        <f ca="1">IF(COUNTIF(HZ$10:HZ20,OFFSET(A1_原単位2026,41,HL21+2))&gt;=1,"",OFFSET(A1_原単位2026,41,HL21+2)&amp;"")</f>
        <v/>
      </c>
      <c r="IA21" s="720" t="str">
        <f t="shared" ca="1" si="59"/>
        <v/>
      </c>
      <c r="IB21" s="721" t="str">
        <f t="shared" ca="1" si="60"/>
        <v/>
      </c>
      <c r="IE21" s="159" t="str">
        <f t="shared" ca="1" si="61"/>
        <v/>
      </c>
      <c r="IF21" s="159" t="str">
        <f t="shared" ca="1" si="62"/>
        <v/>
      </c>
      <c r="IG21" s="159" t="str">
        <f t="shared" ca="1" si="63"/>
        <v/>
      </c>
      <c r="IH21" s="159" t="str">
        <f t="shared" ca="1" si="64"/>
        <v/>
      </c>
    </row>
    <row r="22" spans="2:242" s="164" customFormat="1" ht="20.100000000000001" customHeight="1">
      <c r="B22" s="302"/>
      <c r="C22" s="303" t="s">
        <v>353</v>
      </c>
      <c r="D22" s="304"/>
      <c r="E22" s="305"/>
      <c r="F22" s="303" t="s">
        <v>453</v>
      </c>
      <c r="G22" s="306">
        <v>36.5</v>
      </c>
      <c r="H22" s="307">
        <v>1.8700000000000001E-2</v>
      </c>
      <c r="I22" s="308"/>
      <c r="J22" s="309"/>
      <c r="K22" s="310"/>
      <c r="L22" s="311"/>
      <c r="M22" s="311"/>
      <c r="N22" s="309"/>
      <c r="O22" s="310"/>
      <c r="P22" s="311"/>
      <c r="Q22" s="311"/>
      <c r="R22" s="309"/>
      <c r="S22" s="310"/>
      <c r="T22" s="311"/>
      <c r="U22" s="311"/>
      <c r="V22" s="309"/>
      <c r="W22" s="310"/>
      <c r="X22" s="311"/>
      <c r="Y22" s="311"/>
      <c r="Z22" s="309"/>
      <c r="AA22" s="310"/>
      <c r="AB22" s="311"/>
      <c r="AC22" s="311"/>
      <c r="AD22" s="309"/>
      <c r="AE22" s="310"/>
      <c r="AF22" s="311"/>
      <c r="AG22" s="311"/>
      <c r="AH22" s="309"/>
      <c r="AI22" s="310"/>
      <c r="AJ22" s="311"/>
      <c r="AK22" s="311"/>
      <c r="AL22" s="309"/>
      <c r="AM22" s="310"/>
      <c r="AN22" s="311"/>
      <c r="AO22" s="311"/>
      <c r="AP22" s="309"/>
      <c r="AQ22" s="310"/>
      <c r="AR22" s="311"/>
      <c r="AS22" s="311"/>
      <c r="AT22" s="309"/>
      <c r="AU22" s="310"/>
      <c r="AV22" s="311"/>
      <c r="AW22" s="311"/>
      <c r="AX22" s="309"/>
      <c r="AY22" s="310"/>
      <c r="AZ22" s="311"/>
      <c r="BA22" s="311"/>
      <c r="BB22" s="309"/>
      <c r="BC22" s="310"/>
      <c r="BD22" s="311"/>
      <c r="BE22" s="311"/>
      <c r="BF22" s="309"/>
      <c r="BG22" s="310"/>
      <c r="BH22" s="311"/>
      <c r="BI22" s="311"/>
      <c r="BJ22" s="309"/>
      <c r="BK22" s="310"/>
      <c r="BL22" s="311"/>
      <c r="BM22" s="311"/>
      <c r="BN22" s="309"/>
      <c r="BO22" s="310"/>
      <c r="BP22" s="311"/>
      <c r="BQ22" s="311"/>
      <c r="BR22" s="309"/>
      <c r="BS22" s="310"/>
      <c r="BT22" s="311"/>
      <c r="BU22" s="311"/>
      <c r="BV22" s="309"/>
      <c r="BW22" s="310"/>
      <c r="BX22" s="311"/>
      <c r="BY22" s="311"/>
      <c r="BZ22" s="309"/>
      <c r="CA22" s="310"/>
      <c r="CB22" s="311"/>
      <c r="CC22" s="311"/>
      <c r="CD22" s="309"/>
      <c r="CE22" s="310"/>
      <c r="CF22" s="311"/>
      <c r="CG22" s="311"/>
      <c r="CH22" s="309"/>
      <c r="CI22" s="310"/>
      <c r="CJ22" s="311"/>
      <c r="CK22" s="311"/>
      <c r="CL22" s="309"/>
      <c r="CM22" s="310"/>
      <c r="CN22" s="311"/>
      <c r="CO22" s="311"/>
      <c r="CP22" s="309"/>
      <c r="CQ22" s="310"/>
      <c r="CR22" s="311"/>
      <c r="CS22" s="311"/>
      <c r="CT22" s="309"/>
      <c r="CU22" s="310"/>
      <c r="CV22" s="311"/>
      <c r="CW22" s="311"/>
      <c r="CX22" s="309"/>
      <c r="CY22" s="310"/>
      <c r="CZ22" s="311"/>
      <c r="DA22" s="311"/>
      <c r="DB22" s="309"/>
      <c r="DC22" s="310"/>
      <c r="DD22" s="311"/>
      <c r="DE22" s="311"/>
      <c r="DF22" s="309"/>
      <c r="DG22" s="310"/>
      <c r="DH22" s="311"/>
      <c r="DI22" s="311"/>
      <c r="DJ22" s="309"/>
      <c r="DK22" s="310"/>
      <c r="DL22" s="311"/>
      <c r="DM22" s="311"/>
      <c r="DN22" s="309"/>
      <c r="DO22" s="310"/>
      <c r="DP22" s="311"/>
      <c r="DQ22" s="311"/>
      <c r="DR22" s="309"/>
      <c r="DS22" s="310"/>
      <c r="DT22" s="311"/>
      <c r="DU22" s="311"/>
      <c r="DV22" s="309"/>
      <c r="DW22" s="310"/>
      <c r="DX22" s="311"/>
      <c r="DY22" s="311"/>
      <c r="DZ22" s="309"/>
      <c r="EA22" s="310"/>
      <c r="EB22" s="311"/>
      <c r="EC22" s="311"/>
      <c r="ED22" s="309"/>
      <c r="EE22" s="310"/>
      <c r="EF22" s="311"/>
      <c r="EG22" s="311"/>
      <c r="EH22" s="309"/>
      <c r="EI22" s="310"/>
      <c r="EJ22" s="311"/>
      <c r="EK22" s="311"/>
      <c r="EL22" s="309"/>
      <c r="EM22" s="310"/>
      <c r="EN22" s="311"/>
      <c r="EO22" s="311"/>
      <c r="EP22" s="309"/>
      <c r="EQ22" s="310"/>
      <c r="ER22" s="311"/>
      <c r="ES22" s="311"/>
      <c r="ET22" s="309"/>
      <c r="EU22" s="310"/>
      <c r="EV22" s="311"/>
      <c r="EW22" s="311"/>
      <c r="EX22" s="309"/>
      <c r="EY22" s="310"/>
      <c r="EZ22" s="311"/>
      <c r="FA22" s="311"/>
      <c r="FB22" s="309"/>
      <c r="FC22" s="310"/>
      <c r="FD22" s="311"/>
      <c r="FE22" s="311"/>
      <c r="FF22" s="309"/>
      <c r="FG22" s="310"/>
      <c r="FH22" s="311"/>
      <c r="FI22" s="311"/>
      <c r="FJ22" s="309"/>
      <c r="FK22" s="310"/>
      <c r="FL22" s="311"/>
      <c r="FM22" s="311"/>
      <c r="FN22" s="309"/>
      <c r="FO22" s="310"/>
      <c r="FP22" s="311"/>
      <c r="FQ22" s="311"/>
      <c r="FR22" s="309"/>
      <c r="FS22" s="310"/>
      <c r="FT22" s="311"/>
      <c r="FU22" s="311"/>
      <c r="FV22" s="309"/>
      <c r="FW22" s="310"/>
      <c r="FX22" s="311"/>
      <c r="FY22" s="311"/>
      <c r="FZ22" s="309"/>
      <c r="GA22" s="310"/>
      <c r="GB22" s="311"/>
      <c r="GC22" s="311"/>
      <c r="GD22" s="309"/>
      <c r="GE22" s="310"/>
      <c r="GF22" s="311"/>
      <c r="GG22" s="311"/>
      <c r="GH22" s="309"/>
      <c r="GI22" s="310"/>
      <c r="GJ22" s="311"/>
      <c r="GK22" s="311"/>
      <c r="GL22" s="309"/>
      <c r="GM22" s="310"/>
      <c r="GN22" s="311"/>
      <c r="GO22" s="311"/>
      <c r="GP22" s="309"/>
      <c r="GQ22" s="310"/>
      <c r="GR22" s="311"/>
      <c r="GS22" s="311"/>
      <c r="GT22" s="309"/>
      <c r="GU22" s="310"/>
      <c r="GV22" s="311"/>
      <c r="GW22" s="311"/>
      <c r="GX22" s="309"/>
      <c r="GY22" s="310"/>
      <c r="GZ22" s="311"/>
      <c r="HA22" s="311"/>
      <c r="HB22" s="309"/>
      <c r="HC22" s="312">
        <f t="shared" si="66"/>
        <v>0</v>
      </c>
      <c r="HD22" s="313">
        <f t="shared" si="66"/>
        <v>0</v>
      </c>
      <c r="HE22" s="313">
        <f t="shared" si="66"/>
        <v>0</v>
      </c>
      <c r="HF22" s="314"/>
      <c r="HG22" s="312">
        <f>SUM(SUMIFS(K22:HB22,$K$13:$HB$13,{"エネルギー管理指定工場等*","県域*"}))</f>
        <v>0</v>
      </c>
      <c r="HH22" s="313">
        <f>SUM(SUMIFS(L22:HC22,$K$13:$HB$13,{"エネルギー管理指定工場等*","県域*"}))</f>
        <v>0</v>
      </c>
      <c r="HI22" s="313">
        <f>SUM(SUMIFS(M22:HD22,$K$13:$HB$13,{"エネルギー管理指定工場等*","県域*"}))</f>
        <v>0</v>
      </c>
      <c r="HJ22" s="314"/>
      <c r="HL22" s="230">
        <v>13</v>
      </c>
      <c r="HM22" s="714" t="str">
        <f t="shared" ca="1" si="49"/>
        <v/>
      </c>
      <c r="HN22" s="715" t="str">
        <f ca="1">IF(COUNTIF(HN$10:HN21,OFFSET(A1_原単位2026,5,HL22+2))&gt;=1,"",OFFSET(A1_原単位2026,5,HL22+2)&amp;"")</f>
        <v/>
      </c>
      <c r="HO22" s="716" t="str">
        <f t="shared" ca="1" si="50"/>
        <v/>
      </c>
      <c r="HP22" s="717" t="str">
        <f t="shared" ca="1" si="51"/>
        <v/>
      </c>
      <c r="HQ22" s="714" t="str">
        <f t="shared" ca="1" si="52"/>
        <v/>
      </c>
      <c r="HR22" s="715" t="str">
        <f ca="1">IF(COUNTIF(HR$10:HR21,OFFSET(A1_原単位2026,17,HL22+2))&gt;=1,"",OFFSET(A1_原単位2026,17,HL22+2)&amp;"")</f>
        <v/>
      </c>
      <c r="HS22" s="718" t="str">
        <f t="shared" ca="1" si="53"/>
        <v/>
      </c>
      <c r="HT22" s="719" t="str">
        <f t="shared" ca="1" si="54"/>
        <v/>
      </c>
      <c r="HU22" s="714" t="str">
        <f t="shared" ca="1" si="55"/>
        <v/>
      </c>
      <c r="HV22" s="715" t="str">
        <f ca="1">IF(COUNTIF(HV$10:HV21,OFFSET(A1_原単位2026,29,HL22+2))&gt;=1,"",OFFSET(A1_原単位2026,29,HL22+2)&amp;"")</f>
        <v/>
      </c>
      <c r="HW22" s="718" t="str">
        <f t="shared" ca="1" si="56"/>
        <v/>
      </c>
      <c r="HX22" s="719" t="str">
        <f t="shared" ca="1" si="57"/>
        <v/>
      </c>
      <c r="HY22" s="714" t="str">
        <f t="shared" ca="1" si="58"/>
        <v/>
      </c>
      <c r="HZ22" s="715" t="str">
        <f ca="1">IF(COUNTIF(HZ$10:HZ21,OFFSET(A1_原単位2026,41,HL22+2))&gt;=1,"",OFFSET(A1_原単位2026,41,HL22+2)&amp;"")</f>
        <v/>
      </c>
      <c r="IA22" s="720" t="str">
        <f t="shared" ca="1" si="59"/>
        <v/>
      </c>
      <c r="IB22" s="721" t="str">
        <f t="shared" ca="1" si="60"/>
        <v/>
      </c>
      <c r="IE22" s="159" t="str">
        <f t="shared" ca="1" si="61"/>
        <v/>
      </c>
      <c r="IF22" s="159" t="str">
        <f t="shared" ca="1" si="62"/>
        <v/>
      </c>
      <c r="IG22" s="159" t="str">
        <f t="shared" ca="1" si="63"/>
        <v/>
      </c>
      <c r="IH22" s="159" t="str">
        <f t="shared" ca="1" si="64"/>
        <v/>
      </c>
    </row>
    <row r="23" spans="2:242" s="164" customFormat="1" ht="20.100000000000001" customHeight="1">
      <c r="B23" s="302"/>
      <c r="C23" s="303" t="s">
        <v>354</v>
      </c>
      <c r="D23" s="304"/>
      <c r="E23" s="305"/>
      <c r="F23" s="303" t="s">
        <v>453</v>
      </c>
      <c r="G23" s="316">
        <v>38</v>
      </c>
      <c r="H23" s="307">
        <v>1.8800000000000001E-2</v>
      </c>
      <c r="I23" s="310"/>
      <c r="J23" s="315"/>
      <c r="K23" s="310"/>
      <c r="L23" s="311"/>
      <c r="M23" s="311"/>
      <c r="N23" s="309"/>
      <c r="O23" s="310"/>
      <c r="P23" s="311"/>
      <c r="Q23" s="311"/>
      <c r="R23" s="309"/>
      <c r="S23" s="310"/>
      <c r="T23" s="311"/>
      <c r="U23" s="311"/>
      <c r="V23" s="309"/>
      <c r="W23" s="310"/>
      <c r="X23" s="311"/>
      <c r="Y23" s="311"/>
      <c r="Z23" s="309"/>
      <c r="AA23" s="310"/>
      <c r="AB23" s="311"/>
      <c r="AC23" s="311"/>
      <c r="AD23" s="309"/>
      <c r="AE23" s="310"/>
      <c r="AF23" s="311"/>
      <c r="AG23" s="311"/>
      <c r="AH23" s="309"/>
      <c r="AI23" s="310"/>
      <c r="AJ23" s="311"/>
      <c r="AK23" s="311"/>
      <c r="AL23" s="309"/>
      <c r="AM23" s="310"/>
      <c r="AN23" s="311"/>
      <c r="AO23" s="311"/>
      <c r="AP23" s="309"/>
      <c r="AQ23" s="310"/>
      <c r="AR23" s="311"/>
      <c r="AS23" s="311"/>
      <c r="AT23" s="309"/>
      <c r="AU23" s="310"/>
      <c r="AV23" s="311"/>
      <c r="AW23" s="311"/>
      <c r="AX23" s="309"/>
      <c r="AY23" s="310"/>
      <c r="AZ23" s="311"/>
      <c r="BA23" s="311"/>
      <c r="BB23" s="309"/>
      <c r="BC23" s="310"/>
      <c r="BD23" s="311"/>
      <c r="BE23" s="311"/>
      <c r="BF23" s="309"/>
      <c r="BG23" s="310"/>
      <c r="BH23" s="311"/>
      <c r="BI23" s="311"/>
      <c r="BJ23" s="309"/>
      <c r="BK23" s="310"/>
      <c r="BL23" s="311"/>
      <c r="BM23" s="311"/>
      <c r="BN23" s="309"/>
      <c r="BO23" s="310"/>
      <c r="BP23" s="311"/>
      <c r="BQ23" s="311"/>
      <c r="BR23" s="309"/>
      <c r="BS23" s="310"/>
      <c r="BT23" s="311"/>
      <c r="BU23" s="311"/>
      <c r="BV23" s="309"/>
      <c r="BW23" s="310"/>
      <c r="BX23" s="311"/>
      <c r="BY23" s="311"/>
      <c r="BZ23" s="309"/>
      <c r="CA23" s="310"/>
      <c r="CB23" s="311"/>
      <c r="CC23" s="311"/>
      <c r="CD23" s="309"/>
      <c r="CE23" s="310"/>
      <c r="CF23" s="311"/>
      <c r="CG23" s="311"/>
      <c r="CH23" s="309"/>
      <c r="CI23" s="310"/>
      <c r="CJ23" s="311"/>
      <c r="CK23" s="311"/>
      <c r="CL23" s="309"/>
      <c r="CM23" s="310"/>
      <c r="CN23" s="311"/>
      <c r="CO23" s="311"/>
      <c r="CP23" s="309"/>
      <c r="CQ23" s="310"/>
      <c r="CR23" s="311"/>
      <c r="CS23" s="311"/>
      <c r="CT23" s="309"/>
      <c r="CU23" s="310"/>
      <c r="CV23" s="311"/>
      <c r="CW23" s="311"/>
      <c r="CX23" s="309"/>
      <c r="CY23" s="310"/>
      <c r="CZ23" s="311"/>
      <c r="DA23" s="311"/>
      <c r="DB23" s="309"/>
      <c r="DC23" s="310"/>
      <c r="DD23" s="311"/>
      <c r="DE23" s="311"/>
      <c r="DF23" s="309"/>
      <c r="DG23" s="310"/>
      <c r="DH23" s="311"/>
      <c r="DI23" s="311"/>
      <c r="DJ23" s="309"/>
      <c r="DK23" s="310"/>
      <c r="DL23" s="311"/>
      <c r="DM23" s="311"/>
      <c r="DN23" s="309"/>
      <c r="DO23" s="310"/>
      <c r="DP23" s="311"/>
      <c r="DQ23" s="311"/>
      <c r="DR23" s="309"/>
      <c r="DS23" s="310"/>
      <c r="DT23" s="311"/>
      <c r="DU23" s="311"/>
      <c r="DV23" s="309"/>
      <c r="DW23" s="310"/>
      <c r="DX23" s="311"/>
      <c r="DY23" s="311"/>
      <c r="DZ23" s="309"/>
      <c r="EA23" s="310"/>
      <c r="EB23" s="311"/>
      <c r="EC23" s="311"/>
      <c r="ED23" s="309"/>
      <c r="EE23" s="310"/>
      <c r="EF23" s="311"/>
      <c r="EG23" s="311"/>
      <c r="EH23" s="309"/>
      <c r="EI23" s="310"/>
      <c r="EJ23" s="311"/>
      <c r="EK23" s="311"/>
      <c r="EL23" s="309"/>
      <c r="EM23" s="310"/>
      <c r="EN23" s="311"/>
      <c r="EO23" s="311"/>
      <c r="EP23" s="309"/>
      <c r="EQ23" s="310"/>
      <c r="ER23" s="311"/>
      <c r="ES23" s="311"/>
      <c r="ET23" s="309"/>
      <c r="EU23" s="310"/>
      <c r="EV23" s="311"/>
      <c r="EW23" s="311"/>
      <c r="EX23" s="309"/>
      <c r="EY23" s="310"/>
      <c r="EZ23" s="311"/>
      <c r="FA23" s="311"/>
      <c r="FB23" s="309"/>
      <c r="FC23" s="310"/>
      <c r="FD23" s="311"/>
      <c r="FE23" s="311"/>
      <c r="FF23" s="309"/>
      <c r="FG23" s="310"/>
      <c r="FH23" s="311"/>
      <c r="FI23" s="311"/>
      <c r="FJ23" s="309"/>
      <c r="FK23" s="310"/>
      <c r="FL23" s="311"/>
      <c r="FM23" s="311"/>
      <c r="FN23" s="309"/>
      <c r="FO23" s="310"/>
      <c r="FP23" s="311"/>
      <c r="FQ23" s="311"/>
      <c r="FR23" s="309"/>
      <c r="FS23" s="310"/>
      <c r="FT23" s="311"/>
      <c r="FU23" s="311"/>
      <c r="FV23" s="309"/>
      <c r="FW23" s="310"/>
      <c r="FX23" s="311"/>
      <c r="FY23" s="311"/>
      <c r="FZ23" s="309"/>
      <c r="GA23" s="310"/>
      <c r="GB23" s="311"/>
      <c r="GC23" s="311"/>
      <c r="GD23" s="309"/>
      <c r="GE23" s="310"/>
      <c r="GF23" s="311"/>
      <c r="GG23" s="311"/>
      <c r="GH23" s="309"/>
      <c r="GI23" s="310"/>
      <c r="GJ23" s="311"/>
      <c r="GK23" s="311"/>
      <c r="GL23" s="309"/>
      <c r="GM23" s="310"/>
      <c r="GN23" s="311"/>
      <c r="GO23" s="311"/>
      <c r="GP23" s="309"/>
      <c r="GQ23" s="310"/>
      <c r="GR23" s="311"/>
      <c r="GS23" s="311"/>
      <c r="GT23" s="309"/>
      <c r="GU23" s="310"/>
      <c r="GV23" s="311"/>
      <c r="GW23" s="311"/>
      <c r="GX23" s="309"/>
      <c r="GY23" s="310"/>
      <c r="GZ23" s="311"/>
      <c r="HA23" s="311"/>
      <c r="HB23" s="309"/>
      <c r="HC23" s="312">
        <f t="shared" si="66"/>
        <v>0</v>
      </c>
      <c r="HD23" s="313">
        <f t="shared" si="66"/>
        <v>0</v>
      </c>
      <c r="HE23" s="313">
        <f t="shared" si="66"/>
        <v>0</v>
      </c>
      <c r="HF23" s="314"/>
      <c r="HG23" s="312">
        <f>SUM(SUMIFS(K23:HB23,$K$13:$HB$13,{"エネルギー管理指定工場等*","県域*"}))</f>
        <v>0</v>
      </c>
      <c r="HH23" s="313">
        <f>SUM(SUMIFS(L23:HC23,$K$13:$HB$13,{"エネルギー管理指定工場等*","県域*"}))</f>
        <v>0</v>
      </c>
      <c r="HI23" s="313">
        <f>SUM(SUMIFS(M23:HD23,$K$13:$HB$13,{"エネルギー管理指定工場等*","県域*"}))</f>
        <v>0</v>
      </c>
      <c r="HJ23" s="314"/>
      <c r="HL23" s="219">
        <v>14</v>
      </c>
      <c r="HM23" s="714" t="str">
        <f t="shared" ca="1" si="49"/>
        <v/>
      </c>
      <c r="HN23" s="715" t="str">
        <f ca="1">IF(COUNTIF(HN$10:HN22,OFFSET(A1_原単位2026,5,HL23+2))&gt;=1,"",OFFSET(A1_原単位2026,5,HL23+2)&amp;"")</f>
        <v/>
      </c>
      <c r="HO23" s="716" t="str">
        <f t="shared" ca="1" si="50"/>
        <v/>
      </c>
      <c r="HP23" s="717" t="str">
        <f t="shared" ca="1" si="51"/>
        <v/>
      </c>
      <c r="HQ23" s="714" t="str">
        <f t="shared" ca="1" si="52"/>
        <v/>
      </c>
      <c r="HR23" s="715" t="str">
        <f ca="1">IF(COUNTIF(HR$10:HR22,OFFSET(A1_原単位2026,17,HL23+2))&gt;=1,"",OFFSET(A1_原単位2026,17,HL23+2)&amp;"")</f>
        <v/>
      </c>
      <c r="HS23" s="718" t="str">
        <f t="shared" ca="1" si="53"/>
        <v/>
      </c>
      <c r="HT23" s="719" t="str">
        <f t="shared" ca="1" si="54"/>
        <v/>
      </c>
      <c r="HU23" s="714" t="str">
        <f t="shared" ca="1" si="55"/>
        <v/>
      </c>
      <c r="HV23" s="715" t="str">
        <f ca="1">IF(COUNTIF(HV$10:HV22,OFFSET(A1_原単位2026,29,HL23+2))&gt;=1,"",OFFSET(A1_原単位2026,29,HL23+2)&amp;"")</f>
        <v/>
      </c>
      <c r="HW23" s="718" t="str">
        <f t="shared" ca="1" si="56"/>
        <v/>
      </c>
      <c r="HX23" s="719" t="str">
        <f t="shared" ca="1" si="57"/>
        <v/>
      </c>
      <c r="HY23" s="714" t="str">
        <f t="shared" ca="1" si="58"/>
        <v/>
      </c>
      <c r="HZ23" s="715" t="str">
        <f ca="1">IF(COUNTIF(HZ$10:HZ22,OFFSET(A1_原単位2026,41,HL23+2))&gt;=1,"",OFFSET(A1_原単位2026,41,HL23+2)&amp;"")</f>
        <v/>
      </c>
      <c r="IA23" s="720" t="str">
        <f t="shared" ca="1" si="59"/>
        <v/>
      </c>
      <c r="IB23" s="721" t="str">
        <f t="shared" ca="1" si="60"/>
        <v/>
      </c>
      <c r="IE23" s="159" t="str">
        <f t="shared" ca="1" si="61"/>
        <v/>
      </c>
      <c r="IF23" s="159" t="str">
        <f t="shared" ca="1" si="62"/>
        <v/>
      </c>
      <c r="IG23" s="159" t="str">
        <f t="shared" ca="1" si="63"/>
        <v/>
      </c>
      <c r="IH23" s="159" t="str">
        <f t="shared" ca="1" si="64"/>
        <v/>
      </c>
    </row>
    <row r="24" spans="2:242" s="164" customFormat="1" ht="20.100000000000001" customHeight="1">
      <c r="B24" s="302"/>
      <c r="C24" s="303" t="s">
        <v>355</v>
      </c>
      <c r="D24" s="304"/>
      <c r="E24" s="305"/>
      <c r="F24" s="303" t="s">
        <v>453</v>
      </c>
      <c r="G24" s="306">
        <v>38.9</v>
      </c>
      <c r="H24" s="307">
        <v>1.9300000000000001E-2</v>
      </c>
      <c r="I24" s="310"/>
      <c r="J24" s="315"/>
      <c r="K24" s="310"/>
      <c r="L24" s="311"/>
      <c r="M24" s="311"/>
      <c r="N24" s="309"/>
      <c r="O24" s="310"/>
      <c r="P24" s="311"/>
      <c r="Q24" s="311"/>
      <c r="R24" s="309"/>
      <c r="S24" s="310"/>
      <c r="T24" s="311"/>
      <c r="U24" s="311"/>
      <c r="V24" s="309"/>
      <c r="W24" s="310"/>
      <c r="X24" s="311"/>
      <c r="Y24" s="311"/>
      <c r="Z24" s="309"/>
      <c r="AA24" s="310"/>
      <c r="AB24" s="311"/>
      <c r="AC24" s="311"/>
      <c r="AD24" s="309"/>
      <c r="AE24" s="310"/>
      <c r="AF24" s="311"/>
      <c r="AG24" s="311"/>
      <c r="AH24" s="309"/>
      <c r="AI24" s="310"/>
      <c r="AJ24" s="311"/>
      <c r="AK24" s="311"/>
      <c r="AL24" s="309"/>
      <c r="AM24" s="310"/>
      <c r="AN24" s="311"/>
      <c r="AO24" s="311"/>
      <c r="AP24" s="309"/>
      <c r="AQ24" s="310"/>
      <c r="AR24" s="311"/>
      <c r="AS24" s="311"/>
      <c r="AT24" s="309"/>
      <c r="AU24" s="310"/>
      <c r="AV24" s="311"/>
      <c r="AW24" s="311"/>
      <c r="AX24" s="309"/>
      <c r="AY24" s="310"/>
      <c r="AZ24" s="311"/>
      <c r="BA24" s="311"/>
      <c r="BB24" s="309"/>
      <c r="BC24" s="310"/>
      <c r="BD24" s="311"/>
      <c r="BE24" s="311"/>
      <c r="BF24" s="309"/>
      <c r="BG24" s="310"/>
      <c r="BH24" s="311"/>
      <c r="BI24" s="311"/>
      <c r="BJ24" s="309"/>
      <c r="BK24" s="310"/>
      <c r="BL24" s="311"/>
      <c r="BM24" s="311"/>
      <c r="BN24" s="309"/>
      <c r="BO24" s="310"/>
      <c r="BP24" s="311"/>
      <c r="BQ24" s="311"/>
      <c r="BR24" s="309"/>
      <c r="BS24" s="310"/>
      <c r="BT24" s="311"/>
      <c r="BU24" s="311"/>
      <c r="BV24" s="309"/>
      <c r="BW24" s="310"/>
      <c r="BX24" s="311"/>
      <c r="BY24" s="311"/>
      <c r="BZ24" s="309"/>
      <c r="CA24" s="310"/>
      <c r="CB24" s="311"/>
      <c r="CC24" s="311"/>
      <c r="CD24" s="309"/>
      <c r="CE24" s="310"/>
      <c r="CF24" s="311"/>
      <c r="CG24" s="311"/>
      <c r="CH24" s="309"/>
      <c r="CI24" s="310"/>
      <c r="CJ24" s="311"/>
      <c r="CK24" s="311"/>
      <c r="CL24" s="309"/>
      <c r="CM24" s="310"/>
      <c r="CN24" s="311"/>
      <c r="CO24" s="311"/>
      <c r="CP24" s="309"/>
      <c r="CQ24" s="310"/>
      <c r="CR24" s="311"/>
      <c r="CS24" s="311"/>
      <c r="CT24" s="309"/>
      <c r="CU24" s="310"/>
      <c r="CV24" s="311"/>
      <c r="CW24" s="311"/>
      <c r="CX24" s="309"/>
      <c r="CY24" s="310"/>
      <c r="CZ24" s="311"/>
      <c r="DA24" s="311"/>
      <c r="DB24" s="309"/>
      <c r="DC24" s="310"/>
      <c r="DD24" s="311"/>
      <c r="DE24" s="311"/>
      <c r="DF24" s="309"/>
      <c r="DG24" s="310"/>
      <c r="DH24" s="311"/>
      <c r="DI24" s="311"/>
      <c r="DJ24" s="309"/>
      <c r="DK24" s="310"/>
      <c r="DL24" s="311"/>
      <c r="DM24" s="311"/>
      <c r="DN24" s="309"/>
      <c r="DO24" s="310"/>
      <c r="DP24" s="311"/>
      <c r="DQ24" s="311"/>
      <c r="DR24" s="309"/>
      <c r="DS24" s="310"/>
      <c r="DT24" s="311"/>
      <c r="DU24" s="311"/>
      <c r="DV24" s="309"/>
      <c r="DW24" s="310"/>
      <c r="DX24" s="311"/>
      <c r="DY24" s="311"/>
      <c r="DZ24" s="309"/>
      <c r="EA24" s="310"/>
      <c r="EB24" s="311"/>
      <c r="EC24" s="311"/>
      <c r="ED24" s="309"/>
      <c r="EE24" s="310"/>
      <c r="EF24" s="311"/>
      <c r="EG24" s="311"/>
      <c r="EH24" s="309"/>
      <c r="EI24" s="310"/>
      <c r="EJ24" s="311"/>
      <c r="EK24" s="311"/>
      <c r="EL24" s="309"/>
      <c r="EM24" s="310"/>
      <c r="EN24" s="311"/>
      <c r="EO24" s="311"/>
      <c r="EP24" s="309"/>
      <c r="EQ24" s="310"/>
      <c r="ER24" s="311"/>
      <c r="ES24" s="311"/>
      <c r="ET24" s="309"/>
      <c r="EU24" s="310"/>
      <c r="EV24" s="311"/>
      <c r="EW24" s="311"/>
      <c r="EX24" s="309"/>
      <c r="EY24" s="310"/>
      <c r="EZ24" s="311"/>
      <c r="FA24" s="311"/>
      <c r="FB24" s="309"/>
      <c r="FC24" s="310"/>
      <c r="FD24" s="311"/>
      <c r="FE24" s="311"/>
      <c r="FF24" s="309"/>
      <c r="FG24" s="310"/>
      <c r="FH24" s="311"/>
      <c r="FI24" s="311"/>
      <c r="FJ24" s="309"/>
      <c r="FK24" s="310"/>
      <c r="FL24" s="311"/>
      <c r="FM24" s="311"/>
      <c r="FN24" s="309"/>
      <c r="FO24" s="310"/>
      <c r="FP24" s="311"/>
      <c r="FQ24" s="311"/>
      <c r="FR24" s="309"/>
      <c r="FS24" s="310"/>
      <c r="FT24" s="311"/>
      <c r="FU24" s="311"/>
      <c r="FV24" s="309"/>
      <c r="FW24" s="310"/>
      <c r="FX24" s="311"/>
      <c r="FY24" s="311"/>
      <c r="FZ24" s="309"/>
      <c r="GA24" s="310"/>
      <c r="GB24" s="311"/>
      <c r="GC24" s="311"/>
      <c r="GD24" s="309"/>
      <c r="GE24" s="310"/>
      <c r="GF24" s="311"/>
      <c r="GG24" s="311"/>
      <c r="GH24" s="309"/>
      <c r="GI24" s="310"/>
      <c r="GJ24" s="311"/>
      <c r="GK24" s="311"/>
      <c r="GL24" s="309"/>
      <c r="GM24" s="310"/>
      <c r="GN24" s="311"/>
      <c r="GO24" s="311"/>
      <c r="GP24" s="309"/>
      <c r="GQ24" s="310"/>
      <c r="GR24" s="311"/>
      <c r="GS24" s="311"/>
      <c r="GT24" s="309"/>
      <c r="GU24" s="310"/>
      <c r="GV24" s="311"/>
      <c r="GW24" s="311"/>
      <c r="GX24" s="309"/>
      <c r="GY24" s="310"/>
      <c r="GZ24" s="311"/>
      <c r="HA24" s="311"/>
      <c r="HB24" s="309"/>
      <c r="HC24" s="312">
        <f t="shared" si="66"/>
        <v>0</v>
      </c>
      <c r="HD24" s="313">
        <f t="shared" si="66"/>
        <v>0</v>
      </c>
      <c r="HE24" s="313">
        <f t="shared" si="66"/>
        <v>0</v>
      </c>
      <c r="HF24" s="314"/>
      <c r="HG24" s="312">
        <f>SUM(SUMIFS(K24:HB24,$K$13:$HB$13,{"エネルギー管理指定工場等*","県域*"}))</f>
        <v>0</v>
      </c>
      <c r="HH24" s="313">
        <f>SUM(SUMIFS(L24:HC24,$K$13:$HB$13,{"エネルギー管理指定工場等*","県域*"}))</f>
        <v>0</v>
      </c>
      <c r="HI24" s="313">
        <f>SUM(SUMIFS(M24:HD24,$K$13:$HB$13,{"エネルギー管理指定工場等*","県域*"}))</f>
        <v>0</v>
      </c>
      <c r="HJ24" s="314"/>
      <c r="HL24" s="219">
        <v>15</v>
      </c>
      <c r="HM24" s="714" t="str">
        <f t="shared" ca="1" si="49"/>
        <v/>
      </c>
      <c r="HN24" s="715" t="str">
        <f ca="1">IF(COUNTIF(HN$10:HN23,OFFSET(A1_原単位2026,5,HL24+2))&gt;=1,"",OFFSET(A1_原単位2026,5,HL24+2)&amp;"")</f>
        <v/>
      </c>
      <c r="HO24" s="716" t="str">
        <f t="shared" ca="1" si="50"/>
        <v/>
      </c>
      <c r="HP24" s="717" t="str">
        <f t="shared" ca="1" si="51"/>
        <v/>
      </c>
      <c r="HQ24" s="714" t="str">
        <f t="shared" ca="1" si="52"/>
        <v/>
      </c>
      <c r="HR24" s="715" t="str">
        <f ca="1">IF(COUNTIF(HR$10:HR23,OFFSET(A1_原単位2026,17,HL24+2))&gt;=1,"",OFFSET(A1_原単位2026,17,HL24+2)&amp;"")</f>
        <v/>
      </c>
      <c r="HS24" s="718" t="str">
        <f t="shared" ca="1" si="53"/>
        <v/>
      </c>
      <c r="HT24" s="719" t="str">
        <f t="shared" ca="1" si="54"/>
        <v/>
      </c>
      <c r="HU24" s="714" t="str">
        <f t="shared" ca="1" si="55"/>
        <v/>
      </c>
      <c r="HV24" s="715" t="str">
        <f ca="1">IF(COUNTIF(HV$10:HV23,OFFSET(A1_原単位2026,29,HL24+2))&gt;=1,"",OFFSET(A1_原単位2026,29,HL24+2)&amp;"")</f>
        <v/>
      </c>
      <c r="HW24" s="718" t="str">
        <f t="shared" ca="1" si="56"/>
        <v/>
      </c>
      <c r="HX24" s="719" t="str">
        <f t="shared" ca="1" si="57"/>
        <v/>
      </c>
      <c r="HY24" s="714" t="str">
        <f t="shared" ca="1" si="58"/>
        <v/>
      </c>
      <c r="HZ24" s="715" t="str">
        <f ca="1">IF(COUNTIF(HZ$10:HZ23,OFFSET(A1_原単位2026,41,HL24+2))&gt;=1,"",OFFSET(A1_原単位2026,41,HL24+2)&amp;"")</f>
        <v/>
      </c>
      <c r="IA24" s="720" t="str">
        <f t="shared" ca="1" si="59"/>
        <v/>
      </c>
      <c r="IB24" s="721" t="str">
        <f t="shared" ca="1" si="60"/>
        <v/>
      </c>
      <c r="IE24" s="159" t="str">
        <f t="shared" ca="1" si="61"/>
        <v/>
      </c>
      <c r="IF24" s="159" t="str">
        <f t="shared" ca="1" si="62"/>
        <v/>
      </c>
      <c r="IG24" s="159" t="str">
        <f t="shared" ca="1" si="63"/>
        <v/>
      </c>
      <c r="IH24" s="159" t="str">
        <f t="shared" ca="1" si="64"/>
        <v/>
      </c>
    </row>
    <row r="25" spans="2:242" s="164" customFormat="1" ht="20.100000000000001" customHeight="1">
      <c r="B25" s="302"/>
      <c r="C25" s="303" t="s">
        <v>356</v>
      </c>
      <c r="D25" s="304"/>
      <c r="E25" s="305"/>
      <c r="F25" s="303" t="s">
        <v>453</v>
      </c>
      <c r="G25" s="306">
        <v>41.8</v>
      </c>
      <c r="H25" s="307">
        <v>2.0199999999999999E-2</v>
      </c>
      <c r="I25" s="310"/>
      <c r="J25" s="315"/>
      <c r="K25" s="310"/>
      <c r="L25" s="311"/>
      <c r="M25" s="311"/>
      <c r="N25" s="309"/>
      <c r="O25" s="310"/>
      <c r="P25" s="311"/>
      <c r="Q25" s="311"/>
      <c r="R25" s="309"/>
      <c r="S25" s="310"/>
      <c r="T25" s="311"/>
      <c r="U25" s="311"/>
      <c r="V25" s="309"/>
      <c r="W25" s="310"/>
      <c r="X25" s="311"/>
      <c r="Y25" s="311"/>
      <c r="Z25" s="309"/>
      <c r="AA25" s="310"/>
      <c r="AB25" s="311"/>
      <c r="AC25" s="311"/>
      <c r="AD25" s="309"/>
      <c r="AE25" s="310"/>
      <c r="AF25" s="311"/>
      <c r="AG25" s="311"/>
      <c r="AH25" s="309"/>
      <c r="AI25" s="310"/>
      <c r="AJ25" s="311"/>
      <c r="AK25" s="311"/>
      <c r="AL25" s="309"/>
      <c r="AM25" s="310"/>
      <c r="AN25" s="311"/>
      <c r="AO25" s="311"/>
      <c r="AP25" s="309"/>
      <c r="AQ25" s="310"/>
      <c r="AR25" s="311"/>
      <c r="AS25" s="311"/>
      <c r="AT25" s="309"/>
      <c r="AU25" s="310"/>
      <c r="AV25" s="311"/>
      <c r="AW25" s="311"/>
      <c r="AX25" s="309"/>
      <c r="AY25" s="310"/>
      <c r="AZ25" s="311"/>
      <c r="BA25" s="311"/>
      <c r="BB25" s="309"/>
      <c r="BC25" s="310"/>
      <c r="BD25" s="311"/>
      <c r="BE25" s="311"/>
      <c r="BF25" s="309"/>
      <c r="BG25" s="310"/>
      <c r="BH25" s="311"/>
      <c r="BI25" s="311"/>
      <c r="BJ25" s="309"/>
      <c r="BK25" s="310"/>
      <c r="BL25" s="311"/>
      <c r="BM25" s="311"/>
      <c r="BN25" s="309"/>
      <c r="BO25" s="310"/>
      <c r="BP25" s="311"/>
      <c r="BQ25" s="311"/>
      <c r="BR25" s="309"/>
      <c r="BS25" s="310"/>
      <c r="BT25" s="311"/>
      <c r="BU25" s="311"/>
      <c r="BV25" s="309"/>
      <c r="BW25" s="310"/>
      <c r="BX25" s="311"/>
      <c r="BY25" s="311"/>
      <c r="BZ25" s="309"/>
      <c r="CA25" s="310"/>
      <c r="CB25" s="311"/>
      <c r="CC25" s="311"/>
      <c r="CD25" s="309"/>
      <c r="CE25" s="310"/>
      <c r="CF25" s="311"/>
      <c r="CG25" s="311"/>
      <c r="CH25" s="309"/>
      <c r="CI25" s="310"/>
      <c r="CJ25" s="311"/>
      <c r="CK25" s="311"/>
      <c r="CL25" s="309"/>
      <c r="CM25" s="310"/>
      <c r="CN25" s="311"/>
      <c r="CO25" s="311"/>
      <c r="CP25" s="309"/>
      <c r="CQ25" s="310"/>
      <c r="CR25" s="311"/>
      <c r="CS25" s="311"/>
      <c r="CT25" s="309"/>
      <c r="CU25" s="310"/>
      <c r="CV25" s="311"/>
      <c r="CW25" s="311"/>
      <c r="CX25" s="309"/>
      <c r="CY25" s="310"/>
      <c r="CZ25" s="311"/>
      <c r="DA25" s="311"/>
      <c r="DB25" s="309"/>
      <c r="DC25" s="310"/>
      <c r="DD25" s="311"/>
      <c r="DE25" s="311"/>
      <c r="DF25" s="309"/>
      <c r="DG25" s="310"/>
      <c r="DH25" s="311"/>
      <c r="DI25" s="311"/>
      <c r="DJ25" s="309"/>
      <c r="DK25" s="310"/>
      <c r="DL25" s="311"/>
      <c r="DM25" s="311"/>
      <c r="DN25" s="309"/>
      <c r="DO25" s="310"/>
      <c r="DP25" s="311"/>
      <c r="DQ25" s="311"/>
      <c r="DR25" s="309"/>
      <c r="DS25" s="310"/>
      <c r="DT25" s="311"/>
      <c r="DU25" s="311"/>
      <c r="DV25" s="309"/>
      <c r="DW25" s="310"/>
      <c r="DX25" s="311"/>
      <c r="DY25" s="311"/>
      <c r="DZ25" s="309"/>
      <c r="EA25" s="310"/>
      <c r="EB25" s="311"/>
      <c r="EC25" s="311"/>
      <c r="ED25" s="309"/>
      <c r="EE25" s="310"/>
      <c r="EF25" s="311"/>
      <c r="EG25" s="311"/>
      <c r="EH25" s="309"/>
      <c r="EI25" s="310"/>
      <c r="EJ25" s="311"/>
      <c r="EK25" s="311"/>
      <c r="EL25" s="309"/>
      <c r="EM25" s="310"/>
      <c r="EN25" s="311"/>
      <c r="EO25" s="311"/>
      <c r="EP25" s="309"/>
      <c r="EQ25" s="310"/>
      <c r="ER25" s="311"/>
      <c r="ES25" s="311"/>
      <c r="ET25" s="309"/>
      <c r="EU25" s="310"/>
      <c r="EV25" s="311"/>
      <c r="EW25" s="311"/>
      <c r="EX25" s="309"/>
      <c r="EY25" s="310"/>
      <c r="EZ25" s="311"/>
      <c r="FA25" s="311"/>
      <c r="FB25" s="309"/>
      <c r="FC25" s="310"/>
      <c r="FD25" s="311"/>
      <c r="FE25" s="311"/>
      <c r="FF25" s="309"/>
      <c r="FG25" s="310"/>
      <c r="FH25" s="311"/>
      <c r="FI25" s="311"/>
      <c r="FJ25" s="309"/>
      <c r="FK25" s="310"/>
      <c r="FL25" s="311"/>
      <c r="FM25" s="311"/>
      <c r="FN25" s="309"/>
      <c r="FO25" s="310"/>
      <c r="FP25" s="311"/>
      <c r="FQ25" s="311"/>
      <c r="FR25" s="309"/>
      <c r="FS25" s="310"/>
      <c r="FT25" s="311"/>
      <c r="FU25" s="311"/>
      <c r="FV25" s="309"/>
      <c r="FW25" s="310"/>
      <c r="FX25" s="311"/>
      <c r="FY25" s="311"/>
      <c r="FZ25" s="309"/>
      <c r="GA25" s="310"/>
      <c r="GB25" s="311"/>
      <c r="GC25" s="311"/>
      <c r="GD25" s="309"/>
      <c r="GE25" s="310"/>
      <c r="GF25" s="311"/>
      <c r="GG25" s="311"/>
      <c r="GH25" s="309"/>
      <c r="GI25" s="310"/>
      <c r="GJ25" s="311"/>
      <c r="GK25" s="311"/>
      <c r="GL25" s="309"/>
      <c r="GM25" s="310"/>
      <c r="GN25" s="311"/>
      <c r="GO25" s="311"/>
      <c r="GP25" s="309"/>
      <c r="GQ25" s="310"/>
      <c r="GR25" s="311"/>
      <c r="GS25" s="311"/>
      <c r="GT25" s="309"/>
      <c r="GU25" s="310"/>
      <c r="GV25" s="311"/>
      <c r="GW25" s="311"/>
      <c r="GX25" s="309"/>
      <c r="GY25" s="310"/>
      <c r="GZ25" s="311"/>
      <c r="HA25" s="311"/>
      <c r="HB25" s="309"/>
      <c r="HC25" s="312">
        <f t="shared" si="66"/>
        <v>0</v>
      </c>
      <c r="HD25" s="313">
        <f t="shared" si="66"/>
        <v>0</v>
      </c>
      <c r="HE25" s="313">
        <f t="shared" si="66"/>
        <v>0</v>
      </c>
      <c r="HF25" s="314"/>
      <c r="HG25" s="312">
        <f>SUM(SUMIFS(K25:HB25,$K$13:$HB$13,{"エネルギー管理指定工場等*","県域*"}))</f>
        <v>0</v>
      </c>
      <c r="HH25" s="313">
        <f>SUM(SUMIFS(L25:HC25,$K$13:$HB$13,{"エネルギー管理指定工場等*","県域*"}))</f>
        <v>0</v>
      </c>
      <c r="HI25" s="313">
        <f>SUM(SUMIFS(M25:HD25,$K$13:$HB$13,{"エネルギー管理指定工場等*","県域*"}))</f>
        <v>0</v>
      </c>
      <c r="HJ25" s="314"/>
      <c r="HL25" s="230">
        <v>16</v>
      </c>
      <c r="HM25" s="714" t="str">
        <f t="shared" ca="1" si="49"/>
        <v/>
      </c>
      <c r="HN25" s="715" t="str">
        <f ca="1">IF(COUNTIF(HN$10:HN24,OFFSET(A1_原単位2026,5,HL25+2))&gt;=1,"",OFFSET(A1_原単位2026,5,HL25+2)&amp;"")</f>
        <v/>
      </c>
      <c r="HO25" s="716" t="str">
        <f t="shared" ca="1" si="50"/>
        <v/>
      </c>
      <c r="HP25" s="717" t="str">
        <f t="shared" ca="1" si="51"/>
        <v/>
      </c>
      <c r="HQ25" s="714" t="str">
        <f t="shared" ca="1" si="52"/>
        <v/>
      </c>
      <c r="HR25" s="715" t="str">
        <f ca="1">IF(COUNTIF(HR$10:HR24,OFFSET(A1_原単位2026,17,HL25+2))&gt;=1,"",OFFSET(A1_原単位2026,17,HL25+2)&amp;"")</f>
        <v/>
      </c>
      <c r="HS25" s="718" t="str">
        <f t="shared" ca="1" si="53"/>
        <v/>
      </c>
      <c r="HT25" s="719" t="str">
        <f t="shared" ca="1" si="54"/>
        <v/>
      </c>
      <c r="HU25" s="714" t="str">
        <f t="shared" ca="1" si="55"/>
        <v/>
      </c>
      <c r="HV25" s="715" t="str">
        <f ca="1">IF(COUNTIF(HV$10:HV24,OFFSET(A1_原単位2026,29,HL25+2))&gt;=1,"",OFFSET(A1_原単位2026,29,HL25+2)&amp;"")</f>
        <v/>
      </c>
      <c r="HW25" s="718" t="str">
        <f t="shared" ca="1" si="56"/>
        <v/>
      </c>
      <c r="HX25" s="719" t="str">
        <f t="shared" ca="1" si="57"/>
        <v/>
      </c>
      <c r="HY25" s="714" t="str">
        <f t="shared" ca="1" si="58"/>
        <v/>
      </c>
      <c r="HZ25" s="715" t="str">
        <f ca="1">IF(COUNTIF(HZ$10:HZ24,OFFSET(A1_原単位2026,41,HL25+2))&gt;=1,"",OFFSET(A1_原単位2026,41,HL25+2)&amp;"")</f>
        <v/>
      </c>
      <c r="IA25" s="720" t="str">
        <f t="shared" ca="1" si="59"/>
        <v/>
      </c>
      <c r="IB25" s="721" t="str">
        <f t="shared" ca="1" si="60"/>
        <v/>
      </c>
      <c r="IE25" s="159" t="str">
        <f t="shared" ca="1" si="61"/>
        <v/>
      </c>
      <c r="IF25" s="159" t="str">
        <f t="shared" ca="1" si="62"/>
        <v/>
      </c>
      <c r="IG25" s="159" t="str">
        <f t="shared" ca="1" si="63"/>
        <v/>
      </c>
      <c r="IH25" s="159" t="str">
        <f t="shared" ca="1" si="64"/>
        <v/>
      </c>
    </row>
    <row r="26" spans="2:242" s="164" customFormat="1" ht="20.100000000000001" customHeight="1">
      <c r="B26" s="302"/>
      <c r="C26" s="303" t="s">
        <v>358</v>
      </c>
      <c r="D26" s="304"/>
      <c r="E26" s="305"/>
      <c r="F26" s="303" t="s">
        <v>455</v>
      </c>
      <c r="G26" s="316">
        <v>40</v>
      </c>
      <c r="H26" s="307">
        <v>2.0400000000000001E-2</v>
      </c>
      <c r="I26" s="308"/>
      <c r="J26" s="309"/>
      <c r="K26" s="310"/>
      <c r="L26" s="311"/>
      <c r="M26" s="311"/>
      <c r="N26" s="309"/>
      <c r="O26" s="310"/>
      <c r="P26" s="311"/>
      <c r="Q26" s="311"/>
      <c r="R26" s="309"/>
      <c r="S26" s="310"/>
      <c r="T26" s="311"/>
      <c r="U26" s="311"/>
      <c r="V26" s="309"/>
      <c r="W26" s="310"/>
      <c r="X26" s="311"/>
      <c r="Y26" s="311"/>
      <c r="Z26" s="309"/>
      <c r="AA26" s="310"/>
      <c r="AB26" s="311"/>
      <c r="AC26" s="311"/>
      <c r="AD26" s="309"/>
      <c r="AE26" s="310"/>
      <c r="AF26" s="311"/>
      <c r="AG26" s="311"/>
      <c r="AH26" s="309"/>
      <c r="AI26" s="310"/>
      <c r="AJ26" s="311"/>
      <c r="AK26" s="311"/>
      <c r="AL26" s="309"/>
      <c r="AM26" s="310"/>
      <c r="AN26" s="311"/>
      <c r="AO26" s="311"/>
      <c r="AP26" s="309"/>
      <c r="AQ26" s="310"/>
      <c r="AR26" s="311"/>
      <c r="AS26" s="311"/>
      <c r="AT26" s="309"/>
      <c r="AU26" s="310"/>
      <c r="AV26" s="311"/>
      <c r="AW26" s="311"/>
      <c r="AX26" s="309"/>
      <c r="AY26" s="310"/>
      <c r="AZ26" s="311"/>
      <c r="BA26" s="311"/>
      <c r="BB26" s="309"/>
      <c r="BC26" s="310"/>
      <c r="BD26" s="311"/>
      <c r="BE26" s="311"/>
      <c r="BF26" s="309"/>
      <c r="BG26" s="310"/>
      <c r="BH26" s="311"/>
      <c r="BI26" s="311"/>
      <c r="BJ26" s="309"/>
      <c r="BK26" s="310"/>
      <c r="BL26" s="311"/>
      <c r="BM26" s="311"/>
      <c r="BN26" s="309"/>
      <c r="BO26" s="310"/>
      <c r="BP26" s="311"/>
      <c r="BQ26" s="311"/>
      <c r="BR26" s="309"/>
      <c r="BS26" s="310"/>
      <c r="BT26" s="311"/>
      <c r="BU26" s="311"/>
      <c r="BV26" s="309"/>
      <c r="BW26" s="310"/>
      <c r="BX26" s="311"/>
      <c r="BY26" s="311"/>
      <c r="BZ26" s="309"/>
      <c r="CA26" s="310"/>
      <c r="CB26" s="311"/>
      <c r="CC26" s="311"/>
      <c r="CD26" s="309"/>
      <c r="CE26" s="310"/>
      <c r="CF26" s="311"/>
      <c r="CG26" s="311"/>
      <c r="CH26" s="309"/>
      <c r="CI26" s="310"/>
      <c r="CJ26" s="311"/>
      <c r="CK26" s="311"/>
      <c r="CL26" s="309"/>
      <c r="CM26" s="310"/>
      <c r="CN26" s="311"/>
      <c r="CO26" s="311"/>
      <c r="CP26" s="309"/>
      <c r="CQ26" s="310"/>
      <c r="CR26" s="311"/>
      <c r="CS26" s="311"/>
      <c r="CT26" s="309"/>
      <c r="CU26" s="310"/>
      <c r="CV26" s="311"/>
      <c r="CW26" s="311"/>
      <c r="CX26" s="309"/>
      <c r="CY26" s="310"/>
      <c r="CZ26" s="311"/>
      <c r="DA26" s="311"/>
      <c r="DB26" s="309"/>
      <c r="DC26" s="310"/>
      <c r="DD26" s="311"/>
      <c r="DE26" s="311"/>
      <c r="DF26" s="309"/>
      <c r="DG26" s="310"/>
      <c r="DH26" s="311"/>
      <c r="DI26" s="311"/>
      <c r="DJ26" s="309"/>
      <c r="DK26" s="310"/>
      <c r="DL26" s="311"/>
      <c r="DM26" s="311"/>
      <c r="DN26" s="309"/>
      <c r="DO26" s="310"/>
      <c r="DP26" s="311"/>
      <c r="DQ26" s="311"/>
      <c r="DR26" s="309"/>
      <c r="DS26" s="310"/>
      <c r="DT26" s="311"/>
      <c r="DU26" s="311"/>
      <c r="DV26" s="309"/>
      <c r="DW26" s="310"/>
      <c r="DX26" s="311"/>
      <c r="DY26" s="311"/>
      <c r="DZ26" s="309"/>
      <c r="EA26" s="310"/>
      <c r="EB26" s="311"/>
      <c r="EC26" s="311"/>
      <c r="ED26" s="309"/>
      <c r="EE26" s="310"/>
      <c r="EF26" s="311"/>
      <c r="EG26" s="311"/>
      <c r="EH26" s="309"/>
      <c r="EI26" s="310"/>
      <c r="EJ26" s="311"/>
      <c r="EK26" s="311"/>
      <c r="EL26" s="309"/>
      <c r="EM26" s="310"/>
      <c r="EN26" s="311"/>
      <c r="EO26" s="311"/>
      <c r="EP26" s="309"/>
      <c r="EQ26" s="310"/>
      <c r="ER26" s="311"/>
      <c r="ES26" s="311"/>
      <c r="ET26" s="309"/>
      <c r="EU26" s="310"/>
      <c r="EV26" s="311"/>
      <c r="EW26" s="311"/>
      <c r="EX26" s="309"/>
      <c r="EY26" s="310"/>
      <c r="EZ26" s="311"/>
      <c r="FA26" s="311"/>
      <c r="FB26" s="309"/>
      <c r="FC26" s="310"/>
      <c r="FD26" s="311"/>
      <c r="FE26" s="311"/>
      <c r="FF26" s="309"/>
      <c r="FG26" s="310"/>
      <c r="FH26" s="311"/>
      <c r="FI26" s="311"/>
      <c r="FJ26" s="309"/>
      <c r="FK26" s="310"/>
      <c r="FL26" s="311"/>
      <c r="FM26" s="311"/>
      <c r="FN26" s="309"/>
      <c r="FO26" s="310"/>
      <c r="FP26" s="311"/>
      <c r="FQ26" s="311"/>
      <c r="FR26" s="309"/>
      <c r="FS26" s="310"/>
      <c r="FT26" s="311"/>
      <c r="FU26" s="311"/>
      <c r="FV26" s="309"/>
      <c r="FW26" s="310"/>
      <c r="FX26" s="311"/>
      <c r="FY26" s="311"/>
      <c r="FZ26" s="309"/>
      <c r="GA26" s="310"/>
      <c r="GB26" s="311"/>
      <c r="GC26" s="311"/>
      <c r="GD26" s="309"/>
      <c r="GE26" s="310"/>
      <c r="GF26" s="311"/>
      <c r="GG26" s="311"/>
      <c r="GH26" s="309"/>
      <c r="GI26" s="310"/>
      <c r="GJ26" s="311"/>
      <c r="GK26" s="311"/>
      <c r="GL26" s="309"/>
      <c r="GM26" s="310"/>
      <c r="GN26" s="311"/>
      <c r="GO26" s="311"/>
      <c r="GP26" s="309"/>
      <c r="GQ26" s="310"/>
      <c r="GR26" s="311"/>
      <c r="GS26" s="311"/>
      <c r="GT26" s="309"/>
      <c r="GU26" s="310"/>
      <c r="GV26" s="311"/>
      <c r="GW26" s="311"/>
      <c r="GX26" s="309"/>
      <c r="GY26" s="310"/>
      <c r="GZ26" s="311"/>
      <c r="HA26" s="311"/>
      <c r="HB26" s="309"/>
      <c r="HC26" s="312">
        <f t="shared" si="66"/>
        <v>0</v>
      </c>
      <c r="HD26" s="313">
        <f t="shared" si="66"/>
        <v>0</v>
      </c>
      <c r="HE26" s="313">
        <f t="shared" si="66"/>
        <v>0</v>
      </c>
      <c r="HF26" s="314"/>
      <c r="HG26" s="312">
        <f>SUM(SUMIFS(K26:HB26,$K$13:$HB$13,{"エネルギー管理指定工場等*","県域*"}))</f>
        <v>0</v>
      </c>
      <c r="HH26" s="313">
        <f>SUM(SUMIFS(L26:HC26,$K$13:$HB$13,{"エネルギー管理指定工場等*","県域*"}))</f>
        <v>0</v>
      </c>
      <c r="HI26" s="313">
        <f>SUM(SUMIFS(M26:HD26,$K$13:$HB$13,{"エネルギー管理指定工場等*","県域*"}))</f>
        <v>0</v>
      </c>
      <c r="HJ26" s="314"/>
      <c r="HL26" s="219">
        <v>17</v>
      </c>
      <c r="HM26" s="714" t="str">
        <f t="shared" ca="1" si="49"/>
        <v/>
      </c>
      <c r="HN26" s="715" t="str">
        <f ca="1">IF(COUNTIF(HN$10:HN25,OFFSET(A1_原単位2026,5,HL26+2))&gt;=1,"",OFFSET(A1_原単位2026,5,HL26+2)&amp;"")</f>
        <v/>
      </c>
      <c r="HO26" s="716" t="str">
        <f t="shared" ca="1" si="50"/>
        <v/>
      </c>
      <c r="HP26" s="717" t="str">
        <f t="shared" ca="1" si="51"/>
        <v/>
      </c>
      <c r="HQ26" s="714" t="str">
        <f t="shared" ca="1" si="52"/>
        <v/>
      </c>
      <c r="HR26" s="715" t="str">
        <f ca="1">IF(COUNTIF(HR$10:HR25,OFFSET(A1_原単位2026,17,HL26+2))&gt;=1,"",OFFSET(A1_原単位2026,17,HL26+2)&amp;"")</f>
        <v/>
      </c>
      <c r="HS26" s="718" t="str">
        <f t="shared" ca="1" si="53"/>
        <v/>
      </c>
      <c r="HT26" s="719" t="str">
        <f t="shared" ca="1" si="54"/>
        <v/>
      </c>
      <c r="HU26" s="714" t="str">
        <f t="shared" ca="1" si="55"/>
        <v/>
      </c>
      <c r="HV26" s="715" t="str">
        <f ca="1">IF(COUNTIF(HV$10:HV25,OFFSET(A1_原単位2026,29,HL26+2))&gt;=1,"",OFFSET(A1_原単位2026,29,HL26+2)&amp;"")</f>
        <v/>
      </c>
      <c r="HW26" s="718" t="str">
        <f t="shared" ca="1" si="56"/>
        <v/>
      </c>
      <c r="HX26" s="719" t="str">
        <f t="shared" ca="1" si="57"/>
        <v/>
      </c>
      <c r="HY26" s="714" t="str">
        <f t="shared" ca="1" si="58"/>
        <v/>
      </c>
      <c r="HZ26" s="715" t="str">
        <f ca="1">IF(COUNTIF(HZ$10:HZ25,OFFSET(A1_原単位2026,41,HL26+2))&gt;=1,"",OFFSET(A1_原単位2026,41,HL26+2)&amp;"")</f>
        <v/>
      </c>
      <c r="IA26" s="720" t="str">
        <f t="shared" ca="1" si="59"/>
        <v/>
      </c>
      <c r="IB26" s="721" t="str">
        <f t="shared" ca="1" si="60"/>
        <v/>
      </c>
      <c r="IE26" s="159" t="str">
        <f t="shared" ca="1" si="61"/>
        <v/>
      </c>
      <c r="IF26" s="159" t="str">
        <f t="shared" ca="1" si="62"/>
        <v/>
      </c>
      <c r="IG26" s="159" t="str">
        <f t="shared" ca="1" si="63"/>
        <v/>
      </c>
      <c r="IH26" s="159" t="str">
        <f t="shared" ca="1" si="64"/>
        <v/>
      </c>
    </row>
    <row r="27" spans="2:242" s="164" customFormat="1" ht="20.100000000000001" customHeight="1">
      <c r="B27" s="302"/>
      <c r="C27" s="303" t="s">
        <v>359</v>
      </c>
      <c r="D27" s="304"/>
      <c r="E27" s="305"/>
      <c r="F27" s="303" t="s">
        <v>455</v>
      </c>
      <c r="G27" s="306">
        <v>34.1</v>
      </c>
      <c r="H27" s="307">
        <v>2.5399999999999999E-2</v>
      </c>
      <c r="I27" s="308"/>
      <c r="J27" s="309"/>
      <c r="K27" s="310"/>
      <c r="L27" s="311"/>
      <c r="M27" s="311"/>
      <c r="N27" s="309"/>
      <c r="O27" s="310"/>
      <c r="P27" s="311"/>
      <c r="Q27" s="311"/>
      <c r="R27" s="309"/>
      <c r="S27" s="310"/>
      <c r="T27" s="311"/>
      <c r="U27" s="311"/>
      <c r="V27" s="309"/>
      <c r="W27" s="310"/>
      <c r="X27" s="311"/>
      <c r="Y27" s="311"/>
      <c r="Z27" s="309"/>
      <c r="AA27" s="310"/>
      <c r="AB27" s="311"/>
      <c r="AC27" s="311"/>
      <c r="AD27" s="309"/>
      <c r="AE27" s="310"/>
      <c r="AF27" s="311"/>
      <c r="AG27" s="311"/>
      <c r="AH27" s="309"/>
      <c r="AI27" s="310"/>
      <c r="AJ27" s="311"/>
      <c r="AK27" s="311"/>
      <c r="AL27" s="309"/>
      <c r="AM27" s="310"/>
      <c r="AN27" s="311"/>
      <c r="AO27" s="311"/>
      <c r="AP27" s="309"/>
      <c r="AQ27" s="310"/>
      <c r="AR27" s="311"/>
      <c r="AS27" s="311"/>
      <c r="AT27" s="309"/>
      <c r="AU27" s="310"/>
      <c r="AV27" s="311"/>
      <c r="AW27" s="311"/>
      <c r="AX27" s="309"/>
      <c r="AY27" s="310"/>
      <c r="AZ27" s="311"/>
      <c r="BA27" s="311"/>
      <c r="BB27" s="309"/>
      <c r="BC27" s="310"/>
      <c r="BD27" s="311"/>
      <c r="BE27" s="311"/>
      <c r="BF27" s="309"/>
      <c r="BG27" s="310"/>
      <c r="BH27" s="311"/>
      <c r="BI27" s="311"/>
      <c r="BJ27" s="309"/>
      <c r="BK27" s="310"/>
      <c r="BL27" s="311"/>
      <c r="BM27" s="311"/>
      <c r="BN27" s="309"/>
      <c r="BO27" s="310"/>
      <c r="BP27" s="311"/>
      <c r="BQ27" s="311"/>
      <c r="BR27" s="309"/>
      <c r="BS27" s="310"/>
      <c r="BT27" s="311"/>
      <c r="BU27" s="311"/>
      <c r="BV27" s="309"/>
      <c r="BW27" s="310"/>
      <c r="BX27" s="311"/>
      <c r="BY27" s="311"/>
      <c r="BZ27" s="309"/>
      <c r="CA27" s="310"/>
      <c r="CB27" s="311"/>
      <c r="CC27" s="311"/>
      <c r="CD27" s="309"/>
      <c r="CE27" s="310"/>
      <c r="CF27" s="311"/>
      <c r="CG27" s="311"/>
      <c r="CH27" s="309"/>
      <c r="CI27" s="310"/>
      <c r="CJ27" s="311"/>
      <c r="CK27" s="311"/>
      <c r="CL27" s="309"/>
      <c r="CM27" s="310"/>
      <c r="CN27" s="311"/>
      <c r="CO27" s="311"/>
      <c r="CP27" s="309"/>
      <c r="CQ27" s="310"/>
      <c r="CR27" s="311"/>
      <c r="CS27" s="311"/>
      <c r="CT27" s="309"/>
      <c r="CU27" s="310"/>
      <c r="CV27" s="311"/>
      <c r="CW27" s="311"/>
      <c r="CX27" s="309"/>
      <c r="CY27" s="310"/>
      <c r="CZ27" s="311"/>
      <c r="DA27" s="311"/>
      <c r="DB27" s="309"/>
      <c r="DC27" s="310"/>
      <c r="DD27" s="311"/>
      <c r="DE27" s="311"/>
      <c r="DF27" s="309"/>
      <c r="DG27" s="310"/>
      <c r="DH27" s="311"/>
      <c r="DI27" s="311"/>
      <c r="DJ27" s="309"/>
      <c r="DK27" s="310"/>
      <c r="DL27" s="311"/>
      <c r="DM27" s="311"/>
      <c r="DN27" s="309"/>
      <c r="DO27" s="310"/>
      <c r="DP27" s="311"/>
      <c r="DQ27" s="311"/>
      <c r="DR27" s="309"/>
      <c r="DS27" s="310"/>
      <c r="DT27" s="311"/>
      <c r="DU27" s="311"/>
      <c r="DV27" s="309"/>
      <c r="DW27" s="310"/>
      <c r="DX27" s="311"/>
      <c r="DY27" s="311"/>
      <c r="DZ27" s="309"/>
      <c r="EA27" s="310"/>
      <c r="EB27" s="311"/>
      <c r="EC27" s="311"/>
      <c r="ED27" s="309"/>
      <c r="EE27" s="310"/>
      <c r="EF27" s="311"/>
      <c r="EG27" s="311"/>
      <c r="EH27" s="309"/>
      <c r="EI27" s="310"/>
      <c r="EJ27" s="311"/>
      <c r="EK27" s="311"/>
      <c r="EL27" s="309"/>
      <c r="EM27" s="310"/>
      <c r="EN27" s="311"/>
      <c r="EO27" s="311"/>
      <c r="EP27" s="309"/>
      <c r="EQ27" s="310"/>
      <c r="ER27" s="311"/>
      <c r="ES27" s="311"/>
      <c r="ET27" s="309"/>
      <c r="EU27" s="310"/>
      <c r="EV27" s="311"/>
      <c r="EW27" s="311"/>
      <c r="EX27" s="309"/>
      <c r="EY27" s="310"/>
      <c r="EZ27" s="311"/>
      <c r="FA27" s="311"/>
      <c r="FB27" s="309"/>
      <c r="FC27" s="310"/>
      <c r="FD27" s="311"/>
      <c r="FE27" s="311"/>
      <c r="FF27" s="309"/>
      <c r="FG27" s="310"/>
      <c r="FH27" s="311"/>
      <c r="FI27" s="311"/>
      <c r="FJ27" s="309"/>
      <c r="FK27" s="310"/>
      <c r="FL27" s="311"/>
      <c r="FM27" s="311"/>
      <c r="FN27" s="309"/>
      <c r="FO27" s="310"/>
      <c r="FP27" s="311"/>
      <c r="FQ27" s="311"/>
      <c r="FR27" s="309"/>
      <c r="FS27" s="310"/>
      <c r="FT27" s="311"/>
      <c r="FU27" s="311"/>
      <c r="FV27" s="309"/>
      <c r="FW27" s="310"/>
      <c r="FX27" s="311"/>
      <c r="FY27" s="311"/>
      <c r="FZ27" s="309"/>
      <c r="GA27" s="310"/>
      <c r="GB27" s="311"/>
      <c r="GC27" s="311"/>
      <c r="GD27" s="309"/>
      <c r="GE27" s="310"/>
      <c r="GF27" s="311"/>
      <c r="GG27" s="311"/>
      <c r="GH27" s="309"/>
      <c r="GI27" s="310"/>
      <c r="GJ27" s="311"/>
      <c r="GK27" s="311"/>
      <c r="GL27" s="309"/>
      <c r="GM27" s="310"/>
      <c r="GN27" s="311"/>
      <c r="GO27" s="311"/>
      <c r="GP27" s="309"/>
      <c r="GQ27" s="310"/>
      <c r="GR27" s="311"/>
      <c r="GS27" s="311"/>
      <c r="GT27" s="309"/>
      <c r="GU27" s="310"/>
      <c r="GV27" s="311"/>
      <c r="GW27" s="311"/>
      <c r="GX27" s="309"/>
      <c r="GY27" s="310"/>
      <c r="GZ27" s="311"/>
      <c r="HA27" s="311"/>
      <c r="HB27" s="309"/>
      <c r="HC27" s="312">
        <f t="shared" si="66"/>
        <v>0</v>
      </c>
      <c r="HD27" s="313">
        <f t="shared" si="66"/>
        <v>0</v>
      </c>
      <c r="HE27" s="313">
        <f t="shared" si="66"/>
        <v>0</v>
      </c>
      <c r="HF27" s="314"/>
      <c r="HG27" s="312">
        <f>SUM(SUMIFS(K27:HB27,$K$13:$HB$13,{"エネルギー管理指定工場等*","県域*"}))</f>
        <v>0</v>
      </c>
      <c r="HH27" s="313">
        <f>SUM(SUMIFS(L27:HC27,$K$13:$HB$13,{"エネルギー管理指定工場等*","県域*"}))</f>
        <v>0</v>
      </c>
      <c r="HI27" s="313">
        <f>SUM(SUMIFS(M27:HD27,$K$13:$HB$13,{"エネルギー管理指定工場等*","県域*"}))</f>
        <v>0</v>
      </c>
      <c r="HJ27" s="314"/>
      <c r="HL27" s="230">
        <v>18</v>
      </c>
      <c r="HM27" s="714" t="str">
        <f t="shared" ca="1" si="49"/>
        <v/>
      </c>
      <c r="HN27" s="715" t="str">
        <f ca="1">IF(COUNTIF(HN$10:HN26,OFFSET(A1_原単位2026,5,HL27+2))&gt;=1,"",OFFSET(A1_原単位2026,5,HL27+2)&amp;"")</f>
        <v/>
      </c>
      <c r="HO27" s="716" t="str">
        <f t="shared" ca="1" si="50"/>
        <v/>
      </c>
      <c r="HP27" s="717" t="str">
        <f t="shared" ca="1" si="51"/>
        <v/>
      </c>
      <c r="HQ27" s="714" t="str">
        <f t="shared" ca="1" si="52"/>
        <v/>
      </c>
      <c r="HR27" s="715" t="str">
        <f ca="1">IF(COUNTIF(HR$10:HR26,OFFSET(A1_原単位2026,17,HL27+2))&gt;=1,"",OFFSET(A1_原単位2026,17,HL27+2)&amp;"")</f>
        <v/>
      </c>
      <c r="HS27" s="718" t="str">
        <f t="shared" ca="1" si="53"/>
        <v/>
      </c>
      <c r="HT27" s="719" t="str">
        <f t="shared" ca="1" si="54"/>
        <v/>
      </c>
      <c r="HU27" s="714" t="str">
        <f t="shared" ca="1" si="55"/>
        <v/>
      </c>
      <c r="HV27" s="715" t="str">
        <f ca="1">IF(COUNTIF(HV$10:HV26,OFFSET(A1_原単位2026,29,HL27+2))&gt;=1,"",OFFSET(A1_原単位2026,29,HL27+2)&amp;"")</f>
        <v/>
      </c>
      <c r="HW27" s="718" t="str">
        <f t="shared" ca="1" si="56"/>
        <v/>
      </c>
      <c r="HX27" s="719" t="str">
        <f t="shared" ca="1" si="57"/>
        <v/>
      </c>
      <c r="HY27" s="714" t="str">
        <f t="shared" ca="1" si="58"/>
        <v/>
      </c>
      <c r="HZ27" s="715" t="str">
        <f ca="1">IF(COUNTIF(HZ$10:HZ26,OFFSET(A1_原単位2026,41,HL27+2))&gt;=1,"",OFFSET(A1_原単位2026,41,HL27+2)&amp;"")</f>
        <v/>
      </c>
      <c r="IA27" s="720" t="str">
        <f t="shared" ca="1" si="59"/>
        <v/>
      </c>
      <c r="IB27" s="721" t="str">
        <f t="shared" ca="1" si="60"/>
        <v/>
      </c>
      <c r="IE27" s="159" t="str">
        <f t="shared" ca="1" si="61"/>
        <v/>
      </c>
      <c r="IF27" s="159" t="str">
        <f t="shared" ca="1" si="62"/>
        <v/>
      </c>
      <c r="IG27" s="159" t="str">
        <f t="shared" ca="1" si="63"/>
        <v/>
      </c>
      <c r="IH27" s="159" t="str">
        <f t="shared" ca="1" si="64"/>
        <v/>
      </c>
    </row>
    <row r="28" spans="2:242" s="164" customFormat="1" ht="20.100000000000001" customHeight="1">
      <c r="B28" s="302"/>
      <c r="C28" s="317" t="s">
        <v>456</v>
      </c>
      <c r="D28" s="303" t="s">
        <v>576</v>
      </c>
      <c r="E28" s="305"/>
      <c r="F28" s="303" t="s">
        <v>455</v>
      </c>
      <c r="G28" s="306">
        <v>50.1</v>
      </c>
      <c r="H28" s="307">
        <v>1.6299999999999999E-2</v>
      </c>
      <c r="I28" s="310"/>
      <c r="J28" s="315"/>
      <c r="K28" s="310"/>
      <c r="L28" s="311"/>
      <c r="M28" s="311"/>
      <c r="N28" s="309"/>
      <c r="O28" s="310"/>
      <c r="P28" s="311"/>
      <c r="Q28" s="311"/>
      <c r="R28" s="309"/>
      <c r="S28" s="310"/>
      <c r="T28" s="311"/>
      <c r="U28" s="311"/>
      <c r="V28" s="309"/>
      <c r="W28" s="310"/>
      <c r="X28" s="311"/>
      <c r="Y28" s="311"/>
      <c r="Z28" s="309"/>
      <c r="AA28" s="310"/>
      <c r="AB28" s="311"/>
      <c r="AC28" s="311"/>
      <c r="AD28" s="309"/>
      <c r="AE28" s="310"/>
      <c r="AF28" s="311"/>
      <c r="AG28" s="311"/>
      <c r="AH28" s="309"/>
      <c r="AI28" s="310"/>
      <c r="AJ28" s="311"/>
      <c r="AK28" s="311"/>
      <c r="AL28" s="309"/>
      <c r="AM28" s="310"/>
      <c r="AN28" s="311"/>
      <c r="AO28" s="311"/>
      <c r="AP28" s="309"/>
      <c r="AQ28" s="310"/>
      <c r="AR28" s="311"/>
      <c r="AS28" s="311"/>
      <c r="AT28" s="309"/>
      <c r="AU28" s="310"/>
      <c r="AV28" s="311"/>
      <c r="AW28" s="311"/>
      <c r="AX28" s="309"/>
      <c r="AY28" s="310"/>
      <c r="AZ28" s="311"/>
      <c r="BA28" s="311"/>
      <c r="BB28" s="309"/>
      <c r="BC28" s="310"/>
      <c r="BD28" s="311"/>
      <c r="BE28" s="311"/>
      <c r="BF28" s="309"/>
      <c r="BG28" s="310"/>
      <c r="BH28" s="311"/>
      <c r="BI28" s="311"/>
      <c r="BJ28" s="309"/>
      <c r="BK28" s="310"/>
      <c r="BL28" s="311"/>
      <c r="BM28" s="311"/>
      <c r="BN28" s="309"/>
      <c r="BO28" s="310"/>
      <c r="BP28" s="311"/>
      <c r="BQ28" s="311"/>
      <c r="BR28" s="309"/>
      <c r="BS28" s="310"/>
      <c r="BT28" s="311"/>
      <c r="BU28" s="311"/>
      <c r="BV28" s="309"/>
      <c r="BW28" s="310"/>
      <c r="BX28" s="311"/>
      <c r="BY28" s="311"/>
      <c r="BZ28" s="309"/>
      <c r="CA28" s="310"/>
      <c r="CB28" s="311"/>
      <c r="CC28" s="311"/>
      <c r="CD28" s="309"/>
      <c r="CE28" s="310"/>
      <c r="CF28" s="311"/>
      <c r="CG28" s="311"/>
      <c r="CH28" s="309"/>
      <c r="CI28" s="310"/>
      <c r="CJ28" s="311"/>
      <c r="CK28" s="311"/>
      <c r="CL28" s="309"/>
      <c r="CM28" s="310"/>
      <c r="CN28" s="311"/>
      <c r="CO28" s="311"/>
      <c r="CP28" s="309"/>
      <c r="CQ28" s="310"/>
      <c r="CR28" s="311"/>
      <c r="CS28" s="311"/>
      <c r="CT28" s="309"/>
      <c r="CU28" s="310"/>
      <c r="CV28" s="311"/>
      <c r="CW28" s="311"/>
      <c r="CX28" s="309"/>
      <c r="CY28" s="310"/>
      <c r="CZ28" s="311"/>
      <c r="DA28" s="311"/>
      <c r="DB28" s="309"/>
      <c r="DC28" s="310"/>
      <c r="DD28" s="311"/>
      <c r="DE28" s="311"/>
      <c r="DF28" s="309"/>
      <c r="DG28" s="310"/>
      <c r="DH28" s="311"/>
      <c r="DI28" s="311"/>
      <c r="DJ28" s="309"/>
      <c r="DK28" s="310"/>
      <c r="DL28" s="311"/>
      <c r="DM28" s="311"/>
      <c r="DN28" s="309"/>
      <c r="DO28" s="310"/>
      <c r="DP28" s="311"/>
      <c r="DQ28" s="311"/>
      <c r="DR28" s="309"/>
      <c r="DS28" s="310"/>
      <c r="DT28" s="311"/>
      <c r="DU28" s="311"/>
      <c r="DV28" s="309"/>
      <c r="DW28" s="310"/>
      <c r="DX28" s="311"/>
      <c r="DY28" s="311"/>
      <c r="DZ28" s="309"/>
      <c r="EA28" s="310"/>
      <c r="EB28" s="311"/>
      <c r="EC28" s="311"/>
      <c r="ED28" s="309"/>
      <c r="EE28" s="310"/>
      <c r="EF28" s="311"/>
      <c r="EG28" s="311"/>
      <c r="EH28" s="309"/>
      <c r="EI28" s="310"/>
      <c r="EJ28" s="311"/>
      <c r="EK28" s="311"/>
      <c r="EL28" s="309"/>
      <c r="EM28" s="310"/>
      <c r="EN28" s="311"/>
      <c r="EO28" s="311"/>
      <c r="EP28" s="309"/>
      <c r="EQ28" s="310"/>
      <c r="ER28" s="311"/>
      <c r="ES28" s="311"/>
      <c r="ET28" s="309"/>
      <c r="EU28" s="310"/>
      <c r="EV28" s="311"/>
      <c r="EW28" s="311"/>
      <c r="EX28" s="309"/>
      <c r="EY28" s="310"/>
      <c r="EZ28" s="311"/>
      <c r="FA28" s="311"/>
      <c r="FB28" s="309"/>
      <c r="FC28" s="310"/>
      <c r="FD28" s="311"/>
      <c r="FE28" s="311"/>
      <c r="FF28" s="309"/>
      <c r="FG28" s="310"/>
      <c r="FH28" s="311"/>
      <c r="FI28" s="311"/>
      <c r="FJ28" s="309"/>
      <c r="FK28" s="310"/>
      <c r="FL28" s="311"/>
      <c r="FM28" s="311"/>
      <c r="FN28" s="309"/>
      <c r="FO28" s="310"/>
      <c r="FP28" s="311"/>
      <c r="FQ28" s="311"/>
      <c r="FR28" s="309"/>
      <c r="FS28" s="310"/>
      <c r="FT28" s="311"/>
      <c r="FU28" s="311"/>
      <c r="FV28" s="309"/>
      <c r="FW28" s="310"/>
      <c r="FX28" s="311"/>
      <c r="FY28" s="311"/>
      <c r="FZ28" s="309"/>
      <c r="GA28" s="310"/>
      <c r="GB28" s="311"/>
      <c r="GC28" s="311"/>
      <c r="GD28" s="309"/>
      <c r="GE28" s="310"/>
      <c r="GF28" s="311"/>
      <c r="GG28" s="311"/>
      <c r="GH28" s="309"/>
      <c r="GI28" s="310"/>
      <c r="GJ28" s="311"/>
      <c r="GK28" s="311"/>
      <c r="GL28" s="309"/>
      <c r="GM28" s="310"/>
      <c r="GN28" s="311"/>
      <c r="GO28" s="311"/>
      <c r="GP28" s="309"/>
      <c r="GQ28" s="310"/>
      <c r="GR28" s="311"/>
      <c r="GS28" s="311"/>
      <c r="GT28" s="309"/>
      <c r="GU28" s="310"/>
      <c r="GV28" s="311"/>
      <c r="GW28" s="311"/>
      <c r="GX28" s="309"/>
      <c r="GY28" s="310"/>
      <c r="GZ28" s="311"/>
      <c r="HA28" s="311"/>
      <c r="HB28" s="309"/>
      <c r="HC28" s="312">
        <f t="shared" si="66"/>
        <v>0</v>
      </c>
      <c r="HD28" s="313">
        <f t="shared" si="66"/>
        <v>0</v>
      </c>
      <c r="HE28" s="313">
        <f t="shared" si="66"/>
        <v>0</v>
      </c>
      <c r="HF28" s="314"/>
      <c r="HG28" s="312">
        <f>SUM(SUMIFS(K28:HB28,$K$13:$HB$13,{"エネルギー管理指定工場等*","県域*"}))</f>
        <v>0</v>
      </c>
      <c r="HH28" s="313">
        <f>SUM(SUMIFS(L28:HC28,$K$13:$HB$13,{"エネルギー管理指定工場等*","県域*"}))</f>
        <v>0</v>
      </c>
      <c r="HI28" s="313">
        <f>SUM(SUMIFS(M28:HD28,$K$13:$HB$13,{"エネルギー管理指定工場等*","県域*"}))</f>
        <v>0</v>
      </c>
      <c r="HJ28" s="314"/>
      <c r="HL28" s="219">
        <v>19</v>
      </c>
      <c r="HM28" s="714" t="str">
        <f t="shared" ca="1" si="49"/>
        <v/>
      </c>
      <c r="HN28" s="715" t="str">
        <f ca="1">IF(COUNTIF(HN$10:HN27,OFFSET(A1_原単位2026,5,HL28+2))&gt;=1,"",OFFSET(A1_原単位2026,5,HL28+2)&amp;"")</f>
        <v/>
      </c>
      <c r="HO28" s="716" t="str">
        <f t="shared" ca="1" si="50"/>
        <v/>
      </c>
      <c r="HP28" s="717" t="str">
        <f t="shared" ca="1" si="51"/>
        <v/>
      </c>
      <c r="HQ28" s="714" t="str">
        <f t="shared" ca="1" si="52"/>
        <v/>
      </c>
      <c r="HR28" s="715" t="str">
        <f ca="1">IF(COUNTIF(HR$10:HR27,OFFSET(A1_原単位2026,17,HL28+2))&gt;=1,"",OFFSET(A1_原単位2026,17,HL28+2)&amp;"")</f>
        <v/>
      </c>
      <c r="HS28" s="718" t="str">
        <f t="shared" ca="1" si="53"/>
        <v/>
      </c>
      <c r="HT28" s="719" t="str">
        <f t="shared" ca="1" si="54"/>
        <v/>
      </c>
      <c r="HU28" s="714" t="str">
        <f t="shared" ca="1" si="55"/>
        <v/>
      </c>
      <c r="HV28" s="715" t="str">
        <f ca="1">IF(COUNTIF(HV$10:HV27,OFFSET(A1_原単位2026,29,HL28+2))&gt;=1,"",OFFSET(A1_原単位2026,29,HL28+2)&amp;"")</f>
        <v/>
      </c>
      <c r="HW28" s="718" t="str">
        <f t="shared" ca="1" si="56"/>
        <v/>
      </c>
      <c r="HX28" s="719" t="str">
        <f t="shared" ca="1" si="57"/>
        <v/>
      </c>
      <c r="HY28" s="714" t="str">
        <f t="shared" ca="1" si="58"/>
        <v/>
      </c>
      <c r="HZ28" s="715" t="str">
        <f ca="1">IF(COUNTIF(HZ$10:HZ27,OFFSET(A1_原単位2026,41,HL28+2))&gt;=1,"",OFFSET(A1_原単位2026,41,HL28+2)&amp;"")</f>
        <v/>
      </c>
      <c r="IA28" s="720" t="str">
        <f t="shared" ca="1" si="59"/>
        <v/>
      </c>
      <c r="IB28" s="721" t="str">
        <f t="shared" ca="1" si="60"/>
        <v/>
      </c>
      <c r="IE28" s="159" t="str">
        <f t="shared" ca="1" si="61"/>
        <v/>
      </c>
      <c r="IF28" s="159" t="str">
        <f t="shared" ca="1" si="62"/>
        <v/>
      </c>
      <c r="IG28" s="159" t="str">
        <f t="shared" ca="1" si="63"/>
        <v/>
      </c>
      <c r="IH28" s="159" t="str">
        <f t="shared" ca="1" si="64"/>
        <v/>
      </c>
    </row>
    <row r="29" spans="2:242" s="164" customFormat="1" ht="20.100000000000001" customHeight="1">
      <c r="B29" s="302"/>
      <c r="C29" s="318"/>
      <c r="D29" s="303" t="s">
        <v>577</v>
      </c>
      <c r="E29" s="305"/>
      <c r="F29" s="303" t="s">
        <v>457</v>
      </c>
      <c r="G29" s="306">
        <v>46.1</v>
      </c>
      <c r="H29" s="307">
        <v>1.44E-2</v>
      </c>
      <c r="I29" s="308"/>
      <c r="J29" s="309"/>
      <c r="K29" s="310"/>
      <c r="L29" s="311"/>
      <c r="M29" s="311"/>
      <c r="N29" s="309"/>
      <c r="O29" s="310"/>
      <c r="P29" s="311"/>
      <c r="Q29" s="311"/>
      <c r="R29" s="309"/>
      <c r="S29" s="310"/>
      <c r="T29" s="311"/>
      <c r="U29" s="311"/>
      <c r="V29" s="309"/>
      <c r="W29" s="310"/>
      <c r="X29" s="311"/>
      <c r="Y29" s="311"/>
      <c r="Z29" s="309"/>
      <c r="AA29" s="310"/>
      <c r="AB29" s="311"/>
      <c r="AC29" s="311"/>
      <c r="AD29" s="309"/>
      <c r="AE29" s="310"/>
      <c r="AF29" s="311"/>
      <c r="AG29" s="311"/>
      <c r="AH29" s="309"/>
      <c r="AI29" s="310"/>
      <c r="AJ29" s="311"/>
      <c r="AK29" s="311"/>
      <c r="AL29" s="309"/>
      <c r="AM29" s="310"/>
      <c r="AN29" s="311"/>
      <c r="AO29" s="311"/>
      <c r="AP29" s="309"/>
      <c r="AQ29" s="310"/>
      <c r="AR29" s="311"/>
      <c r="AS29" s="311"/>
      <c r="AT29" s="309"/>
      <c r="AU29" s="310"/>
      <c r="AV29" s="311"/>
      <c r="AW29" s="311"/>
      <c r="AX29" s="309"/>
      <c r="AY29" s="310"/>
      <c r="AZ29" s="311"/>
      <c r="BA29" s="311"/>
      <c r="BB29" s="309"/>
      <c r="BC29" s="310"/>
      <c r="BD29" s="311"/>
      <c r="BE29" s="311"/>
      <c r="BF29" s="309"/>
      <c r="BG29" s="310"/>
      <c r="BH29" s="311"/>
      <c r="BI29" s="311"/>
      <c r="BJ29" s="309"/>
      <c r="BK29" s="310"/>
      <c r="BL29" s="311"/>
      <c r="BM29" s="311"/>
      <c r="BN29" s="309"/>
      <c r="BO29" s="310"/>
      <c r="BP29" s="311"/>
      <c r="BQ29" s="311"/>
      <c r="BR29" s="309"/>
      <c r="BS29" s="310"/>
      <c r="BT29" s="311"/>
      <c r="BU29" s="311"/>
      <c r="BV29" s="309"/>
      <c r="BW29" s="310"/>
      <c r="BX29" s="311"/>
      <c r="BY29" s="311"/>
      <c r="BZ29" s="309"/>
      <c r="CA29" s="310"/>
      <c r="CB29" s="311"/>
      <c r="CC29" s="311"/>
      <c r="CD29" s="309"/>
      <c r="CE29" s="310"/>
      <c r="CF29" s="311"/>
      <c r="CG29" s="311"/>
      <c r="CH29" s="309"/>
      <c r="CI29" s="310"/>
      <c r="CJ29" s="311"/>
      <c r="CK29" s="311"/>
      <c r="CL29" s="309"/>
      <c r="CM29" s="310"/>
      <c r="CN29" s="311"/>
      <c r="CO29" s="311"/>
      <c r="CP29" s="309"/>
      <c r="CQ29" s="310"/>
      <c r="CR29" s="311"/>
      <c r="CS29" s="311"/>
      <c r="CT29" s="309"/>
      <c r="CU29" s="310"/>
      <c r="CV29" s="311"/>
      <c r="CW29" s="311"/>
      <c r="CX29" s="309"/>
      <c r="CY29" s="310"/>
      <c r="CZ29" s="311"/>
      <c r="DA29" s="311"/>
      <c r="DB29" s="309"/>
      <c r="DC29" s="310"/>
      <c r="DD29" s="311"/>
      <c r="DE29" s="311"/>
      <c r="DF29" s="309"/>
      <c r="DG29" s="310"/>
      <c r="DH29" s="311"/>
      <c r="DI29" s="311"/>
      <c r="DJ29" s="309"/>
      <c r="DK29" s="310"/>
      <c r="DL29" s="311"/>
      <c r="DM29" s="311"/>
      <c r="DN29" s="309"/>
      <c r="DO29" s="310"/>
      <c r="DP29" s="311"/>
      <c r="DQ29" s="311"/>
      <c r="DR29" s="309"/>
      <c r="DS29" s="310"/>
      <c r="DT29" s="311"/>
      <c r="DU29" s="311"/>
      <c r="DV29" s="309"/>
      <c r="DW29" s="310"/>
      <c r="DX29" s="311"/>
      <c r="DY29" s="311"/>
      <c r="DZ29" s="309"/>
      <c r="EA29" s="310"/>
      <c r="EB29" s="311"/>
      <c r="EC29" s="311"/>
      <c r="ED29" s="309"/>
      <c r="EE29" s="310"/>
      <c r="EF29" s="311"/>
      <c r="EG29" s="311"/>
      <c r="EH29" s="309"/>
      <c r="EI29" s="310"/>
      <c r="EJ29" s="311"/>
      <c r="EK29" s="311"/>
      <c r="EL29" s="309"/>
      <c r="EM29" s="310"/>
      <c r="EN29" s="311"/>
      <c r="EO29" s="311"/>
      <c r="EP29" s="309"/>
      <c r="EQ29" s="310"/>
      <c r="ER29" s="311"/>
      <c r="ES29" s="311"/>
      <c r="ET29" s="309"/>
      <c r="EU29" s="310"/>
      <c r="EV29" s="311"/>
      <c r="EW29" s="311"/>
      <c r="EX29" s="309"/>
      <c r="EY29" s="310"/>
      <c r="EZ29" s="311"/>
      <c r="FA29" s="311"/>
      <c r="FB29" s="309"/>
      <c r="FC29" s="310"/>
      <c r="FD29" s="311"/>
      <c r="FE29" s="311"/>
      <c r="FF29" s="309"/>
      <c r="FG29" s="310"/>
      <c r="FH29" s="311"/>
      <c r="FI29" s="311"/>
      <c r="FJ29" s="309"/>
      <c r="FK29" s="310"/>
      <c r="FL29" s="311"/>
      <c r="FM29" s="311"/>
      <c r="FN29" s="309"/>
      <c r="FO29" s="310"/>
      <c r="FP29" s="311"/>
      <c r="FQ29" s="311"/>
      <c r="FR29" s="309"/>
      <c r="FS29" s="310"/>
      <c r="FT29" s="311"/>
      <c r="FU29" s="311"/>
      <c r="FV29" s="309"/>
      <c r="FW29" s="310"/>
      <c r="FX29" s="311"/>
      <c r="FY29" s="311"/>
      <c r="FZ29" s="309"/>
      <c r="GA29" s="310"/>
      <c r="GB29" s="311"/>
      <c r="GC29" s="311"/>
      <c r="GD29" s="309"/>
      <c r="GE29" s="310"/>
      <c r="GF29" s="311"/>
      <c r="GG29" s="311"/>
      <c r="GH29" s="309"/>
      <c r="GI29" s="310"/>
      <c r="GJ29" s="311"/>
      <c r="GK29" s="311"/>
      <c r="GL29" s="309"/>
      <c r="GM29" s="310"/>
      <c r="GN29" s="311"/>
      <c r="GO29" s="311"/>
      <c r="GP29" s="309"/>
      <c r="GQ29" s="310"/>
      <c r="GR29" s="311"/>
      <c r="GS29" s="311"/>
      <c r="GT29" s="309"/>
      <c r="GU29" s="310"/>
      <c r="GV29" s="311"/>
      <c r="GW29" s="311"/>
      <c r="GX29" s="309"/>
      <c r="GY29" s="310"/>
      <c r="GZ29" s="311"/>
      <c r="HA29" s="311"/>
      <c r="HB29" s="309"/>
      <c r="HC29" s="312">
        <f t="shared" si="66"/>
        <v>0</v>
      </c>
      <c r="HD29" s="313">
        <f t="shared" si="66"/>
        <v>0</v>
      </c>
      <c r="HE29" s="313">
        <f t="shared" si="66"/>
        <v>0</v>
      </c>
      <c r="HF29" s="314"/>
      <c r="HG29" s="312">
        <f>SUM(SUMIFS(K29:HB29,$K$13:$HB$13,{"エネルギー管理指定工場等*","県域*"}))</f>
        <v>0</v>
      </c>
      <c r="HH29" s="313">
        <f>SUM(SUMIFS(L29:HC29,$K$13:$HB$13,{"エネルギー管理指定工場等*","県域*"}))</f>
        <v>0</v>
      </c>
      <c r="HI29" s="313">
        <f>SUM(SUMIFS(M29:HD29,$K$13:$HB$13,{"エネルギー管理指定工場等*","県域*"}))</f>
        <v>0</v>
      </c>
      <c r="HJ29" s="314"/>
      <c r="HL29" s="230">
        <v>20</v>
      </c>
      <c r="HM29" s="714" t="str">
        <f t="shared" ca="1" si="49"/>
        <v/>
      </c>
      <c r="HN29" s="715" t="str">
        <f ca="1">IF(COUNTIF(HN$10:HN28,OFFSET(A1_原単位2026,5,HL29+2))&gt;=1,"",OFFSET(A1_原単位2026,5,HL29+2)&amp;"")</f>
        <v/>
      </c>
      <c r="HO29" s="716" t="str">
        <f t="shared" ca="1" si="50"/>
        <v/>
      </c>
      <c r="HP29" s="717" t="str">
        <f t="shared" ca="1" si="51"/>
        <v/>
      </c>
      <c r="HQ29" s="714" t="str">
        <f t="shared" ca="1" si="52"/>
        <v/>
      </c>
      <c r="HR29" s="715" t="str">
        <f ca="1">IF(COUNTIF(HR$10:HR28,OFFSET(A1_原単位2026,17,HL29+2))&gt;=1,"",OFFSET(A1_原単位2026,17,HL29+2)&amp;"")</f>
        <v/>
      </c>
      <c r="HS29" s="718" t="str">
        <f t="shared" ca="1" si="53"/>
        <v/>
      </c>
      <c r="HT29" s="719" t="str">
        <f t="shared" ca="1" si="54"/>
        <v/>
      </c>
      <c r="HU29" s="714" t="str">
        <f t="shared" ca="1" si="55"/>
        <v/>
      </c>
      <c r="HV29" s="715" t="str">
        <f ca="1">IF(COUNTIF(HV$10:HV28,OFFSET(A1_原単位2026,29,HL29+2))&gt;=1,"",OFFSET(A1_原単位2026,29,HL29+2)&amp;"")</f>
        <v/>
      </c>
      <c r="HW29" s="718" t="str">
        <f t="shared" ca="1" si="56"/>
        <v/>
      </c>
      <c r="HX29" s="719" t="str">
        <f t="shared" ca="1" si="57"/>
        <v/>
      </c>
      <c r="HY29" s="714" t="str">
        <f t="shared" ca="1" si="58"/>
        <v/>
      </c>
      <c r="HZ29" s="715" t="str">
        <f ca="1">IF(COUNTIF(HZ$10:HZ28,OFFSET(A1_原単位2026,41,HL29+2))&gt;=1,"",OFFSET(A1_原単位2026,41,HL29+2)&amp;"")</f>
        <v/>
      </c>
      <c r="IA29" s="720" t="str">
        <f t="shared" ca="1" si="59"/>
        <v/>
      </c>
      <c r="IB29" s="721" t="str">
        <f t="shared" ca="1" si="60"/>
        <v/>
      </c>
      <c r="IE29" s="159" t="str">
        <f t="shared" ca="1" si="61"/>
        <v/>
      </c>
      <c r="IF29" s="159" t="str">
        <f t="shared" ca="1" si="62"/>
        <v/>
      </c>
      <c r="IG29" s="159" t="str">
        <f t="shared" ca="1" si="63"/>
        <v/>
      </c>
      <c r="IH29" s="159" t="str">
        <f t="shared" ca="1" si="64"/>
        <v/>
      </c>
    </row>
    <row r="30" spans="2:242" s="164" customFormat="1" ht="20.100000000000001" customHeight="1">
      <c r="B30" s="302"/>
      <c r="C30" s="317" t="s">
        <v>578</v>
      </c>
      <c r="D30" s="303" t="s">
        <v>579</v>
      </c>
      <c r="E30" s="305"/>
      <c r="F30" s="303" t="s">
        <v>455</v>
      </c>
      <c r="G30" s="306">
        <v>54.7</v>
      </c>
      <c r="H30" s="307">
        <v>1.3899999999999999E-2</v>
      </c>
      <c r="I30" s="310"/>
      <c r="J30" s="315"/>
      <c r="K30" s="310"/>
      <c r="L30" s="311"/>
      <c r="M30" s="311"/>
      <c r="N30" s="309"/>
      <c r="O30" s="310"/>
      <c r="P30" s="311"/>
      <c r="Q30" s="311"/>
      <c r="R30" s="309"/>
      <c r="S30" s="310"/>
      <c r="T30" s="311"/>
      <c r="U30" s="311"/>
      <c r="V30" s="309"/>
      <c r="W30" s="310"/>
      <c r="X30" s="311"/>
      <c r="Y30" s="311"/>
      <c r="Z30" s="309"/>
      <c r="AA30" s="310"/>
      <c r="AB30" s="311"/>
      <c r="AC30" s="311"/>
      <c r="AD30" s="309"/>
      <c r="AE30" s="310"/>
      <c r="AF30" s="311"/>
      <c r="AG30" s="311"/>
      <c r="AH30" s="309"/>
      <c r="AI30" s="310"/>
      <c r="AJ30" s="311"/>
      <c r="AK30" s="311"/>
      <c r="AL30" s="309"/>
      <c r="AM30" s="310"/>
      <c r="AN30" s="311"/>
      <c r="AO30" s="311"/>
      <c r="AP30" s="309"/>
      <c r="AQ30" s="310"/>
      <c r="AR30" s="311"/>
      <c r="AS30" s="311"/>
      <c r="AT30" s="309"/>
      <c r="AU30" s="310"/>
      <c r="AV30" s="311"/>
      <c r="AW30" s="311"/>
      <c r="AX30" s="309"/>
      <c r="AY30" s="310"/>
      <c r="AZ30" s="311"/>
      <c r="BA30" s="311"/>
      <c r="BB30" s="309"/>
      <c r="BC30" s="310"/>
      <c r="BD30" s="311"/>
      <c r="BE30" s="311"/>
      <c r="BF30" s="309"/>
      <c r="BG30" s="310"/>
      <c r="BH30" s="311"/>
      <c r="BI30" s="311"/>
      <c r="BJ30" s="309"/>
      <c r="BK30" s="310"/>
      <c r="BL30" s="311"/>
      <c r="BM30" s="311"/>
      <c r="BN30" s="309"/>
      <c r="BO30" s="310"/>
      <c r="BP30" s="311"/>
      <c r="BQ30" s="311"/>
      <c r="BR30" s="309"/>
      <c r="BS30" s="310"/>
      <c r="BT30" s="311"/>
      <c r="BU30" s="311"/>
      <c r="BV30" s="309"/>
      <c r="BW30" s="310"/>
      <c r="BX30" s="311"/>
      <c r="BY30" s="311"/>
      <c r="BZ30" s="309"/>
      <c r="CA30" s="310"/>
      <c r="CB30" s="311"/>
      <c r="CC30" s="311"/>
      <c r="CD30" s="309"/>
      <c r="CE30" s="310"/>
      <c r="CF30" s="311"/>
      <c r="CG30" s="311"/>
      <c r="CH30" s="309"/>
      <c r="CI30" s="310"/>
      <c r="CJ30" s="311"/>
      <c r="CK30" s="311"/>
      <c r="CL30" s="309"/>
      <c r="CM30" s="310"/>
      <c r="CN30" s="311"/>
      <c r="CO30" s="311"/>
      <c r="CP30" s="309"/>
      <c r="CQ30" s="310"/>
      <c r="CR30" s="311"/>
      <c r="CS30" s="311"/>
      <c r="CT30" s="309"/>
      <c r="CU30" s="310"/>
      <c r="CV30" s="311"/>
      <c r="CW30" s="311"/>
      <c r="CX30" s="309"/>
      <c r="CY30" s="310"/>
      <c r="CZ30" s="311"/>
      <c r="DA30" s="311"/>
      <c r="DB30" s="309"/>
      <c r="DC30" s="310"/>
      <c r="DD30" s="311"/>
      <c r="DE30" s="311"/>
      <c r="DF30" s="309"/>
      <c r="DG30" s="310"/>
      <c r="DH30" s="311"/>
      <c r="DI30" s="311"/>
      <c r="DJ30" s="309"/>
      <c r="DK30" s="310"/>
      <c r="DL30" s="311"/>
      <c r="DM30" s="311"/>
      <c r="DN30" s="309"/>
      <c r="DO30" s="310"/>
      <c r="DP30" s="311"/>
      <c r="DQ30" s="311"/>
      <c r="DR30" s="309"/>
      <c r="DS30" s="310"/>
      <c r="DT30" s="311"/>
      <c r="DU30" s="311"/>
      <c r="DV30" s="309"/>
      <c r="DW30" s="310"/>
      <c r="DX30" s="311"/>
      <c r="DY30" s="311"/>
      <c r="DZ30" s="309"/>
      <c r="EA30" s="310"/>
      <c r="EB30" s="311"/>
      <c r="EC30" s="311"/>
      <c r="ED30" s="309"/>
      <c r="EE30" s="310"/>
      <c r="EF30" s="311"/>
      <c r="EG30" s="311"/>
      <c r="EH30" s="309"/>
      <c r="EI30" s="310"/>
      <c r="EJ30" s="311"/>
      <c r="EK30" s="311"/>
      <c r="EL30" s="309"/>
      <c r="EM30" s="310"/>
      <c r="EN30" s="311"/>
      <c r="EO30" s="311"/>
      <c r="EP30" s="309"/>
      <c r="EQ30" s="310"/>
      <c r="ER30" s="311"/>
      <c r="ES30" s="311"/>
      <c r="ET30" s="309"/>
      <c r="EU30" s="310"/>
      <c r="EV30" s="311"/>
      <c r="EW30" s="311"/>
      <c r="EX30" s="309"/>
      <c r="EY30" s="310"/>
      <c r="EZ30" s="311"/>
      <c r="FA30" s="311"/>
      <c r="FB30" s="309"/>
      <c r="FC30" s="310"/>
      <c r="FD30" s="311"/>
      <c r="FE30" s="311"/>
      <c r="FF30" s="309"/>
      <c r="FG30" s="310"/>
      <c r="FH30" s="311"/>
      <c r="FI30" s="311"/>
      <c r="FJ30" s="309"/>
      <c r="FK30" s="310"/>
      <c r="FL30" s="311"/>
      <c r="FM30" s="311"/>
      <c r="FN30" s="309"/>
      <c r="FO30" s="310"/>
      <c r="FP30" s="311"/>
      <c r="FQ30" s="311"/>
      <c r="FR30" s="309"/>
      <c r="FS30" s="310"/>
      <c r="FT30" s="311"/>
      <c r="FU30" s="311"/>
      <c r="FV30" s="309"/>
      <c r="FW30" s="310"/>
      <c r="FX30" s="311"/>
      <c r="FY30" s="311"/>
      <c r="FZ30" s="309"/>
      <c r="GA30" s="310"/>
      <c r="GB30" s="311"/>
      <c r="GC30" s="311"/>
      <c r="GD30" s="309"/>
      <c r="GE30" s="310"/>
      <c r="GF30" s="311"/>
      <c r="GG30" s="311"/>
      <c r="GH30" s="309"/>
      <c r="GI30" s="310"/>
      <c r="GJ30" s="311"/>
      <c r="GK30" s="311"/>
      <c r="GL30" s="309"/>
      <c r="GM30" s="310"/>
      <c r="GN30" s="311"/>
      <c r="GO30" s="311"/>
      <c r="GP30" s="309"/>
      <c r="GQ30" s="310"/>
      <c r="GR30" s="311"/>
      <c r="GS30" s="311"/>
      <c r="GT30" s="309"/>
      <c r="GU30" s="310"/>
      <c r="GV30" s="311"/>
      <c r="GW30" s="311"/>
      <c r="GX30" s="309"/>
      <c r="GY30" s="310"/>
      <c r="GZ30" s="311"/>
      <c r="HA30" s="311"/>
      <c r="HB30" s="309"/>
      <c r="HC30" s="312">
        <f t="shared" si="66"/>
        <v>0</v>
      </c>
      <c r="HD30" s="313">
        <f t="shared" si="66"/>
        <v>0</v>
      </c>
      <c r="HE30" s="313">
        <f t="shared" si="66"/>
        <v>0</v>
      </c>
      <c r="HF30" s="314"/>
      <c r="HG30" s="312">
        <f>SUM(SUMIFS(K30:HB30,$K$13:$HB$13,{"エネルギー管理指定工場等*","県域*"}))</f>
        <v>0</v>
      </c>
      <c r="HH30" s="313">
        <f>SUM(SUMIFS(L30:HC30,$K$13:$HB$13,{"エネルギー管理指定工場等*","県域*"}))</f>
        <v>0</v>
      </c>
      <c r="HI30" s="313">
        <f>SUM(SUMIFS(M30:HD30,$K$13:$HB$13,{"エネルギー管理指定工場等*","県域*"}))</f>
        <v>0</v>
      </c>
      <c r="HJ30" s="314"/>
      <c r="HL30" s="219">
        <v>21</v>
      </c>
      <c r="HM30" s="714" t="str">
        <f t="shared" ca="1" si="49"/>
        <v/>
      </c>
      <c r="HN30" s="715" t="str">
        <f ca="1">IF(COUNTIF(HN$10:HN29,OFFSET(A1_原単位2026,5,HL30+2))&gt;=1,"",OFFSET(A1_原単位2026,5,HL30+2)&amp;"")</f>
        <v/>
      </c>
      <c r="HO30" s="716" t="str">
        <f t="shared" ca="1" si="50"/>
        <v/>
      </c>
      <c r="HP30" s="717" t="str">
        <f t="shared" ca="1" si="51"/>
        <v/>
      </c>
      <c r="HQ30" s="714" t="str">
        <f t="shared" ca="1" si="52"/>
        <v/>
      </c>
      <c r="HR30" s="715" t="str">
        <f ca="1">IF(COUNTIF(HR$10:HR29,OFFSET(A1_原単位2026,17,HL30+2))&gt;=1,"",OFFSET(A1_原単位2026,17,HL30+2)&amp;"")</f>
        <v/>
      </c>
      <c r="HS30" s="718" t="str">
        <f t="shared" ca="1" si="53"/>
        <v/>
      </c>
      <c r="HT30" s="719" t="str">
        <f t="shared" ca="1" si="54"/>
        <v/>
      </c>
      <c r="HU30" s="714" t="str">
        <f t="shared" ca="1" si="55"/>
        <v/>
      </c>
      <c r="HV30" s="715" t="str">
        <f ca="1">IF(COUNTIF(HV$10:HV29,OFFSET(A1_原単位2026,29,HL30+2))&gt;=1,"",OFFSET(A1_原単位2026,29,HL30+2)&amp;"")</f>
        <v/>
      </c>
      <c r="HW30" s="718" t="str">
        <f t="shared" ca="1" si="56"/>
        <v/>
      </c>
      <c r="HX30" s="719" t="str">
        <f t="shared" ca="1" si="57"/>
        <v/>
      </c>
      <c r="HY30" s="714" t="str">
        <f t="shared" ca="1" si="58"/>
        <v/>
      </c>
      <c r="HZ30" s="715" t="str">
        <f ca="1">IF(COUNTIF(HZ$10:HZ29,OFFSET(A1_原単位2026,41,HL30+2))&gt;=1,"",OFFSET(A1_原単位2026,41,HL30+2)&amp;"")</f>
        <v/>
      </c>
      <c r="IA30" s="720" t="str">
        <f t="shared" ca="1" si="59"/>
        <v/>
      </c>
      <c r="IB30" s="721" t="str">
        <f t="shared" ca="1" si="60"/>
        <v/>
      </c>
      <c r="IE30" s="159" t="str">
        <f t="shared" ca="1" si="61"/>
        <v/>
      </c>
      <c r="IF30" s="159" t="str">
        <f t="shared" ca="1" si="62"/>
        <v/>
      </c>
      <c r="IG30" s="159" t="str">
        <f t="shared" ca="1" si="63"/>
        <v/>
      </c>
      <c r="IH30" s="159" t="str">
        <f t="shared" ca="1" si="64"/>
        <v/>
      </c>
    </row>
    <row r="31" spans="2:242" s="164" customFormat="1" ht="20.100000000000001" customHeight="1">
      <c r="B31" s="302"/>
      <c r="C31" s="318"/>
      <c r="D31" s="303" t="s">
        <v>458</v>
      </c>
      <c r="E31" s="305"/>
      <c r="F31" s="303" t="s">
        <v>457</v>
      </c>
      <c r="G31" s="306">
        <v>38.4</v>
      </c>
      <c r="H31" s="307">
        <v>1.3899999999999999E-2</v>
      </c>
      <c r="I31" s="308"/>
      <c r="J31" s="309"/>
      <c r="K31" s="310"/>
      <c r="L31" s="311"/>
      <c r="M31" s="311"/>
      <c r="N31" s="309"/>
      <c r="O31" s="310"/>
      <c r="P31" s="311"/>
      <c r="Q31" s="311"/>
      <c r="R31" s="309"/>
      <c r="S31" s="310"/>
      <c r="T31" s="311"/>
      <c r="U31" s="311"/>
      <c r="V31" s="309"/>
      <c r="W31" s="310"/>
      <c r="X31" s="311"/>
      <c r="Y31" s="311"/>
      <c r="Z31" s="309"/>
      <c r="AA31" s="310"/>
      <c r="AB31" s="311"/>
      <c r="AC31" s="311"/>
      <c r="AD31" s="309"/>
      <c r="AE31" s="310"/>
      <c r="AF31" s="311"/>
      <c r="AG31" s="311"/>
      <c r="AH31" s="309"/>
      <c r="AI31" s="310"/>
      <c r="AJ31" s="311"/>
      <c r="AK31" s="311"/>
      <c r="AL31" s="309"/>
      <c r="AM31" s="310"/>
      <c r="AN31" s="311"/>
      <c r="AO31" s="311"/>
      <c r="AP31" s="309"/>
      <c r="AQ31" s="310"/>
      <c r="AR31" s="311"/>
      <c r="AS31" s="311"/>
      <c r="AT31" s="309"/>
      <c r="AU31" s="310"/>
      <c r="AV31" s="311"/>
      <c r="AW31" s="311"/>
      <c r="AX31" s="309"/>
      <c r="AY31" s="310"/>
      <c r="AZ31" s="311"/>
      <c r="BA31" s="311"/>
      <c r="BB31" s="309"/>
      <c r="BC31" s="310"/>
      <c r="BD31" s="311"/>
      <c r="BE31" s="311"/>
      <c r="BF31" s="309"/>
      <c r="BG31" s="310"/>
      <c r="BH31" s="311"/>
      <c r="BI31" s="311"/>
      <c r="BJ31" s="309"/>
      <c r="BK31" s="310"/>
      <c r="BL31" s="311"/>
      <c r="BM31" s="311"/>
      <c r="BN31" s="309"/>
      <c r="BO31" s="310"/>
      <c r="BP31" s="311"/>
      <c r="BQ31" s="311"/>
      <c r="BR31" s="309"/>
      <c r="BS31" s="310"/>
      <c r="BT31" s="311"/>
      <c r="BU31" s="311"/>
      <c r="BV31" s="309"/>
      <c r="BW31" s="310"/>
      <c r="BX31" s="311"/>
      <c r="BY31" s="311"/>
      <c r="BZ31" s="309"/>
      <c r="CA31" s="310"/>
      <c r="CB31" s="311"/>
      <c r="CC31" s="311"/>
      <c r="CD31" s="309"/>
      <c r="CE31" s="310"/>
      <c r="CF31" s="311"/>
      <c r="CG31" s="311"/>
      <c r="CH31" s="309"/>
      <c r="CI31" s="310"/>
      <c r="CJ31" s="311"/>
      <c r="CK31" s="311"/>
      <c r="CL31" s="309"/>
      <c r="CM31" s="310"/>
      <c r="CN31" s="311"/>
      <c r="CO31" s="311"/>
      <c r="CP31" s="309"/>
      <c r="CQ31" s="310"/>
      <c r="CR31" s="311"/>
      <c r="CS31" s="311"/>
      <c r="CT31" s="309"/>
      <c r="CU31" s="310"/>
      <c r="CV31" s="311"/>
      <c r="CW31" s="311"/>
      <c r="CX31" s="309"/>
      <c r="CY31" s="310"/>
      <c r="CZ31" s="311"/>
      <c r="DA31" s="311"/>
      <c r="DB31" s="309"/>
      <c r="DC31" s="310"/>
      <c r="DD31" s="311"/>
      <c r="DE31" s="311"/>
      <c r="DF31" s="309"/>
      <c r="DG31" s="310"/>
      <c r="DH31" s="311"/>
      <c r="DI31" s="311"/>
      <c r="DJ31" s="309"/>
      <c r="DK31" s="310"/>
      <c r="DL31" s="311"/>
      <c r="DM31" s="311"/>
      <c r="DN31" s="309"/>
      <c r="DO31" s="310"/>
      <c r="DP31" s="311"/>
      <c r="DQ31" s="311"/>
      <c r="DR31" s="309"/>
      <c r="DS31" s="310"/>
      <c r="DT31" s="311"/>
      <c r="DU31" s="311"/>
      <c r="DV31" s="309"/>
      <c r="DW31" s="310"/>
      <c r="DX31" s="311"/>
      <c r="DY31" s="311"/>
      <c r="DZ31" s="309"/>
      <c r="EA31" s="310"/>
      <c r="EB31" s="311"/>
      <c r="EC31" s="311"/>
      <c r="ED31" s="309"/>
      <c r="EE31" s="310"/>
      <c r="EF31" s="311"/>
      <c r="EG31" s="311"/>
      <c r="EH31" s="309"/>
      <c r="EI31" s="310"/>
      <c r="EJ31" s="311"/>
      <c r="EK31" s="311"/>
      <c r="EL31" s="309"/>
      <c r="EM31" s="310"/>
      <c r="EN31" s="311"/>
      <c r="EO31" s="311"/>
      <c r="EP31" s="309"/>
      <c r="EQ31" s="310"/>
      <c r="ER31" s="311"/>
      <c r="ES31" s="311"/>
      <c r="ET31" s="309"/>
      <c r="EU31" s="310"/>
      <c r="EV31" s="311"/>
      <c r="EW31" s="311"/>
      <c r="EX31" s="309"/>
      <c r="EY31" s="310"/>
      <c r="EZ31" s="311"/>
      <c r="FA31" s="311"/>
      <c r="FB31" s="309"/>
      <c r="FC31" s="310"/>
      <c r="FD31" s="311"/>
      <c r="FE31" s="311"/>
      <c r="FF31" s="309"/>
      <c r="FG31" s="310"/>
      <c r="FH31" s="311"/>
      <c r="FI31" s="311"/>
      <c r="FJ31" s="309"/>
      <c r="FK31" s="310"/>
      <c r="FL31" s="311"/>
      <c r="FM31" s="311"/>
      <c r="FN31" s="309"/>
      <c r="FO31" s="310"/>
      <c r="FP31" s="311"/>
      <c r="FQ31" s="311"/>
      <c r="FR31" s="309"/>
      <c r="FS31" s="310"/>
      <c r="FT31" s="311"/>
      <c r="FU31" s="311"/>
      <c r="FV31" s="309"/>
      <c r="FW31" s="310"/>
      <c r="FX31" s="311"/>
      <c r="FY31" s="311"/>
      <c r="FZ31" s="309"/>
      <c r="GA31" s="310"/>
      <c r="GB31" s="311"/>
      <c r="GC31" s="311"/>
      <c r="GD31" s="309"/>
      <c r="GE31" s="310"/>
      <c r="GF31" s="311"/>
      <c r="GG31" s="311"/>
      <c r="GH31" s="309"/>
      <c r="GI31" s="310"/>
      <c r="GJ31" s="311"/>
      <c r="GK31" s="311"/>
      <c r="GL31" s="309"/>
      <c r="GM31" s="310"/>
      <c r="GN31" s="311"/>
      <c r="GO31" s="311"/>
      <c r="GP31" s="309"/>
      <c r="GQ31" s="310"/>
      <c r="GR31" s="311"/>
      <c r="GS31" s="311"/>
      <c r="GT31" s="309"/>
      <c r="GU31" s="310"/>
      <c r="GV31" s="311"/>
      <c r="GW31" s="311"/>
      <c r="GX31" s="309"/>
      <c r="GY31" s="310"/>
      <c r="GZ31" s="311"/>
      <c r="HA31" s="311"/>
      <c r="HB31" s="309"/>
      <c r="HC31" s="312">
        <f t="shared" si="66"/>
        <v>0</v>
      </c>
      <c r="HD31" s="313">
        <f t="shared" si="66"/>
        <v>0</v>
      </c>
      <c r="HE31" s="313">
        <f t="shared" si="66"/>
        <v>0</v>
      </c>
      <c r="HF31" s="314"/>
      <c r="HG31" s="312">
        <f>SUM(SUMIFS(K31:HB31,$K$13:$HB$13,{"エネルギー管理指定工場等*","県域*"}))</f>
        <v>0</v>
      </c>
      <c r="HH31" s="313">
        <f>SUM(SUMIFS(L31:HC31,$K$13:$HB$13,{"エネルギー管理指定工場等*","県域*"}))</f>
        <v>0</v>
      </c>
      <c r="HI31" s="313">
        <f>SUM(SUMIFS(M31:HD31,$K$13:$HB$13,{"エネルギー管理指定工場等*","県域*"}))</f>
        <v>0</v>
      </c>
      <c r="HJ31" s="314"/>
      <c r="HL31" s="219">
        <v>22</v>
      </c>
      <c r="HM31" s="714" t="str">
        <f t="shared" ca="1" si="49"/>
        <v/>
      </c>
      <c r="HN31" s="715" t="str">
        <f ca="1">IF(COUNTIF(HN$10:HN30,OFFSET(A1_原単位2026,5,HL31+2))&gt;=1,"",OFFSET(A1_原単位2026,5,HL31+2)&amp;"")</f>
        <v/>
      </c>
      <c r="HO31" s="716" t="str">
        <f t="shared" ca="1" si="50"/>
        <v/>
      </c>
      <c r="HP31" s="717" t="str">
        <f t="shared" ca="1" si="51"/>
        <v/>
      </c>
      <c r="HQ31" s="714" t="str">
        <f t="shared" ca="1" si="52"/>
        <v/>
      </c>
      <c r="HR31" s="715" t="str">
        <f ca="1">IF(COUNTIF(HR$10:HR30,OFFSET(A1_原単位2026,17,HL31+2))&gt;=1,"",OFFSET(A1_原単位2026,17,HL31+2)&amp;"")</f>
        <v/>
      </c>
      <c r="HS31" s="718" t="str">
        <f t="shared" ca="1" si="53"/>
        <v/>
      </c>
      <c r="HT31" s="719" t="str">
        <f t="shared" ca="1" si="54"/>
        <v/>
      </c>
      <c r="HU31" s="714" t="str">
        <f t="shared" ca="1" si="55"/>
        <v/>
      </c>
      <c r="HV31" s="715" t="str">
        <f ca="1">IF(COUNTIF(HV$10:HV30,OFFSET(A1_原単位2026,29,HL31+2))&gt;=1,"",OFFSET(A1_原単位2026,29,HL31+2)&amp;"")</f>
        <v/>
      </c>
      <c r="HW31" s="718" t="str">
        <f t="shared" ca="1" si="56"/>
        <v/>
      </c>
      <c r="HX31" s="719" t="str">
        <f t="shared" ca="1" si="57"/>
        <v/>
      </c>
      <c r="HY31" s="714" t="str">
        <f t="shared" ca="1" si="58"/>
        <v/>
      </c>
      <c r="HZ31" s="715" t="str">
        <f ca="1">IF(COUNTIF(HZ$10:HZ30,OFFSET(A1_原単位2026,41,HL31+2))&gt;=1,"",OFFSET(A1_原単位2026,41,HL31+2)&amp;"")</f>
        <v/>
      </c>
      <c r="IA31" s="720" t="str">
        <f t="shared" ca="1" si="59"/>
        <v/>
      </c>
      <c r="IB31" s="721" t="str">
        <f t="shared" ca="1" si="60"/>
        <v/>
      </c>
      <c r="IE31" s="159" t="str">
        <f t="shared" ca="1" si="61"/>
        <v/>
      </c>
      <c r="IF31" s="159" t="str">
        <f t="shared" ca="1" si="62"/>
        <v/>
      </c>
      <c r="IG31" s="159" t="str">
        <f t="shared" ca="1" si="63"/>
        <v/>
      </c>
      <c r="IH31" s="159" t="str">
        <f t="shared" ca="1" si="64"/>
        <v/>
      </c>
    </row>
    <row r="32" spans="2:242" s="164" customFormat="1" ht="20.100000000000001" customHeight="1">
      <c r="B32" s="302"/>
      <c r="C32" s="317" t="s">
        <v>580</v>
      </c>
      <c r="D32" s="303" t="s">
        <v>581</v>
      </c>
      <c r="E32" s="305"/>
      <c r="F32" s="303" t="s">
        <v>455</v>
      </c>
      <c r="G32" s="306">
        <v>28.7</v>
      </c>
      <c r="H32" s="307">
        <v>2.46E-2</v>
      </c>
      <c r="I32" s="308"/>
      <c r="J32" s="309"/>
      <c r="K32" s="310"/>
      <c r="L32" s="311"/>
      <c r="M32" s="311"/>
      <c r="N32" s="309"/>
      <c r="O32" s="310"/>
      <c r="P32" s="311"/>
      <c r="Q32" s="311"/>
      <c r="R32" s="309"/>
      <c r="S32" s="310"/>
      <c r="T32" s="311"/>
      <c r="U32" s="311"/>
      <c r="V32" s="309"/>
      <c r="W32" s="310"/>
      <c r="X32" s="311"/>
      <c r="Y32" s="311"/>
      <c r="Z32" s="309"/>
      <c r="AA32" s="310"/>
      <c r="AB32" s="311"/>
      <c r="AC32" s="311"/>
      <c r="AD32" s="309"/>
      <c r="AE32" s="310"/>
      <c r="AF32" s="311"/>
      <c r="AG32" s="311"/>
      <c r="AH32" s="309"/>
      <c r="AI32" s="310"/>
      <c r="AJ32" s="311"/>
      <c r="AK32" s="311"/>
      <c r="AL32" s="309"/>
      <c r="AM32" s="310"/>
      <c r="AN32" s="311"/>
      <c r="AO32" s="311"/>
      <c r="AP32" s="309"/>
      <c r="AQ32" s="310"/>
      <c r="AR32" s="311"/>
      <c r="AS32" s="311"/>
      <c r="AT32" s="309"/>
      <c r="AU32" s="310"/>
      <c r="AV32" s="311"/>
      <c r="AW32" s="311"/>
      <c r="AX32" s="309"/>
      <c r="AY32" s="310"/>
      <c r="AZ32" s="311"/>
      <c r="BA32" s="311"/>
      <c r="BB32" s="309"/>
      <c r="BC32" s="310"/>
      <c r="BD32" s="311"/>
      <c r="BE32" s="311"/>
      <c r="BF32" s="309"/>
      <c r="BG32" s="310"/>
      <c r="BH32" s="311"/>
      <c r="BI32" s="311"/>
      <c r="BJ32" s="309"/>
      <c r="BK32" s="310"/>
      <c r="BL32" s="311"/>
      <c r="BM32" s="311"/>
      <c r="BN32" s="309"/>
      <c r="BO32" s="310"/>
      <c r="BP32" s="311"/>
      <c r="BQ32" s="311"/>
      <c r="BR32" s="309"/>
      <c r="BS32" s="310"/>
      <c r="BT32" s="311"/>
      <c r="BU32" s="311"/>
      <c r="BV32" s="309"/>
      <c r="BW32" s="310"/>
      <c r="BX32" s="311"/>
      <c r="BY32" s="311"/>
      <c r="BZ32" s="309"/>
      <c r="CA32" s="310"/>
      <c r="CB32" s="311"/>
      <c r="CC32" s="311"/>
      <c r="CD32" s="309"/>
      <c r="CE32" s="310"/>
      <c r="CF32" s="311"/>
      <c r="CG32" s="311"/>
      <c r="CH32" s="309"/>
      <c r="CI32" s="310"/>
      <c r="CJ32" s="311"/>
      <c r="CK32" s="311"/>
      <c r="CL32" s="309"/>
      <c r="CM32" s="310"/>
      <c r="CN32" s="311"/>
      <c r="CO32" s="311"/>
      <c r="CP32" s="309"/>
      <c r="CQ32" s="310"/>
      <c r="CR32" s="311"/>
      <c r="CS32" s="311"/>
      <c r="CT32" s="309"/>
      <c r="CU32" s="310"/>
      <c r="CV32" s="311"/>
      <c r="CW32" s="311"/>
      <c r="CX32" s="309"/>
      <c r="CY32" s="310"/>
      <c r="CZ32" s="311"/>
      <c r="DA32" s="311"/>
      <c r="DB32" s="309"/>
      <c r="DC32" s="310"/>
      <c r="DD32" s="311"/>
      <c r="DE32" s="311"/>
      <c r="DF32" s="309"/>
      <c r="DG32" s="310"/>
      <c r="DH32" s="311"/>
      <c r="DI32" s="311"/>
      <c r="DJ32" s="309"/>
      <c r="DK32" s="310"/>
      <c r="DL32" s="311"/>
      <c r="DM32" s="311"/>
      <c r="DN32" s="309"/>
      <c r="DO32" s="310"/>
      <c r="DP32" s="311"/>
      <c r="DQ32" s="311"/>
      <c r="DR32" s="309"/>
      <c r="DS32" s="310"/>
      <c r="DT32" s="311"/>
      <c r="DU32" s="311"/>
      <c r="DV32" s="309"/>
      <c r="DW32" s="310"/>
      <c r="DX32" s="311"/>
      <c r="DY32" s="311"/>
      <c r="DZ32" s="309"/>
      <c r="EA32" s="310"/>
      <c r="EB32" s="311"/>
      <c r="EC32" s="311"/>
      <c r="ED32" s="309"/>
      <c r="EE32" s="310"/>
      <c r="EF32" s="311"/>
      <c r="EG32" s="311"/>
      <c r="EH32" s="309"/>
      <c r="EI32" s="310"/>
      <c r="EJ32" s="311"/>
      <c r="EK32" s="311"/>
      <c r="EL32" s="309"/>
      <c r="EM32" s="310"/>
      <c r="EN32" s="311"/>
      <c r="EO32" s="311"/>
      <c r="EP32" s="309"/>
      <c r="EQ32" s="310"/>
      <c r="ER32" s="311"/>
      <c r="ES32" s="311"/>
      <c r="ET32" s="309"/>
      <c r="EU32" s="310"/>
      <c r="EV32" s="311"/>
      <c r="EW32" s="311"/>
      <c r="EX32" s="309"/>
      <c r="EY32" s="310"/>
      <c r="EZ32" s="311"/>
      <c r="FA32" s="311"/>
      <c r="FB32" s="309"/>
      <c r="FC32" s="310"/>
      <c r="FD32" s="311"/>
      <c r="FE32" s="311"/>
      <c r="FF32" s="309"/>
      <c r="FG32" s="310"/>
      <c r="FH32" s="311"/>
      <c r="FI32" s="311"/>
      <c r="FJ32" s="309"/>
      <c r="FK32" s="310"/>
      <c r="FL32" s="311"/>
      <c r="FM32" s="311"/>
      <c r="FN32" s="309"/>
      <c r="FO32" s="310"/>
      <c r="FP32" s="311"/>
      <c r="FQ32" s="311"/>
      <c r="FR32" s="309"/>
      <c r="FS32" s="310"/>
      <c r="FT32" s="311"/>
      <c r="FU32" s="311"/>
      <c r="FV32" s="309"/>
      <c r="FW32" s="310"/>
      <c r="FX32" s="311"/>
      <c r="FY32" s="311"/>
      <c r="FZ32" s="309"/>
      <c r="GA32" s="310"/>
      <c r="GB32" s="311"/>
      <c r="GC32" s="311"/>
      <c r="GD32" s="309"/>
      <c r="GE32" s="310"/>
      <c r="GF32" s="311"/>
      <c r="GG32" s="311"/>
      <c r="GH32" s="309"/>
      <c r="GI32" s="310"/>
      <c r="GJ32" s="311"/>
      <c r="GK32" s="311"/>
      <c r="GL32" s="309"/>
      <c r="GM32" s="310"/>
      <c r="GN32" s="311"/>
      <c r="GO32" s="311"/>
      <c r="GP32" s="309"/>
      <c r="GQ32" s="310"/>
      <c r="GR32" s="311"/>
      <c r="GS32" s="311"/>
      <c r="GT32" s="309"/>
      <c r="GU32" s="310"/>
      <c r="GV32" s="311"/>
      <c r="GW32" s="311"/>
      <c r="GX32" s="309"/>
      <c r="GY32" s="310"/>
      <c r="GZ32" s="311"/>
      <c r="HA32" s="311"/>
      <c r="HB32" s="309"/>
      <c r="HC32" s="312">
        <f t="shared" si="66"/>
        <v>0</v>
      </c>
      <c r="HD32" s="313">
        <f t="shared" si="66"/>
        <v>0</v>
      </c>
      <c r="HE32" s="313">
        <f t="shared" si="66"/>
        <v>0</v>
      </c>
      <c r="HF32" s="314"/>
      <c r="HG32" s="312">
        <f>SUM(SUMIFS(K32:HB32,$K$13:$HB$13,{"エネルギー管理指定工場等*","県域*"}))</f>
        <v>0</v>
      </c>
      <c r="HH32" s="313">
        <f>SUM(SUMIFS(L32:HC32,$K$13:$HB$13,{"エネルギー管理指定工場等*","県域*"}))</f>
        <v>0</v>
      </c>
      <c r="HI32" s="313">
        <f>SUM(SUMIFS(M32:HD32,$K$13:$HB$13,{"エネルギー管理指定工場等*","県域*"}))</f>
        <v>0</v>
      </c>
      <c r="HJ32" s="314"/>
      <c r="HL32" s="230">
        <v>23</v>
      </c>
      <c r="HM32" s="714" t="str">
        <f t="shared" ca="1" si="49"/>
        <v/>
      </c>
      <c r="HN32" s="715" t="str">
        <f ca="1">IF(COUNTIF(HN$10:HN31,OFFSET(A1_原単位2026,5,HL32+2))&gt;=1,"",OFFSET(A1_原単位2026,5,HL32+2)&amp;"")</f>
        <v/>
      </c>
      <c r="HO32" s="716" t="str">
        <f t="shared" ca="1" si="50"/>
        <v/>
      </c>
      <c r="HP32" s="717" t="str">
        <f t="shared" ca="1" si="51"/>
        <v/>
      </c>
      <c r="HQ32" s="714" t="str">
        <f t="shared" ca="1" si="52"/>
        <v/>
      </c>
      <c r="HR32" s="715" t="str">
        <f ca="1">IF(COUNTIF(HR$10:HR31,OFFSET(A1_原単位2026,17,HL32+2))&gt;=1,"",OFFSET(A1_原単位2026,17,HL32+2)&amp;"")</f>
        <v/>
      </c>
      <c r="HS32" s="718" t="str">
        <f t="shared" ca="1" si="53"/>
        <v/>
      </c>
      <c r="HT32" s="719" t="str">
        <f t="shared" ca="1" si="54"/>
        <v/>
      </c>
      <c r="HU32" s="714" t="str">
        <f t="shared" ca="1" si="55"/>
        <v/>
      </c>
      <c r="HV32" s="715" t="str">
        <f ca="1">IF(COUNTIF(HV$10:HV31,OFFSET(A1_原単位2026,29,HL32+2))&gt;=1,"",OFFSET(A1_原単位2026,29,HL32+2)&amp;"")</f>
        <v/>
      </c>
      <c r="HW32" s="718" t="str">
        <f t="shared" ca="1" si="56"/>
        <v/>
      </c>
      <c r="HX32" s="719" t="str">
        <f t="shared" ca="1" si="57"/>
        <v/>
      </c>
      <c r="HY32" s="714" t="str">
        <f t="shared" ca="1" si="58"/>
        <v/>
      </c>
      <c r="HZ32" s="715" t="str">
        <f ca="1">IF(COUNTIF(HZ$10:HZ31,OFFSET(A1_原単位2026,41,HL32+2))&gt;=1,"",OFFSET(A1_原単位2026,41,HL32+2)&amp;"")</f>
        <v/>
      </c>
      <c r="IA32" s="720" t="str">
        <f t="shared" ca="1" si="59"/>
        <v/>
      </c>
      <c r="IB32" s="721" t="str">
        <f t="shared" ca="1" si="60"/>
        <v/>
      </c>
      <c r="IE32" s="159" t="str">
        <f t="shared" ca="1" si="61"/>
        <v/>
      </c>
      <c r="IF32" s="159" t="str">
        <f t="shared" ca="1" si="62"/>
        <v/>
      </c>
      <c r="IG32" s="159" t="str">
        <f t="shared" ca="1" si="63"/>
        <v/>
      </c>
      <c r="IH32" s="159" t="str">
        <f t="shared" ca="1" si="64"/>
        <v/>
      </c>
    </row>
    <row r="33" spans="2:242" s="164" customFormat="1" ht="20.100000000000001" customHeight="1">
      <c r="B33" s="302"/>
      <c r="C33" s="319"/>
      <c r="D33" s="303" t="s">
        <v>582</v>
      </c>
      <c r="E33" s="305"/>
      <c r="F33" s="303" t="s">
        <v>455</v>
      </c>
      <c r="G33" s="306">
        <v>28.9</v>
      </c>
      <c r="H33" s="307">
        <v>2.4500000000000001E-2</v>
      </c>
      <c r="I33" s="308"/>
      <c r="J33" s="309"/>
      <c r="K33" s="310"/>
      <c r="L33" s="311"/>
      <c r="M33" s="311"/>
      <c r="N33" s="309"/>
      <c r="O33" s="310"/>
      <c r="P33" s="311"/>
      <c r="Q33" s="311"/>
      <c r="R33" s="309"/>
      <c r="S33" s="310"/>
      <c r="T33" s="311"/>
      <c r="U33" s="311"/>
      <c r="V33" s="309"/>
      <c r="W33" s="310"/>
      <c r="X33" s="311"/>
      <c r="Y33" s="311"/>
      <c r="Z33" s="309"/>
      <c r="AA33" s="310"/>
      <c r="AB33" s="311"/>
      <c r="AC33" s="311"/>
      <c r="AD33" s="309"/>
      <c r="AE33" s="310"/>
      <c r="AF33" s="311"/>
      <c r="AG33" s="311"/>
      <c r="AH33" s="309"/>
      <c r="AI33" s="310"/>
      <c r="AJ33" s="311"/>
      <c r="AK33" s="311"/>
      <c r="AL33" s="309"/>
      <c r="AM33" s="310"/>
      <c r="AN33" s="311"/>
      <c r="AO33" s="311"/>
      <c r="AP33" s="309"/>
      <c r="AQ33" s="310"/>
      <c r="AR33" s="311"/>
      <c r="AS33" s="311"/>
      <c r="AT33" s="309"/>
      <c r="AU33" s="310"/>
      <c r="AV33" s="311"/>
      <c r="AW33" s="311"/>
      <c r="AX33" s="309"/>
      <c r="AY33" s="310"/>
      <c r="AZ33" s="311"/>
      <c r="BA33" s="311"/>
      <c r="BB33" s="309"/>
      <c r="BC33" s="310"/>
      <c r="BD33" s="311"/>
      <c r="BE33" s="311"/>
      <c r="BF33" s="309"/>
      <c r="BG33" s="310"/>
      <c r="BH33" s="311"/>
      <c r="BI33" s="311"/>
      <c r="BJ33" s="309"/>
      <c r="BK33" s="310"/>
      <c r="BL33" s="311"/>
      <c r="BM33" s="311"/>
      <c r="BN33" s="309"/>
      <c r="BO33" s="310"/>
      <c r="BP33" s="311"/>
      <c r="BQ33" s="311"/>
      <c r="BR33" s="309"/>
      <c r="BS33" s="310"/>
      <c r="BT33" s="311"/>
      <c r="BU33" s="311"/>
      <c r="BV33" s="309"/>
      <c r="BW33" s="310"/>
      <c r="BX33" s="311"/>
      <c r="BY33" s="311"/>
      <c r="BZ33" s="309"/>
      <c r="CA33" s="310"/>
      <c r="CB33" s="311"/>
      <c r="CC33" s="311"/>
      <c r="CD33" s="309"/>
      <c r="CE33" s="310"/>
      <c r="CF33" s="311"/>
      <c r="CG33" s="311"/>
      <c r="CH33" s="309"/>
      <c r="CI33" s="310"/>
      <c r="CJ33" s="311"/>
      <c r="CK33" s="311"/>
      <c r="CL33" s="309"/>
      <c r="CM33" s="310"/>
      <c r="CN33" s="311"/>
      <c r="CO33" s="311"/>
      <c r="CP33" s="309"/>
      <c r="CQ33" s="310"/>
      <c r="CR33" s="311"/>
      <c r="CS33" s="311"/>
      <c r="CT33" s="309"/>
      <c r="CU33" s="310"/>
      <c r="CV33" s="311"/>
      <c r="CW33" s="311"/>
      <c r="CX33" s="309"/>
      <c r="CY33" s="310"/>
      <c r="CZ33" s="311"/>
      <c r="DA33" s="311"/>
      <c r="DB33" s="309"/>
      <c r="DC33" s="310"/>
      <c r="DD33" s="311"/>
      <c r="DE33" s="311"/>
      <c r="DF33" s="309"/>
      <c r="DG33" s="310"/>
      <c r="DH33" s="311"/>
      <c r="DI33" s="311"/>
      <c r="DJ33" s="309"/>
      <c r="DK33" s="310"/>
      <c r="DL33" s="311"/>
      <c r="DM33" s="311"/>
      <c r="DN33" s="309"/>
      <c r="DO33" s="310"/>
      <c r="DP33" s="311"/>
      <c r="DQ33" s="311"/>
      <c r="DR33" s="309"/>
      <c r="DS33" s="310"/>
      <c r="DT33" s="311"/>
      <c r="DU33" s="311"/>
      <c r="DV33" s="309"/>
      <c r="DW33" s="310"/>
      <c r="DX33" s="311"/>
      <c r="DY33" s="311"/>
      <c r="DZ33" s="309"/>
      <c r="EA33" s="310"/>
      <c r="EB33" s="311"/>
      <c r="EC33" s="311"/>
      <c r="ED33" s="309"/>
      <c r="EE33" s="310"/>
      <c r="EF33" s="311"/>
      <c r="EG33" s="311"/>
      <c r="EH33" s="309"/>
      <c r="EI33" s="310"/>
      <c r="EJ33" s="311"/>
      <c r="EK33" s="311"/>
      <c r="EL33" s="309"/>
      <c r="EM33" s="310"/>
      <c r="EN33" s="311"/>
      <c r="EO33" s="311"/>
      <c r="EP33" s="309"/>
      <c r="EQ33" s="310"/>
      <c r="ER33" s="311"/>
      <c r="ES33" s="311"/>
      <c r="ET33" s="309"/>
      <c r="EU33" s="310"/>
      <c r="EV33" s="311"/>
      <c r="EW33" s="311"/>
      <c r="EX33" s="309"/>
      <c r="EY33" s="310"/>
      <c r="EZ33" s="311"/>
      <c r="FA33" s="311"/>
      <c r="FB33" s="309"/>
      <c r="FC33" s="310"/>
      <c r="FD33" s="311"/>
      <c r="FE33" s="311"/>
      <c r="FF33" s="309"/>
      <c r="FG33" s="310"/>
      <c r="FH33" s="311"/>
      <c r="FI33" s="311"/>
      <c r="FJ33" s="309"/>
      <c r="FK33" s="310"/>
      <c r="FL33" s="311"/>
      <c r="FM33" s="311"/>
      <c r="FN33" s="309"/>
      <c r="FO33" s="310"/>
      <c r="FP33" s="311"/>
      <c r="FQ33" s="311"/>
      <c r="FR33" s="309"/>
      <c r="FS33" s="310"/>
      <c r="FT33" s="311"/>
      <c r="FU33" s="311"/>
      <c r="FV33" s="309"/>
      <c r="FW33" s="310"/>
      <c r="FX33" s="311"/>
      <c r="FY33" s="311"/>
      <c r="FZ33" s="309"/>
      <c r="GA33" s="310"/>
      <c r="GB33" s="311"/>
      <c r="GC33" s="311"/>
      <c r="GD33" s="309"/>
      <c r="GE33" s="310"/>
      <c r="GF33" s="311"/>
      <c r="GG33" s="311"/>
      <c r="GH33" s="309"/>
      <c r="GI33" s="310"/>
      <c r="GJ33" s="311"/>
      <c r="GK33" s="311"/>
      <c r="GL33" s="309"/>
      <c r="GM33" s="310"/>
      <c r="GN33" s="311"/>
      <c r="GO33" s="311"/>
      <c r="GP33" s="309"/>
      <c r="GQ33" s="310"/>
      <c r="GR33" s="311"/>
      <c r="GS33" s="311"/>
      <c r="GT33" s="309"/>
      <c r="GU33" s="310"/>
      <c r="GV33" s="311"/>
      <c r="GW33" s="311"/>
      <c r="GX33" s="309"/>
      <c r="GY33" s="310"/>
      <c r="GZ33" s="311"/>
      <c r="HA33" s="311"/>
      <c r="HB33" s="309"/>
      <c r="HC33" s="312">
        <f t="shared" si="66"/>
        <v>0</v>
      </c>
      <c r="HD33" s="313">
        <f t="shared" si="66"/>
        <v>0</v>
      </c>
      <c r="HE33" s="313">
        <f t="shared" si="66"/>
        <v>0</v>
      </c>
      <c r="HF33" s="314"/>
      <c r="HG33" s="312">
        <f>SUM(SUMIFS(K33:HB33,$K$13:$HB$13,{"エネルギー管理指定工場等*","県域*"}))</f>
        <v>0</v>
      </c>
      <c r="HH33" s="313">
        <f>SUM(SUMIFS(L33:HC33,$K$13:$HB$13,{"エネルギー管理指定工場等*","県域*"}))</f>
        <v>0</v>
      </c>
      <c r="HI33" s="313">
        <f>SUM(SUMIFS(M33:HD33,$K$13:$HB$13,{"エネルギー管理指定工場等*","県域*"}))</f>
        <v>0</v>
      </c>
      <c r="HJ33" s="314"/>
      <c r="HL33" s="219">
        <v>24</v>
      </c>
      <c r="HM33" s="714" t="str">
        <f t="shared" ca="1" si="49"/>
        <v/>
      </c>
      <c r="HN33" s="715" t="str">
        <f ca="1">IF(COUNTIF(HN$10:HN32,OFFSET(A1_原単位2026,5,HL33+2))&gt;=1,"",OFFSET(A1_原単位2026,5,HL33+2)&amp;"")</f>
        <v/>
      </c>
      <c r="HO33" s="716" t="str">
        <f t="shared" ca="1" si="50"/>
        <v/>
      </c>
      <c r="HP33" s="717" t="str">
        <f t="shared" ca="1" si="51"/>
        <v/>
      </c>
      <c r="HQ33" s="714" t="str">
        <f t="shared" ca="1" si="52"/>
        <v/>
      </c>
      <c r="HR33" s="715" t="str">
        <f ca="1">IF(COUNTIF(HR$10:HR32,OFFSET(A1_原単位2026,17,HL33+2))&gt;=1,"",OFFSET(A1_原単位2026,17,HL33+2)&amp;"")</f>
        <v/>
      </c>
      <c r="HS33" s="718" t="str">
        <f t="shared" ca="1" si="53"/>
        <v/>
      </c>
      <c r="HT33" s="719" t="str">
        <f t="shared" ca="1" si="54"/>
        <v/>
      </c>
      <c r="HU33" s="714" t="str">
        <f t="shared" ca="1" si="55"/>
        <v/>
      </c>
      <c r="HV33" s="715" t="str">
        <f ca="1">IF(COUNTIF(HV$10:HV32,OFFSET(A1_原単位2026,29,HL33+2))&gt;=1,"",OFFSET(A1_原単位2026,29,HL33+2)&amp;"")</f>
        <v/>
      </c>
      <c r="HW33" s="718" t="str">
        <f t="shared" ca="1" si="56"/>
        <v/>
      </c>
      <c r="HX33" s="719" t="str">
        <f t="shared" ca="1" si="57"/>
        <v/>
      </c>
      <c r="HY33" s="714" t="str">
        <f t="shared" ca="1" si="58"/>
        <v/>
      </c>
      <c r="HZ33" s="715" t="str">
        <f ca="1">IF(COUNTIF(HZ$10:HZ32,OFFSET(A1_原単位2026,41,HL33+2))&gt;=1,"",OFFSET(A1_原単位2026,41,HL33+2)&amp;"")</f>
        <v/>
      </c>
      <c r="IA33" s="720" t="str">
        <f t="shared" ca="1" si="59"/>
        <v/>
      </c>
      <c r="IB33" s="721" t="str">
        <f t="shared" ca="1" si="60"/>
        <v/>
      </c>
      <c r="IE33" s="159" t="str">
        <f t="shared" ca="1" si="61"/>
        <v/>
      </c>
      <c r="IF33" s="159" t="str">
        <f t="shared" ca="1" si="62"/>
        <v/>
      </c>
      <c r="IG33" s="159" t="str">
        <f t="shared" ca="1" si="63"/>
        <v/>
      </c>
      <c r="IH33" s="159" t="str">
        <f t="shared" ca="1" si="64"/>
        <v/>
      </c>
    </row>
    <row r="34" spans="2:242" s="164" customFormat="1" ht="20.100000000000001" customHeight="1">
      <c r="B34" s="302"/>
      <c r="C34" s="319"/>
      <c r="D34" s="303" t="s">
        <v>583</v>
      </c>
      <c r="E34" s="305"/>
      <c r="F34" s="303" t="s">
        <v>455</v>
      </c>
      <c r="G34" s="306">
        <v>28.3</v>
      </c>
      <c r="H34" s="307">
        <v>2.5100000000000001E-2</v>
      </c>
      <c r="I34" s="308"/>
      <c r="J34" s="309"/>
      <c r="K34" s="310"/>
      <c r="L34" s="311"/>
      <c r="M34" s="311"/>
      <c r="N34" s="309"/>
      <c r="O34" s="310"/>
      <c r="P34" s="311"/>
      <c r="Q34" s="311"/>
      <c r="R34" s="309"/>
      <c r="S34" s="310"/>
      <c r="T34" s="311"/>
      <c r="U34" s="311"/>
      <c r="V34" s="309"/>
      <c r="W34" s="310"/>
      <c r="X34" s="311"/>
      <c r="Y34" s="311"/>
      <c r="Z34" s="309"/>
      <c r="AA34" s="310"/>
      <c r="AB34" s="311"/>
      <c r="AC34" s="311"/>
      <c r="AD34" s="309"/>
      <c r="AE34" s="310"/>
      <c r="AF34" s="311"/>
      <c r="AG34" s="311"/>
      <c r="AH34" s="309"/>
      <c r="AI34" s="310"/>
      <c r="AJ34" s="311"/>
      <c r="AK34" s="311"/>
      <c r="AL34" s="309"/>
      <c r="AM34" s="310"/>
      <c r="AN34" s="311"/>
      <c r="AO34" s="311"/>
      <c r="AP34" s="309"/>
      <c r="AQ34" s="310"/>
      <c r="AR34" s="311"/>
      <c r="AS34" s="311"/>
      <c r="AT34" s="309"/>
      <c r="AU34" s="310"/>
      <c r="AV34" s="311"/>
      <c r="AW34" s="311"/>
      <c r="AX34" s="309"/>
      <c r="AY34" s="310"/>
      <c r="AZ34" s="311"/>
      <c r="BA34" s="311"/>
      <c r="BB34" s="309"/>
      <c r="BC34" s="310"/>
      <c r="BD34" s="311"/>
      <c r="BE34" s="311"/>
      <c r="BF34" s="309"/>
      <c r="BG34" s="310"/>
      <c r="BH34" s="311"/>
      <c r="BI34" s="311"/>
      <c r="BJ34" s="309"/>
      <c r="BK34" s="310"/>
      <c r="BL34" s="311"/>
      <c r="BM34" s="311"/>
      <c r="BN34" s="309"/>
      <c r="BO34" s="310"/>
      <c r="BP34" s="311"/>
      <c r="BQ34" s="311"/>
      <c r="BR34" s="309"/>
      <c r="BS34" s="310"/>
      <c r="BT34" s="311"/>
      <c r="BU34" s="311"/>
      <c r="BV34" s="309"/>
      <c r="BW34" s="310"/>
      <c r="BX34" s="311"/>
      <c r="BY34" s="311"/>
      <c r="BZ34" s="309"/>
      <c r="CA34" s="310"/>
      <c r="CB34" s="311"/>
      <c r="CC34" s="311"/>
      <c r="CD34" s="309"/>
      <c r="CE34" s="310"/>
      <c r="CF34" s="311"/>
      <c r="CG34" s="311"/>
      <c r="CH34" s="309"/>
      <c r="CI34" s="310"/>
      <c r="CJ34" s="311"/>
      <c r="CK34" s="311"/>
      <c r="CL34" s="309"/>
      <c r="CM34" s="310"/>
      <c r="CN34" s="311"/>
      <c r="CO34" s="311"/>
      <c r="CP34" s="309"/>
      <c r="CQ34" s="310"/>
      <c r="CR34" s="311"/>
      <c r="CS34" s="311"/>
      <c r="CT34" s="309"/>
      <c r="CU34" s="310"/>
      <c r="CV34" s="311"/>
      <c r="CW34" s="311"/>
      <c r="CX34" s="309"/>
      <c r="CY34" s="310"/>
      <c r="CZ34" s="311"/>
      <c r="DA34" s="311"/>
      <c r="DB34" s="309"/>
      <c r="DC34" s="310"/>
      <c r="DD34" s="311"/>
      <c r="DE34" s="311"/>
      <c r="DF34" s="309"/>
      <c r="DG34" s="310"/>
      <c r="DH34" s="311"/>
      <c r="DI34" s="311"/>
      <c r="DJ34" s="309"/>
      <c r="DK34" s="310"/>
      <c r="DL34" s="311"/>
      <c r="DM34" s="311"/>
      <c r="DN34" s="309"/>
      <c r="DO34" s="310"/>
      <c r="DP34" s="311"/>
      <c r="DQ34" s="311"/>
      <c r="DR34" s="309"/>
      <c r="DS34" s="310"/>
      <c r="DT34" s="311"/>
      <c r="DU34" s="311"/>
      <c r="DV34" s="309"/>
      <c r="DW34" s="310"/>
      <c r="DX34" s="311"/>
      <c r="DY34" s="311"/>
      <c r="DZ34" s="309"/>
      <c r="EA34" s="310"/>
      <c r="EB34" s="311"/>
      <c r="EC34" s="311"/>
      <c r="ED34" s="309"/>
      <c r="EE34" s="310"/>
      <c r="EF34" s="311"/>
      <c r="EG34" s="311"/>
      <c r="EH34" s="309"/>
      <c r="EI34" s="310"/>
      <c r="EJ34" s="311"/>
      <c r="EK34" s="311"/>
      <c r="EL34" s="309"/>
      <c r="EM34" s="310"/>
      <c r="EN34" s="311"/>
      <c r="EO34" s="311"/>
      <c r="EP34" s="309"/>
      <c r="EQ34" s="310"/>
      <c r="ER34" s="311"/>
      <c r="ES34" s="311"/>
      <c r="ET34" s="309"/>
      <c r="EU34" s="310"/>
      <c r="EV34" s="311"/>
      <c r="EW34" s="311"/>
      <c r="EX34" s="309"/>
      <c r="EY34" s="310"/>
      <c r="EZ34" s="311"/>
      <c r="FA34" s="311"/>
      <c r="FB34" s="309"/>
      <c r="FC34" s="310"/>
      <c r="FD34" s="311"/>
      <c r="FE34" s="311"/>
      <c r="FF34" s="309"/>
      <c r="FG34" s="310"/>
      <c r="FH34" s="311"/>
      <c r="FI34" s="311"/>
      <c r="FJ34" s="309"/>
      <c r="FK34" s="310"/>
      <c r="FL34" s="311"/>
      <c r="FM34" s="311"/>
      <c r="FN34" s="309"/>
      <c r="FO34" s="310"/>
      <c r="FP34" s="311"/>
      <c r="FQ34" s="311"/>
      <c r="FR34" s="309"/>
      <c r="FS34" s="310"/>
      <c r="FT34" s="311"/>
      <c r="FU34" s="311"/>
      <c r="FV34" s="309"/>
      <c r="FW34" s="310"/>
      <c r="FX34" s="311"/>
      <c r="FY34" s="311"/>
      <c r="FZ34" s="309"/>
      <c r="GA34" s="310"/>
      <c r="GB34" s="311"/>
      <c r="GC34" s="311"/>
      <c r="GD34" s="309"/>
      <c r="GE34" s="310"/>
      <c r="GF34" s="311"/>
      <c r="GG34" s="311"/>
      <c r="GH34" s="309"/>
      <c r="GI34" s="310"/>
      <c r="GJ34" s="311"/>
      <c r="GK34" s="311"/>
      <c r="GL34" s="309"/>
      <c r="GM34" s="310"/>
      <c r="GN34" s="311"/>
      <c r="GO34" s="311"/>
      <c r="GP34" s="309"/>
      <c r="GQ34" s="310"/>
      <c r="GR34" s="311"/>
      <c r="GS34" s="311"/>
      <c r="GT34" s="309"/>
      <c r="GU34" s="310"/>
      <c r="GV34" s="311"/>
      <c r="GW34" s="311"/>
      <c r="GX34" s="309"/>
      <c r="GY34" s="310"/>
      <c r="GZ34" s="311"/>
      <c r="HA34" s="311"/>
      <c r="HB34" s="309"/>
      <c r="HC34" s="312">
        <f t="shared" si="66"/>
        <v>0</v>
      </c>
      <c r="HD34" s="313">
        <f t="shared" si="66"/>
        <v>0</v>
      </c>
      <c r="HE34" s="313">
        <f t="shared" si="66"/>
        <v>0</v>
      </c>
      <c r="HF34" s="314"/>
      <c r="HG34" s="312">
        <f>SUM(SUMIFS(K34:HB34,$K$13:$HB$13,{"エネルギー管理指定工場等*","県域*"}))</f>
        <v>0</v>
      </c>
      <c r="HH34" s="313">
        <f>SUM(SUMIFS(L34:HC34,$K$13:$HB$13,{"エネルギー管理指定工場等*","県域*"}))</f>
        <v>0</v>
      </c>
      <c r="HI34" s="313">
        <f>SUM(SUMIFS(M34:HD34,$K$13:$HB$13,{"エネルギー管理指定工場等*","県域*"}))</f>
        <v>0</v>
      </c>
      <c r="HJ34" s="314"/>
      <c r="HL34" s="230">
        <v>25</v>
      </c>
      <c r="HM34" s="714" t="str">
        <f t="shared" ca="1" si="49"/>
        <v/>
      </c>
      <c r="HN34" s="715" t="str">
        <f ca="1">IF(COUNTIF(HN$10:HN33,OFFSET(A1_原単位2026,5,HL34+2))&gt;=1,"",OFFSET(A1_原単位2026,5,HL34+2)&amp;"")</f>
        <v/>
      </c>
      <c r="HO34" s="716" t="str">
        <f t="shared" ca="1" si="50"/>
        <v/>
      </c>
      <c r="HP34" s="717" t="str">
        <f t="shared" ca="1" si="51"/>
        <v/>
      </c>
      <c r="HQ34" s="714" t="str">
        <f t="shared" ca="1" si="52"/>
        <v/>
      </c>
      <c r="HR34" s="715" t="str">
        <f ca="1">IF(COUNTIF(HR$10:HR33,OFFSET(A1_原単位2026,17,HL34+2))&gt;=1,"",OFFSET(A1_原単位2026,17,HL34+2)&amp;"")</f>
        <v/>
      </c>
      <c r="HS34" s="718" t="str">
        <f t="shared" ca="1" si="53"/>
        <v/>
      </c>
      <c r="HT34" s="719" t="str">
        <f t="shared" ca="1" si="54"/>
        <v/>
      </c>
      <c r="HU34" s="714" t="str">
        <f t="shared" ca="1" si="55"/>
        <v/>
      </c>
      <c r="HV34" s="715" t="str">
        <f ca="1">IF(COUNTIF(HV$10:HV33,OFFSET(A1_原単位2026,29,HL34+2))&gt;=1,"",OFFSET(A1_原単位2026,29,HL34+2)&amp;"")</f>
        <v/>
      </c>
      <c r="HW34" s="718" t="str">
        <f t="shared" ca="1" si="56"/>
        <v/>
      </c>
      <c r="HX34" s="719" t="str">
        <f t="shared" ca="1" si="57"/>
        <v/>
      </c>
      <c r="HY34" s="714" t="str">
        <f t="shared" ca="1" si="58"/>
        <v/>
      </c>
      <c r="HZ34" s="715" t="str">
        <f ca="1">IF(COUNTIF(HZ$10:HZ33,OFFSET(A1_原単位2026,41,HL34+2))&gt;=1,"",OFFSET(A1_原単位2026,41,HL34+2)&amp;"")</f>
        <v/>
      </c>
      <c r="IA34" s="720" t="str">
        <f t="shared" ca="1" si="59"/>
        <v/>
      </c>
      <c r="IB34" s="721" t="str">
        <f t="shared" ca="1" si="60"/>
        <v/>
      </c>
      <c r="IE34" s="159" t="str">
        <f t="shared" ca="1" si="61"/>
        <v/>
      </c>
      <c r="IF34" s="159" t="str">
        <f t="shared" ca="1" si="62"/>
        <v/>
      </c>
      <c r="IG34" s="159" t="str">
        <f t="shared" ca="1" si="63"/>
        <v/>
      </c>
      <c r="IH34" s="159" t="str">
        <f t="shared" ca="1" si="64"/>
        <v/>
      </c>
    </row>
    <row r="35" spans="2:242" s="164" customFormat="1" ht="20.100000000000001" customHeight="1">
      <c r="B35" s="302"/>
      <c r="C35" s="319"/>
      <c r="D35" s="303" t="s">
        <v>584</v>
      </c>
      <c r="E35" s="305"/>
      <c r="F35" s="303" t="s">
        <v>455</v>
      </c>
      <c r="G35" s="306">
        <v>26.1</v>
      </c>
      <c r="H35" s="307">
        <v>2.4299999999999999E-2</v>
      </c>
      <c r="I35" s="308"/>
      <c r="J35" s="309"/>
      <c r="K35" s="310"/>
      <c r="L35" s="311"/>
      <c r="M35" s="311"/>
      <c r="N35" s="309"/>
      <c r="O35" s="310"/>
      <c r="P35" s="311"/>
      <c r="Q35" s="311"/>
      <c r="R35" s="309"/>
      <c r="S35" s="310"/>
      <c r="T35" s="311"/>
      <c r="U35" s="311"/>
      <c r="V35" s="309"/>
      <c r="W35" s="310"/>
      <c r="X35" s="311"/>
      <c r="Y35" s="311"/>
      <c r="Z35" s="309"/>
      <c r="AA35" s="310"/>
      <c r="AB35" s="311"/>
      <c r="AC35" s="311"/>
      <c r="AD35" s="309"/>
      <c r="AE35" s="310"/>
      <c r="AF35" s="311"/>
      <c r="AG35" s="311"/>
      <c r="AH35" s="309"/>
      <c r="AI35" s="310"/>
      <c r="AJ35" s="311"/>
      <c r="AK35" s="311"/>
      <c r="AL35" s="309"/>
      <c r="AM35" s="310"/>
      <c r="AN35" s="311"/>
      <c r="AO35" s="311"/>
      <c r="AP35" s="309"/>
      <c r="AQ35" s="310"/>
      <c r="AR35" s="311"/>
      <c r="AS35" s="311"/>
      <c r="AT35" s="309"/>
      <c r="AU35" s="310"/>
      <c r="AV35" s="311"/>
      <c r="AW35" s="311"/>
      <c r="AX35" s="309"/>
      <c r="AY35" s="310"/>
      <c r="AZ35" s="311"/>
      <c r="BA35" s="311"/>
      <c r="BB35" s="309"/>
      <c r="BC35" s="310"/>
      <c r="BD35" s="311"/>
      <c r="BE35" s="311"/>
      <c r="BF35" s="309"/>
      <c r="BG35" s="310"/>
      <c r="BH35" s="311"/>
      <c r="BI35" s="311"/>
      <c r="BJ35" s="309"/>
      <c r="BK35" s="310"/>
      <c r="BL35" s="311"/>
      <c r="BM35" s="311"/>
      <c r="BN35" s="309"/>
      <c r="BO35" s="310"/>
      <c r="BP35" s="311"/>
      <c r="BQ35" s="311"/>
      <c r="BR35" s="309"/>
      <c r="BS35" s="310"/>
      <c r="BT35" s="311"/>
      <c r="BU35" s="311"/>
      <c r="BV35" s="309"/>
      <c r="BW35" s="310"/>
      <c r="BX35" s="311"/>
      <c r="BY35" s="311"/>
      <c r="BZ35" s="309"/>
      <c r="CA35" s="310"/>
      <c r="CB35" s="311"/>
      <c r="CC35" s="311"/>
      <c r="CD35" s="309"/>
      <c r="CE35" s="310"/>
      <c r="CF35" s="311"/>
      <c r="CG35" s="311"/>
      <c r="CH35" s="309"/>
      <c r="CI35" s="310"/>
      <c r="CJ35" s="311"/>
      <c r="CK35" s="311"/>
      <c r="CL35" s="309"/>
      <c r="CM35" s="310"/>
      <c r="CN35" s="311"/>
      <c r="CO35" s="311"/>
      <c r="CP35" s="309"/>
      <c r="CQ35" s="310"/>
      <c r="CR35" s="311"/>
      <c r="CS35" s="311"/>
      <c r="CT35" s="309"/>
      <c r="CU35" s="310"/>
      <c r="CV35" s="311"/>
      <c r="CW35" s="311"/>
      <c r="CX35" s="309"/>
      <c r="CY35" s="310"/>
      <c r="CZ35" s="311"/>
      <c r="DA35" s="311"/>
      <c r="DB35" s="309"/>
      <c r="DC35" s="310"/>
      <c r="DD35" s="311"/>
      <c r="DE35" s="311"/>
      <c r="DF35" s="309"/>
      <c r="DG35" s="310"/>
      <c r="DH35" s="311"/>
      <c r="DI35" s="311"/>
      <c r="DJ35" s="309"/>
      <c r="DK35" s="310"/>
      <c r="DL35" s="311"/>
      <c r="DM35" s="311"/>
      <c r="DN35" s="309"/>
      <c r="DO35" s="310"/>
      <c r="DP35" s="311"/>
      <c r="DQ35" s="311"/>
      <c r="DR35" s="309"/>
      <c r="DS35" s="310"/>
      <c r="DT35" s="311"/>
      <c r="DU35" s="311"/>
      <c r="DV35" s="309"/>
      <c r="DW35" s="310"/>
      <c r="DX35" s="311"/>
      <c r="DY35" s="311"/>
      <c r="DZ35" s="309"/>
      <c r="EA35" s="310"/>
      <c r="EB35" s="311"/>
      <c r="EC35" s="311"/>
      <c r="ED35" s="309"/>
      <c r="EE35" s="310"/>
      <c r="EF35" s="311"/>
      <c r="EG35" s="311"/>
      <c r="EH35" s="309"/>
      <c r="EI35" s="310"/>
      <c r="EJ35" s="311"/>
      <c r="EK35" s="311"/>
      <c r="EL35" s="309"/>
      <c r="EM35" s="310"/>
      <c r="EN35" s="311"/>
      <c r="EO35" s="311"/>
      <c r="EP35" s="309"/>
      <c r="EQ35" s="310"/>
      <c r="ER35" s="311"/>
      <c r="ES35" s="311"/>
      <c r="ET35" s="309"/>
      <c r="EU35" s="310"/>
      <c r="EV35" s="311"/>
      <c r="EW35" s="311"/>
      <c r="EX35" s="309"/>
      <c r="EY35" s="310"/>
      <c r="EZ35" s="311"/>
      <c r="FA35" s="311"/>
      <c r="FB35" s="309"/>
      <c r="FC35" s="310"/>
      <c r="FD35" s="311"/>
      <c r="FE35" s="311"/>
      <c r="FF35" s="309"/>
      <c r="FG35" s="310"/>
      <c r="FH35" s="311"/>
      <c r="FI35" s="311"/>
      <c r="FJ35" s="309"/>
      <c r="FK35" s="310"/>
      <c r="FL35" s="311"/>
      <c r="FM35" s="311"/>
      <c r="FN35" s="309"/>
      <c r="FO35" s="310"/>
      <c r="FP35" s="311"/>
      <c r="FQ35" s="311"/>
      <c r="FR35" s="309"/>
      <c r="FS35" s="310"/>
      <c r="FT35" s="311"/>
      <c r="FU35" s="311"/>
      <c r="FV35" s="309"/>
      <c r="FW35" s="310"/>
      <c r="FX35" s="311"/>
      <c r="FY35" s="311"/>
      <c r="FZ35" s="309"/>
      <c r="GA35" s="310"/>
      <c r="GB35" s="311"/>
      <c r="GC35" s="311"/>
      <c r="GD35" s="309"/>
      <c r="GE35" s="310"/>
      <c r="GF35" s="311"/>
      <c r="GG35" s="311"/>
      <c r="GH35" s="309"/>
      <c r="GI35" s="310"/>
      <c r="GJ35" s="311"/>
      <c r="GK35" s="311"/>
      <c r="GL35" s="309"/>
      <c r="GM35" s="310"/>
      <c r="GN35" s="311"/>
      <c r="GO35" s="311"/>
      <c r="GP35" s="309"/>
      <c r="GQ35" s="310"/>
      <c r="GR35" s="311"/>
      <c r="GS35" s="311"/>
      <c r="GT35" s="309"/>
      <c r="GU35" s="310"/>
      <c r="GV35" s="311"/>
      <c r="GW35" s="311"/>
      <c r="GX35" s="309"/>
      <c r="GY35" s="310"/>
      <c r="GZ35" s="311"/>
      <c r="HA35" s="311"/>
      <c r="HB35" s="309"/>
      <c r="HC35" s="312">
        <f t="shared" si="66"/>
        <v>0</v>
      </c>
      <c r="HD35" s="313">
        <f t="shared" si="66"/>
        <v>0</v>
      </c>
      <c r="HE35" s="313">
        <f t="shared" si="66"/>
        <v>0</v>
      </c>
      <c r="HF35" s="314"/>
      <c r="HG35" s="312">
        <f>SUM(SUMIFS(K35:HB35,$K$13:$HB$13,{"エネルギー管理指定工場等*","県域*"}))</f>
        <v>0</v>
      </c>
      <c r="HH35" s="313">
        <f>SUM(SUMIFS(L35:HC35,$K$13:$HB$13,{"エネルギー管理指定工場等*","県域*"}))</f>
        <v>0</v>
      </c>
      <c r="HI35" s="313">
        <f>SUM(SUMIFS(M35:HD35,$K$13:$HB$13,{"エネルギー管理指定工場等*","県域*"}))</f>
        <v>0</v>
      </c>
      <c r="HJ35" s="314"/>
      <c r="HL35" s="219">
        <v>26</v>
      </c>
      <c r="HM35" s="714" t="str">
        <f t="shared" ca="1" si="49"/>
        <v/>
      </c>
      <c r="HN35" s="715" t="str">
        <f ca="1">IF(COUNTIF(HN$10:HN34,OFFSET(A1_原単位2026,5,HL35+2))&gt;=1,"",OFFSET(A1_原単位2026,5,HL35+2)&amp;"")</f>
        <v/>
      </c>
      <c r="HO35" s="716" t="str">
        <f t="shared" ca="1" si="50"/>
        <v/>
      </c>
      <c r="HP35" s="717" t="str">
        <f t="shared" ca="1" si="51"/>
        <v/>
      </c>
      <c r="HQ35" s="714" t="str">
        <f t="shared" ca="1" si="52"/>
        <v/>
      </c>
      <c r="HR35" s="715" t="str">
        <f ca="1">IF(COUNTIF(HR$10:HR34,OFFSET(A1_原単位2026,17,HL35+2))&gt;=1,"",OFFSET(A1_原単位2026,17,HL35+2)&amp;"")</f>
        <v/>
      </c>
      <c r="HS35" s="718" t="str">
        <f t="shared" ca="1" si="53"/>
        <v/>
      </c>
      <c r="HT35" s="719" t="str">
        <f t="shared" ca="1" si="54"/>
        <v/>
      </c>
      <c r="HU35" s="714" t="str">
        <f t="shared" ca="1" si="55"/>
        <v/>
      </c>
      <c r="HV35" s="715" t="str">
        <f ca="1">IF(COUNTIF(HV$10:HV34,OFFSET(A1_原単位2026,29,HL35+2))&gt;=1,"",OFFSET(A1_原単位2026,29,HL35+2)&amp;"")</f>
        <v/>
      </c>
      <c r="HW35" s="718" t="str">
        <f t="shared" ca="1" si="56"/>
        <v/>
      </c>
      <c r="HX35" s="719" t="str">
        <f t="shared" ca="1" si="57"/>
        <v/>
      </c>
      <c r="HY35" s="714" t="str">
        <f t="shared" ca="1" si="58"/>
        <v/>
      </c>
      <c r="HZ35" s="715" t="str">
        <f ca="1">IF(COUNTIF(HZ$10:HZ34,OFFSET(A1_原単位2026,41,HL35+2))&gt;=1,"",OFFSET(A1_原単位2026,41,HL35+2)&amp;"")</f>
        <v/>
      </c>
      <c r="IA35" s="720" t="str">
        <f t="shared" ca="1" si="59"/>
        <v/>
      </c>
      <c r="IB35" s="721" t="str">
        <f t="shared" ca="1" si="60"/>
        <v/>
      </c>
      <c r="IE35" s="159" t="str">
        <f t="shared" ca="1" si="61"/>
        <v/>
      </c>
      <c r="IF35" s="159" t="str">
        <f t="shared" ca="1" si="62"/>
        <v/>
      </c>
      <c r="IG35" s="159" t="str">
        <f t="shared" ca="1" si="63"/>
        <v/>
      </c>
      <c r="IH35" s="159" t="str">
        <f t="shared" ca="1" si="64"/>
        <v/>
      </c>
    </row>
    <row r="36" spans="2:242" s="164" customFormat="1" ht="20.100000000000001" customHeight="1">
      <c r="B36" s="302"/>
      <c r="C36" s="319"/>
      <c r="D36" s="303" t="s">
        <v>585</v>
      </c>
      <c r="E36" s="305"/>
      <c r="F36" s="303" t="s">
        <v>455</v>
      </c>
      <c r="G36" s="306">
        <v>24.2</v>
      </c>
      <c r="H36" s="307">
        <v>2.4199999999999999E-2</v>
      </c>
      <c r="I36" s="308"/>
      <c r="J36" s="309"/>
      <c r="K36" s="310"/>
      <c r="L36" s="311"/>
      <c r="M36" s="311"/>
      <c r="N36" s="309"/>
      <c r="O36" s="310"/>
      <c r="P36" s="311"/>
      <c r="Q36" s="311"/>
      <c r="R36" s="309"/>
      <c r="S36" s="310"/>
      <c r="T36" s="311"/>
      <c r="U36" s="311"/>
      <c r="V36" s="309"/>
      <c r="W36" s="310"/>
      <c r="X36" s="311"/>
      <c r="Y36" s="311"/>
      <c r="Z36" s="309"/>
      <c r="AA36" s="310"/>
      <c r="AB36" s="311"/>
      <c r="AC36" s="311"/>
      <c r="AD36" s="309"/>
      <c r="AE36" s="310"/>
      <c r="AF36" s="311"/>
      <c r="AG36" s="311"/>
      <c r="AH36" s="309"/>
      <c r="AI36" s="310"/>
      <c r="AJ36" s="311"/>
      <c r="AK36" s="311"/>
      <c r="AL36" s="309"/>
      <c r="AM36" s="310"/>
      <c r="AN36" s="311"/>
      <c r="AO36" s="311"/>
      <c r="AP36" s="309"/>
      <c r="AQ36" s="310"/>
      <c r="AR36" s="311"/>
      <c r="AS36" s="311"/>
      <c r="AT36" s="309"/>
      <c r="AU36" s="310"/>
      <c r="AV36" s="311"/>
      <c r="AW36" s="311"/>
      <c r="AX36" s="309"/>
      <c r="AY36" s="310"/>
      <c r="AZ36" s="311"/>
      <c r="BA36" s="311"/>
      <c r="BB36" s="309"/>
      <c r="BC36" s="310"/>
      <c r="BD36" s="311"/>
      <c r="BE36" s="311"/>
      <c r="BF36" s="309"/>
      <c r="BG36" s="310"/>
      <c r="BH36" s="311"/>
      <c r="BI36" s="311"/>
      <c r="BJ36" s="309"/>
      <c r="BK36" s="310"/>
      <c r="BL36" s="311"/>
      <c r="BM36" s="311"/>
      <c r="BN36" s="309"/>
      <c r="BO36" s="310"/>
      <c r="BP36" s="311"/>
      <c r="BQ36" s="311"/>
      <c r="BR36" s="309"/>
      <c r="BS36" s="310"/>
      <c r="BT36" s="311"/>
      <c r="BU36" s="311"/>
      <c r="BV36" s="309"/>
      <c r="BW36" s="310"/>
      <c r="BX36" s="311"/>
      <c r="BY36" s="311"/>
      <c r="BZ36" s="309"/>
      <c r="CA36" s="310"/>
      <c r="CB36" s="311"/>
      <c r="CC36" s="311"/>
      <c r="CD36" s="309"/>
      <c r="CE36" s="310"/>
      <c r="CF36" s="311"/>
      <c r="CG36" s="311"/>
      <c r="CH36" s="309"/>
      <c r="CI36" s="310"/>
      <c r="CJ36" s="311"/>
      <c r="CK36" s="311"/>
      <c r="CL36" s="309"/>
      <c r="CM36" s="310"/>
      <c r="CN36" s="311"/>
      <c r="CO36" s="311"/>
      <c r="CP36" s="309"/>
      <c r="CQ36" s="310"/>
      <c r="CR36" s="311"/>
      <c r="CS36" s="311"/>
      <c r="CT36" s="309"/>
      <c r="CU36" s="310"/>
      <c r="CV36" s="311"/>
      <c r="CW36" s="311"/>
      <c r="CX36" s="309"/>
      <c r="CY36" s="310"/>
      <c r="CZ36" s="311"/>
      <c r="DA36" s="311"/>
      <c r="DB36" s="309"/>
      <c r="DC36" s="310"/>
      <c r="DD36" s="311"/>
      <c r="DE36" s="311"/>
      <c r="DF36" s="309"/>
      <c r="DG36" s="310"/>
      <c r="DH36" s="311"/>
      <c r="DI36" s="311"/>
      <c r="DJ36" s="309"/>
      <c r="DK36" s="310"/>
      <c r="DL36" s="311"/>
      <c r="DM36" s="311"/>
      <c r="DN36" s="309"/>
      <c r="DO36" s="310"/>
      <c r="DP36" s="311"/>
      <c r="DQ36" s="311"/>
      <c r="DR36" s="309"/>
      <c r="DS36" s="310"/>
      <c r="DT36" s="311"/>
      <c r="DU36" s="311"/>
      <c r="DV36" s="309"/>
      <c r="DW36" s="310"/>
      <c r="DX36" s="311"/>
      <c r="DY36" s="311"/>
      <c r="DZ36" s="309"/>
      <c r="EA36" s="310"/>
      <c r="EB36" s="311"/>
      <c r="EC36" s="311"/>
      <c r="ED36" s="309"/>
      <c r="EE36" s="310"/>
      <c r="EF36" s="311"/>
      <c r="EG36" s="311"/>
      <c r="EH36" s="309"/>
      <c r="EI36" s="310"/>
      <c r="EJ36" s="311"/>
      <c r="EK36" s="311"/>
      <c r="EL36" s="309"/>
      <c r="EM36" s="310"/>
      <c r="EN36" s="311"/>
      <c r="EO36" s="311"/>
      <c r="EP36" s="309"/>
      <c r="EQ36" s="310"/>
      <c r="ER36" s="311"/>
      <c r="ES36" s="311"/>
      <c r="ET36" s="309"/>
      <c r="EU36" s="310"/>
      <c r="EV36" s="311"/>
      <c r="EW36" s="311"/>
      <c r="EX36" s="309"/>
      <c r="EY36" s="310"/>
      <c r="EZ36" s="311"/>
      <c r="FA36" s="311"/>
      <c r="FB36" s="309"/>
      <c r="FC36" s="310"/>
      <c r="FD36" s="311"/>
      <c r="FE36" s="311"/>
      <c r="FF36" s="309"/>
      <c r="FG36" s="310"/>
      <c r="FH36" s="311"/>
      <c r="FI36" s="311"/>
      <c r="FJ36" s="309"/>
      <c r="FK36" s="310"/>
      <c r="FL36" s="311"/>
      <c r="FM36" s="311"/>
      <c r="FN36" s="309"/>
      <c r="FO36" s="310"/>
      <c r="FP36" s="311"/>
      <c r="FQ36" s="311"/>
      <c r="FR36" s="309"/>
      <c r="FS36" s="310"/>
      <c r="FT36" s="311"/>
      <c r="FU36" s="311"/>
      <c r="FV36" s="309"/>
      <c r="FW36" s="310"/>
      <c r="FX36" s="311"/>
      <c r="FY36" s="311"/>
      <c r="FZ36" s="309"/>
      <c r="GA36" s="310"/>
      <c r="GB36" s="311"/>
      <c r="GC36" s="311"/>
      <c r="GD36" s="309"/>
      <c r="GE36" s="310"/>
      <c r="GF36" s="311"/>
      <c r="GG36" s="311"/>
      <c r="GH36" s="309"/>
      <c r="GI36" s="310"/>
      <c r="GJ36" s="311"/>
      <c r="GK36" s="311"/>
      <c r="GL36" s="309"/>
      <c r="GM36" s="310"/>
      <c r="GN36" s="311"/>
      <c r="GO36" s="311"/>
      <c r="GP36" s="309"/>
      <c r="GQ36" s="310"/>
      <c r="GR36" s="311"/>
      <c r="GS36" s="311"/>
      <c r="GT36" s="309"/>
      <c r="GU36" s="310"/>
      <c r="GV36" s="311"/>
      <c r="GW36" s="311"/>
      <c r="GX36" s="309"/>
      <c r="GY36" s="310"/>
      <c r="GZ36" s="311"/>
      <c r="HA36" s="311"/>
      <c r="HB36" s="309"/>
      <c r="HC36" s="312">
        <f t="shared" si="66"/>
        <v>0</v>
      </c>
      <c r="HD36" s="313">
        <f t="shared" si="66"/>
        <v>0</v>
      </c>
      <c r="HE36" s="313">
        <f t="shared" si="66"/>
        <v>0</v>
      </c>
      <c r="HF36" s="314"/>
      <c r="HG36" s="312">
        <f>SUM(SUMIFS(K36:HB36,$K$13:$HB$13,{"エネルギー管理指定工場等*","県域*"}))</f>
        <v>0</v>
      </c>
      <c r="HH36" s="313">
        <f>SUM(SUMIFS(L36:HC36,$K$13:$HB$13,{"エネルギー管理指定工場等*","県域*"}))</f>
        <v>0</v>
      </c>
      <c r="HI36" s="313">
        <f>SUM(SUMIFS(M36:HD36,$K$13:$HB$13,{"エネルギー管理指定工場等*","県域*"}))</f>
        <v>0</v>
      </c>
      <c r="HJ36" s="314"/>
      <c r="HL36" s="230">
        <v>27</v>
      </c>
      <c r="HM36" s="714" t="str">
        <f t="shared" ca="1" si="49"/>
        <v/>
      </c>
      <c r="HN36" s="715" t="str">
        <f ca="1">IF(COUNTIF(HN$10:HN35,OFFSET(A1_原単位2026,5,HL36+2))&gt;=1,"",OFFSET(A1_原単位2026,5,HL36+2)&amp;"")</f>
        <v/>
      </c>
      <c r="HO36" s="716" t="str">
        <f t="shared" ca="1" si="50"/>
        <v/>
      </c>
      <c r="HP36" s="717" t="str">
        <f t="shared" ca="1" si="51"/>
        <v/>
      </c>
      <c r="HQ36" s="714" t="str">
        <f t="shared" ca="1" si="52"/>
        <v/>
      </c>
      <c r="HR36" s="715" t="str">
        <f ca="1">IF(COUNTIF(HR$10:HR35,OFFSET(A1_原単位2026,17,HL36+2))&gt;=1,"",OFFSET(A1_原単位2026,17,HL36+2)&amp;"")</f>
        <v/>
      </c>
      <c r="HS36" s="718" t="str">
        <f t="shared" ca="1" si="53"/>
        <v/>
      </c>
      <c r="HT36" s="719" t="str">
        <f t="shared" ca="1" si="54"/>
        <v/>
      </c>
      <c r="HU36" s="714" t="str">
        <f t="shared" ca="1" si="55"/>
        <v/>
      </c>
      <c r="HV36" s="715" t="str">
        <f ca="1">IF(COUNTIF(HV$10:HV35,OFFSET(A1_原単位2026,29,HL36+2))&gt;=1,"",OFFSET(A1_原単位2026,29,HL36+2)&amp;"")</f>
        <v/>
      </c>
      <c r="HW36" s="718" t="str">
        <f t="shared" ca="1" si="56"/>
        <v/>
      </c>
      <c r="HX36" s="719" t="str">
        <f t="shared" ca="1" si="57"/>
        <v/>
      </c>
      <c r="HY36" s="714" t="str">
        <f t="shared" ca="1" si="58"/>
        <v/>
      </c>
      <c r="HZ36" s="715" t="str">
        <f ca="1">IF(COUNTIF(HZ$10:HZ35,OFFSET(A1_原単位2026,41,HL36+2))&gt;=1,"",OFFSET(A1_原単位2026,41,HL36+2)&amp;"")</f>
        <v/>
      </c>
      <c r="IA36" s="720" t="str">
        <f t="shared" ca="1" si="59"/>
        <v/>
      </c>
      <c r="IB36" s="721" t="str">
        <f t="shared" ca="1" si="60"/>
        <v/>
      </c>
      <c r="IE36" s="159" t="str">
        <f t="shared" ca="1" si="61"/>
        <v/>
      </c>
      <c r="IF36" s="159" t="str">
        <f t="shared" ca="1" si="62"/>
        <v/>
      </c>
      <c r="IG36" s="159" t="str">
        <f t="shared" ca="1" si="63"/>
        <v/>
      </c>
      <c r="IH36" s="159" t="str">
        <f t="shared" ca="1" si="64"/>
        <v/>
      </c>
    </row>
    <row r="37" spans="2:242" s="164" customFormat="1" ht="20.100000000000001" customHeight="1">
      <c r="B37" s="302"/>
      <c r="C37" s="318"/>
      <c r="D37" s="303" t="s">
        <v>586</v>
      </c>
      <c r="E37" s="305"/>
      <c r="F37" s="303" t="s">
        <v>455</v>
      </c>
      <c r="G37" s="306">
        <v>27.8</v>
      </c>
      <c r="H37" s="307">
        <v>2.5899999999999999E-2</v>
      </c>
      <c r="I37" s="308"/>
      <c r="J37" s="309"/>
      <c r="K37" s="310"/>
      <c r="L37" s="311"/>
      <c r="M37" s="311"/>
      <c r="N37" s="309"/>
      <c r="O37" s="310"/>
      <c r="P37" s="311"/>
      <c r="Q37" s="311"/>
      <c r="R37" s="309"/>
      <c r="S37" s="310"/>
      <c r="T37" s="311"/>
      <c r="U37" s="311"/>
      <c r="V37" s="309"/>
      <c r="W37" s="310"/>
      <c r="X37" s="311"/>
      <c r="Y37" s="311"/>
      <c r="Z37" s="309"/>
      <c r="AA37" s="310"/>
      <c r="AB37" s="311"/>
      <c r="AC37" s="311"/>
      <c r="AD37" s="309"/>
      <c r="AE37" s="310"/>
      <c r="AF37" s="311"/>
      <c r="AG37" s="311"/>
      <c r="AH37" s="309"/>
      <c r="AI37" s="310"/>
      <c r="AJ37" s="311"/>
      <c r="AK37" s="311"/>
      <c r="AL37" s="309"/>
      <c r="AM37" s="310"/>
      <c r="AN37" s="311"/>
      <c r="AO37" s="311"/>
      <c r="AP37" s="309"/>
      <c r="AQ37" s="310"/>
      <c r="AR37" s="311"/>
      <c r="AS37" s="311"/>
      <c r="AT37" s="309"/>
      <c r="AU37" s="310"/>
      <c r="AV37" s="311"/>
      <c r="AW37" s="311"/>
      <c r="AX37" s="309"/>
      <c r="AY37" s="310"/>
      <c r="AZ37" s="311"/>
      <c r="BA37" s="311"/>
      <c r="BB37" s="309"/>
      <c r="BC37" s="310"/>
      <c r="BD37" s="311"/>
      <c r="BE37" s="311"/>
      <c r="BF37" s="309"/>
      <c r="BG37" s="310"/>
      <c r="BH37" s="311"/>
      <c r="BI37" s="311"/>
      <c r="BJ37" s="309"/>
      <c r="BK37" s="310"/>
      <c r="BL37" s="311"/>
      <c r="BM37" s="311"/>
      <c r="BN37" s="309"/>
      <c r="BO37" s="310"/>
      <c r="BP37" s="311"/>
      <c r="BQ37" s="311"/>
      <c r="BR37" s="309"/>
      <c r="BS37" s="310"/>
      <c r="BT37" s="311"/>
      <c r="BU37" s="311"/>
      <c r="BV37" s="309"/>
      <c r="BW37" s="310"/>
      <c r="BX37" s="311"/>
      <c r="BY37" s="311"/>
      <c r="BZ37" s="309"/>
      <c r="CA37" s="310"/>
      <c r="CB37" s="311"/>
      <c r="CC37" s="311"/>
      <c r="CD37" s="309"/>
      <c r="CE37" s="310"/>
      <c r="CF37" s="311"/>
      <c r="CG37" s="311"/>
      <c r="CH37" s="309"/>
      <c r="CI37" s="310"/>
      <c r="CJ37" s="311"/>
      <c r="CK37" s="311"/>
      <c r="CL37" s="309"/>
      <c r="CM37" s="310"/>
      <c r="CN37" s="311"/>
      <c r="CO37" s="311"/>
      <c r="CP37" s="309"/>
      <c r="CQ37" s="310"/>
      <c r="CR37" s="311"/>
      <c r="CS37" s="311"/>
      <c r="CT37" s="309"/>
      <c r="CU37" s="310"/>
      <c r="CV37" s="311"/>
      <c r="CW37" s="311"/>
      <c r="CX37" s="309"/>
      <c r="CY37" s="310"/>
      <c r="CZ37" s="311"/>
      <c r="DA37" s="311"/>
      <c r="DB37" s="309"/>
      <c r="DC37" s="310"/>
      <c r="DD37" s="311"/>
      <c r="DE37" s="311"/>
      <c r="DF37" s="309"/>
      <c r="DG37" s="310"/>
      <c r="DH37" s="311"/>
      <c r="DI37" s="311"/>
      <c r="DJ37" s="309"/>
      <c r="DK37" s="310"/>
      <c r="DL37" s="311"/>
      <c r="DM37" s="311"/>
      <c r="DN37" s="309"/>
      <c r="DO37" s="310"/>
      <c r="DP37" s="311"/>
      <c r="DQ37" s="311"/>
      <c r="DR37" s="309"/>
      <c r="DS37" s="310"/>
      <c r="DT37" s="311"/>
      <c r="DU37" s="311"/>
      <c r="DV37" s="309"/>
      <c r="DW37" s="310"/>
      <c r="DX37" s="311"/>
      <c r="DY37" s="311"/>
      <c r="DZ37" s="309"/>
      <c r="EA37" s="310"/>
      <c r="EB37" s="311"/>
      <c r="EC37" s="311"/>
      <c r="ED37" s="309"/>
      <c r="EE37" s="310"/>
      <c r="EF37" s="311"/>
      <c r="EG37" s="311"/>
      <c r="EH37" s="309"/>
      <c r="EI37" s="310"/>
      <c r="EJ37" s="311"/>
      <c r="EK37" s="311"/>
      <c r="EL37" s="309"/>
      <c r="EM37" s="310"/>
      <c r="EN37" s="311"/>
      <c r="EO37" s="311"/>
      <c r="EP37" s="309"/>
      <c r="EQ37" s="310"/>
      <c r="ER37" s="311"/>
      <c r="ES37" s="311"/>
      <c r="ET37" s="309"/>
      <c r="EU37" s="310"/>
      <c r="EV37" s="311"/>
      <c r="EW37" s="311"/>
      <c r="EX37" s="309"/>
      <c r="EY37" s="310"/>
      <c r="EZ37" s="311"/>
      <c r="FA37" s="311"/>
      <c r="FB37" s="309"/>
      <c r="FC37" s="310"/>
      <c r="FD37" s="311"/>
      <c r="FE37" s="311"/>
      <c r="FF37" s="309"/>
      <c r="FG37" s="310"/>
      <c r="FH37" s="311"/>
      <c r="FI37" s="311"/>
      <c r="FJ37" s="309"/>
      <c r="FK37" s="310"/>
      <c r="FL37" s="311"/>
      <c r="FM37" s="311"/>
      <c r="FN37" s="309"/>
      <c r="FO37" s="310"/>
      <c r="FP37" s="311"/>
      <c r="FQ37" s="311"/>
      <c r="FR37" s="309"/>
      <c r="FS37" s="310"/>
      <c r="FT37" s="311"/>
      <c r="FU37" s="311"/>
      <c r="FV37" s="309"/>
      <c r="FW37" s="310"/>
      <c r="FX37" s="311"/>
      <c r="FY37" s="311"/>
      <c r="FZ37" s="309"/>
      <c r="GA37" s="310"/>
      <c r="GB37" s="311"/>
      <c r="GC37" s="311"/>
      <c r="GD37" s="309"/>
      <c r="GE37" s="310"/>
      <c r="GF37" s="311"/>
      <c r="GG37" s="311"/>
      <c r="GH37" s="309"/>
      <c r="GI37" s="310"/>
      <c r="GJ37" s="311"/>
      <c r="GK37" s="311"/>
      <c r="GL37" s="309"/>
      <c r="GM37" s="310"/>
      <c r="GN37" s="311"/>
      <c r="GO37" s="311"/>
      <c r="GP37" s="309"/>
      <c r="GQ37" s="310"/>
      <c r="GR37" s="311"/>
      <c r="GS37" s="311"/>
      <c r="GT37" s="309"/>
      <c r="GU37" s="310"/>
      <c r="GV37" s="311"/>
      <c r="GW37" s="311"/>
      <c r="GX37" s="309"/>
      <c r="GY37" s="310"/>
      <c r="GZ37" s="311"/>
      <c r="HA37" s="311"/>
      <c r="HB37" s="309"/>
      <c r="HC37" s="312">
        <f t="shared" si="66"/>
        <v>0</v>
      </c>
      <c r="HD37" s="313">
        <f t="shared" si="66"/>
        <v>0</v>
      </c>
      <c r="HE37" s="313">
        <f t="shared" si="66"/>
        <v>0</v>
      </c>
      <c r="HF37" s="314"/>
      <c r="HG37" s="312">
        <f>SUM(SUMIFS(K37:HB37,$K$13:$HB$13,{"エネルギー管理指定工場等*","県域*"}))</f>
        <v>0</v>
      </c>
      <c r="HH37" s="313">
        <f>SUM(SUMIFS(L37:HC37,$K$13:$HB$13,{"エネルギー管理指定工場等*","県域*"}))</f>
        <v>0</v>
      </c>
      <c r="HI37" s="313">
        <f>SUM(SUMIFS(M37:HD37,$K$13:$HB$13,{"エネルギー管理指定工場等*","県域*"}))</f>
        <v>0</v>
      </c>
      <c r="HJ37" s="314"/>
      <c r="HL37" s="219">
        <v>28</v>
      </c>
      <c r="HM37" s="714" t="str">
        <f t="shared" ca="1" si="49"/>
        <v/>
      </c>
      <c r="HN37" s="715" t="str">
        <f ca="1">IF(COUNTIF(HN$10:HN36,OFFSET(A1_原単位2026,5,HL37+2))&gt;=1,"",OFFSET(A1_原単位2026,5,HL37+2)&amp;"")</f>
        <v/>
      </c>
      <c r="HO37" s="716" t="str">
        <f t="shared" ca="1" si="50"/>
        <v/>
      </c>
      <c r="HP37" s="717" t="str">
        <f t="shared" ca="1" si="51"/>
        <v/>
      </c>
      <c r="HQ37" s="714" t="str">
        <f t="shared" ca="1" si="52"/>
        <v/>
      </c>
      <c r="HR37" s="715" t="str">
        <f ca="1">IF(COUNTIF(HR$10:HR36,OFFSET(A1_原単位2026,17,HL37+2))&gt;=1,"",OFFSET(A1_原単位2026,17,HL37+2)&amp;"")</f>
        <v/>
      </c>
      <c r="HS37" s="718" t="str">
        <f t="shared" ca="1" si="53"/>
        <v/>
      </c>
      <c r="HT37" s="719" t="str">
        <f t="shared" ca="1" si="54"/>
        <v/>
      </c>
      <c r="HU37" s="714" t="str">
        <f t="shared" ca="1" si="55"/>
        <v/>
      </c>
      <c r="HV37" s="715" t="str">
        <f ca="1">IF(COUNTIF(HV$10:HV36,OFFSET(A1_原単位2026,29,HL37+2))&gt;=1,"",OFFSET(A1_原単位2026,29,HL37+2)&amp;"")</f>
        <v/>
      </c>
      <c r="HW37" s="718" t="str">
        <f t="shared" ca="1" si="56"/>
        <v/>
      </c>
      <c r="HX37" s="719" t="str">
        <f t="shared" ca="1" si="57"/>
        <v/>
      </c>
      <c r="HY37" s="714" t="str">
        <f t="shared" ca="1" si="58"/>
        <v/>
      </c>
      <c r="HZ37" s="715" t="str">
        <f ca="1">IF(COUNTIF(HZ$10:HZ36,OFFSET(A1_原単位2026,41,HL37+2))&gt;=1,"",OFFSET(A1_原単位2026,41,HL37+2)&amp;"")</f>
        <v/>
      </c>
      <c r="IA37" s="720" t="str">
        <f t="shared" ca="1" si="59"/>
        <v/>
      </c>
      <c r="IB37" s="721" t="str">
        <f t="shared" ca="1" si="60"/>
        <v/>
      </c>
      <c r="IE37" s="159" t="str">
        <f t="shared" ca="1" si="61"/>
        <v/>
      </c>
      <c r="IF37" s="159" t="str">
        <f t="shared" ca="1" si="62"/>
        <v/>
      </c>
      <c r="IG37" s="159" t="str">
        <f t="shared" ca="1" si="63"/>
        <v/>
      </c>
      <c r="IH37" s="159" t="str">
        <f t="shared" ca="1" si="64"/>
        <v/>
      </c>
    </row>
    <row r="38" spans="2:242" s="164" customFormat="1" ht="20.100000000000001" customHeight="1">
      <c r="B38" s="302"/>
      <c r="C38" s="303" t="s">
        <v>370</v>
      </c>
      <c r="D38" s="304"/>
      <c r="E38" s="305"/>
      <c r="F38" s="303" t="s">
        <v>455</v>
      </c>
      <c r="G38" s="316">
        <v>29</v>
      </c>
      <c r="H38" s="307">
        <v>2.9899999999999999E-2</v>
      </c>
      <c r="I38" s="308"/>
      <c r="J38" s="309"/>
      <c r="K38" s="310"/>
      <c r="L38" s="311"/>
      <c r="M38" s="311"/>
      <c r="N38" s="309"/>
      <c r="O38" s="310"/>
      <c r="P38" s="311"/>
      <c r="Q38" s="311"/>
      <c r="R38" s="309"/>
      <c r="S38" s="310"/>
      <c r="T38" s="311"/>
      <c r="U38" s="311"/>
      <c r="V38" s="309"/>
      <c r="W38" s="310"/>
      <c r="X38" s="311"/>
      <c r="Y38" s="311"/>
      <c r="Z38" s="309"/>
      <c r="AA38" s="310"/>
      <c r="AB38" s="311"/>
      <c r="AC38" s="311"/>
      <c r="AD38" s="309"/>
      <c r="AE38" s="310"/>
      <c r="AF38" s="311"/>
      <c r="AG38" s="311"/>
      <c r="AH38" s="309"/>
      <c r="AI38" s="310"/>
      <c r="AJ38" s="311"/>
      <c r="AK38" s="311"/>
      <c r="AL38" s="309"/>
      <c r="AM38" s="310"/>
      <c r="AN38" s="311"/>
      <c r="AO38" s="311"/>
      <c r="AP38" s="309"/>
      <c r="AQ38" s="310"/>
      <c r="AR38" s="311"/>
      <c r="AS38" s="311"/>
      <c r="AT38" s="309"/>
      <c r="AU38" s="310"/>
      <c r="AV38" s="311"/>
      <c r="AW38" s="311"/>
      <c r="AX38" s="309"/>
      <c r="AY38" s="310"/>
      <c r="AZ38" s="311"/>
      <c r="BA38" s="311"/>
      <c r="BB38" s="309"/>
      <c r="BC38" s="310"/>
      <c r="BD38" s="311"/>
      <c r="BE38" s="311"/>
      <c r="BF38" s="309"/>
      <c r="BG38" s="310"/>
      <c r="BH38" s="311"/>
      <c r="BI38" s="311"/>
      <c r="BJ38" s="309"/>
      <c r="BK38" s="310"/>
      <c r="BL38" s="311"/>
      <c r="BM38" s="311"/>
      <c r="BN38" s="309"/>
      <c r="BO38" s="310"/>
      <c r="BP38" s="311"/>
      <c r="BQ38" s="311"/>
      <c r="BR38" s="309"/>
      <c r="BS38" s="310"/>
      <c r="BT38" s="311"/>
      <c r="BU38" s="311"/>
      <c r="BV38" s="309"/>
      <c r="BW38" s="310"/>
      <c r="BX38" s="311"/>
      <c r="BY38" s="311"/>
      <c r="BZ38" s="309"/>
      <c r="CA38" s="310"/>
      <c r="CB38" s="311"/>
      <c r="CC38" s="311"/>
      <c r="CD38" s="309"/>
      <c r="CE38" s="310"/>
      <c r="CF38" s="311"/>
      <c r="CG38" s="311"/>
      <c r="CH38" s="309"/>
      <c r="CI38" s="310"/>
      <c r="CJ38" s="311"/>
      <c r="CK38" s="311"/>
      <c r="CL38" s="309"/>
      <c r="CM38" s="310"/>
      <c r="CN38" s="311"/>
      <c r="CO38" s="311"/>
      <c r="CP38" s="309"/>
      <c r="CQ38" s="310"/>
      <c r="CR38" s="311"/>
      <c r="CS38" s="311"/>
      <c r="CT38" s="309"/>
      <c r="CU38" s="310"/>
      <c r="CV38" s="311"/>
      <c r="CW38" s="311"/>
      <c r="CX38" s="309"/>
      <c r="CY38" s="310"/>
      <c r="CZ38" s="311"/>
      <c r="DA38" s="311"/>
      <c r="DB38" s="309"/>
      <c r="DC38" s="310"/>
      <c r="DD38" s="311"/>
      <c r="DE38" s="311"/>
      <c r="DF38" s="309"/>
      <c r="DG38" s="310"/>
      <c r="DH38" s="311"/>
      <c r="DI38" s="311"/>
      <c r="DJ38" s="309"/>
      <c r="DK38" s="310"/>
      <c r="DL38" s="311"/>
      <c r="DM38" s="311"/>
      <c r="DN38" s="309"/>
      <c r="DO38" s="310"/>
      <c r="DP38" s="311"/>
      <c r="DQ38" s="311"/>
      <c r="DR38" s="309"/>
      <c r="DS38" s="310"/>
      <c r="DT38" s="311"/>
      <c r="DU38" s="311"/>
      <c r="DV38" s="309"/>
      <c r="DW38" s="310"/>
      <c r="DX38" s="311"/>
      <c r="DY38" s="311"/>
      <c r="DZ38" s="309"/>
      <c r="EA38" s="310"/>
      <c r="EB38" s="311"/>
      <c r="EC38" s="311"/>
      <c r="ED38" s="309"/>
      <c r="EE38" s="310"/>
      <c r="EF38" s="311"/>
      <c r="EG38" s="311"/>
      <c r="EH38" s="309"/>
      <c r="EI38" s="310"/>
      <c r="EJ38" s="311"/>
      <c r="EK38" s="311"/>
      <c r="EL38" s="309"/>
      <c r="EM38" s="310"/>
      <c r="EN38" s="311"/>
      <c r="EO38" s="311"/>
      <c r="EP38" s="309"/>
      <c r="EQ38" s="310"/>
      <c r="ER38" s="311"/>
      <c r="ES38" s="311"/>
      <c r="ET38" s="309"/>
      <c r="EU38" s="310"/>
      <c r="EV38" s="311"/>
      <c r="EW38" s="311"/>
      <c r="EX38" s="309"/>
      <c r="EY38" s="310"/>
      <c r="EZ38" s="311"/>
      <c r="FA38" s="311"/>
      <c r="FB38" s="309"/>
      <c r="FC38" s="310"/>
      <c r="FD38" s="311"/>
      <c r="FE38" s="311"/>
      <c r="FF38" s="309"/>
      <c r="FG38" s="310"/>
      <c r="FH38" s="311"/>
      <c r="FI38" s="311"/>
      <c r="FJ38" s="309"/>
      <c r="FK38" s="310"/>
      <c r="FL38" s="311"/>
      <c r="FM38" s="311"/>
      <c r="FN38" s="309"/>
      <c r="FO38" s="310"/>
      <c r="FP38" s="311"/>
      <c r="FQ38" s="311"/>
      <c r="FR38" s="309"/>
      <c r="FS38" s="310"/>
      <c r="FT38" s="311"/>
      <c r="FU38" s="311"/>
      <c r="FV38" s="309"/>
      <c r="FW38" s="310"/>
      <c r="FX38" s="311"/>
      <c r="FY38" s="311"/>
      <c r="FZ38" s="309"/>
      <c r="GA38" s="310"/>
      <c r="GB38" s="311"/>
      <c r="GC38" s="311"/>
      <c r="GD38" s="309"/>
      <c r="GE38" s="310"/>
      <c r="GF38" s="311"/>
      <c r="GG38" s="311"/>
      <c r="GH38" s="309"/>
      <c r="GI38" s="310"/>
      <c r="GJ38" s="311"/>
      <c r="GK38" s="311"/>
      <c r="GL38" s="309"/>
      <c r="GM38" s="310"/>
      <c r="GN38" s="311"/>
      <c r="GO38" s="311"/>
      <c r="GP38" s="309"/>
      <c r="GQ38" s="310"/>
      <c r="GR38" s="311"/>
      <c r="GS38" s="311"/>
      <c r="GT38" s="309"/>
      <c r="GU38" s="310"/>
      <c r="GV38" s="311"/>
      <c r="GW38" s="311"/>
      <c r="GX38" s="309"/>
      <c r="GY38" s="310"/>
      <c r="GZ38" s="311"/>
      <c r="HA38" s="311"/>
      <c r="HB38" s="309"/>
      <c r="HC38" s="312">
        <f t="shared" si="66"/>
        <v>0</v>
      </c>
      <c r="HD38" s="313">
        <f t="shared" si="66"/>
        <v>0</v>
      </c>
      <c r="HE38" s="313">
        <f t="shared" si="66"/>
        <v>0</v>
      </c>
      <c r="HF38" s="314"/>
      <c r="HG38" s="312">
        <f>SUM(SUMIFS(K38:HB38,$K$13:$HB$13,{"エネルギー管理指定工場等*","県域*"}))</f>
        <v>0</v>
      </c>
      <c r="HH38" s="313">
        <f>SUM(SUMIFS(L38:HC38,$K$13:$HB$13,{"エネルギー管理指定工場等*","県域*"}))</f>
        <v>0</v>
      </c>
      <c r="HI38" s="313">
        <f>SUM(SUMIFS(M38:HD38,$K$13:$HB$13,{"エネルギー管理指定工場等*","県域*"}))</f>
        <v>0</v>
      </c>
      <c r="HJ38" s="314"/>
      <c r="HL38" s="219">
        <v>29</v>
      </c>
      <c r="HM38" s="714" t="str">
        <f t="shared" ca="1" si="49"/>
        <v/>
      </c>
      <c r="HN38" s="715" t="str">
        <f ca="1">IF(COUNTIF(HN$10:HN37,OFFSET(A1_原単位2026,5,HL38+2))&gt;=1,"",OFFSET(A1_原単位2026,5,HL38+2)&amp;"")</f>
        <v/>
      </c>
      <c r="HO38" s="716" t="str">
        <f t="shared" ca="1" si="50"/>
        <v/>
      </c>
      <c r="HP38" s="717" t="str">
        <f t="shared" ca="1" si="51"/>
        <v/>
      </c>
      <c r="HQ38" s="714" t="str">
        <f t="shared" ca="1" si="52"/>
        <v/>
      </c>
      <c r="HR38" s="715" t="str">
        <f ca="1">IF(COUNTIF(HR$10:HR37,OFFSET(A1_原単位2026,17,HL38+2))&gt;=1,"",OFFSET(A1_原単位2026,17,HL38+2)&amp;"")</f>
        <v/>
      </c>
      <c r="HS38" s="718" t="str">
        <f t="shared" ca="1" si="53"/>
        <v/>
      </c>
      <c r="HT38" s="719" t="str">
        <f t="shared" ca="1" si="54"/>
        <v/>
      </c>
      <c r="HU38" s="714" t="str">
        <f t="shared" ca="1" si="55"/>
        <v/>
      </c>
      <c r="HV38" s="715" t="str">
        <f ca="1">IF(COUNTIF(HV$10:HV37,OFFSET(A1_原単位2026,29,HL38+2))&gt;=1,"",OFFSET(A1_原単位2026,29,HL38+2)&amp;"")</f>
        <v/>
      </c>
      <c r="HW38" s="718" t="str">
        <f t="shared" ca="1" si="56"/>
        <v/>
      </c>
      <c r="HX38" s="719" t="str">
        <f t="shared" ca="1" si="57"/>
        <v/>
      </c>
      <c r="HY38" s="714" t="str">
        <f t="shared" ca="1" si="58"/>
        <v/>
      </c>
      <c r="HZ38" s="715" t="str">
        <f ca="1">IF(COUNTIF(HZ$10:HZ37,OFFSET(A1_原単位2026,41,HL38+2))&gt;=1,"",OFFSET(A1_原単位2026,41,HL38+2)&amp;"")</f>
        <v/>
      </c>
      <c r="IA38" s="720" t="str">
        <f t="shared" ca="1" si="59"/>
        <v/>
      </c>
      <c r="IB38" s="721" t="str">
        <f t="shared" ca="1" si="60"/>
        <v/>
      </c>
      <c r="IE38" s="159" t="str">
        <f t="shared" ca="1" si="61"/>
        <v/>
      </c>
      <c r="IF38" s="159" t="str">
        <f t="shared" ca="1" si="62"/>
        <v/>
      </c>
      <c r="IG38" s="159" t="str">
        <f t="shared" ca="1" si="63"/>
        <v/>
      </c>
      <c r="IH38" s="159" t="str">
        <f t="shared" ca="1" si="64"/>
        <v/>
      </c>
    </row>
    <row r="39" spans="2:242" s="164" customFormat="1" ht="20.100000000000001" customHeight="1">
      <c r="B39" s="302"/>
      <c r="C39" s="303" t="s">
        <v>371</v>
      </c>
      <c r="D39" s="304"/>
      <c r="E39" s="305"/>
      <c r="F39" s="303" t="s">
        <v>455</v>
      </c>
      <c r="G39" s="306">
        <v>37.299999999999997</v>
      </c>
      <c r="H39" s="307">
        <v>2.0899999999999998E-2</v>
      </c>
      <c r="I39" s="308"/>
      <c r="J39" s="309"/>
      <c r="K39" s="310"/>
      <c r="L39" s="311"/>
      <c r="M39" s="311"/>
      <c r="N39" s="309"/>
      <c r="O39" s="310"/>
      <c r="P39" s="311"/>
      <c r="Q39" s="311"/>
      <c r="R39" s="309"/>
      <c r="S39" s="310"/>
      <c r="T39" s="311"/>
      <c r="U39" s="311"/>
      <c r="V39" s="309"/>
      <c r="W39" s="310"/>
      <c r="X39" s="311"/>
      <c r="Y39" s="311"/>
      <c r="Z39" s="309"/>
      <c r="AA39" s="310"/>
      <c r="AB39" s="311"/>
      <c r="AC39" s="311"/>
      <c r="AD39" s="309"/>
      <c r="AE39" s="310"/>
      <c r="AF39" s="311"/>
      <c r="AG39" s="311"/>
      <c r="AH39" s="309"/>
      <c r="AI39" s="310"/>
      <c r="AJ39" s="311"/>
      <c r="AK39" s="311"/>
      <c r="AL39" s="309"/>
      <c r="AM39" s="310"/>
      <c r="AN39" s="311"/>
      <c r="AO39" s="311"/>
      <c r="AP39" s="309"/>
      <c r="AQ39" s="310"/>
      <c r="AR39" s="311"/>
      <c r="AS39" s="311"/>
      <c r="AT39" s="309"/>
      <c r="AU39" s="310"/>
      <c r="AV39" s="311"/>
      <c r="AW39" s="311"/>
      <c r="AX39" s="309"/>
      <c r="AY39" s="310"/>
      <c r="AZ39" s="311"/>
      <c r="BA39" s="311"/>
      <c r="BB39" s="309"/>
      <c r="BC39" s="310"/>
      <c r="BD39" s="311"/>
      <c r="BE39" s="311"/>
      <c r="BF39" s="309"/>
      <c r="BG39" s="310"/>
      <c r="BH39" s="311"/>
      <c r="BI39" s="311"/>
      <c r="BJ39" s="309"/>
      <c r="BK39" s="310"/>
      <c r="BL39" s="311"/>
      <c r="BM39" s="311"/>
      <c r="BN39" s="309"/>
      <c r="BO39" s="310"/>
      <c r="BP39" s="311"/>
      <c r="BQ39" s="311"/>
      <c r="BR39" s="309"/>
      <c r="BS39" s="310"/>
      <c r="BT39" s="311"/>
      <c r="BU39" s="311"/>
      <c r="BV39" s="309"/>
      <c r="BW39" s="310"/>
      <c r="BX39" s="311"/>
      <c r="BY39" s="311"/>
      <c r="BZ39" s="309"/>
      <c r="CA39" s="310"/>
      <c r="CB39" s="311"/>
      <c r="CC39" s="311"/>
      <c r="CD39" s="309"/>
      <c r="CE39" s="310"/>
      <c r="CF39" s="311"/>
      <c r="CG39" s="311"/>
      <c r="CH39" s="309"/>
      <c r="CI39" s="310"/>
      <c r="CJ39" s="311"/>
      <c r="CK39" s="311"/>
      <c r="CL39" s="309"/>
      <c r="CM39" s="310"/>
      <c r="CN39" s="311"/>
      <c r="CO39" s="311"/>
      <c r="CP39" s="309"/>
      <c r="CQ39" s="310"/>
      <c r="CR39" s="311"/>
      <c r="CS39" s="311"/>
      <c r="CT39" s="309"/>
      <c r="CU39" s="310"/>
      <c r="CV39" s="311"/>
      <c r="CW39" s="311"/>
      <c r="CX39" s="309"/>
      <c r="CY39" s="310"/>
      <c r="CZ39" s="311"/>
      <c r="DA39" s="311"/>
      <c r="DB39" s="309"/>
      <c r="DC39" s="310"/>
      <c r="DD39" s="311"/>
      <c r="DE39" s="311"/>
      <c r="DF39" s="309"/>
      <c r="DG39" s="310"/>
      <c r="DH39" s="311"/>
      <c r="DI39" s="311"/>
      <c r="DJ39" s="309"/>
      <c r="DK39" s="310"/>
      <c r="DL39" s="311"/>
      <c r="DM39" s="311"/>
      <c r="DN39" s="309"/>
      <c r="DO39" s="310"/>
      <c r="DP39" s="311"/>
      <c r="DQ39" s="311"/>
      <c r="DR39" s="309"/>
      <c r="DS39" s="310"/>
      <c r="DT39" s="311"/>
      <c r="DU39" s="311"/>
      <c r="DV39" s="309"/>
      <c r="DW39" s="310"/>
      <c r="DX39" s="311"/>
      <c r="DY39" s="311"/>
      <c r="DZ39" s="309"/>
      <c r="EA39" s="310"/>
      <c r="EB39" s="311"/>
      <c r="EC39" s="311"/>
      <c r="ED39" s="309"/>
      <c r="EE39" s="310"/>
      <c r="EF39" s="311"/>
      <c r="EG39" s="311"/>
      <c r="EH39" s="309"/>
      <c r="EI39" s="310"/>
      <c r="EJ39" s="311"/>
      <c r="EK39" s="311"/>
      <c r="EL39" s="309"/>
      <c r="EM39" s="310"/>
      <c r="EN39" s="311"/>
      <c r="EO39" s="311"/>
      <c r="EP39" s="309"/>
      <c r="EQ39" s="310"/>
      <c r="ER39" s="311"/>
      <c r="ES39" s="311"/>
      <c r="ET39" s="309"/>
      <c r="EU39" s="310"/>
      <c r="EV39" s="311"/>
      <c r="EW39" s="311"/>
      <c r="EX39" s="309"/>
      <c r="EY39" s="310"/>
      <c r="EZ39" s="311"/>
      <c r="FA39" s="311"/>
      <c r="FB39" s="309"/>
      <c r="FC39" s="310"/>
      <c r="FD39" s="311"/>
      <c r="FE39" s="311"/>
      <c r="FF39" s="309"/>
      <c r="FG39" s="310"/>
      <c r="FH39" s="311"/>
      <c r="FI39" s="311"/>
      <c r="FJ39" s="309"/>
      <c r="FK39" s="310"/>
      <c r="FL39" s="311"/>
      <c r="FM39" s="311"/>
      <c r="FN39" s="309"/>
      <c r="FO39" s="310"/>
      <c r="FP39" s="311"/>
      <c r="FQ39" s="311"/>
      <c r="FR39" s="309"/>
      <c r="FS39" s="310"/>
      <c r="FT39" s="311"/>
      <c r="FU39" s="311"/>
      <c r="FV39" s="309"/>
      <c r="FW39" s="310"/>
      <c r="FX39" s="311"/>
      <c r="FY39" s="311"/>
      <c r="FZ39" s="309"/>
      <c r="GA39" s="310"/>
      <c r="GB39" s="311"/>
      <c r="GC39" s="311"/>
      <c r="GD39" s="309"/>
      <c r="GE39" s="310"/>
      <c r="GF39" s="311"/>
      <c r="GG39" s="311"/>
      <c r="GH39" s="309"/>
      <c r="GI39" s="310"/>
      <c r="GJ39" s="311"/>
      <c r="GK39" s="311"/>
      <c r="GL39" s="309"/>
      <c r="GM39" s="310"/>
      <c r="GN39" s="311"/>
      <c r="GO39" s="311"/>
      <c r="GP39" s="309"/>
      <c r="GQ39" s="310"/>
      <c r="GR39" s="311"/>
      <c r="GS39" s="311"/>
      <c r="GT39" s="309"/>
      <c r="GU39" s="310"/>
      <c r="GV39" s="311"/>
      <c r="GW39" s="311"/>
      <c r="GX39" s="309"/>
      <c r="GY39" s="310"/>
      <c r="GZ39" s="311"/>
      <c r="HA39" s="311"/>
      <c r="HB39" s="309"/>
      <c r="HC39" s="312">
        <f t="shared" si="66"/>
        <v>0</v>
      </c>
      <c r="HD39" s="313">
        <f t="shared" si="66"/>
        <v>0</v>
      </c>
      <c r="HE39" s="313">
        <f t="shared" si="66"/>
        <v>0</v>
      </c>
      <c r="HF39" s="314"/>
      <c r="HG39" s="312">
        <f>SUM(SUMIFS(K39:HB39,$K$13:$HB$13,{"エネルギー管理指定工場等*","県域*"}))</f>
        <v>0</v>
      </c>
      <c r="HH39" s="313">
        <f>SUM(SUMIFS(L39:HC39,$K$13:$HB$13,{"エネルギー管理指定工場等*","県域*"}))</f>
        <v>0</v>
      </c>
      <c r="HI39" s="313">
        <f>SUM(SUMIFS(M39:HD39,$K$13:$HB$13,{"エネルギー管理指定工場等*","県域*"}))</f>
        <v>0</v>
      </c>
      <c r="HJ39" s="314"/>
      <c r="HL39" s="230">
        <v>30</v>
      </c>
      <c r="HM39" s="714" t="str">
        <f t="shared" ca="1" si="49"/>
        <v/>
      </c>
      <c r="HN39" s="715" t="str">
        <f ca="1">IF(COUNTIF(HN$10:HN38,OFFSET(A1_原単位2026,5,HL39+2))&gt;=1,"",OFFSET(A1_原単位2026,5,HL39+2)&amp;"")</f>
        <v/>
      </c>
      <c r="HO39" s="716" t="str">
        <f t="shared" ca="1" si="50"/>
        <v/>
      </c>
      <c r="HP39" s="717" t="str">
        <f t="shared" ca="1" si="51"/>
        <v/>
      </c>
      <c r="HQ39" s="714" t="str">
        <f t="shared" ca="1" si="52"/>
        <v/>
      </c>
      <c r="HR39" s="715" t="str">
        <f ca="1">IF(COUNTIF(HR$10:HR38,OFFSET(A1_原単位2026,17,HL39+2))&gt;=1,"",OFFSET(A1_原単位2026,17,HL39+2)&amp;"")</f>
        <v/>
      </c>
      <c r="HS39" s="718" t="str">
        <f t="shared" ca="1" si="53"/>
        <v/>
      </c>
      <c r="HT39" s="719" t="str">
        <f t="shared" ca="1" si="54"/>
        <v/>
      </c>
      <c r="HU39" s="714" t="str">
        <f t="shared" ca="1" si="55"/>
        <v/>
      </c>
      <c r="HV39" s="715" t="str">
        <f ca="1">IF(COUNTIF(HV$10:HV38,OFFSET(A1_原単位2026,29,HL39+2))&gt;=1,"",OFFSET(A1_原単位2026,29,HL39+2)&amp;"")</f>
        <v/>
      </c>
      <c r="HW39" s="718" t="str">
        <f t="shared" ca="1" si="56"/>
        <v/>
      </c>
      <c r="HX39" s="719" t="str">
        <f t="shared" ca="1" si="57"/>
        <v/>
      </c>
      <c r="HY39" s="714" t="str">
        <f t="shared" ca="1" si="58"/>
        <v/>
      </c>
      <c r="HZ39" s="715" t="str">
        <f ca="1">IF(COUNTIF(HZ$10:HZ38,OFFSET(A1_原単位2026,41,HL39+2))&gt;=1,"",OFFSET(A1_原単位2026,41,HL39+2)&amp;"")</f>
        <v/>
      </c>
      <c r="IA39" s="720" t="str">
        <f t="shared" ca="1" si="59"/>
        <v/>
      </c>
      <c r="IB39" s="721" t="str">
        <f t="shared" ca="1" si="60"/>
        <v/>
      </c>
      <c r="IE39" s="159" t="str">
        <f t="shared" ca="1" si="61"/>
        <v/>
      </c>
      <c r="IF39" s="159" t="str">
        <f t="shared" ca="1" si="62"/>
        <v/>
      </c>
      <c r="IG39" s="159" t="str">
        <f t="shared" ca="1" si="63"/>
        <v/>
      </c>
      <c r="IH39" s="159" t="str">
        <f t="shared" ca="1" si="64"/>
        <v/>
      </c>
    </row>
    <row r="40" spans="2:242" s="164" customFormat="1" ht="20.100000000000001" customHeight="1">
      <c r="B40" s="302"/>
      <c r="C40" s="303" t="s">
        <v>372</v>
      </c>
      <c r="D40" s="304"/>
      <c r="E40" s="305"/>
      <c r="F40" s="303" t="s">
        <v>457</v>
      </c>
      <c r="G40" s="306">
        <v>18.399999999999999</v>
      </c>
      <c r="H40" s="307">
        <v>1.09E-2</v>
      </c>
      <c r="I40" s="308"/>
      <c r="J40" s="309"/>
      <c r="K40" s="310"/>
      <c r="L40" s="311"/>
      <c r="M40" s="311"/>
      <c r="N40" s="309"/>
      <c r="O40" s="310"/>
      <c r="P40" s="311"/>
      <c r="Q40" s="311"/>
      <c r="R40" s="309"/>
      <c r="S40" s="310"/>
      <c r="T40" s="311"/>
      <c r="U40" s="311"/>
      <c r="V40" s="309"/>
      <c r="W40" s="310"/>
      <c r="X40" s="311"/>
      <c r="Y40" s="311"/>
      <c r="Z40" s="309"/>
      <c r="AA40" s="310"/>
      <c r="AB40" s="311"/>
      <c r="AC40" s="311"/>
      <c r="AD40" s="309"/>
      <c r="AE40" s="310"/>
      <c r="AF40" s="311"/>
      <c r="AG40" s="311"/>
      <c r="AH40" s="309"/>
      <c r="AI40" s="310"/>
      <c r="AJ40" s="311"/>
      <c r="AK40" s="311"/>
      <c r="AL40" s="309"/>
      <c r="AM40" s="310"/>
      <c r="AN40" s="311"/>
      <c r="AO40" s="311"/>
      <c r="AP40" s="309"/>
      <c r="AQ40" s="310"/>
      <c r="AR40" s="311"/>
      <c r="AS40" s="311"/>
      <c r="AT40" s="309"/>
      <c r="AU40" s="310"/>
      <c r="AV40" s="311"/>
      <c r="AW40" s="311"/>
      <c r="AX40" s="309"/>
      <c r="AY40" s="310"/>
      <c r="AZ40" s="311"/>
      <c r="BA40" s="311"/>
      <c r="BB40" s="309"/>
      <c r="BC40" s="310"/>
      <c r="BD40" s="311"/>
      <c r="BE40" s="311"/>
      <c r="BF40" s="309"/>
      <c r="BG40" s="310"/>
      <c r="BH40" s="311"/>
      <c r="BI40" s="311"/>
      <c r="BJ40" s="309"/>
      <c r="BK40" s="310"/>
      <c r="BL40" s="311"/>
      <c r="BM40" s="311"/>
      <c r="BN40" s="309"/>
      <c r="BO40" s="310"/>
      <c r="BP40" s="311"/>
      <c r="BQ40" s="311"/>
      <c r="BR40" s="309"/>
      <c r="BS40" s="310"/>
      <c r="BT40" s="311"/>
      <c r="BU40" s="311"/>
      <c r="BV40" s="309"/>
      <c r="BW40" s="310"/>
      <c r="BX40" s="311"/>
      <c r="BY40" s="311"/>
      <c r="BZ40" s="309"/>
      <c r="CA40" s="310"/>
      <c r="CB40" s="311"/>
      <c r="CC40" s="311"/>
      <c r="CD40" s="309"/>
      <c r="CE40" s="310"/>
      <c r="CF40" s="311"/>
      <c r="CG40" s="311"/>
      <c r="CH40" s="309"/>
      <c r="CI40" s="310"/>
      <c r="CJ40" s="311"/>
      <c r="CK40" s="311"/>
      <c r="CL40" s="309"/>
      <c r="CM40" s="310"/>
      <c r="CN40" s="311"/>
      <c r="CO40" s="311"/>
      <c r="CP40" s="309"/>
      <c r="CQ40" s="310"/>
      <c r="CR40" s="311"/>
      <c r="CS40" s="311"/>
      <c r="CT40" s="309"/>
      <c r="CU40" s="310"/>
      <c r="CV40" s="311"/>
      <c r="CW40" s="311"/>
      <c r="CX40" s="309"/>
      <c r="CY40" s="310"/>
      <c r="CZ40" s="311"/>
      <c r="DA40" s="311"/>
      <c r="DB40" s="309"/>
      <c r="DC40" s="310"/>
      <c r="DD40" s="311"/>
      <c r="DE40" s="311"/>
      <c r="DF40" s="309"/>
      <c r="DG40" s="310"/>
      <c r="DH40" s="311"/>
      <c r="DI40" s="311"/>
      <c r="DJ40" s="309"/>
      <c r="DK40" s="310"/>
      <c r="DL40" s="311"/>
      <c r="DM40" s="311"/>
      <c r="DN40" s="309"/>
      <c r="DO40" s="310"/>
      <c r="DP40" s="311"/>
      <c r="DQ40" s="311"/>
      <c r="DR40" s="309"/>
      <c r="DS40" s="310"/>
      <c r="DT40" s="311"/>
      <c r="DU40" s="311"/>
      <c r="DV40" s="309"/>
      <c r="DW40" s="310"/>
      <c r="DX40" s="311"/>
      <c r="DY40" s="311"/>
      <c r="DZ40" s="309"/>
      <c r="EA40" s="310"/>
      <c r="EB40" s="311"/>
      <c r="EC40" s="311"/>
      <c r="ED40" s="309"/>
      <c r="EE40" s="310"/>
      <c r="EF40" s="311"/>
      <c r="EG40" s="311"/>
      <c r="EH40" s="309"/>
      <c r="EI40" s="310"/>
      <c r="EJ40" s="311"/>
      <c r="EK40" s="311"/>
      <c r="EL40" s="309"/>
      <c r="EM40" s="310"/>
      <c r="EN40" s="311"/>
      <c r="EO40" s="311"/>
      <c r="EP40" s="309"/>
      <c r="EQ40" s="310"/>
      <c r="ER40" s="311"/>
      <c r="ES40" s="311"/>
      <c r="ET40" s="309"/>
      <c r="EU40" s="310"/>
      <c r="EV40" s="311"/>
      <c r="EW40" s="311"/>
      <c r="EX40" s="309"/>
      <c r="EY40" s="310"/>
      <c r="EZ40" s="311"/>
      <c r="FA40" s="311"/>
      <c r="FB40" s="309"/>
      <c r="FC40" s="310"/>
      <c r="FD40" s="311"/>
      <c r="FE40" s="311"/>
      <c r="FF40" s="309"/>
      <c r="FG40" s="310"/>
      <c r="FH40" s="311"/>
      <c r="FI40" s="311"/>
      <c r="FJ40" s="309"/>
      <c r="FK40" s="310"/>
      <c r="FL40" s="311"/>
      <c r="FM40" s="311"/>
      <c r="FN40" s="309"/>
      <c r="FO40" s="310"/>
      <c r="FP40" s="311"/>
      <c r="FQ40" s="311"/>
      <c r="FR40" s="309"/>
      <c r="FS40" s="310"/>
      <c r="FT40" s="311"/>
      <c r="FU40" s="311"/>
      <c r="FV40" s="309"/>
      <c r="FW40" s="310"/>
      <c r="FX40" s="311"/>
      <c r="FY40" s="311"/>
      <c r="FZ40" s="309"/>
      <c r="GA40" s="310"/>
      <c r="GB40" s="311"/>
      <c r="GC40" s="311"/>
      <c r="GD40" s="309"/>
      <c r="GE40" s="310"/>
      <c r="GF40" s="311"/>
      <c r="GG40" s="311"/>
      <c r="GH40" s="309"/>
      <c r="GI40" s="310"/>
      <c r="GJ40" s="311"/>
      <c r="GK40" s="311"/>
      <c r="GL40" s="309"/>
      <c r="GM40" s="310"/>
      <c r="GN40" s="311"/>
      <c r="GO40" s="311"/>
      <c r="GP40" s="309"/>
      <c r="GQ40" s="310"/>
      <c r="GR40" s="311"/>
      <c r="GS40" s="311"/>
      <c r="GT40" s="309"/>
      <c r="GU40" s="310"/>
      <c r="GV40" s="311"/>
      <c r="GW40" s="311"/>
      <c r="GX40" s="309"/>
      <c r="GY40" s="310"/>
      <c r="GZ40" s="311"/>
      <c r="HA40" s="311"/>
      <c r="HB40" s="309"/>
      <c r="HC40" s="312">
        <f t="shared" si="66"/>
        <v>0</v>
      </c>
      <c r="HD40" s="313">
        <f t="shared" si="66"/>
        <v>0</v>
      </c>
      <c r="HE40" s="313">
        <f t="shared" si="66"/>
        <v>0</v>
      </c>
      <c r="HF40" s="314"/>
      <c r="HG40" s="312">
        <f>SUM(SUMIFS(K40:HB40,$K$13:$HB$13,{"エネルギー管理指定工場等*","県域*"}))</f>
        <v>0</v>
      </c>
      <c r="HH40" s="313">
        <f>SUM(SUMIFS(L40:HC40,$K$13:$HB$13,{"エネルギー管理指定工場等*","県域*"}))</f>
        <v>0</v>
      </c>
      <c r="HI40" s="313">
        <f>SUM(SUMIFS(M40:HD40,$K$13:$HB$13,{"エネルギー管理指定工場等*","県域*"}))</f>
        <v>0</v>
      </c>
      <c r="HJ40" s="314"/>
      <c r="HL40" s="219">
        <v>31</v>
      </c>
      <c r="HM40" s="714" t="str">
        <f t="shared" ca="1" si="49"/>
        <v/>
      </c>
      <c r="HN40" s="715" t="str">
        <f ca="1">IF(COUNTIF(HN$10:HN39,OFFSET(A1_原単位2026,5,HL40+2))&gt;=1,"",OFFSET(A1_原単位2026,5,HL40+2)&amp;"")</f>
        <v/>
      </c>
      <c r="HO40" s="716" t="str">
        <f t="shared" ca="1" si="50"/>
        <v/>
      </c>
      <c r="HP40" s="717" t="str">
        <f t="shared" ca="1" si="51"/>
        <v/>
      </c>
      <c r="HQ40" s="714" t="str">
        <f t="shared" ca="1" si="52"/>
        <v/>
      </c>
      <c r="HR40" s="715" t="str">
        <f ca="1">IF(COUNTIF(HR$10:HR39,OFFSET(A1_原単位2026,17,HL40+2))&gt;=1,"",OFFSET(A1_原単位2026,17,HL40+2)&amp;"")</f>
        <v/>
      </c>
      <c r="HS40" s="718" t="str">
        <f t="shared" ca="1" si="53"/>
        <v/>
      </c>
      <c r="HT40" s="719" t="str">
        <f t="shared" ca="1" si="54"/>
        <v/>
      </c>
      <c r="HU40" s="714" t="str">
        <f t="shared" ca="1" si="55"/>
        <v/>
      </c>
      <c r="HV40" s="715" t="str">
        <f ca="1">IF(COUNTIF(HV$10:HV39,OFFSET(A1_原単位2026,29,HL40+2))&gt;=1,"",OFFSET(A1_原単位2026,29,HL40+2)&amp;"")</f>
        <v/>
      </c>
      <c r="HW40" s="718" t="str">
        <f t="shared" ca="1" si="56"/>
        <v/>
      </c>
      <c r="HX40" s="719" t="str">
        <f t="shared" ca="1" si="57"/>
        <v/>
      </c>
      <c r="HY40" s="714" t="str">
        <f t="shared" ca="1" si="58"/>
        <v/>
      </c>
      <c r="HZ40" s="715" t="str">
        <f ca="1">IF(COUNTIF(HZ$10:HZ39,OFFSET(A1_原単位2026,41,HL40+2))&gt;=1,"",OFFSET(A1_原単位2026,41,HL40+2)&amp;"")</f>
        <v/>
      </c>
      <c r="IA40" s="720" t="str">
        <f t="shared" ca="1" si="59"/>
        <v/>
      </c>
      <c r="IB40" s="721" t="str">
        <f t="shared" ca="1" si="60"/>
        <v/>
      </c>
      <c r="IE40" s="159" t="str">
        <f t="shared" ca="1" si="61"/>
        <v/>
      </c>
      <c r="IF40" s="159" t="str">
        <f t="shared" ca="1" si="62"/>
        <v/>
      </c>
      <c r="IG40" s="159" t="str">
        <f t="shared" ca="1" si="63"/>
        <v/>
      </c>
      <c r="IH40" s="159" t="str">
        <f t="shared" ca="1" si="64"/>
        <v/>
      </c>
    </row>
    <row r="41" spans="2:242" s="164" customFormat="1" ht="20.100000000000001" customHeight="1">
      <c r="B41" s="302"/>
      <c r="C41" s="303" t="s">
        <v>373</v>
      </c>
      <c r="D41" s="304"/>
      <c r="E41" s="305"/>
      <c r="F41" s="303" t="s">
        <v>457</v>
      </c>
      <c r="G41" s="306">
        <v>3.23</v>
      </c>
      <c r="H41" s="307">
        <v>2.64E-2</v>
      </c>
      <c r="I41" s="308"/>
      <c r="J41" s="309"/>
      <c r="K41" s="310"/>
      <c r="L41" s="311"/>
      <c r="M41" s="311"/>
      <c r="N41" s="309"/>
      <c r="O41" s="310"/>
      <c r="P41" s="311"/>
      <c r="Q41" s="311"/>
      <c r="R41" s="309"/>
      <c r="S41" s="310"/>
      <c r="T41" s="311"/>
      <c r="U41" s="311"/>
      <c r="V41" s="309"/>
      <c r="W41" s="310"/>
      <c r="X41" s="311"/>
      <c r="Y41" s="311"/>
      <c r="Z41" s="309"/>
      <c r="AA41" s="310"/>
      <c r="AB41" s="311"/>
      <c r="AC41" s="311"/>
      <c r="AD41" s="309"/>
      <c r="AE41" s="310"/>
      <c r="AF41" s="311"/>
      <c r="AG41" s="311"/>
      <c r="AH41" s="309"/>
      <c r="AI41" s="310"/>
      <c r="AJ41" s="311"/>
      <c r="AK41" s="311"/>
      <c r="AL41" s="309"/>
      <c r="AM41" s="310"/>
      <c r="AN41" s="311"/>
      <c r="AO41" s="311"/>
      <c r="AP41" s="309"/>
      <c r="AQ41" s="310"/>
      <c r="AR41" s="311"/>
      <c r="AS41" s="311"/>
      <c r="AT41" s="309"/>
      <c r="AU41" s="310"/>
      <c r="AV41" s="311"/>
      <c r="AW41" s="311"/>
      <c r="AX41" s="309"/>
      <c r="AY41" s="310"/>
      <c r="AZ41" s="311"/>
      <c r="BA41" s="311"/>
      <c r="BB41" s="309"/>
      <c r="BC41" s="310"/>
      <c r="BD41" s="311"/>
      <c r="BE41" s="311"/>
      <c r="BF41" s="309"/>
      <c r="BG41" s="310"/>
      <c r="BH41" s="311"/>
      <c r="BI41" s="311"/>
      <c r="BJ41" s="309"/>
      <c r="BK41" s="310"/>
      <c r="BL41" s="311"/>
      <c r="BM41" s="311"/>
      <c r="BN41" s="309"/>
      <c r="BO41" s="310"/>
      <c r="BP41" s="311"/>
      <c r="BQ41" s="311"/>
      <c r="BR41" s="309"/>
      <c r="BS41" s="310"/>
      <c r="BT41" s="311"/>
      <c r="BU41" s="311"/>
      <c r="BV41" s="309"/>
      <c r="BW41" s="310"/>
      <c r="BX41" s="311"/>
      <c r="BY41" s="311"/>
      <c r="BZ41" s="309"/>
      <c r="CA41" s="310"/>
      <c r="CB41" s="311"/>
      <c r="CC41" s="311"/>
      <c r="CD41" s="309"/>
      <c r="CE41" s="310"/>
      <c r="CF41" s="311"/>
      <c r="CG41" s="311"/>
      <c r="CH41" s="309"/>
      <c r="CI41" s="310"/>
      <c r="CJ41" s="311"/>
      <c r="CK41" s="311"/>
      <c r="CL41" s="309"/>
      <c r="CM41" s="310"/>
      <c r="CN41" s="311"/>
      <c r="CO41" s="311"/>
      <c r="CP41" s="309"/>
      <c r="CQ41" s="310"/>
      <c r="CR41" s="311"/>
      <c r="CS41" s="311"/>
      <c r="CT41" s="309"/>
      <c r="CU41" s="310"/>
      <c r="CV41" s="311"/>
      <c r="CW41" s="311"/>
      <c r="CX41" s="309"/>
      <c r="CY41" s="310"/>
      <c r="CZ41" s="311"/>
      <c r="DA41" s="311"/>
      <c r="DB41" s="309"/>
      <c r="DC41" s="310"/>
      <c r="DD41" s="311"/>
      <c r="DE41" s="311"/>
      <c r="DF41" s="309"/>
      <c r="DG41" s="310"/>
      <c r="DH41" s="311"/>
      <c r="DI41" s="311"/>
      <c r="DJ41" s="309"/>
      <c r="DK41" s="310"/>
      <c r="DL41" s="311"/>
      <c r="DM41" s="311"/>
      <c r="DN41" s="309"/>
      <c r="DO41" s="310"/>
      <c r="DP41" s="311"/>
      <c r="DQ41" s="311"/>
      <c r="DR41" s="309"/>
      <c r="DS41" s="310"/>
      <c r="DT41" s="311"/>
      <c r="DU41" s="311"/>
      <c r="DV41" s="309"/>
      <c r="DW41" s="310"/>
      <c r="DX41" s="311"/>
      <c r="DY41" s="311"/>
      <c r="DZ41" s="309"/>
      <c r="EA41" s="310"/>
      <c r="EB41" s="311"/>
      <c r="EC41" s="311"/>
      <c r="ED41" s="309"/>
      <c r="EE41" s="310"/>
      <c r="EF41" s="311"/>
      <c r="EG41" s="311"/>
      <c r="EH41" s="309"/>
      <c r="EI41" s="310"/>
      <c r="EJ41" s="311"/>
      <c r="EK41" s="311"/>
      <c r="EL41" s="309"/>
      <c r="EM41" s="310"/>
      <c r="EN41" s="311"/>
      <c r="EO41" s="311"/>
      <c r="EP41" s="309"/>
      <c r="EQ41" s="310"/>
      <c r="ER41" s="311"/>
      <c r="ES41" s="311"/>
      <c r="ET41" s="309"/>
      <c r="EU41" s="310"/>
      <c r="EV41" s="311"/>
      <c r="EW41" s="311"/>
      <c r="EX41" s="309"/>
      <c r="EY41" s="310"/>
      <c r="EZ41" s="311"/>
      <c r="FA41" s="311"/>
      <c r="FB41" s="309"/>
      <c r="FC41" s="310"/>
      <c r="FD41" s="311"/>
      <c r="FE41" s="311"/>
      <c r="FF41" s="309"/>
      <c r="FG41" s="310"/>
      <c r="FH41" s="311"/>
      <c r="FI41" s="311"/>
      <c r="FJ41" s="309"/>
      <c r="FK41" s="310"/>
      <c r="FL41" s="311"/>
      <c r="FM41" s="311"/>
      <c r="FN41" s="309"/>
      <c r="FO41" s="310"/>
      <c r="FP41" s="311"/>
      <c r="FQ41" s="311"/>
      <c r="FR41" s="309"/>
      <c r="FS41" s="310"/>
      <c r="FT41" s="311"/>
      <c r="FU41" s="311"/>
      <c r="FV41" s="309"/>
      <c r="FW41" s="310"/>
      <c r="FX41" s="311"/>
      <c r="FY41" s="311"/>
      <c r="FZ41" s="309"/>
      <c r="GA41" s="310"/>
      <c r="GB41" s="311"/>
      <c r="GC41" s="311"/>
      <c r="GD41" s="309"/>
      <c r="GE41" s="310"/>
      <c r="GF41" s="311"/>
      <c r="GG41" s="311"/>
      <c r="GH41" s="309"/>
      <c r="GI41" s="310"/>
      <c r="GJ41" s="311"/>
      <c r="GK41" s="311"/>
      <c r="GL41" s="309"/>
      <c r="GM41" s="310"/>
      <c r="GN41" s="311"/>
      <c r="GO41" s="311"/>
      <c r="GP41" s="309"/>
      <c r="GQ41" s="310"/>
      <c r="GR41" s="311"/>
      <c r="GS41" s="311"/>
      <c r="GT41" s="309"/>
      <c r="GU41" s="310"/>
      <c r="GV41" s="311"/>
      <c r="GW41" s="311"/>
      <c r="GX41" s="309"/>
      <c r="GY41" s="310"/>
      <c r="GZ41" s="311"/>
      <c r="HA41" s="311"/>
      <c r="HB41" s="309"/>
      <c r="HC41" s="312">
        <f t="shared" si="66"/>
        <v>0</v>
      </c>
      <c r="HD41" s="313">
        <f t="shared" si="66"/>
        <v>0</v>
      </c>
      <c r="HE41" s="313">
        <f t="shared" si="66"/>
        <v>0</v>
      </c>
      <c r="HF41" s="314"/>
      <c r="HG41" s="312">
        <f>SUM(SUMIFS(K41:HB41,$K$13:$HB$13,{"エネルギー管理指定工場等*","県域*"}))</f>
        <v>0</v>
      </c>
      <c r="HH41" s="313">
        <f>SUM(SUMIFS(L41:HC41,$K$13:$HB$13,{"エネルギー管理指定工場等*","県域*"}))</f>
        <v>0</v>
      </c>
      <c r="HI41" s="313">
        <f>SUM(SUMIFS(M41:HD41,$K$13:$HB$13,{"エネルギー管理指定工場等*","県域*"}))</f>
        <v>0</v>
      </c>
      <c r="HJ41" s="314"/>
      <c r="HL41" s="230">
        <v>32</v>
      </c>
      <c r="HM41" s="714" t="str">
        <f t="shared" ca="1" si="49"/>
        <v/>
      </c>
      <c r="HN41" s="715" t="str">
        <f ca="1">IF(COUNTIF(HN$10:HN40,OFFSET(A1_原単位2026,5,HL41+2))&gt;=1,"",OFFSET(A1_原単位2026,5,HL41+2)&amp;"")</f>
        <v/>
      </c>
      <c r="HO41" s="716" t="str">
        <f t="shared" ca="1" si="50"/>
        <v/>
      </c>
      <c r="HP41" s="717" t="str">
        <f t="shared" ca="1" si="51"/>
        <v/>
      </c>
      <c r="HQ41" s="714" t="str">
        <f t="shared" ca="1" si="52"/>
        <v/>
      </c>
      <c r="HR41" s="715" t="str">
        <f ca="1">IF(COUNTIF(HR$10:HR40,OFFSET(A1_原単位2026,17,HL41+2))&gt;=1,"",OFFSET(A1_原単位2026,17,HL41+2)&amp;"")</f>
        <v/>
      </c>
      <c r="HS41" s="718" t="str">
        <f t="shared" ca="1" si="53"/>
        <v/>
      </c>
      <c r="HT41" s="719" t="str">
        <f t="shared" ca="1" si="54"/>
        <v/>
      </c>
      <c r="HU41" s="714" t="str">
        <f t="shared" ca="1" si="55"/>
        <v/>
      </c>
      <c r="HV41" s="715" t="str">
        <f ca="1">IF(COUNTIF(HV$10:HV40,OFFSET(A1_原単位2026,29,HL41+2))&gt;=1,"",OFFSET(A1_原単位2026,29,HL41+2)&amp;"")</f>
        <v/>
      </c>
      <c r="HW41" s="718" t="str">
        <f t="shared" ca="1" si="56"/>
        <v/>
      </c>
      <c r="HX41" s="719" t="str">
        <f t="shared" ca="1" si="57"/>
        <v/>
      </c>
      <c r="HY41" s="714" t="str">
        <f t="shared" ca="1" si="58"/>
        <v/>
      </c>
      <c r="HZ41" s="715" t="str">
        <f ca="1">IF(COUNTIF(HZ$10:HZ40,OFFSET(A1_原単位2026,41,HL41+2))&gt;=1,"",OFFSET(A1_原単位2026,41,HL41+2)&amp;"")</f>
        <v/>
      </c>
      <c r="IA41" s="720" t="str">
        <f t="shared" ca="1" si="59"/>
        <v/>
      </c>
      <c r="IB41" s="721" t="str">
        <f t="shared" ca="1" si="60"/>
        <v/>
      </c>
      <c r="IE41" s="159" t="str">
        <f t="shared" ca="1" si="61"/>
        <v/>
      </c>
      <c r="IF41" s="159" t="str">
        <f t="shared" ca="1" si="62"/>
        <v/>
      </c>
      <c r="IG41" s="159" t="str">
        <f t="shared" ca="1" si="63"/>
        <v/>
      </c>
      <c r="IH41" s="159" t="str">
        <f t="shared" ca="1" si="64"/>
        <v/>
      </c>
    </row>
    <row r="42" spans="2:242" s="164" customFormat="1" ht="20.100000000000001" customHeight="1">
      <c r="B42" s="302"/>
      <c r="C42" s="303" t="s">
        <v>587</v>
      </c>
      <c r="D42" s="304"/>
      <c r="E42" s="305"/>
      <c r="F42" s="303" t="s">
        <v>457</v>
      </c>
      <c r="G42" s="306">
        <v>3.45</v>
      </c>
      <c r="H42" s="307">
        <v>2.64E-2</v>
      </c>
      <c r="I42" s="308"/>
      <c r="J42" s="309"/>
      <c r="K42" s="310"/>
      <c r="L42" s="311"/>
      <c r="M42" s="311"/>
      <c r="N42" s="309"/>
      <c r="O42" s="310"/>
      <c r="P42" s="311"/>
      <c r="Q42" s="311"/>
      <c r="R42" s="309"/>
      <c r="S42" s="310"/>
      <c r="T42" s="311"/>
      <c r="U42" s="311"/>
      <c r="V42" s="309"/>
      <c r="W42" s="310"/>
      <c r="X42" s="311"/>
      <c r="Y42" s="311"/>
      <c r="Z42" s="309"/>
      <c r="AA42" s="310"/>
      <c r="AB42" s="311"/>
      <c r="AC42" s="311"/>
      <c r="AD42" s="309"/>
      <c r="AE42" s="310"/>
      <c r="AF42" s="311"/>
      <c r="AG42" s="311"/>
      <c r="AH42" s="309"/>
      <c r="AI42" s="310"/>
      <c r="AJ42" s="311"/>
      <c r="AK42" s="311"/>
      <c r="AL42" s="309"/>
      <c r="AM42" s="310"/>
      <c r="AN42" s="311"/>
      <c r="AO42" s="311"/>
      <c r="AP42" s="309"/>
      <c r="AQ42" s="310"/>
      <c r="AR42" s="311"/>
      <c r="AS42" s="311"/>
      <c r="AT42" s="309"/>
      <c r="AU42" s="310"/>
      <c r="AV42" s="311"/>
      <c r="AW42" s="311"/>
      <c r="AX42" s="309"/>
      <c r="AY42" s="310"/>
      <c r="AZ42" s="311"/>
      <c r="BA42" s="311"/>
      <c r="BB42" s="309"/>
      <c r="BC42" s="310"/>
      <c r="BD42" s="311"/>
      <c r="BE42" s="311"/>
      <c r="BF42" s="309"/>
      <c r="BG42" s="310"/>
      <c r="BH42" s="311"/>
      <c r="BI42" s="311"/>
      <c r="BJ42" s="309"/>
      <c r="BK42" s="310"/>
      <c r="BL42" s="311"/>
      <c r="BM42" s="311"/>
      <c r="BN42" s="309"/>
      <c r="BO42" s="310"/>
      <c r="BP42" s="311"/>
      <c r="BQ42" s="311"/>
      <c r="BR42" s="309"/>
      <c r="BS42" s="310"/>
      <c r="BT42" s="311"/>
      <c r="BU42" s="311"/>
      <c r="BV42" s="309"/>
      <c r="BW42" s="310"/>
      <c r="BX42" s="311"/>
      <c r="BY42" s="311"/>
      <c r="BZ42" s="309"/>
      <c r="CA42" s="310"/>
      <c r="CB42" s="311"/>
      <c r="CC42" s="311"/>
      <c r="CD42" s="309"/>
      <c r="CE42" s="310"/>
      <c r="CF42" s="311"/>
      <c r="CG42" s="311"/>
      <c r="CH42" s="309"/>
      <c r="CI42" s="310"/>
      <c r="CJ42" s="311"/>
      <c r="CK42" s="311"/>
      <c r="CL42" s="309"/>
      <c r="CM42" s="310"/>
      <c r="CN42" s="311"/>
      <c r="CO42" s="311"/>
      <c r="CP42" s="309"/>
      <c r="CQ42" s="310"/>
      <c r="CR42" s="311"/>
      <c r="CS42" s="311"/>
      <c r="CT42" s="309"/>
      <c r="CU42" s="310"/>
      <c r="CV42" s="311"/>
      <c r="CW42" s="311"/>
      <c r="CX42" s="309"/>
      <c r="CY42" s="310"/>
      <c r="CZ42" s="311"/>
      <c r="DA42" s="311"/>
      <c r="DB42" s="309"/>
      <c r="DC42" s="310"/>
      <c r="DD42" s="311"/>
      <c r="DE42" s="311"/>
      <c r="DF42" s="309"/>
      <c r="DG42" s="310"/>
      <c r="DH42" s="311"/>
      <c r="DI42" s="311"/>
      <c r="DJ42" s="309"/>
      <c r="DK42" s="310"/>
      <c r="DL42" s="311"/>
      <c r="DM42" s="311"/>
      <c r="DN42" s="309"/>
      <c r="DO42" s="310"/>
      <c r="DP42" s="311"/>
      <c r="DQ42" s="311"/>
      <c r="DR42" s="309"/>
      <c r="DS42" s="310"/>
      <c r="DT42" s="311"/>
      <c r="DU42" s="311"/>
      <c r="DV42" s="309"/>
      <c r="DW42" s="310"/>
      <c r="DX42" s="311"/>
      <c r="DY42" s="311"/>
      <c r="DZ42" s="309"/>
      <c r="EA42" s="310"/>
      <c r="EB42" s="311"/>
      <c r="EC42" s="311"/>
      <c r="ED42" s="309"/>
      <c r="EE42" s="310"/>
      <c r="EF42" s="311"/>
      <c r="EG42" s="311"/>
      <c r="EH42" s="309"/>
      <c r="EI42" s="310"/>
      <c r="EJ42" s="311"/>
      <c r="EK42" s="311"/>
      <c r="EL42" s="309"/>
      <c r="EM42" s="310"/>
      <c r="EN42" s="311"/>
      <c r="EO42" s="311"/>
      <c r="EP42" s="309"/>
      <c r="EQ42" s="310"/>
      <c r="ER42" s="311"/>
      <c r="ES42" s="311"/>
      <c r="ET42" s="309"/>
      <c r="EU42" s="310"/>
      <c r="EV42" s="311"/>
      <c r="EW42" s="311"/>
      <c r="EX42" s="309"/>
      <c r="EY42" s="310"/>
      <c r="EZ42" s="311"/>
      <c r="FA42" s="311"/>
      <c r="FB42" s="309"/>
      <c r="FC42" s="310"/>
      <c r="FD42" s="311"/>
      <c r="FE42" s="311"/>
      <c r="FF42" s="309"/>
      <c r="FG42" s="310"/>
      <c r="FH42" s="311"/>
      <c r="FI42" s="311"/>
      <c r="FJ42" s="309"/>
      <c r="FK42" s="310"/>
      <c r="FL42" s="311"/>
      <c r="FM42" s="311"/>
      <c r="FN42" s="309"/>
      <c r="FO42" s="310"/>
      <c r="FP42" s="311"/>
      <c r="FQ42" s="311"/>
      <c r="FR42" s="309"/>
      <c r="FS42" s="310"/>
      <c r="FT42" s="311"/>
      <c r="FU42" s="311"/>
      <c r="FV42" s="309"/>
      <c r="FW42" s="310"/>
      <c r="FX42" s="311"/>
      <c r="FY42" s="311"/>
      <c r="FZ42" s="309"/>
      <c r="GA42" s="310"/>
      <c r="GB42" s="311"/>
      <c r="GC42" s="311"/>
      <c r="GD42" s="309"/>
      <c r="GE42" s="310"/>
      <c r="GF42" s="311"/>
      <c r="GG42" s="311"/>
      <c r="GH42" s="309"/>
      <c r="GI42" s="310"/>
      <c r="GJ42" s="311"/>
      <c r="GK42" s="311"/>
      <c r="GL42" s="309"/>
      <c r="GM42" s="310"/>
      <c r="GN42" s="311"/>
      <c r="GO42" s="311"/>
      <c r="GP42" s="309"/>
      <c r="GQ42" s="310"/>
      <c r="GR42" s="311"/>
      <c r="GS42" s="311"/>
      <c r="GT42" s="309"/>
      <c r="GU42" s="310"/>
      <c r="GV42" s="311"/>
      <c r="GW42" s="311"/>
      <c r="GX42" s="309"/>
      <c r="GY42" s="310"/>
      <c r="GZ42" s="311"/>
      <c r="HA42" s="311"/>
      <c r="HB42" s="309"/>
      <c r="HC42" s="312">
        <f t="shared" si="66"/>
        <v>0</v>
      </c>
      <c r="HD42" s="313">
        <f t="shared" si="66"/>
        <v>0</v>
      </c>
      <c r="HE42" s="313">
        <f t="shared" si="66"/>
        <v>0</v>
      </c>
      <c r="HF42" s="314"/>
      <c r="HG42" s="312">
        <f>SUM(SUMIFS(K42:HB42,$K$13:$HB$13,{"エネルギー管理指定工場等*","県域*"}))</f>
        <v>0</v>
      </c>
      <c r="HH42" s="313">
        <f>SUM(SUMIFS(L42:HC42,$K$13:$HB$13,{"エネルギー管理指定工場等*","県域*"}))</f>
        <v>0</v>
      </c>
      <c r="HI42" s="313">
        <f>SUM(SUMIFS(M42:HD42,$K$13:$HB$13,{"エネルギー管理指定工場等*","県域*"}))</f>
        <v>0</v>
      </c>
      <c r="HJ42" s="314"/>
      <c r="HL42" s="219">
        <v>33</v>
      </c>
      <c r="HM42" s="714" t="str">
        <f t="shared" ref="HM42:HM59" ca="1" si="67">OFFSET(A1_原単位2025,6,$HL42+2)</f>
        <v/>
      </c>
      <c r="HN42" s="715" t="str">
        <f ca="1">IF(COUNTIF(HN$10:HN41,OFFSET(A1_原単位2026,5,HL42+2))&gt;=1,"",OFFSET(A1_原単位2026,5,HL42+2)&amp;"")</f>
        <v/>
      </c>
      <c r="HO42" s="716" t="str">
        <f t="shared" ca="1" si="50"/>
        <v/>
      </c>
      <c r="HP42" s="717" t="str">
        <f t="shared" ref="HP42:HP59" ca="1" si="68">IF(HN42="","",HYPERLINK("#"&amp;OFFSET(A1_原単位2026,66,$HL42+2),OFFSET(A1_原単位2026,62,$HL42+2)))</f>
        <v/>
      </c>
      <c r="HQ42" s="714" t="str">
        <f t="shared" ref="HQ42:HQ59" ca="1" si="69">OFFSET(A1_原単位2025,18,$HL42+2)</f>
        <v/>
      </c>
      <c r="HR42" s="715" t="str">
        <f ca="1">IF(COUNTIF(HR$10:HR41,OFFSET(A1_原単位2026,17,HL42+2))&gt;=1,"",OFFSET(A1_原単位2026,17,HL42+2)&amp;"")</f>
        <v/>
      </c>
      <c r="HS42" s="718" t="str">
        <f t="shared" ca="1" si="53"/>
        <v/>
      </c>
      <c r="HT42" s="719" t="str">
        <f t="shared" ref="HT42:HT59" ca="1" si="70">IF(HR42="","",HYPERLINK("#"&amp;OFFSET(A1_原単位2026,67,$HL42+2),OFFSET(A1_原単位2026,63,$HL42+2)))</f>
        <v/>
      </c>
      <c r="HU42" s="714" t="str">
        <f t="shared" ref="HU42:HU59" ca="1" si="71">OFFSET(A1_原単位2025,30,$HL42+2)</f>
        <v/>
      </c>
      <c r="HV42" s="715" t="str">
        <f ca="1">IF(COUNTIF(HV$10:HV41,OFFSET(A1_原単位2026,29,HL42+2))&gt;=1,"",OFFSET(A1_原単位2026,29,HL42+2)&amp;"")</f>
        <v/>
      </c>
      <c r="HW42" s="718" t="str">
        <f t="shared" ca="1" si="56"/>
        <v/>
      </c>
      <c r="HX42" s="719" t="str">
        <f t="shared" ref="HX42:HX59" ca="1" si="72">IF(HV42="","",HYPERLINK("#"&amp;OFFSET(A1_原単位2026,68,$HL42+2),OFFSET(A1_原単位2026,64,$HL42+2)))</f>
        <v/>
      </c>
      <c r="HY42" s="714" t="str">
        <f t="shared" ref="HY42:HY59" ca="1" si="73">OFFSET(A1_原単位2025,42,$HL42+2)</f>
        <v/>
      </c>
      <c r="HZ42" s="715" t="str">
        <f ca="1">IF(COUNTIF(HZ$10:HZ41,OFFSET(A1_原単位2026,41,HL42+2))&gt;=1,"",OFFSET(A1_原単位2026,41,HL42+2)&amp;"")</f>
        <v/>
      </c>
      <c r="IA42" s="720" t="str">
        <f t="shared" ca="1" si="59"/>
        <v/>
      </c>
      <c r="IB42" s="721" t="str">
        <f t="shared" ref="IB42:IB59" ca="1" si="74">IF(HZ42="","",HYPERLINK("#"&amp;OFFSET(A1_原単位2026,69,$HL42+2),OFFSET(A1_原単位2026,65,$HL42+2)))</f>
        <v/>
      </c>
      <c r="IE42" s="159" t="str">
        <f t="shared" ref="IE42:IE59" ca="1" si="75">IF($HN42="","",ADDRESS(ROW(貼付け_2026実績)+5,OFFSET(A1_原単位2026,7,$HL42+2)+COLUMN(貼付け_2026実績)+1,4))</f>
        <v/>
      </c>
      <c r="IF42" s="159" t="str">
        <f t="shared" ref="IF42:IF59" ca="1" si="76">IF($HR42="","",ADDRESS(ROW(貼付け_2026実績)+5,OFFSET(A1_原単位2026,19,$HL42+2)+COLUMN(貼付け_2026実績)+1,4))</f>
        <v/>
      </c>
      <c r="IG42" s="159" t="str">
        <f t="shared" ref="IG42:IG59" ca="1" si="77">IF($HV42="","",ADDRESS(ROW(貼付け_2026実績)+5,OFFSET(A1_原単位2026,31,$HL42+2)+COLUMN(貼付け_2026実績)+1,4))</f>
        <v/>
      </c>
      <c r="IH42" s="159" t="str">
        <f t="shared" ref="IH42:IH59" ca="1" si="78">IF($HZ42="","",ADDRESS(ROW(貼付け_2026実績)+5,OFFSET(A1_原単位2026,43,$HL42+2)+COLUMN(貼付け_2026実績)+1,4))</f>
        <v/>
      </c>
    </row>
    <row r="43" spans="2:242" s="164" customFormat="1" ht="20.100000000000001" customHeight="1">
      <c r="B43" s="302"/>
      <c r="C43" s="303" t="s">
        <v>375</v>
      </c>
      <c r="D43" s="304"/>
      <c r="E43" s="305"/>
      <c r="F43" s="303" t="s">
        <v>457</v>
      </c>
      <c r="G43" s="306">
        <v>7.53</v>
      </c>
      <c r="H43" s="307">
        <v>4.2000000000000003E-2</v>
      </c>
      <c r="I43" s="308"/>
      <c r="J43" s="309"/>
      <c r="K43" s="310"/>
      <c r="L43" s="311"/>
      <c r="M43" s="311"/>
      <c r="N43" s="309"/>
      <c r="O43" s="310"/>
      <c r="P43" s="311"/>
      <c r="Q43" s="311"/>
      <c r="R43" s="309"/>
      <c r="S43" s="310"/>
      <c r="T43" s="311"/>
      <c r="U43" s="311"/>
      <c r="V43" s="309"/>
      <c r="W43" s="310"/>
      <c r="X43" s="311"/>
      <c r="Y43" s="311"/>
      <c r="Z43" s="309"/>
      <c r="AA43" s="310"/>
      <c r="AB43" s="311"/>
      <c r="AC43" s="311"/>
      <c r="AD43" s="309"/>
      <c r="AE43" s="310"/>
      <c r="AF43" s="311"/>
      <c r="AG43" s="311"/>
      <c r="AH43" s="309"/>
      <c r="AI43" s="310"/>
      <c r="AJ43" s="311"/>
      <c r="AK43" s="311"/>
      <c r="AL43" s="309"/>
      <c r="AM43" s="310"/>
      <c r="AN43" s="311"/>
      <c r="AO43" s="311"/>
      <c r="AP43" s="309"/>
      <c r="AQ43" s="310"/>
      <c r="AR43" s="311"/>
      <c r="AS43" s="311"/>
      <c r="AT43" s="309"/>
      <c r="AU43" s="310"/>
      <c r="AV43" s="311"/>
      <c r="AW43" s="311"/>
      <c r="AX43" s="309"/>
      <c r="AY43" s="310"/>
      <c r="AZ43" s="311"/>
      <c r="BA43" s="311"/>
      <c r="BB43" s="309"/>
      <c r="BC43" s="310"/>
      <c r="BD43" s="311"/>
      <c r="BE43" s="311"/>
      <c r="BF43" s="309"/>
      <c r="BG43" s="310"/>
      <c r="BH43" s="311"/>
      <c r="BI43" s="311"/>
      <c r="BJ43" s="309"/>
      <c r="BK43" s="310"/>
      <c r="BL43" s="311"/>
      <c r="BM43" s="311"/>
      <c r="BN43" s="309"/>
      <c r="BO43" s="310"/>
      <c r="BP43" s="311"/>
      <c r="BQ43" s="311"/>
      <c r="BR43" s="309"/>
      <c r="BS43" s="310"/>
      <c r="BT43" s="311"/>
      <c r="BU43" s="311"/>
      <c r="BV43" s="309"/>
      <c r="BW43" s="310"/>
      <c r="BX43" s="311"/>
      <c r="BY43" s="311"/>
      <c r="BZ43" s="309"/>
      <c r="CA43" s="310"/>
      <c r="CB43" s="311"/>
      <c r="CC43" s="311"/>
      <c r="CD43" s="309"/>
      <c r="CE43" s="310"/>
      <c r="CF43" s="311"/>
      <c r="CG43" s="311"/>
      <c r="CH43" s="309"/>
      <c r="CI43" s="310"/>
      <c r="CJ43" s="311"/>
      <c r="CK43" s="311"/>
      <c r="CL43" s="309"/>
      <c r="CM43" s="310"/>
      <c r="CN43" s="311"/>
      <c r="CO43" s="311"/>
      <c r="CP43" s="309"/>
      <c r="CQ43" s="310"/>
      <c r="CR43" s="311"/>
      <c r="CS43" s="311"/>
      <c r="CT43" s="309"/>
      <c r="CU43" s="310"/>
      <c r="CV43" s="311"/>
      <c r="CW43" s="311"/>
      <c r="CX43" s="309"/>
      <c r="CY43" s="310"/>
      <c r="CZ43" s="311"/>
      <c r="DA43" s="311"/>
      <c r="DB43" s="309"/>
      <c r="DC43" s="310"/>
      <c r="DD43" s="311"/>
      <c r="DE43" s="311"/>
      <c r="DF43" s="309"/>
      <c r="DG43" s="310"/>
      <c r="DH43" s="311"/>
      <c r="DI43" s="311"/>
      <c r="DJ43" s="309"/>
      <c r="DK43" s="310"/>
      <c r="DL43" s="311"/>
      <c r="DM43" s="311"/>
      <c r="DN43" s="309"/>
      <c r="DO43" s="310"/>
      <c r="DP43" s="311"/>
      <c r="DQ43" s="311"/>
      <c r="DR43" s="309"/>
      <c r="DS43" s="310"/>
      <c r="DT43" s="311"/>
      <c r="DU43" s="311"/>
      <c r="DV43" s="309"/>
      <c r="DW43" s="310"/>
      <c r="DX43" s="311"/>
      <c r="DY43" s="311"/>
      <c r="DZ43" s="309"/>
      <c r="EA43" s="310"/>
      <c r="EB43" s="311"/>
      <c r="EC43" s="311"/>
      <c r="ED43" s="309"/>
      <c r="EE43" s="310"/>
      <c r="EF43" s="311"/>
      <c r="EG43" s="311"/>
      <c r="EH43" s="309"/>
      <c r="EI43" s="310"/>
      <c r="EJ43" s="311"/>
      <c r="EK43" s="311"/>
      <c r="EL43" s="309"/>
      <c r="EM43" s="310"/>
      <c r="EN43" s="311"/>
      <c r="EO43" s="311"/>
      <c r="EP43" s="309"/>
      <c r="EQ43" s="310"/>
      <c r="ER43" s="311"/>
      <c r="ES43" s="311"/>
      <c r="ET43" s="309"/>
      <c r="EU43" s="310"/>
      <c r="EV43" s="311"/>
      <c r="EW43" s="311"/>
      <c r="EX43" s="309"/>
      <c r="EY43" s="310"/>
      <c r="EZ43" s="311"/>
      <c r="FA43" s="311"/>
      <c r="FB43" s="309"/>
      <c r="FC43" s="310"/>
      <c r="FD43" s="311"/>
      <c r="FE43" s="311"/>
      <c r="FF43" s="309"/>
      <c r="FG43" s="310"/>
      <c r="FH43" s="311"/>
      <c r="FI43" s="311"/>
      <c r="FJ43" s="309"/>
      <c r="FK43" s="310"/>
      <c r="FL43" s="311"/>
      <c r="FM43" s="311"/>
      <c r="FN43" s="309"/>
      <c r="FO43" s="310"/>
      <c r="FP43" s="311"/>
      <c r="FQ43" s="311"/>
      <c r="FR43" s="309"/>
      <c r="FS43" s="310"/>
      <c r="FT43" s="311"/>
      <c r="FU43" s="311"/>
      <c r="FV43" s="309"/>
      <c r="FW43" s="310"/>
      <c r="FX43" s="311"/>
      <c r="FY43" s="311"/>
      <c r="FZ43" s="309"/>
      <c r="GA43" s="310"/>
      <c r="GB43" s="311"/>
      <c r="GC43" s="311"/>
      <c r="GD43" s="309"/>
      <c r="GE43" s="310"/>
      <c r="GF43" s="311"/>
      <c r="GG43" s="311"/>
      <c r="GH43" s="309"/>
      <c r="GI43" s="310"/>
      <c r="GJ43" s="311"/>
      <c r="GK43" s="311"/>
      <c r="GL43" s="309"/>
      <c r="GM43" s="310"/>
      <c r="GN43" s="311"/>
      <c r="GO43" s="311"/>
      <c r="GP43" s="309"/>
      <c r="GQ43" s="310"/>
      <c r="GR43" s="311"/>
      <c r="GS43" s="311"/>
      <c r="GT43" s="309"/>
      <c r="GU43" s="310"/>
      <c r="GV43" s="311"/>
      <c r="GW43" s="311"/>
      <c r="GX43" s="309"/>
      <c r="GY43" s="310"/>
      <c r="GZ43" s="311"/>
      <c r="HA43" s="311"/>
      <c r="HB43" s="309"/>
      <c r="HC43" s="312">
        <f t="shared" si="66"/>
        <v>0</v>
      </c>
      <c r="HD43" s="313">
        <f t="shared" si="66"/>
        <v>0</v>
      </c>
      <c r="HE43" s="313">
        <f t="shared" si="66"/>
        <v>0</v>
      </c>
      <c r="HF43" s="314"/>
      <c r="HG43" s="312">
        <f>SUM(SUMIFS(K43:HB43,$K$13:$HB$13,{"エネルギー管理指定工場等*","県域*"}))</f>
        <v>0</v>
      </c>
      <c r="HH43" s="313">
        <f>SUM(SUMIFS(L43:HC43,$K$13:$HB$13,{"エネルギー管理指定工場等*","県域*"}))</f>
        <v>0</v>
      </c>
      <c r="HI43" s="313">
        <f>SUM(SUMIFS(M43:HD43,$K$13:$HB$13,{"エネルギー管理指定工場等*","県域*"}))</f>
        <v>0</v>
      </c>
      <c r="HJ43" s="314"/>
      <c r="HL43" s="230">
        <v>34</v>
      </c>
      <c r="HM43" s="714" t="str">
        <f t="shared" ca="1" si="67"/>
        <v/>
      </c>
      <c r="HN43" s="715" t="str">
        <f ca="1">IF(COUNTIF(HN$10:HN42,OFFSET(A1_原単位2026,5,HL43+2))&gt;=1,"",OFFSET(A1_原単位2026,5,HL43+2)&amp;"")</f>
        <v/>
      </c>
      <c r="HO43" s="716" t="str">
        <f t="shared" ca="1" si="50"/>
        <v/>
      </c>
      <c r="HP43" s="717" t="str">
        <f t="shared" ca="1" si="68"/>
        <v/>
      </c>
      <c r="HQ43" s="714" t="str">
        <f t="shared" ca="1" si="69"/>
        <v/>
      </c>
      <c r="HR43" s="715" t="str">
        <f ca="1">IF(COUNTIF(HR$10:HR42,OFFSET(A1_原単位2026,17,HL43+2))&gt;=1,"",OFFSET(A1_原単位2026,17,HL43+2)&amp;"")</f>
        <v/>
      </c>
      <c r="HS43" s="718" t="str">
        <f t="shared" ca="1" si="53"/>
        <v/>
      </c>
      <c r="HT43" s="719" t="str">
        <f t="shared" ca="1" si="70"/>
        <v/>
      </c>
      <c r="HU43" s="714" t="str">
        <f t="shared" ca="1" si="71"/>
        <v/>
      </c>
      <c r="HV43" s="715" t="str">
        <f ca="1">IF(COUNTIF(HV$10:HV42,OFFSET(A1_原単位2026,29,HL43+2))&gt;=1,"",OFFSET(A1_原単位2026,29,HL43+2)&amp;"")</f>
        <v/>
      </c>
      <c r="HW43" s="718" t="str">
        <f t="shared" ca="1" si="56"/>
        <v/>
      </c>
      <c r="HX43" s="719" t="str">
        <f t="shared" ca="1" si="72"/>
        <v/>
      </c>
      <c r="HY43" s="714" t="str">
        <f t="shared" ca="1" si="73"/>
        <v/>
      </c>
      <c r="HZ43" s="715" t="str">
        <f ca="1">IF(COUNTIF(HZ$10:HZ42,OFFSET(A1_原単位2026,41,HL43+2))&gt;=1,"",OFFSET(A1_原単位2026,41,HL43+2)&amp;"")</f>
        <v/>
      </c>
      <c r="IA43" s="720" t="str">
        <f t="shared" ca="1" si="59"/>
        <v/>
      </c>
      <c r="IB43" s="721" t="str">
        <f t="shared" ca="1" si="74"/>
        <v/>
      </c>
      <c r="IE43" s="159" t="str">
        <f t="shared" ca="1" si="75"/>
        <v/>
      </c>
      <c r="IF43" s="159" t="str">
        <f t="shared" ca="1" si="76"/>
        <v/>
      </c>
      <c r="IG43" s="159" t="str">
        <f t="shared" ca="1" si="77"/>
        <v/>
      </c>
      <c r="IH43" s="159" t="str">
        <f t="shared" ca="1" si="78"/>
        <v/>
      </c>
    </row>
    <row r="44" spans="2:242" s="164" customFormat="1" ht="20.100000000000001" customHeight="1">
      <c r="B44" s="302"/>
      <c r="C44" s="303" t="s">
        <v>459</v>
      </c>
      <c r="D44" s="304"/>
      <c r="E44" s="305"/>
      <c r="F44" s="303" t="s">
        <v>457</v>
      </c>
      <c r="G44" s="308"/>
      <c r="H44" s="309"/>
      <c r="I44" s="310"/>
      <c r="J44" s="315"/>
      <c r="K44" s="310"/>
      <c r="L44" s="311"/>
      <c r="M44" s="311"/>
      <c r="N44" s="309"/>
      <c r="O44" s="310"/>
      <c r="P44" s="311"/>
      <c r="Q44" s="311"/>
      <c r="R44" s="309"/>
      <c r="S44" s="310"/>
      <c r="T44" s="311"/>
      <c r="U44" s="311"/>
      <c r="V44" s="309"/>
      <c r="W44" s="310"/>
      <c r="X44" s="311"/>
      <c r="Y44" s="311"/>
      <c r="Z44" s="309"/>
      <c r="AA44" s="310"/>
      <c r="AB44" s="311"/>
      <c r="AC44" s="311"/>
      <c r="AD44" s="309"/>
      <c r="AE44" s="310"/>
      <c r="AF44" s="311"/>
      <c r="AG44" s="311"/>
      <c r="AH44" s="309"/>
      <c r="AI44" s="310"/>
      <c r="AJ44" s="311"/>
      <c r="AK44" s="311"/>
      <c r="AL44" s="309"/>
      <c r="AM44" s="310"/>
      <c r="AN44" s="311"/>
      <c r="AO44" s="311"/>
      <c r="AP44" s="309"/>
      <c r="AQ44" s="310"/>
      <c r="AR44" s="311"/>
      <c r="AS44" s="311"/>
      <c r="AT44" s="309"/>
      <c r="AU44" s="310"/>
      <c r="AV44" s="311"/>
      <c r="AW44" s="311"/>
      <c r="AX44" s="309"/>
      <c r="AY44" s="310"/>
      <c r="AZ44" s="311"/>
      <c r="BA44" s="311"/>
      <c r="BB44" s="309"/>
      <c r="BC44" s="310"/>
      <c r="BD44" s="311"/>
      <c r="BE44" s="311"/>
      <c r="BF44" s="309"/>
      <c r="BG44" s="310"/>
      <c r="BH44" s="311"/>
      <c r="BI44" s="311"/>
      <c r="BJ44" s="309"/>
      <c r="BK44" s="310"/>
      <c r="BL44" s="311"/>
      <c r="BM44" s="311"/>
      <c r="BN44" s="309"/>
      <c r="BO44" s="310"/>
      <c r="BP44" s="311"/>
      <c r="BQ44" s="311"/>
      <c r="BR44" s="309"/>
      <c r="BS44" s="310"/>
      <c r="BT44" s="311"/>
      <c r="BU44" s="311"/>
      <c r="BV44" s="309"/>
      <c r="BW44" s="310"/>
      <c r="BX44" s="311"/>
      <c r="BY44" s="311"/>
      <c r="BZ44" s="309"/>
      <c r="CA44" s="310"/>
      <c r="CB44" s="311"/>
      <c r="CC44" s="311"/>
      <c r="CD44" s="309"/>
      <c r="CE44" s="310"/>
      <c r="CF44" s="311"/>
      <c r="CG44" s="311"/>
      <c r="CH44" s="309"/>
      <c r="CI44" s="310"/>
      <c r="CJ44" s="311"/>
      <c r="CK44" s="311"/>
      <c r="CL44" s="309"/>
      <c r="CM44" s="310"/>
      <c r="CN44" s="311"/>
      <c r="CO44" s="311"/>
      <c r="CP44" s="309"/>
      <c r="CQ44" s="310"/>
      <c r="CR44" s="311"/>
      <c r="CS44" s="311"/>
      <c r="CT44" s="309"/>
      <c r="CU44" s="310"/>
      <c r="CV44" s="311"/>
      <c r="CW44" s="311"/>
      <c r="CX44" s="309"/>
      <c r="CY44" s="310"/>
      <c r="CZ44" s="311"/>
      <c r="DA44" s="311"/>
      <c r="DB44" s="309"/>
      <c r="DC44" s="310"/>
      <c r="DD44" s="311"/>
      <c r="DE44" s="311"/>
      <c r="DF44" s="309"/>
      <c r="DG44" s="310"/>
      <c r="DH44" s="311"/>
      <c r="DI44" s="311"/>
      <c r="DJ44" s="309"/>
      <c r="DK44" s="310"/>
      <c r="DL44" s="311"/>
      <c r="DM44" s="311"/>
      <c r="DN44" s="309"/>
      <c r="DO44" s="310"/>
      <c r="DP44" s="311"/>
      <c r="DQ44" s="311"/>
      <c r="DR44" s="309"/>
      <c r="DS44" s="310"/>
      <c r="DT44" s="311"/>
      <c r="DU44" s="311"/>
      <c r="DV44" s="309"/>
      <c r="DW44" s="310"/>
      <c r="DX44" s="311"/>
      <c r="DY44" s="311"/>
      <c r="DZ44" s="309"/>
      <c r="EA44" s="310"/>
      <c r="EB44" s="311"/>
      <c r="EC44" s="311"/>
      <c r="ED44" s="309"/>
      <c r="EE44" s="310"/>
      <c r="EF44" s="311"/>
      <c r="EG44" s="311"/>
      <c r="EH44" s="309"/>
      <c r="EI44" s="310"/>
      <c r="EJ44" s="311"/>
      <c r="EK44" s="311"/>
      <c r="EL44" s="309"/>
      <c r="EM44" s="310"/>
      <c r="EN44" s="311"/>
      <c r="EO44" s="311"/>
      <c r="EP44" s="309"/>
      <c r="EQ44" s="310"/>
      <c r="ER44" s="311"/>
      <c r="ES44" s="311"/>
      <c r="ET44" s="309"/>
      <c r="EU44" s="310"/>
      <c r="EV44" s="311"/>
      <c r="EW44" s="311"/>
      <c r="EX44" s="309"/>
      <c r="EY44" s="310"/>
      <c r="EZ44" s="311"/>
      <c r="FA44" s="311"/>
      <c r="FB44" s="309"/>
      <c r="FC44" s="310"/>
      <c r="FD44" s="311"/>
      <c r="FE44" s="311"/>
      <c r="FF44" s="309"/>
      <c r="FG44" s="310"/>
      <c r="FH44" s="311"/>
      <c r="FI44" s="311"/>
      <c r="FJ44" s="309"/>
      <c r="FK44" s="310"/>
      <c r="FL44" s="311"/>
      <c r="FM44" s="311"/>
      <c r="FN44" s="309"/>
      <c r="FO44" s="310"/>
      <c r="FP44" s="311"/>
      <c r="FQ44" s="311"/>
      <c r="FR44" s="309"/>
      <c r="FS44" s="310"/>
      <c r="FT44" s="311"/>
      <c r="FU44" s="311"/>
      <c r="FV44" s="309"/>
      <c r="FW44" s="310"/>
      <c r="FX44" s="311"/>
      <c r="FY44" s="311"/>
      <c r="FZ44" s="309"/>
      <c r="GA44" s="310"/>
      <c r="GB44" s="311"/>
      <c r="GC44" s="311"/>
      <c r="GD44" s="309"/>
      <c r="GE44" s="310"/>
      <c r="GF44" s="311"/>
      <c r="GG44" s="311"/>
      <c r="GH44" s="309"/>
      <c r="GI44" s="310"/>
      <c r="GJ44" s="311"/>
      <c r="GK44" s="311"/>
      <c r="GL44" s="309"/>
      <c r="GM44" s="310"/>
      <c r="GN44" s="311"/>
      <c r="GO44" s="311"/>
      <c r="GP44" s="309"/>
      <c r="GQ44" s="310"/>
      <c r="GR44" s="311"/>
      <c r="GS44" s="311"/>
      <c r="GT44" s="309"/>
      <c r="GU44" s="310"/>
      <c r="GV44" s="311"/>
      <c r="GW44" s="311"/>
      <c r="GX44" s="309"/>
      <c r="GY44" s="310"/>
      <c r="GZ44" s="311"/>
      <c r="HA44" s="311"/>
      <c r="HB44" s="309"/>
      <c r="HC44" s="312">
        <f t="shared" si="66"/>
        <v>0</v>
      </c>
      <c r="HD44" s="313">
        <f t="shared" si="66"/>
        <v>0</v>
      </c>
      <c r="HE44" s="313">
        <f t="shared" si="66"/>
        <v>0</v>
      </c>
      <c r="HF44" s="314"/>
      <c r="HG44" s="312">
        <f>SUM(SUMIFS(K44:HB44,$K$13:$HB$13,{"エネルギー管理指定工場等*","県域*"}))</f>
        <v>0</v>
      </c>
      <c r="HH44" s="313">
        <f>SUM(SUMIFS(L44:HC44,$K$13:$HB$13,{"エネルギー管理指定工場等*","県域*"}))</f>
        <v>0</v>
      </c>
      <c r="HI44" s="313">
        <f>SUM(SUMIFS(M44:HD44,$K$13:$HB$13,{"エネルギー管理指定工場等*","県域*"}))</f>
        <v>0</v>
      </c>
      <c r="HJ44" s="314"/>
      <c r="HL44" s="219">
        <v>35</v>
      </c>
      <c r="HM44" s="714" t="str">
        <f t="shared" ca="1" si="67"/>
        <v/>
      </c>
      <c r="HN44" s="715" t="str">
        <f ca="1">IF(COUNTIF(HN$10:HN43,OFFSET(A1_原単位2026,5,HL44+2))&gt;=1,"",OFFSET(A1_原単位2026,5,HL44+2)&amp;"")</f>
        <v/>
      </c>
      <c r="HO44" s="716" t="str">
        <f t="shared" ca="1" si="50"/>
        <v/>
      </c>
      <c r="HP44" s="717" t="str">
        <f t="shared" ca="1" si="68"/>
        <v/>
      </c>
      <c r="HQ44" s="714" t="str">
        <f t="shared" ca="1" si="69"/>
        <v/>
      </c>
      <c r="HR44" s="715" t="str">
        <f ca="1">IF(COUNTIF(HR$10:HR43,OFFSET(A1_原単位2026,17,HL44+2))&gt;=1,"",OFFSET(A1_原単位2026,17,HL44+2)&amp;"")</f>
        <v/>
      </c>
      <c r="HS44" s="718" t="str">
        <f t="shared" ca="1" si="53"/>
        <v/>
      </c>
      <c r="HT44" s="719" t="str">
        <f t="shared" ca="1" si="70"/>
        <v/>
      </c>
      <c r="HU44" s="714" t="str">
        <f t="shared" ca="1" si="71"/>
        <v/>
      </c>
      <c r="HV44" s="715" t="str">
        <f ca="1">IF(COUNTIF(HV$10:HV43,OFFSET(A1_原単位2026,29,HL44+2))&gt;=1,"",OFFSET(A1_原単位2026,29,HL44+2)&amp;"")</f>
        <v/>
      </c>
      <c r="HW44" s="718" t="str">
        <f t="shared" ca="1" si="56"/>
        <v/>
      </c>
      <c r="HX44" s="719" t="str">
        <f t="shared" ca="1" si="72"/>
        <v/>
      </c>
      <c r="HY44" s="714" t="str">
        <f t="shared" ca="1" si="73"/>
        <v/>
      </c>
      <c r="HZ44" s="715" t="str">
        <f ca="1">IF(COUNTIF(HZ$10:HZ43,OFFSET(A1_原単位2026,41,HL44+2))&gt;=1,"",OFFSET(A1_原単位2026,41,HL44+2)&amp;"")</f>
        <v/>
      </c>
      <c r="IA44" s="720" t="str">
        <f t="shared" ca="1" si="59"/>
        <v/>
      </c>
      <c r="IB44" s="721" t="str">
        <f t="shared" ca="1" si="74"/>
        <v/>
      </c>
      <c r="IE44" s="159" t="str">
        <f t="shared" ca="1" si="75"/>
        <v/>
      </c>
      <c r="IF44" s="159" t="str">
        <f t="shared" ca="1" si="76"/>
        <v/>
      </c>
      <c r="IG44" s="159" t="str">
        <f t="shared" ca="1" si="77"/>
        <v/>
      </c>
      <c r="IH44" s="159" t="str">
        <f t="shared" ca="1" si="78"/>
        <v/>
      </c>
    </row>
    <row r="45" spans="2:242" s="164" customFormat="1" ht="20.100000000000001" customHeight="1">
      <c r="B45" s="320"/>
      <c r="C45" s="303" t="s">
        <v>1372</v>
      </c>
      <c r="D45" s="321"/>
      <c r="E45" s="322"/>
      <c r="F45" s="323"/>
      <c r="G45" s="310"/>
      <c r="H45" s="315"/>
      <c r="I45" s="310"/>
      <c r="J45" s="315"/>
      <c r="K45" s="310"/>
      <c r="L45" s="311"/>
      <c r="M45" s="311"/>
      <c r="N45" s="309"/>
      <c r="O45" s="310"/>
      <c r="P45" s="311"/>
      <c r="Q45" s="311"/>
      <c r="R45" s="309"/>
      <c r="S45" s="310"/>
      <c r="T45" s="311"/>
      <c r="U45" s="311"/>
      <c r="V45" s="309"/>
      <c r="W45" s="310"/>
      <c r="X45" s="311"/>
      <c r="Y45" s="311"/>
      <c r="Z45" s="309"/>
      <c r="AA45" s="310"/>
      <c r="AB45" s="311"/>
      <c r="AC45" s="311"/>
      <c r="AD45" s="309"/>
      <c r="AE45" s="310"/>
      <c r="AF45" s="311"/>
      <c r="AG45" s="311"/>
      <c r="AH45" s="309"/>
      <c r="AI45" s="310"/>
      <c r="AJ45" s="311"/>
      <c r="AK45" s="311"/>
      <c r="AL45" s="309"/>
      <c r="AM45" s="310"/>
      <c r="AN45" s="311"/>
      <c r="AO45" s="311"/>
      <c r="AP45" s="309"/>
      <c r="AQ45" s="310"/>
      <c r="AR45" s="311"/>
      <c r="AS45" s="311"/>
      <c r="AT45" s="309"/>
      <c r="AU45" s="310"/>
      <c r="AV45" s="311"/>
      <c r="AW45" s="311"/>
      <c r="AX45" s="309"/>
      <c r="AY45" s="310"/>
      <c r="AZ45" s="311"/>
      <c r="BA45" s="311"/>
      <c r="BB45" s="309"/>
      <c r="BC45" s="310"/>
      <c r="BD45" s="311"/>
      <c r="BE45" s="311"/>
      <c r="BF45" s="309"/>
      <c r="BG45" s="310"/>
      <c r="BH45" s="311"/>
      <c r="BI45" s="311"/>
      <c r="BJ45" s="309"/>
      <c r="BK45" s="310"/>
      <c r="BL45" s="311"/>
      <c r="BM45" s="311"/>
      <c r="BN45" s="309"/>
      <c r="BO45" s="310"/>
      <c r="BP45" s="311"/>
      <c r="BQ45" s="311"/>
      <c r="BR45" s="309"/>
      <c r="BS45" s="310"/>
      <c r="BT45" s="311"/>
      <c r="BU45" s="311"/>
      <c r="BV45" s="309"/>
      <c r="BW45" s="310"/>
      <c r="BX45" s="311"/>
      <c r="BY45" s="311"/>
      <c r="BZ45" s="309"/>
      <c r="CA45" s="310"/>
      <c r="CB45" s="311"/>
      <c r="CC45" s="311"/>
      <c r="CD45" s="309"/>
      <c r="CE45" s="310"/>
      <c r="CF45" s="311"/>
      <c r="CG45" s="311"/>
      <c r="CH45" s="309"/>
      <c r="CI45" s="310"/>
      <c r="CJ45" s="311"/>
      <c r="CK45" s="311"/>
      <c r="CL45" s="309"/>
      <c r="CM45" s="310"/>
      <c r="CN45" s="311"/>
      <c r="CO45" s="311"/>
      <c r="CP45" s="309"/>
      <c r="CQ45" s="310"/>
      <c r="CR45" s="311"/>
      <c r="CS45" s="311"/>
      <c r="CT45" s="309"/>
      <c r="CU45" s="310"/>
      <c r="CV45" s="311"/>
      <c r="CW45" s="311"/>
      <c r="CX45" s="309"/>
      <c r="CY45" s="310"/>
      <c r="CZ45" s="311"/>
      <c r="DA45" s="311"/>
      <c r="DB45" s="309"/>
      <c r="DC45" s="310"/>
      <c r="DD45" s="311"/>
      <c r="DE45" s="311"/>
      <c r="DF45" s="309"/>
      <c r="DG45" s="310"/>
      <c r="DH45" s="311"/>
      <c r="DI45" s="311"/>
      <c r="DJ45" s="309"/>
      <c r="DK45" s="310"/>
      <c r="DL45" s="311"/>
      <c r="DM45" s="311"/>
      <c r="DN45" s="309"/>
      <c r="DO45" s="310"/>
      <c r="DP45" s="311"/>
      <c r="DQ45" s="311"/>
      <c r="DR45" s="309"/>
      <c r="DS45" s="310"/>
      <c r="DT45" s="311"/>
      <c r="DU45" s="311"/>
      <c r="DV45" s="309"/>
      <c r="DW45" s="310"/>
      <c r="DX45" s="311"/>
      <c r="DY45" s="311"/>
      <c r="DZ45" s="309"/>
      <c r="EA45" s="310"/>
      <c r="EB45" s="311"/>
      <c r="EC45" s="311"/>
      <c r="ED45" s="309"/>
      <c r="EE45" s="310"/>
      <c r="EF45" s="311"/>
      <c r="EG45" s="311"/>
      <c r="EH45" s="309"/>
      <c r="EI45" s="310"/>
      <c r="EJ45" s="311"/>
      <c r="EK45" s="311"/>
      <c r="EL45" s="309"/>
      <c r="EM45" s="310"/>
      <c r="EN45" s="311"/>
      <c r="EO45" s="311"/>
      <c r="EP45" s="309"/>
      <c r="EQ45" s="310"/>
      <c r="ER45" s="311"/>
      <c r="ES45" s="311"/>
      <c r="ET45" s="309"/>
      <c r="EU45" s="310"/>
      <c r="EV45" s="311"/>
      <c r="EW45" s="311"/>
      <c r="EX45" s="309"/>
      <c r="EY45" s="310"/>
      <c r="EZ45" s="311"/>
      <c r="FA45" s="311"/>
      <c r="FB45" s="309"/>
      <c r="FC45" s="310"/>
      <c r="FD45" s="311"/>
      <c r="FE45" s="311"/>
      <c r="FF45" s="309"/>
      <c r="FG45" s="310"/>
      <c r="FH45" s="311"/>
      <c r="FI45" s="311"/>
      <c r="FJ45" s="309"/>
      <c r="FK45" s="310"/>
      <c r="FL45" s="311"/>
      <c r="FM45" s="311"/>
      <c r="FN45" s="309"/>
      <c r="FO45" s="310"/>
      <c r="FP45" s="311"/>
      <c r="FQ45" s="311"/>
      <c r="FR45" s="309"/>
      <c r="FS45" s="310"/>
      <c r="FT45" s="311"/>
      <c r="FU45" s="311"/>
      <c r="FV45" s="309"/>
      <c r="FW45" s="310"/>
      <c r="FX45" s="311"/>
      <c r="FY45" s="311"/>
      <c r="FZ45" s="309"/>
      <c r="GA45" s="310"/>
      <c r="GB45" s="311"/>
      <c r="GC45" s="311"/>
      <c r="GD45" s="309"/>
      <c r="GE45" s="310"/>
      <c r="GF45" s="311"/>
      <c r="GG45" s="311"/>
      <c r="GH45" s="309"/>
      <c r="GI45" s="310"/>
      <c r="GJ45" s="311"/>
      <c r="GK45" s="311"/>
      <c r="GL45" s="309"/>
      <c r="GM45" s="310"/>
      <c r="GN45" s="311"/>
      <c r="GO45" s="311"/>
      <c r="GP45" s="309"/>
      <c r="GQ45" s="310"/>
      <c r="GR45" s="311"/>
      <c r="GS45" s="311"/>
      <c r="GT45" s="309"/>
      <c r="GU45" s="310"/>
      <c r="GV45" s="311"/>
      <c r="GW45" s="311"/>
      <c r="GX45" s="309"/>
      <c r="GY45" s="310"/>
      <c r="GZ45" s="311"/>
      <c r="HA45" s="311"/>
      <c r="HB45" s="309"/>
      <c r="HC45" s="312">
        <f t="shared" si="66"/>
        <v>0</v>
      </c>
      <c r="HD45" s="313">
        <f t="shared" si="66"/>
        <v>0</v>
      </c>
      <c r="HE45" s="313">
        <f t="shared" si="66"/>
        <v>0</v>
      </c>
      <c r="HF45" s="314"/>
      <c r="HG45" s="312">
        <f>SUM(SUMIFS(K45:HB45,$K$13:$HB$13,{"エネルギー管理指定工場等*","県域*"}))</f>
        <v>0</v>
      </c>
      <c r="HH45" s="313">
        <f>SUM(SUMIFS(L45:HC45,$K$13:$HB$13,{"エネルギー管理指定工場等*","県域*"}))</f>
        <v>0</v>
      </c>
      <c r="HI45" s="313">
        <f>SUM(SUMIFS(M45:HD45,$K$13:$HB$13,{"エネルギー管理指定工場等*","県域*"}))</f>
        <v>0</v>
      </c>
      <c r="HJ45" s="314"/>
      <c r="HL45" s="219">
        <v>36</v>
      </c>
      <c r="HM45" s="714" t="str">
        <f t="shared" ca="1" si="67"/>
        <v/>
      </c>
      <c r="HN45" s="715" t="str">
        <f ca="1">IF(COUNTIF(HN$10:HN44,OFFSET(A1_原単位2026,5,HL45+2))&gt;=1,"",OFFSET(A1_原単位2026,5,HL45+2)&amp;"")</f>
        <v/>
      </c>
      <c r="HO45" s="716" t="str">
        <f t="shared" ca="1" si="50"/>
        <v/>
      </c>
      <c r="HP45" s="717" t="str">
        <f t="shared" ca="1" si="68"/>
        <v/>
      </c>
      <c r="HQ45" s="714" t="str">
        <f t="shared" ca="1" si="69"/>
        <v/>
      </c>
      <c r="HR45" s="715" t="str">
        <f ca="1">IF(COUNTIF(HR$10:HR44,OFFSET(A1_原単位2026,17,HL45+2))&gt;=1,"",OFFSET(A1_原単位2026,17,HL45+2)&amp;"")</f>
        <v/>
      </c>
      <c r="HS45" s="718" t="str">
        <f t="shared" ca="1" si="53"/>
        <v/>
      </c>
      <c r="HT45" s="719" t="str">
        <f t="shared" ca="1" si="70"/>
        <v/>
      </c>
      <c r="HU45" s="714" t="str">
        <f t="shared" ca="1" si="71"/>
        <v/>
      </c>
      <c r="HV45" s="715" t="str">
        <f ca="1">IF(COUNTIF(HV$10:HV44,OFFSET(A1_原単位2026,29,HL45+2))&gt;=1,"",OFFSET(A1_原単位2026,29,HL45+2)&amp;"")</f>
        <v/>
      </c>
      <c r="HW45" s="718" t="str">
        <f t="shared" ca="1" si="56"/>
        <v/>
      </c>
      <c r="HX45" s="719" t="str">
        <f t="shared" ca="1" si="72"/>
        <v/>
      </c>
      <c r="HY45" s="714" t="str">
        <f t="shared" ca="1" si="73"/>
        <v/>
      </c>
      <c r="HZ45" s="715" t="str">
        <f ca="1">IF(COUNTIF(HZ$10:HZ44,OFFSET(A1_原単位2026,41,HL45+2))&gt;=1,"",OFFSET(A1_原単位2026,41,HL45+2)&amp;"")</f>
        <v/>
      </c>
      <c r="IA45" s="720" t="str">
        <f t="shared" ca="1" si="59"/>
        <v/>
      </c>
      <c r="IB45" s="721" t="str">
        <f t="shared" ca="1" si="74"/>
        <v/>
      </c>
      <c r="IE45" s="159" t="str">
        <f t="shared" ca="1" si="75"/>
        <v/>
      </c>
      <c r="IF45" s="159" t="str">
        <f t="shared" ca="1" si="76"/>
        <v/>
      </c>
      <c r="IG45" s="159" t="str">
        <f t="shared" ca="1" si="77"/>
        <v/>
      </c>
      <c r="IH45" s="159" t="str">
        <f t="shared" ca="1" si="78"/>
        <v/>
      </c>
    </row>
    <row r="46" spans="2:242" s="164" customFormat="1" ht="20.100000000000001" customHeight="1">
      <c r="B46" s="324" t="s">
        <v>1373</v>
      </c>
      <c r="C46" s="303" t="s">
        <v>588</v>
      </c>
      <c r="D46" s="304"/>
      <c r="E46" s="305"/>
      <c r="F46" s="303" t="s">
        <v>455</v>
      </c>
      <c r="G46" s="306">
        <v>13.6</v>
      </c>
      <c r="H46" s="309"/>
      <c r="I46" s="308"/>
      <c r="J46" s="309"/>
      <c r="K46" s="310"/>
      <c r="L46" s="311"/>
      <c r="M46" s="311"/>
      <c r="N46" s="309"/>
      <c r="O46" s="310"/>
      <c r="P46" s="311"/>
      <c r="Q46" s="311"/>
      <c r="R46" s="309"/>
      <c r="S46" s="310"/>
      <c r="T46" s="311"/>
      <c r="U46" s="311"/>
      <c r="V46" s="309"/>
      <c r="W46" s="310"/>
      <c r="X46" s="311"/>
      <c r="Y46" s="311"/>
      <c r="Z46" s="309"/>
      <c r="AA46" s="310"/>
      <c r="AB46" s="311"/>
      <c r="AC46" s="311"/>
      <c r="AD46" s="309"/>
      <c r="AE46" s="310"/>
      <c r="AF46" s="311"/>
      <c r="AG46" s="311"/>
      <c r="AH46" s="309"/>
      <c r="AI46" s="310"/>
      <c r="AJ46" s="311"/>
      <c r="AK46" s="311"/>
      <c r="AL46" s="309"/>
      <c r="AM46" s="310"/>
      <c r="AN46" s="311"/>
      <c r="AO46" s="311"/>
      <c r="AP46" s="309"/>
      <c r="AQ46" s="310"/>
      <c r="AR46" s="311"/>
      <c r="AS46" s="311"/>
      <c r="AT46" s="309"/>
      <c r="AU46" s="310"/>
      <c r="AV46" s="311"/>
      <c r="AW46" s="311"/>
      <c r="AX46" s="309"/>
      <c r="AY46" s="310"/>
      <c r="AZ46" s="311"/>
      <c r="BA46" s="311"/>
      <c r="BB46" s="309"/>
      <c r="BC46" s="310"/>
      <c r="BD46" s="311"/>
      <c r="BE46" s="311"/>
      <c r="BF46" s="309"/>
      <c r="BG46" s="310"/>
      <c r="BH46" s="311"/>
      <c r="BI46" s="311"/>
      <c r="BJ46" s="309"/>
      <c r="BK46" s="310"/>
      <c r="BL46" s="311"/>
      <c r="BM46" s="311"/>
      <c r="BN46" s="309"/>
      <c r="BO46" s="310"/>
      <c r="BP46" s="311"/>
      <c r="BQ46" s="311"/>
      <c r="BR46" s="309"/>
      <c r="BS46" s="310"/>
      <c r="BT46" s="311"/>
      <c r="BU46" s="311"/>
      <c r="BV46" s="309"/>
      <c r="BW46" s="310"/>
      <c r="BX46" s="311"/>
      <c r="BY46" s="311"/>
      <c r="BZ46" s="309"/>
      <c r="CA46" s="310"/>
      <c r="CB46" s="311"/>
      <c r="CC46" s="311"/>
      <c r="CD46" s="309"/>
      <c r="CE46" s="310"/>
      <c r="CF46" s="311"/>
      <c r="CG46" s="311"/>
      <c r="CH46" s="309"/>
      <c r="CI46" s="310"/>
      <c r="CJ46" s="311"/>
      <c r="CK46" s="311"/>
      <c r="CL46" s="309"/>
      <c r="CM46" s="310"/>
      <c r="CN46" s="311"/>
      <c r="CO46" s="311"/>
      <c r="CP46" s="309"/>
      <c r="CQ46" s="310"/>
      <c r="CR46" s="311"/>
      <c r="CS46" s="311"/>
      <c r="CT46" s="309"/>
      <c r="CU46" s="310"/>
      <c r="CV46" s="311"/>
      <c r="CW46" s="311"/>
      <c r="CX46" s="309"/>
      <c r="CY46" s="310"/>
      <c r="CZ46" s="311"/>
      <c r="DA46" s="311"/>
      <c r="DB46" s="309"/>
      <c r="DC46" s="310"/>
      <c r="DD46" s="311"/>
      <c r="DE46" s="311"/>
      <c r="DF46" s="309"/>
      <c r="DG46" s="310"/>
      <c r="DH46" s="311"/>
      <c r="DI46" s="311"/>
      <c r="DJ46" s="309"/>
      <c r="DK46" s="310"/>
      <c r="DL46" s="311"/>
      <c r="DM46" s="311"/>
      <c r="DN46" s="309"/>
      <c r="DO46" s="310"/>
      <c r="DP46" s="311"/>
      <c r="DQ46" s="311"/>
      <c r="DR46" s="309"/>
      <c r="DS46" s="310"/>
      <c r="DT46" s="311"/>
      <c r="DU46" s="311"/>
      <c r="DV46" s="309"/>
      <c r="DW46" s="310"/>
      <c r="DX46" s="311"/>
      <c r="DY46" s="311"/>
      <c r="DZ46" s="309"/>
      <c r="EA46" s="310"/>
      <c r="EB46" s="311"/>
      <c r="EC46" s="311"/>
      <c r="ED46" s="309"/>
      <c r="EE46" s="310"/>
      <c r="EF46" s="311"/>
      <c r="EG46" s="311"/>
      <c r="EH46" s="309"/>
      <c r="EI46" s="310"/>
      <c r="EJ46" s="311"/>
      <c r="EK46" s="311"/>
      <c r="EL46" s="309"/>
      <c r="EM46" s="310"/>
      <c r="EN46" s="311"/>
      <c r="EO46" s="311"/>
      <c r="EP46" s="309"/>
      <c r="EQ46" s="310"/>
      <c r="ER46" s="311"/>
      <c r="ES46" s="311"/>
      <c r="ET46" s="309"/>
      <c r="EU46" s="310"/>
      <c r="EV46" s="311"/>
      <c r="EW46" s="311"/>
      <c r="EX46" s="309"/>
      <c r="EY46" s="310"/>
      <c r="EZ46" s="311"/>
      <c r="FA46" s="311"/>
      <c r="FB46" s="309"/>
      <c r="FC46" s="310"/>
      <c r="FD46" s="311"/>
      <c r="FE46" s="311"/>
      <c r="FF46" s="309"/>
      <c r="FG46" s="310"/>
      <c r="FH46" s="311"/>
      <c r="FI46" s="311"/>
      <c r="FJ46" s="309"/>
      <c r="FK46" s="310"/>
      <c r="FL46" s="311"/>
      <c r="FM46" s="311"/>
      <c r="FN46" s="309"/>
      <c r="FO46" s="310"/>
      <c r="FP46" s="311"/>
      <c r="FQ46" s="311"/>
      <c r="FR46" s="309"/>
      <c r="FS46" s="310"/>
      <c r="FT46" s="311"/>
      <c r="FU46" s="311"/>
      <c r="FV46" s="309"/>
      <c r="FW46" s="310"/>
      <c r="FX46" s="311"/>
      <c r="FY46" s="311"/>
      <c r="FZ46" s="309"/>
      <c r="GA46" s="310"/>
      <c r="GB46" s="311"/>
      <c r="GC46" s="311"/>
      <c r="GD46" s="309"/>
      <c r="GE46" s="310"/>
      <c r="GF46" s="311"/>
      <c r="GG46" s="311"/>
      <c r="GH46" s="309"/>
      <c r="GI46" s="310"/>
      <c r="GJ46" s="311"/>
      <c r="GK46" s="311"/>
      <c r="GL46" s="309"/>
      <c r="GM46" s="310"/>
      <c r="GN46" s="311"/>
      <c r="GO46" s="311"/>
      <c r="GP46" s="309"/>
      <c r="GQ46" s="310"/>
      <c r="GR46" s="311"/>
      <c r="GS46" s="311"/>
      <c r="GT46" s="309"/>
      <c r="GU46" s="310"/>
      <c r="GV46" s="311"/>
      <c r="GW46" s="311"/>
      <c r="GX46" s="309"/>
      <c r="GY46" s="310"/>
      <c r="GZ46" s="311"/>
      <c r="HA46" s="311"/>
      <c r="HB46" s="309"/>
      <c r="HC46" s="312">
        <f t="shared" si="66"/>
        <v>0</v>
      </c>
      <c r="HD46" s="313">
        <f t="shared" si="66"/>
        <v>0</v>
      </c>
      <c r="HE46" s="313">
        <f t="shared" si="66"/>
        <v>0</v>
      </c>
      <c r="HF46" s="314"/>
      <c r="HG46" s="312">
        <f>SUM(SUMIFS(K46:HB46,$K$13:$HB$13,{"エネルギー管理指定工場等*","県域*"}))</f>
        <v>0</v>
      </c>
      <c r="HH46" s="313">
        <f>SUM(SUMIFS(L46:HC46,$K$13:$HB$13,{"エネルギー管理指定工場等*","県域*"}))</f>
        <v>0</v>
      </c>
      <c r="HI46" s="313">
        <f>SUM(SUMIFS(M46:HD46,$K$13:$HB$13,{"エネルギー管理指定工場等*","県域*"}))</f>
        <v>0</v>
      </c>
      <c r="HJ46" s="314"/>
      <c r="HL46" s="230">
        <v>37</v>
      </c>
      <c r="HM46" s="714" t="str">
        <f t="shared" ca="1" si="67"/>
        <v/>
      </c>
      <c r="HN46" s="715" t="str">
        <f ca="1">IF(COUNTIF(HN$10:HN45,OFFSET(A1_原単位2026,5,HL46+2))&gt;=1,"",OFFSET(A1_原単位2026,5,HL46+2)&amp;"")</f>
        <v/>
      </c>
      <c r="HO46" s="716" t="str">
        <f t="shared" ca="1" si="50"/>
        <v/>
      </c>
      <c r="HP46" s="717" t="str">
        <f t="shared" ca="1" si="68"/>
        <v/>
      </c>
      <c r="HQ46" s="714" t="str">
        <f t="shared" ca="1" si="69"/>
        <v/>
      </c>
      <c r="HR46" s="715" t="str">
        <f ca="1">IF(COUNTIF(HR$10:HR45,OFFSET(A1_原単位2026,17,HL46+2))&gt;=1,"",OFFSET(A1_原単位2026,17,HL46+2)&amp;"")</f>
        <v/>
      </c>
      <c r="HS46" s="718" t="str">
        <f t="shared" ca="1" si="53"/>
        <v/>
      </c>
      <c r="HT46" s="719" t="str">
        <f t="shared" ca="1" si="70"/>
        <v/>
      </c>
      <c r="HU46" s="714" t="str">
        <f t="shared" ca="1" si="71"/>
        <v/>
      </c>
      <c r="HV46" s="715" t="str">
        <f ca="1">IF(COUNTIF(HV$10:HV45,OFFSET(A1_原単位2026,29,HL46+2))&gt;=1,"",OFFSET(A1_原単位2026,29,HL46+2)&amp;"")</f>
        <v/>
      </c>
      <c r="HW46" s="718" t="str">
        <f t="shared" ca="1" si="56"/>
        <v/>
      </c>
      <c r="HX46" s="719" t="str">
        <f t="shared" ca="1" si="72"/>
        <v/>
      </c>
      <c r="HY46" s="714" t="str">
        <f t="shared" ca="1" si="73"/>
        <v/>
      </c>
      <c r="HZ46" s="715" t="str">
        <f ca="1">IF(COUNTIF(HZ$10:HZ45,OFFSET(A1_原単位2026,41,HL46+2))&gt;=1,"",OFFSET(A1_原単位2026,41,HL46+2)&amp;"")</f>
        <v/>
      </c>
      <c r="IA46" s="720" t="str">
        <f t="shared" ca="1" si="59"/>
        <v/>
      </c>
      <c r="IB46" s="721" t="str">
        <f t="shared" ca="1" si="74"/>
        <v/>
      </c>
      <c r="IE46" s="159" t="str">
        <f t="shared" ca="1" si="75"/>
        <v/>
      </c>
      <c r="IF46" s="159" t="str">
        <f t="shared" ca="1" si="76"/>
        <v/>
      </c>
      <c r="IG46" s="159" t="str">
        <f t="shared" ca="1" si="77"/>
        <v/>
      </c>
      <c r="IH46" s="159" t="str">
        <f t="shared" ca="1" si="78"/>
        <v/>
      </c>
    </row>
    <row r="47" spans="2:242" s="164" customFormat="1" ht="20.100000000000001" customHeight="1">
      <c r="B47" s="302"/>
      <c r="C47" s="303" t="s">
        <v>589</v>
      </c>
      <c r="D47" s="304"/>
      <c r="E47" s="305"/>
      <c r="F47" s="303" t="s">
        <v>455</v>
      </c>
      <c r="G47" s="306">
        <v>13.2</v>
      </c>
      <c r="H47" s="309"/>
      <c r="I47" s="308"/>
      <c r="J47" s="309"/>
      <c r="K47" s="310"/>
      <c r="L47" s="311"/>
      <c r="M47" s="311"/>
      <c r="N47" s="309"/>
      <c r="O47" s="310"/>
      <c r="P47" s="311"/>
      <c r="Q47" s="311"/>
      <c r="R47" s="309"/>
      <c r="S47" s="310"/>
      <c r="T47" s="311"/>
      <c r="U47" s="311"/>
      <c r="V47" s="309"/>
      <c r="W47" s="310"/>
      <c r="X47" s="311"/>
      <c r="Y47" s="311"/>
      <c r="Z47" s="309"/>
      <c r="AA47" s="310"/>
      <c r="AB47" s="311"/>
      <c r="AC47" s="311"/>
      <c r="AD47" s="309"/>
      <c r="AE47" s="310"/>
      <c r="AF47" s="311"/>
      <c r="AG47" s="311"/>
      <c r="AH47" s="309"/>
      <c r="AI47" s="310"/>
      <c r="AJ47" s="311"/>
      <c r="AK47" s="311"/>
      <c r="AL47" s="309"/>
      <c r="AM47" s="310"/>
      <c r="AN47" s="311"/>
      <c r="AO47" s="311"/>
      <c r="AP47" s="309"/>
      <c r="AQ47" s="310"/>
      <c r="AR47" s="311"/>
      <c r="AS47" s="311"/>
      <c r="AT47" s="309"/>
      <c r="AU47" s="310"/>
      <c r="AV47" s="311"/>
      <c r="AW47" s="311"/>
      <c r="AX47" s="309"/>
      <c r="AY47" s="310"/>
      <c r="AZ47" s="311"/>
      <c r="BA47" s="311"/>
      <c r="BB47" s="309"/>
      <c r="BC47" s="310"/>
      <c r="BD47" s="311"/>
      <c r="BE47" s="311"/>
      <c r="BF47" s="309"/>
      <c r="BG47" s="310"/>
      <c r="BH47" s="311"/>
      <c r="BI47" s="311"/>
      <c r="BJ47" s="309"/>
      <c r="BK47" s="310"/>
      <c r="BL47" s="311"/>
      <c r="BM47" s="311"/>
      <c r="BN47" s="309"/>
      <c r="BO47" s="310"/>
      <c r="BP47" s="311"/>
      <c r="BQ47" s="311"/>
      <c r="BR47" s="309"/>
      <c r="BS47" s="310"/>
      <c r="BT47" s="311"/>
      <c r="BU47" s="311"/>
      <c r="BV47" s="309"/>
      <c r="BW47" s="310"/>
      <c r="BX47" s="311"/>
      <c r="BY47" s="311"/>
      <c r="BZ47" s="309"/>
      <c r="CA47" s="310"/>
      <c r="CB47" s="311"/>
      <c r="CC47" s="311"/>
      <c r="CD47" s="309"/>
      <c r="CE47" s="310"/>
      <c r="CF47" s="311"/>
      <c r="CG47" s="311"/>
      <c r="CH47" s="309"/>
      <c r="CI47" s="310"/>
      <c r="CJ47" s="311"/>
      <c r="CK47" s="311"/>
      <c r="CL47" s="309"/>
      <c r="CM47" s="310"/>
      <c r="CN47" s="311"/>
      <c r="CO47" s="311"/>
      <c r="CP47" s="309"/>
      <c r="CQ47" s="310"/>
      <c r="CR47" s="311"/>
      <c r="CS47" s="311"/>
      <c r="CT47" s="309"/>
      <c r="CU47" s="310"/>
      <c r="CV47" s="311"/>
      <c r="CW47" s="311"/>
      <c r="CX47" s="309"/>
      <c r="CY47" s="310"/>
      <c r="CZ47" s="311"/>
      <c r="DA47" s="311"/>
      <c r="DB47" s="309"/>
      <c r="DC47" s="310"/>
      <c r="DD47" s="311"/>
      <c r="DE47" s="311"/>
      <c r="DF47" s="309"/>
      <c r="DG47" s="310"/>
      <c r="DH47" s="311"/>
      <c r="DI47" s="311"/>
      <c r="DJ47" s="309"/>
      <c r="DK47" s="310"/>
      <c r="DL47" s="311"/>
      <c r="DM47" s="311"/>
      <c r="DN47" s="309"/>
      <c r="DO47" s="310"/>
      <c r="DP47" s="311"/>
      <c r="DQ47" s="311"/>
      <c r="DR47" s="309"/>
      <c r="DS47" s="310"/>
      <c r="DT47" s="311"/>
      <c r="DU47" s="311"/>
      <c r="DV47" s="309"/>
      <c r="DW47" s="310"/>
      <c r="DX47" s="311"/>
      <c r="DY47" s="311"/>
      <c r="DZ47" s="309"/>
      <c r="EA47" s="310"/>
      <c r="EB47" s="311"/>
      <c r="EC47" s="311"/>
      <c r="ED47" s="309"/>
      <c r="EE47" s="310"/>
      <c r="EF47" s="311"/>
      <c r="EG47" s="311"/>
      <c r="EH47" s="309"/>
      <c r="EI47" s="310"/>
      <c r="EJ47" s="311"/>
      <c r="EK47" s="311"/>
      <c r="EL47" s="309"/>
      <c r="EM47" s="310"/>
      <c r="EN47" s="311"/>
      <c r="EO47" s="311"/>
      <c r="EP47" s="309"/>
      <c r="EQ47" s="310"/>
      <c r="ER47" s="311"/>
      <c r="ES47" s="311"/>
      <c r="ET47" s="309"/>
      <c r="EU47" s="310"/>
      <c r="EV47" s="311"/>
      <c r="EW47" s="311"/>
      <c r="EX47" s="309"/>
      <c r="EY47" s="310"/>
      <c r="EZ47" s="311"/>
      <c r="FA47" s="311"/>
      <c r="FB47" s="309"/>
      <c r="FC47" s="310"/>
      <c r="FD47" s="311"/>
      <c r="FE47" s="311"/>
      <c r="FF47" s="309"/>
      <c r="FG47" s="310"/>
      <c r="FH47" s="311"/>
      <c r="FI47" s="311"/>
      <c r="FJ47" s="309"/>
      <c r="FK47" s="310"/>
      <c r="FL47" s="311"/>
      <c r="FM47" s="311"/>
      <c r="FN47" s="309"/>
      <c r="FO47" s="310"/>
      <c r="FP47" s="311"/>
      <c r="FQ47" s="311"/>
      <c r="FR47" s="309"/>
      <c r="FS47" s="310"/>
      <c r="FT47" s="311"/>
      <c r="FU47" s="311"/>
      <c r="FV47" s="309"/>
      <c r="FW47" s="310"/>
      <c r="FX47" s="311"/>
      <c r="FY47" s="311"/>
      <c r="FZ47" s="309"/>
      <c r="GA47" s="310"/>
      <c r="GB47" s="311"/>
      <c r="GC47" s="311"/>
      <c r="GD47" s="309"/>
      <c r="GE47" s="310"/>
      <c r="GF47" s="311"/>
      <c r="GG47" s="311"/>
      <c r="GH47" s="309"/>
      <c r="GI47" s="310"/>
      <c r="GJ47" s="311"/>
      <c r="GK47" s="311"/>
      <c r="GL47" s="309"/>
      <c r="GM47" s="310"/>
      <c r="GN47" s="311"/>
      <c r="GO47" s="311"/>
      <c r="GP47" s="309"/>
      <c r="GQ47" s="310"/>
      <c r="GR47" s="311"/>
      <c r="GS47" s="311"/>
      <c r="GT47" s="309"/>
      <c r="GU47" s="310"/>
      <c r="GV47" s="311"/>
      <c r="GW47" s="311"/>
      <c r="GX47" s="309"/>
      <c r="GY47" s="310"/>
      <c r="GZ47" s="311"/>
      <c r="HA47" s="311"/>
      <c r="HB47" s="309"/>
      <c r="HC47" s="312">
        <f t="shared" si="66"/>
        <v>0</v>
      </c>
      <c r="HD47" s="313">
        <f t="shared" si="66"/>
        <v>0</v>
      </c>
      <c r="HE47" s="313">
        <f t="shared" si="66"/>
        <v>0</v>
      </c>
      <c r="HF47" s="314"/>
      <c r="HG47" s="312">
        <f>SUM(SUMIFS(K47:HB47,$K$13:$HB$13,{"エネルギー管理指定工場等*","県域*"}))</f>
        <v>0</v>
      </c>
      <c r="HH47" s="313">
        <f>SUM(SUMIFS(L47:HC47,$K$13:$HB$13,{"エネルギー管理指定工場等*","県域*"}))</f>
        <v>0</v>
      </c>
      <c r="HI47" s="313">
        <f>SUM(SUMIFS(M47:HD47,$K$13:$HB$13,{"エネルギー管理指定工場等*","県域*"}))</f>
        <v>0</v>
      </c>
      <c r="HJ47" s="314"/>
      <c r="HL47" s="219">
        <v>38</v>
      </c>
      <c r="HM47" s="714" t="str">
        <f t="shared" ca="1" si="67"/>
        <v/>
      </c>
      <c r="HN47" s="715" t="str">
        <f ca="1">IF(COUNTIF(HN$10:HN46,OFFSET(A1_原単位2026,5,HL47+2))&gt;=1,"",OFFSET(A1_原単位2026,5,HL47+2)&amp;"")</f>
        <v/>
      </c>
      <c r="HO47" s="716" t="str">
        <f t="shared" ca="1" si="50"/>
        <v/>
      </c>
      <c r="HP47" s="717" t="str">
        <f t="shared" ca="1" si="68"/>
        <v/>
      </c>
      <c r="HQ47" s="714" t="str">
        <f t="shared" ca="1" si="69"/>
        <v/>
      </c>
      <c r="HR47" s="715" t="str">
        <f ca="1">IF(COUNTIF(HR$10:HR46,OFFSET(A1_原単位2026,17,HL47+2))&gt;=1,"",OFFSET(A1_原単位2026,17,HL47+2)&amp;"")</f>
        <v/>
      </c>
      <c r="HS47" s="718" t="str">
        <f t="shared" ca="1" si="53"/>
        <v/>
      </c>
      <c r="HT47" s="719" t="str">
        <f t="shared" ca="1" si="70"/>
        <v/>
      </c>
      <c r="HU47" s="714" t="str">
        <f t="shared" ca="1" si="71"/>
        <v/>
      </c>
      <c r="HV47" s="715" t="str">
        <f ca="1">IF(COUNTIF(HV$10:HV46,OFFSET(A1_原単位2026,29,HL47+2))&gt;=1,"",OFFSET(A1_原単位2026,29,HL47+2)&amp;"")</f>
        <v/>
      </c>
      <c r="HW47" s="718" t="str">
        <f t="shared" ca="1" si="56"/>
        <v/>
      </c>
      <c r="HX47" s="719" t="str">
        <f t="shared" ca="1" si="72"/>
        <v/>
      </c>
      <c r="HY47" s="714" t="str">
        <f t="shared" ca="1" si="73"/>
        <v/>
      </c>
      <c r="HZ47" s="715" t="str">
        <f ca="1">IF(COUNTIF(HZ$10:HZ46,OFFSET(A1_原単位2026,41,HL47+2))&gt;=1,"",OFFSET(A1_原単位2026,41,HL47+2)&amp;"")</f>
        <v/>
      </c>
      <c r="IA47" s="720" t="str">
        <f t="shared" ca="1" si="59"/>
        <v/>
      </c>
      <c r="IB47" s="721" t="str">
        <f t="shared" ca="1" si="74"/>
        <v/>
      </c>
      <c r="IE47" s="159" t="str">
        <f t="shared" ca="1" si="75"/>
        <v/>
      </c>
      <c r="IF47" s="159" t="str">
        <f t="shared" ca="1" si="76"/>
        <v/>
      </c>
      <c r="IG47" s="159" t="str">
        <f t="shared" ca="1" si="77"/>
        <v/>
      </c>
      <c r="IH47" s="159" t="str">
        <f t="shared" ca="1" si="78"/>
        <v/>
      </c>
    </row>
    <row r="48" spans="2:242" s="164" customFormat="1" ht="20.100000000000001" customHeight="1">
      <c r="B48" s="302"/>
      <c r="C48" s="303" t="s">
        <v>590</v>
      </c>
      <c r="D48" s="304"/>
      <c r="E48" s="305"/>
      <c r="F48" s="303" t="s">
        <v>455</v>
      </c>
      <c r="G48" s="306">
        <v>17.100000000000001</v>
      </c>
      <c r="H48" s="309"/>
      <c r="I48" s="308"/>
      <c r="J48" s="309"/>
      <c r="K48" s="310"/>
      <c r="L48" s="311"/>
      <c r="M48" s="311"/>
      <c r="N48" s="309"/>
      <c r="O48" s="310"/>
      <c r="P48" s="311"/>
      <c r="Q48" s="311"/>
      <c r="R48" s="309"/>
      <c r="S48" s="310"/>
      <c r="T48" s="311"/>
      <c r="U48" s="311"/>
      <c r="V48" s="309"/>
      <c r="W48" s="310"/>
      <c r="X48" s="311"/>
      <c r="Y48" s="311"/>
      <c r="Z48" s="309"/>
      <c r="AA48" s="310"/>
      <c r="AB48" s="311"/>
      <c r="AC48" s="311"/>
      <c r="AD48" s="309"/>
      <c r="AE48" s="310"/>
      <c r="AF48" s="311"/>
      <c r="AG48" s="311"/>
      <c r="AH48" s="309"/>
      <c r="AI48" s="310"/>
      <c r="AJ48" s="311"/>
      <c r="AK48" s="311"/>
      <c r="AL48" s="309"/>
      <c r="AM48" s="310"/>
      <c r="AN48" s="311"/>
      <c r="AO48" s="311"/>
      <c r="AP48" s="309"/>
      <c r="AQ48" s="310"/>
      <c r="AR48" s="311"/>
      <c r="AS48" s="311"/>
      <c r="AT48" s="309"/>
      <c r="AU48" s="310"/>
      <c r="AV48" s="311"/>
      <c r="AW48" s="311"/>
      <c r="AX48" s="309"/>
      <c r="AY48" s="310"/>
      <c r="AZ48" s="311"/>
      <c r="BA48" s="311"/>
      <c r="BB48" s="309"/>
      <c r="BC48" s="310"/>
      <c r="BD48" s="311"/>
      <c r="BE48" s="311"/>
      <c r="BF48" s="309"/>
      <c r="BG48" s="310"/>
      <c r="BH48" s="311"/>
      <c r="BI48" s="311"/>
      <c r="BJ48" s="309"/>
      <c r="BK48" s="310"/>
      <c r="BL48" s="311"/>
      <c r="BM48" s="311"/>
      <c r="BN48" s="309"/>
      <c r="BO48" s="310"/>
      <c r="BP48" s="311"/>
      <c r="BQ48" s="311"/>
      <c r="BR48" s="309"/>
      <c r="BS48" s="310"/>
      <c r="BT48" s="311"/>
      <c r="BU48" s="311"/>
      <c r="BV48" s="309"/>
      <c r="BW48" s="310"/>
      <c r="BX48" s="311"/>
      <c r="BY48" s="311"/>
      <c r="BZ48" s="309"/>
      <c r="CA48" s="310"/>
      <c r="CB48" s="311"/>
      <c r="CC48" s="311"/>
      <c r="CD48" s="309"/>
      <c r="CE48" s="310"/>
      <c r="CF48" s="311"/>
      <c r="CG48" s="311"/>
      <c r="CH48" s="309"/>
      <c r="CI48" s="310"/>
      <c r="CJ48" s="311"/>
      <c r="CK48" s="311"/>
      <c r="CL48" s="309"/>
      <c r="CM48" s="310"/>
      <c r="CN48" s="311"/>
      <c r="CO48" s="311"/>
      <c r="CP48" s="309"/>
      <c r="CQ48" s="310"/>
      <c r="CR48" s="311"/>
      <c r="CS48" s="311"/>
      <c r="CT48" s="309"/>
      <c r="CU48" s="310"/>
      <c r="CV48" s="311"/>
      <c r="CW48" s="311"/>
      <c r="CX48" s="309"/>
      <c r="CY48" s="310"/>
      <c r="CZ48" s="311"/>
      <c r="DA48" s="311"/>
      <c r="DB48" s="309"/>
      <c r="DC48" s="310"/>
      <c r="DD48" s="311"/>
      <c r="DE48" s="311"/>
      <c r="DF48" s="309"/>
      <c r="DG48" s="310"/>
      <c r="DH48" s="311"/>
      <c r="DI48" s="311"/>
      <c r="DJ48" s="309"/>
      <c r="DK48" s="310"/>
      <c r="DL48" s="311"/>
      <c r="DM48" s="311"/>
      <c r="DN48" s="309"/>
      <c r="DO48" s="310"/>
      <c r="DP48" s="311"/>
      <c r="DQ48" s="311"/>
      <c r="DR48" s="309"/>
      <c r="DS48" s="310"/>
      <c r="DT48" s="311"/>
      <c r="DU48" s="311"/>
      <c r="DV48" s="309"/>
      <c r="DW48" s="310"/>
      <c r="DX48" s="311"/>
      <c r="DY48" s="311"/>
      <c r="DZ48" s="309"/>
      <c r="EA48" s="310"/>
      <c r="EB48" s="311"/>
      <c r="EC48" s="311"/>
      <c r="ED48" s="309"/>
      <c r="EE48" s="310"/>
      <c r="EF48" s="311"/>
      <c r="EG48" s="311"/>
      <c r="EH48" s="309"/>
      <c r="EI48" s="310"/>
      <c r="EJ48" s="311"/>
      <c r="EK48" s="311"/>
      <c r="EL48" s="309"/>
      <c r="EM48" s="310"/>
      <c r="EN48" s="311"/>
      <c r="EO48" s="311"/>
      <c r="EP48" s="309"/>
      <c r="EQ48" s="310"/>
      <c r="ER48" s="311"/>
      <c r="ES48" s="311"/>
      <c r="ET48" s="309"/>
      <c r="EU48" s="310"/>
      <c r="EV48" s="311"/>
      <c r="EW48" s="311"/>
      <c r="EX48" s="309"/>
      <c r="EY48" s="310"/>
      <c r="EZ48" s="311"/>
      <c r="FA48" s="311"/>
      <c r="FB48" s="309"/>
      <c r="FC48" s="310"/>
      <c r="FD48" s="311"/>
      <c r="FE48" s="311"/>
      <c r="FF48" s="309"/>
      <c r="FG48" s="310"/>
      <c r="FH48" s="311"/>
      <c r="FI48" s="311"/>
      <c r="FJ48" s="309"/>
      <c r="FK48" s="310"/>
      <c r="FL48" s="311"/>
      <c r="FM48" s="311"/>
      <c r="FN48" s="309"/>
      <c r="FO48" s="310"/>
      <c r="FP48" s="311"/>
      <c r="FQ48" s="311"/>
      <c r="FR48" s="309"/>
      <c r="FS48" s="310"/>
      <c r="FT48" s="311"/>
      <c r="FU48" s="311"/>
      <c r="FV48" s="309"/>
      <c r="FW48" s="310"/>
      <c r="FX48" s="311"/>
      <c r="FY48" s="311"/>
      <c r="FZ48" s="309"/>
      <c r="GA48" s="310"/>
      <c r="GB48" s="311"/>
      <c r="GC48" s="311"/>
      <c r="GD48" s="309"/>
      <c r="GE48" s="310"/>
      <c r="GF48" s="311"/>
      <c r="GG48" s="311"/>
      <c r="GH48" s="309"/>
      <c r="GI48" s="310"/>
      <c r="GJ48" s="311"/>
      <c r="GK48" s="311"/>
      <c r="GL48" s="309"/>
      <c r="GM48" s="310"/>
      <c r="GN48" s="311"/>
      <c r="GO48" s="311"/>
      <c r="GP48" s="309"/>
      <c r="GQ48" s="310"/>
      <c r="GR48" s="311"/>
      <c r="GS48" s="311"/>
      <c r="GT48" s="309"/>
      <c r="GU48" s="310"/>
      <c r="GV48" s="311"/>
      <c r="GW48" s="311"/>
      <c r="GX48" s="309"/>
      <c r="GY48" s="310"/>
      <c r="GZ48" s="311"/>
      <c r="HA48" s="311"/>
      <c r="HB48" s="309"/>
      <c r="HC48" s="312">
        <f t="shared" si="66"/>
        <v>0</v>
      </c>
      <c r="HD48" s="313">
        <f t="shared" si="66"/>
        <v>0</v>
      </c>
      <c r="HE48" s="313">
        <f t="shared" si="66"/>
        <v>0</v>
      </c>
      <c r="HF48" s="314"/>
      <c r="HG48" s="312">
        <f>SUM(SUMIFS(K48:HB48,$K$13:$HB$13,{"エネルギー管理指定工場等*","県域*"}))</f>
        <v>0</v>
      </c>
      <c r="HH48" s="313">
        <f>SUM(SUMIFS(L48:HC48,$K$13:$HB$13,{"エネルギー管理指定工場等*","県域*"}))</f>
        <v>0</v>
      </c>
      <c r="HI48" s="313">
        <f>SUM(SUMIFS(M48:HD48,$K$13:$HB$13,{"エネルギー管理指定工場等*","県域*"}))</f>
        <v>0</v>
      </c>
      <c r="HJ48" s="314"/>
      <c r="HL48" s="219">
        <v>39</v>
      </c>
      <c r="HM48" s="714" t="str">
        <f t="shared" ca="1" si="67"/>
        <v/>
      </c>
      <c r="HN48" s="715" t="str">
        <f ca="1">IF(COUNTIF(HN$10:HN47,OFFSET(A1_原単位2026,5,HL48+2))&gt;=1,"",OFFSET(A1_原単位2026,5,HL48+2)&amp;"")</f>
        <v/>
      </c>
      <c r="HO48" s="716" t="str">
        <f t="shared" ca="1" si="50"/>
        <v/>
      </c>
      <c r="HP48" s="717" t="str">
        <f t="shared" ca="1" si="68"/>
        <v/>
      </c>
      <c r="HQ48" s="714" t="str">
        <f t="shared" ca="1" si="69"/>
        <v/>
      </c>
      <c r="HR48" s="715" t="str">
        <f ca="1">IF(COUNTIF(HR$10:HR47,OFFSET(A1_原単位2026,17,HL48+2))&gt;=1,"",OFFSET(A1_原単位2026,17,HL48+2)&amp;"")</f>
        <v/>
      </c>
      <c r="HS48" s="718" t="str">
        <f t="shared" ca="1" si="53"/>
        <v/>
      </c>
      <c r="HT48" s="719" t="str">
        <f t="shared" ca="1" si="70"/>
        <v/>
      </c>
      <c r="HU48" s="714" t="str">
        <f t="shared" ca="1" si="71"/>
        <v/>
      </c>
      <c r="HV48" s="715" t="str">
        <f ca="1">IF(COUNTIF(HV$10:HV47,OFFSET(A1_原単位2026,29,HL48+2))&gt;=1,"",OFFSET(A1_原単位2026,29,HL48+2)&amp;"")</f>
        <v/>
      </c>
      <c r="HW48" s="718" t="str">
        <f t="shared" ca="1" si="56"/>
        <v/>
      </c>
      <c r="HX48" s="719" t="str">
        <f t="shared" ca="1" si="72"/>
        <v/>
      </c>
      <c r="HY48" s="714" t="str">
        <f t="shared" ca="1" si="73"/>
        <v/>
      </c>
      <c r="HZ48" s="715" t="str">
        <f ca="1">IF(COUNTIF(HZ$10:HZ47,OFFSET(A1_原単位2026,41,HL48+2))&gt;=1,"",OFFSET(A1_原単位2026,41,HL48+2)&amp;"")</f>
        <v/>
      </c>
      <c r="IA48" s="720" t="str">
        <f t="shared" ca="1" si="59"/>
        <v/>
      </c>
      <c r="IB48" s="721" t="str">
        <f t="shared" ca="1" si="74"/>
        <v/>
      </c>
      <c r="IE48" s="159" t="str">
        <f t="shared" ca="1" si="75"/>
        <v/>
      </c>
      <c r="IF48" s="159" t="str">
        <f t="shared" ca="1" si="76"/>
        <v/>
      </c>
      <c r="IG48" s="159" t="str">
        <f t="shared" ca="1" si="77"/>
        <v/>
      </c>
      <c r="IH48" s="159" t="str">
        <f t="shared" ca="1" si="78"/>
        <v/>
      </c>
    </row>
    <row r="49" spans="2:242" s="164" customFormat="1" ht="20.100000000000001" customHeight="1">
      <c r="B49" s="302"/>
      <c r="C49" s="303" t="s">
        <v>381</v>
      </c>
      <c r="D49" s="304"/>
      <c r="E49" s="305"/>
      <c r="F49" s="303" t="s">
        <v>453</v>
      </c>
      <c r="G49" s="306">
        <v>23.4</v>
      </c>
      <c r="H49" s="309"/>
      <c r="I49" s="310"/>
      <c r="J49" s="315"/>
      <c r="K49" s="310"/>
      <c r="L49" s="311"/>
      <c r="M49" s="311"/>
      <c r="N49" s="309"/>
      <c r="O49" s="310"/>
      <c r="P49" s="311"/>
      <c r="Q49" s="311"/>
      <c r="R49" s="309"/>
      <c r="S49" s="310"/>
      <c r="T49" s="311"/>
      <c r="U49" s="311"/>
      <c r="V49" s="309"/>
      <c r="W49" s="310"/>
      <c r="X49" s="311"/>
      <c r="Y49" s="311"/>
      <c r="Z49" s="309"/>
      <c r="AA49" s="310"/>
      <c r="AB49" s="311"/>
      <c r="AC49" s="311"/>
      <c r="AD49" s="309"/>
      <c r="AE49" s="310"/>
      <c r="AF49" s="311"/>
      <c r="AG49" s="311"/>
      <c r="AH49" s="309"/>
      <c r="AI49" s="310"/>
      <c r="AJ49" s="311"/>
      <c r="AK49" s="311"/>
      <c r="AL49" s="309"/>
      <c r="AM49" s="310"/>
      <c r="AN49" s="311"/>
      <c r="AO49" s="311"/>
      <c r="AP49" s="309"/>
      <c r="AQ49" s="310"/>
      <c r="AR49" s="311"/>
      <c r="AS49" s="311"/>
      <c r="AT49" s="309"/>
      <c r="AU49" s="310"/>
      <c r="AV49" s="311"/>
      <c r="AW49" s="311"/>
      <c r="AX49" s="309"/>
      <c r="AY49" s="310"/>
      <c r="AZ49" s="311"/>
      <c r="BA49" s="311"/>
      <c r="BB49" s="309"/>
      <c r="BC49" s="310"/>
      <c r="BD49" s="311"/>
      <c r="BE49" s="311"/>
      <c r="BF49" s="309"/>
      <c r="BG49" s="310"/>
      <c r="BH49" s="311"/>
      <c r="BI49" s="311"/>
      <c r="BJ49" s="309"/>
      <c r="BK49" s="310"/>
      <c r="BL49" s="311"/>
      <c r="BM49" s="311"/>
      <c r="BN49" s="309"/>
      <c r="BO49" s="310"/>
      <c r="BP49" s="311"/>
      <c r="BQ49" s="311"/>
      <c r="BR49" s="309"/>
      <c r="BS49" s="310"/>
      <c r="BT49" s="311"/>
      <c r="BU49" s="311"/>
      <c r="BV49" s="309"/>
      <c r="BW49" s="310"/>
      <c r="BX49" s="311"/>
      <c r="BY49" s="311"/>
      <c r="BZ49" s="309"/>
      <c r="CA49" s="310"/>
      <c r="CB49" s="311"/>
      <c r="CC49" s="311"/>
      <c r="CD49" s="309"/>
      <c r="CE49" s="310"/>
      <c r="CF49" s="311"/>
      <c r="CG49" s="311"/>
      <c r="CH49" s="309"/>
      <c r="CI49" s="310"/>
      <c r="CJ49" s="311"/>
      <c r="CK49" s="311"/>
      <c r="CL49" s="309"/>
      <c r="CM49" s="310"/>
      <c r="CN49" s="311"/>
      <c r="CO49" s="311"/>
      <c r="CP49" s="309"/>
      <c r="CQ49" s="310"/>
      <c r="CR49" s="311"/>
      <c r="CS49" s="311"/>
      <c r="CT49" s="309"/>
      <c r="CU49" s="310"/>
      <c r="CV49" s="311"/>
      <c r="CW49" s="311"/>
      <c r="CX49" s="309"/>
      <c r="CY49" s="310"/>
      <c r="CZ49" s="311"/>
      <c r="DA49" s="311"/>
      <c r="DB49" s="309"/>
      <c r="DC49" s="310"/>
      <c r="DD49" s="311"/>
      <c r="DE49" s="311"/>
      <c r="DF49" s="309"/>
      <c r="DG49" s="310"/>
      <c r="DH49" s="311"/>
      <c r="DI49" s="311"/>
      <c r="DJ49" s="309"/>
      <c r="DK49" s="310"/>
      <c r="DL49" s="311"/>
      <c r="DM49" s="311"/>
      <c r="DN49" s="309"/>
      <c r="DO49" s="310"/>
      <c r="DP49" s="311"/>
      <c r="DQ49" s="311"/>
      <c r="DR49" s="309"/>
      <c r="DS49" s="310"/>
      <c r="DT49" s="311"/>
      <c r="DU49" s="311"/>
      <c r="DV49" s="309"/>
      <c r="DW49" s="310"/>
      <c r="DX49" s="311"/>
      <c r="DY49" s="311"/>
      <c r="DZ49" s="309"/>
      <c r="EA49" s="310"/>
      <c r="EB49" s="311"/>
      <c r="EC49" s="311"/>
      <c r="ED49" s="309"/>
      <c r="EE49" s="310"/>
      <c r="EF49" s="311"/>
      <c r="EG49" s="311"/>
      <c r="EH49" s="309"/>
      <c r="EI49" s="310"/>
      <c r="EJ49" s="311"/>
      <c r="EK49" s="311"/>
      <c r="EL49" s="309"/>
      <c r="EM49" s="310"/>
      <c r="EN49" s="311"/>
      <c r="EO49" s="311"/>
      <c r="EP49" s="309"/>
      <c r="EQ49" s="310"/>
      <c r="ER49" s="311"/>
      <c r="ES49" s="311"/>
      <c r="ET49" s="309"/>
      <c r="EU49" s="310"/>
      <c r="EV49" s="311"/>
      <c r="EW49" s="311"/>
      <c r="EX49" s="309"/>
      <c r="EY49" s="310"/>
      <c r="EZ49" s="311"/>
      <c r="FA49" s="311"/>
      <c r="FB49" s="309"/>
      <c r="FC49" s="310"/>
      <c r="FD49" s="311"/>
      <c r="FE49" s="311"/>
      <c r="FF49" s="309"/>
      <c r="FG49" s="310"/>
      <c r="FH49" s="311"/>
      <c r="FI49" s="311"/>
      <c r="FJ49" s="309"/>
      <c r="FK49" s="310"/>
      <c r="FL49" s="311"/>
      <c r="FM49" s="311"/>
      <c r="FN49" s="309"/>
      <c r="FO49" s="310"/>
      <c r="FP49" s="311"/>
      <c r="FQ49" s="311"/>
      <c r="FR49" s="309"/>
      <c r="FS49" s="310"/>
      <c r="FT49" s="311"/>
      <c r="FU49" s="311"/>
      <c r="FV49" s="309"/>
      <c r="FW49" s="310"/>
      <c r="FX49" s="311"/>
      <c r="FY49" s="311"/>
      <c r="FZ49" s="309"/>
      <c r="GA49" s="310"/>
      <c r="GB49" s="311"/>
      <c r="GC49" s="311"/>
      <c r="GD49" s="309"/>
      <c r="GE49" s="310"/>
      <c r="GF49" s="311"/>
      <c r="GG49" s="311"/>
      <c r="GH49" s="309"/>
      <c r="GI49" s="310"/>
      <c r="GJ49" s="311"/>
      <c r="GK49" s="311"/>
      <c r="GL49" s="309"/>
      <c r="GM49" s="310"/>
      <c r="GN49" s="311"/>
      <c r="GO49" s="311"/>
      <c r="GP49" s="309"/>
      <c r="GQ49" s="310"/>
      <c r="GR49" s="311"/>
      <c r="GS49" s="311"/>
      <c r="GT49" s="309"/>
      <c r="GU49" s="310"/>
      <c r="GV49" s="311"/>
      <c r="GW49" s="311"/>
      <c r="GX49" s="309"/>
      <c r="GY49" s="310"/>
      <c r="GZ49" s="311"/>
      <c r="HA49" s="311"/>
      <c r="HB49" s="309"/>
      <c r="HC49" s="312">
        <f t="shared" ref="HC49:HF80" si="79">K49+O49+S49+W49+AA49+AE49+AI49+AM49+AQ49+AU49+AY49+BC49+BG49+BK49+BO49+BS49+BW49+CA49+CE49+CI49+CM49+CQ49+CU49+CY49+DC49+DG49+DK49+DO49+DS49+DW49+EA49+EE49+EI49+EM49+EQ49+EU49+EY49+FC49+FG49+FK49+FO49+FS49+FW49+GA49+GE49+GI49+GM49+GQ49+GU49+GY49</f>
        <v>0</v>
      </c>
      <c r="HD49" s="313">
        <f t="shared" si="79"/>
        <v>0</v>
      </c>
      <c r="HE49" s="313">
        <f t="shared" si="79"/>
        <v>0</v>
      </c>
      <c r="HF49" s="314"/>
      <c r="HG49" s="312">
        <f>SUM(SUMIFS(K49:HB49,$K$13:$HB$13,{"エネルギー管理指定工場等*","県域*"}))</f>
        <v>0</v>
      </c>
      <c r="HH49" s="313">
        <f>SUM(SUMIFS(L49:HC49,$K$13:$HB$13,{"エネルギー管理指定工場等*","県域*"}))</f>
        <v>0</v>
      </c>
      <c r="HI49" s="313">
        <f>SUM(SUMIFS(M49:HD49,$K$13:$HB$13,{"エネルギー管理指定工場等*","県域*"}))</f>
        <v>0</v>
      </c>
      <c r="HJ49" s="314"/>
      <c r="HL49" s="230">
        <v>40</v>
      </c>
      <c r="HM49" s="714" t="str">
        <f t="shared" ca="1" si="67"/>
        <v/>
      </c>
      <c r="HN49" s="715" t="str">
        <f ca="1">IF(COUNTIF(HN$10:HN48,OFFSET(A1_原単位2026,5,HL49+2))&gt;=1,"",OFFSET(A1_原単位2026,5,HL49+2)&amp;"")</f>
        <v/>
      </c>
      <c r="HO49" s="716" t="str">
        <f t="shared" ca="1" si="50"/>
        <v/>
      </c>
      <c r="HP49" s="717" t="str">
        <f t="shared" ca="1" si="68"/>
        <v/>
      </c>
      <c r="HQ49" s="714" t="str">
        <f t="shared" ca="1" si="69"/>
        <v/>
      </c>
      <c r="HR49" s="715" t="str">
        <f ca="1">IF(COUNTIF(HR$10:HR48,OFFSET(A1_原単位2026,17,HL49+2))&gt;=1,"",OFFSET(A1_原単位2026,17,HL49+2)&amp;"")</f>
        <v/>
      </c>
      <c r="HS49" s="718" t="str">
        <f t="shared" ca="1" si="53"/>
        <v/>
      </c>
      <c r="HT49" s="719" t="str">
        <f t="shared" ca="1" si="70"/>
        <v/>
      </c>
      <c r="HU49" s="714" t="str">
        <f t="shared" ca="1" si="71"/>
        <v/>
      </c>
      <c r="HV49" s="715" t="str">
        <f ca="1">IF(COUNTIF(HV$10:HV48,OFFSET(A1_原単位2026,29,HL49+2))&gt;=1,"",OFFSET(A1_原単位2026,29,HL49+2)&amp;"")</f>
        <v/>
      </c>
      <c r="HW49" s="718" t="str">
        <f t="shared" ca="1" si="56"/>
        <v/>
      </c>
      <c r="HX49" s="719" t="str">
        <f t="shared" ca="1" si="72"/>
        <v/>
      </c>
      <c r="HY49" s="714" t="str">
        <f t="shared" ca="1" si="73"/>
        <v/>
      </c>
      <c r="HZ49" s="715" t="str">
        <f ca="1">IF(COUNTIF(HZ$10:HZ48,OFFSET(A1_原単位2026,41,HL49+2))&gt;=1,"",OFFSET(A1_原単位2026,41,HL49+2)&amp;"")</f>
        <v/>
      </c>
      <c r="IA49" s="720" t="str">
        <f t="shared" ca="1" si="59"/>
        <v/>
      </c>
      <c r="IB49" s="721" t="str">
        <f t="shared" ca="1" si="74"/>
        <v/>
      </c>
      <c r="IE49" s="159" t="str">
        <f t="shared" ca="1" si="75"/>
        <v/>
      </c>
      <c r="IF49" s="159" t="str">
        <f t="shared" ca="1" si="76"/>
        <v/>
      </c>
      <c r="IG49" s="159" t="str">
        <f t="shared" ca="1" si="77"/>
        <v/>
      </c>
      <c r="IH49" s="159" t="str">
        <f t="shared" ca="1" si="78"/>
        <v/>
      </c>
    </row>
    <row r="50" spans="2:242" s="164" customFormat="1" ht="20.100000000000001" customHeight="1">
      <c r="B50" s="302"/>
      <c r="C50" s="303" t="s">
        <v>382</v>
      </c>
      <c r="D50" s="304"/>
      <c r="E50" s="305"/>
      <c r="F50" s="303" t="s">
        <v>453</v>
      </c>
      <c r="G50" s="306">
        <v>35.6</v>
      </c>
      <c r="H50" s="309"/>
      <c r="I50" s="310"/>
      <c r="J50" s="315"/>
      <c r="K50" s="310"/>
      <c r="L50" s="311"/>
      <c r="M50" s="311"/>
      <c r="N50" s="309"/>
      <c r="O50" s="310"/>
      <c r="P50" s="311"/>
      <c r="Q50" s="311"/>
      <c r="R50" s="309"/>
      <c r="S50" s="310"/>
      <c r="T50" s="311"/>
      <c r="U50" s="311"/>
      <c r="V50" s="309"/>
      <c r="W50" s="310"/>
      <c r="X50" s="311"/>
      <c r="Y50" s="311"/>
      <c r="Z50" s="309"/>
      <c r="AA50" s="310"/>
      <c r="AB50" s="311"/>
      <c r="AC50" s="311"/>
      <c r="AD50" s="309"/>
      <c r="AE50" s="310"/>
      <c r="AF50" s="311"/>
      <c r="AG50" s="311"/>
      <c r="AH50" s="309"/>
      <c r="AI50" s="310"/>
      <c r="AJ50" s="311"/>
      <c r="AK50" s="311"/>
      <c r="AL50" s="309"/>
      <c r="AM50" s="310"/>
      <c r="AN50" s="311"/>
      <c r="AO50" s="311"/>
      <c r="AP50" s="309"/>
      <c r="AQ50" s="310"/>
      <c r="AR50" s="311"/>
      <c r="AS50" s="311"/>
      <c r="AT50" s="309"/>
      <c r="AU50" s="310"/>
      <c r="AV50" s="311"/>
      <c r="AW50" s="311"/>
      <c r="AX50" s="309"/>
      <c r="AY50" s="310"/>
      <c r="AZ50" s="311"/>
      <c r="BA50" s="311"/>
      <c r="BB50" s="309"/>
      <c r="BC50" s="310"/>
      <c r="BD50" s="311"/>
      <c r="BE50" s="311"/>
      <c r="BF50" s="309"/>
      <c r="BG50" s="310"/>
      <c r="BH50" s="311"/>
      <c r="BI50" s="311"/>
      <c r="BJ50" s="309"/>
      <c r="BK50" s="310"/>
      <c r="BL50" s="311"/>
      <c r="BM50" s="311"/>
      <c r="BN50" s="309"/>
      <c r="BO50" s="310"/>
      <c r="BP50" s="311"/>
      <c r="BQ50" s="311"/>
      <c r="BR50" s="309"/>
      <c r="BS50" s="310"/>
      <c r="BT50" s="311"/>
      <c r="BU50" s="311"/>
      <c r="BV50" s="309"/>
      <c r="BW50" s="310"/>
      <c r="BX50" s="311"/>
      <c r="BY50" s="311"/>
      <c r="BZ50" s="309"/>
      <c r="CA50" s="310"/>
      <c r="CB50" s="311"/>
      <c r="CC50" s="311"/>
      <c r="CD50" s="309"/>
      <c r="CE50" s="310"/>
      <c r="CF50" s="311"/>
      <c r="CG50" s="311"/>
      <c r="CH50" s="309"/>
      <c r="CI50" s="310"/>
      <c r="CJ50" s="311"/>
      <c r="CK50" s="311"/>
      <c r="CL50" s="309"/>
      <c r="CM50" s="310"/>
      <c r="CN50" s="311"/>
      <c r="CO50" s="311"/>
      <c r="CP50" s="309"/>
      <c r="CQ50" s="310"/>
      <c r="CR50" s="311"/>
      <c r="CS50" s="311"/>
      <c r="CT50" s="309"/>
      <c r="CU50" s="310"/>
      <c r="CV50" s="311"/>
      <c r="CW50" s="311"/>
      <c r="CX50" s="309"/>
      <c r="CY50" s="310"/>
      <c r="CZ50" s="311"/>
      <c r="DA50" s="311"/>
      <c r="DB50" s="309"/>
      <c r="DC50" s="310"/>
      <c r="DD50" s="311"/>
      <c r="DE50" s="311"/>
      <c r="DF50" s="309"/>
      <c r="DG50" s="310"/>
      <c r="DH50" s="311"/>
      <c r="DI50" s="311"/>
      <c r="DJ50" s="309"/>
      <c r="DK50" s="310"/>
      <c r="DL50" s="311"/>
      <c r="DM50" s="311"/>
      <c r="DN50" s="309"/>
      <c r="DO50" s="310"/>
      <c r="DP50" s="311"/>
      <c r="DQ50" s="311"/>
      <c r="DR50" s="309"/>
      <c r="DS50" s="310"/>
      <c r="DT50" s="311"/>
      <c r="DU50" s="311"/>
      <c r="DV50" s="309"/>
      <c r="DW50" s="310"/>
      <c r="DX50" s="311"/>
      <c r="DY50" s="311"/>
      <c r="DZ50" s="309"/>
      <c r="EA50" s="310"/>
      <c r="EB50" s="311"/>
      <c r="EC50" s="311"/>
      <c r="ED50" s="309"/>
      <c r="EE50" s="310"/>
      <c r="EF50" s="311"/>
      <c r="EG50" s="311"/>
      <c r="EH50" s="309"/>
      <c r="EI50" s="310"/>
      <c r="EJ50" s="311"/>
      <c r="EK50" s="311"/>
      <c r="EL50" s="309"/>
      <c r="EM50" s="310"/>
      <c r="EN50" s="311"/>
      <c r="EO50" s="311"/>
      <c r="EP50" s="309"/>
      <c r="EQ50" s="310"/>
      <c r="ER50" s="311"/>
      <c r="ES50" s="311"/>
      <c r="ET50" s="309"/>
      <c r="EU50" s="310"/>
      <c r="EV50" s="311"/>
      <c r="EW50" s="311"/>
      <c r="EX50" s="309"/>
      <c r="EY50" s="310"/>
      <c r="EZ50" s="311"/>
      <c r="FA50" s="311"/>
      <c r="FB50" s="309"/>
      <c r="FC50" s="310"/>
      <c r="FD50" s="311"/>
      <c r="FE50" s="311"/>
      <c r="FF50" s="309"/>
      <c r="FG50" s="310"/>
      <c r="FH50" s="311"/>
      <c r="FI50" s="311"/>
      <c r="FJ50" s="309"/>
      <c r="FK50" s="310"/>
      <c r="FL50" s="311"/>
      <c r="FM50" s="311"/>
      <c r="FN50" s="309"/>
      <c r="FO50" s="310"/>
      <c r="FP50" s="311"/>
      <c r="FQ50" s="311"/>
      <c r="FR50" s="309"/>
      <c r="FS50" s="310"/>
      <c r="FT50" s="311"/>
      <c r="FU50" s="311"/>
      <c r="FV50" s="309"/>
      <c r="FW50" s="310"/>
      <c r="FX50" s="311"/>
      <c r="FY50" s="311"/>
      <c r="FZ50" s="309"/>
      <c r="GA50" s="310"/>
      <c r="GB50" s="311"/>
      <c r="GC50" s="311"/>
      <c r="GD50" s="309"/>
      <c r="GE50" s="310"/>
      <c r="GF50" s="311"/>
      <c r="GG50" s="311"/>
      <c r="GH50" s="309"/>
      <c r="GI50" s="310"/>
      <c r="GJ50" s="311"/>
      <c r="GK50" s="311"/>
      <c r="GL50" s="309"/>
      <c r="GM50" s="310"/>
      <c r="GN50" s="311"/>
      <c r="GO50" s="311"/>
      <c r="GP50" s="309"/>
      <c r="GQ50" s="310"/>
      <c r="GR50" s="311"/>
      <c r="GS50" s="311"/>
      <c r="GT50" s="309"/>
      <c r="GU50" s="310"/>
      <c r="GV50" s="311"/>
      <c r="GW50" s="311"/>
      <c r="GX50" s="309"/>
      <c r="GY50" s="310"/>
      <c r="GZ50" s="311"/>
      <c r="HA50" s="311"/>
      <c r="HB50" s="309"/>
      <c r="HC50" s="312">
        <f t="shared" si="79"/>
        <v>0</v>
      </c>
      <c r="HD50" s="313">
        <f t="shared" si="79"/>
        <v>0</v>
      </c>
      <c r="HE50" s="313">
        <f t="shared" si="79"/>
        <v>0</v>
      </c>
      <c r="HF50" s="314"/>
      <c r="HG50" s="312">
        <f>SUM(SUMIFS(K50:HB50,$K$13:$HB$13,{"エネルギー管理指定工場等*","県域*"}))</f>
        <v>0</v>
      </c>
      <c r="HH50" s="313">
        <f>SUM(SUMIFS(L50:HC50,$K$13:$HB$13,{"エネルギー管理指定工場等*","県域*"}))</f>
        <v>0</v>
      </c>
      <c r="HI50" s="313">
        <f>SUM(SUMIFS(M50:HD50,$K$13:$HB$13,{"エネルギー管理指定工場等*","県域*"}))</f>
        <v>0</v>
      </c>
      <c r="HJ50" s="314"/>
      <c r="HL50" s="219">
        <v>41</v>
      </c>
      <c r="HM50" s="714" t="str">
        <f t="shared" ca="1" si="67"/>
        <v/>
      </c>
      <c r="HN50" s="715" t="str">
        <f ca="1">IF(COUNTIF(HN$10:HN49,OFFSET(A1_原単位2026,5,HL50+2))&gt;=1,"",OFFSET(A1_原単位2026,5,HL50+2)&amp;"")</f>
        <v/>
      </c>
      <c r="HO50" s="716" t="str">
        <f t="shared" ca="1" si="50"/>
        <v/>
      </c>
      <c r="HP50" s="717" t="str">
        <f t="shared" ca="1" si="68"/>
        <v/>
      </c>
      <c r="HQ50" s="714" t="str">
        <f t="shared" ca="1" si="69"/>
        <v/>
      </c>
      <c r="HR50" s="715" t="str">
        <f ca="1">IF(COUNTIF(HR$10:HR49,OFFSET(A1_原単位2026,17,HL50+2))&gt;=1,"",OFFSET(A1_原単位2026,17,HL50+2)&amp;"")</f>
        <v/>
      </c>
      <c r="HS50" s="718" t="str">
        <f t="shared" ca="1" si="53"/>
        <v/>
      </c>
      <c r="HT50" s="719" t="str">
        <f t="shared" ca="1" si="70"/>
        <v/>
      </c>
      <c r="HU50" s="714" t="str">
        <f t="shared" ca="1" si="71"/>
        <v/>
      </c>
      <c r="HV50" s="715" t="str">
        <f ca="1">IF(COUNTIF(HV$10:HV49,OFFSET(A1_原単位2026,29,HL50+2))&gt;=1,"",OFFSET(A1_原単位2026,29,HL50+2)&amp;"")</f>
        <v/>
      </c>
      <c r="HW50" s="718" t="str">
        <f t="shared" ca="1" si="56"/>
        <v/>
      </c>
      <c r="HX50" s="719" t="str">
        <f t="shared" ca="1" si="72"/>
        <v/>
      </c>
      <c r="HY50" s="714" t="str">
        <f t="shared" ca="1" si="73"/>
        <v/>
      </c>
      <c r="HZ50" s="715" t="str">
        <f ca="1">IF(COUNTIF(HZ$10:HZ49,OFFSET(A1_原単位2026,41,HL50+2))&gt;=1,"",OFFSET(A1_原単位2026,41,HL50+2)&amp;"")</f>
        <v/>
      </c>
      <c r="IA50" s="720" t="str">
        <f t="shared" ca="1" si="59"/>
        <v/>
      </c>
      <c r="IB50" s="721" t="str">
        <f t="shared" ca="1" si="74"/>
        <v/>
      </c>
      <c r="IE50" s="159" t="str">
        <f t="shared" ca="1" si="75"/>
        <v/>
      </c>
      <c r="IF50" s="159" t="str">
        <f t="shared" ca="1" si="76"/>
        <v/>
      </c>
      <c r="IG50" s="159" t="str">
        <f t="shared" ca="1" si="77"/>
        <v/>
      </c>
      <c r="IH50" s="159" t="str">
        <f t="shared" ca="1" si="78"/>
        <v/>
      </c>
    </row>
    <row r="51" spans="2:242" s="164" customFormat="1" ht="20.100000000000001" customHeight="1">
      <c r="B51" s="302"/>
      <c r="C51" s="303" t="s">
        <v>383</v>
      </c>
      <c r="D51" s="304"/>
      <c r="E51" s="305"/>
      <c r="F51" s="303" t="s">
        <v>457</v>
      </c>
      <c r="G51" s="306">
        <v>21.2</v>
      </c>
      <c r="H51" s="309"/>
      <c r="I51" s="308"/>
      <c r="J51" s="309"/>
      <c r="K51" s="310"/>
      <c r="L51" s="311"/>
      <c r="M51" s="311"/>
      <c r="N51" s="309"/>
      <c r="O51" s="310"/>
      <c r="P51" s="311"/>
      <c r="Q51" s="311"/>
      <c r="R51" s="309"/>
      <c r="S51" s="310"/>
      <c r="T51" s="311"/>
      <c r="U51" s="311"/>
      <c r="V51" s="309"/>
      <c r="W51" s="310"/>
      <c r="X51" s="311"/>
      <c r="Y51" s="311"/>
      <c r="Z51" s="309"/>
      <c r="AA51" s="310"/>
      <c r="AB51" s="311"/>
      <c r="AC51" s="311"/>
      <c r="AD51" s="309"/>
      <c r="AE51" s="310"/>
      <c r="AF51" s="311"/>
      <c r="AG51" s="311"/>
      <c r="AH51" s="309"/>
      <c r="AI51" s="310"/>
      <c r="AJ51" s="311"/>
      <c r="AK51" s="311"/>
      <c r="AL51" s="309"/>
      <c r="AM51" s="310"/>
      <c r="AN51" s="311"/>
      <c r="AO51" s="311"/>
      <c r="AP51" s="309"/>
      <c r="AQ51" s="310"/>
      <c r="AR51" s="311"/>
      <c r="AS51" s="311"/>
      <c r="AT51" s="309"/>
      <c r="AU51" s="310"/>
      <c r="AV51" s="311"/>
      <c r="AW51" s="311"/>
      <c r="AX51" s="309"/>
      <c r="AY51" s="310"/>
      <c r="AZ51" s="311"/>
      <c r="BA51" s="311"/>
      <c r="BB51" s="309"/>
      <c r="BC51" s="310"/>
      <c r="BD51" s="311"/>
      <c r="BE51" s="311"/>
      <c r="BF51" s="309"/>
      <c r="BG51" s="310"/>
      <c r="BH51" s="311"/>
      <c r="BI51" s="311"/>
      <c r="BJ51" s="309"/>
      <c r="BK51" s="310"/>
      <c r="BL51" s="311"/>
      <c r="BM51" s="311"/>
      <c r="BN51" s="309"/>
      <c r="BO51" s="310"/>
      <c r="BP51" s="311"/>
      <c r="BQ51" s="311"/>
      <c r="BR51" s="309"/>
      <c r="BS51" s="310"/>
      <c r="BT51" s="311"/>
      <c r="BU51" s="311"/>
      <c r="BV51" s="309"/>
      <c r="BW51" s="310"/>
      <c r="BX51" s="311"/>
      <c r="BY51" s="311"/>
      <c r="BZ51" s="309"/>
      <c r="CA51" s="310"/>
      <c r="CB51" s="311"/>
      <c r="CC51" s="311"/>
      <c r="CD51" s="309"/>
      <c r="CE51" s="310"/>
      <c r="CF51" s="311"/>
      <c r="CG51" s="311"/>
      <c r="CH51" s="309"/>
      <c r="CI51" s="310"/>
      <c r="CJ51" s="311"/>
      <c r="CK51" s="311"/>
      <c r="CL51" s="309"/>
      <c r="CM51" s="310"/>
      <c r="CN51" s="311"/>
      <c r="CO51" s="311"/>
      <c r="CP51" s="309"/>
      <c r="CQ51" s="310"/>
      <c r="CR51" s="311"/>
      <c r="CS51" s="311"/>
      <c r="CT51" s="309"/>
      <c r="CU51" s="310"/>
      <c r="CV51" s="311"/>
      <c r="CW51" s="311"/>
      <c r="CX51" s="309"/>
      <c r="CY51" s="310"/>
      <c r="CZ51" s="311"/>
      <c r="DA51" s="311"/>
      <c r="DB51" s="309"/>
      <c r="DC51" s="310"/>
      <c r="DD51" s="311"/>
      <c r="DE51" s="311"/>
      <c r="DF51" s="309"/>
      <c r="DG51" s="310"/>
      <c r="DH51" s="311"/>
      <c r="DI51" s="311"/>
      <c r="DJ51" s="309"/>
      <c r="DK51" s="310"/>
      <c r="DL51" s="311"/>
      <c r="DM51" s="311"/>
      <c r="DN51" s="309"/>
      <c r="DO51" s="310"/>
      <c r="DP51" s="311"/>
      <c r="DQ51" s="311"/>
      <c r="DR51" s="309"/>
      <c r="DS51" s="310"/>
      <c r="DT51" s="311"/>
      <c r="DU51" s="311"/>
      <c r="DV51" s="309"/>
      <c r="DW51" s="310"/>
      <c r="DX51" s="311"/>
      <c r="DY51" s="311"/>
      <c r="DZ51" s="309"/>
      <c r="EA51" s="310"/>
      <c r="EB51" s="311"/>
      <c r="EC51" s="311"/>
      <c r="ED51" s="309"/>
      <c r="EE51" s="310"/>
      <c r="EF51" s="311"/>
      <c r="EG51" s="311"/>
      <c r="EH51" s="309"/>
      <c r="EI51" s="310"/>
      <c r="EJ51" s="311"/>
      <c r="EK51" s="311"/>
      <c r="EL51" s="309"/>
      <c r="EM51" s="310"/>
      <c r="EN51" s="311"/>
      <c r="EO51" s="311"/>
      <c r="EP51" s="309"/>
      <c r="EQ51" s="310"/>
      <c r="ER51" s="311"/>
      <c r="ES51" s="311"/>
      <c r="ET51" s="309"/>
      <c r="EU51" s="310"/>
      <c r="EV51" s="311"/>
      <c r="EW51" s="311"/>
      <c r="EX51" s="309"/>
      <c r="EY51" s="310"/>
      <c r="EZ51" s="311"/>
      <c r="FA51" s="311"/>
      <c r="FB51" s="309"/>
      <c r="FC51" s="310"/>
      <c r="FD51" s="311"/>
      <c r="FE51" s="311"/>
      <c r="FF51" s="309"/>
      <c r="FG51" s="310"/>
      <c r="FH51" s="311"/>
      <c r="FI51" s="311"/>
      <c r="FJ51" s="309"/>
      <c r="FK51" s="310"/>
      <c r="FL51" s="311"/>
      <c r="FM51" s="311"/>
      <c r="FN51" s="309"/>
      <c r="FO51" s="310"/>
      <c r="FP51" s="311"/>
      <c r="FQ51" s="311"/>
      <c r="FR51" s="309"/>
      <c r="FS51" s="310"/>
      <c r="FT51" s="311"/>
      <c r="FU51" s="311"/>
      <c r="FV51" s="309"/>
      <c r="FW51" s="310"/>
      <c r="FX51" s="311"/>
      <c r="FY51" s="311"/>
      <c r="FZ51" s="309"/>
      <c r="GA51" s="310"/>
      <c r="GB51" s="311"/>
      <c r="GC51" s="311"/>
      <c r="GD51" s="309"/>
      <c r="GE51" s="310"/>
      <c r="GF51" s="311"/>
      <c r="GG51" s="311"/>
      <c r="GH51" s="309"/>
      <c r="GI51" s="310"/>
      <c r="GJ51" s="311"/>
      <c r="GK51" s="311"/>
      <c r="GL51" s="309"/>
      <c r="GM51" s="310"/>
      <c r="GN51" s="311"/>
      <c r="GO51" s="311"/>
      <c r="GP51" s="309"/>
      <c r="GQ51" s="310"/>
      <c r="GR51" s="311"/>
      <c r="GS51" s="311"/>
      <c r="GT51" s="309"/>
      <c r="GU51" s="310"/>
      <c r="GV51" s="311"/>
      <c r="GW51" s="311"/>
      <c r="GX51" s="309"/>
      <c r="GY51" s="310"/>
      <c r="GZ51" s="311"/>
      <c r="HA51" s="311"/>
      <c r="HB51" s="309"/>
      <c r="HC51" s="312">
        <f t="shared" si="79"/>
        <v>0</v>
      </c>
      <c r="HD51" s="313">
        <f t="shared" si="79"/>
        <v>0</v>
      </c>
      <c r="HE51" s="313">
        <f t="shared" si="79"/>
        <v>0</v>
      </c>
      <c r="HF51" s="314"/>
      <c r="HG51" s="312">
        <f>SUM(SUMIFS(K51:HB51,$K$13:$HB$13,{"エネルギー管理指定工場等*","県域*"}))</f>
        <v>0</v>
      </c>
      <c r="HH51" s="313">
        <f>SUM(SUMIFS(L51:HC51,$K$13:$HB$13,{"エネルギー管理指定工場等*","県域*"}))</f>
        <v>0</v>
      </c>
      <c r="HI51" s="313">
        <f>SUM(SUMIFS(M51:HD51,$K$13:$HB$13,{"エネルギー管理指定工場等*","県域*"}))</f>
        <v>0</v>
      </c>
      <c r="HJ51" s="314"/>
      <c r="HL51" s="219">
        <v>42</v>
      </c>
      <c r="HM51" s="714" t="str">
        <f t="shared" ca="1" si="67"/>
        <v/>
      </c>
      <c r="HN51" s="715" t="str">
        <f ca="1">IF(COUNTIF(HN$10:HN50,OFFSET(A1_原単位2026,5,HL51+2))&gt;=1,"",OFFSET(A1_原単位2026,5,HL51+2)&amp;"")</f>
        <v/>
      </c>
      <c r="HO51" s="716" t="str">
        <f t="shared" ca="1" si="50"/>
        <v/>
      </c>
      <c r="HP51" s="717" t="str">
        <f t="shared" ca="1" si="68"/>
        <v/>
      </c>
      <c r="HQ51" s="714" t="str">
        <f t="shared" ca="1" si="69"/>
        <v/>
      </c>
      <c r="HR51" s="715" t="str">
        <f ca="1">IF(COUNTIF(HR$10:HR50,OFFSET(A1_原単位2026,17,HL51+2))&gt;=1,"",OFFSET(A1_原単位2026,17,HL51+2)&amp;"")</f>
        <v/>
      </c>
      <c r="HS51" s="718" t="str">
        <f t="shared" ca="1" si="53"/>
        <v/>
      </c>
      <c r="HT51" s="719" t="str">
        <f t="shared" ca="1" si="70"/>
        <v/>
      </c>
      <c r="HU51" s="714" t="str">
        <f t="shared" ca="1" si="71"/>
        <v/>
      </c>
      <c r="HV51" s="715" t="str">
        <f ca="1">IF(COUNTIF(HV$10:HV50,OFFSET(A1_原単位2026,29,HL51+2))&gt;=1,"",OFFSET(A1_原単位2026,29,HL51+2)&amp;"")</f>
        <v/>
      </c>
      <c r="HW51" s="718" t="str">
        <f t="shared" ca="1" si="56"/>
        <v/>
      </c>
      <c r="HX51" s="719" t="str">
        <f t="shared" ca="1" si="72"/>
        <v/>
      </c>
      <c r="HY51" s="714" t="str">
        <f t="shared" ca="1" si="73"/>
        <v/>
      </c>
      <c r="HZ51" s="715" t="str">
        <f ca="1">IF(COUNTIF(HZ$10:HZ50,OFFSET(A1_原単位2026,41,HL51+2))&gt;=1,"",OFFSET(A1_原単位2026,41,HL51+2)&amp;"")</f>
        <v/>
      </c>
      <c r="IA51" s="720" t="str">
        <f t="shared" ca="1" si="59"/>
        <v/>
      </c>
      <c r="IB51" s="721" t="str">
        <f t="shared" ca="1" si="74"/>
        <v/>
      </c>
      <c r="IE51" s="159" t="str">
        <f t="shared" ca="1" si="75"/>
        <v/>
      </c>
      <c r="IF51" s="159" t="str">
        <f t="shared" ca="1" si="76"/>
        <v/>
      </c>
      <c r="IG51" s="159" t="str">
        <f t="shared" ca="1" si="77"/>
        <v/>
      </c>
      <c r="IH51" s="159" t="str">
        <f t="shared" ca="1" si="78"/>
        <v/>
      </c>
    </row>
    <row r="52" spans="2:242" s="164" customFormat="1" ht="20.100000000000001" customHeight="1">
      <c r="B52" s="302"/>
      <c r="C52" s="303" t="s">
        <v>591</v>
      </c>
      <c r="D52" s="304"/>
      <c r="E52" s="311"/>
      <c r="F52" s="303" t="s">
        <v>455</v>
      </c>
      <c r="G52" s="306">
        <v>13.2</v>
      </c>
      <c r="H52" s="309"/>
      <c r="I52" s="308"/>
      <c r="J52" s="309"/>
      <c r="K52" s="310"/>
      <c r="L52" s="311"/>
      <c r="M52" s="311"/>
      <c r="N52" s="309"/>
      <c r="O52" s="310"/>
      <c r="P52" s="311"/>
      <c r="Q52" s="311"/>
      <c r="R52" s="309"/>
      <c r="S52" s="310"/>
      <c r="T52" s="311"/>
      <c r="U52" s="311"/>
      <c r="V52" s="309"/>
      <c r="W52" s="310"/>
      <c r="X52" s="311"/>
      <c r="Y52" s="311"/>
      <c r="Z52" s="309"/>
      <c r="AA52" s="310"/>
      <c r="AB52" s="311"/>
      <c r="AC52" s="311"/>
      <c r="AD52" s="309"/>
      <c r="AE52" s="310"/>
      <c r="AF52" s="311"/>
      <c r="AG52" s="311"/>
      <c r="AH52" s="309"/>
      <c r="AI52" s="310"/>
      <c r="AJ52" s="311"/>
      <c r="AK52" s="311"/>
      <c r="AL52" s="309"/>
      <c r="AM52" s="310"/>
      <c r="AN52" s="311"/>
      <c r="AO52" s="311"/>
      <c r="AP52" s="309"/>
      <c r="AQ52" s="310"/>
      <c r="AR52" s="311"/>
      <c r="AS52" s="311"/>
      <c r="AT52" s="309"/>
      <c r="AU52" s="310"/>
      <c r="AV52" s="311"/>
      <c r="AW52" s="311"/>
      <c r="AX52" s="309"/>
      <c r="AY52" s="310"/>
      <c r="AZ52" s="311"/>
      <c r="BA52" s="311"/>
      <c r="BB52" s="309"/>
      <c r="BC52" s="310"/>
      <c r="BD52" s="311"/>
      <c r="BE52" s="311"/>
      <c r="BF52" s="309"/>
      <c r="BG52" s="310"/>
      <c r="BH52" s="311"/>
      <c r="BI52" s="311"/>
      <c r="BJ52" s="309"/>
      <c r="BK52" s="310"/>
      <c r="BL52" s="311"/>
      <c r="BM52" s="311"/>
      <c r="BN52" s="309"/>
      <c r="BO52" s="310"/>
      <c r="BP52" s="311"/>
      <c r="BQ52" s="311"/>
      <c r="BR52" s="309"/>
      <c r="BS52" s="310"/>
      <c r="BT52" s="311"/>
      <c r="BU52" s="311"/>
      <c r="BV52" s="309"/>
      <c r="BW52" s="310"/>
      <c r="BX52" s="311"/>
      <c r="BY52" s="311"/>
      <c r="BZ52" s="309"/>
      <c r="CA52" s="310"/>
      <c r="CB52" s="311"/>
      <c r="CC52" s="311"/>
      <c r="CD52" s="309"/>
      <c r="CE52" s="310"/>
      <c r="CF52" s="311"/>
      <c r="CG52" s="311"/>
      <c r="CH52" s="309"/>
      <c r="CI52" s="310"/>
      <c r="CJ52" s="311"/>
      <c r="CK52" s="311"/>
      <c r="CL52" s="309"/>
      <c r="CM52" s="310"/>
      <c r="CN52" s="311"/>
      <c r="CO52" s="311"/>
      <c r="CP52" s="309"/>
      <c r="CQ52" s="310"/>
      <c r="CR52" s="311"/>
      <c r="CS52" s="311"/>
      <c r="CT52" s="309"/>
      <c r="CU52" s="310"/>
      <c r="CV52" s="311"/>
      <c r="CW52" s="311"/>
      <c r="CX52" s="309"/>
      <c r="CY52" s="310"/>
      <c r="CZ52" s="311"/>
      <c r="DA52" s="311"/>
      <c r="DB52" s="309"/>
      <c r="DC52" s="310"/>
      <c r="DD52" s="311"/>
      <c r="DE52" s="311"/>
      <c r="DF52" s="309"/>
      <c r="DG52" s="310"/>
      <c r="DH52" s="311"/>
      <c r="DI52" s="311"/>
      <c r="DJ52" s="309"/>
      <c r="DK52" s="310"/>
      <c r="DL52" s="311"/>
      <c r="DM52" s="311"/>
      <c r="DN52" s="309"/>
      <c r="DO52" s="310"/>
      <c r="DP52" s="311"/>
      <c r="DQ52" s="311"/>
      <c r="DR52" s="309"/>
      <c r="DS52" s="310"/>
      <c r="DT52" s="311"/>
      <c r="DU52" s="311"/>
      <c r="DV52" s="309"/>
      <c r="DW52" s="310"/>
      <c r="DX52" s="311"/>
      <c r="DY52" s="311"/>
      <c r="DZ52" s="309"/>
      <c r="EA52" s="310"/>
      <c r="EB52" s="311"/>
      <c r="EC52" s="311"/>
      <c r="ED52" s="309"/>
      <c r="EE52" s="310"/>
      <c r="EF52" s="311"/>
      <c r="EG52" s="311"/>
      <c r="EH52" s="309"/>
      <c r="EI52" s="310"/>
      <c r="EJ52" s="311"/>
      <c r="EK52" s="311"/>
      <c r="EL52" s="309"/>
      <c r="EM52" s="310"/>
      <c r="EN52" s="311"/>
      <c r="EO52" s="311"/>
      <c r="EP52" s="309"/>
      <c r="EQ52" s="310"/>
      <c r="ER52" s="311"/>
      <c r="ES52" s="311"/>
      <c r="ET52" s="309"/>
      <c r="EU52" s="310"/>
      <c r="EV52" s="311"/>
      <c r="EW52" s="311"/>
      <c r="EX52" s="309"/>
      <c r="EY52" s="310"/>
      <c r="EZ52" s="311"/>
      <c r="FA52" s="311"/>
      <c r="FB52" s="309"/>
      <c r="FC52" s="310"/>
      <c r="FD52" s="311"/>
      <c r="FE52" s="311"/>
      <c r="FF52" s="309"/>
      <c r="FG52" s="310"/>
      <c r="FH52" s="311"/>
      <c r="FI52" s="311"/>
      <c r="FJ52" s="309"/>
      <c r="FK52" s="310"/>
      <c r="FL52" s="311"/>
      <c r="FM52" s="311"/>
      <c r="FN52" s="309"/>
      <c r="FO52" s="310"/>
      <c r="FP52" s="311"/>
      <c r="FQ52" s="311"/>
      <c r="FR52" s="309"/>
      <c r="FS52" s="310"/>
      <c r="FT52" s="311"/>
      <c r="FU52" s="311"/>
      <c r="FV52" s="309"/>
      <c r="FW52" s="310"/>
      <c r="FX52" s="311"/>
      <c r="FY52" s="311"/>
      <c r="FZ52" s="309"/>
      <c r="GA52" s="310"/>
      <c r="GB52" s="311"/>
      <c r="GC52" s="311"/>
      <c r="GD52" s="309"/>
      <c r="GE52" s="310"/>
      <c r="GF52" s="311"/>
      <c r="GG52" s="311"/>
      <c r="GH52" s="309"/>
      <c r="GI52" s="310"/>
      <c r="GJ52" s="311"/>
      <c r="GK52" s="311"/>
      <c r="GL52" s="309"/>
      <c r="GM52" s="310"/>
      <c r="GN52" s="311"/>
      <c r="GO52" s="311"/>
      <c r="GP52" s="309"/>
      <c r="GQ52" s="310"/>
      <c r="GR52" s="311"/>
      <c r="GS52" s="311"/>
      <c r="GT52" s="309"/>
      <c r="GU52" s="310"/>
      <c r="GV52" s="311"/>
      <c r="GW52" s="311"/>
      <c r="GX52" s="309"/>
      <c r="GY52" s="310"/>
      <c r="GZ52" s="311"/>
      <c r="HA52" s="311"/>
      <c r="HB52" s="309"/>
      <c r="HC52" s="312">
        <f t="shared" si="79"/>
        <v>0</v>
      </c>
      <c r="HD52" s="313">
        <f t="shared" si="79"/>
        <v>0</v>
      </c>
      <c r="HE52" s="313">
        <f t="shared" si="79"/>
        <v>0</v>
      </c>
      <c r="HF52" s="314"/>
      <c r="HG52" s="312">
        <f>SUM(SUMIFS(K52:HB52,$K$13:$HB$13,{"エネルギー管理指定工場等*","県域*"}))</f>
        <v>0</v>
      </c>
      <c r="HH52" s="313">
        <f>SUM(SUMIFS(L52:HC52,$K$13:$HB$13,{"エネルギー管理指定工場等*","県域*"}))</f>
        <v>0</v>
      </c>
      <c r="HI52" s="313">
        <f>SUM(SUMIFS(M52:HD52,$K$13:$HB$13,{"エネルギー管理指定工場等*","県域*"}))</f>
        <v>0</v>
      </c>
      <c r="HJ52" s="314"/>
      <c r="HL52" s="230">
        <v>43</v>
      </c>
      <c r="HM52" s="714" t="str">
        <f t="shared" ca="1" si="67"/>
        <v/>
      </c>
      <c r="HN52" s="715" t="str">
        <f ca="1">IF(COUNTIF(HN$10:HN51,OFFSET(A1_原単位2026,5,HL52+2))&gt;=1,"",OFFSET(A1_原単位2026,5,HL52+2)&amp;"")</f>
        <v/>
      </c>
      <c r="HO52" s="716" t="str">
        <f t="shared" ca="1" si="50"/>
        <v/>
      </c>
      <c r="HP52" s="717" t="str">
        <f t="shared" ca="1" si="68"/>
        <v/>
      </c>
      <c r="HQ52" s="714" t="str">
        <f t="shared" ca="1" si="69"/>
        <v/>
      </c>
      <c r="HR52" s="715" t="str">
        <f ca="1">IF(COUNTIF(HR$10:HR51,OFFSET(A1_原単位2026,17,HL52+2))&gt;=1,"",OFFSET(A1_原単位2026,17,HL52+2)&amp;"")</f>
        <v/>
      </c>
      <c r="HS52" s="718" t="str">
        <f t="shared" ca="1" si="53"/>
        <v/>
      </c>
      <c r="HT52" s="719" t="str">
        <f t="shared" ca="1" si="70"/>
        <v/>
      </c>
      <c r="HU52" s="714" t="str">
        <f t="shared" ca="1" si="71"/>
        <v/>
      </c>
      <c r="HV52" s="715" t="str">
        <f ca="1">IF(COUNTIF(HV$10:HV51,OFFSET(A1_原単位2026,29,HL52+2))&gt;=1,"",OFFSET(A1_原単位2026,29,HL52+2)&amp;"")</f>
        <v/>
      </c>
      <c r="HW52" s="718" t="str">
        <f t="shared" ca="1" si="56"/>
        <v/>
      </c>
      <c r="HX52" s="719" t="str">
        <f t="shared" ca="1" si="72"/>
        <v/>
      </c>
      <c r="HY52" s="714" t="str">
        <f t="shared" ca="1" si="73"/>
        <v/>
      </c>
      <c r="HZ52" s="715" t="str">
        <f ca="1">IF(COUNTIF(HZ$10:HZ51,OFFSET(A1_原単位2026,41,HL52+2))&gt;=1,"",OFFSET(A1_原単位2026,41,HL52+2)&amp;"")</f>
        <v/>
      </c>
      <c r="IA52" s="720" t="str">
        <f t="shared" ca="1" si="59"/>
        <v/>
      </c>
      <c r="IB52" s="721" t="str">
        <f t="shared" ca="1" si="74"/>
        <v/>
      </c>
      <c r="IE52" s="159" t="str">
        <f t="shared" ca="1" si="75"/>
        <v/>
      </c>
      <c r="IF52" s="159" t="str">
        <f t="shared" ca="1" si="76"/>
        <v/>
      </c>
      <c r="IG52" s="159" t="str">
        <f t="shared" ca="1" si="77"/>
        <v/>
      </c>
      <c r="IH52" s="159" t="str">
        <f t="shared" ca="1" si="78"/>
        <v/>
      </c>
    </row>
    <row r="53" spans="2:242" s="164" customFormat="1" ht="20.100000000000001" customHeight="1">
      <c r="B53" s="302"/>
      <c r="C53" s="303" t="s">
        <v>385</v>
      </c>
      <c r="D53" s="304"/>
      <c r="E53" s="305"/>
      <c r="F53" s="303" t="s">
        <v>455</v>
      </c>
      <c r="G53" s="316">
        <v>18</v>
      </c>
      <c r="H53" s="307">
        <v>1.6199999999999999E-2</v>
      </c>
      <c r="I53" s="308"/>
      <c r="J53" s="309"/>
      <c r="K53" s="310"/>
      <c r="L53" s="311"/>
      <c r="M53" s="311"/>
      <c r="N53" s="309"/>
      <c r="O53" s="310"/>
      <c r="P53" s="311"/>
      <c r="Q53" s="311"/>
      <c r="R53" s="309"/>
      <c r="S53" s="310"/>
      <c r="T53" s="311"/>
      <c r="U53" s="311"/>
      <c r="V53" s="309"/>
      <c r="W53" s="310"/>
      <c r="X53" s="311"/>
      <c r="Y53" s="311"/>
      <c r="Z53" s="309"/>
      <c r="AA53" s="310"/>
      <c r="AB53" s="311"/>
      <c r="AC53" s="311"/>
      <c r="AD53" s="309"/>
      <c r="AE53" s="310"/>
      <c r="AF53" s="311"/>
      <c r="AG53" s="311"/>
      <c r="AH53" s="309"/>
      <c r="AI53" s="310"/>
      <c r="AJ53" s="311"/>
      <c r="AK53" s="311"/>
      <c r="AL53" s="309"/>
      <c r="AM53" s="310"/>
      <c r="AN53" s="311"/>
      <c r="AO53" s="311"/>
      <c r="AP53" s="309"/>
      <c r="AQ53" s="310"/>
      <c r="AR53" s="311"/>
      <c r="AS53" s="311"/>
      <c r="AT53" s="309"/>
      <c r="AU53" s="310"/>
      <c r="AV53" s="311"/>
      <c r="AW53" s="311"/>
      <c r="AX53" s="309"/>
      <c r="AY53" s="310"/>
      <c r="AZ53" s="311"/>
      <c r="BA53" s="311"/>
      <c r="BB53" s="309"/>
      <c r="BC53" s="310"/>
      <c r="BD53" s="311"/>
      <c r="BE53" s="311"/>
      <c r="BF53" s="309"/>
      <c r="BG53" s="310"/>
      <c r="BH53" s="311"/>
      <c r="BI53" s="311"/>
      <c r="BJ53" s="309"/>
      <c r="BK53" s="310"/>
      <c r="BL53" s="311"/>
      <c r="BM53" s="311"/>
      <c r="BN53" s="309"/>
      <c r="BO53" s="310"/>
      <c r="BP53" s="311"/>
      <c r="BQ53" s="311"/>
      <c r="BR53" s="309"/>
      <c r="BS53" s="310"/>
      <c r="BT53" s="311"/>
      <c r="BU53" s="311"/>
      <c r="BV53" s="309"/>
      <c r="BW53" s="310"/>
      <c r="BX53" s="311"/>
      <c r="BY53" s="311"/>
      <c r="BZ53" s="309"/>
      <c r="CA53" s="310"/>
      <c r="CB53" s="311"/>
      <c r="CC53" s="311"/>
      <c r="CD53" s="309"/>
      <c r="CE53" s="310"/>
      <c r="CF53" s="311"/>
      <c r="CG53" s="311"/>
      <c r="CH53" s="309"/>
      <c r="CI53" s="310"/>
      <c r="CJ53" s="311"/>
      <c r="CK53" s="311"/>
      <c r="CL53" s="309"/>
      <c r="CM53" s="310"/>
      <c r="CN53" s="311"/>
      <c r="CO53" s="311"/>
      <c r="CP53" s="309"/>
      <c r="CQ53" s="310"/>
      <c r="CR53" s="311"/>
      <c r="CS53" s="311"/>
      <c r="CT53" s="309"/>
      <c r="CU53" s="310"/>
      <c r="CV53" s="311"/>
      <c r="CW53" s="311"/>
      <c r="CX53" s="309"/>
      <c r="CY53" s="310"/>
      <c r="CZ53" s="311"/>
      <c r="DA53" s="311"/>
      <c r="DB53" s="309"/>
      <c r="DC53" s="310"/>
      <c r="DD53" s="311"/>
      <c r="DE53" s="311"/>
      <c r="DF53" s="309"/>
      <c r="DG53" s="310"/>
      <c r="DH53" s="311"/>
      <c r="DI53" s="311"/>
      <c r="DJ53" s="309"/>
      <c r="DK53" s="310"/>
      <c r="DL53" s="311"/>
      <c r="DM53" s="311"/>
      <c r="DN53" s="309"/>
      <c r="DO53" s="310"/>
      <c r="DP53" s="311"/>
      <c r="DQ53" s="311"/>
      <c r="DR53" s="309"/>
      <c r="DS53" s="310"/>
      <c r="DT53" s="311"/>
      <c r="DU53" s="311"/>
      <c r="DV53" s="309"/>
      <c r="DW53" s="310"/>
      <c r="DX53" s="311"/>
      <c r="DY53" s="311"/>
      <c r="DZ53" s="309"/>
      <c r="EA53" s="310"/>
      <c r="EB53" s="311"/>
      <c r="EC53" s="311"/>
      <c r="ED53" s="309"/>
      <c r="EE53" s="310"/>
      <c r="EF53" s="311"/>
      <c r="EG53" s="311"/>
      <c r="EH53" s="309"/>
      <c r="EI53" s="310"/>
      <c r="EJ53" s="311"/>
      <c r="EK53" s="311"/>
      <c r="EL53" s="309"/>
      <c r="EM53" s="310"/>
      <c r="EN53" s="311"/>
      <c r="EO53" s="311"/>
      <c r="EP53" s="309"/>
      <c r="EQ53" s="310"/>
      <c r="ER53" s="311"/>
      <c r="ES53" s="311"/>
      <c r="ET53" s="309"/>
      <c r="EU53" s="310"/>
      <c r="EV53" s="311"/>
      <c r="EW53" s="311"/>
      <c r="EX53" s="309"/>
      <c r="EY53" s="310"/>
      <c r="EZ53" s="311"/>
      <c r="FA53" s="311"/>
      <c r="FB53" s="309"/>
      <c r="FC53" s="310"/>
      <c r="FD53" s="311"/>
      <c r="FE53" s="311"/>
      <c r="FF53" s="309"/>
      <c r="FG53" s="310"/>
      <c r="FH53" s="311"/>
      <c r="FI53" s="311"/>
      <c r="FJ53" s="309"/>
      <c r="FK53" s="310"/>
      <c r="FL53" s="311"/>
      <c r="FM53" s="311"/>
      <c r="FN53" s="309"/>
      <c r="FO53" s="310"/>
      <c r="FP53" s="311"/>
      <c r="FQ53" s="311"/>
      <c r="FR53" s="309"/>
      <c r="FS53" s="310"/>
      <c r="FT53" s="311"/>
      <c r="FU53" s="311"/>
      <c r="FV53" s="309"/>
      <c r="FW53" s="310"/>
      <c r="FX53" s="311"/>
      <c r="FY53" s="311"/>
      <c r="FZ53" s="309"/>
      <c r="GA53" s="310"/>
      <c r="GB53" s="311"/>
      <c r="GC53" s="311"/>
      <c r="GD53" s="309"/>
      <c r="GE53" s="310"/>
      <c r="GF53" s="311"/>
      <c r="GG53" s="311"/>
      <c r="GH53" s="309"/>
      <c r="GI53" s="310"/>
      <c r="GJ53" s="311"/>
      <c r="GK53" s="311"/>
      <c r="GL53" s="309"/>
      <c r="GM53" s="310"/>
      <c r="GN53" s="311"/>
      <c r="GO53" s="311"/>
      <c r="GP53" s="309"/>
      <c r="GQ53" s="310"/>
      <c r="GR53" s="311"/>
      <c r="GS53" s="311"/>
      <c r="GT53" s="309"/>
      <c r="GU53" s="310"/>
      <c r="GV53" s="311"/>
      <c r="GW53" s="311"/>
      <c r="GX53" s="309"/>
      <c r="GY53" s="310"/>
      <c r="GZ53" s="311"/>
      <c r="HA53" s="311"/>
      <c r="HB53" s="309"/>
      <c r="HC53" s="312">
        <f t="shared" si="79"/>
        <v>0</v>
      </c>
      <c r="HD53" s="313">
        <f t="shared" si="79"/>
        <v>0</v>
      </c>
      <c r="HE53" s="313">
        <f t="shared" si="79"/>
        <v>0</v>
      </c>
      <c r="HF53" s="314"/>
      <c r="HG53" s="312">
        <f>SUM(SUMIFS(K53:HB53,$K$13:$HB$13,{"エネルギー管理指定工場等*","県域*"}))</f>
        <v>0</v>
      </c>
      <c r="HH53" s="313">
        <f>SUM(SUMIFS(L53:HC53,$K$13:$HB$13,{"エネルギー管理指定工場等*","県域*"}))</f>
        <v>0</v>
      </c>
      <c r="HI53" s="313">
        <f>SUM(SUMIFS(M53:HD53,$K$13:$HB$13,{"エネルギー管理指定工場等*","県域*"}))</f>
        <v>0</v>
      </c>
      <c r="HJ53" s="314"/>
      <c r="HL53" s="219">
        <v>44</v>
      </c>
      <c r="HM53" s="714" t="str">
        <f t="shared" ca="1" si="67"/>
        <v/>
      </c>
      <c r="HN53" s="715" t="str">
        <f ca="1">IF(COUNTIF(HN$10:HN52,OFFSET(A1_原単位2026,5,HL53+2))&gt;=1,"",OFFSET(A1_原単位2026,5,HL53+2)&amp;"")</f>
        <v/>
      </c>
      <c r="HO53" s="716" t="str">
        <f t="shared" ca="1" si="50"/>
        <v/>
      </c>
      <c r="HP53" s="717" t="str">
        <f t="shared" ca="1" si="68"/>
        <v/>
      </c>
      <c r="HQ53" s="714" t="str">
        <f t="shared" ca="1" si="69"/>
        <v/>
      </c>
      <c r="HR53" s="715" t="str">
        <f ca="1">IF(COUNTIF(HR$10:HR52,OFFSET(A1_原単位2026,17,HL53+2))&gt;=1,"",OFFSET(A1_原単位2026,17,HL53+2)&amp;"")</f>
        <v/>
      </c>
      <c r="HS53" s="718" t="str">
        <f t="shared" ca="1" si="53"/>
        <v/>
      </c>
      <c r="HT53" s="719" t="str">
        <f t="shared" ca="1" si="70"/>
        <v/>
      </c>
      <c r="HU53" s="714" t="str">
        <f t="shared" ca="1" si="71"/>
        <v/>
      </c>
      <c r="HV53" s="715" t="str">
        <f ca="1">IF(COUNTIF(HV$10:HV52,OFFSET(A1_原単位2026,29,HL53+2))&gt;=1,"",OFFSET(A1_原単位2026,29,HL53+2)&amp;"")</f>
        <v/>
      </c>
      <c r="HW53" s="718" t="str">
        <f t="shared" ca="1" si="56"/>
        <v/>
      </c>
      <c r="HX53" s="719" t="str">
        <f t="shared" ca="1" si="72"/>
        <v/>
      </c>
      <c r="HY53" s="714" t="str">
        <f t="shared" ca="1" si="73"/>
        <v/>
      </c>
      <c r="HZ53" s="715" t="str">
        <f ca="1">IF(COUNTIF(HZ$10:HZ52,OFFSET(A1_原単位2026,41,HL53+2))&gt;=1,"",OFFSET(A1_原単位2026,41,HL53+2)&amp;"")</f>
        <v/>
      </c>
      <c r="IA53" s="720" t="str">
        <f t="shared" ca="1" si="59"/>
        <v/>
      </c>
      <c r="IB53" s="721" t="str">
        <f t="shared" ca="1" si="74"/>
        <v/>
      </c>
      <c r="IE53" s="159" t="str">
        <f t="shared" ca="1" si="75"/>
        <v/>
      </c>
      <c r="IF53" s="159" t="str">
        <f t="shared" ca="1" si="76"/>
        <v/>
      </c>
      <c r="IG53" s="159" t="str">
        <f t="shared" ca="1" si="77"/>
        <v/>
      </c>
      <c r="IH53" s="159" t="str">
        <f t="shared" ca="1" si="78"/>
        <v/>
      </c>
    </row>
    <row r="54" spans="2:242" s="164" customFormat="1" ht="20.100000000000001" customHeight="1">
      <c r="B54" s="302"/>
      <c r="C54" s="303" t="s">
        <v>386</v>
      </c>
      <c r="D54" s="304"/>
      <c r="E54" s="305"/>
      <c r="F54" s="303" t="s">
        <v>455</v>
      </c>
      <c r="G54" s="306">
        <v>26.9</v>
      </c>
      <c r="H54" s="307">
        <v>1.66E-2</v>
      </c>
      <c r="I54" s="308"/>
      <c r="J54" s="309"/>
      <c r="K54" s="310"/>
      <c r="L54" s="311"/>
      <c r="M54" s="311"/>
      <c r="N54" s="309"/>
      <c r="O54" s="310"/>
      <c r="P54" s="311"/>
      <c r="Q54" s="311"/>
      <c r="R54" s="309"/>
      <c r="S54" s="310"/>
      <c r="T54" s="311"/>
      <c r="U54" s="311"/>
      <c r="V54" s="309"/>
      <c r="W54" s="310"/>
      <c r="X54" s="311"/>
      <c r="Y54" s="311"/>
      <c r="Z54" s="309"/>
      <c r="AA54" s="310"/>
      <c r="AB54" s="311"/>
      <c r="AC54" s="311"/>
      <c r="AD54" s="309"/>
      <c r="AE54" s="310"/>
      <c r="AF54" s="311"/>
      <c r="AG54" s="311"/>
      <c r="AH54" s="309"/>
      <c r="AI54" s="310"/>
      <c r="AJ54" s="311"/>
      <c r="AK54" s="311"/>
      <c r="AL54" s="309"/>
      <c r="AM54" s="310"/>
      <c r="AN54" s="311"/>
      <c r="AO54" s="311"/>
      <c r="AP54" s="309"/>
      <c r="AQ54" s="310"/>
      <c r="AR54" s="311"/>
      <c r="AS54" s="311"/>
      <c r="AT54" s="309"/>
      <c r="AU54" s="310"/>
      <c r="AV54" s="311"/>
      <c r="AW54" s="311"/>
      <c r="AX54" s="309"/>
      <c r="AY54" s="310"/>
      <c r="AZ54" s="311"/>
      <c r="BA54" s="311"/>
      <c r="BB54" s="309"/>
      <c r="BC54" s="310"/>
      <c r="BD54" s="311"/>
      <c r="BE54" s="311"/>
      <c r="BF54" s="309"/>
      <c r="BG54" s="310"/>
      <c r="BH54" s="311"/>
      <c r="BI54" s="311"/>
      <c r="BJ54" s="309"/>
      <c r="BK54" s="310"/>
      <c r="BL54" s="311"/>
      <c r="BM54" s="311"/>
      <c r="BN54" s="309"/>
      <c r="BO54" s="310"/>
      <c r="BP54" s="311"/>
      <c r="BQ54" s="311"/>
      <c r="BR54" s="309"/>
      <c r="BS54" s="310"/>
      <c r="BT54" s="311"/>
      <c r="BU54" s="311"/>
      <c r="BV54" s="309"/>
      <c r="BW54" s="310"/>
      <c r="BX54" s="311"/>
      <c r="BY54" s="311"/>
      <c r="BZ54" s="309"/>
      <c r="CA54" s="310"/>
      <c r="CB54" s="311"/>
      <c r="CC54" s="311"/>
      <c r="CD54" s="309"/>
      <c r="CE54" s="310"/>
      <c r="CF54" s="311"/>
      <c r="CG54" s="311"/>
      <c r="CH54" s="309"/>
      <c r="CI54" s="310"/>
      <c r="CJ54" s="311"/>
      <c r="CK54" s="311"/>
      <c r="CL54" s="309"/>
      <c r="CM54" s="310"/>
      <c r="CN54" s="311"/>
      <c r="CO54" s="311"/>
      <c r="CP54" s="309"/>
      <c r="CQ54" s="310"/>
      <c r="CR54" s="311"/>
      <c r="CS54" s="311"/>
      <c r="CT54" s="309"/>
      <c r="CU54" s="310"/>
      <c r="CV54" s="311"/>
      <c r="CW54" s="311"/>
      <c r="CX54" s="309"/>
      <c r="CY54" s="310"/>
      <c r="CZ54" s="311"/>
      <c r="DA54" s="311"/>
      <c r="DB54" s="309"/>
      <c r="DC54" s="310"/>
      <c r="DD54" s="311"/>
      <c r="DE54" s="311"/>
      <c r="DF54" s="309"/>
      <c r="DG54" s="310"/>
      <c r="DH54" s="311"/>
      <c r="DI54" s="311"/>
      <c r="DJ54" s="309"/>
      <c r="DK54" s="310"/>
      <c r="DL54" s="311"/>
      <c r="DM54" s="311"/>
      <c r="DN54" s="309"/>
      <c r="DO54" s="310"/>
      <c r="DP54" s="311"/>
      <c r="DQ54" s="311"/>
      <c r="DR54" s="309"/>
      <c r="DS54" s="310"/>
      <c r="DT54" s="311"/>
      <c r="DU54" s="311"/>
      <c r="DV54" s="309"/>
      <c r="DW54" s="310"/>
      <c r="DX54" s="311"/>
      <c r="DY54" s="311"/>
      <c r="DZ54" s="309"/>
      <c r="EA54" s="310"/>
      <c r="EB54" s="311"/>
      <c r="EC54" s="311"/>
      <c r="ED54" s="309"/>
      <c r="EE54" s="310"/>
      <c r="EF54" s="311"/>
      <c r="EG54" s="311"/>
      <c r="EH54" s="309"/>
      <c r="EI54" s="310"/>
      <c r="EJ54" s="311"/>
      <c r="EK54" s="311"/>
      <c r="EL54" s="309"/>
      <c r="EM54" s="310"/>
      <c r="EN54" s="311"/>
      <c r="EO54" s="311"/>
      <c r="EP54" s="309"/>
      <c r="EQ54" s="310"/>
      <c r="ER54" s="311"/>
      <c r="ES54" s="311"/>
      <c r="ET54" s="309"/>
      <c r="EU54" s="310"/>
      <c r="EV54" s="311"/>
      <c r="EW54" s="311"/>
      <c r="EX54" s="309"/>
      <c r="EY54" s="310"/>
      <c r="EZ54" s="311"/>
      <c r="FA54" s="311"/>
      <c r="FB54" s="309"/>
      <c r="FC54" s="310"/>
      <c r="FD54" s="311"/>
      <c r="FE54" s="311"/>
      <c r="FF54" s="309"/>
      <c r="FG54" s="310"/>
      <c r="FH54" s="311"/>
      <c r="FI54" s="311"/>
      <c r="FJ54" s="309"/>
      <c r="FK54" s="310"/>
      <c r="FL54" s="311"/>
      <c r="FM54" s="311"/>
      <c r="FN54" s="309"/>
      <c r="FO54" s="310"/>
      <c r="FP54" s="311"/>
      <c r="FQ54" s="311"/>
      <c r="FR54" s="309"/>
      <c r="FS54" s="310"/>
      <c r="FT54" s="311"/>
      <c r="FU54" s="311"/>
      <c r="FV54" s="309"/>
      <c r="FW54" s="310"/>
      <c r="FX54" s="311"/>
      <c r="FY54" s="311"/>
      <c r="FZ54" s="309"/>
      <c r="GA54" s="310"/>
      <c r="GB54" s="311"/>
      <c r="GC54" s="311"/>
      <c r="GD54" s="309"/>
      <c r="GE54" s="310"/>
      <c r="GF54" s="311"/>
      <c r="GG54" s="311"/>
      <c r="GH54" s="309"/>
      <c r="GI54" s="310"/>
      <c r="GJ54" s="311"/>
      <c r="GK54" s="311"/>
      <c r="GL54" s="309"/>
      <c r="GM54" s="310"/>
      <c r="GN54" s="311"/>
      <c r="GO54" s="311"/>
      <c r="GP54" s="309"/>
      <c r="GQ54" s="310"/>
      <c r="GR54" s="311"/>
      <c r="GS54" s="311"/>
      <c r="GT54" s="309"/>
      <c r="GU54" s="310"/>
      <c r="GV54" s="311"/>
      <c r="GW54" s="311"/>
      <c r="GX54" s="309"/>
      <c r="GY54" s="310"/>
      <c r="GZ54" s="311"/>
      <c r="HA54" s="311"/>
      <c r="HB54" s="309"/>
      <c r="HC54" s="312">
        <f t="shared" si="79"/>
        <v>0</v>
      </c>
      <c r="HD54" s="313">
        <f t="shared" si="79"/>
        <v>0</v>
      </c>
      <c r="HE54" s="313">
        <f t="shared" si="79"/>
        <v>0</v>
      </c>
      <c r="HF54" s="314"/>
      <c r="HG54" s="312">
        <f>SUM(SUMIFS(K54:HB54,$K$13:$HB$13,{"エネルギー管理指定工場等*","県域*"}))</f>
        <v>0</v>
      </c>
      <c r="HH54" s="313">
        <f>SUM(SUMIFS(L54:HC54,$K$13:$HB$13,{"エネルギー管理指定工場等*","県域*"}))</f>
        <v>0</v>
      </c>
      <c r="HI54" s="313">
        <f>SUM(SUMIFS(M54:HD54,$K$13:$HB$13,{"エネルギー管理指定工場等*","県域*"}))</f>
        <v>0</v>
      </c>
      <c r="HJ54" s="314"/>
      <c r="HL54" s="219">
        <v>45</v>
      </c>
      <c r="HM54" s="714" t="str">
        <f t="shared" ca="1" si="67"/>
        <v/>
      </c>
      <c r="HN54" s="715" t="str">
        <f ca="1">IF(COUNTIF(HN$10:HN53,OFFSET(A1_原単位2026,5,HL54+2))&gt;=1,"",OFFSET(A1_原単位2026,5,HL54+2)&amp;"")</f>
        <v/>
      </c>
      <c r="HO54" s="716" t="str">
        <f t="shared" ca="1" si="50"/>
        <v/>
      </c>
      <c r="HP54" s="717" t="str">
        <f t="shared" ca="1" si="68"/>
        <v/>
      </c>
      <c r="HQ54" s="714" t="str">
        <f t="shared" ca="1" si="69"/>
        <v/>
      </c>
      <c r="HR54" s="715" t="str">
        <f ca="1">IF(COUNTIF(HR$10:HR53,OFFSET(A1_原単位2026,17,HL54+2))&gt;=1,"",OFFSET(A1_原単位2026,17,HL54+2)&amp;"")</f>
        <v/>
      </c>
      <c r="HS54" s="718" t="str">
        <f t="shared" ca="1" si="53"/>
        <v/>
      </c>
      <c r="HT54" s="719" t="str">
        <f t="shared" ca="1" si="70"/>
        <v/>
      </c>
      <c r="HU54" s="714" t="str">
        <f t="shared" ca="1" si="71"/>
        <v/>
      </c>
      <c r="HV54" s="715" t="str">
        <f ca="1">IF(COUNTIF(HV$10:HV53,OFFSET(A1_原単位2026,29,HL54+2))&gt;=1,"",OFFSET(A1_原単位2026,29,HL54+2)&amp;"")</f>
        <v/>
      </c>
      <c r="HW54" s="718" t="str">
        <f t="shared" ca="1" si="56"/>
        <v/>
      </c>
      <c r="HX54" s="719" t="str">
        <f t="shared" ca="1" si="72"/>
        <v/>
      </c>
      <c r="HY54" s="714" t="str">
        <f t="shared" ca="1" si="73"/>
        <v/>
      </c>
      <c r="HZ54" s="715" t="str">
        <f ca="1">IF(COUNTIF(HZ$10:HZ53,OFFSET(A1_原単位2026,41,HL54+2))&gt;=1,"",OFFSET(A1_原単位2026,41,HL54+2)&amp;"")</f>
        <v/>
      </c>
      <c r="IA54" s="720" t="str">
        <f t="shared" ca="1" si="59"/>
        <v/>
      </c>
      <c r="IB54" s="721" t="str">
        <f t="shared" ca="1" si="74"/>
        <v/>
      </c>
      <c r="IE54" s="159" t="str">
        <f t="shared" ca="1" si="75"/>
        <v/>
      </c>
      <c r="IF54" s="159" t="str">
        <f t="shared" ca="1" si="76"/>
        <v/>
      </c>
      <c r="IG54" s="159" t="str">
        <f t="shared" ca="1" si="77"/>
        <v/>
      </c>
      <c r="IH54" s="159" t="str">
        <f t="shared" ca="1" si="78"/>
        <v/>
      </c>
    </row>
    <row r="55" spans="2:242" s="164" customFormat="1" ht="20.100000000000001" customHeight="1">
      <c r="B55" s="302"/>
      <c r="C55" s="303" t="s">
        <v>592</v>
      </c>
      <c r="D55" s="304"/>
      <c r="E55" s="305"/>
      <c r="F55" s="303" t="s">
        <v>455</v>
      </c>
      <c r="G55" s="306">
        <v>33.200000000000003</v>
      </c>
      <c r="H55" s="307">
        <v>1.35E-2</v>
      </c>
      <c r="I55" s="308"/>
      <c r="J55" s="309"/>
      <c r="K55" s="310"/>
      <c r="L55" s="311"/>
      <c r="M55" s="311"/>
      <c r="N55" s="309"/>
      <c r="O55" s="310"/>
      <c r="P55" s="311"/>
      <c r="Q55" s="311"/>
      <c r="R55" s="309"/>
      <c r="S55" s="310"/>
      <c r="T55" s="311"/>
      <c r="U55" s="311"/>
      <c r="V55" s="309"/>
      <c r="W55" s="310"/>
      <c r="X55" s="311"/>
      <c r="Y55" s="311"/>
      <c r="Z55" s="309"/>
      <c r="AA55" s="310"/>
      <c r="AB55" s="311"/>
      <c r="AC55" s="311"/>
      <c r="AD55" s="309"/>
      <c r="AE55" s="310"/>
      <c r="AF55" s="311"/>
      <c r="AG55" s="311"/>
      <c r="AH55" s="309"/>
      <c r="AI55" s="310"/>
      <c r="AJ55" s="311"/>
      <c r="AK55" s="311"/>
      <c r="AL55" s="309"/>
      <c r="AM55" s="310"/>
      <c r="AN55" s="311"/>
      <c r="AO55" s="311"/>
      <c r="AP55" s="309"/>
      <c r="AQ55" s="310"/>
      <c r="AR55" s="311"/>
      <c r="AS55" s="311"/>
      <c r="AT55" s="309"/>
      <c r="AU55" s="310"/>
      <c r="AV55" s="311"/>
      <c r="AW55" s="311"/>
      <c r="AX55" s="309"/>
      <c r="AY55" s="310"/>
      <c r="AZ55" s="311"/>
      <c r="BA55" s="311"/>
      <c r="BB55" s="309"/>
      <c r="BC55" s="310"/>
      <c r="BD55" s="311"/>
      <c r="BE55" s="311"/>
      <c r="BF55" s="309"/>
      <c r="BG55" s="310"/>
      <c r="BH55" s="311"/>
      <c r="BI55" s="311"/>
      <c r="BJ55" s="309"/>
      <c r="BK55" s="310"/>
      <c r="BL55" s="311"/>
      <c r="BM55" s="311"/>
      <c r="BN55" s="309"/>
      <c r="BO55" s="310"/>
      <c r="BP55" s="311"/>
      <c r="BQ55" s="311"/>
      <c r="BR55" s="309"/>
      <c r="BS55" s="310"/>
      <c r="BT55" s="311"/>
      <c r="BU55" s="311"/>
      <c r="BV55" s="309"/>
      <c r="BW55" s="310"/>
      <c r="BX55" s="311"/>
      <c r="BY55" s="311"/>
      <c r="BZ55" s="309"/>
      <c r="CA55" s="310"/>
      <c r="CB55" s="311"/>
      <c r="CC55" s="311"/>
      <c r="CD55" s="309"/>
      <c r="CE55" s="310"/>
      <c r="CF55" s="311"/>
      <c r="CG55" s="311"/>
      <c r="CH55" s="309"/>
      <c r="CI55" s="310"/>
      <c r="CJ55" s="311"/>
      <c r="CK55" s="311"/>
      <c r="CL55" s="309"/>
      <c r="CM55" s="310"/>
      <c r="CN55" s="311"/>
      <c r="CO55" s="311"/>
      <c r="CP55" s="309"/>
      <c r="CQ55" s="310"/>
      <c r="CR55" s="311"/>
      <c r="CS55" s="311"/>
      <c r="CT55" s="309"/>
      <c r="CU55" s="310"/>
      <c r="CV55" s="311"/>
      <c r="CW55" s="311"/>
      <c r="CX55" s="309"/>
      <c r="CY55" s="310"/>
      <c r="CZ55" s="311"/>
      <c r="DA55" s="311"/>
      <c r="DB55" s="309"/>
      <c r="DC55" s="310"/>
      <c r="DD55" s="311"/>
      <c r="DE55" s="311"/>
      <c r="DF55" s="309"/>
      <c r="DG55" s="310"/>
      <c r="DH55" s="311"/>
      <c r="DI55" s="311"/>
      <c r="DJ55" s="309"/>
      <c r="DK55" s="310"/>
      <c r="DL55" s="311"/>
      <c r="DM55" s="311"/>
      <c r="DN55" s="309"/>
      <c r="DO55" s="310"/>
      <c r="DP55" s="311"/>
      <c r="DQ55" s="311"/>
      <c r="DR55" s="309"/>
      <c r="DS55" s="310"/>
      <c r="DT55" s="311"/>
      <c r="DU55" s="311"/>
      <c r="DV55" s="309"/>
      <c r="DW55" s="310"/>
      <c r="DX55" s="311"/>
      <c r="DY55" s="311"/>
      <c r="DZ55" s="309"/>
      <c r="EA55" s="310"/>
      <c r="EB55" s="311"/>
      <c r="EC55" s="311"/>
      <c r="ED55" s="309"/>
      <c r="EE55" s="310"/>
      <c r="EF55" s="311"/>
      <c r="EG55" s="311"/>
      <c r="EH55" s="309"/>
      <c r="EI55" s="310"/>
      <c r="EJ55" s="311"/>
      <c r="EK55" s="311"/>
      <c r="EL55" s="309"/>
      <c r="EM55" s="310"/>
      <c r="EN55" s="311"/>
      <c r="EO55" s="311"/>
      <c r="EP55" s="309"/>
      <c r="EQ55" s="310"/>
      <c r="ER55" s="311"/>
      <c r="ES55" s="311"/>
      <c r="ET55" s="309"/>
      <c r="EU55" s="310"/>
      <c r="EV55" s="311"/>
      <c r="EW55" s="311"/>
      <c r="EX55" s="309"/>
      <c r="EY55" s="310"/>
      <c r="EZ55" s="311"/>
      <c r="FA55" s="311"/>
      <c r="FB55" s="309"/>
      <c r="FC55" s="310"/>
      <c r="FD55" s="311"/>
      <c r="FE55" s="311"/>
      <c r="FF55" s="309"/>
      <c r="FG55" s="310"/>
      <c r="FH55" s="311"/>
      <c r="FI55" s="311"/>
      <c r="FJ55" s="309"/>
      <c r="FK55" s="310"/>
      <c r="FL55" s="311"/>
      <c r="FM55" s="311"/>
      <c r="FN55" s="309"/>
      <c r="FO55" s="310"/>
      <c r="FP55" s="311"/>
      <c r="FQ55" s="311"/>
      <c r="FR55" s="309"/>
      <c r="FS55" s="310"/>
      <c r="FT55" s="311"/>
      <c r="FU55" s="311"/>
      <c r="FV55" s="309"/>
      <c r="FW55" s="310"/>
      <c r="FX55" s="311"/>
      <c r="FY55" s="311"/>
      <c r="FZ55" s="309"/>
      <c r="GA55" s="310"/>
      <c r="GB55" s="311"/>
      <c r="GC55" s="311"/>
      <c r="GD55" s="309"/>
      <c r="GE55" s="310"/>
      <c r="GF55" s="311"/>
      <c r="GG55" s="311"/>
      <c r="GH55" s="309"/>
      <c r="GI55" s="310"/>
      <c r="GJ55" s="311"/>
      <c r="GK55" s="311"/>
      <c r="GL55" s="309"/>
      <c r="GM55" s="310"/>
      <c r="GN55" s="311"/>
      <c r="GO55" s="311"/>
      <c r="GP55" s="309"/>
      <c r="GQ55" s="310"/>
      <c r="GR55" s="311"/>
      <c r="GS55" s="311"/>
      <c r="GT55" s="309"/>
      <c r="GU55" s="310"/>
      <c r="GV55" s="311"/>
      <c r="GW55" s="311"/>
      <c r="GX55" s="309"/>
      <c r="GY55" s="310"/>
      <c r="GZ55" s="311"/>
      <c r="HA55" s="311"/>
      <c r="HB55" s="309"/>
      <c r="HC55" s="312">
        <f t="shared" si="79"/>
        <v>0</v>
      </c>
      <c r="HD55" s="313">
        <f t="shared" si="79"/>
        <v>0</v>
      </c>
      <c r="HE55" s="313">
        <f t="shared" si="79"/>
        <v>0</v>
      </c>
      <c r="HF55" s="314"/>
      <c r="HG55" s="312">
        <f>SUM(SUMIFS(K55:HB55,$K$13:$HB$13,{"エネルギー管理指定工場等*","県域*"}))</f>
        <v>0</v>
      </c>
      <c r="HH55" s="313">
        <f>SUM(SUMIFS(L55:HC55,$K$13:$HB$13,{"エネルギー管理指定工場等*","県域*"}))</f>
        <v>0</v>
      </c>
      <c r="HI55" s="313">
        <f>SUM(SUMIFS(M55:HD55,$K$13:$HB$13,{"エネルギー管理指定工場等*","県域*"}))</f>
        <v>0</v>
      </c>
      <c r="HJ55" s="314"/>
      <c r="HL55" s="230">
        <v>46</v>
      </c>
      <c r="HM55" s="714" t="str">
        <f t="shared" ca="1" si="67"/>
        <v/>
      </c>
      <c r="HN55" s="715" t="str">
        <f ca="1">IF(COUNTIF(HN$10:HN54,OFFSET(A1_原単位2026,5,HL55+2))&gt;=1,"",OFFSET(A1_原単位2026,5,HL55+2)&amp;"")</f>
        <v/>
      </c>
      <c r="HO55" s="716" t="str">
        <f t="shared" ca="1" si="50"/>
        <v/>
      </c>
      <c r="HP55" s="717" t="str">
        <f t="shared" ca="1" si="68"/>
        <v/>
      </c>
      <c r="HQ55" s="714" t="str">
        <f t="shared" ca="1" si="69"/>
        <v/>
      </c>
      <c r="HR55" s="715" t="str">
        <f ca="1">IF(COUNTIF(HR$10:HR54,OFFSET(A1_原単位2026,17,HL55+2))&gt;=1,"",OFFSET(A1_原単位2026,17,HL55+2)&amp;"")</f>
        <v/>
      </c>
      <c r="HS55" s="718" t="str">
        <f t="shared" ca="1" si="53"/>
        <v/>
      </c>
      <c r="HT55" s="719" t="str">
        <f t="shared" ca="1" si="70"/>
        <v/>
      </c>
      <c r="HU55" s="714" t="str">
        <f t="shared" ca="1" si="71"/>
        <v/>
      </c>
      <c r="HV55" s="715" t="str">
        <f ca="1">IF(COUNTIF(HV$10:HV54,OFFSET(A1_原単位2026,29,HL55+2))&gt;=1,"",OFFSET(A1_原単位2026,29,HL55+2)&amp;"")</f>
        <v/>
      </c>
      <c r="HW55" s="718" t="str">
        <f t="shared" ca="1" si="56"/>
        <v/>
      </c>
      <c r="HX55" s="719" t="str">
        <f t="shared" ca="1" si="72"/>
        <v/>
      </c>
      <c r="HY55" s="714" t="str">
        <f t="shared" ca="1" si="73"/>
        <v/>
      </c>
      <c r="HZ55" s="715" t="str">
        <f ca="1">IF(COUNTIF(HZ$10:HZ54,OFFSET(A1_原単位2026,41,HL55+2))&gt;=1,"",OFFSET(A1_原単位2026,41,HL55+2)&amp;"")</f>
        <v/>
      </c>
      <c r="IA55" s="720" t="str">
        <f t="shared" ca="1" si="59"/>
        <v/>
      </c>
      <c r="IB55" s="721" t="str">
        <f t="shared" ca="1" si="74"/>
        <v/>
      </c>
      <c r="IE55" s="159" t="str">
        <f t="shared" ca="1" si="75"/>
        <v/>
      </c>
      <c r="IF55" s="159" t="str">
        <f t="shared" ca="1" si="76"/>
        <v/>
      </c>
      <c r="IG55" s="159" t="str">
        <f t="shared" ca="1" si="77"/>
        <v/>
      </c>
      <c r="IH55" s="159" t="str">
        <f t="shared" ca="1" si="78"/>
        <v/>
      </c>
    </row>
    <row r="56" spans="2:242" s="164" customFormat="1" ht="20.100000000000001" customHeight="1">
      <c r="B56" s="302"/>
      <c r="C56" s="303" t="s">
        <v>593</v>
      </c>
      <c r="D56" s="304"/>
      <c r="E56" s="305"/>
      <c r="F56" s="303" t="s">
        <v>455</v>
      </c>
      <c r="G56" s="306">
        <v>29.3</v>
      </c>
      <c r="H56" s="307">
        <v>2.5700000000000001E-2</v>
      </c>
      <c r="I56" s="308"/>
      <c r="J56" s="309"/>
      <c r="K56" s="310"/>
      <c r="L56" s="311"/>
      <c r="M56" s="311"/>
      <c r="N56" s="309"/>
      <c r="O56" s="310"/>
      <c r="P56" s="311"/>
      <c r="Q56" s="311"/>
      <c r="R56" s="309"/>
      <c r="S56" s="310"/>
      <c r="T56" s="311"/>
      <c r="U56" s="311"/>
      <c r="V56" s="309"/>
      <c r="W56" s="310"/>
      <c r="X56" s="311"/>
      <c r="Y56" s="311"/>
      <c r="Z56" s="309"/>
      <c r="AA56" s="310"/>
      <c r="AB56" s="311"/>
      <c r="AC56" s="311"/>
      <c r="AD56" s="309"/>
      <c r="AE56" s="310"/>
      <c r="AF56" s="311"/>
      <c r="AG56" s="311"/>
      <c r="AH56" s="309"/>
      <c r="AI56" s="310"/>
      <c r="AJ56" s="311"/>
      <c r="AK56" s="311"/>
      <c r="AL56" s="309"/>
      <c r="AM56" s="310"/>
      <c r="AN56" s="311"/>
      <c r="AO56" s="311"/>
      <c r="AP56" s="309"/>
      <c r="AQ56" s="310"/>
      <c r="AR56" s="311"/>
      <c r="AS56" s="311"/>
      <c r="AT56" s="309"/>
      <c r="AU56" s="310"/>
      <c r="AV56" s="311"/>
      <c r="AW56" s="311"/>
      <c r="AX56" s="309"/>
      <c r="AY56" s="310"/>
      <c r="AZ56" s="311"/>
      <c r="BA56" s="311"/>
      <c r="BB56" s="309"/>
      <c r="BC56" s="310"/>
      <c r="BD56" s="311"/>
      <c r="BE56" s="311"/>
      <c r="BF56" s="309"/>
      <c r="BG56" s="310"/>
      <c r="BH56" s="311"/>
      <c r="BI56" s="311"/>
      <c r="BJ56" s="309"/>
      <c r="BK56" s="310"/>
      <c r="BL56" s="311"/>
      <c r="BM56" s="311"/>
      <c r="BN56" s="309"/>
      <c r="BO56" s="310"/>
      <c r="BP56" s="311"/>
      <c r="BQ56" s="311"/>
      <c r="BR56" s="309"/>
      <c r="BS56" s="310"/>
      <c r="BT56" s="311"/>
      <c r="BU56" s="311"/>
      <c r="BV56" s="309"/>
      <c r="BW56" s="310"/>
      <c r="BX56" s="311"/>
      <c r="BY56" s="311"/>
      <c r="BZ56" s="309"/>
      <c r="CA56" s="310"/>
      <c r="CB56" s="311"/>
      <c r="CC56" s="311"/>
      <c r="CD56" s="309"/>
      <c r="CE56" s="310"/>
      <c r="CF56" s="311"/>
      <c r="CG56" s="311"/>
      <c r="CH56" s="309"/>
      <c r="CI56" s="310"/>
      <c r="CJ56" s="311"/>
      <c r="CK56" s="311"/>
      <c r="CL56" s="309"/>
      <c r="CM56" s="310"/>
      <c r="CN56" s="311"/>
      <c r="CO56" s="311"/>
      <c r="CP56" s="309"/>
      <c r="CQ56" s="310"/>
      <c r="CR56" s="311"/>
      <c r="CS56" s="311"/>
      <c r="CT56" s="309"/>
      <c r="CU56" s="310"/>
      <c r="CV56" s="311"/>
      <c r="CW56" s="311"/>
      <c r="CX56" s="309"/>
      <c r="CY56" s="310"/>
      <c r="CZ56" s="311"/>
      <c r="DA56" s="311"/>
      <c r="DB56" s="309"/>
      <c r="DC56" s="310"/>
      <c r="DD56" s="311"/>
      <c r="DE56" s="311"/>
      <c r="DF56" s="309"/>
      <c r="DG56" s="310"/>
      <c r="DH56" s="311"/>
      <c r="DI56" s="311"/>
      <c r="DJ56" s="309"/>
      <c r="DK56" s="310"/>
      <c r="DL56" s="311"/>
      <c r="DM56" s="311"/>
      <c r="DN56" s="309"/>
      <c r="DO56" s="310"/>
      <c r="DP56" s="311"/>
      <c r="DQ56" s="311"/>
      <c r="DR56" s="309"/>
      <c r="DS56" s="310"/>
      <c r="DT56" s="311"/>
      <c r="DU56" s="311"/>
      <c r="DV56" s="309"/>
      <c r="DW56" s="310"/>
      <c r="DX56" s="311"/>
      <c r="DY56" s="311"/>
      <c r="DZ56" s="309"/>
      <c r="EA56" s="310"/>
      <c r="EB56" s="311"/>
      <c r="EC56" s="311"/>
      <c r="ED56" s="309"/>
      <c r="EE56" s="310"/>
      <c r="EF56" s="311"/>
      <c r="EG56" s="311"/>
      <c r="EH56" s="309"/>
      <c r="EI56" s="310"/>
      <c r="EJ56" s="311"/>
      <c r="EK56" s="311"/>
      <c r="EL56" s="309"/>
      <c r="EM56" s="310"/>
      <c r="EN56" s="311"/>
      <c r="EO56" s="311"/>
      <c r="EP56" s="309"/>
      <c r="EQ56" s="310"/>
      <c r="ER56" s="311"/>
      <c r="ES56" s="311"/>
      <c r="ET56" s="309"/>
      <c r="EU56" s="310"/>
      <c r="EV56" s="311"/>
      <c r="EW56" s="311"/>
      <c r="EX56" s="309"/>
      <c r="EY56" s="310"/>
      <c r="EZ56" s="311"/>
      <c r="FA56" s="311"/>
      <c r="FB56" s="309"/>
      <c r="FC56" s="310"/>
      <c r="FD56" s="311"/>
      <c r="FE56" s="311"/>
      <c r="FF56" s="309"/>
      <c r="FG56" s="310"/>
      <c r="FH56" s="311"/>
      <c r="FI56" s="311"/>
      <c r="FJ56" s="309"/>
      <c r="FK56" s="310"/>
      <c r="FL56" s="311"/>
      <c r="FM56" s="311"/>
      <c r="FN56" s="309"/>
      <c r="FO56" s="310"/>
      <c r="FP56" s="311"/>
      <c r="FQ56" s="311"/>
      <c r="FR56" s="309"/>
      <c r="FS56" s="310"/>
      <c r="FT56" s="311"/>
      <c r="FU56" s="311"/>
      <c r="FV56" s="309"/>
      <c r="FW56" s="310"/>
      <c r="FX56" s="311"/>
      <c r="FY56" s="311"/>
      <c r="FZ56" s="309"/>
      <c r="GA56" s="310"/>
      <c r="GB56" s="311"/>
      <c r="GC56" s="311"/>
      <c r="GD56" s="309"/>
      <c r="GE56" s="310"/>
      <c r="GF56" s="311"/>
      <c r="GG56" s="311"/>
      <c r="GH56" s="309"/>
      <c r="GI56" s="310"/>
      <c r="GJ56" s="311"/>
      <c r="GK56" s="311"/>
      <c r="GL56" s="309"/>
      <c r="GM56" s="310"/>
      <c r="GN56" s="311"/>
      <c r="GO56" s="311"/>
      <c r="GP56" s="309"/>
      <c r="GQ56" s="310"/>
      <c r="GR56" s="311"/>
      <c r="GS56" s="311"/>
      <c r="GT56" s="309"/>
      <c r="GU56" s="310"/>
      <c r="GV56" s="311"/>
      <c r="GW56" s="311"/>
      <c r="GX56" s="309"/>
      <c r="GY56" s="310"/>
      <c r="GZ56" s="311"/>
      <c r="HA56" s="311"/>
      <c r="HB56" s="309"/>
      <c r="HC56" s="312">
        <f t="shared" si="79"/>
        <v>0</v>
      </c>
      <c r="HD56" s="313">
        <f t="shared" si="79"/>
        <v>0</v>
      </c>
      <c r="HE56" s="313">
        <f t="shared" si="79"/>
        <v>0</v>
      </c>
      <c r="HF56" s="314"/>
      <c r="HG56" s="312">
        <f>SUM(SUMIFS(K56:HB56,$K$13:$HB$13,{"エネルギー管理指定工場等*","県域*"}))</f>
        <v>0</v>
      </c>
      <c r="HH56" s="313">
        <f>SUM(SUMIFS(L56:HC56,$K$13:$HB$13,{"エネルギー管理指定工場等*","県域*"}))</f>
        <v>0</v>
      </c>
      <c r="HI56" s="313">
        <f>SUM(SUMIFS(M56:HD56,$K$13:$HB$13,{"エネルギー管理指定工場等*","県域*"}))</f>
        <v>0</v>
      </c>
      <c r="HJ56" s="314"/>
      <c r="HL56" s="219">
        <v>47</v>
      </c>
      <c r="HM56" s="714" t="str">
        <f t="shared" ca="1" si="67"/>
        <v/>
      </c>
      <c r="HN56" s="715" t="str">
        <f ca="1">IF(COUNTIF(HN$10:HN55,OFFSET(A1_原単位2026,5,HL56+2))&gt;=1,"",OFFSET(A1_原単位2026,5,HL56+2)&amp;"")</f>
        <v/>
      </c>
      <c r="HO56" s="716" t="str">
        <f t="shared" ca="1" si="50"/>
        <v/>
      </c>
      <c r="HP56" s="717" t="str">
        <f t="shared" ca="1" si="68"/>
        <v/>
      </c>
      <c r="HQ56" s="714" t="str">
        <f t="shared" ca="1" si="69"/>
        <v/>
      </c>
      <c r="HR56" s="715" t="str">
        <f ca="1">IF(COUNTIF(HR$10:HR55,OFFSET(A1_原単位2026,17,HL56+2))&gt;=1,"",OFFSET(A1_原単位2026,17,HL56+2)&amp;"")</f>
        <v/>
      </c>
      <c r="HS56" s="718" t="str">
        <f t="shared" ca="1" si="53"/>
        <v/>
      </c>
      <c r="HT56" s="719" t="str">
        <f t="shared" ca="1" si="70"/>
        <v/>
      </c>
      <c r="HU56" s="714" t="str">
        <f t="shared" ca="1" si="71"/>
        <v/>
      </c>
      <c r="HV56" s="715" t="str">
        <f ca="1">IF(COUNTIF(HV$10:HV55,OFFSET(A1_原単位2026,29,HL56+2))&gt;=1,"",OFFSET(A1_原単位2026,29,HL56+2)&amp;"")</f>
        <v/>
      </c>
      <c r="HW56" s="718" t="str">
        <f t="shared" ca="1" si="56"/>
        <v/>
      </c>
      <c r="HX56" s="719" t="str">
        <f t="shared" ca="1" si="72"/>
        <v/>
      </c>
      <c r="HY56" s="714" t="str">
        <f t="shared" ca="1" si="73"/>
        <v/>
      </c>
      <c r="HZ56" s="715" t="str">
        <f ca="1">IF(COUNTIF(HZ$10:HZ55,OFFSET(A1_原単位2026,41,HL56+2))&gt;=1,"",OFFSET(A1_原単位2026,41,HL56+2)&amp;"")</f>
        <v/>
      </c>
      <c r="IA56" s="720" t="str">
        <f t="shared" ca="1" si="59"/>
        <v/>
      </c>
      <c r="IB56" s="721" t="str">
        <f t="shared" ca="1" si="74"/>
        <v/>
      </c>
      <c r="IE56" s="159" t="str">
        <f t="shared" ca="1" si="75"/>
        <v/>
      </c>
      <c r="IF56" s="159" t="str">
        <f t="shared" ca="1" si="76"/>
        <v/>
      </c>
      <c r="IG56" s="159" t="str">
        <f t="shared" ca="1" si="77"/>
        <v/>
      </c>
      <c r="IH56" s="159" t="str">
        <f t="shared" ca="1" si="78"/>
        <v/>
      </c>
    </row>
    <row r="57" spans="2:242" s="164" customFormat="1" ht="20.100000000000001" customHeight="1">
      <c r="B57" s="302"/>
      <c r="C57" s="303" t="s">
        <v>594</v>
      </c>
      <c r="D57" s="304"/>
      <c r="E57" s="305"/>
      <c r="F57" s="303" t="s">
        <v>455</v>
      </c>
      <c r="G57" s="306">
        <v>29.3</v>
      </c>
      <c r="H57" s="307">
        <v>2.3900000000000001E-2</v>
      </c>
      <c r="I57" s="308"/>
      <c r="J57" s="309"/>
      <c r="K57" s="310"/>
      <c r="L57" s="311"/>
      <c r="M57" s="311"/>
      <c r="N57" s="309"/>
      <c r="O57" s="310"/>
      <c r="P57" s="311"/>
      <c r="Q57" s="311"/>
      <c r="R57" s="309"/>
      <c r="S57" s="310"/>
      <c r="T57" s="311"/>
      <c r="U57" s="311"/>
      <c r="V57" s="309"/>
      <c r="W57" s="310"/>
      <c r="X57" s="311"/>
      <c r="Y57" s="311"/>
      <c r="Z57" s="309"/>
      <c r="AA57" s="310"/>
      <c r="AB57" s="311"/>
      <c r="AC57" s="311"/>
      <c r="AD57" s="309"/>
      <c r="AE57" s="310"/>
      <c r="AF57" s="311"/>
      <c r="AG57" s="311"/>
      <c r="AH57" s="309"/>
      <c r="AI57" s="310"/>
      <c r="AJ57" s="311"/>
      <c r="AK57" s="311"/>
      <c r="AL57" s="309"/>
      <c r="AM57" s="310"/>
      <c r="AN57" s="311"/>
      <c r="AO57" s="311"/>
      <c r="AP57" s="309"/>
      <c r="AQ57" s="310"/>
      <c r="AR57" s="311"/>
      <c r="AS57" s="311"/>
      <c r="AT57" s="309"/>
      <c r="AU57" s="310"/>
      <c r="AV57" s="311"/>
      <c r="AW57" s="311"/>
      <c r="AX57" s="309"/>
      <c r="AY57" s="310"/>
      <c r="AZ57" s="311"/>
      <c r="BA57" s="311"/>
      <c r="BB57" s="309"/>
      <c r="BC57" s="310"/>
      <c r="BD57" s="311"/>
      <c r="BE57" s="311"/>
      <c r="BF57" s="309"/>
      <c r="BG57" s="310"/>
      <c r="BH57" s="311"/>
      <c r="BI57" s="311"/>
      <c r="BJ57" s="309"/>
      <c r="BK57" s="310"/>
      <c r="BL57" s="311"/>
      <c r="BM57" s="311"/>
      <c r="BN57" s="309"/>
      <c r="BO57" s="310"/>
      <c r="BP57" s="311"/>
      <c r="BQ57" s="311"/>
      <c r="BR57" s="309"/>
      <c r="BS57" s="310"/>
      <c r="BT57" s="311"/>
      <c r="BU57" s="311"/>
      <c r="BV57" s="309"/>
      <c r="BW57" s="310"/>
      <c r="BX57" s="311"/>
      <c r="BY57" s="311"/>
      <c r="BZ57" s="309"/>
      <c r="CA57" s="310"/>
      <c r="CB57" s="311"/>
      <c r="CC57" s="311"/>
      <c r="CD57" s="309"/>
      <c r="CE57" s="310"/>
      <c r="CF57" s="311"/>
      <c r="CG57" s="311"/>
      <c r="CH57" s="309"/>
      <c r="CI57" s="310"/>
      <c r="CJ57" s="311"/>
      <c r="CK57" s="311"/>
      <c r="CL57" s="309"/>
      <c r="CM57" s="310"/>
      <c r="CN57" s="311"/>
      <c r="CO57" s="311"/>
      <c r="CP57" s="309"/>
      <c r="CQ57" s="310"/>
      <c r="CR57" s="311"/>
      <c r="CS57" s="311"/>
      <c r="CT57" s="309"/>
      <c r="CU57" s="310"/>
      <c r="CV57" s="311"/>
      <c r="CW57" s="311"/>
      <c r="CX57" s="309"/>
      <c r="CY57" s="310"/>
      <c r="CZ57" s="311"/>
      <c r="DA57" s="311"/>
      <c r="DB57" s="309"/>
      <c r="DC57" s="310"/>
      <c r="DD57" s="311"/>
      <c r="DE57" s="311"/>
      <c r="DF57" s="309"/>
      <c r="DG57" s="310"/>
      <c r="DH57" s="311"/>
      <c r="DI57" s="311"/>
      <c r="DJ57" s="309"/>
      <c r="DK57" s="310"/>
      <c r="DL57" s="311"/>
      <c r="DM57" s="311"/>
      <c r="DN57" s="309"/>
      <c r="DO57" s="310"/>
      <c r="DP57" s="311"/>
      <c r="DQ57" s="311"/>
      <c r="DR57" s="309"/>
      <c r="DS57" s="310"/>
      <c r="DT57" s="311"/>
      <c r="DU57" s="311"/>
      <c r="DV57" s="309"/>
      <c r="DW57" s="310"/>
      <c r="DX57" s="311"/>
      <c r="DY57" s="311"/>
      <c r="DZ57" s="309"/>
      <c r="EA57" s="310"/>
      <c r="EB57" s="311"/>
      <c r="EC57" s="311"/>
      <c r="ED57" s="309"/>
      <c r="EE57" s="310"/>
      <c r="EF57" s="311"/>
      <c r="EG57" s="311"/>
      <c r="EH57" s="309"/>
      <c r="EI57" s="310"/>
      <c r="EJ57" s="311"/>
      <c r="EK57" s="311"/>
      <c r="EL57" s="309"/>
      <c r="EM57" s="310"/>
      <c r="EN57" s="311"/>
      <c r="EO57" s="311"/>
      <c r="EP57" s="309"/>
      <c r="EQ57" s="310"/>
      <c r="ER57" s="311"/>
      <c r="ES57" s="311"/>
      <c r="ET57" s="309"/>
      <c r="EU57" s="310"/>
      <c r="EV57" s="311"/>
      <c r="EW57" s="311"/>
      <c r="EX57" s="309"/>
      <c r="EY57" s="310"/>
      <c r="EZ57" s="311"/>
      <c r="FA57" s="311"/>
      <c r="FB57" s="309"/>
      <c r="FC57" s="310"/>
      <c r="FD57" s="311"/>
      <c r="FE57" s="311"/>
      <c r="FF57" s="309"/>
      <c r="FG57" s="310"/>
      <c r="FH57" s="311"/>
      <c r="FI57" s="311"/>
      <c r="FJ57" s="309"/>
      <c r="FK57" s="310"/>
      <c r="FL57" s="311"/>
      <c r="FM57" s="311"/>
      <c r="FN57" s="309"/>
      <c r="FO57" s="310"/>
      <c r="FP57" s="311"/>
      <c r="FQ57" s="311"/>
      <c r="FR57" s="309"/>
      <c r="FS57" s="310"/>
      <c r="FT57" s="311"/>
      <c r="FU57" s="311"/>
      <c r="FV57" s="309"/>
      <c r="FW57" s="310"/>
      <c r="FX57" s="311"/>
      <c r="FY57" s="311"/>
      <c r="FZ57" s="309"/>
      <c r="GA57" s="310"/>
      <c r="GB57" s="311"/>
      <c r="GC57" s="311"/>
      <c r="GD57" s="309"/>
      <c r="GE57" s="310"/>
      <c r="GF57" s="311"/>
      <c r="GG57" s="311"/>
      <c r="GH57" s="309"/>
      <c r="GI57" s="310"/>
      <c r="GJ57" s="311"/>
      <c r="GK57" s="311"/>
      <c r="GL57" s="309"/>
      <c r="GM57" s="310"/>
      <c r="GN57" s="311"/>
      <c r="GO57" s="311"/>
      <c r="GP57" s="309"/>
      <c r="GQ57" s="310"/>
      <c r="GR57" s="311"/>
      <c r="GS57" s="311"/>
      <c r="GT57" s="309"/>
      <c r="GU57" s="310"/>
      <c r="GV57" s="311"/>
      <c r="GW57" s="311"/>
      <c r="GX57" s="309"/>
      <c r="GY57" s="310"/>
      <c r="GZ57" s="311"/>
      <c r="HA57" s="311"/>
      <c r="HB57" s="309"/>
      <c r="HC57" s="312">
        <f t="shared" si="79"/>
        <v>0</v>
      </c>
      <c r="HD57" s="313">
        <f t="shared" si="79"/>
        <v>0</v>
      </c>
      <c r="HE57" s="313">
        <f t="shared" si="79"/>
        <v>0</v>
      </c>
      <c r="HF57" s="314"/>
      <c r="HG57" s="312">
        <f>SUM(SUMIFS(K57:HB57,$K$13:$HB$13,{"エネルギー管理指定工場等*","県域*"}))</f>
        <v>0</v>
      </c>
      <c r="HH57" s="313">
        <f>SUM(SUMIFS(L57:HC57,$K$13:$HB$13,{"エネルギー管理指定工場等*","県域*"}))</f>
        <v>0</v>
      </c>
      <c r="HI57" s="313">
        <f>SUM(SUMIFS(M57:HD57,$K$13:$HB$13,{"エネルギー管理指定工場等*","県域*"}))</f>
        <v>0</v>
      </c>
      <c r="HJ57" s="314"/>
      <c r="HL57" s="230">
        <v>48</v>
      </c>
      <c r="HM57" s="714" t="str">
        <f t="shared" ca="1" si="67"/>
        <v/>
      </c>
      <c r="HN57" s="715" t="str">
        <f ca="1">IF(COUNTIF(HN$10:HN56,OFFSET(A1_原単位2026,5,HL57+2))&gt;=1,"",OFFSET(A1_原単位2026,5,HL57+2)&amp;"")</f>
        <v/>
      </c>
      <c r="HO57" s="716" t="str">
        <f t="shared" ca="1" si="50"/>
        <v/>
      </c>
      <c r="HP57" s="717" t="str">
        <f t="shared" ca="1" si="68"/>
        <v/>
      </c>
      <c r="HQ57" s="714" t="str">
        <f t="shared" ca="1" si="69"/>
        <v/>
      </c>
      <c r="HR57" s="715" t="str">
        <f ca="1">IF(COUNTIF(HR$10:HR56,OFFSET(A1_原単位2026,17,HL57+2))&gt;=1,"",OFFSET(A1_原単位2026,17,HL57+2)&amp;"")</f>
        <v/>
      </c>
      <c r="HS57" s="718" t="str">
        <f t="shared" ca="1" si="53"/>
        <v/>
      </c>
      <c r="HT57" s="719" t="str">
        <f t="shared" ca="1" si="70"/>
        <v/>
      </c>
      <c r="HU57" s="714" t="str">
        <f t="shared" ca="1" si="71"/>
        <v/>
      </c>
      <c r="HV57" s="715" t="str">
        <f ca="1">IF(COUNTIF(HV$10:HV56,OFFSET(A1_原単位2026,29,HL57+2))&gt;=1,"",OFFSET(A1_原単位2026,29,HL57+2)&amp;"")</f>
        <v/>
      </c>
      <c r="HW57" s="718" t="str">
        <f t="shared" ca="1" si="56"/>
        <v/>
      </c>
      <c r="HX57" s="719" t="str">
        <f t="shared" ca="1" si="72"/>
        <v/>
      </c>
      <c r="HY57" s="714" t="str">
        <f t="shared" ca="1" si="73"/>
        <v/>
      </c>
      <c r="HZ57" s="715" t="str">
        <f ca="1">IF(COUNTIF(HZ$10:HZ56,OFFSET(A1_原単位2026,41,HL57+2))&gt;=1,"",OFFSET(A1_原単位2026,41,HL57+2)&amp;"")</f>
        <v/>
      </c>
      <c r="IA57" s="720" t="str">
        <f t="shared" ca="1" si="59"/>
        <v/>
      </c>
      <c r="IB57" s="721" t="str">
        <f t="shared" ca="1" si="74"/>
        <v/>
      </c>
      <c r="IE57" s="159" t="str">
        <f t="shared" ca="1" si="75"/>
        <v/>
      </c>
      <c r="IF57" s="159" t="str">
        <f t="shared" ca="1" si="76"/>
        <v/>
      </c>
      <c r="IG57" s="159" t="str">
        <f t="shared" ca="1" si="77"/>
        <v/>
      </c>
      <c r="IH57" s="159" t="str">
        <f t="shared" ca="1" si="78"/>
        <v/>
      </c>
    </row>
    <row r="58" spans="2:242" s="164" customFormat="1" ht="20.100000000000001" customHeight="1">
      <c r="B58" s="302"/>
      <c r="C58" s="303" t="s">
        <v>595</v>
      </c>
      <c r="D58" s="304"/>
      <c r="E58" s="305"/>
      <c r="F58" s="303" t="s">
        <v>453</v>
      </c>
      <c r="G58" s="306">
        <v>40.200000000000003</v>
      </c>
      <c r="H58" s="307">
        <v>1.7899999999999999E-2</v>
      </c>
      <c r="I58" s="308"/>
      <c r="J58" s="309"/>
      <c r="K58" s="310"/>
      <c r="L58" s="311"/>
      <c r="M58" s="311"/>
      <c r="N58" s="309"/>
      <c r="O58" s="310"/>
      <c r="P58" s="311"/>
      <c r="Q58" s="311"/>
      <c r="R58" s="309"/>
      <c r="S58" s="310"/>
      <c r="T58" s="311"/>
      <c r="U58" s="311"/>
      <c r="V58" s="309"/>
      <c r="W58" s="310"/>
      <c r="X58" s="311"/>
      <c r="Y58" s="311"/>
      <c r="Z58" s="309"/>
      <c r="AA58" s="310"/>
      <c r="AB58" s="311"/>
      <c r="AC58" s="311"/>
      <c r="AD58" s="309"/>
      <c r="AE58" s="310"/>
      <c r="AF58" s="311"/>
      <c r="AG58" s="311"/>
      <c r="AH58" s="309"/>
      <c r="AI58" s="310"/>
      <c r="AJ58" s="311"/>
      <c r="AK58" s="311"/>
      <c r="AL58" s="309"/>
      <c r="AM58" s="310"/>
      <c r="AN58" s="311"/>
      <c r="AO58" s="311"/>
      <c r="AP58" s="309"/>
      <c r="AQ58" s="310"/>
      <c r="AR58" s="311"/>
      <c r="AS58" s="311"/>
      <c r="AT58" s="309"/>
      <c r="AU58" s="310"/>
      <c r="AV58" s="311"/>
      <c r="AW58" s="311"/>
      <c r="AX58" s="309"/>
      <c r="AY58" s="310"/>
      <c r="AZ58" s="311"/>
      <c r="BA58" s="311"/>
      <c r="BB58" s="309"/>
      <c r="BC58" s="310"/>
      <c r="BD58" s="311"/>
      <c r="BE58" s="311"/>
      <c r="BF58" s="309"/>
      <c r="BG58" s="310"/>
      <c r="BH58" s="311"/>
      <c r="BI58" s="311"/>
      <c r="BJ58" s="309"/>
      <c r="BK58" s="310"/>
      <c r="BL58" s="311"/>
      <c r="BM58" s="311"/>
      <c r="BN58" s="309"/>
      <c r="BO58" s="310"/>
      <c r="BP58" s="311"/>
      <c r="BQ58" s="311"/>
      <c r="BR58" s="309"/>
      <c r="BS58" s="310"/>
      <c r="BT58" s="311"/>
      <c r="BU58" s="311"/>
      <c r="BV58" s="309"/>
      <c r="BW58" s="310"/>
      <c r="BX58" s="311"/>
      <c r="BY58" s="311"/>
      <c r="BZ58" s="309"/>
      <c r="CA58" s="310"/>
      <c r="CB58" s="311"/>
      <c r="CC58" s="311"/>
      <c r="CD58" s="309"/>
      <c r="CE58" s="310"/>
      <c r="CF58" s="311"/>
      <c r="CG58" s="311"/>
      <c r="CH58" s="309"/>
      <c r="CI58" s="310"/>
      <c r="CJ58" s="311"/>
      <c r="CK58" s="311"/>
      <c r="CL58" s="309"/>
      <c r="CM58" s="310"/>
      <c r="CN58" s="311"/>
      <c r="CO58" s="311"/>
      <c r="CP58" s="309"/>
      <c r="CQ58" s="310"/>
      <c r="CR58" s="311"/>
      <c r="CS58" s="311"/>
      <c r="CT58" s="309"/>
      <c r="CU58" s="310"/>
      <c r="CV58" s="311"/>
      <c r="CW58" s="311"/>
      <c r="CX58" s="309"/>
      <c r="CY58" s="310"/>
      <c r="CZ58" s="311"/>
      <c r="DA58" s="311"/>
      <c r="DB58" s="309"/>
      <c r="DC58" s="310"/>
      <c r="DD58" s="311"/>
      <c r="DE58" s="311"/>
      <c r="DF58" s="309"/>
      <c r="DG58" s="310"/>
      <c r="DH58" s="311"/>
      <c r="DI58" s="311"/>
      <c r="DJ58" s="309"/>
      <c r="DK58" s="310"/>
      <c r="DL58" s="311"/>
      <c r="DM58" s="311"/>
      <c r="DN58" s="309"/>
      <c r="DO58" s="310"/>
      <c r="DP58" s="311"/>
      <c r="DQ58" s="311"/>
      <c r="DR58" s="309"/>
      <c r="DS58" s="310"/>
      <c r="DT58" s="311"/>
      <c r="DU58" s="311"/>
      <c r="DV58" s="309"/>
      <c r="DW58" s="310"/>
      <c r="DX58" s="311"/>
      <c r="DY58" s="311"/>
      <c r="DZ58" s="309"/>
      <c r="EA58" s="310"/>
      <c r="EB58" s="311"/>
      <c r="EC58" s="311"/>
      <c r="ED58" s="309"/>
      <c r="EE58" s="310"/>
      <c r="EF58" s="311"/>
      <c r="EG58" s="311"/>
      <c r="EH58" s="309"/>
      <c r="EI58" s="310"/>
      <c r="EJ58" s="311"/>
      <c r="EK58" s="311"/>
      <c r="EL58" s="309"/>
      <c r="EM58" s="310"/>
      <c r="EN58" s="311"/>
      <c r="EO58" s="311"/>
      <c r="EP58" s="309"/>
      <c r="EQ58" s="310"/>
      <c r="ER58" s="311"/>
      <c r="ES58" s="311"/>
      <c r="ET58" s="309"/>
      <c r="EU58" s="310"/>
      <c r="EV58" s="311"/>
      <c r="EW58" s="311"/>
      <c r="EX58" s="309"/>
      <c r="EY58" s="310"/>
      <c r="EZ58" s="311"/>
      <c r="FA58" s="311"/>
      <c r="FB58" s="309"/>
      <c r="FC58" s="310"/>
      <c r="FD58" s="311"/>
      <c r="FE58" s="311"/>
      <c r="FF58" s="309"/>
      <c r="FG58" s="310"/>
      <c r="FH58" s="311"/>
      <c r="FI58" s="311"/>
      <c r="FJ58" s="309"/>
      <c r="FK58" s="310"/>
      <c r="FL58" s="311"/>
      <c r="FM58" s="311"/>
      <c r="FN58" s="309"/>
      <c r="FO58" s="310"/>
      <c r="FP58" s="311"/>
      <c r="FQ58" s="311"/>
      <c r="FR58" s="309"/>
      <c r="FS58" s="310"/>
      <c r="FT58" s="311"/>
      <c r="FU58" s="311"/>
      <c r="FV58" s="309"/>
      <c r="FW58" s="310"/>
      <c r="FX58" s="311"/>
      <c r="FY58" s="311"/>
      <c r="FZ58" s="309"/>
      <c r="GA58" s="310"/>
      <c r="GB58" s="311"/>
      <c r="GC58" s="311"/>
      <c r="GD58" s="309"/>
      <c r="GE58" s="310"/>
      <c r="GF58" s="311"/>
      <c r="GG58" s="311"/>
      <c r="GH58" s="309"/>
      <c r="GI58" s="310"/>
      <c r="GJ58" s="311"/>
      <c r="GK58" s="311"/>
      <c r="GL58" s="309"/>
      <c r="GM58" s="310"/>
      <c r="GN58" s="311"/>
      <c r="GO58" s="311"/>
      <c r="GP58" s="309"/>
      <c r="GQ58" s="310"/>
      <c r="GR58" s="311"/>
      <c r="GS58" s="311"/>
      <c r="GT58" s="309"/>
      <c r="GU58" s="310"/>
      <c r="GV58" s="311"/>
      <c r="GW58" s="311"/>
      <c r="GX58" s="309"/>
      <c r="GY58" s="310"/>
      <c r="GZ58" s="311"/>
      <c r="HA58" s="311"/>
      <c r="HB58" s="309"/>
      <c r="HC58" s="312">
        <f t="shared" si="79"/>
        <v>0</v>
      </c>
      <c r="HD58" s="313">
        <f t="shared" si="79"/>
        <v>0</v>
      </c>
      <c r="HE58" s="313">
        <f t="shared" si="79"/>
        <v>0</v>
      </c>
      <c r="HF58" s="314"/>
      <c r="HG58" s="312">
        <f>SUM(SUMIFS(K58:HB58,$K$13:$HB$13,{"エネルギー管理指定工場等*","県域*"}))</f>
        <v>0</v>
      </c>
      <c r="HH58" s="313">
        <f>SUM(SUMIFS(L58:HC58,$K$13:$HB$13,{"エネルギー管理指定工場等*","県域*"}))</f>
        <v>0</v>
      </c>
      <c r="HI58" s="313">
        <f>SUM(SUMIFS(M58:HD58,$K$13:$HB$13,{"エネルギー管理指定工場等*","県域*"}))</f>
        <v>0</v>
      </c>
      <c r="HJ58" s="314"/>
      <c r="HL58" s="219">
        <v>49</v>
      </c>
      <c r="HM58" s="714" t="str">
        <f t="shared" ca="1" si="67"/>
        <v/>
      </c>
      <c r="HN58" s="715" t="str">
        <f ca="1">IF(COUNTIF(HN$10:HN57,OFFSET(A1_原単位2026,5,HL58+2))&gt;=1,"",OFFSET(A1_原単位2026,5,HL58+2)&amp;"")</f>
        <v/>
      </c>
      <c r="HO58" s="716" t="str">
        <f t="shared" ca="1" si="50"/>
        <v/>
      </c>
      <c r="HP58" s="717" t="str">
        <f t="shared" ca="1" si="68"/>
        <v/>
      </c>
      <c r="HQ58" s="714" t="str">
        <f t="shared" ca="1" si="69"/>
        <v/>
      </c>
      <c r="HR58" s="715" t="str">
        <f ca="1">IF(COUNTIF(HR$10:HR57,OFFSET(A1_原単位2026,17,HL58+2))&gt;=1,"",OFFSET(A1_原単位2026,17,HL58+2)&amp;"")</f>
        <v/>
      </c>
      <c r="HS58" s="718" t="str">
        <f t="shared" ca="1" si="53"/>
        <v/>
      </c>
      <c r="HT58" s="719" t="str">
        <f t="shared" ca="1" si="70"/>
        <v/>
      </c>
      <c r="HU58" s="714" t="str">
        <f t="shared" ca="1" si="71"/>
        <v/>
      </c>
      <c r="HV58" s="715" t="str">
        <f ca="1">IF(COUNTIF(HV$10:HV57,OFFSET(A1_原単位2026,29,HL58+2))&gt;=1,"",OFFSET(A1_原単位2026,29,HL58+2)&amp;"")</f>
        <v/>
      </c>
      <c r="HW58" s="718" t="str">
        <f t="shared" ca="1" si="56"/>
        <v/>
      </c>
      <c r="HX58" s="719" t="str">
        <f t="shared" ca="1" si="72"/>
        <v/>
      </c>
      <c r="HY58" s="714" t="str">
        <f t="shared" ca="1" si="73"/>
        <v/>
      </c>
      <c r="HZ58" s="715" t="str">
        <f ca="1">IF(COUNTIF(HZ$10:HZ57,OFFSET(A1_原単位2026,41,HL58+2))&gt;=1,"",OFFSET(A1_原単位2026,41,HL58+2)&amp;"")</f>
        <v/>
      </c>
      <c r="IA58" s="720" t="str">
        <f t="shared" ca="1" si="59"/>
        <v/>
      </c>
      <c r="IB58" s="721" t="str">
        <f t="shared" ca="1" si="74"/>
        <v/>
      </c>
      <c r="IE58" s="159" t="str">
        <f t="shared" ca="1" si="75"/>
        <v/>
      </c>
      <c r="IF58" s="159" t="str">
        <f t="shared" ca="1" si="76"/>
        <v/>
      </c>
      <c r="IG58" s="159" t="str">
        <f t="shared" ca="1" si="77"/>
        <v/>
      </c>
      <c r="IH58" s="159" t="str">
        <f t="shared" ca="1" si="78"/>
        <v/>
      </c>
    </row>
    <row r="59" spans="2:242" s="164" customFormat="1" ht="20.100000000000001" customHeight="1" thickBot="1">
      <c r="B59" s="302"/>
      <c r="C59" s="303" t="s">
        <v>596</v>
      </c>
      <c r="D59" s="304"/>
      <c r="E59" s="305"/>
      <c r="F59" s="303" t="s">
        <v>457</v>
      </c>
      <c r="G59" s="306">
        <v>21.2</v>
      </c>
      <c r="H59" s="309"/>
      <c r="I59" s="308"/>
      <c r="J59" s="309"/>
      <c r="K59" s="310"/>
      <c r="L59" s="311"/>
      <c r="M59" s="311"/>
      <c r="N59" s="309"/>
      <c r="O59" s="310"/>
      <c r="P59" s="311"/>
      <c r="Q59" s="311"/>
      <c r="R59" s="309"/>
      <c r="S59" s="310"/>
      <c r="T59" s="311"/>
      <c r="U59" s="311"/>
      <c r="V59" s="309"/>
      <c r="W59" s="310"/>
      <c r="X59" s="311"/>
      <c r="Y59" s="311"/>
      <c r="Z59" s="309"/>
      <c r="AA59" s="310"/>
      <c r="AB59" s="311"/>
      <c r="AC59" s="311"/>
      <c r="AD59" s="309"/>
      <c r="AE59" s="310"/>
      <c r="AF59" s="311"/>
      <c r="AG59" s="311"/>
      <c r="AH59" s="309"/>
      <c r="AI59" s="310"/>
      <c r="AJ59" s="311"/>
      <c r="AK59" s="311"/>
      <c r="AL59" s="309"/>
      <c r="AM59" s="310"/>
      <c r="AN59" s="311"/>
      <c r="AO59" s="311"/>
      <c r="AP59" s="309"/>
      <c r="AQ59" s="310"/>
      <c r="AR59" s="311"/>
      <c r="AS59" s="311"/>
      <c r="AT59" s="309"/>
      <c r="AU59" s="310"/>
      <c r="AV59" s="311"/>
      <c r="AW59" s="311"/>
      <c r="AX59" s="309"/>
      <c r="AY59" s="310"/>
      <c r="AZ59" s="311"/>
      <c r="BA59" s="311"/>
      <c r="BB59" s="309"/>
      <c r="BC59" s="310"/>
      <c r="BD59" s="311"/>
      <c r="BE59" s="311"/>
      <c r="BF59" s="309"/>
      <c r="BG59" s="310"/>
      <c r="BH59" s="311"/>
      <c r="BI59" s="311"/>
      <c r="BJ59" s="309"/>
      <c r="BK59" s="310"/>
      <c r="BL59" s="311"/>
      <c r="BM59" s="311"/>
      <c r="BN59" s="309"/>
      <c r="BO59" s="310"/>
      <c r="BP59" s="311"/>
      <c r="BQ59" s="311"/>
      <c r="BR59" s="309"/>
      <c r="BS59" s="310"/>
      <c r="BT59" s="311"/>
      <c r="BU59" s="311"/>
      <c r="BV59" s="309"/>
      <c r="BW59" s="310"/>
      <c r="BX59" s="311"/>
      <c r="BY59" s="311"/>
      <c r="BZ59" s="309"/>
      <c r="CA59" s="310"/>
      <c r="CB59" s="311"/>
      <c r="CC59" s="311"/>
      <c r="CD59" s="309"/>
      <c r="CE59" s="310"/>
      <c r="CF59" s="311"/>
      <c r="CG59" s="311"/>
      <c r="CH59" s="309"/>
      <c r="CI59" s="310"/>
      <c r="CJ59" s="311"/>
      <c r="CK59" s="311"/>
      <c r="CL59" s="309"/>
      <c r="CM59" s="310"/>
      <c r="CN59" s="311"/>
      <c r="CO59" s="311"/>
      <c r="CP59" s="309"/>
      <c r="CQ59" s="310"/>
      <c r="CR59" s="311"/>
      <c r="CS59" s="311"/>
      <c r="CT59" s="309"/>
      <c r="CU59" s="310"/>
      <c r="CV59" s="311"/>
      <c r="CW59" s="311"/>
      <c r="CX59" s="309"/>
      <c r="CY59" s="310"/>
      <c r="CZ59" s="311"/>
      <c r="DA59" s="311"/>
      <c r="DB59" s="309"/>
      <c r="DC59" s="310"/>
      <c r="DD59" s="311"/>
      <c r="DE59" s="311"/>
      <c r="DF59" s="309"/>
      <c r="DG59" s="310"/>
      <c r="DH59" s="311"/>
      <c r="DI59" s="311"/>
      <c r="DJ59" s="309"/>
      <c r="DK59" s="310"/>
      <c r="DL59" s="311"/>
      <c r="DM59" s="311"/>
      <c r="DN59" s="309"/>
      <c r="DO59" s="310"/>
      <c r="DP59" s="311"/>
      <c r="DQ59" s="311"/>
      <c r="DR59" s="309"/>
      <c r="DS59" s="310"/>
      <c r="DT59" s="311"/>
      <c r="DU59" s="311"/>
      <c r="DV59" s="309"/>
      <c r="DW59" s="310"/>
      <c r="DX59" s="311"/>
      <c r="DY59" s="311"/>
      <c r="DZ59" s="309"/>
      <c r="EA59" s="310"/>
      <c r="EB59" s="311"/>
      <c r="EC59" s="311"/>
      <c r="ED59" s="309"/>
      <c r="EE59" s="310"/>
      <c r="EF59" s="311"/>
      <c r="EG59" s="311"/>
      <c r="EH59" s="309"/>
      <c r="EI59" s="310"/>
      <c r="EJ59" s="311"/>
      <c r="EK59" s="311"/>
      <c r="EL59" s="309"/>
      <c r="EM59" s="310"/>
      <c r="EN59" s="311"/>
      <c r="EO59" s="311"/>
      <c r="EP59" s="309"/>
      <c r="EQ59" s="310"/>
      <c r="ER59" s="311"/>
      <c r="ES59" s="311"/>
      <c r="ET59" s="309"/>
      <c r="EU59" s="310"/>
      <c r="EV59" s="311"/>
      <c r="EW59" s="311"/>
      <c r="EX59" s="309"/>
      <c r="EY59" s="310"/>
      <c r="EZ59" s="311"/>
      <c r="FA59" s="311"/>
      <c r="FB59" s="309"/>
      <c r="FC59" s="310"/>
      <c r="FD59" s="311"/>
      <c r="FE59" s="311"/>
      <c r="FF59" s="309"/>
      <c r="FG59" s="310"/>
      <c r="FH59" s="311"/>
      <c r="FI59" s="311"/>
      <c r="FJ59" s="309"/>
      <c r="FK59" s="310"/>
      <c r="FL59" s="311"/>
      <c r="FM59" s="311"/>
      <c r="FN59" s="309"/>
      <c r="FO59" s="310"/>
      <c r="FP59" s="311"/>
      <c r="FQ59" s="311"/>
      <c r="FR59" s="309"/>
      <c r="FS59" s="310"/>
      <c r="FT59" s="311"/>
      <c r="FU59" s="311"/>
      <c r="FV59" s="309"/>
      <c r="FW59" s="310"/>
      <c r="FX59" s="311"/>
      <c r="FY59" s="311"/>
      <c r="FZ59" s="309"/>
      <c r="GA59" s="310"/>
      <c r="GB59" s="311"/>
      <c r="GC59" s="311"/>
      <c r="GD59" s="309"/>
      <c r="GE59" s="310"/>
      <c r="GF59" s="311"/>
      <c r="GG59" s="311"/>
      <c r="GH59" s="309"/>
      <c r="GI59" s="310"/>
      <c r="GJ59" s="311"/>
      <c r="GK59" s="311"/>
      <c r="GL59" s="309"/>
      <c r="GM59" s="310"/>
      <c r="GN59" s="311"/>
      <c r="GO59" s="311"/>
      <c r="GP59" s="309"/>
      <c r="GQ59" s="310"/>
      <c r="GR59" s="311"/>
      <c r="GS59" s="311"/>
      <c r="GT59" s="309"/>
      <c r="GU59" s="310"/>
      <c r="GV59" s="311"/>
      <c r="GW59" s="311"/>
      <c r="GX59" s="309"/>
      <c r="GY59" s="310"/>
      <c r="GZ59" s="311"/>
      <c r="HA59" s="311"/>
      <c r="HB59" s="309"/>
      <c r="HC59" s="312">
        <f t="shared" si="79"/>
        <v>0</v>
      </c>
      <c r="HD59" s="313">
        <f t="shared" si="79"/>
        <v>0</v>
      </c>
      <c r="HE59" s="313">
        <f t="shared" si="79"/>
        <v>0</v>
      </c>
      <c r="HF59" s="314"/>
      <c r="HG59" s="312">
        <f>SUM(SUMIFS(K59:HB59,$K$13:$HB$13,{"エネルギー管理指定工場等*","県域*"}))</f>
        <v>0</v>
      </c>
      <c r="HH59" s="313">
        <f>SUM(SUMIFS(L59:HC59,$K$13:$HB$13,{"エネルギー管理指定工場等*","県域*"}))</f>
        <v>0</v>
      </c>
      <c r="HI59" s="313">
        <f>SUM(SUMIFS(M59:HD59,$K$13:$HB$13,{"エネルギー管理指定工場等*","県域*"}))</f>
        <v>0</v>
      </c>
      <c r="HJ59" s="314"/>
      <c r="HL59" s="325">
        <v>50</v>
      </c>
      <c r="HM59" s="724" t="str">
        <f t="shared" ca="1" si="67"/>
        <v/>
      </c>
      <c r="HN59" s="725" t="str">
        <f ca="1">IF(COUNTIF(HN$10:HN58,OFFSET(A1_原単位2026,5,HL59+2))&gt;=1,"",OFFSET(A1_原単位2026,5,HL59+2)&amp;"")</f>
        <v/>
      </c>
      <c r="HO59" s="726" t="str">
        <f t="shared" ca="1" si="50"/>
        <v/>
      </c>
      <c r="HP59" s="727" t="str">
        <f t="shared" ca="1" si="68"/>
        <v/>
      </c>
      <c r="HQ59" s="724" t="str">
        <f t="shared" ca="1" si="69"/>
        <v/>
      </c>
      <c r="HR59" s="725" t="str">
        <f ca="1">IF(COUNTIF(HR$10:HR58,OFFSET(A1_原単位2026,17,HL59+2))&gt;=1,"",OFFSET(A1_原単位2026,17,HL59+2)&amp;"")</f>
        <v/>
      </c>
      <c r="HS59" s="728" t="str">
        <f t="shared" ca="1" si="53"/>
        <v/>
      </c>
      <c r="HT59" s="729" t="str">
        <f t="shared" ca="1" si="70"/>
        <v/>
      </c>
      <c r="HU59" s="724" t="str">
        <f t="shared" ca="1" si="71"/>
        <v/>
      </c>
      <c r="HV59" s="725" t="str">
        <f ca="1">IF(COUNTIF(HV$10:HV58,OFFSET(A1_原単位2026,29,HL59+2))&gt;=1,"",OFFSET(A1_原単位2026,29,HL59+2)&amp;"")</f>
        <v/>
      </c>
      <c r="HW59" s="728" t="str">
        <f t="shared" ca="1" si="56"/>
        <v/>
      </c>
      <c r="HX59" s="729" t="str">
        <f t="shared" ca="1" si="72"/>
        <v/>
      </c>
      <c r="HY59" s="724" t="str">
        <f t="shared" ca="1" si="73"/>
        <v/>
      </c>
      <c r="HZ59" s="725" t="str">
        <f ca="1">IF(COUNTIF(HZ$10:HZ58,OFFSET(A1_原単位2026,41,HL59+2))&gt;=1,"",OFFSET(A1_原単位2026,41,HL59+2)&amp;"")</f>
        <v/>
      </c>
      <c r="IA59" s="730" t="str">
        <f t="shared" ca="1" si="59"/>
        <v/>
      </c>
      <c r="IB59" s="731" t="str">
        <f t="shared" ca="1" si="74"/>
        <v/>
      </c>
      <c r="IE59" s="159" t="str">
        <f t="shared" ca="1" si="75"/>
        <v/>
      </c>
      <c r="IF59" s="159" t="str">
        <f t="shared" ca="1" si="76"/>
        <v/>
      </c>
      <c r="IG59" s="159" t="str">
        <f t="shared" ca="1" si="77"/>
        <v/>
      </c>
      <c r="IH59" s="159" t="str">
        <f t="shared" ca="1" si="78"/>
        <v/>
      </c>
    </row>
    <row r="60" spans="2:242" s="164" customFormat="1" ht="20.100000000000001" customHeight="1">
      <c r="B60" s="302"/>
      <c r="C60" s="303" t="s">
        <v>597</v>
      </c>
      <c r="D60" s="304"/>
      <c r="E60" s="305"/>
      <c r="F60" s="303" t="s">
        <v>455</v>
      </c>
      <c r="G60" s="306">
        <v>17.100000000000001</v>
      </c>
      <c r="H60" s="309"/>
      <c r="I60" s="308"/>
      <c r="J60" s="309"/>
      <c r="K60" s="310"/>
      <c r="L60" s="311"/>
      <c r="M60" s="311"/>
      <c r="N60" s="309"/>
      <c r="O60" s="310"/>
      <c r="P60" s="311"/>
      <c r="Q60" s="311"/>
      <c r="R60" s="309"/>
      <c r="S60" s="310"/>
      <c r="T60" s="311"/>
      <c r="U60" s="311"/>
      <c r="V60" s="309"/>
      <c r="W60" s="310"/>
      <c r="X60" s="311"/>
      <c r="Y60" s="311"/>
      <c r="Z60" s="309"/>
      <c r="AA60" s="310"/>
      <c r="AB60" s="311"/>
      <c r="AC60" s="311"/>
      <c r="AD60" s="309"/>
      <c r="AE60" s="310"/>
      <c r="AF60" s="311"/>
      <c r="AG60" s="311"/>
      <c r="AH60" s="309"/>
      <c r="AI60" s="310"/>
      <c r="AJ60" s="311"/>
      <c r="AK60" s="311"/>
      <c r="AL60" s="309"/>
      <c r="AM60" s="310"/>
      <c r="AN60" s="311"/>
      <c r="AO60" s="311"/>
      <c r="AP60" s="309"/>
      <c r="AQ60" s="310"/>
      <c r="AR60" s="311"/>
      <c r="AS60" s="311"/>
      <c r="AT60" s="309"/>
      <c r="AU60" s="310"/>
      <c r="AV60" s="311"/>
      <c r="AW60" s="311"/>
      <c r="AX60" s="309"/>
      <c r="AY60" s="310"/>
      <c r="AZ60" s="311"/>
      <c r="BA60" s="311"/>
      <c r="BB60" s="309"/>
      <c r="BC60" s="310"/>
      <c r="BD60" s="311"/>
      <c r="BE60" s="311"/>
      <c r="BF60" s="309"/>
      <c r="BG60" s="310"/>
      <c r="BH60" s="311"/>
      <c r="BI60" s="311"/>
      <c r="BJ60" s="309"/>
      <c r="BK60" s="310"/>
      <c r="BL60" s="311"/>
      <c r="BM60" s="311"/>
      <c r="BN60" s="309"/>
      <c r="BO60" s="310"/>
      <c r="BP60" s="311"/>
      <c r="BQ60" s="311"/>
      <c r="BR60" s="309"/>
      <c r="BS60" s="310"/>
      <c r="BT60" s="311"/>
      <c r="BU60" s="311"/>
      <c r="BV60" s="309"/>
      <c r="BW60" s="310"/>
      <c r="BX60" s="311"/>
      <c r="BY60" s="311"/>
      <c r="BZ60" s="309"/>
      <c r="CA60" s="310"/>
      <c r="CB60" s="311"/>
      <c r="CC60" s="311"/>
      <c r="CD60" s="309"/>
      <c r="CE60" s="310"/>
      <c r="CF60" s="311"/>
      <c r="CG60" s="311"/>
      <c r="CH60" s="309"/>
      <c r="CI60" s="310"/>
      <c r="CJ60" s="311"/>
      <c r="CK60" s="311"/>
      <c r="CL60" s="309"/>
      <c r="CM60" s="310"/>
      <c r="CN60" s="311"/>
      <c r="CO60" s="311"/>
      <c r="CP60" s="309"/>
      <c r="CQ60" s="310"/>
      <c r="CR60" s="311"/>
      <c r="CS60" s="311"/>
      <c r="CT60" s="309"/>
      <c r="CU60" s="310"/>
      <c r="CV60" s="311"/>
      <c r="CW60" s="311"/>
      <c r="CX60" s="309"/>
      <c r="CY60" s="310"/>
      <c r="CZ60" s="311"/>
      <c r="DA60" s="311"/>
      <c r="DB60" s="309"/>
      <c r="DC60" s="310"/>
      <c r="DD60" s="311"/>
      <c r="DE60" s="311"/>
      <c r="DF60" s="309"/>
      <c r="DG60" s="310"/>
      <c r="DH60" s="311"/>
      <c r="DI60" s="311"/>
      <c r="DJ60" s="309"/>
      <c r="DK60" s="310"/>
      <c r="DL60" s="311"/>
      <c r="DM60" s="311"/>
      <c r="DN60" s="309"/>
      <c r="DO60" s="310"/>
      <c r="DP60" s="311"/>
      <c r="DQ60" s="311"/>
      <c r="DR60" s="309"/>
      <c r="DS60" s="310"/>
      <c r="DT60" s="311"/>
      <c r="DU60" s="311"/>
      <c r="DV60" s="309"/>
      <c r="DW60" s="310"/>
      <c r="DX60" s="311"/>
      <c r="DY60" s="311"/>
      <c r="DZ60" s="309"/>
      <c r="EA60" s="310"/>
      <c r="EB60" s="311"/>
      <c r="EC60" s="311"/>
      <c r="ED60" s="309"/>
      <c r="EE60" s="310"/>
      <c r="EF60" s="311"/>
      <c r="EG60" s="311"/>
      <c r="EH60" s="309"/>
      <c r="EI60" s="310"/>
      <c r="EJ60" s="311"/>
      <c r="EK60" s="311"/>
      <c r="EL60" s="309"/>
      <c r="EM60" s="310"/>
      <c r="EN60" s="311"/>
      <c r="EO60" s="311"/>
      <c r="EP60" s="309"/>
      <c r="EQ60" s="310"/>
      <c r="ER60" s="311"/>
      <c r="ES60" s="311"/>
      <c r="ET60" s="309"/>
      <c r="EU60" s="310"/>
      <c r="EV60" s="311"/>
      <c r="EW60" s="311"/>
      <c r="EX60" s="309"/>
      <c r="EY60" s="310"/>
      <c r="EZ60" s="311"/>
      <c r="FA60" s="311"/>
      <c r="FB60" s="309"/>
      <c r="FC60" s="310"/>
      <c r="FD60" s="311"/>
      <c r="FE60" s="311"/>
      <c r="FF60" s="309"/>
      <c r="FG60" s="310"/>
      <c r="FH60" s="311"/>
      <c r="FI60" s="311"/>
      <c r="FJ60" s="309"/>
      <c r="FK60" s="310"/>
      <c r="FL60" s="311"/>
      <c r="FM60" s="311"/>
      <c r="FN60" s="309"/>
      <c r="FO60" s="310"/>
      <c r="FP60" s="311"/>
      <c r="FQ60" s="311"/>
      <c r="FR60" s="309"/>
      <c r="FS60" s="310"/>
      <c r="FT60" s="311"/>
      <c r="FU60" s="311"/>
      <c r="FV60" s="309"/>
      <c r="FW60" s="310"/>
      <c r="FX60" s="311"/>
      <c r="FY60" s="311"/>
      <c r="FZ60" s="309"/>
      <c r="GA60" s="310"/>
      <c r="GB60" s="311"/>
      <c r="GC60" s="311"/>
      <c r="GD60" s="309"/>
      <c r="GE60" s="310"/>
      <c r="GF60" s="311"/>
      <c r="GG60" s="311"/>
      <c r="GH60" s="309"/>
      <c r="GI60" s="310"/>
      <c r="GJ60" s="311"/>
      <c r="GK60" s="311"/>
      <c r="GL60" s="309"/>
      <c r="GM60" s="310"/>
      <c r="GN60" s="311"/>
      <c r="GO60" s="311"/>
      <c r="GP60" s="309"/>
      <c r="GQ60" s="310"/>
      <c r="GR60" s="311"/>
      <c r="GS60" s="311"/>
      <c r="GT60" s="309"/>
      <c r="GU60" s="310"/>
      <c r="GV60" s="311"/>
      <c r="GW60" s="311"/>
      <c r="GX60" s="309"/>
      <c r="GY60" s="310"/>
      <c r="GZ60" s="311"/>
      <c r="HA60" s="311"/>
      <c r="HB60" s="309"/>
      <c r="HC60" s="312">
        <f t="shared" si="79"/>
        <v>0</v>
      </c>
      <c r="HD60" s="313">
        <f t="shared" si="79"/>
        <v>0</v>
      </c>
      <c r="HE60" s="313">
        <f t="shared" si="79"/>
        <v>0</v>
      </c>
      <c r="HF60" s="314"/>
      <c r="HG60" s="312">
        <f>SUM(SUMIFS(K60:HB60,$K$13:$HB$13,{"エネルギー管理指定工場等*","県域*"}))</f>
        <v>0</v>
      </c>
      <c r="HH60" s="313">
        <f>SUM(SUMIFS(L60:HC60,$K$13:$HB$13,{"エネルギー管理指定工場等*","県域*"}))</f>
        <v>0</v>
      </c>
      <c r="HI60" s="313">
        <f>SUM(SUMIFS(M60:HD60,$K$13:$HB$13,{"エネルギー管理指定工場等*","県域*"}))</f>
        <v>0</v>
      </c>
      <c r="HJ60" s="314"/>
      <c r="IE60" s="579"/>
      <c r="IF60" s="579"/>
      <c r="IG60" s="579"/>
      <c r="IH60" s="579"/>
    </row>
    <row r="61" spans="2:242" s="164" customFormat="1" ht="20.100000000000001" customHeight="1">
      <c r="B61" s="302"/>
      <c r="C61" s="303" t="s">
        <v>598</v>
      </c>
      <c r="D61" s="304"/>
      <c r="E61" s="305"/>
      <c r="F61" s="303" t="s">
        <v>455</v>
      </c>
      <c r="G61" s="306">
        <v>142</v>
      </c>
      <c r="H61" s="309"/>
      <c r="I61" s="310"/>
      <c r="J61" s="315"/>
      <c r="K61" s="310"/>
      <c r="L61" s="311"/>
      <c r="M61" s="311"/>
      <c r="N61" s="309"/>
      <c r="O61" s="310"/>
      <c r="P61" s="311"/>
      <c r="Q61" s="311"/>
      <c r="R61" s="309"/>
      <c r="S61" s="310"/>
      <c r="T61" s="311"/>
      <c r="U61" s="311"/>
      <c r="V61" s="309"/>
      <c r="W61" s="310"/>
      <c r="X61" s="311"/>
      <c r="Y61" s="311"/>
      <c r="Z61" s="309"/>
      <c r="AA61" s="310"/>
      <c r="AB61" s="311"/>
      <c r="AC61" s="311"/>
      <c r="AD61" s="309"/>
      <c r="AE61" s="310"/>
      <c r="AF61" s="311"/>
      <c r="AG61" s="311"/>
      <c r="AH61" s="309"/>
      <c r="AI61" s="310"/>
      <c r="AJ61" s="311"/>
      <c r="AK61" s="311"/>
      <c r="AL61" s="309"/>
      <c r="AM61" s="310"/>
      <c r="AN61" s="311"/>
      <c r="AO61" s="311"/>
      <c r="AP61" s="309"/>
      <c r="AQ61" s="310"/>
      <c r="AR61" s="311"/>
      <c r="AS61" s="311"/>
      <c r="AT61" s="309"/>
      <c r="AU61" s="310"/>
      <c r="AV61" s="311"/>
      <c r="AW61" s="311"/>
      <c r="AX61" s="309"/>
      <c r="AY61" s="310"/>
      <c r="AZ61" s="311"/>
      <c r="BA61" s="311"/>
      <c r="BB61" s="309"/>
      <c r="BC61" s="310"/>
      <c r="BD61" s="311"/>
      <c r="BE61" s="311"/>
      <c r="BF61" s="309"/>
      <c r="BG61" s="310"/>
      <c r="BH61" s="311"/>
      <c r="BI61" s="311"/>
      <c r="BJ61" s="309"/>
      <c r="BK61" s="310"/>
      <c r="BL61" s="311"/>
      <c r="BM61" s="311"/>
      <c r="BN61" s="309"/>
      <c r="BO61" s="310"/>
      <c r="BP61" s="311"/>
      <c r="BQ61" s="311"/>
      <c r="BR61" s="309"/>
      <c r="BS61" s="310"/>
      <c r="BT61" s="311"/>
      <c r="BU61" s="311"/>
      <c r="BV61" s="309"/>
      <c r="BW61" s="310"/>
      <c r="BX61" s="311"/>
      <c r="BY61" s="311"/>
      <c r="BZ61" s="309"/>
      <c r="CA61" s="310"/>
      <c r="CB61" s="311"/>
      <c r="CC61" s="311"/>
      <c r="CD61" s="309"/>
      <c r="CE61" s="310"/>
      <c r="CF61" s="311"/>
      <c r="CG61" s="311"/>
      <c r="CH61" s="309"/>
      <c r="CI61" s="310"/>
      <c r="CJ61" s="311"/>
      <c r="CK61" s="311"/>
      <c r="CL61" s="309"/>
      <c r="CM61" s="310"/>
      <c r="CN61" s="311"/>
      <c r="CO61" s="311"/>
      <c r="CP61" s="309"/>
      <c r="CQ61" s="310"/>
      <c r="CR61" s="311"/>
      <c r="CS61" s="311"/>
      <c r="CT61" s="309"/>
      <c r="CU61" s="310"/>
      <c r="CV61" s="311"/>
      <c r="CW61" s="311"/>
      <c r="CX61" s="309"/>
      <c r="CY61" s="310"/>
      <c r="CZ61" s="311"/>
      <c r="DA61" s="311"/>
      <c r="DB61" s="309"/>
      <c r="DC61" s="310"/>
      <c r="DD61" s="311"/>
      <c r="DE61" s="311"/>
      <c r="DF61" s="309"/>
      <c r="DG61" s="310"/>
      <c r="DH61" s="311"/>
      <c r="DI61" s="311"/>
      <c r="DJ61" s="309"/>
      <c r="DK61" s="310"/>
      <c r="DL61" s="311"/>
      <c r="DM61" s="311"/>
      <c r="DN61" s="309"/>
      <c r="DO61" s="310"/>
      <c r="DP61" s="311"/>
      <c r="DQ61" s="311"/>
      <c r="DR61" s="309"/>
      <c r="DS61" s="310"/>
      <c r="DT61" s="311"/>
      <c r="DU61" s="311"/>
      <c r="DV61" s="309"/>
      <c r="DW61" s="310"/>
      <c r="DX61" s="311"/>
      <c r="DY61" s="311"/>
      <c r="DZ61" s="309"/>
      <c r="EA61" s="310"/>
      <c r="EB61" s="311"/>
      <c r="EC61" s="311"/>
      <c r="ED61" s="309"/>
      <c r="EE61" s="310"/>
      <c r="EF61" s="311"/>
      <c r="EG61" s="311"/>
      <c r="EH61" s="309"/>
      <c r="EI61" s="310"/>
      <c r="EJ61" s="311"/>
      <c r="EK61" s="311"/>
      <c r="EL61" s="309"/>
      <c r="EM61" s="310"/>
      <c r="EN61" s="311"/>
      <c r="EO61" s="311"/>
      <c r="EP61" s="309"/>
      <c r="EQ61" s="310"/>
      <c r="ER61" s="311"/>
      <c r="ES61" s="311"/>
      <c r="ET61" s="309"/>
      <c r="EU61" s="310"/>
      <c r="EV61" s="311"/>
      <c r="EW61" s="311"/>
      <c r="EX61" s="309"/>
      <c r="EY61" s="310"/>
      <c r="EZ61" s="311"/>
      <c r="FA61" s="311"/>
      <c r="FB61" s="309"/>
      <c r="FC61" s="310"/>
      <c r="FD61" s="311"/>
      <c r="FE61" s="311"/>
      <c r="FF61" s="309"/>
      <c r="FG61" s="310"/>
      <c r="FH61" s="311"/>
      <c r="FI61" s="311"/>
      <c r="FJ61" s="309"/>
      <c r="FK61" s="310"/>
      <c r="FL61" s="311"/>
      <c r="FM61" s="311"/>
      <c r="FN61" s="309"/>
      <c r="FO61" s="310"/>
      <c r="FP61" s="311"/>
      <c r="FQ61" s="311"/>
      <c r="FR61" s="309"/>
      <c r="FS61" s="310"/>
      <c r="FT61" s="311"/>
      <c r="FU61" s="311"/>
      <c r="FV61" s="309"/>
      <c r="FW61" s="310"/>
      <c r="FX61" s="311"/>
      <c r="FY61" s="311"/>
      <c r="FZ61" s="309"/>
      <c r="GA61" s="310"/>
      <c r="GB61" s="311"/>
      <c r="GC61" s="311"/>
      <c r="GD61" s="309"/>
      <c r="GE61" s="310"/>
      <c r="GF61" s="311"/>
      <c r="GG61" s="311"/>
      <c r="GH61" s="309"/>
      <c r="GI61" s="310"/>
      <c r="GJ61" s="311"/>
      <c r="GK61" s="311"/>
      <c r="GL61" s="309"/>
      <c r="GM61" s="310"/>
      <c r="GN61" s="311"/>
      <c r="GO61" s="311"/>
      <c r="GP61" s="309"/>
      <c r="GQ61" s="310"/>
      <c r="GR61" s="311"/>
      <c r="GS61" s="311"/>
      <c r="GT61" s="309"/>
      <c r="GU61" s="310"/>
      <c r="GV61" s="311"/>
      <c r="GW61" s="311"/>
      <c r="GX61" s="309"/>
      <c r="GY61" s="310"/>
      <c r="GZ61" s="311"/>
      <c r="HA61" s="311"/>
      <c r="HB61" s="309"/>
      <c r="HC61" s="312">
        <f t="shared" si="79"/>
        <v>0</v>
      </c>
      <c r="HD61" s="313">
        <f t="shared" si="79"/>
        <v>0</v>
      </c>
      <c r="HE61" s="313">
        <f t="shared" si="79"/>
        <v>0</v>
      </c>
      <c r="HF61" s="314"/>
      <c r="HG61" s="312">
        <f>SUM(SUMIFS(K61:HB61,$K$13:$HB$13,{"エネルギー管理指定工場等*","県域*"}))</f>
        <v>0</v>
      </c>
      <c r="HH61" s="313">
        <f>SUM(SUMIFS(L61:HC61,$K$13:$HB$13,{"エネルギー管理指定工場等*","県域*"}))</f>
        <v>0</v>
      </c>
      <c r="HI61" s="313">
        <f>SUM(SUMIFS(M61:HD61,$K$13:$HB$13,{"エネルギー管理指定工場等*","県域*"}))</f>
        <v>0</v>
      </c>
      <c r="HJ61" s="314"/>
      <c r="IE61" s="579"/>
      <c r="IF61" s="579"/>
      <c r="IG61" s="579"/>
      <c r="IH61" s="579"/>
    </row>
    <row r="62" spans="2:242" s="164" customFormat="1" ht="20.100000000000001" customHeight="1">
      <c r="B62" s="302"/>
      <c r="C62" s="303" t="s">
        <v>394</v>
      </c>
      <c r="D62" s="304"/>
      <c r="E62" s="305"/>
      <c r="F62" s="303" t="s">
        <v>455</v>
      </c>
      <c r="G62" s="306">
        <v>22.5</v>
      </c>
      <c r="H62" s="309"/>
      <c r="I62" s="310"/>
      <c r="J62" s="315"/>
      <c r="K62" s="310"/>
      <c r="L62" s="311"/>
      <c r="M62" s="311"/>
      <c r="N62" s="309"/>
      <c r="O62" s="310"/>
      <c r="P62" s="311"/>
      <c r="Q62" s="311"/>
      <c r="R62" s="309"/>
      <c r="S62" s="310"/>
      <c r="T62" s="311"/>
      <c r="U62" s="311"/>
      <c r="V62" s="309"/>
      <c r="W62" s="310"/>
      <c r="X62" s="311"/>
      <c r="Y62" s="311"/>
      <c r="Z62" s="309"/>
      <c r="AA62" s="310"/>
      <c r="AB62" s="311"/>
      <c r="AC62" s="311"/>
      <c r="AD62" s="309"/>
      <c r="AE62" s="310"/>
      <c r="AF62" s="311"/>
      <c r="AG62" s="311"/>
      <c r="AH62" s="309"/>
      <c r="AI62" s="310"/>
      <c r="AJ62" s="311"/>
      <c r="AK62" s="311"/>
      <c r="AL62" s="309"/>
      <c r="AM62" s="310"/>
      <c r="AN62" s="311"/>
      <c r="AO62" s="311"/>
      <c r="AP62" s="309"/>
      <c r="AQ62" s="310"/>
      <c r="AR62" s="311"/>
      <c r="AS62" s="311"/>
      <c r="AT62" s="309"/>
      <c r="AU62" s="310"/>
      <c r="AV62" s="311"/>
      <c r="AW62" s="311"/>
      <c r="AX62" s="309"/>
      <c r="AY62" s="310"/>
      <c r="AZ62" s="311"/>
      <c r="BA62" s="311"/>
      <c r="BB62" s="309"/>
      <c r="BC62" s="310"/>
      <c r="BD62" s="311"/>
      <c r="BE62" s="311"/>
      <c r="BF62" s="309"/>
      <c r="BG62" s="310"/>
      <c r="BH62" s="311"/>
      <c r="BI62" s="311"/>
      <c r="BJ62" s="309"/>
      <c r="BK62" s="310"/>
      <c r="BL62" s="311"/>
      <c r="BM62" s="311"/>
      <c r="BN62" s="309"/>
      <c r="BO62" s="310"/>
      <c r="BP62" s="311"/>
      <c r="BQ62" s="311"/>
      <c r="BR62" s="309"/>
      <c r="BS62" s="310"/>
      <c r="BT62" s="311"/>
      <c r="BU62" s="311"/>
      <c r="BV62" s="309"/>
      <c r="BW62" s="310"/>
      <c r="BX62" s="311"/>
      <c r="BY62" s="311"/>
      <c r="BZ62" s="309"/>
      <c r="CA62" s="310"/>
      <c r="CB62" s="311"/>
      <c r="CC62" s="311"/>
      <c r="CD62" s="309"/>
      <c r="CE62" s="310"/>
      <c r="CF62" s="311"/>
      <c r="CG62" s="311"/>
      <c r="CH62" s="309"/>
      <c r="CI62" s="310"/>
      <c r="CJ62" s="311"/>
      <c r="CK62" s="311"/>
      <c r="CL62" s="309"/>
      <c r="CM62" s="310"/>
      <c r="CN62" s="311"/>
      <c r="CO62" s="311"/>
      <c r="CP62" s="309"/>
      <c r="CQ62" s="310"/>
      <c r="CR62" s="311"/>
      <c r="CS62" s="311"/>
      <c r="CT62" s="309"/>
      <c r="CU62" s="310"/>
      <c r="CV62" s="311"/>
      <c r="CW62" s="311"/>
      <c r="CX62" s="309"/>
      <c r="CY62" s="310"/>
      <c r="CZ62" s="311"/>
      <c r="DA62" s="311"/>
      <c r="DB62" s="309"/>
      <c r="DC62" s="310"/>
      <c r="DD62" s="311"/>
      <c r="DE62" s="311"/>
      <c r="DF62" s="309"/>
      <c r="DG62" s="310"/>
      <c r="DH62" s="311"/>
      <c r="DI62" s="311"/>
      <c r="DJ62" s="309"/>
      <c r="DK62" s="310"/>
      <c r="DL62" s="311"/>
      <c r="DM62" s="311"/>
      <c r="DN62" s="309"/>
      <c r="DO62" s="310"/>
      <c r="DP62" s="311"/>
      <c r="DQ62" s="311"/>
      <c r="DR62" s="309"/>
      <c r="DS62" s="310"/>
      <c r="DT62" s="311"/>
      <c r="DU62" s="311"/>
      <c r="DV62" s="309"/>
      <c r="DW62" s="310"/>
      <c r="DX62" s="311"/>
      <c r="DY62" s="311"/>
      <c r="DZ62" s="309"/>
      <c r="EA62" s="310"/>
      <c r="EB62" s="311"/>
      <c r="EC62" s="311"/>
      <c r="ED62" s="309"/>
      <c r="EE62" s="310"/>
      <c r="EF62" s="311"/>
      <c r="EG62" s="311"/>
      <c r="EH62" s="309"/>
      <c r="EI62" s="310"/>
      <c r="EJ62" s="311"/>
      <c r="EK62" s="311"/>
      <c r="EL62" s="309"/>
      <c r="EM62" s="310"/>
      <c r="EN62" s="311"/>
      <c r="EO62" s="311"/>
      <c r="EP62" s="309"/>
      <c r="EQ62" s="310"/>
      <c r="ER62" s="311"/>
      <c r="ES62" s="311"/>
      <c r="ET62" s="309"/>
      <c r="EU62" s="310"/>
      <c r="EV62" s="311"/>
      <c r="EW62" s="311"/>
      <c r="EX62" s="309"/>
      <c r="EY62" s="310"/>
      <c r="EZ62" s="311"/>
      <c r="FA62" s="311"/>
      <c r="FB62" s="309"/>
      <c r="FC62" s="310"/>
      <c r="FD62" s="311"/>
      <c r="FE62" s="311"/>
      <c r="FF62" s="309"/>
      <c r="FG62" s="310"/>
      <c r="FH62" s="311"/>
      <c r="FI62" s="311"/>
      <c r="FJ62" s="309"/>
      <c r="FK62" s="310"/>
      <c r="FL62" s="311"/>
      <c r="FM62" s="311"/>
      <c r="FN62" s="309"/>
      <c r="FO62" s="310"/>
      <c r="FP62" s="311"/>
      <c r="FQ62" s="311"/>
      <c r="FR62" s="309"/>
      <c r="FS62" s="310"/>
      <c r="FT62" s="311"/>
      <c r="FU62" s="311"/>
      <c r="FV62" s="309"/>
      <c r="FW62" s="310"/>
      <c r="FX62" s="311"/>
      <c r="FY62" s="311"/>
      <c r="FZ62" s="309"/>
      <c r="GA62" s="310"/>
      <c r="GB62" s="311"/>
      <c r="GC62" s="311"/>
      <c r="GD62" s="309"/>
      <c r="GE62" s="310"/>
      <c r="GF62" s="311"/>
      <c r="GG62" s="311"/>
      <c r="GH62" s="309"/>
      <c r="GI62" s="310"/>
      <c r="GJ62" s="311"/>
      <c r="GK62" s="311"/>
      <c r="GL62" s="309"/>
      <c r="GM62" s="310"/>
      <c r="GN62" s="311"/>
      <c r="GO62" s="311"/>
      <c r="GP62" s="309"/>
      <c r="GQ62" s="310"/>
      <c r="GR62" s="311"/>
      <c r="GS62" s="311"/>
      <c r="GT62" s="309"/>
      <c r="GU62" s="310"/>
      <c r="GV62" s="311"/>
      <c r="GW62" s="311"/>
      <c r="GX62" s="309"/>
      <c r="GY62" s="310"/>
      <c r="GZ62" s="311"/>
      <c r="HA62" s="311"/>
      <c r="HB62" s="309"/>
      <c r="HC62" s="312">
        <f t="shared" si="79"/>
        <v>0</v>
      </c>
      <c r="HD62" s="313">
        <f t="shared" si="79"/>
        <v>0</v>
      </c>
      <c r="HE62" s="313">
        <f t="shared" si="79"/>
        <v>0</v>
      </c>
      <c r="HF62" s="314"/>
      <c r="HG62" s="312">
        <f>SUM(SUMIFS(K62:HB62,$K$13:$HB$13,{"エネルギー管理指定工場等*","県域*"}))</f>
        <v>0</v>
      </c>
      <c r="HH62" s="313">
        <f>SUM(SUMIFS(L62:HC62,$K$13:$HB$13,{"エネルギー管理指定工場等*","県域*"}))</f>
        <v>0</v>
      </c>
      <c r="HI62" s="313">
        <f>SUM(SUMIFS(M62:HD62,$K$13:$HB$13,{"エネルギー管理指定工場等*","県域*"}))</f>
        <v>0</v>
      </c>
      <c r="HJ62" s="314"/>
      <c r="IE62" s="579"/>
      <c r="IF62" s="579"/>
      <c r="IG62" s="579"/>
      <c r="IH62" s="579"/>
    </row>
    <row r="63" spans="2:242" s="164" customFormat="1" ht="20.100000000000001" customHeight="1">
      <c r="B63" s="302"/>
      <c r="C63" s="326" t="s">
        <v>599</v>
      </c>
      <c r="D63" s="303"/>
      <c r="E63" s="311"/>
      <c r="F63" s="323"/>
      <c r="G63" s="310"/>
      <c r="H63" s="315"/>
      <c r="I63" s="310"/>
      <c r="J63" s="315"/>
      <c r="K63" s="310"/>
      <c r="L63" s="311"/>
      <c r="M63" s="311"/>
      <c r="N63" s="309"/>
      <c r="O63" s="310"/>
      <c r="P63" s="311"/>
      <c r="Q63" s="311"/>
      <c r="R63" s="309"/>
      <c r="S63" s="310"/>
      <c r="T63" s="311"/>
      <c r="U63" s="311"/>
      <c r="V63" s="309"/>
      <c r="W63" s="310"/>
      <c r="X63" s="311"/>
      <c r="Y63" s="311"/>
      <c r="Z63" s="309"/>
      <c r="AA63" s="310"/>
      <c r="AB63" s="311"/>
      <c r="AC63" s="311"/>
      <c r="AD63" s="309"/>
      <c r="AE63" s="310"/>
      <c r="AF63" s="311"/>
      <c r="AG63" s="311"/>
      <c r="AH63" s="309"/>
      <c r="AI63" s="310"/>
      <c r="AJ63" s="311"/>
      <c r="AK63" s="311"/>
      <c r="AL63" s="309"/>
      <c r="AM63" s="310"/>
      <c r="AN63" s="311"/>
      <c r="AO63" s="311"/>
      <c r="AP63" s="309"/>
      <c r="AQ63" s="310"/>
      <c r="AR63" s="311"/>
      <c r="AS63" s="311"/>
      <c r="AT63" s="309"/>
      <c r="AU63" s="310"/>
      <c r="AV63" s="311"/>
      <c r="AW63" s="311"/>
      <c r="AX63" s="309"/>
      <c r="AY63" s="310"/>
      <c r="AZ63" s="311"/>
      <c r="BA63" s="311"/>
      <c r="BB63" s="309"/>
      <c r="BC63" s="310"/>
      <c r="BD63" s="311"/>
      <c r="BE63" s="311"/>
      <c r="BF63" s="309"/>
      <c r="BG63" s="310"/>
      <c r="BH63" s="311"/>
      <c r="BI63" s="311"/>
      <c r="BJ63" s="309"/>
      <c r="BK63" s="310"/>
      <c r="BL63" s="311"/>
      <c r="BM63" s="311"/>
      <c r="BN63" s="309"/>
      <c r="BO63" s="310"/>
      <c r="BP63" s="311"/>
      <c r="BQ63" s="311"/>
      <c r="BR63" s="309"/>
      <c r="BS63" s="310"/>
      <c r="BT63" s="311"/>
      <c r="BU63" s="311"/>
      <c r="BV63" s="309"/>
      <c r="BW63" s="310"/>
      <c r="BX63" s="311"/>
      <c r="BY63" s="311"/>
      <c r="BZ63" s="309"/>
      <c r="CA63" s="310"/>
      <c r="CB63" s="311"/>
      <c r="CC63" s="311"/>
      <c r="CD63" s="309"/>
      <c r="CE63" s="310"/>
      <c r="CF63" s="311"/>
      <c r="CG63" s="311"/>
      <c r="CH63" s="309"/>
      <c r="CI63" s="310"/>
      <c r="CJ63" s="311"/>
      <c r="CK63" s="311"/>
      <c r="CL63" s="309"/>
      <c r="CM63" s="310"/>
      <c r="CN63" s="311"/>
      <c r="CO63" s="311"/>
      <c r="CP63" s="309"/>
      <c r="CQ63" s="310"/>
      <c r="CR63" s="311"/>
      <c r="CS63" s="311"/>
      <c r="CT63" s="309"/>
      <c r="CU63" s="310"/>
      <c r="CV63" s="311"/>
      <c r="CW63" s="311"/>
      <c r="CX63" s="309"/>
      <c r="CY63" s="310"/>
      <c r="CZ63" s="311"/>
      <c r="DA63" s="311"/>
      <c r="DB63" s="309"/>
      <c r="DC63" s="310"/>
      <c r="DD63" s="311"/>
      <c r="DE63" s="311"/>
      <c r="DF63" s="309"/>
      <c r="DG63" s="310"/>
      <c r="DH63" s="311"/>
      <c r="DI63" s="311"/>
      <c r="DJ63" s="309"/>
      <c r="DK63" s="310"/>
      <c r="DL63" s="311"/>
      <c r="DM63" s="311"/>
      <c r="DN63" s="309"/>
      <c r="DO63" s="310"/>
      <c r="DP63" s="311"/>
      <c r="DQ63" s="311"/>
      <c r="DR63" s="309"/>
      <c r="DS63" s="310"/>
      <c r="DT63" s="311"/>
      <c r="DU63" s="311"/>
      <c r="DV63" s="309"/>
      <c r="DW63" s="310"/>
      <c r="DX63" s="311"/>
      <c r="DY63" s="311"/>
      <c r="DZ63" s="309"/>
      <c r="EA63" s="310"/>
      <c r="EB63" s="311"/>
      <c r="EC63" s="311"/>
      <c r="ED63" s="309"/>
      <c r="EE63" s="310"/>
      <c r="EF63" s="311"/>
      <c r="EG63" s="311"/>
      <c r="EH63" s="309"/>
      <c r="EI63" s="310"/>
      <c r="EJ63" s="311"/>
      <c r="EK63" s="311"/>
      <c r="EL63" s="309"/>
      <c r="EM63" s="310"/>
      <c r="EN63" s="311"/>
      <c r="EO63" s="311"/>
      <c r="EP63" s="309"/>
      <c r="EQ63" s="310"/>
      <c r="ER63" s="311"/>
      <c r="ES63" s="311"/>
      <c r="ET63" s="309"/>
      <c r="EU63" s="310"/>
      <c r="EV63" s="311"/>
      <c r="EW63" s="311"/>
      <c r="EX63" s="309"/>
      <c r="EY63" s="310"/>
      <c r="EZ63" s="311"/>
      <c r="FA63" s="311"/>
      <c r="FB63" s="309"/>
      <c r="FC63" s="310"/>
      <c r="FD63" s="311"/>
      <c r="FE63" s="311"/>
      <c r="FF63" s="309"/>
      <c r="FG63" s="310"/>
      <c r="FH63" s="311"/>
      <c r="FI63" s="311"/>
      <c r="FJ63" s="309"/>
      <c r="FK63" s="310"/>
      <c r="FL63" s="311"/>
      <c r="FM63" s="311"/>
      <c r="FN63" s="309"/>
      <c r="FO63" s="310"/>
      <c r="FP63" s="311"/>
      <c r="FQ63" s="311"/>
      <c r="FR63" s="309"/>
      <c r="FS63" s="310"/>
      <c r="FT63" s="311"/>
      <c r="FU63" s="311"/>
      <c r="FV63" s="309"/>
      <c r="FW63" s="310"/>
      <c r="FX63" s="311"/>
      <c r="FY63" s="311"/>
      <c r="FZ63" s="309"/>
      <c r="GA63" s="310"/>
      <c r="GB63" s="311"/>
      <c r="GC63" s="311"/>
      <c r="GD63" s="309"/>
      <c r="GE63" s="310"/>
      <c r="GF63" s="311"/>
      <c r="GG63" s="311"/>
      <c r="GH63" s="309"/>
      <c r="GI63" s="310"/>
      <c r="GJ63" s="311"/>
      <c r="GK63" s="311"/>
      <c r="GL63" s="309"/>
      <c r="GM63" s="310"/>
      <c r="GN63" s="311"/>
      <c r="GO63" s="311"/>
      <c r="GP63" s="309"/>
      <c r="GQ63" s="310"/>
      <c r="GR63" s="311"/>
      <c r="GS63" s="311"/>
      <c r="GT63" s="309"/>
      <c r="GU63" s="310"/>
      <c r="GV63" s="311"/>
      <c r="GW63" s="311"/>
      <c r="GX63" s="309"/>
      <c r="GY63" s="310"/>
      <c r="GZ63" s="311"/>
      <c r="HA63" s="311"/>
      <c r="HB63" s="309"/>
      <c r="HC63" s="312">
        <f t="shared" si="79"/>
        <v>0</v>
      </c>
      <c r="HD63" s="313">
        <f t="shared" si="79"/>
        <v>0</v>
      </c>
      <c r="HE63" s="313">
        <f t="shared" si="79"/>
        <v>0</v>
      </c>
      <c r="HF63" s="314"/>
      <c r="HG63" s="312">
        <f>SUM(SUMIFS(K63:HB63,$K$13:$HB$13,{"エネルギー管理指定工場等*","県域*"}))</f>
        <v>0</v>
      </c>
      <c r="HH63" s="313">
        <f>SUM(SUMIFS(L63:HC63,$K$13:$HB$13,{"エネルギー管理指定工場等*","県域*"}))</f>
        <v>0</v>
      </c>
      <c r="HI63" s="313">
        <f>SUM(SUMIFS(M63:HD63,$K$13:$HB$13,{"エネルギー管理指定工場等*","県域*"}))</f>
        <v>0</v>
      </c>
      <c r="HJ63" s="314"/>
      <c r="IE63" s="579"/>
      <c r="IF63" s="579"/>
      <c r="IG63" s="579"/>
      <c r="IH63" s="579"/>
    </row>
    <row r="64" spans="2:242" s="164" customFormat="1" ht="20.100000000000001" customHeight="1">
      <c r="B64" s="320"/>
      <c r="C64" s="326" t="s">
        <v>600</v>
      </c>
      <c r="D64" s="303"/>
      <c r="E64" s="311"/>
      <c r="F64" s="323"/>
      <c r="G64" s="310"/>
      <c r="H64" s="315"/>
      <c r="I64" s="308"/>
      <c r="J64" s="309"/>
      <c r="K64" s="310"/>
      <c r="L64" s="311"/>
      <c r="M64" s="311"/>
      <c r="N64" s="309"/>
      <c r="O64" s="310"/>
      <c r="P64" s="311"/>
      <c r="Q64" s="311"/>
      <c r="R64" s="309"/>
      <c r="S64" s="310"/>
      <c r="T64" s="311"/>
      <c r="U64" s="311"/>
      <c r="V64" s="309"/>
      <c r="W64" s="310"/>
      <c r="X64" s="311"/>
      <c r="Y64" s="311"/>
      <c r="Z64" s="309"/>
      <c r="AA64" s="310"/>
      <c r="AB64" s="311"/>
      <c r="AC64" s="311"/>
      <c r="AD64" s="309"/>
      <c r="AE64" s="310"/>
      <c r="AF64" s="311"/>
      <c r="AG64" s="311"/>
      <c r="AH64" s="309"/>
      <c r="AI64" s="310"/>
      <c r="AJ64" s="311"/>
      <c r="AK64" s="311"/>
      <c r="AL64" s="309"/>
      <c r="AM64" s="310"/>
      <c r="AN64" s="311"/>
      <c r="AO64" s="311"/>
      <c r="AP64" s="309"/>
      <c r="AQ64" s="310"/>
      <c r="AR64" s="311"/>
      <c r="AS64" s="311"/>
      <c r="AT64" s="309"/>
      <c r="AU64" s="310"/>
      <c r="AV64" s="311"/>
      <c r="AW64" s="311"/>
      <c r="AX64" s="309"/>
      <c r="AY64" s="310"/>
      <c r="AZ64" s="311"/>
      <c r="BA64" s="311"/>
      <c r="BB64" s="309"/>
      <c r="BC64" s="310"/>
      <c r="BD64" s="311"/>
      <c r="BE64" s="311"/>
      <c r="BF64" s="309"/>
      <c r="BG64" s="310"/>
      <c r="BH64" s="311"/>
      <c r="BI64" s="311"/>
      <c r="BJ64" s="309"/>
      <c r="BK64" s="310"/>
      <c r="BL64" s="311"/>
      <c r="BM64" s="311"/>
      <c r="BN64" s="309"/>
      <c r="BO64" s="310"/>
      <c r="BP64" s="311"/>
      <c r="BQ64" s="311"/>
      <c r="BR64" s="309"/>
      <c r="BS64" s="310"/>
      <c r="BT64" s="311"/>
      <c r="BU64" s="311"/>
      <c r="BV64" s="309"/>
      <c r="BW64" s="310"/>
      <c r="BX64" s="311"/>
      <c r="BY64" s="311"/>
      <c r="BZ64" s="309"/>
      <c r="CA64" s="310"/>
      <c r="CB64" s="311"/>
      <c r="CC64" s="311"/>
      <c r="CD64" s="309"/>
      <c r="CE64" s="310"/>
      <c r="CF64" s="311"/>
      <c r="CG64" s="311"/>
      <c r="CH64" s="309"/>
      <c r="CI64" s="310"/>
      <c r="CJ64" s="311"/>
      <c r="CK64" s="311"/>
      <c r="CL64" s="309"/>
      <c r="CM64" s="310"/>
      <c r="CN64" s="311"/>
      <c r="CO64" s="311"/>
      <c r="CP64" s="309"/>
      <c r="CQ64" s="310"/>
      <c r="CR64" s="311"/>
      <c r="CS64" s="311"/>
      <c r="CT64" s="309"/>
      <c r="CU64" s="310"/>
      <c r="CV64" s="311"/>
      <c r="CW64" s="311"/>
      <c r="CX64" s="309"/>
      <c r="CY64" s="310"/>
      <c r="CZ64" s="311"/>
      <c r="DA64" s="311"/>
      <c r="DB64" s="309"/>
      <c r="DC64" s="310"/>
      <c r="DD64" s="311"/>
      <c r="DE64" s="311"/>
      <c r="DF64" s="309"/>
      <c r="DG64" s="310"/>
      <c r="DH64" s="311"/>
      <c r="DI64" s="311"/>
      <c r="DJ64" s="309"/>
      <c r="DK64" s="310"/>
      <c r="DL64" s="311"/>
      <c r="DM64" s="311"/>
      <c r="DN64" s="309"/>
      <c r="DO64" s="310"/>
      <c r="DP64" s="311"/>
      <c r="DQ64" s="311"/>
      <c r="DR64" s="309"/>
      <c r="DS64" s="310"/>
      <c r="DT64" s="311"/>
      <c r="DU64" s="311"/>
      <c r="DV64" s="309"/>
      <c r="DW64" s="310"/>
      <c r="DX64" s="311"/>
      <c r="DY64" s="311"/>
      <c r="DZ64" s="309"/>
      <c r="EA64" s="310"/>
      <c r="EB64" s="311"/>
      <c r="EC64" s="311"/>
      <c r="ED64" s="309"/>
      <c r="EE64" s="310"/>
      <c r="EF64" s="311"/>
      <c r="EG64" s="311"/>
      <c r="EH64" s="309"/>
      <c r="EI64" s="310"/>
      <c r="EJ64" s="311"/>
      <c r="EK64" s="311"/>
      <c r="EL64" s="309"/>
      <c r="EM64" s="310"/>
      <c r="EN64" s="311"/>
      <c r="EO64" s="311"/>
      <c r="EP64" s="309"/>
      <c r="EQ64" s="310"/>
      <c r="ER64" s="311"/>
      <c r="ES64" s="311"/>
      <c r="ET64" s="309"/>
      <c r="EU64" s="310"/>
      <c r="EV64" s="311"/>
      <c r="EW64" s="311"/>
      <c r="EX64" s="309"/>
      <c r="EY64" s="310"/>
      <c r="EZ64" s="311"/>
      <c r="FA64" s="311"/>
      <c r="FB64" s="309"/>
      <c r="FC64" s="310"/>
      <c r="FD64" s="311"/>
      <c r="FE64" s="311"/>
      <c r="FF64" s="309"/>
      <c r="FG64" s="310"/>
      <c r="FH64" s="311"/>
      <c r="FI64" s="311"/>
      <c r="FJ64" s="309"/>
      <c r="FK64" s="310"/>
      <c r="FL64" s="311"/>
      <c r="FM64" s="311"/>
      <c r="FN64" s="309"/>
      <c r="FO64" s="310"/>
      <c r="FP64" s="311"/>
      <c r="FQ64" s="311"/>
      <c r="FR64" s="309"/>
      <c r="FS64" s="310"/>
      <c r="FT64" s="311"/>
      <c r="FU64" s="311"/>
      <c r="FV64" s="309"/>
      <c r="FW64" s="310"/>
      <c r="FX64" s="311"/>
      <c r="FY64" s="311"/>
      <c r="FZ64" s="309"/>
      <c r="GA64" s="310"/>
      <c r="GB64" s="311"/>
      <c r="GC64" s="311"/>
      <c r="GD64" s="309"/>
      <c r="GE64" s="310"/>
      <c r="GF64" s="311"/>
      <c r="GG64" s="311"/>
      <c r="GH64" s="309"/>
      <c r="GI64" s="310"/>
      <c r="GJ64" s="311"/>
      <c r="GK64" s="311"/>
      <c r="GL64" s="309"/>
      <c r="GM64" s="310"/>
      <c r="GN64" s="311"/>
      <c r="GO64" s="311"/>
      <c r="GP64" s="309"/>
      <c r="GQ64" s="310"/>
      <c r="GR64" s="311"/>
      <c r="GS64" s="311"/>
      <c r="GT64" s="309"/>
      <c r="GU64" s="310"/>
      <c r="GV64" s="311"/>
      <c r="GW64" s="311"/>
      <c r="GX64" s="309"/>
      <c r="GY64" s="310"/>
      <c r="GZ64" s="311"/>
      <c r="HA64" s="311"/>
      <c r="HB64" s="309"/>
      <c r="HC64" s="312">
        <f t="shared" si="79"/>
        <v>0</v>
      </c>
      <c r="HD64" s="313">
        <f t="shared" si="79"/>
        <v>0</v>
      </c>
      <c r="HE64" s="313">
        <f t="shared" si="79"/>
        <v>0</v>
      </c>
      <c r="HF64" s="314"/>
      <c r="HG64" s="312">
        <f>SUM(SUMIFS(K64:HB64,$K$13:$HB$13,{"エネルギー管理指定工場等*","県域*"}))</f>
        <v>0</v>
      </c>
      <c r="HH64" s="313">
        <f>SUM(SUMIFS(L64:HC64,$K$13:$HB$13,{"エネルギー管理指定工場等*","県域*"}))</f>
        <v>0</v>
      </c>
      <c r="HI64" s="313">
        <f>SUM(SUMIFS(M64:HD64,$K$13:$HB$13,{"エネルギー管理指定工場等*","県域*"}))</f>
        <v>0</v>
      </c>
      <c r="HJ64" s="314"/>
      <c r="IE64" s="579"/>
      <c r="IF64" s="579"/>
      <c r="IG64" s="579"/>
      <c r="IH64" s="579"/>
    </row>
    <row r="65" spans="2:242" s="164" customFormat="1" ht="59.4">
      <c r="B65" s="324" t="s">
        <v>1374</v>
      </c>
      <c r="C65" s="327" t="s">
        <v>1375</v>
      </c>
      <c r="D65" s="328" t="s">
        <v>601</v>
      </c>
      <c r="E65" s="305"/>
      <c r="F65" s="303" t="s">
        <v>461</v>
      </c>
      <c r="G65" s="306">
        <v>1.17</v>
      </c>
      <c r="H65" s="307">
        <v>6.54E-2</v>
      </c>
      <c r="I65" s="308"/>
      <c r="J65" s="309"/>
      <c r="K65" s="310"/>
      <c r="L65" s="329"/>
      <c r="M65" s="311"/>
      <c r="N65" s="315"/>
      <c r="O65" s="310"/>
      <c r="P65" s="329"/>
      <c r="Q65" s="311"/>
      <c r="R65" s="315"/>
      <c r="S65" s="310"/>
      <c r="T65" s="329"/>
      <c r="U65" s="311"/>
      <c r="V65" s="315"/>
      <c r="W65" s="310"/>
      <c r="X65" s="329"/>
      <c r="Y65" s="311"/>
      <c r="Z65" s="315"/>
      <c r="AA65" s="310"/>
      <c r="AB65" s="329"/>
      <c r="AC65" s="311"/>
      <c r="AD65" s="315"/>
      <c r="AE65" s="310"/>
      <c r="AF65" s="329"/>
      <c r="AG65" s="311"/>
      <c r="AH65" s="315"/>
      <c r="AI65" s="310"/>
      <c r="AJ65" s="329"/>
      <c r="AK65" s="311"/>
      <c r="AL65" s="315"/>
      <c r="AM65" s="310"/>
      <c r="AN65" s="329"/>
      <c r="AO65" s="311"/>
      <c r="AP65" s="315"/>
      <c r="AQ65" s="310"/>
      <c r="AR65" s="329"/>
      <c r="AS65" s="311"/>
      <c r="AT65" s="315"/>
      <c r="AU65" s="310"/>
      <c r="AV65" s="329"/>
      <c r="AW65" s="311"/>
      <c r="AX65" s="315"/>
      <c r="AY65" s="310"/>
      <c r="AZ65" s="329"/>
      <c r="BA65" s="311"/>
      <c r="BB65" s="315"/>
      <c r="BC65" s="310"/>
      <c r="BD65" s="329"/>
      <c r="BE65" s="311"/>
      <c r="BF65" s="315"/>
      <c r="BG65" s="310"/>
      <c r="BH65" s="329"/>
      <c r="BI65" s="311"/>
      <c r="BJ65" s="315"/>
      <c r="BK65" s="310"/>
      <c r="BL65" s="329"/>
      <c r="BM65" s="311"/>
      <c r="BN65" s="315"/>
      <c r="BO65" s="310"/>
      <c r="BP65" s="329"/>
      <c r="BQ65" s="311"/>
      <c r="BR65" s="315"/>
      <c r="BS65" s="310"/>
      <c r="BT65" s="329"/>
      <c r="BU65" s="311"/>
      <c r="BV65" s="315"/>
      <c r="BW65" s="310"/>
      <c r="BX65" s="329"/>
      <c r="BY65" s="311"/>
      <c r="BZ65" s="315"/>
      <c r="CA65" s="310"/>
      <c r="CB65" s="329"/>
      <c r="CC65" s="311"/>
      <c r="CD65" s="315"/>
      <c r="CE65" s="310"/>
      <c r="CF65" s="329"/>
      <c r="CG65" s="311"/>
      <c r="CH65" s="315"/>
      <c r="CI65" s="310"/>
      <c r="CJ65" s="329"/>
      <c r="CK65" s="311"/>
      <c r="CL65" s="315"/>
      <c r="CM65" s="310"/>
      <c r="CN65" s="329"/>
      <c r="CO65" s="311"/>
      <c r="CP65" s="315"/>
      <c r="CQ65" s="310"/>
      <c r="CR65" s="329"/>
      <c r="CS65" s="311"/>
      <c r="CT65" s="315"/>
      <c r="CU65" s="310"/>
      <c r="CV65" s="329"/>
      <c r="CW65" s="311"/>
      <c r="CX65" s="315"/>
      <c r="CY65" s="310"/>
      <c r="CZ65" s="329"/>
      <c r="DA65" s="311"/>
      <c r="DB65" s="315"/>
      <c r="DC65" s="310"/>
      <c r="DD65" s="329"/>
      <c r="DE65" s="311"/>
      <c r="DF65" s="315"/>
      <c r="DG65" s="310"/>
      <c r="DH65" s="329"/>
      <c r="DI65" s="311"/>
      <c r="DJ65" s="315"/>
      <c r="DK65" s="310"/>
      <c r="DL65" s="329"/>
      <c r="DM65" s="311"/>
      <c r="DN65" s="315"/>
      <c r="DO65" s="310"/>
      <c r="DP65" s="329"/>
      <c r="DQ65" s="311"/>
      <c r="DR65" s="315"/>
      <c r="DS65" s="310"/>
      <c r="DT65" s="329"/>
      <c r="DU65" s="311"/>
      <c r="DV65" s="315"/>
      <c r="DW65" s="310"/>
      <c r="DX65" s="329"/>
      <c r="DY65" s="311"/>
      <c r="DZ65" s="315"/>
      <c r="EA65" s="310"/>
      <c r="EB65" s="329"/>
      <c r="EC65" s="311"/>
      <c r="ED65" s="315"/>
      <c r="EE65" s="310"/>
      <c r="EF65" s="329"/>
      <c r="EG65" s="311"/>
      <c r="EH65" s="315"/>
      <c r="EI65" s="310"/>
      <c r="EJ65" s="329"/>
      <c r="EK65" s="311"/>
      <c r="EL65" s="315"/>
      <c r="EM65" s="310"/>
      <c r="EN65" s="329"/>
      <c r="EO65" s="311"/>
      <c r="EP65" s="315"/>
      <c r="EQ65" s="310"/>
      <c r="ER65" s="329"/>
      <c r="ES65" s="311"/>
      <c r="ET65" s="315"/>
      <c r="EU65" s="310"/>
      <c r="EV65" s="329"/>
      <c r="EW65" s="311"/>
      <c r="EX65" s="315"/>
      <c r="EY65" s="310"/>
      <c r="EZ65" s="329"/>
      <c r="FA65" s="311"/>
      <c r="FB65" s="315"/>
      <c r="FC65" s="310"/>
      <c r="FD65" s="329"/>
      <c r="FE65" s="311"/>
      <c r="FF65" s="315"/>
      <c r="FG65" s="310"/>
      <c r="FH65" s="329"/>
      <c r="FI65" s="311"/>
      <c r="FJ65" s="315"/>
      <c r="FK65" s="310"/>
      <c r="FL65" s="329"/>
      <c r="FM65" s="311"/>
      <c r="FN65" s="315"/>
      <c r="FO65" s="310"/>
      <c r="FP65" s="329"/>
      <c r="FQ65" s="311"/>
      <c r="FR65" s="315"/>
      <c r="FS65" s="310"/>
      <c r="FT65" s="329"/>
      <c r="FU65" s="311"/>
      <c r="FV65" s="315"/>
      <c r="FW65" s="310"/>
      <c r="FX65" s="329"/>
      <c r="FY65" s="311"/>
      <c r="FZ65" s="315"/>
      <c r="GA65" s="310"/>
      <c r="GB65" s="329"/>
      <c r="GC65" s="311"/>
      <c r="GD65" s="315"/>
      <c r="GE65" s="310"/>
      <c r="GF65" s="329"/>
      <c r="GG65" s="311"/>
      <c r="GH65" s="315"/>
      <c r="GI65" s="310"/>
      <c r="GJ65" s="329"/>
      <c r="GK65" s="311"/>
      <c r="GL65" s="315"/>
      <c r="GM65" s="310"/>
      <c r="GN65" s="329"/>
      <c r="GO65" s="311"/>
      <c r="GP65" s="315"/>
      <c r="GQ65" s="310"/>
      <c r="GR65" s="329"/>
      <c r="GS65" s="311"/>
      <c r="GT65" s="315"/>
      <c r="GU65" s="310"/>
      <c r="GV65" s="329"/>
      <c r="GW65" s="311"/>
      <c r="GX65" s="315"/>
      <c r="GY65" s="310"/>
      <c r="GZ65" s="329"/>
      <c r="HA65" s="311"/>
      <c r="HB65" s="315"/>
      <c r="HC65" s="312">
        <f t="shared" si="79"/>
        <v>0</v>
      </c>
      <c r="HD65" s="330"/>
      <c r="HE65" s="313">
        <f t="shared" si="79"/>
        <v>0</v>
      </c>
      <c r="HF65" s="331">
        <f t="shared" si="79"/>
        <v>0</v>
      </c>
      <c r="HG65" s="312">
        <f>SUM(SUMIFS(K65:HB65,$K$13:$HB$13,{"エネルギー管理指定工場等*","県域*"}))</f>
        <v>0</v>
      </c>
      <c r="HH65" s="330"/>
      <c r="HI65" s="313">
        <f>SUM(SUMIFS(M65:HD65,$K$13:$HB$13,{"エネルギー管理指定工場等*","県域*"}))</f>
        <v>0</v>
      </c>
      <c r="HJ65" s="331">
        <f>SUM(SUMIFS(N65:HE65,$K$13:$HB$13,{"エネルギー管理指定工場等*","県域*"}))</f>
        <v>0</v>
      </c>
      <c r="IE65" s="579"/>
      <c r="IF65" s="579"/>
      <c r="IG65" s="579"/>
      <c r="IH65" s="579"/>
    </row>
    <row r="66" spans="2:242" s="164" customFormat="1" ht="20.100000000000001" customHeight="1">
      <c r="B66" s="302"/>
      <c r="C66" s="319"/>
      <c r="D66" s="332"/>
      <c r="E66" s="333" t="s">
        <v>1376</v>
      </c>
      <c r="F66" s="303" t="s">
        <v>461</v>
      </c>
      <c r="G66" s="306">
        <v>1.17</v>
      </c>
      <c r="H66" s="315"/>
      <c r="I66" s="308"/>
      <c r="J66" s="309"/>
      <c r="K66" s="310"/>
      <c r="L66" s="329"/>
      <c r="M66" s="311"/>
      <c r="N66" s="315"/>
      <c r="O66" s="310"/>
      <c r="P66" s="329"/>
      <c r="Q66" s="311"/>
      <c r="R66" s="315"/>
      <c r="S66" s="310"/>
      <c r="T66" s="329"/>
      <c r="U66" s="311"/>
      <c r="V66" s="315"/>
      <c r="W66" s="310"/>
      <c r="X66" s="329"/>
      <c r="Y66" s="311"/>
      <c r="Z66" s="315"/>
      <c r="AA66" s="310"/>
      <c r="AB66" s="329"/>
      <c r="AC66" s="311"/>
      <c r="AD66" s="315"/>
      <c r="AE66" s="310"/>
      <c r="AF66" s="329"/>
      <c r="AG66" s="311"/>
      <c r="AH66" s="315"/>
      <c r="AI66" s="310"/>
      <c r="AJ66" s="329"/>
      <c r="AK66" s="311"/>
      <c r="AL66" s="315"/>
      <c r="AM66" s="310"/>
      <c r="AN66" s="329"/>
      <c r="AO66" s="311"/>
      <c r="AP66" s="315"/>
      <c r="AQ66" s="310"/>
      <c r="AR66" s="329"/>
      <c r="AS66" s="311"/>
      <c r="AT66" s="315"/>
      <c r="AU66" s="310"/>
      <c r="AV66" s="329"/>
      <c r="AW66" s="311"/>
      <c r="AX66" s="315"/>
      <c r="AY66" s="310"/>
      <c r="AZ66" s="329"/>
      <c r="BA66" s="311"/>
      <c r="BB66" s="315"/>
      <c r="BC66" s="310"/>
      <c r="BD66" s="329"/>
      <c r="BE66" s="311"/>
      <c r="BF66" s="315"/>
      <c r="BG66" s="310"/>
      <c r="BH66" s="329"/>
      <c r="BI66" s="311"/>
      <c r="BJ66" s="315"/>
      <c r="BK66" s="310"/>
      <c r="BL66" s="329"/>
      <c r="BM66" s="311"/>
      <c r="BN66" s="315"/>
      <c r="BO66" s="310"/>
      <c r="BP66" s="329"/>
      <c r="BQ66" s="311"/>
      <c r="BR66" s="315"/>
      <c r="BS66" s="310"/>
      <c r="BT66" s="329"/>
      <c r="BU66" s="311"/>
      <c r="BV66" s="315"/>
      <c r="BW66" s="310"/>
      <c r="BX66" s="329"/>
      <c r="BY66" s="311"/>
      <c r="BZ66" s="315"/>
      <c r="CA66" s="310"/>
      <c r="CB66" s="329"/>
      <c r="CC66" s="311"/>
      <c r="CD66" s="315"/>
      <c r="CE66" s="310"/>
      <c r="CF66" s="329"/>
      <c r="CG66" s="311"/>
      <c r="CH66" s="315"/>
      <c r="CI66" s="310"/>
      <c r="CJ66" s="329"/>
      <c r="CK66" s="311"/>
      <c r="CL66" s="315"/>
      <c r="CM66" s="310"/>
      <c r="CN66" s="329"/>
      <c r="CO66" s="311"/>
      <c r="CP66" s="315"/>
      <c r="CQ66" s="310"/>
      <c r="CR66" s="329"/>
      <c r="CS66" s="311"/>
      <c r="CT66" s="315"/>
      <c r="CU66" s="310"/>
      <c r="CV66" s="329"/>
      <c r="CW66" s="311"/>
      <c r="CX66" s="315"/>
      <c r="CY66" s="310"/>
      <c r="CZ66" s="329"/>
      <c r="DA66" s="311"/>
      <c r="DB66" s="315"/>
      <c r="DC66" s="310"/>
      <c r="DD66" s="329"/>
      <c r="DE66" s="311"/>
      <c r="DF66" s="315"/>
      <c r="DG66" s="310"/>
      <c r="DH66" s="329"/>
      <c r="DI66" s="311"/>
      <c r="DJ66" s="315"/>
      <c r="DK66" s="310"/>
      <c r="DL66" s="329"/>
      <c r="DM66" s="311"/>
      <c r="DN66" s="315"/>
      <c r="DO66" s="310"/>
      <c r="DP66" s="329"/>
      <c r="DQ66" s="311"/>
      <c r="DR66" s="315"/>
      <c r="DS66" s="310"/>
      <c r="DT66" s="329"/>
      <c r="DU66" s="311"/>
      <c r="DV66" s="315"/>
      <c r="DW66" s="310"/>
      <c r="DX66" s="329"/>
      <c r="DY66" s="311"/>
      <c r="DZ66" s="315"/>
      <c r="EA66" s="310"/>
      <c r="EB66" s="329"/>
      <c r="EC66" s="311"/>
      <c r="ED66" s="315"/>
      <c r="EE66" s="310"/>
      <c r="EF66" s="329"/>
      <c r="EG66" s="311"/>
      <c r="EH66" s="315"/>
      <c r="EI66" s="310"/>
      <c r="EJ66" s="329"/>
      <c r="EK66" s="311"/>
      <c r="EL66" s="315"/>
      <c r="EM66" s="310"/>
      <c r="EN66" s="329"/>
      <c r="EO66" s="311"/>
      <c r="EP66" s="315"/>
      <c r="EQ66" s="310"/>
      <c r="ER66" s="329"/>
      <c r="ES66" s="311"/>
      <c r="ET66" s="315"/>
      <c r="EU66" s="310"/>
      <c r="EV66" s="329"/>
      <c r="EW66" s="311"/>
      <c r="EX66" s="315"/>
      <c r="EY66" s="310"/>
      <c r="EZ66" s="329"/>
      <c r="FA66" s="311"/>
      <c r="FB66" s="315"/>
      <c r="FC66" s="310"/>
      <c r="FD66" s="329"/>
      <c r="FE66" s="311"/>
      <c r="FF66" s="315"/>
      <c r="FG66" s="310"/>
      <c r="FH66" s="329"/>
      <c r="FI66" s="311"/>
      <c r="FJ66" s="315"/>
      <c r="FK66" s="310"/>
      <c r="FL66" s="329"/>
      <c r="FM66" s="311"/>
      <c r="FN66" s="315"/>
      <c r="FO66" s="310"/>
      <c r="FP66" s="329"/>
      <c r="FQ66" s="311"/>
      <c r="FR66" s="315"/>
      <c r="FS66" s="310"/>
      <c r="FT66" s="329"/>
      <c r="FU66" s="311"/>
      <c r="FV66" s="315"/>
      <c r="FW66" s="310"/>
      <c r="FX66" s="329"/>
      <c r="FY66" s="311"/>
      <c r="FZ66" s="315"/>
      <c r="GA66" s="310"/>
      <c r="GB66" s="329"/>
      <c r="GC66" s="311"/>
      <c r="GD66" s="315"/>
      <c r="GE66" s="310"/>
      <c r="GF66" s="329"/>
      <c r="GG66" s="311"/>
      <c r="GH66" s="315"/>
      <c r="GI66" s="310"/>
      <c r="GJ66" s="329"/>
      <c r="GK66" s="311"/>
      <c r="GL66" s="315"/>
      <c r="GM66" s="310"/>
      <c r="GN66" s="329"/>
      <c r="GO66" s="311"/>
      <c r="GP66" s="315"/>
      <c r="GQ66" s="310"/>
      <c r="GR66" s="329"/>
      <c r="GS66" s="311"/>
      <c r="GT66" s="315"/>
      <c r="GU66" s="310"/>
      <c r="GV66" s="329"/>
      <c r="GW66" s="311"/>
      <c r="GX66" s="315"/>
      <c r="GY66" s="310"/>
      <c r="GZ66" s="329"/>
      <c r="HA66" s="311"/>
      <c r="HB66" s="315"/>
      <c r="HC66" s="312">
        <f t="shared" si="79"/>
        <v>0</v>
      </c>
      <c r="HD66" s="330"/>
      <c r="HE66" s="313">
        <f t="shared" si="79"/>
        <v>0</v>
      </c>
      <c r="HF66" s="331">
        <f t="shared" si="79"/>
        <v>0</v>
      </c>
      <c r="HG66" s="312">
        <f>SUM(SUMIFS(K66:HB66,$K$13:$HB$13,{"エネルギー管理指定工場等*","県域*"}))</f>
        <v>0</v>
      </c>
      <c r="HH66" s="330"/>
      <c r="HI66" s="313">
        <f>SUM(SUMIFS(M66:HD66,$K$13:$HB$13,{"エネルギー管理指定工場等*","県域*"}))</f>
        <v>0</v>
      </c>
      <c r="HJ66" s="331">
        <f>SUM(SUMIFS(N66:HE66,$K$13:$HB$13,{"エネルギー管理指定工場等*","県域*"}))</f>
        <v>0</v>
      </c>
      <c r="IE66" s="579"/>
      <c r="IF66" s="579"/>
      <c r="IG66" s="579"/>
      <c r="IH66" s="579"/>
    </row>
    <row r="67" spans="2:242" s="164" customFormat="1" ht="20.100000000000001" customHeight="1">
      <c r="B67" s="302"/>
      <c r="C67" s="319"/>
      <c r="D67" s="328" t="s">
        <v>602</v>
      </c>
      <c r="E67" s="305"/>
      <c r="F67" s="303" t="s">
        <v>461</v>
      </c>
      <c r="G67" s="306">
        <v>1.19</v>
      </c>
      <c r="H67" s="334"/>
      <c r="I67" s="308"/>
      <c r="J67" s="309"/>
      <c r="K67" s="310"/>
      <c r="L67" s="329"/>
      <c r="M67" s="311"/>
      <c r="N67" s="315"/>
      <c r="O67" s="310"/>
      <c r="P67" s="329"/>
      <c r="Q67" s="311"/>
      <c r="R67" s="315"/>
      <c r="S67" s="310"/>
      <c r="T67" s="329"/>
      <c r="U67" s="311"/>
      <c r="V67" s="315"/>
      <c r="W67" s="310"/>
      <c r="X67" s="329"/>
      <c r="Y67" s="311"/>
      <c r="Z67" s="315"/>
      <c r="AA67" s="310"/>
      <c r="AB67" s="329"/>
      <c r="AC67" s="311"/>
      <c r="AD67" s="315"/>
      <c r="AE67" s="310"/>
      <c r="AF67" s="329"/>
      <c r="AG67" s="311"/>
      <c r="AH67" s="315"/>
      <c r="AI67" s="310"/>
      <c r="AJ67" s="329"/>
      <c r="AK67" s="311"/>
      <c r="AL67" s="315"/>
      <c r="AM67" s="310"/>
      <c r="AN67" s="329"/>
      <c r="AO67" s="311"/>
      <c r="AP67" s="315"/>
      <c r="AQ67" s="310"/>
      <c r="AR67" s="329"/>
      <c r="AS67" s="311"/>
      <c r="AT67" s="315"/>
      <c r="AU67" s="310"/>
      <c r="AV67" s="329"/>
      <c r="AW67" s="311"/>
      <c r="AX67" s="315"/>
      <c r="AY67" s="310"/>
      <c r="AZ67" s="329"/>
      <c r="BA67" s="311"/>
      <c r="BB67" s="315"/>
      <c r="BC67" s="310"/>
      <c r="BD67" s="329"/>
      <c r="BE67" s="311"/>
      <c r="BF67" s="315"/>
      <c r="BG67" s="310"/>
      <c r="BH67" s="329"/>
      <c r="BI67" s="311"/>
      <c r="BJ67" s="315"/>
      <c r="BK67" s="310"/>
      <c r="BL67" s="329"/>
      <c r="BM67" s="311"/>
      <c r="BN67" s="315"/>
      <c r="BO67" s="310"/>
      <c r="BP67" s="329"/>
      <c r="BQ67" s="311"/>
      <c r="BR67" s="315"/>
      <c r="BS67" s="310"/>
      <c r="BT67" s="329"/>
      <c r="BU67" s="311"/>
      <c r="BV67" s="315"/>
      <c r="BW67" s="310"/>
      <c r="BX67" s="329"/>
      <c r="BY67" s="311"/>
      <c r="BZ67" s="315"/>
      <c r="CA67" s="310"/>
      <c r="CB67" s="329"/>
      <c r="CC67" s="311"/>
      <c r="CD67" s="315"/>
      <c r="CE67" s="310"/>
      <c r="CF67" s="329"/>
      <c r="CG67" s="311"/>
      <c r="CH67" s="315"/>
      <c r="CI67" s="310"/>
      <c r="CJ67" s="329"/>
      <c r="CK67" s="311"/>
      <c r="CL67" s="315"/>
      <c r="CM67" s="310"/>
      <c r="CN67" s="329"/>
      <c r="CO67" s="311"/>
      <c r="CP67" s="315"/>
      <c r="CQ67" s="310"/>
      <c r="CR67" s="329"/>
      <c r="CS67" s="311"/>
      <c r="CT67" s="315"/>
      <c r="CU67" s="310"/>
      <c r="CV67" s="329"/>
      <c r="CW67" s="311"/>
      <c r="CX67" s="315"/>
      <c r="CY67" s="310"/>
      <c r="CZ67" s="329"/>
      <c r="DA67" s="311"/>
      <c r="DB67" s="315"/>
      <c r="DC67" s="310"/>
      <c r="DD67" s="329"/>
      <c r="DE67" s="311"/>
      <c r="DF67" s="315"/>
      <c r="DG67" s="310"/>
      <c r="DH67" s="329"/>
      <c r="DI67" s="311"/>
      <c r="DJ67" s="315"/>
      <c r="DK67" s="310"/>
      <c r="DL67" s="329"/>
      <c r="DM67" s="311"/>
      <c r="DN67" s="315"/>
      <c r="DO67" s="310"/>
      <c r="DP67" s="329"/>
      <c r="DQ67" s="311"/>
      <c r="DR67" s="315"/>
      <c r="DS67" s="310"/>
      <c r="DT67" s="329"/>
      <c r="DU67" s="311"/>
      <c r="DV67" s="315"/>
      <c r="DW67" s="310"/>
      <c r="DX67" s="329"/>
      <c r="DY67" s="311"/>
      <c r="DZ67" s="315"/>
      <c r="EA67" s="310"/>
      <c r="EB67" s="329"/>
      <c r="EC67" s="311"/>
      <c r="ED67" s="315"/>
      <c r="EE67" s="310"/>
      <c r="EF67" s="329"/>
      <c r="EG67" s="311"/>
      <c r="EH67" s="315"/>
      <c r="EI67" s="310"/>
      <c r="EJ67" s="329"/>
      <c r="EK67" s="311"/>
      <c r="EL67" s="315"/>
      <c r="EM67" s="310"/>
      <c r="EN67" s="329"/>
      <c r="EO67" s="311"/>
      <c r="EP67" s="315"/>
      <c r="EQ67" s="310"/>
      <c r="ER67" s="329"/>
      <c r="ES67" s="311"/>
      <c r="ET67" s="315"/>
      <c r="EU67" s="310"/>
      <c r="EV67" s="329"/>
      <c r="EW67" s="311"/>
      <c r="EX67" s="315"/>
      <c r="EY67" s="310"/>
      <c r="EZ67" s="329"/>
      <c r="FA67" s="311"/>
      <c r="FB67" s="315"/>
      <c r="FC67" s="310"/>
      <c r="FD67" s="329"/>
      <c r="FE67" s="311"/>
      <c r="FF67" s="315"/>
      <c r="FG67" s="310"/>
      <c r="FH67" s="329"/>
      <c r="FI67" s="311"/>
      <c r="FJ67" s="315"/>
      <c r="FK67" s="310"/>
      <c r="FL67" s="329"/>
      <c r="FM67" s="311"/>
      <c r="FN67" s="315"/>
      <c r="FO67" s="310"/>
      <c r="FP67" s="329"/>
      <c r="FQ67" s="311"/>
      <c r="FR67" s="315"/>
      <c r="FS67" s="310"/>
      <c r="FT67" s="329"/>
      <c r="FU67" s="311"/>
      <c r="FV67" s="315"/>
      <c r="FW67" s="310"/>
      <c r="FX67" s="329"/>
      <c r="FY67" s="311"/>
      <c r="FZ67" s="315"/>
      <c r="GA67" s="310"/>
      <c r="GB67" s="329"/>
      <c r="GC67" s="311"/>
      <c r="GD67" s="315"/>
      <c r="GE67" s="310"/>
      <c r="GF67" s="329"/>
      <c r="GG67" s="311"/>
      <c r="GH67" s="315"/>
      <c r="GI67" s="310"/>
      <c r="GJ67" s="329"/>
      <c r="GK67" s="311"/>
      <c r="GL67" s="315"/>
      <c r="GM67" s="310"/>
      <c r="GN67" s="329"/>
      <c r="GO67" s="311"/>
      <c r="GP67" s="315"/>
      <c r="GQ67" s="310"/>
      <c r="GR67" s="329"/>
      <c r="GS67" s="311"/>
      <c r="GT67" s="315"/>
      <c r="GU67" s="310"/>
      <c r="GV67" s="329"/>
      <c r="GW67" s="311"/>
      <c r="GX67" s="315"/>
      <c r="GY67" s="310"/>
      <c r="GZ67" s="329"/>
      <c r="HA67" s="311"/>
      <c r="HB67" s="315"/>
      <c r="HC67" s="312">
        <f t="shared" si="79"/>
        <v>0</v>
      </c>
      <c r="HD67" s="330"/>
      <c r="HE67" s="313">
        <f t="shared" si="79"/>
        <v>0</v>
      </c>
      <c r="HF67" s="331">
        <f t="shared" si="79"/>
        <v>0</v>
      </c>
      <c r="HG67" s="312">
        <f>SUM(SUMIFS(K67:HB67,$K$13:$HB$13,{"エネルギー管理指定工場等*","県域*"}))</f>
        <v>0</v>
      </c>
      <c r="HH67" s="330"/>
      <c r="HI67" s="313">
        <f>SUM(SUMIFS(M67:HD67,$K$13:$HB$13,{"エネルギー管理指定工場等*","県域*"}))</f>
        <v>0</v>
      </c>
      <c r="HJ67" s="331">
        <f>SUM(SUMIFS(N67:HE67,$K$13:$HB$13,{"エネルギー管理指定工場等*","県域*"}))</f>
        <v>0</v>
      </c>
      <c r="IE67" s="579"/>
      <c r="IF67" s="579"/>
      <c r="IG67" s="579"/>
      <c r="IH67" s="579"/>
    </row>
    <row r="68" spans="2:242" s="164" customFormat="1" ht="20.100000000000001" customHeight="1">
      <c r="B68" s="302"/>
      <c r="C68" s="319"/>
      <c r="D68" s="332"/>
      <c r="E68" s="333" t="s">
        <v>603</v>
      </c>
      <c r="F68" s="303" t="s">
        <v>461</v>
      </c>
      <c r="G68" s="306">
        <v>1.19</v>
      </c>
      <c r="H68" s="334"/>
      <c r="I68" s="308"/>
      <c r="J68" s="309"/>
      <c r="K68" s="310"/>
      <c r="L68" s="329"/>
      <c r="M68" s="311"/>
      <c r="N68" s="315"/>
      <c r="O68" s="310"/>
      <c r="P68" s="329"/>
      <c r="Q68" s="311"/>
      <c r="R68" s="315"/>
      <c r="S68" s="310"/>
      <c r="T68" s="329"/>
      <c r="U68" s="311"/>
      <c r="V68" s="315"/>
      <c r="W68" s="310"/>
      <c r="X68" s="329"/>
      <c r="Y68" s="311"/>
      <c r="Z68" s="315"/>
      <c r="AA68" s="310"/>
      <c r="AB68" s="329"/>
      <c r="AC68" s="311"/>
      <c r="AD68" s="315"/>
      <c r="AE68" s="310"/>
      <c r="AF68" s="329"/>
      <c r="AG68" s="311"/>
      <c r="AH68" s="315"/>
      <c r="AI68" s="310"/>
      <c r="AJ68" s="329"/>
      <c r="AK68" s="311"/>
      <c r="AL68" s="315"/>
      <c r="AM68" s="310"/>
      <c r="AN68" s="329"/>
      <c r="AO68" s="311"/>
      <c r="AP68" s="315"/>
      <c r="AQ68" s="310"/>
      <c r="AR68" s="329"/>
      <c r="AS68" s="311"/>
      <c r="AT68" s="315"/>
      <c r="AU68" s="310"/>
      <c r="AV68" s="329"/>
      <c r="AW68" s="311"/>
      <c r="AX68" s="315"/>
      <c r="AY68" s="310"/>
      <c r="AZ68" s="329"/>
      <c r="BA68" s="311"/>
      <c r="BB68" s="315"/>
      <c r="BC68" s="310"/>
      <c r="BD68" s="329"/>
      <c r="BE68" s="311"/>
      <c r="BF68" s="315"/>
      <c r="BG68" s="310"/>
      <c r="BH68" s="329"/>
      <c r="BI68" s="311"/>
      <c r="BJ68" s="315"/>
      <c r="BK68" s="310"/>
      <c r="BL68" s="329"/>
      <c r="BM68" s="311"/>
      <c r="BN68" s="315"/>
      <c r="BO68" s="310"/>
      <c r="BP68" s="329"/>
      <c r="BQ68" s="311"/>
      <c r="BR68" s="315"/>
      <c r="BS68" s="310"/>
      <c r="BT68" s="329"/>
      <c r="BU68" s="311"/>
      <c r="BV68" s="315"/>
      <c r="BW68" s="310"/>
      <c r="BX68" s="329"/>
      <c r="BY68" s="311"/>
      <c r="BZ68" s="315"/>
      <c r="CA68" s="310"/>
      <c r="CB68" s="329"/>
      <c r="CC68" s="311"/>
      <c r="CD68" s="315"/>
      <c r="CE68" s="310"/>
      <c r="CF68" s="329"/>
      <c r="CG68" s="311"/>
      <c r="CH68" s="315"/>
      <c r="CI68" s="310"/>
      <c r="CJ68" s="329"/>
      <c r="CK68" s="311"/>
      <c r="CL68" s="315"/>
      <c r="CM68" s="310"/>
      <c r="CN68" s="329"/>
      <c r="CO68" s="311"/>
      <c r="CP68" s="315"/>
      <c r="CQ68" s="310"/>
      <c r="CR68" s="329"/>
      <c r="CS68" s="311"/>
      <c r="CT68" s="315"/>
      <c r="CU68" s="310"/>
      <c r="CV68" s="329"/>
      <c r="CW68" s="311"/>
      <c r="CX68" s="315"/>
      <c r="CY68" s="310"/>
      <c r="CZ68" s="329"/>
      <c r="DA68" s="311"/>
      <c r="DB68" s="315"/>
      <c r="DC68" s="310"/>
      <c r="DD68" s="329"/>
      <c r="DE68" s="311"/>
      <c r="DF68" s="315"/>
      <c r="DG68" s="310"/>
      <c r="DH68" s="329"/>
      <c r="DI68" s="311"/>
      <c r="DJ68" s="315"/>
      <c r="DK68" s="310"/>
      <c r="DL68" s="329"/>
      <c r="DM68" s="311"/>
      <c r="DN68" s="315"/>
      <c r="DO68" s="310"/>
      <c r="DP68" s="329"/>
      <c r="DQ68" s="311"/>
      <c r="DR68" s="315"/>
      <c r="DS68" s="310"/>
      <c r="DT68" s="329"/>
      <c r="DU68" s="311"/>
      <c r="DV68" s="315"/>
      <c r="DW68" s="310"/>
      <c r="DX68" s="329"/>
      <c r="DY68" s="311"/>
      <c r="DZ68" s="315"/>
      <c r="EA68" s="310"/>
      <c r="EB68" s="329"/>
      <c r="EC68" s="311"/>
      <c r="ED68" s="315"/>
      <c r="EE68" s="310"/>
      <c r="EF68" s="329"/>
      <c r="EG68" s="311"/>
      <c r="EH68" s="315"/>
      <c r="EI68" s="310"/>
      <c r="EJ68" s="329"/>
      <c r="EK68" s="311"/>
      <c r="EL68" s="315"/>
      <c r="EM68" s="310"/>
      <c r="EN68" s="329"/>
      <c r="EO68" s="311"/>
      <c r="EP68" s="315"/>
      <c r="EQ68" s="310"/>
      <c r="ER68" s="329"/>
      <c r="ES68" s="311"/>
      <c r="ET68" s="315"/>
      <c r="EU68" s="310"/>
      <c r="EV68" s="329"/>
      <c r="EW68" s="311"/>
      <c r="EX68" s="315"/>
      <c r="EY68" s="310"/>
      <c r="EZ68" s="329"/>
      <c r="FA68" s="311"/>
      <c r="FB68" s="315"/>
      <c r="FC68" s="310"/>
      <c r="FD68" s="329"/>
      <c r="FE68" s="311"/>
      <c r="FF68" s="315"/>
      <c r="FG68" s="310"/>
      <c r="FH68" s="329"/>
      <c r="FI68" s="311"/>
      <c r="FJ68" s="315"/>
      <c r="FK68" s="310"/>
      <c r="FL68" s="329"/>
      <c r="FM68" s="311"/>
      <c r="FN68" s="315"/>
      <c r="FO68" s="310"/>
      <c r="FP68" s="329"/>
      <c r="FQ68" s="311"/>
      <c r="FR68" s="315"/>
      <c r="FS68" s="310"/>
      <c r="FT68" s="329"/>
      <c r="FU68" s="311"/>
      <c r="FV68" s="315"/>
      <c r="FW68" s="310"/>
      <c r="FX68" s="329"/>
      <c r="FY68" s="311"/>
      <c r="FZ68" s="315"/>
      <c r="GA68" s="310"/>
      <c r="GB68" s="329"/>
      <c r="GC68" s="311"/>
      <c r="GD68" s="315"/>
      <c r="GE68" s="310"/>
      <c r="GF68" s="329"/>
      <c r="GG68" s="311"/>
      <c r="GH68" s="315"/>
      <c r="GI68" s="310"/>
      <c r="GJ68" s="329"/>
      <c r="GK68" s="311"/>
      <c r="GL68" s="315"/>
      <c r="GM68" s="310"/>
      <c r="GN68" s="329"/>
      <c r="GO68" s="311"/>
      <c r="GP68" s="315"/>
      <c r="GQ68" s="310"/>
      <c r="GR68" s="329"/>
      <c r="GS68" s="311"/>
      <c r="GT68" s="315"/>
      <c r="GU68" s="310"/>
      <c r="GV68" s="329"/>
      <c r="GW68" s="311"/>
      <c r="GX68" s="315"/>
      <c r="GY68" s="310"/>
      <c r="GZ68" s="329"/>
      <c r="HA68" s="311"/>
      <c r="HB68" s="315"/>
      <c r="HC68" s="312">
        <f t="shared" si="79"/>
        <v>0</v>
      </c>
      <c r="HD68" s="330"/>
      <c r="HE68" s="313">
        <f t="shared" si="79"/>
        <v>0</v>
      </c>
      <c r="HF68" s="331">
        <f t="shared" si="79"/>
        <v>0</v>
      </c>
      <c r="HG68" s="312">
        <f>SUM(SUMIFS(K68:HB68,$K$13:$HB$13,{"エネルギー管理指定工場等*","県域*"}))</f>
        <v>0</v>
      </c>
      <c r="HH68" s="330"/>
      <c r="HI68" s="313">
        <f>SUM(SUMIFS(M68:HD68,$K$13:$HB$13,{"エネルギー管理指定工場等*","県域*"}))</f>
        <v>0</v>
      </c>
      <c r="HJ68" s="331">
        <f>SUM(SUMIFS(N68:HE68,$K$13:$HB$13,{"エネルギー管理指定工場等*","県域*"}))</f>
        <v>0</v>
      </c>
      <c r="IE68" s="579"/>
      <c r="IF68" s="579"/>
      <c r="IG68" s="579"/>
      <c r="IH68" s="579"/>
    </row>
    <row r="69" spans="2:242" s="164" customFormat="1" ht="20.100000000000001" customHeight="1">
      <c r="B69" s="302"/>
      <c r="C69" s="319"/>
      <c r="D69" s="328" t="s">
        <v>604</v>
      </c>
      <c r="E69" s="305"/>
      <c r="F69" s="303" t="s">
        <v>461</v>
      </c>
      <c r="G69" s="306">
        <v>1.19</v>
      </c>
      <c r="H69" s="334"/>
      <c r="I69" s="308"/>
      <c r="J69" s="309"/>
      <c r="K69" s="310"/>
      <c r="L69" s="329"/>
      <c r="M69" s="311"/>
      <c r="N69" s="315"/>
      <c r="O69" s="310"/>
      <c r="P69" s="329"/>
      <c r="Q69" s="311"/>
      <c r="R69" s="315"/>
      <c r="S69" s="310"/>
      <c r="T69" s="329"/>
      <c r="U69" s="311"/>
      <c r="V69" s="315"/>
      <c r="W69" s="310"/>
      <c r="X69" s="329"/>
      <c r="Y69" s="311"/>
      <c r="Z69" s="315"/>
      <c r="AA69" s="310"/>
      <c r="AB69" s="329"/>
      <c r="AC69" s="311"/>
      <c r="AD69" s="315"/>
      <c r="AE69" s="310"/>
      <c r="AF69" s="329"/>
      <c r="AG69" s="311"/>
      <c r="AH69" s="315"/>
      <c r="AI69" s="310"/>
      <c r="AJ69" s="329"/>
      <c r="AK69" s="311"/>
      <c r="AL69" s="315"/>
      <c r="AM69" s="310"/>
      <c r="AN69" s="329"/>
      <c r="AO69" s="311"/>
      <c r="AP69" s="315"/>
      <c r="AQ69" s="310"/>
      <c r="AR69" s="329"/>
      <c r="AS69" s="311"/>
      <c r="AT69" s="315"/>
      <c r="AU69" s="310"/>
      <c r="AV69" s="329"/>
      <c r="AW69" s="311"/>
      <c r="AX69" s="315"/>
      <c r="AY69" s="310"/>
      <c r="AZ69" s="329"/>
      <c r="BA69" s="311"/>
      <c r="BB69" s="315"/>
      <c r="BC69" s="310"/>
      <c r="BD69" s="329"/>
      <c r="BE69" s="311"/>
      <c r="BF69" s="315"/>
      <c r="BG69" s="310"/>
      <c r="BH69" s="329"/>
      <c r="BI69" s="311"/>
      <c r="BJ69" s="315"/>
      <c r="BK69" s="310"/>
      <c r="BL69" s="329"/>
      <c r="BM69" s="311"/>
      <c r="BN69" s="315"/>
      <c r="BO69" s="310"/>
      <c r="BP69" s="329"/>
      <c r="BQ69" s="311"/>
      <c r="BR69" s="315"/>
      <c r="BS69" s="310"/>
      <c r="BT69" s="329"/>
      <c r="BU69" s="311"/>
      <c r="BV69" s="315"/>
      <c r="BW69" s="310"/>
      <c r="BX69" s="329"/>
      <c r="BY69" s="311"/>
      <c r="BZ69" s="315"/>
      <c r="CA69" s="310"/>
      <c r="CB69" s="329"/>
      <c r="CC69" s="311"/>
      <c r="CD69" s="315"/>
      <c r="CE69" s="310"/>
      <c r="CF69" s="329"/>
      <c r="CG69" s="311"/>
      <c r="CH69" s="315"/>
      <c r="CI69" s="310"/>
      <c r="CJ69" s="329"/>
      <c r="CK69" s="311"/>
      <c r="CL69" s="315"/>
      <c r="CM69" s="310"/>
      <c r="CN69" s="329"/>
      <c r="CO69" s="311"/>
      <c r="CP69" s="315"/>
      <c r="CQ69" s="310"/>
      <c r="CR69" s="329"/>
      <c r="CS69" s="311"/>
      <c r="CT69" s="315"/>
      <c r="CU69" s="310"/>
      <c r="CV69" s="329"/>
      <c r="CW69" s="311"/>
      <c r="CX69" s="315"/>
      <c r="CY69" s="310"/>
      <c r="CZ69" s="329"/>
      <c r="DA69" s="311"/>
      <c r="DB69" s="315"/>
      <c r="DC69" s="310"/>
      <c r="DD69" s="329"/>
      <c r="DE69" s="311"/>
      <c r="DF69" s="315"/>
      <c r="DG69" s="310"/>
      <c r="DH69" s="329"/>
      <c r="DI69" s="311"/>
      <c r="DJ69" s="315"/>
      <c r="DK69" s="310"/>
      <c r="DL69" s="329"/>
      <c r="DM69" s="311"/>
      <c r="DN69" s="315"/>
      <c r="DO69" s="310"/>
      <c r="DP69" s="329"/>
      <c r="DQ69" s="311"/>
      <c r="DR69" s="315"/>
      <c r="DS69" s="310"/>
      <c r="DT69" s="329"/>
      <c r="DU69" s="311"/>
      <c r="DV69" s="315"/>
      <c r="DW69" s="310"/>
      <c r="DX69" s="329"/>
      <c r="DY69" s="311"/>
      <c r="DZ69" s="315"/>
      <c r="EA69" s="310"/>
      <c r="EB69" s="329"/>
      <c r="EC69" s="311"/>
      <c r="ED69" s="315"/>
      <c r="EE69" s="310"/>
      <c r="EF69" s="329"/>
      <c r="EG69" s="311"/>
      <c r="EH69" s="315"/>
      <c r="EI69" s="310"/>
      <c r="EJ69" s="329"/>
      <c r="EK69" s="311"/>
      <c r="EL69" s="315"/>
      <c r="EM69" s="310"/>
      <c r="EN69" s="329"/>
      <c r="EO69" s="311"/>
      <c r="EP69" s="315"/>
      <c r="EQ69" s="310"/>
      <c r="ER69" s="329"/>
      <c r="ES69" s="311"/>
      <c r="ET69" s="315"/>
      <c r="EU69" s="310"/>
      <c r="EV69" s="329"/>
      <c r="EW69" s="311"/>
      <c r="EX69" s="315"/>
      <c r="EY69" s="310"/>
      <c r="EZ69" s="329"/>
      <c r="FA69" s="311"/>
      <c r="FB69" s="315"/>
      <c r="FC69" s="310"/>
      <c r="FD69" s="329"/>
      <c r="FE69" s="311"/>
      <c r="FF69" s="315"/>
      <c r="FG69" s="310"/>
      <c r="FH69" s="329"/>
      <c r="FI69" s="311"/>
      <c r="FJ69" s="315"/>
      <c r="FK69" s="310"/>
      <c r="FL69" s="329"/>
      <c r="FM69" s="311"/>
      <c r="FN69" s="315"/>
      <c r="FO69" s="310"/>
      <c r="FP69" s="329"/>
      <c r="FQ69" s="311"/>
      <c r="FR69" s="315"/>
      <c r="FS69" s="310"/>
      <c r="FT69" s="329"/>
      <c r="FU69" s="311"/>
      <c r="FV69" s="315"/>
      <c r="FW69" s="310"/>
      <c r="FX69" s="329"/>
      <c r="FY69" s="311"/>
      <c r="FZ69" s="315"/>
      <c r="GA69" s="310"/>
      <c r="GB69" s="329"/>
      <c r="GC69" s="311"/>
      <c r="GD69" s="315"/>
      <c r="GE69" s="310"/>
      <c r="GF69" s="329"/>
      <c r="GG69" s="311"/>
      <c r="GH69" s="315"/>
      <c r="GI69" s="310"/>
      <c r="GJ69" s="329"/>
      <c r="GK69" s="311"/>
      <c r="GL69" s="315"/>
      <c r="GM69" s="310"/>
      <c r="GN69" s="329"/>
      <c r="GO69" s="311"/>
      <c r="GP69" s="315"/>
      <c r="GQ69" s="310"/>
      <c r="GR69" s="329"/>
      <c r="GS69" s="311"/>
      <c r="GT69" s="315"/>
      <c r="GU69" s="310"/>
      <c r="GV69" s="329"/>
      <c r="GW69" s="311"/>
      <c r="GX69" s="315"/>
      <c r="GY69" s="310"/>
      <c r="GZ69" s="329"/>
      <c r="HA69" s="311"/>
      <c r="HB69" s="315"/>
      <c r="HC69" s="312">
        <f t="shared" si="79"/>
        <v>0</v>
      </c>
      <c r="HD69" s="330"/>
      <c r="HE69" s="313">
        <f t="shared" si="79"/>
        <v>0</v>
      </c>
      <c r="HF69" s="331">
        <f t="shared" si="79"/>
        <v>0</v>
      </c>
      <c r="HG69" s="312">
        <f>SUM(SUMIFS(K69:HB69,$K$13:$HB$13,{"エネルギー管理指定工場等*","県域*"}))</f>
        <v>0</v>
      </c>
      <c r="HH69" s="330"/>
      <c r="HI69" s="313">
        <f>SUM(SUMIFS(M69:HD69,$K$13:$HB$13,{"エネルギー管理指定工場等*","県域*"}))</f>
        <v>0</v>
      </c>
      <c r="HJ69" s="331">
        <f>SUM(SUMIFS(N69:HE69,$K$13:$HB$13,{"エネルギー管理指定工場等*","県域*"}))</f>
        <v>0</v>
      </c>
      <c r="IE69" s="579"/>
      <c r="IF69" s="579"/>
      <c r="IG69" s="579"/>
      <c r="IH69" s="579"/>
    </row>
    <row r="70" spans="2:242" s="164" customFormat="1" ht="20.100000000000001" customHeight="1">
      <c r="B70" s="302"/>
      <c r="C70" s="319"/>
      <c r="D70" s="332"/>
      <c r="E70" s="333" t="s">
        <v>1377</v>
      </c>
      <c r="F70" s="303" t="s">
        <v>461</v>
      </c>
      <c r="G70" s="306">
        <v>1.19</v>
      </c>
      <c r="H70" s="334"/>
      <c r="I70" s="308"/>
      <c r="J70" s="309"/>
      <c r="K70" s="310"/>
      <c r="L70" s="329"/>
      <c r="M70" s="311"/>
      <c r="N70" s="315"/>
      <c r="O70" s="310"/>
      <c r="P70" s="329"/>
      <c r="Q70" s="311"/>
      <c r="R70" s="315"/>
      <c r="S70" s="310"/>
      <c r="T70" s="329"/>
      <c r="U70" s="311"/>
      <c r="V70" s="315"/>
      <c r="W70" s="310"/>
      <c r="X70" s="329"/>
      <c r="Y70" s="311"/>
      <c r="Z70" s="315"/>
      <c r="AA70" s="310"/>
      <c r="AB70" s="329"/>
      <c r="AC70" s="311"/>
      <c r="AD70" s="315"/>
      <c r="AE70" s="310"/>
      <c r="AF70" s="329"/>
      <c r="AG70" s="311"/>
      <c r="AH70" s="315"/>
      <c r="AI70" s="310"/>
      <c r="AJ70" s="329"/>
      <c r="AK70" s="311"/>
      <c r="AL70" s="315"/>
      <c r="AM70" s="310"/>
      <c r="AN70" s="329"/>
      <c r="AO70" s="311"/>
      <c r="AP70" s="315"/>
      <c r="AQ70" s="310"/>
      <c r="AR70" s="329"/>
      <c r="AS70" s="311"/>
      <c r="AT70" s="315"/>
      <c r="AU70" s="310"/>
      <c r="AV70" s="329"/>
      <c r="AW70" s="311"/>
      <c r="AX70" s="315"/>
      <c r="AY70" s="310"/>
      <c r="AZ70" s="329"/>
      <c r="BA70" s="311"/>
      <c r="BB70" s="315"/>
      <c r="BC70" s="310"/>
      <c r="BD70" s="329"/>
      <c r="BE70" s="311"/>
      <c r="BF70" s="315"/>
      <c r="BG70" s="310"/>
      <c r="BH70" s="329"/>
      <c r="BI70" s="311"/>
      <c r="BJ70" s="315"/>
      <c r="BK70" s="310"/>
      <c r="BL70" s="329"/>
      <c r="BM70" s="311"/>
      <c r="BN70" s="315"/>
      <c r="BO70" s="310"/>
      <c r="BP70" s="329"/>
      <c r="BQ70" s="311"/>
      <c r="BR70" s="315"/>
      <c r="BS70" s="310"/>
      <c r="BT70" s="329"/>
      <c r="BU70" s="311"/>
      <c r="BV70" s="315"/>
      <c r="BW70" s="310"/>
      <c r="BX70" s="329"/>
      <c r="BY70" s="311"/>
      <c r="BZ70" s="315"/>
      <c r="CA70" s="310"/>
      <c r="CB70" s="329"/>
      <c r="CC70" s="311"/>
      <c r="CD70" s="315"/>
      <c r="CE70" s="310"/>
      <c r="CF70" s="329"/>
      <c r="CG70" s="311"/>
      <c r="CH70" s="315"/>
      <c r="CI70" s="310"/>
      <c r="CJ70" s="329"/>
      <c r="CK70" s="311"/>
      <c r="CL70" s="315"/>
      <c r="CM70" s="310"/>
      <c r="CN70" s="329"/>
      <c r="CO70" s="311"/>
      <c r="CP70" s="315"/>
      <c r="CQ70" s="310"/>
      <c r="CR70" s="329"/>
      <c r="CS70" s="311"/>
      <c r="CT70" s="315"/>
      <c r="CU70" s="310"/>
      <c r="CV70" s="329"/>
      <c r="CW70" s="311"/>
      <c r="CX70" s="315"/>
      <c r="CY70" s="310"/>
      <c r="CZ70" s="329"/>
      <c r="DA70" s="311"/>
      <c r="DB70" s="315"/>
      <c r="DC70" s="310"/>
      <c r="DD70" s="329"/>
      <c r="DE70" s="311"/>
      <c r="DF70" s="315"/>
      <c r="DG70" s="310"/>
      <c r="DH70" s="329"/>
      <c r="DI70" s="311"/>
      <c r="DJ70" s="315"/>
      <c r="DK70" s="310"/>
      <c r="DL70" s="329"/>
      <c r="DM70" s="311"/>
      <c r="DN70" s="315"/>
      <c r="DO70" s="310"/>
      <c r="DP70" s="329"/>
      <c r="DQ70" s="311"/>
      <c r="DR70" s="315"/>
      <c r="DS70" s="310"/>
      <c r="DT70" s="329"/>
      <c r="DU70" s="311"/>
      <c r="DV70" s="315"/>
      <c r="DW70" s="310"/>
      <c r="DX70" s="329"/>
      <c r="DY70" s="311"/>
      <c r="DZ70" s="315"/>
      <c r="EA70" s="310"/>
      <c r="EB70" s="329"/>
      <c r="EC70" s="311"/>
      <c r="ED70" s="315"/>
      <c r="EE70" s="310"/>
      <c r="EF70" s="329"/>
      <c r="EG70" s="311"/>
      <c r="EH70" s="315"/>
      <c r="EI70" s="310"/>
      <c r="EJ70" s="329"/>
      <c r="EK70" s="311"/>
      <c r="EL70" s="315"/>
      <c r="EM70" s="310"/>
      <c r="EN70" s="329"/>
      <c r="EO70" s="311"/>
      <c r="EP70" s="315"/>
      <c r="EQ70" s="310"/>
      <c r="ER70" s="329"/>
      <c r="ES70" s="311"/>
      <c r="ET70" s="315"/>
      <c r="EU70" s="310"/>
      <c r="EV70" s="329"/>
      <c r="EW70" s="311"/>
      <c r="EX70" s="315"/>
      <c r="EY70" s="310"/>
      <c r="EZ70" s="329"/>
      <c r="FA70" s="311"/>
      <c r="FB70" s="315"/>
      <c r="FC70" s="310"/>
      <c r="FD70" s="329"/>
      <c r="FE70" s="311"/>
      <c r="FF70" s="315"/>
      <c r="FG70" s="310"/>
      <c r="FH70" s="329"/>
      <c r="FI70" s="311"/>
      <c r="FJ70" s="315"/>
      <c r="FK70" s="310"/>
      <c r="FL70" s="329"/>
      <c r="FM70" s="311"/>
      <c r="FN70" s="315"/>
      <c r="FO70" s="310"/>
      <c r="FP70" s="329"/>
      <c r="FQ70" s="311"/>
      <c r="FR70" s="315"/>
      <c r="FS70" s="310"/>
      <c r="FT70" s="329"/>
      <c r="FU70" s="311"/>
      <c r="FV70" s="315"/>
      <c r="FW70" s="310"/>
      <c r="FX70" s="329"/>
      <c r="FY70" s="311"/>
      <c r="FZ70" s="315"/>
      <c r="GA70" s="310"/>
      <c r="GB70" s="329"/>
      <c r="GC70" s="311"/>
      <c r="GD70" s="315"/>
      <c r="GE70" s="310"/>
      <c r="GF70" s="329"/>
      <c r="GG70" s="311"/>
      <c r="GH70" s="315"/>
      <c r="GI70" s="310"/>
      <c r="GJ70" s="329"/>
      <c r="GK70" s="311"/>
      <c r="GL70" s="315"/>
      <c r="GM70" s="310"/>
      <c r="GN70" s="329"/>
      <c r="GO70" s="311"/>
      <c r="GP70" s="315"/>
      <c r="GQ70" s="310"/>
      <c r="GR70" s="329"/>
      <c r="GS70" s="311"/>
      <c r="GT70" s="315"/>
      <c r="GU70" s="310"/>
      <c r="GV70" s="329"/>
      <c r="GW70" s="311"/>
      <c r="GX70" s="315"/>
      <c r="GY70" s="310"/>
      <c r="GZ70" s="329"/>
      <c r="HA70" s="311"/>
      <c r="HB70" s="315"/>
      <c r="HC70" s="312">
        <f t="shared" si="79"/>
        <v>0</v>
      </c>
      <c r="HD70" s="330"/>
      <c r="HE70" s="313">
        <f t="shared" si="79"/>
        <v>0</v>
      </c>
      <c r="HF70" s="331">
        <f t="shared" si="79"/>
        <v>0</v>
      </c>
      <c r="HG70" s="312">
        <f>SUM(SUMIFS(K70:HB70,$K$13:$HB$13,{"エネルギー管理指定工場等*","県域*"}))</f>
        <v>0</v>
      </c>
      <c r="HH70" s="330"/>
      <c r="HI70" s="313">
        <f>SUM(SUMIFS(M70:HD70,$K$13:$HB$13,{"エネルギー管理指定工場等*","県域*"}))</f>
        <v>0</v>
      </c>
      <c r="HJ70" s="331">
        <f>SUM(SUMIFS(N70:HE70,$K$13:$HB$13,{"エネルギー管理指定工場等*","県域*"}))</f>
        <v>0</v>
      </c>
      <c r="IE70" s="579"/>
      <c r="IF70" s="579"/>
      <c r="IG70" s="579"/>
      <c r="IH70" s="579"/>
    </row>
    <row r="71" spans="2:242" s="164" customFormat="1" ht="20.100000000000001" customHeight="1">
      <c r="B71" s="302"/>
      <c r="C71" s="319"/>
      <c r="D71" s="328" t="s">
        <v>605</v>
      </c>
      <c r="E71" s="305"/>
      <c r="F71" s="303" t="s">
        <v>461</v>
      </c>
      <c r="G71" s="306">
        <v>1.19</v>
      </c>
      <c r="H71" s="334"/>
      <c r="I71" s="308"/>
      <c r="J71" s="309"/>
      <c r="K71" s="310"/>
      <c r="L71" s="329"/>
      <c r="M71" s="311"/>
      <c r="N71" s="315"/>
      <c r="O71" s="310"/>
      <c r="P71" s="329"/>
      <c r="Q71" s="311"/>
      <c r="R71" s="315"/>
      <c r="S71" s="310"/>
      <c r="T71" s="329"/>
      <c r="U71" s="311"/>
      <c r="V71" s="315"/>
      <c r="W71" s="310"/>
      <c r="X71" s="329"/>
      <c r="Y71" s="311"/>
      <c r="Z71" s="315"/>
      <c r="AA71" s="310"/>
      <c r="AB71" s="329"/>
      <c r="AC71" s="311"/>
      <c r="AD71" s="315"/>
      <c r="AE71" s="310"/>
      <c r="AF71" s="329"/>
      <c r="AG71" s="311"/>
      <c r="AH71" s="315"/>
      <c r="AI71" s="310"/>
      <c r="AJ71" s="329"/>
      <c r="AK71" s="311"/>
      <c r="AL71" s="315"/>
      <c r="AM71" s="310"/>
      <c r="AN71" s="329"/>
      <c r="AO71" s="311"/>
      <c r="AP71" s="315"/>
      <c r="AQ71" s="310"/>
      <c r="AR71" s="329"/>
      <c r="AS71" s="311"/>
      <c r="AT71" s="315"/>
      <c r="AU71" s="310"/>
      <c r="AV71" s="329"/>
      <c r="AW71" s="311"/>
      <c r="AX71" s="315"/>
      <c r="AY71" s="310"/>
      <c r="AZ71" s="329"/>
      <c r="BA71" s="311"/>
      <c r="BB71" s="315"/>
      <c r="BC71" s="310"/>
      <c r="BD71" s="329"/>
      <c r="BE71" s="311"/>
      <c r="BF71" s="315"/>
      <c r="BG71" s="310"/>
      <c r="BH71" s="329"/>
      <c r="BI71" s="311"/>
      <c r="BJ71" s="315"/>
      <c r="BK71" s="310"/>
      <c r="BL71" s="329"/>
      <c r="BM71" s="311"/>
      <c r="BN71" s="315"/>
      <c r="BO71" s="310"/>
      <c r="BP71" s="329"/>
      <c r="BQ71" s="311"/>
      <c r="BR71" s="315"/>
      <c r="BS71" s="310"/>
      <c r="BT71" s="329"/>
      <c r="BU71" s="311"/>
      <c r="BV71" s="315"/>
      <c r="BW71" s="310"/>
      <c r="BX71" s="329"/>
      <c r="BY71" s="311"/>
      <c r="BZ71" s="315"/>
      <c r="CA71" s="310"/>
      <c r="CB71" s="329"/>
      <c r="CC71" s="311"/>
      <c r="CD71" s="315"/>
      <c r="CE71" s="310"/>
      <c r="CF71" s="329"/>
      <c r="CG71" s="311"/>
      <c r="CH71" s="315"/>
      <c r="CI71" s="310"/>
      <c r="CJ71" s="329"/>
      <c r="CK71" s="311"/>
      <c r="CL71" s="315"/>
      <c r="CM71" s="310"/>
      <c r="CN71" s="329"/>
      <c r="CO71" s="311"/>
      <c r="CP71" s="315"/>
      <c r="CQ71" s="310"/>
      <c r="CR71" s="329"/>
      <c r="CS71" s="311"/>
      <c r="CT71" s="315"/>
      <c r="CU71" s="310"/>
      <c r="CV71" s="329"/>
      <c r="CW71" s="311"/>
      <c r="CX71" s="315"/>
      <c r="CY71" s="310"/>
      <c r="CZ71" s="329"/>
      <c r="DA71" s="311"/>
      <c r="DB71" s="315"/>
      <c r="DC71" s="310"/>
      <c r="DD71" s="329"/>
      <c r="DE71" s="311"/>
      <c r="DF71" s="315"/>
      <c r="DG71" s="310"/>
      <c r="DH71" s="329"/>
      <c r="DI71" s="311"/>
      <c r="DJ71" s="315"/>
      <c r="DK71" s="310"/>
      <c r="DL71" s="329"/>
      <c r="DM71" s="311"/>
      <c r="DN71" s="315"/>
      <c r="DO71" s="310"/>
      <c r="DP71" s="329"/>
      <c r="DQ71" s="311"/>
      <c r="DR71" s="315"/>
      <c r="DS71" s="310"/>
      <c r="DT71" s="329"/>
      <c r="DU71" s="311"/>
      <c r="DV71" s="315"/>
      <c r="DW71" s="310"/>
      <c r="DX71" s="329"/>
      <c r="DY71" s="311"/>
      <c r="DZ71" s="315"/>
      <c r="EA71" s="310"/>
      <c r="EB71" s="329"/>
      <c r="EC71" s="311"/>
      <c r="ED71" s="315"/>
      <c r="EE71" s="310"/>
      <c r="EF71" s="329"/>
      <c r="EG71" s="311"/>
      <c r="EH71" s="315"/>
      <c r="EI71" s="310"/>
      <c r="EJ71" s="329"/>
      <c r="EK71" s="311"/>
      <c r="EL71" s="315"/>
      <c r="EM71" s="310"/>
      <c r="EN71" s="329"/>
      <c r="EO71" s="311"/>
      <c r="EP71" s="315"/>
      <c r="EQ71" s="310"/>
      <c r="ER71" s="329"/>
      <c r="ES71" s="311"/>
      <c r="ET71" s="315"/>
      <c r="EU71" s="310"/>
      <c r="EV71" s="329"/>
      <c r="EW71" s="311"/>
      <c r="EX71" s="315"/>
      <c r="EY71" s="310"/>
      <c r="EZ71" s="329"/>
      <c r="FA71" s="311"/>
      <c r="FB71" s="315"/>
      <c r="FC71" s="310"/>
      <c r="FD71" s="329"/>
      <c r="FE71" s="311"/>
      <c r="FF71" s="315"/>
      <c r="FG71" s="310"/>
      <c r="FH71" s="329"/>
      <c r="FI71" s="311"/>
      <c r="FJ71" s="315"/>
      <c r="FK71" s="310"/>
      <c r="FL71" s="329"/>
      <c r="FM71" s="311"/>
      <c r="FN71" s="315"/>
      <c r="FO71" s="310"/>
      <c r="FP71" s="329"/>
      <c r="FQ71" s="311"/>
      <c r="FR71" s="315"/>
      <c r="FS71" s="310"/>
      <c r="FT71" s="329"/>
      <c r="FU71" s="311"/>
      <c r="FV71" s="315"/>
      <c r="FW71" s="310"/>
      <c r="FX71" s="329"/>
      <c r="FY71" s="311"/>
      <c r="FZ71" s="315"/>
      <c r="GA71" s="310"/>
      <c r="GB71" s="329"/>
      <c r="GC71" s="311"/>
      <c r="GD71" s="315"/>
      <c r="GE71" s="310"/>
      <c r="GF71" s="329"/>
      <c r="GG71" s="311"/>
      <c r="GH71" s="315"/>
      <c r="GI71" s="310"/>
      <c r="GJ71" s="329"/>
      <c r="GK71" s="311"/>
      <c r="GL71" s="315"/>
      <c r="GM71" s="310"/>
      <c r="GN71" s="329"/>
      <c r="GO71" s="311"/>
      <c r="GP71" s="315"/>
      <c r="GQ71" s="310"/>
      <c r="GR71" s="329"/>
      <c r="GS71" s="311"/>
      <c r="GT71" s="315"/>
      <c r="GU71" s="310"/>
      <c r="GV71" s="329"/>
      <c r="GW71" s="311"/>
      <c r="GX71" s="315"/>
      <c r="GY71" s="310"/>
      <c r="GZ71" s="329"/>
      <c r="HA71" s="311"/>
      <c r="HB71" s="315"/>
      <c r="HC71" s="312">
        <f t="shared" si="79"/>
        <v>0</v>
      </c>
      <c r="HD71" s="330"/>
      <c r="HE71" s="313">
        <f t="shared" si="79"/>
        <v>0</v>
      </c>
      <c r="HF71" s="331">
        <f t="shared" si="79"/>
        <v>0</v>
      </c>
      <c r="HG71" s="312">
        <f>SUM(SUMIFS(K71:HB71,$K$13:$HB$13,{"エネルギー管理指定工場等*","県域*"}))</f>
        <v>0</v>
      </c>
      <c r="HH71" s="330"/>
      <c r="HI71" s="313">
        <f>SUM(SUMIFS(M71:HD71,$K$13:$HB$13,{"エネルギー管理指定工場等*","県域*"}))</f>
        <v>0</v>
      </c>
      <c r="HJ71" s="331">
        <f>SUM(SUMIFS(N71:HE71,$K$13:$HB$13,{"エネルギー管理指定工場等*","県域*"}))</f>
        <v>0</v>
      </c>
      <c r="IE71" s="579"/>
      <c r="IF71" s="579"/>
      <c r="IG71" s="579"/>
      <c r="IH71" s="579"/>
    </row>
    <row r="72" spans="2:242" s="164" customFormat="1" ht="20.100000000000001" customHeight="1">
      <c r="B72" s="302"/>
      <c r="C72" s="319"/>
      <c r="D72" s="332"/>
      <c r="E72" s="333" t="s">
        <v>1377</v>
      </c>
      <c r="F72" s="303" t="s">
        <v>461</v>
      </c>
      <c r="G72" s="306">
        <v>1.19</v>
      </c>
      <c r="H72" s="334"/>
      <c r="I72" s="308"/>
      <c r="J72" s="309"/>
      <c r="K72" s="310"/>
      <c r="L72" s="329"/>
      <c r="M72" s="311"/>
      <c r="N72" s="315"/>
      <c r="O72" s="310"/>
      <c r="P72" s="329"/>
      <c r="Q72" s="311"/>
      <c r="R72" s="315"/>
      <c r="S72" s="310"/>
      <c r="T72" s="329"/>
      <c r="U72" s="311"/>
      <c r="V72" s="315"/>
      <c r="W72" s="310"/>
      <c r="X72" s="329"/>
      <c r="Y72" s="311"/>
      <c r="Z72" s="315"/>
      <c r="AA72" s="310"/>
      <c r="AB72" s="329"/>
      <c r="AC72" s="311"/>
      <c r="AD72" s="315"/>
      <c r="AE72" s="310"/>
      <c r="AF72" s="329"/>
      <c r="AG72" s="311"/>
      <c r="AH72" s="315"/>
      <c r="AI72" s="310"/>
      <c r="AJ72" s="329"/>
      <c r="AK72" s="311"/>
      <c r="AL72" s="315"/>
      <c r="AM72" s="310"/>
      <c r="AN72" s="329"/>
      <c r="AO72" s="311"/>
      <c r="AP72" s="315"/>
      <c r="AQ72" s="310"/>
      <c r="AR72" s="329"/>
      <c r="AS72" s="311"/>
      <c r="AT72" s="315"/>
      <c r="AU72" s="310"/>
      <c r="AV72" s="329"/>
      <c r="AW72" s="311"/>
      <c r="AX72" s="315"/>
      <c r="AY72" s="310"/>
      <c r="AZ72" s="329"/>
      <c r="BA72" s="311"/>
      <c r="BB72" s="315"/>
      <c r="BC72" s="310"/>
      <c r="BD72" s="329"/>
      <c r="BE72" s="311"/>
      <c r="BF72" s="315"/>
      <c r="BG72" s="310"/>
      <c r="BH72" s="329"/>
      <c r="BI72" s="311"/>
      <c r="BJ72" s="315"/>
      <c r="BK72" s="310"/>
      <c r="BL72" s="329"/>
      <c r="BM72" s="311"/>
      <c r="BN72" s="315"/>
      <c r="BO72" s="310"/>
      <c r="BP72" s="329"/>
      <c r="BQ72" s="311"/>
      <c r="BR72" s="315"/>
      <c r="BS72" s="310"/>
      <c r="BT72" s="329"/>
      <c r="BU72" s="311"/>
      <c r="BV72" s="315"/>
      <c r="BW72" s="310"/>
      <c r="BX72" s="329"/>
      <c r="BY72" s="311"/>
      <c r="BZ72" s="315"/>
      <c r="CA72" s="310"/>
      <c r="CB72" s="329"/>
      <c r="CC72" s="311"/>
      <c r="CD72" s="315"/>
      <c r="CE72" s="310"/>
      <c r="CF72" s="329"/>
      <c r="CG72" s="311"/>
      <c r="CH72" s="315"/>
      <c r="CI72" s="310"/>
      <c r="CJ72" s="329"/>
      <c r="CK72" s="311"/>
      <c r="CL72" s="315"/>
      <c r="CM72" s="310"/>
      <c r="CN72" s="329"/>
      <c r="CO72" s="311"/>
      <c r="CP72" s="315"/>
      <c r="CQ72" s="310"/>
      <c r="CR72" s="329"/>
      <c r="CS72" s="311"/>
      <c r="CT72" s="315"/>
      <c r="CU72" s="310"/>
      <c r="CV72" s="329"/>
      <c r="CW72" s="311"/>
      <c r="CX72" s="315"/>
      <c r="CY72" s="310"/>
      <c r="CZ72" s="329"/>
      <c r="DA72" s="311"/>
      <c r="DB72" s="315"/>
      <c r="DC72" s="310"/>
      <c r="DD72" s="329"/>
      <c r="DE72" s="311"/>
      <c r="DF72" s="315"/>
      <c r="DG72" s="310"/>
      <c r="DH72" s="329"/>
      <c r="DI72" s="311"/>
      <c r="DJ72" s="315"/>
      <c r="DK72" s="310"/>
      <c r="DL72" s="329"/>
      <c r="DM72" s="311"/>
      <c r="DN72" s="315"/>
      <c r="DO72" s="310"/>
      <c r="DP72" s="329"/>
      <c r="DQ72" s="311"/>
      <c r="DR72" s="315"/>
      <c r="DS72" s="310"/>
      <c r="DT72" s="329"/>
      <c r="DU72" s="311"/>
      <c r="DV72" s="315"/>
      <c r="DW72" s="310"/>
      <c r="DX72" s="329"/>
      <c r="DY72" s="311"/>
      <c r="DZ72" s="315"/>
      <c r="EA72" s="310"/>
      <c r="EB72" s="329"/>
      <c r="EC72" s="311"/>
      <c r="ED72" s="315"/>
      <c r="EE72" s="310"/>
      <c r="EF72" s="329"/>
      <c r="EG72" s="311"/>
      <c r="EH72" s="315"/>
      <c r="EI72" s="310"/>
      <c r="EJ72" s="329"/>
      <c r="EK72" s="311"/>
      <c r="EL72" s="315"/>
      <c r="EM72" s="310"/>
      <c r="EN72" s="329"/>
      <c r="EO72" s="311"/>
      <c r="EP72" s="315"/>
      <c r="EQ72" s="310"/>
      <c r="ER72" s="329"/>
      <c r="ES72" s="311"/>
      <c r="ET72" s="315"/>
      <c r="EU72" s="310"/>
      <c r="EV72" s="329"/>
      <c r="EW72" s="311"/>
      <c r="EX72" s="315"/>
      <c r="EY72" s="310"/>
      <c r="EZ72" s="329"/>
      <c r="FA72" s="311"/>
      <c r="FB72" s="315"/>
      <c r="FC72" s="310"/>
      <c r="FD72" s="329"/>
      <c r="FE72" s="311"/>
      <c r="FF72" s="315"/>
      <c r="FG72" s="310"/>
      <c r="FH72" s="329"/>
      <c r="FI72" s="311"/>
      <c r="FJ72" s="315"/>
      <c r="FK72" s="310"/>
      <c r="FL72" s="329"/>
      <c r="FM72" s="311"/>
      <c r="FN72" s="315"/>
      <c r="FO72" s="310"/>
      <c r="FP72" s="329"/>
      <c r="FQ72" s="311"/>
      <c r="FR72" s="315"/>
      <c r="FS72" s="310"/>
      <c r="FT72" s="329"/>
      <c r="FU72" s="311"/>
      <c r="FV72" s="315"/>
      <c r="FW72" s="310"/>
      <c r="FX72" s="329"/>
      <c r="FY72" s="311"/>
      <c r="FZ72" s="315"/>
      <c r="GA72" s="310"/>
      <c r="GB72" s="329"/>
      <c r="GC72" s="311"/>
      <c r="GD72" s="315"/>
      <c r="GE72" s="310"/>
      <c r="GF72" s="329"/>
      <c r="GG72" s="311"/>
      <c r="GH72" s="315"/>
      <c r="GI72" s="310"/>
      <c r="GJ72" s="329"/>
      <c r="GK72" s="311"/>
      <c r="GL72" s="315"/>
      <c r="GM72" s="310"/>
      <c r="GN72" s="329"/>
      <c r="GO72" s="311"/>
      <c r="GP72" s="315"/>
      <c r="GQ72" s="310"/>
      <c r="GR72" s="329"/>
      <c r="GS72" s="311"/>
      <c r="GT72" s="315"/>
      <c r="GU72" s="310"/>
      <c r="GV72" s="329"/>
      <c r="GW72" s="311"/>
      <c r="GX72" s="315"/>
      <c r="GY72" s="310"/>
      <c r="GZ72" s="329"/>
      <c r="HA72" s="311"/>
      <c r="HB72" s="315"/>
      <c r="HC72" s="312">
        <f t="shared" si="79"/>
        <v>0</v>
      </c>
      <c r="HD72" s="330"/>
      <c r="HE72" s="313">
        <f t="shared" si="79"/>
        <v>0</v>
      </c>
      <c r="HF72" s="331">
        <f t="shared" si="79"/>
        <v>0</v>
      </c>
      <c r="HG72" s="312">
        <f>SUM(SUMIFS(K72:HB72,$K$13:$HB$13,{"エネルギー管理指定工場等*","県域*"}))</f>
        <v>0</v>
      </c>
      <c r="HH72" s="330"/>
      <c r="HI72" s="313">
        <f>SUM(SUMIFS(M72:HD72,$K$13:$HB$13,{"エネルギー管理指定工場等*","県域*"}))</f>
        <v>0</v>
      </c>
      <c r="HJ72" s="331">
        <f>SUM(SUMIFS(N72:HE72,$K$13:$HB$13,{"エネルギー管理指定工場等*","県域*"}))</f>
        <v>0</v>
      </c>
      <c r="IE72" s="579"/>
      <c r="IF72" s="579"/>
      <c r="IG72" s="579"/>
      <c r="IH72" s="579"/>
    </row>
    <row r="73" spans="2:242" s="164" customFormat="1" ht="20.100000000000001" customHeight="1">
      <c r="B73" s="302"/>
      <c r="C73" s="319"/>
      <c r="D73" s="328" t="s">
        <v>606</v>
      </c>
      <c r="E73" s="335"/>
      <c r="F73" s="303" t="s">
        <v>461</v>
      </c>
      <c r="G73" s="336"/>
      <c r="H73" s="315"/>
      <c r="I73" s="308"/>
      <c r="J73" s="309"/>
      <c r="K73" s="310"/>
      <c r="L73" s="329"/>
      <c r="M73" s="311"/>
      <c r="N73" s="315"/>
      <c r="O73" s="310"/>
      <c r="P73" s="329"/>
      <c r="Q73" s="311"/>
      <c r="R73" s="315"/>
      <c r="S73" s="310"/>
      <c r="T73" s="329"/>
      <c r="U73" s="311"/>
      <c r="V73" s="315"/>
      <c r="W73" s="310"/>
      <c r="X73" s="329"/>
      <c r="Y73" s="311"/>
      <c r="Z73" s="315"/>
      <c r="AA73" s="310"/>
      <c r="AB73" s="329"/>
      <c r="AC73" s="311"/>
      <c r="AD73" s="315"/>
      <c r="AE73" s="310"/>
      <c r="AF73" s="329"/>
      <c r="AG73" s="311"/>
      <c r="AH73" s="315"/>
      <c r="AI73" s="310"/>
      <c r="AJ73" s="329"/>
      <c r="AK73" s="311"/>
      <c r="AL73" s="315"/>
      <c r="AM73" s="310"/>
      <c r="AN73" s="329"/>
      <c r="AO73" s="311"/>
      <c r="AP73" s="315"/>
      <c r="AQ73" s="310"/>
      <c r="AR73" s="329"/>
      <c r="AS73" s="311"/>
      <c r="AT73" s="315"/>
      <c r="AU73" s="310"/>
      <c r="AV73" s="329"/>
      <c r="AW73" s="311"/>
      <c r="AX73" s="315"/>
      <c r="AY73" s="310"/>
      <c r="AZ73" s="329"/>
      <c r="BA73" s="311"/>
      <c r="BB73" s="315"/>
      <c r="BC73" s="310"/>
      <c r="BD73" s="329"/>
      <c r="BE73" s="311"/>
      <c r="BF73" s="315"/>
      <c r="BG73" s="310"/>
      <c r="BH73" s="329"/>
      <c r="BI73" s="311"/>
      <c r="BJ73" s="315"/>
      <c r="BK73" s="310"/>
      <c r="BL73" s="329"/>
      <c r="BM73" s="311"/>
      <c r="BN73" s="315"/>
      <c r="BO73" s="310"/>
      <c r="BP73" s="329"/>
      <c r="BQ73" s="311"/>
      <c r="BR73" s="315"/>
      <c r="BS73" s="310"/>
      <c r="BT73" s="329"/>
      <c r="BU73" s="311"/>
      <c r="BV73" s="315"/>
      <c r="BW73" s="310"/>
      <c r="BX73" s="329"/>
      <c r="BY73" s="311"/>
      <c r="BZ73" s="315"/>
      <c r="CA73" s="310"/>
      <c r="CB73" s="329"/>
      <c r="CC73" s="311"/>
      <c r="CD73" s="315"/>
      <c r="CE73" s="310"/>
      <c r="CF73" s="329"/>
      <c r="CG73" s="311"/>
      <c r="CH73" s="315"/>
      <c r="CI73" s="310"/>
      <c r="CJ73" s="329"/>
      <c r="CK73" s="311"/>
      <c r="CL73" s="315"/>
      <c r="CM73" s="310"/>
      <c r="CN73" s="329"/>
      <c r="CO73" s="311"/>
      <c r="CP73" s="315"/>
      <c r="CQ73" s="310"/>
      <c r="CR73" s="329"/>
      <c r="CS73" s="311"/>
      <c r="CT73" s="315"/>
      <c r="CU73" s="310"/>
      <c r="CV73" s="329"/>
      <c r="CW73" s="311"/>
      <c r="CX73" s="315"/>
      <c r="CY73" s="310"/>
      <c r="CZ73" s="329"/>
      <c r="DA73" s="311"/>
      <c r="DB73" s="315"/>
      <c r="DC73" s="310"/>
      <c r="DD73" s="329"/>
      <c r="DE73" s="311"/>
      <c r="DF73" s="315"/>
      <c r="DG73" s="310"/>
      <c r="DH73" s="329"/>
      <c r="DI73" s="311"/>
      <c r="DJ73" s="315"/>
      <c r="DK73" s="310"/>
      <c r="DL73" s="329"/>
      <c r="DM73" s="311"/>
      <c r="DN73" s="315"/>
      <c r="DO73" s="310"/>
      <c r="DP73" s="329"/>
      <c r="DQ73" s="311"/>
      <c r="DR73" s="315"/>
      <c r="DS73" s="310"/>
      <c r="DT73" s="329"/>
      <c r="DU73" s="311"/>
      <c r="DV73" s="315"/>
      <c r="DW73" s="310"/>
      <c r="DX73" s="329"/>
      <c r="DY73" s="311"/>
      <c r="DZ73" s="315"/>
      <c r="EA73" s="310"/>
      <c r="EB73" s="329"/>
      <c r="EC73" s="311"/>
      <c r="ED73" s="315"/>
      <c r="EE73" s="310"/>
      <c r="EF73" s="329"/>
      <c r="EG73" s="311"/>
      <c r="EH73" s="315"/>
      <c r="EI73" s="310"/>
      <c r="EJ73" s="329"/>
      <c r="EK73" s="311"/>
      <c r="EL73" s="315"/>
      <c r="EM73" s="310"/>
      <c r="EN73" s="329"/>
      <c r="EO73" s="311"/>
      <c r="EP73" s="315"/>
      <c r="EQ73" s="310"/>
      <c r="ER73" s="329"/>
      <c r="ES73" s="311"/>
      <c r="ET73" s="315"/>
      <c r="EU73" s="310"/>
      <c r="EV73" s="329"/>
      <c r="EW73" s="311"/>
      <c r="EX73" s="315"/>
      <c r="EY73" s="310"/>
      <c r="EZ73" s="329"/>
      <c r="FA73" s="311"/>
      <c r="FB73" s="315"/>
      <c r="FC73" s="310"/>
      <c r="FD73" s="329"/>
      <c r="FE73" s="311"/>
      <c r="FF73" s="315"/>
      <c r="FG73" s="310"/>
      <c r="FH73" s="329"/>
      <c r="FI73" s="311"/>
      <c r="FJ73" s="315"/>
      <c r="FK73" s="310"/>
      <c r="FL73" s="329"/>
      <c r="FM73" s="311"/>
      <c r="FN73" s="315"/>
      <c r="FO73" s="310"/>
      <c r="FP73" s="329"/>
      <c r="FQ73" s="311"/>
      <c r="FR73" s="315"/>
      <c r="FS73" s="310"/>
      <c r="FT73" s="329"/>
      <c r="FU73" s="311"/>
      <c r="FV73" s="315"/>
      <c r="FW73" s="310"/>
      <c r="FX73" s="329"/>
      <c r="FY73" s="311"/>
      <c r="FZ73" s="315"/>
      <c r="GA73" s="310"/>
      <c r="GB73" s="329"/>
      <c r="GC73" s="311"/>
      <c r="GD73" s="315"/>
      <c r="GE73" s="310"/>
      <c r="GF73" s="329"/>
      <c r="GG73" s="311"/>
      <c r="GH73" s="315"/>
      <c r="GI73" s="310"/>
      <c r="GJ73" s="329"/>
      <c r="GK73" s="311"/>
      <c r="GL73" s="315"/>
      <c r="GM73" s="310"/>
      <c r="GN73" s="329"/>
      <c r="GO73" s="311"/>
      <c r="GP73" s="315"/>
      <c r="GQ73" s="310"/>
      <c r="GR73" s="329"/>
      <c r="GS73" s="311"/>
      <c r="GT73" s="315"/>
      <c r="GU73" s="310"/>
      <c r="GV73" s="329"/>
      <c r="GW73" s="311"/>
      <c r="GX73" s="315"/>
      <c r="GY73" s="310"/>
      <c r="GZ73" s="329"/>
      <c r="HA73" s="311"/>
      <c r="HB73" s="315"/>
      <c r="HC73" s="312">
        <f t="shared" si="79"/>
        <v>0</v>
      </c>
      <c r="HD73" s="330"/>
      <c r="HE73" s="313">
        <f t="shared" si="79"/>
        <v>0</v>
      </c>
      <c r="HF73" s="331">
        <f t="shared" si="79"/>
        <v>0</v>
      </c>
      <c r="HG73" s="312">
        <f>SUM(SUMIFS(K73:HB73,$K$13:$HB$13,{"エネルギー管理指定工場等*","県域*"}))</f>
        <v>0</v>
      </c>
      <c r="HH73" s="330"/>
      <c r="HI73" s="313">
        <f>SUM(SUMIFS(M73:HD73,$K$13:$HB$13,{"エネルギー管理指定工場等*","県域*"}))</f>
        <v>0</v>
      </c>
      <c r="HJ73" s="331">
        <f>SUM(SUMIFS(N73:HE73,$K$13:$HB$13,{"エネルギー管理指定工場等*","県域*"}))</f>
        <v>0</v>
      </c>
      <c r="IE73" s="579"/>
      <c r="IF73" s="579"/>
      <c r="IG73" s="579"/>
      <c r="IH73" s="579"/>
    </row>
    <row r="74" spans="2:242" s="164" customFormat="1" ht="20.100000000000001" customHeight="1">
      <c r="B74" s="302"/>
      <c r="C74" s="318"/>
      <c r="D74" s="332"/>
      <c r="E74" s="333" t="s">
        <v>1377</v>
      </c>
      <c r="F74" s="303" t="s">
        <v>461</v>
      </c>
      <c r="G74" s="336"/>
      <c r="H74" s="337"/>
      <c r="I74" s="308"/>
      <c r="J74" s="309"/>
      <c r="K74" s="336"/>
      <c r="L74" s="338"/>
      <c r="M74" s="339"/>
      <c r="N74" s="337"/>
      <c r="O74" s="336"/>
      <c r="P74" s="338"/>
      <c r="Q74" s="339"/>
      <c r="R74" s="337"/>
      <c r="S74" s="336"/>
      <c r="T74" s="338"/>
      <c r="U74" s="339"/>
      <c r="V74" s="337"/>
      <c r="W74" s="336"/>
      <c r="X74" s="338"/>
      <c r="Y74" s="339"/>
      <c r="Z74" s="337"/>
      <c r="AA74" s="336"/>
      <c r="AB74" s="338"/>
      <c r="AC74" s="339"/>
      <c r="AD74" s="337"/>
      <c r="AE74" s="336"/>
      <c r="AF74" s="338"/>
      <c r="AG74" s="339"/>
      <c r="AH74" s="337"/>
      <c r="AI74" s="336"/>
      <c r="AJ74" s="338"/>
      <c r="AK74" s="339"/>
      <c r="AL74" s="337"/>
      <c r="AM74" s="336"/>
      <c r="AN74" s="338"/>
      <c r="AO74" s="339"/>
      <c r="AP74" s="337"/>
      <c r="AQ74" s="336"/>
      <c r="AR74" s="338"/>
      <c r="AS74" s="339"/>
      <c r="AT74" s="337"/>
      <c r="AU74" s="336"/>
      <c r="AV74" s="338"/>
      <c r="AW74" s="339"/>
      <c r="AX74" s="337"/>
      <c r="AY74" s="336"/>
      <c r="AZ74" s="338"/>
      <c r="BA74" s="339"/>
      <c r="BB74" s="337"/>
      <c r="BC74" s="336"/>
      <c r="BD74" s="338"/>
      <c r="BE74" s="339"/>
      <c r="BF74" s="337"/>
      <c r="BG74" s="336"/>
      <c r="BH74" s="338"/>
      <c r="BI74" s="339"/>
      <c r="BJ74" s="337"/>
      <c r="BK74" s="336"/>
      <c r="BL74" s="338"/>
      <c r="BM74" s="339"/>
      <c r="BN74" s="337"/>
      <c r="BO74" s="336"/>
      <c r="BP74" s="338"/>
      <c r="BQ74" s="339"/>
      <c r="BR74" s="337"/>
      <c r="BS74" s="336"/>
      <c r="BT74" s="338"/>
      <c r="BU74" s="339"/>
      <c r="BV74" s="337"/>
      <c r="BW74" s="336"/>
      <c r="BX74" s="338"/>
      <c r="BY74" s="339"/>
      <c r="BZ74" s="337"/>
      <c r="CA74" s="336"/>
      <c r="CB74" s="338"/>
      <c r="CC74" s="339"/>
      <c r="CD74" s="337"/>
      <c r="CE74" s="336"/>
      <c r="CF74" s="338"/>
      <c r="CG74" s="339"/>
      <c r="CH74" s="337"/>
      <c r="CI74" s="336"/>
      <c r="CJ74" s="338"/>
      <c r="CK74" s="339"/>
      <c r="CL74" s="337"/>
      <c r="CM74" s="336"/>
      <c r="CN74" s="338"/>
      <c r="CO74" s="339"/>
      <c r="CP74" s="337"/>
      <c r="CQ74" s="336"/>
      <c r="CR74" s="338"/>
      <c r="CS74" s="339"/>
      <c r="CT74" s="337"/>
      <c r="CU74" s="336"/>
      <c r="CV74" s="338"/>
      <c r="CW74" s="339"/>
      <c r="CX74" s="337"/>
      <c r="CY74" s="336"/>
      <c r="CZ74" s="338"/>
      <c r="DA74" s="339"/>
      <c r="DB74" s="337"/>
      <c r="DC74" s="336"/>
      <c r="DD74" s="338"/>
      <c r="DE74" s="339"/>
      <c r="DF74" s="337"/>
      <c r="DG74" s="336"/>
      <c r="DH74" s="338"/>
      <c r="DI74" s="339"/>
      <c r="DJ74" s="337"/>
      <c r="DK74" s="336"/>
      <c r="DL74" s="338"/>
      <c r="DM74" s="339"/>
      <c r="DN74" s="337"/>
      <c r="DO74" s="336"/>
      <c r="DP74" s="338"/>
      <c r="DQ74" s="339"/>
      <c r="DR74" s="337"/>
      <c r="DS74" s="336"/>
      <c r="DT74" s="338"/>
      <c r="DU74" s="339"/>
      <c r="DV74" s="337"/>
      <c r="DW74" s="336"/>
      <c r="DX74" s="338"/>
      <c r="DY74" s="339"/>
      <c r="DZ74" s="337"/>
      <c r="EA74" s="336"/>
      <c r="EB74" s="338"/>
      <c r="EC74" s="339"/>
      <c r="ED74" s="337"/>
      <c r="EE74" s="336"/>
      <c r="EF74" s="338"/>
      <c r="EG74" s="339"/>
      <c r="EH74" s="337"/>
      <c r="EI74" s="336"/>
      <c r="EJ74" s="338"/>
      <c r="EK74" s="339"/>
      <c r="EL74" s="337"/>
      <c r="EM74" s="336"/>
      <c r="EN74" s="338"/>
      <c r="EO74" s="339"/>
      <c r="EP74" s="337"/>
      <c r="EQ74" s="336"/>
      <c r="ER74" s="338"/>
      <c r="ES74" s="339"/>
      <c r="ET74" s="337"/>
      <c r="EU74" s="336"/>
      <c r="EV74" s="338"/>
      <c r="EW74" s="339"/>
      <c r="EX74" s="337"/>
      <c r="EY74" s="336"/>
      <c r="EZ74" s="338"/>
      <c r="FA74" s="339"/>
      <c r="FB74" s="337"/>
      <c r="FC74" s="336"/>
      <c r="FD74" s="338"/>
      <c r="FE74" s="339"/>
      <c r="FF74" s="337"/>
      <c r="FG74" s="336"/>
      <c r="FH74" s="338"/>
      <c r="FI74" s="339"/>
      <c r="FJ74" s="337"/>
      <c r="FK74" s="336"/>
      <c r="FL74" s="338"/>
      <c r="FM74" s="339"/>
      <c r="FN74" s="337"/>
      <c r="FO74" s="336"/>
      <c r="FP74" s="338"/>
      <c r="FQ74" s="339"/>
      <c r="FR74" s="337"/>
      <c r="FS74" s="336"/>
      <c r="FT74" s="338"/>
      <c r="FU74" s="339"/>
      <c r="FV74" s="337"/>
      <c r="FW74" s="336"/>
      <c r="FX74" s="338"/>
      <c r="FY74" s="339"/>
      <c r="FZ74" s="337"/>
      <c r="GA74" s="336"/>
      <c r="GB74" s="338"/>
      <c r="GC74" s="339"/>
      <c r="GD74" s="337"/>
      <c r="GE74" s="336"/>
      <c r="GF74" s="338"/>
      <c r="GG74" s="339"/>
      <c r="GH74" s="337"/>
      <c r="GI74" s="336"/>
      <c r="GJ74" s="338"/>
      <c r="GK74" s="339"/>
      <c r="GL74" s="337"/>
      <c r="GM74" s="336"/>
      <c r="GN74" s="338"/>
      <c r="GO74" s="339"/>
      <c r="GP74" s="337"/>
      <c r="GQ74" s="336"/>
      <c r="GR74" s="338"/>
      <c r="GS74" s="339"/>
      <c r="GT74" s="337"/>
      <c r="GU74" s="336"/>
      <c r="GV74" s="338"/>
      <c r="GW74" s="339"/>
      <c r="GX74" s="337"/>
      <c r="GY74" s="336"/>
      <c r="GZ74" s="338"/>
      <c r="HA74" s="339"/>
      <c r="HB74" s="337"/>
      <c r="HC74" s="340">
        <f t="shared" si="79"/>
        <v>0</v>
      </c>
      <c r="HD74" s="341"/>
      <c r="HE74" s="342">
        <f t="shared" si="79"/>
        <v>0</v>
      </c>
      <c r="HF74" s="343">
        <f t="shared" si="79"/>
        <v>0</v>
      </c>
      <c r="HG74" s="340">
        <f>SUM(SUMIFS(K74:HB74,$K$13:$HB$13,{"エネルギー管理指定工場等*","県域*"}))</f>
        <v>0</v>
      </c>
      <c r="HH74" s="341"/>
      <c r="HI74" s="342">
        <f>SUM(SUMIFS(M74:HD74,$K$13:$HB$13,{"エネルギー管理指定工場等*","県域*"}))</f>
        <v>0</v>
      </c>
      <c r="HJ74" s="343">
        <f>SUM(SUMIFS(N74:HE74,$K$13:$HB$13,{"エネルギー管理指定工場等*","県域*"}))</f>
        <v>0</v>
      </c>
      <c r="IE74" s="579"/>
      <c r="IF74" s="579"/>
      <c r="IG74" s="579"/>
      <c r="IH74" s="579"/>
    </row>
    <row r="75" spans="2:242" s="164" customFormat="1" ht="39.6">
      <c r="B75" s="302"/>
      <c r="C75" s="327" t="s">
        <v>1378</v>
      </c>
      <c r="D75" s="303" t="s">
        <v>1379</v>
      </c>
      <c r="E75" s="305"/>
      <c r="F75" s="303" t="s">
        <v>461</v>
      </c>
      <c r="G75" s="336"/>
      <c r="H75" s="334"/>
      <c r="I75" s="308"/>
      <c r="J75" s="309"/>
      <c r="K75" s="336"/>
      <c r="L75" s="338"/>
      <c r="M75" s="339"/>
      <c r="N75" s="337"/>
      <c r="O75" s="336"/>
      <c r="P75" s="338"/>
      <c r="Q75" s="339"/>
      <c r="R75" s="337"/>
      <c r="S75" s="336"/>
      <c r="T75" s="338"/>
      <c r="U75" s="339"/>
      <c r="V75" s="337"/>
      <c r="W75" s="336"/>
      <c r="X75" s="338"/>
      <c r="Y75" s="339"/>
      <c r="Z75" s="337"/>
      <c r="AA75" s="336"/>
      <c r="AB75" s="338"/>
      <c r="AC75" s="339"/>
      <c r="AD75" s="337"/>
      <c r="AE75" s="336"/>
      <c r="AF75" s="338"/>
      <c r="AG75" s="339"/>
      <c r="AH75" s="337"/>
      <c r="AI75" s="336"/>
      <c r="AJ75" s="338"/>
      <c r="AK75" s="339"/>
      <c r="AL75" s="337"/>
      <c r="AM75" s="336"/>
      <c r="AN75" s="338"/>
      <c r="AO75" s="339"/>
      <c r="AP75" s="337"/>
      <c r="AQ75" s="336"/>
      <c r="AR75" s="338"/>
      <c r="AS75" s="339"/>
      <c r="AT75" s="337"/>
      <c r="AU75" s="336"/>
      <c r="AV75" s="338"/>
      <c r="AW75" s="339"/>
      <c r="AX75" s="337"/>
      <c r="AY75" s="336"/>
      <c r="AZ75" s="338"/>
      <c r="BA75" s="339"/>
      <c r="BB75" s="337"/>
      <c r="BC75" s="336"/>
      <c r="BD75" s="338"/>
      <c r="BE75" s="339"/>
      <c r="BF75" s="337"/>
      <c r="BG75" s="336"/>
      <c r="BH75" s="338"/>
      <c r="BI75" s="339"/>
      <c r="BJ75" s="337"/>
      <c r="BK75" s="336"/>
      <c r="BL75" s="338"/>
      <c r="BM75" s="339"/>
      <c r="BN75" s="337"/>
      <c r="BO75" s="336"/>
      <c r="BP75" s="338"/>
      <c r="BQ75" s="339"/>
      <c r="BR75" s="337"/>
      <c r="BS75" s="336"/>
      <c r="BT75" s="338"/>
      <c r="BU75" s="339"/>
      <c r="BV75" s="337"/>
      <c r="BW75" s="336"/>
      <c r="BX75" s="338"/>
      <c r="BY75" s="339"/>
      <c r="BZ75" s="337"/>
      <c r="CA75" s="336"/>
      <c r="CB75" s="338"/>
      <c r="CC75" s="339"/>
      <c r="CD75" s="337"/>
      <c r="CE75" s="336"/>
      <c r="CF75" s="338"/>
      <c r="CG75" s="339"/>
      <c r="CH75" s="337"/>
      <c r="CI75" s="336"/>
      <c r="CJ75" s="338"/>
      <c r="CK75" s="339"/>
      <c r="CL75" s="337"/>
      <c r="CM75" s="336"/>
      <c r="CN75" s="338"/>
      <c r="CO75" s="339"/>
      <c r="CP75" s="337"/>
      <c r="CQ75" s="336"/>
      <c r="CR75" s="338"/>
      <c r="CS75" s="339"/>
      <c r="CT75" s="337"/>
      <c r="CU75" s="336"/>
      <c r="CV75" s="338"/>
      <c r="CW75" s="339"/>
      <c r="CX75" s="337"/>
      <c r="CY75" s="336"/>
      <c r="CZ75" s="338"/>
      <c r="DA75" s="339"/>
      <c r="DB75" s="337"/>
      <c r="DC75" s="336"/>
      <c r="DD75" s="338"/>
      <c r="DE75" s="339"/>
      <c r="DF75" s="337"/>
      <c r="DG75" s="336"/>
      <c r="DH75" s="338"/>
      <c r="DI75" s="339"/>
      <c r="DJ75" s="337"/>
      <c r="DK75" s="336"/>
      <c r="DL75" s="338"/>
      <c r="DM75" s="339"/>
      <c r="DN75" s="337"/>
      <c r="DO75" s="336"/>
      <c r="DP75" s="338"/>
      <c r="DQ75" s="339"/>
      <c r="DR75" s="337"/>
      <c r="DS75" s="336"/>
      <c r="DT75" s="338"/>
      <c r="DU75" s="339"/>
      <c r="DV75" s="337"/>
      <c r="DW75" s="336"/>
      <c r="DX75" s="338"/>
      <c r="DY75" s="339"/>
      <c r="DZ75" s="337"/>
      <c r="EA75" s="336"/>
      <c r="EB75" s="338"/>
      <c r="EC75" s="339"/>
      <c r="ED75" s="337"/>
      <c r="EE75" s="336"/>
      <c r="EF75" s="338"/>
      <c r="EG75" s="339"/>
      <c r="EH75" s="337"/>
      <c r="EI75" s="336"/>
      <c r="EJ75" s="338"/>
      <c r="EK75" s="339"/>
      <c r="EL75" s="337"/>
      <c r="EM75" s="336"/>
      <c r="EN75" s="338"/>
      <c r="EO75" s="339"/>
      <c r="EP75" s="337"/>
      <c r="EQ75" s="336"/>
      <c r="ER75" s="338"/>
      <c r="ES75" s="339"/>
      <c r="ET75" s="337"/>
      <c r="EU75" s="336"/>
      <c r="EV75" s="338"/>
      <c r="EW75" s="339"/>
      <c r="EX75" s="337"/>
      <c r="EY75" s="336"/>
      <c r="EZ75" s="338"/>
      <c r="FA75" s="339"/>
      <c r="FB75" s="337"/>
      <c r="FC75" s="336"/>
      <c r="FD75" s="338"/>
      <c r="FE75" s="339"/>
      <c r="FF75" s="337"/>
      <c r="FG75" s="336"/>
      <c r="FH75" s="338"/>
      <c r="FI75" s="339"/>
      <c r="FJ75" s="337"/>
      <c r="FK75" s="336"/>
      <c r="FL75" s="338"/>
      <c r="FM75" s="339"/>
      <c r="FN75" s="337"/>
      <c r="FO75" s="336"/>
      <c r="FP75" s="338"/>
      <c r="FQ75" s="339"/>
      <c r="FR75" s="337"/>
      <c r="FS75" s="336"/>
      <c r="FT75" s="338"/>
      <c r="FU75" s="339"/>
      <c r="FV75" s="337"/>
      <c r="FW75" s="336"/>
      <c r="FX75" s="338"/>
      <c r="FY75" s="339"/>
      <c r="FZ75" s="337"/>
      <c r="GA75" s="336"/>
      <c r="GB75" s="338"/>
      <c r="GC75" s="339"/>
      <c r="GD75" s="337"/>
      <c r="GE75" s="336"/>
      <c r="GF75" s="338"/>
      <c r="GG75" s="339"/>
      <c r="GH75" s="337"/>
      <c r="GI75" s="336"/>
      <c r="GJ75" s="338"/>
      <c r="GK75" s="339"/>
      <c r="GL75" s="337"/>
      <c r="GM75" s="336"/>
      <c r="GN75" s="338"/>
      <c r="GO75" s="339"/>
      <c r="GP75" s="337"/>
      <c r="GQ75" s="336"/>
      <c r="GR75" s="338"/>
      <c r="GS75" s="339"/>
      <c r="GT75" s="337"/>
      <c r="GU75" s="336"/>
      <c r="GV75" s="338"/>
      <c r="GW75" s="339"/>
      <c r="GX75" s="337"/>
      <c r="GY75" s="336"/>
      <c r="GZ75" s="338"/>
      <c r="HA75" s="339"/>
      <c r="HB75" s="337"/>
      <c r="HC75" s="340">
        <f t="shared" si="79"/>
        <v>0</v>
      </c>
      <c r="HD75" s="341"/>
      <c r="HE75" s="342">
        <f t="shared" si="79"/>
        <v>0</v>
      </c>
      <c r="HF75" s="343">
        <f t="shared" si="79"/>
        <v>0</v>
      </c>
      <c r="HG75" s="340">
        <f>SUM(SUMIFS(K75:HB75,$K$13:$HB$13,{"エネルギー管理指定工場等*","県域*"}))</f>
        <v>0</v>
      </c>
      <c r="HH75" s="341"/>
      <c r="HI75" s="342">
        <f>SUM(SUMIFS(M75:HD75,$K$13:$HB$13,{"エネルギー管理指定工場等*","県域*"}))</f>
        <v>0</v>
      </c>
      <c r="HJ75" s="343">
        <f>SUM(SUMIFS(N75:HE75,$K$13:$HB$13,{"エネルギー管理指定工場等*","県域*"}))</f>
        <v>0</v>
      </c>
      <c r="IE75" s="579"/>
      <c r="IF75" s="579"/>
      <c r="IG75" s="579"/>
      <c r="IH75" s="579"/>
    </row>
    <row r="76" spans="2:242" s="164" customFormat="1" ht="20.100000000000001" customHeight="1">
      <c r="B76" s="302"/>
      <c r="C76" s="319"/>
      <c r="D76" s="303" t="s">
        <v>1380</v>
      </c>
      <c r="E76" s="305"/>
      <c r="F76" s="303" t="s">
        <v>461</v>
      </c>
      <c r="G76" s="336"/>
      <c r="H76" s="334"/>
      <c r="I76" s="308"/>
      <c r="J76" s="309"/>
      <c r="K76" s="336"/>
      <c r="L76" s="338"/>
      <c r="M76" s="339"/>
      <c r="N76" s="337"/>
      <c r="O76" s="336"/>
      <c r="P76" s="338"/>
      <c r="Q76" s="339"/>
      <c r="R76" s="337"/>
      <c r="S76" s="336"/>
      <c r="T76" s="338"/>
      <c r="U76" s="339"/>
      <c r="V76" s="337"/>
      <c r="W76" s="336"/>
      <c r="X76" s="338"/>
      <c r="Y76" s="339"/>
      <c r="Z76" s="337"/>
      <c r="AA76" s="336"/>
      <c r="AB76" s="338"/>
      <c r="AC76" s="339"/>
      <c r="AD76" s="337"/>
      <c r="AE76" s="336"/>
      <c r="AF76" s="338"/>
      <c r="AG76" s="339"/>
      <c r="AH76" s="337"/>
      <c r="AI76" s="336"/>
      <c r="AJ76" s="338"/>
      <c r="AK76" s="339"/>
      <c r="AL76" s="337"/>
      <c r="AM76" s="336"/>
      <c r="AN76" s="338"/>
      <c r="AO76" s="339"/>
      <c r="AP76" s="337"/>
      <c r="AQ76" s="336"/>
      <c r="AR76" s="338"/>
      <c r="AS76" s="339"/>
      <c r="AT76" s="337"/>
      <c r="AU76" s="336"/>
      <c r="AV76" s="338"/>
      <c r="AW76" s="339"/>
      <c r="AX76" s="337"/>
      <c r="AY76" s="336"/>
      <c r="AZ76" s="338"/>
      <c r="BA76" s="339"/>
      <c r="BB76" s="337"/>
      <c r="BC76" s="336"/>
      <c r="BD76" s="338"/>
      <c r="BE76" s="339"/>
      <c r="BF76" s="337"/>
      <c r="BG76" s="336"/>
      <c r="BH76" s="338"/>
      <c r="BI76" s="339"/>
      <c r="BJ76" s="337"/>
      <c r="BK76" s="336"/>
      <c r="BL76" s="338"/>
      <c r="BM76" s="339"/>
      <c r="BN76" s="337"/>
      <c r="BO76" s="336"/>
      <c r="BP76" s="338"/>
      <c r="BQ76" s="339"/>
      <c r="BR76" s="337"/>
      <c r="BS76" s="336"/>
      <c r="BT76" s="338"/>
      <c r="BU76" s="339"/>
      <c r="BV76" s="337"/>
      <c r="BW76" s="336"/>
      <c r="BX76" s="338"/>
      <c r="BY76" s="339"/>
      <c r="BZ76" s="337"/>
      <c r="CA76" s="336"/>
      <c r="CB76" s="338"/>
      <c r="CC76" s="339"/>
      <c r="CD76" s="337"/>
      <c r="CE76" s="336"/>
      <c r="CF76" s="338"/>
      <c r="CG76" s="339"/>
      <c r="CH76" s="337"/>
      <c r="CI76" s="336"/>
      <c r="CJ76" s="338"/>
      <c r="CK76" s="339"/>
      <c r="CL76" s="337"/>
      <c r="CM76" s="336"/>
      <c r="CN76" s="338"/>
      <c r="CO76" s="339"/>
      <c r="CP76" s="337"/>
      <c r="CQ76" s="336"/>
      <c r="CR76" s="338"/>
      <c r="CS76" s="339"/>
      <c r="CT76" s="337"/>
      <c r="CU76" s="336"/>
      <c r="CV76" s="338"/>
      <c r="CW76" s="339"/>
      <c r="CX76" s="337"/>
      <c r="CY76" s="336"/>
      <c r="CZ76" s="338"/>
      <c r="DA76" s="339"/>
      <c r="DB76" s="337"/>
      <c r="DC76" s="336"/>
      <c r="DD76" s="338"/>
      <c r="DE76" s="339"/>
      <c r="DF76" s="337"/>
      <c r="DG76" s="336"/>
      <c r="DH76" s="338"/>
      <c r="DI76" s="339"/>
      <c r="DJ76" s="337"/>
      <c r="DK76" s="336"/>
      <c r="DL76" s="338"/>
      <c r="DM76" s="339"/>
      <c r="DN76" s="337"/>
      <c r="DO76" s="336"/>
      <c r="DP76" s="338"/>
      <c r="DQ76" s="339"/>
      <c r="DR76" s="337"/>
      <c r="DS76" s="336"/>
      <c r="DT76" s="338"/>
      <c r="DU76" s="339"/>
      <c r="DV76" s="337"/>
      <c r="DW76" s="336"/>
      <c r="DX76" s="338"/>
      <c r="DY76" s="339"/>
      <c r="DZ76" s="337"/>
      <c r="EA76" s="336"/>
      <c r="EB76" s="338"/>
      <c r="EC76" s="339"/>
      <c r="ED76" s="337"/>
      <c r="EE76" s="336"/>
      <c r="EF76" s="338"/>
      <c r="EG76" s="339"/>
      <c r="EH76" s="337"/>
      <c r="EI76" s="336"/>
      <c r="EJ76" s="338"/>
      <c r="EK76" s="339"/>
      <c r="EL76" s="337"/>
      <c r="EM76" s="336"/>
      <c r="EN76" s="338"/>
      <c r="EO76" s="339"/>
      <c r="EP76" s="337"/>
      <c r="EQ76" s="336"/>
      <c r="ER76" s="338"/>
      <c r="ES76" s="339"/>
      <c r="ET76" s="337"/>
      <c r="EU76" s="336"/>
      <c r="EV76" s="338"/>
      <c r="EW76" s="339"/>
      <c r="EX76" s="337"/>
      <c r="EY76" s="336"/>
      <c r="EZ76" s="338"/>
      <c r="FA76" s="339"/>
      <c r="FB76" s="337"/>
      <c r="FC76" s="336"/>
      <c r="FD76" s="338"/>
      <c r="FE76" s="339"/>
      <c r="FF76" s="337"/>
      <c r="FG76" s="336"/>
      <c r="FH76" s="338"/>
      <c r="FI76" s="339"/>
      <c r="FJ76" s="337"/>
      <c r="FK76" s="336"/>
      <c r="FL76" s="338"/>
      <c r="FM76" s="339"/>
      <c r="FN76" s="337"/>
      <c r="FO76" s="336"/>
      <c r="FP76" s="338"/>
      <c r="FQ76" s="339"/>
      <c r="FR76" s="337"/>
      <c r="FS76" s="336"/>
      <c r="FT76" s="338"/>
      <c r="FU76" s="339"/>
      <c r="FV76" s="337"/>
      <c r="FW76" s="336"/>
      <c r="FX76" s="338"/>
      <c r="FY76" s="339"/>
      <c r="FZ76" s="337"/>
      <c r="GA76" s="336"/>
      <c r="GB76" s="338"/>
      <c r="GC76" s="339"/>
      <c r="GD76" s="337"/>
      <c r="GE76" s="336"/>
      <c r="GF76" s="338"/>
      <c r="GG76" s="339"/>
      <c r="GH76" s="337"/>
      <c r="GI76" s="336"/>
      <c r="GJ76" s="338"/>
      <c r="GK76" s="339"/>
      <c r="GL76" s="337"/>
      <c r="GM76" s="336"/>
      <c r="GN76" s="338"/>
      <c r="GO76" s="339"/>
      <c r="GP76" s="337"/>
      <c r="GQ76" s="336"/>
      <c r="GR76" s="338"/>
      <c r="GS76" s="339"/>
      <c r="GT76" s="337"/>
      <c r="GU76" s="336"/>
      <c r="GV76" s="338"/>
      <c r="GW76" s="339"/>
      <c r="GX76" s="337"/>
      <c r="GY76" s="336"/>
      <c r="GZ76" s="338"/>
      <c r="HA76" s="339"/>
      <c r="HB76" s="337"/>
      <c r="HC76" s="340">
        <f t="shared" si="79"/>
        <v>0</v>
      </c>
      <c r="HD76" s="341"/>
      <c r="HE76" s="342">
        <f t="shared" si="79"/>
        <v>0</v>
      </c>
      <c r="HF76" s="343">
        <f t="shared" si="79"/>
        <v>0</v>
      </c>
      <c r="HG76" s="340">
        <f>SUM(SUMIFS(K76:HB76,$K$13:$HB$13,{"エネルギー管理指定工場等*","県域*"}))</f>
        <v>0</v>
      </c>
      <c r="HH76" s="341"/>
      <c r="HI76" s="342">
        <f>SUM(SUMIFS(M76:HD76,$K$13:$HB$13,{"エネルギー管理指定工場等*","県域*"}))</f>
        <v>0</v>
      </c>
      <c r="HJ76" s="343">
        <f>SUM(SUMIFS(N76:HE76,$K$13:$HB$13,{"エネルギー管理指定工場等*","県域*"}))</f>
        <v>0</v>
      </c>
      <c r="IE76" s="579"/>
      <c r="IF76" s="579"/>
      <c r="IG76" s="579"/>
      <c r="IH76" s="579"/>
    </row>
    <row r="77" spans="2:242" s="164" customFormat="1" ht="20.100000000000001" customHeight="1">
      <c r="B77" s="302"/>
      <c r="C77" s="319"/>
      <c r="D77" s="303" t="s">
        <v>1381</v>
      </c>
      <c r="E77" s="305"/>
      <c r="F77" s="303" t="s">
        <v>461</v>
      </c>
      <c r="G77" s="336"/>
      <c r="H77" s="334"/>
      <c r="I77" s="308"/>
      <c r="J77" s="309"/>
      <c r="K77" s="336"/>
      <c r="L77" s="338"/>
      <c r="M77" s="339"/>
      <c r="N77" s="337"/>
      <c r="O77" s="336"/>
      <c r="P77" s="338"/>
      <c r="Q77" s="339"/>
      <c r="R77" s="337"/>
      <c r="S77" s="336"/>
      <c r="T77" s="338"/>
      <c r="U77" s="339"/>
      <c r="V77" s="337"/>
      <c r="W77" s="336"/>
      <c r="X77" s="338"/>
      <c r="Y77" s="339"/>
      <c r="Z77" s="337"/>
      <c r="AA77" s="336"/>
      <c r="AB77" s="338"/>
      <c r="AC77" s="339"/>
      <c r="AD77" s="337"/>
      <c r="AE77" s="336"/>
      <c r="AF77" s="338"/>
      <c r="AG77" s="339"/>
      <c r="AH77" s="337"/>
      <c r="AI77" s="336"/>
      <c r="AJ77" s="338"/>
      <c r="AK77" s="339"/>
      <c r="AL77" s="337"/>
      <c r="AM77" s="336"/>
      <c r="AN77" s="338"/>
      <c r="AO77" s="339"/>
      <c r="AP77" s="337"/>
      <c r="AQ77" s="336"/>
      <c r="AR77" s="338"/>
      <c r="AS77" s="339"/>
      <c r="AT77" s="337"/>
      <c r="AU77" s="336"/>
      <c r="AV77" s="338"/>
      <c r="AW77" s="339"/>
      <c r="AX77" s="337"/>
      <c r="AY77" s="336"/>
      <c r="AZ77" s="338"/>
      <c r="BA77" s="339"/>
      <c r="BB77" s="337"/>
      <c r="BC77" s="336"/>
      <c r="BD77" s="338"/>
      <c r="BE77" s="339"/>
      <c r="BF77" s="337"/>
      <c r="BG77" s="336"/>
      <c r="BH77" s="338"/>
      <c r="BI77" s="339"/>
      <c r="BJ77" s="337"/>
      <c r="BK77" s="336"/>
      <c r="BL77" s="338"/>
      <c r="BM77" s="339"/>
      <c r="BN77" s="337"/>
      <c r="BO77" s="336"/>
      <c r="BP77" s="338"/>
      <c r="BQ77" s="339"/>
      <c r="BR77" s="337"/>
      <c r="BS77" s="336"/>
      <c r="BT77" s="338"/>
      <c r="BU77" s="339"/>
      <c r="BV77" s="337"/>
      <c r="BW77" s="336"/>
      <c r="BX77" s="338"/>
      <c r="BY77" s="339"/>
      <c r="BZ77" s="337"/>
      <c r="CA77" s="336"/>
      <c r="CB77" s="338"/>
      <c r="CC77" s="339"/>
      <c r="CD77" s="337"/>
      <c r="CE77" s="336"/>
      <c r="CF77" s="338"/>
      <c r="CG77" s="339"/>
      <c r="CH77" s="337"/>
      <c r="CI77" s="336"/>
      <c r="CJ77" s="338"/>
      <c r="CK77" s="339"/>
      <c r="CL77" s="337"/>
      <c r="CM77" s="336"/>
      <c r="CN77" s="338"/>
      <c r="CO77" s="339"/>
      <c r="CP77" s="337"/>
      <c r="CQ77" s="336"/>
      <c r="CR77" s="338"/>
      <c r="CS77" s="339"/>
      <c r="CT77" s="337"/>
      <c r="CU77" s="336"/>
      <c r="CV77" s="338"/>
      <c r="CW77" s="339"/>
      <c r="CX77" s="337"/>
      <c r="CY77" s="336"/>
      <c r="CZ77" s="338"/>
      <c r="DA77" s="339"/>
      <c r="DB77" s="337"/>
      <c r="DC77" s="336"/>
      <c r="DD77" s="338"/>
      <c r="DE77" s="339"/>
      <c r="DF77" s="337"/>
      <c r="DG77" s="336"/>
      <c r="DH77" s="338"/>
      <c r="DI77" s="339"/>
      <c r="DJ77" s="337"/>
      <c r="DK77" s="336"/>
      <c r="DL77" s="338"/>
      <c r="DM77" s="339"/>
      <c r="DN77" s="337"/>
      <c r="DO77" s="336"/>
      <c r="DP77" s="338"/>
      <c r="DQ77" s="339"/>
      <c r="DR77" s="337"/>
      <c r="DS77" s="336"/>
      <c r="DT77" s="338"/>
      <c r="DU77" s="339"/>
      <c r="DV77" s="337"/>
      <c r="DW77" s="336"/>
      <c r="DX77" s="338"/>
      <c r="DY77" s="339"/>
      <c r="DZ77" s="337"/>
      <c r="EA77" s="336"/>
      <c r="EB77" s="338"/>
      <c r="EC77" s="339"/>
      <c r="ED77" s="337"/>
      <c r="EE77" s="336"/>
      <c r="EF77" s="338"/>
      <c r="EG77" s="339"/>
      <c r="EH77" s="337"/>
      <c r="EI77" s="336"/>
      <c r="EJ77" s="338"/>
      <c r="EK77" s="339"/>
      <c r="EL77" s="337"/>
      <c r="EM77" s="336"/>
      <c r="EN77" s="338"/>
      <c r="EO77" s="339"/>
      <c r="EP77" s="337"/>
      <c r="EQ77" s="336"/>
      <c r="ER77" s="338"/>
      <c r="ES77" s="339"/>
      <c r="ET77" s="337"/>
      <c r="EU77" s="336"/>
      <c r="EV77" s="338"/>
      <c r="EW77" s="339"/>
      <c r="EX77" s="337"/>
      <c r="EY77" s="336"/>
      <c r="EZ77" s="338"/>
      <c r="FA77" s="339"/>
      <c r="FB77" s="337"/>
      <c r="FC77" s="336"/>
      <c r="FD77" s="338"/>
      <c r="FE77" s="339"/>
      <c r="FF77" s="337"/>
      <c r="FG77" s="336"/>
      <c r="FH77" s="338"/>
      <c r="FI77" s="339"/>
      <c r="FJ77" s="337"/>
      <c r="FK77" s="336"/>
      <c r="FL77" s="338"/>
      <c r="FM77" s="339"/>
      <c r="FN77" s="337"/>
      <c r="FO77" s="336"/>
      <c r="FP77" s="338"/>
      <c r="FQ77" s="339"/>
      <c r="FR77" s="337"/>
      <c r="FS77" s="336"/>
      <c r="FT77" s="338"/>
      <c r="FU77" s="339"/>
      <c r="FV77" s="337"/>
      <c r="FW77" s="336"/>
      <c r="FX77" s="338"/>
      <c r="FY77" s="339"/>
      <c r="FZ77" s="337"/>
      <c r="GA77" s="336"/>
      <c r="GB77" s="338"/>
      <c r="GC77" s="339"/>
      <c r="GD77" s="337"/>
      <c r="GE77" s="336"/>
      <c r="GF77" s="338"/>
      <c r="GG77" s="339"/>
      <c r="GH77" s="337"/>
      <c r="GI77" s="336"/>
      <c r="GJ77" s="338"/>
      <c r="GK77" s="339"/>
      <c r="GL77" s="337"/>
      <c r="GM77" s="336"/>
      <c r="GN77" s="338"/>
      <c r="GO77" s="339"/>
      <c r="GP77" s="337"/>
      <c r="GQ77" s="336"/>
      <c r="GR77" s="338"/>
      <c r="GS77" s="339"/>
      <c r="GT77" s="337"/>
      <c r="GU77" s="336"/>
      <c r="GV77" s="338"/>
      <c r="GW77" s="339"/>
      <c r="GX77" s="337"/>
      <c r="GY77" s="336"/>
      <c r="GZ77" s="338"/>
      <c r="HA77" s="339"/>
      <c r="HB77" s="337"/>
      <c r="HC77" s="340">
        <f t="shared" si="79"/>
        <v>0</v>
      </c>
      <c r="HD77" s="341"/>
      <c r="HE77" s="342">
        <f t="shared" si="79"/>
        <v>0</v>
      </c>
      <c r="HF77" s="343">
        <f t="shared" si="79"/>
        <v>0</v>
      </c>
      <c r="HG77" s="340">
        <f>SUM(SUMIFS(K77:HB77,$K$13:$HB$13,{"エネルギー管理指定工場等*","県域*"}))</f>
        <v>0</v>
      </c>
      <c r="HH77" s="341"/>
      <c r="HI77" s="342">
        <f>SUM(SUMIFS(M77:HD77,$K$13:$HB$13,{"エネルギー管理指定工場等*","県域*"}))</f>
        <v>0</v>
      </c>
      <c r="HJ77" s="343">
        <f>SUM(SUMIFS(N77:HE77,$K$13:$HB$13,{"エネルギー管理指定工場等*","県域*"}))</f>
        <v>0</v>
      </c>
      <c r="IE77" s="579"/>
      <c r="IF77" s="579"/>
      <c r="IG77" s="579"/>
      <c r="IH77" s="579"/>
    </row>
    <row r="78" spans="2:242" s="164" customFormat="1" ht="20.100000000000001" customHeight="1">
      <c r="B78" s="302"/>
      <c r="C78" s="319"/>
      <c r="D78" s="303" t="s">
        <v>1382</v>
      </c>
      <c r="E78" s="305"/>
      <c r="F78" s="303" t="s">
        <v>461</v>
      </c>
      <c r="G78" s="336"/>
      <c r="H78" s="309"/>
      <c r="I78" s="308"/>
      <c r="J78" s="309"/>
      <c r="K78" s="336"/>
      <c r="L78" s="338"/>
      <c r="M78" s="339"/>
      <c r="N78" s="337"/>
      <c r="O78" s="336"/>
      <c r="P78" s="338"/>
      <c r="Q78" s="339"/>
      <c r="R78" s="337"/>
      <c r="S78" s="336"/>
      <c r="T78" s="338"/>
      <c r="U78" s="339"/>
      <c r="V78" s="337"/>
      <c r="W78" s="336"/>
      <c r="X78" s="338"/>
      <c r="Y78" s="339"/>
      <c r="Z78" s="337"/>
      <c r="AA78" s="336"/>
      <c r="AB78" s="338"/>
      <c r="AC78" s="339"/>
      <c r="AD78" s="337"/>
      <c r="AE78" s="336"/>
      <c r="AF78" s="338"/>
      <c r="AG78" s="339"/>
      <c r="AH78" s="337"/>
      <c r="AI78" s="336"/>
      <c r="AJ78" s="338"/>
      <c r="AK78" s="339"/>
      <c r="AL78" s="337"/>
      <c r="AM78" s="336"/>
      <c r="AN78" s="338"/>
      <c r="AO78" s="339"/>
      <c r="AP78" s="337"/>
      <c r="AQ78" s="336"/>
      <c r="AR78" s="338"/>
      <c r="AS78" s="339"/>
      <c r="AT78" s="337"/>
      <c r="AU78" s="336"/>
      <c r="AV78" s="338"/>
      <c r="AW78" s="339"/>
      <c r="AX78" s="337"/>
      <c r="AY78" s="336"/>
      <c r="AZ78" s="338"/>
      <c r="BA78" s="339"/>
      <c r="BB78" s="337"/>
      <c r="BC78" s="336"/>
      <c r="BD78" s="338"/>
      <c r="BE78" s="339"/>
      <c r="BF78" s="337"/>
      <c r="BG78" s="336"/>
      <c r="BH78" s="338"/>
      <c r="BI78" s="339"/>
      <c r="BJ78" s="337"/>
      <c r="BK78" s="336"/>
      <c r="BL78" s="338"/>
      <c r="BM78" s="339"/>
      <c r="BN78" s="337"/>
      <c r="BO78" s="336"/>
      <c r="BP78" s="338"/>
      <c r="BQ78" s="339"/>
      <c r="BR78" s="337"/>
      <c r="BS78" s="336"/>
      <c r="BT78" s="338"/>
      <c r="BU78" s="339"/>
      <c r="BV78" s="337"/>
      <c r="BW78" s="336"/>
      <c r="BX78" s="338"/>
      <c r="BY78" s="339"/>
      <c r="BZ78" s="337"/>
      <c r="CA78" s="336"/>
      <c r="CB78" s="338"/>
      <c r="CC78" s="339"/>
      <c r="CD78" s="337"/>
      <c r="CE78" s="336"/>
      <c r="CF78" s="338"/>
      <c r="CG78" s="339"/>
      <c r="CH78" s="337"/>
      <c r="CI78" s="336"/>
      <c r="CJ78" s="338"/>
      <c r="CK78" s="339"/>
      <c r="CL78" s="337"/>
      <c r="CM78" s="336"/>
      <c r="CN78" s="338"/>
      <c r="CO78" s="339"/>
      <c r="CP78" s="337"/>
      <c r="CQ78" s="336"/>
      <c r="CR78" s="338"/>
      <c r="CS78" s="339"/>
      <c r="CT78" s="337"/>
      <c r="CU78" s="336"/>
      <c r="CV78" s="338"/>
      <c r="CW78" s="339"/>
      <c r="CX78" s="337"/>
      <c r="CY78" s="336"/>
      <c r="CZ78" s="338"/>
      <c r="DA78" s="339"/>
      <c r="DB78" s="337"/>
      <c r="DC78" s="336"/>
      <c r="DD78" s="338"/>
      <c r="DE78" s="339"/>
      <c r="DF78" s="337"/>
      <c r="DG78" s="336"/>
      <c r="DH78" s="338"/>
      <c r="DI78" s="339"/>
      <c r="DJ78" s="337"/>
      <c r="DK78" s="336"/>
      <c r="DL78" s="338"/>
      <c r="DM78" s="339"/>
      <c r="DN78" s="337"/>
      <c r="DO78" s="336"/>
      <c r="DP78" s="338"/>
      <c r="DQ78" s="339"/>
      <c r="DR78" s="337"/>
      <c r="DS78" s="336"/>
      <c r="DT78" s="338"/>
      <c r="DU78" s="339"/>
      <c r="DV78" s="337"/>
      <c r="DW78" s="336"/>
      <c r="DX78" s="338"/>
      <c r="DY78" s="339"/>
      <c r="DZ78" s="337"/>
      <c r="EA78" s="336"/>
      <c r="EB78" s="338"/>
      <c r="EC78" s="339"/>
      <c r="ED78" s="337"/>
      <c r="EE78" s="336"/>
      <c r="EF78" s="338"/>
      <c r="EG78" s="339"/>
      <c r="EH78" s="337"/>
      <c r="EI78" s="336"/>
      <c r="EJ78" s="338"/>
      <c r="EK78" s="339"/>
      <c r="EL78" s="337"/>
      <c r="EM78" s="336"/>
      <c r="EN78" s="338"/>
      <c r="EO78" s="339"/>
      <c r="EP78" s="337"/>
      <c r="EQ78" s="336"/>
      <c r="ER78" s="338"/>
      <c r="ES78" s="339"/>
      <c r="ET78" s="337"/>
      <c r="EU78" s="336"/>
      <c r="EV78" s="338"/>
      <c r="EW78" s="339"/>
      <c r="EX78" s="337"/>
      <c r="EY78" s="336"/>
      <c r="EZ78" s="338"/>
      <c r="FA78" s="339"/>
      <c r="FB78" s="337"/>
      <c r="FC78" s="336"/>
      <c r="FD78" s="338"/>
      <c r="FE78" s="339"/>
      <c r="FF78" s="337"/>
      <c r="FG78" s="336"/>
      <c r="FH78" s="338"/>
      <c r="FI78" s="339"/>
      <c r="FJ78" s="337"/>
      <c r="FK78" s="336"/>
      <c r="FL78" s="338"/>
      <c r="FM78" s="339"/>
      <c r="FN78" s="337"/>
      <c r="FO78" s="336"/>
      <c r="FP78" s="338"/>
      <c r="FQ78" s="339"/>
      <c r="FR78" s="337"/>
      <c r="FS78" s="336"/>
      <c r="FT78" s="338"/>
      <c r="FU78" s="339"/>
      <c r="FV78" s="337"/>
      <c r="FW78" s="336"/>
      <c r="FX78" s="338"/>
      <c r="FY78" s="339"/>
      <c r="FZ78" s="337"/>
      <c r="GA78" s="336"/>
      <c r="GB78" s="338"/>
      <c r="GC78" s="339"/>
      <c r="GD78" s="337"/>
      <c r="GE78" s="336"/>
      <c r="GF78" s="338"/>
      <c r="GG78" s="339"/>
      <c r="GH78" s="337"/>
      <c r="GI78" s="336"/>
      <c r="GJ78" s="338"/>
      <c r="GK78" s="339"/>
      <c r="GL78" s="337"/>
      <c r="GM78" s="336"/>
      <c r="GN78" s="338"/>
      <c r="GO78" s="339"/>
      <c r="GP78" s="337"/>
      <c r="GQ78" s="336"/>
      <c r="GR78" s="338"/>
      <c r="GS78" s="339"/>
      <c r="GT78" s="337"/>
      <c r="GU78" s="336"/>
      <c r="GV78" s="338"/>
      <c r="GW78" s="339"/>
      <c r="GX78" s="337"/>
      <c r="GY78" s="336"/>
      <c r="GZ78" s="338"/>
      <c r="HA78" s="339"/>
      <c r="HB78" s="337"/>
      <c r="HC78" s="340">
        <f t="shared" si="79"/>
        <v>0</v>
      </c>
      <c r="HD78" s="341"/>
      <c r="HE78" s="342">
        <f t="shared" si="79"/>
        <v>0</v>
      </c>
      <c r="HF78" s="343">
        <f t="shared" si="79"/>
        <v>0</v>
      </c>
      <c r="HG78" s="340">
        <f>SUM(SUMIFS(K78:HB78,$K$13:$HB$13,{"エネルギー管理指定工場等*","県域*"}))</f>
        <v>0</v>
      </c>
      <c r="HH78" s="341"/>
      <c r="HI78" s="342">
        <f>SUM(SUMIFS(M78:HD78,$K$13:$HB$13,{"エネルギー管理指定工場等*","県域*"}))</f>
        <v>0</v>
      </c>
      <c r="HJ78" s="343">
        <f>SUM(SUMIFS(N78:HE78,$K$13:$HB$13,{"エネルギー管理指定工場等*","県域*"}))</f>
        <v>0</v>
      </c>
      <c r="IE78" s="579"/>
      <c r="IF78" s="579"/>
      <c r="IG78" s="579"/>
      <c r="IH78" s="579"/>
    </row>
    <row r="79" spans="2:242" s="164" customFormat="1" ht="20.100000000000001" customHeight="1">
      <c r="B79" s="302"/>
      <c r="C79" s="319"/>
      <c r="D79" s="303" t="s">
        <v>1383</v>
      </c>
      <c r="E79" s="311"/>
      <c r="F79" s="303" t="s">
        <v>461</v>
      </c>
      <c r="G79" s="336"/>
      <c r="H79" s="337"/>
      <c r="I79" s="308"/>
      <c r="J79" s="309"/>
      <c r="K79" s="336"/>
      <c r="L79" s="338"/>
      <c r="M79" s="339"/>
      <c r="N79" s="337"/>
      <c r="O79" s="336"/>
      <c r="P79" s="338"/>
      <c r="Q79" s="339"/>
      <c r="R79" s="337"/>
      <c r="S79" s="336"/>
      <c r="T79" s="338"/>
      <c r="U79" s="339"/>
      <c r="V79" s="337"/>
      <c r="W79" s="336"/>
      <c r="X79" s="338"/>
      <c r="Y79" s="339"/>
      <c r="Z79" s="337"/>
      <c r="AA79" s="336"/>
      <c r="AB79" s="338"/>
      <c r="AC79" s="339"/>
      <c r="AD79" s="337"/>
      <c r="AE79" s="336"/>
      <c r="AF79" s="338"/>
      <c r="AG79" s="339"/>
      <c r="AH79" s="337"/>
      <c r="AI79" s="336"/>
      <c r="AJ79" s="338"/>
      <c r="AK79" s="339"/>
      <c r="AL79" s="337"/>
      <c r="AM79" s="336"/>
      <c r="AN79" s="338"/>
      <c r="AO79" s="339"/>
      <c r="AP79" s="337"/>
      <c r="AQ79" s="336"/>
      <c r="AR79" s="338"/>
      <c r="AS79" s="339"/>
      <c r="AT79" s="337"/>
      <c r="AU79" s="336"/>
      <c r="AV79" s="338"/>
      <c r="AW79" s="339"/>
      <c r="AX79" s="337"/>
      <c r="AY79" s="336"/>
      <c r="AZ79" s="338"/>
      <c r="BA79" s="339"/>
      <c r="BB79" s="337"/>
      <c r="BC79" s="336"/>
      <c r="BD79" s="338"/>
      <c r="BE79" s="339"/>
      <c r="BF79" s="337"/>
      <c r="BG79" s="336"/>
      <c r="BH79" s="338"/>
      <c r="BI79" s="339"/>
      <c r="BJ79" s="337"/>
      <c r="BK79" s="336"/>
      <c r="BL79" s="338"/>
      <c r="BM79" s="339"/>
      <c r="BN79" s="337"/>
      <c r="BO79" s="336"/>
      <c r="BP79" s="338"/>
      <c r="BQ79" s="339"/>
      <c r="BR79" s="337"/>
      <c r="BS79" s="336"/>
      <c r="BT79" s="338"/>
      <c r="BU79" s="339"/>
      <c r="BV79" s="337"/>
      <c r="BW79" s="336"/>
      <c r="BX79" s="338"/>
      <c r="BY79" s="339"/>
      <c r="BZ79" s="337"/>
      <c r="CA79" s="336"/>
      <c r="CB79" s="338"/>
      <c r="CC79" s="339"/>
      <c r="CD79" s="337"/>
      <c r="CE79" s="336"/>
      <c r="CF79" s="338"/>
      <c r="CG79" s="339"/>
      <c r="CH79" s="337"/>
      <c r="CI79" s="336"/>
      <c r="CJ79" s="338"/>
      <c r="CK79" s="339"/>
      <c r="CL79" s="337"/>
      <c r="CM79" s="336"/>
      <c r="CN79" s="338"/>
      <c r="CO79" s="339"/>
      <c r="CP79" s="337"/>
      <c r="CQ79" s="336"/>
      <c r="CR79" s="338"/>
      <c r="CS79" s="339"/>
      <c r="CT79" s="337"/>
      <c r="CU79" s="336"/>
      <c r="CV79" s="338"/>
      <c r="CW79" s="339"/>
      <c r="CX79" s="337"/>
      <c r="CY79" s="336"/>
      <c r="CZ79" s="338"/>
      <c r="DA79" s="339"/>
      <c r="DB79" s="337"/>
      <c r="DC79" s="336"/>
      <c r="DD79" s="338"/>
      <c r="DE79" s="339"/>
      <c r="DF79" s="337"/>
      <c r="DG79" s="336"/>
      <c r="DH79" s="338"/>
      <c r="DI79" s="339"/>
      <c r="DJ79" s="337"/>
      <c r="DK79" s="336"/>
      <c r="DL79" s="338"/>
      <c r="DM79" s="339"/>
      <c r="DN79" s="337"/>
      <c r="DO79" s="336"/>
      <c r="DP79" s="338"/>
      <c r="DQ79" s="339"/>
      <c r="DR79" s="337"/>
      <c r="DS79" s="336"/>
      <c r="DT79" s="338"/>
      <c r="DU79" s="339"/>
      <c r="DV79" s="337"/>
      <c r="DW79" s="336"/>
      <c r="DX79" s="338"/>
      <c r="DY79" s="339"/>
      <c r="DZ79" s="337"/>
      <c r="EA79" s="336"/>
      <c r="EB79" s="338"/>
      <c r="EC79" s="339"/>
      <c r="ED79" s="337"/>
      <c r="EE79" s="336"/>
      <c r="EF79" s="338"/>
      <c r="EG79" s="339"/>
      <c r="EH79" s="337"/>
      <c r="EI79" s="336"/>
      <c r="EJ79" s="338"/>
      <c r="EK79" s="339"/>
      <c r="EL79" s="337"/>
      <c r="EM79" s="336"/>
      <c r="EN79" s="338"/>
      <c r="EO79" s="339"/>
      <c r="EP79" s="337"/>
      <c r="EQ79" s="336"/>
      <c r="ER79" s="338"/>
      <c r="ES79" s="339"/>
      <c r="ET79" s="337"/>
      <c r="EU79" s="336"/>
      <c r="EV79" s="338"/>
      <c r="EW79" s="339"/>
      <c r="EX79" s="337"/>
      <c r="EY79" s="336"/>
      <c r="EZ79" s="338"/>
      <c r="FA79" s="339"/>
      <c r="FB79" s="337"/>
      <c r="FC79" s="336"/>
      <c r="FD79" s="338"/>
      <c r="FE79" s="339"/>
      <c r="FF79" s="337"/>
      <c r="FG79" s="336"/>
      <c r="FH79" s="338"/>
      <c r="FI79" s="339"/>
      <c r="FJ79" s="337"/>
      <c r="FK79" s="336"/>
      <c r="FL79" s="338"/>
      <c r="FM79" s="339"/>
      <c r="FN79" s="337"/>
      <c r="FO79" s="336"/>
      <c r="FP79" s="338"/>
      <c r="FQ79" s="339"/>
      <c r="FR79" s="337"/>
      <c r="FS79" s="336"/>
      <c r="FT79" s="338"/>
      <c r="FU79" s="339"/>
      <c r="FV79" s="337"/>
      <c r="FW79" s="336"/>
      <c r="FX79" s="338"/>
      <c r="FY79" s="339"/>
      <c r="FZ79" s="337"/>
      <c r="GA79" s="336"/>
      <c r="GB79" s="338"/>
      <c r="GC79" s="339"/>
      <c r="GD79" s="337"/>
      <c r="GE79" s="336"/>
      <c r="GF79" s="338"/>
      <c r="GG79" s="339"/>
      <c r="GH79" s="337"/>
      <c r="GI79" s="336"/>
      <c r="GJ79" s="338"/>
      <c r="GK79" s="339"/>
      <c r="GL79" s="337"/>
      <c r="GM79" s="336"/>
      <c r="GN79" s="338"/>
      <c r="GO79" s="339"/>
      <c r="GP79" s="337"/>
      <c r="GQ79" s="336"/>
      <c r="GR79" s="338"/>
      <c r="GS79" s="339"/>
      <c r="GT79" s="337"/>
      <c r="GU79" s="336"/>
      <c r="GV79" s="338"/>
      <c r="GW79" s="339"/>
      <c r="GX79" s="337"/>
      <c r="GY79" s="336"/>
      <c r="GZ79" s="338"/>
      <c r="HA79" s="339"/>
      <c r="HB79" s="337"/>
      <c r="HC79" s="340">
        <f t="shared" si="79"/>
        <v>0</v>
      </c>
      <c r="HD79" s="341"/>
      <c r="HE79" s="342">
        <f t="shared" si="79"/>
        <v>0</v>
      </c>
      <c r="HF79" s="343">
        <f t="shared" si="79"/>
        <v>0</v>
      </c>
      <c r="HG79" s="340">
        <f>SUM(SUMIFS(K79:HB79,$K$13:$HB$13,{"エネルギー管理指定工場等*","県域*"}))</f>
        <v>0</v>
      </c>
      <c r="HH79" s="341"/>
      <c r="HI79" s="342">
        <f>SUM(SUMIFS(M79:HD79,$K$13:$HB$13,{"エネルギー管理指定工場等*","県域*"}))</f>
        <v>0</v>
      </c>
      <c r="HJ79" s="343">
        <f>SUM(SUMIFS(N79:HE79,$K$13:$HB$13,{"エネルギー管理指定工場等*","県域*"}))</f>
        <v>0</v>
      </c>
      <c r="IE79" s="579"/>
      <c r="IF79" s="579"/>
      <c r="IG79" s="579"/>
      <c r="IH79" s="579"/>
    </row>
    <row r="80" spans="2:242" s="164" customFormat="1" ht="20.100000000000001" customHeight="1">
      <c r="B80" s="320"/>
      <c r="C80" s="318"/>
      <c r="D80" s="303" t="s">
        <v>1384</v>
      </c>
      <c r="E80" s="311"/>
      <c r="F80" s="303" t="s">
        <v>461</v>
      </c>
      <c r="G80" s="310"/>
      <c r="H80" s="315"/>
      <c r="I80" s="308"/>
      <c r="J80" s="309"/>
      <c r="K80" s="310"/>
      <c r="L80" s="329"/>
      <c r="M80" s="311"/>
      <c r="N80" s="315"/>
      <c r="O80" s="310"/>
      <c r="P80" s="329"/>
      <c r="Q80" s="311"/>
      <c r="R80" s="315"/>
      <c r="S80" s="310"/>
      <c r="T80" s="329"/>
      <c r="U80" s="311"/>
      <c r="V80" s="315"/>
      <c r="W80" s="310"/>
      <c r="X80" s="329"/>
      <c r="Y80" s="311"/>
      <c r="Z80" s="315"/>
      <c r="AA80" s="310"/>
      <c r="AB80" s="329"/>
      <c r="AC80" s="311"/>
      <c r="AD80" s="315"/>
      <c r="AE80" s="310"/>
      <c r="AF80" s="329"/>
      <c r="AG80" s="311"/>
      <c r="AH80" s="315"/>
      <c r="AI80" s="310"/>
      <c r="AJ80" s="329"/>
      <c r="AK80" s="311"/>
      <c r="AL80" s="315"/>
      <c r="AM80" s="310"/>
      <c r="AN80" s="329"/>
      <c r="AO80" s="311"/>
      <c r="AP80" s="315"/>
      <c r="AQ80" s="310"/>
      <c r="AR80" s="329"/>
      <c r="AS80" s="311"/>
      <c r="AT80" s="315"/>
      <c r="AU80" s="310"/>
      <c r="AV80" s="329"/>
      <c r="AW80" s="311"/>
      <c r="AX80" s="315"/>
      <c r="AY80" s="310"/>
      <c r="AZ80" s="329"/>
      <c r="BA80" s="311"/>
      <c r="BB80" s="315"/>
      <c r="BC80" s="310"/>
      <c r="BD80" s="329"/>
      <c r="BE80" s="311"/>
      <c r="BF80" s="315"/>
      <c r="BG80" s="310"/>
      <c r="BH80" s="329"/>
      <c r="BI80" s="311"/>
      <c r="BJ80" s="315"/>
      <c r="BK80" s="310"/>
      <c r="BL80" s="329"/>
      <c r="BM80" s="311"/>
      <c r="BN80" s="315"/>
      <c r="BO80" s="310"/>
      <c r="BP80" s="329"/>
      <c r="BQ80" s="311"/>
      <c r="BR80" s="315"/>
      <c r="BS80" s="310"/>
      <c r="BT80" s="329"/>
      <c r="BU80" s="311"/>
      <c r="BV80" s="315"/>
      <c r="BW80" s="310"/>
      <c r="BX80" s="329"/>
      <c r="BY80" s="311"/>
      <c r="BZ80" s="315"/>
      <c r="CA80" s="310"/>
      <c r="CB80" s="329"/>
      <c r="CC80" s="311"/>
      <c r="CD80" s="315"/>
      <c r="CE80" s="310"/>
      <c r="CF80" s="329"/>
      <c r="CG80" s="311"/>
      <c r="CH80" s="315"/>
      <c r="CI80" s="310"/>
      <c r="CJ80" s="329"/>
      <c r="CK80" s="311"/>
      <c r="CL80" s="315"/>
      <c r="CM80" s="310"/>
      <c r="CN80" s="329"/>
      <c r="CO80" s="311"/>
      <c r="CP80" s="315"/>
      <c r="CQ80" s="310"/>
      <c r="CR80" s="329"/>
      <c r="CS80" s="311"/>
      <c r="CT80" s="315"/>
      <c r="CU80" s="310"/>
      <c r="CV80" s="329"/>
      <c r="CW80" s="311"/>
      <c r="CX80" s="315"/>
      <c r="CY80" s="310"/>
      <c r="CZ80" s="329"/>
      <c r="DA80" s="311"/>
      <c r="DB80" s="315"/>
      <c r="DC80" s="310"/>
      <c r="DD80" s="329"/>
      <c r="DE80" s="311"/>
      <c r="DF80" s="315"/>
      <c r="DG80" s="310"/>
      <c r="DH80" s="329"/>
      <c r="DI80" s="311"/>
      <c r="DJ80" s="315"/>
      <c r="DK80" s="310"/>
      <c r="DL80" s="329"/>
      <c r="DM80" s="311"/>
      <c r="DN80" s="315"/>
      <c r="DO80" s="310"/>
      <c r="DP80" s="329"/>
      <c r="DQ80" s="311"/>
      <c r="DR80" s="315"/>
      <c r="DS80" s="310"/>
      <c r="DT80" s="329"/>
      <c r="DU80" s="311"/>
      <c r="DV80" s="315"/>
      <c r="DW80" s="310"/>
      <c r="DX80" s="329"/>
      <c r="DY80" s="311"/>
      <c r="DZ80" s="315"/>
      <c r="EA80" s="310"/>
      <c r="EB80" s="329"/>
      <c r="EC80" s="311"/>
      <c r="ED80" s="315"/>
      <c r="EE80" s="310"/>
      <c r="EF80" s="329"/>
      <c r="EG80" s="311"/>
      <c r="EH80" s="315"/>
      <c r="EI80" s="310"/>
      <c r="EJ80" s="329"/>
      <c r="EK80" s="311"/>
      <c r="EL80" s="315"/>
      <c r="EM80" s="310"/>
      <c r="EN80" s="329"/>
      <c r="EO80" s="311"/>
      <c r="EP80" s="315"/>
      <c r="EQ80" s="310"/>
      <c r="ER80" s="329"/>
      <c r="ES80" s="311"/>
      <c r="ET80" s="315"/>
      <c r="EU80" s="310"/>
      <c r="EV80" s="329"/>
      <c r="EW80" s="311"/>
      <c r="EX80" s="315"/>
      <c r="EY80" s="310"/>
      <c r="EZ80" s="329"/>
      <c r="FA80" s="311"/>
      <c r="FB80" s="315"/>
      <c r="FC80" s="310"/>
      <c r="FD80" s="329"/>
      <c r="FE80" s="311"/>
      <c r="FF80" s="315"/>
      <c r="FG80" s="310"/>
      <c r="FH80" s="329"/>
      <c r="FI80" s="311"/>
      <c r="FJ80" s="315"/>
      <c r="FK80" s="310"/>
      <c r="FL80" s="329"/>
      <c r="FM80" s="311"/>
      <c r="FN80" s="315"/>
      <c r="FO80" s="310"/>
      <c r="FP80" s="329"/>
      <c r="FQ80" s="311"/>
      <c r="FR80" s="315"/>
      <c r="FS80" s="310"/>
      <c r="FT80" s="329"/>
      <c r="FU80" s="311"/>
      <c r="FV80" s="315"/>
      <c r="FW80" s="310"/>
      <c r="FX80" s="329"/>
      <c r="FY80" s="311"/>
      <c r="FZ80" s="315"/>
      <c r="GA80" s="310"/>
      <c r="GB80" s="329"/>
      <c r="GC80" s="311"/>
      <c r="GD80" s="315"/>
      <c r="GE80" s="310"/>
      <c r="GF80" s="329"/>
      <c r="GG80" s="311"/>
      <c r="GH80" s="315"/>
      <c r="GI80" s="310"/>
      <c r="GJ80" s="329"/>
      <c r="GK80" s="311"/>
      <c r="GL80" s="315"/>
      <c r="GM80" s="310"/>
      <c r="GN80" s="329"/>
      <c r="GO80" s="311"/>
      <c r="GP80" s="315"/>
      <c r="GQ80" s="310"/>
      <c r="GR80" s="329"/>
      <c r="GS80" s="311"/>
      <c r="GT80" s="315"/>
      <c r="GU80" s="310"/>
      <c r="GV80" s="329"/>
      <c r="GW80" s="311"/>
      <c r="GX80" s="315"/>
      <c r="GY80" s="310"/>
      <c r="GZ80" s="329"/>
      <c r="HA80" s="311"/>
      <c r="HB80" s="315"/>
      <c r="HC80" s="312">
        <f t="shared" si="79"/>
        <v>0</v>
      </c>
      <c r="HD80" s="330"/>
      <c r="HE80" s="313">
        <f t="shared" si="79"/>
        <v>0</v>
      </c>
      <c r="HF80" s="331">
        <f t="shared" si="79"/>
        <v>0</v>
      </c>
      <c r="HG80" s="312">
        <f>SUM(SUMIFS(K80:HB80,$K$13:$HB$13,{"エネルギー管理指定工場等*","県域*"}))</f>
        <v>0</v>
      </c>
      <c r="HH80" s="330"/>
      <c r="HI80" s="313">
        <f>SUM(SUMIFS(M80:HD80,$K$13:$HB$13,{"エネルギー管理指定工場等*","県域*"}))</f>
        <v>0</v>
      </c>
      <c r="HJ80" s="331">
        <f>SUM(SUMIFS(N80:HE80,$K$13:$HB$13,{"エネルギー管理指定工場等*","県域*"}))</f>
        <v>0</v>
      </c>
      <c r="IE80" s="579"/>
      <c r="IF80" s="579"/>
      <c r="IG80" s="579"/>
      <c r="IH80" s="579"/>
    </row>
    <row r="81" spans="2:242" s="164" customFormat="1" ht="59.4">
      <c r="B81" s="302" t="s">
        <v>607</v>
      </c>
      <c r="C81" s="344" t="s">
        <v>608</v>
      </c>
      <c r="D81" s="345" t="s">
        <v>609</v>
      </c>
      <c r="E81" s="270"/>
      <c r="F81" s="346" t="s">
        <v>610</v>
      </c>
      <c r="G81" s="320">
        <v>8.64</v>
      </c>
      <c r="H81" s="347"/>
      <c r="I81" s="348"/>
      <c r="J81" s="349"/>
      <c r="K81" s="348"/>
      <c r="L81" s="350"/>
      <c r="M81" s="350"/>
      <c r="N81" s="347"/>
      <c r="O81" s="348"/>
      <c r="P81" s="350"/>
      <c r="Q81" s="350"/>
      <c r="R81" s="347"/>
      <c r="S81" s="348"/>
      <c r="T81" s="350"/>
      <c r="U81" s="350"/>
      <c r="V81" s="347"/>
      <c r="W81" s="348"/>
      <c r="X81" s="350"/>
      <c r="Y81" s="350"/>
      <c r="Z81" s="347"/>
      <c r="AA81" s="348"/>
      <c r="AB81" s="350"/>
      <c r="AC81" s="350"/>
      <c r="AD81" s="347"/>
      <c r="AE81" s="348"/>
      <c r="AF81" s="350"/>
      <c r="AG81" s="350"/>
      <c r="AH81" s="347"/>
      <c r="AI81" s="348"/>
      <c r="AJ81" s="350"/>
      <c r="AK81" s="350"/>
      <c r="AL81" s="347"/>
      <c r="AM81" s="348"/>
      <c r="AN81" s="350"/>
      <c r="AO81" s="350"/>
      <c r="AP81" s="347"/>
      <c r="AQ81" s="348"/>
      <c r="AR81" s="350"/>
      <c r="AS81" s="350"/>
      <c r="AT81" s="347"/>
      <c r="AU81" s="348"/>
      <c r="AV81" s="350"/>
      <c r="AW81" s="350"/>
      <c r="AX81" s="347"/>
      <c r="AY81" s="348"/>
      <c r="AZ81" s="350"/>
      <c r="BA81" s="350"/>
      <c r="BB81" s="347"/>
      <c r="BC81" s="348"/>
      <c r="BD81" s="350"/>
      <c r="BE81" s="350"/>
      <c r="BF81" s="347"/>
      <c r="BG81" s="348"/>
      <c r="BH81" s="350"/>
      <c r="BI81" s="350"/>
      <c r="BJ81" s="347"/>
      <c r="BK81" s="348"/>
      <c r="BL81" s="350"/>
      <c r="BM81" s="350"/>
      <c r="BN81" s="347"/>
      <c r="BO81" s="348"/>
      <c r="BP81" s="350"/>
      <c r="BQ81" s="350"/>
      <c r="BR81" s="347"/>
      <c r="BS81" s="348"/>
      <c r="BT81" s="350"/>
      <c r="BU81" s="350"/>
      <c r="BV81" s="347"/>
      <c r="BW81" s="348"/>
      <c r="BX81" s="350"/>
      <c r="BY81" s="350"/>
      <c r="BZ81" s="347"/>
      <c r="CA81" s="348"/>
      <c r="CB81" s="350"/>
      <c r="CC81" s="350"/>
      <c r="CD81" s="347"/>
      <c r="CE81" s="348"/>
      <c r="CF81" s="350"/>
      <c r="CG81" s="350"/>
      <c r="CH81" s="347"/>
      <c r="CI81" s="348"/>
      <c r="CJ81" s="350"/>
      <c r="CK81" s="350"/>
      <c r="CL81" s="347"/>
      <c r="CM81" s="348"/>
      <c r="CN81" s="350"/>
      <c r="CO81" s="350"/>
      <c r="CP81" s="347"/>
      <c r="CQ81" s="348"/>
      <c r="CR81" s="350"/>
      <c r="CS81" s="350"/>
      <c r="CT81" s="347"/>
      <c r="CU81" s="348"/>
      <c r="CV81" s="350"/>
      <c r="CW81" s="350"/>
      <c r="CX81" s="347"/>
      <c r="CY81" s="348"/>
      <c r="CZ81" s="350"/>
      <c r="DA81" s="350"/>
      <c r="DB81" s="347"/>
      <c r="DC81" s="348"/>
      <c r="DD81" s="350"/>
      <c r="DE81" s="350"/>
      <c r="DF81" s="347"/>
      <c r="DG81" s="348"/>
      <c r="DH81" s="350"/>
      <c r="DI81" s="350"/>
      <c r="DJ81" s="347"/>
      <c r="DK81" s="348"/>
      <c r="DL81" s="350"/>
      <c r="DM81" s="350"/>
      <c r="DN81" s="347"/>
      <c r="DO81" s="348"/>
      <c r="DP81" s="350"/>
      <c r="DQ81" s="350"/>
      <c r="DR81" s="347"/>
      <c r="DS81" s="348"/>
      <c r="DT81" s="350"/>
      <c r="DU81" s="350"/>
      <c r="DV81" s="347"/>
      <c r="DW81" s="348"/>
      <c r="DX81" s="350"/>
      <c r="DY81" s="350"/>
      <c r="DZ81" s="347"/>
      <c r="EA81" s="348"/>
      <c r="EB81" s="350"/>
      <c r="EC81" s="350"/>
      <c r="ED81" s="347"/>
      <c r="EE81" s="348"/>
      <c r="EF81" s="350"/>
      <c r="EG81" s="350"/>
      <c r="EH81" s="347"/>
      <c r="EI81" s="348"/>
      <c r="EJ81" s="350"/>
      <c r="EK81" s="350"/>
      <c r="EL81" s="347"/>
      <c r="EM81" s="348"/>
      <c r="EN81" s="350"/>
      <c r="EO81" s="350"/>
      <c r="EP81" s="347"/>
      <c r="EQ81" s="348"/>
      <c r="ER81" s="350"/>
      <c r="ES81" s="350"/>
      <c r="ET81" s="347"/>
      <c r="EU81" s="348"/>
      <c r="EV81" s="350"/>
      <c r="EW81" s="350"/>
      <c r="EX81" s="347"/>
      <c r="EY81" s="348"/>
      <c r="EZ81" s="350"/>
      <c r="FA81" s="350"/>
      <c r="FB81" s="347"/>
      <c r="FC81" s="348"/>
      <c r="FD81" s="350"/>
      <c r="FE81" s="350"/>
      <c r="FF81" s="347"/>
      <c r="FG81" s="348"/>
      <c r="FH81" s="350"/>
      <c r="FI81" s="350"/>
      <c r="FJ81" s="347"/>
      <c r="FK81" s="348"/>
      <c r="FL81" s="350"/>
      <c r="FM81" s="350"/>
      <c r="FN81" s="347"/>
      <c r="FO81" s="348"/>
      <c r="FP81" s="350"/>
      <c r="FQ81" s="350"/>
      <c r="FR81" s="347"/>
      <c r="FS81" s="348"/>
      <c r="FT81" s="350"/>
      <c r="FU81" s="350"/>
      <c r="FV81" s="347"/>
      <c r="FW81" s="348"/>
      <c r="FX81" s="350"/>
      <c r="FY81" s="350"/>
      <c r="FZ81" s="347"/>
      <c r="GA81" s="348"/>
      <c r="GB81" s="350"/>
      <c r="GC81" s="350"/>
      <c r="GD81" s="347"/>
      <c r="GE81" s="348"/>
      <c r="GF81" s="350"/>
      <c r="GG81" s="350"/>
      <c r="GH81" s="347"/>
      <c r="GI81" s="348"/>
      <c r="GJ81" s="350"/>
      <c r="GK81" s="350"/>
      <c r="GL81" s="347"/>
      <c r="GM81" s="348"/>
      <c r="GN81" s="350"/>
      <c r="GO81" s="350"/>
      <c r="GP81" s="347"/>
      <c r="GQ81" s="348"/>
      <c r="GR81" s="350"/>
      <c r="GS81" s="350"/>
      <c r="GT81" s="347"/>
      <c r="GU81" s="348"/>
      <c r="GV81" s="350"/>
      <c r="GW81" s="350"/>
      <c r="GX81" s="347"/>
      <c r="GY81" s="348"/>
      <c r="GZ81" s="350"/>
      <c r="HA81" s="350"/>
      <c r="HB81" s="347"/>
      <c r="HC81" s="351">
        <f t="shared" ref="HC81:HC107" si="80">K81+O81+S81+W81+AA81+AE81+AI81+AM81+AQ81+AU81+AY81+BC81+BG81+BK81+BO81+BS81+BW81+CA81+CE81+CI81+CM81+CQ81+CU81+CY81+DC81+DG81+DK81+DO81+DS81+DW81+EA81+EE81+EI81+EM81+EQ81+EU81+EY81+FC81+FG81+FK81+FO81+FS81+FW81+GA81+GE81+GI81+GM81+GQ81+GU81+GY81</f>
        <v>0</v>
      </c>
      <c r="HD81" s="352"/>
      <c r="HE81" s="352"/>
      <c r="HF81" s="353"/>
      <c r="HG81" s="351">
        <f>SUM(SUMIFS(K81:HB81,$K$13:$HB$13,{"エネルギー管理指定工場等*","県域*"}))</f>
        <v>0</v>
      </c>
      <c r="HH81" s="352"/>
      <c r="HI81" s="352"/>
      <c r="HJ81" s="353"/>
      <c r="IE81" s="579"/>
      <c r="IF81" s="579"/>
      <c r="IG81" s="579"/>
      <c r="IH81" s="579"/>
    </row>
    <row r="82" spans="2:242" s="164" customFormat="1" ht="20.100000000000001" customHeight="1">
      <c r="B82" s="302"/>
      <c r="C82" s="318"/>
      <c r="D82" s="354"/>
      <c r="E82" s="326" t="s">
        <v>611</v>
      </c>
      <c r="F82" s="303" t="s">
        <v>610</v>
      </c>
      <c r="G82" s="306">
        <v>8.64</v>
      </c>
      <c r="H82" s="309"/>
      <c r="I82" s="308"/>
      <c r="J82" s="309"/>
      <c r="K82" s="310"/>
      <c r="L82" s="329"/>
      <c r="M82" s="329"/>
      <c r="N82" s="309"/>
      <c r="O82" s="310"/>
      <c r="P82" s="329"/>
      <c r="Q82" s="329"/>
      <c r="R82" s="309"/>
      <c r="S82" s="310"/>
      <c r="T82" s="329"/>
      <c r="U82" s="329"/>
      <c r="V82" s="309"/>
      <c r="W82" s="310"/>
      <c r="X82" s="329"/>
      <c r="Y82" s="329"/>
      <c r="Z82" s="309"/>
      <c r="AA82" s="310"/>
      <c r="AB82" s="329"/>
      <c r="AC82" s="329"/>
      <c r="AD82" s="309"/>
      <c r="AE82" s="310"/>
      <c r="AF82" s="329"/>
      <c r="AG82" s="329"/>
      <c r="AH82" s="309"/>
      <c r="AI82" s="310"/>
      <c r="AJ82" s="329"/>
      <c r="AK82" s="329"/>
      <c r="AL82" s="309"/>
      <c r="AM82" s="310"/>
      <c r="AN82" s="329"/>
      <c r="AO82" s="329"/>
      <c r="AP82" s="309"/>
      <c r="AQ82" s="310"/>
      <c r="AR82" s="329"/>
      <c r="AS82" s="329"/>
      <c r="AT82" s="309"/>
      <c r="AU82" s="310"/>
      <c r="AV82" s="329"/>
      <c r="AW82" s="329"/>
      <c r="AX82" s="309"/>
      <c r="AY82" s="310"/>
      <c r="AZ82" s="329"/>
      <c r="BA82" s="329"/>
      <c r="BB82" s="309"/>
      <c r="BC82" s="310"/>
      <c r="BD82" s="329"/>
      <c r="BE82" s="329"/>
      <c r="BF82" s="309"/>
      <c r="BG82" s="310"/>
      <c r="BH82" s="329"/>
      <c r="BI82" s="329"/>
      <c r="BJ82" s="309"/>
      <c r="BK82" s="310"/>
      <c r="BL82" s="329"/>
      <c r="BM82" s="329"/>
      <c r="BN82" s="309"/>
      <c r="BO82" s="310"/>
      <c r="BP82" s="329"/>
      <c r="BQ82" s="329"/>
      <c r="BR82" s="309"/>
      <c r="BS82" s="310"/>
      <c r="BT82" s="329"/>
      <c r="BU82" s="329"/>
      <c r="BV82" s="309"/>
      <c r="BW82" s="310"/>
      <c r="BX82" s="329"/>
      <c r="BY82" s="329"/>
      <c r="BZ82" s="309"/>
      <c r="CA82" s="310"/>
      <c r="CB82" s="329"/>
      <c r="CC82" s="329"/>
      <c r="CD82" s="309"/>
      <c r="CE82" s="310"/>
      <c r="CF82" s="329"/>
      <c r="CG82" s="329"/>
      <c r="CH82" s="309"/>
      <c r="CI82" s="310"/>
      <c r="CJ82" s="329"/>
      <c r="CK82" s="329"/>
      <c r="CL82" s="309"/>
      <c r="CM82" s="310"/>
      <c r="CN82" s="329"/>
      <c r="CO82" s="329"/>
      <c r="CP82" s="309"/>
      <c r="CQ82" s="310"/>
      <c r="CR82" s="329"/>
      <c r="CS82" s="329"/>
      <c r="CT82" s="309"/>
      <c r="CU82" s="310"/>
      <c r="CV82" s="329"/>
      <c r="CW82" s="329"/>
      <c r="CX82" s="309"/>
      <c r="CY82" s="310"/>
      <c r="CZ82" s="329"/>
      <c r="DA82" s="329"/>
      <c r="DB82" s="309"/>
      <c r="DC82" s="310"/>
      <c r="DD82" s="329"/>
      <c r="DE82" s="329"/>
      <c r="DF82" s="309"/>
      <c r="DG82" s="310"/>
      <c r="DH82" s="329"/>
      <c r="DI82" s="329"/>
      <c r="DJ82" s="309"/>
      <c r="DK82" s="310"/>
      <c r="DL82" s="329"/>
      <c r="DM82" s="329"/>
      <c r="DN82" s="309"/>
      <c r="DO82" s="310"/>
      <c r="DP82" s="329"/>
      <c r="DQ82" s="329"/>
      <c r="DR82" s="309"/>
      <c r="DS82" s="310"/>
      <c r="DT82" s="329"/>
      <c r="DU82" s="329"/>
      <c r="DV82" s="309"/>
      <c r="DW82" s="310"/>
      <c r="DX82" s="329"/>
      <c r="DY82" s="329"/>
      <c r="DZ82" s="309"/>
      <c r="EA82" s="310"/>
      <c r="EB82" s="329"/>
      <c r="EC82" s="329"/>
      <c r="ED82" s="309"/>
      <c r="EE82" s="310"/>
      <c r="EF82" s="329"/>
      <c r="EG82" s="329"/>
      <c r="EH82" s="309"/>
      <c r="EI82" s="310"/>
      <c r="EJ82" s="329"/>
      <c r="EK82" s="329"/>
      <c r="EL82" s="309"/>
      <c r="EM82" s="310"/>
      <c r="EN82" s="329"/>
      <c r="EO82" s="329"/>
      <c r="EP82" s="309"/>
      <c r="EQ82" s="310"/>
      <c r="ER82" s="329"/>
      <c r="ES82" s="329"/>
      <c r="ET82" s="309"/>
      <c r="EU82" s="310"/>
      <c r="EV82" s="329"/>
      <c r="EW82" s="329"/>
      <c r="EX82" s="309"/>
      <c r="EY82" s="310"/>
      <c r="EZ82" s="329"/>
      <c r="FA82" s="329"/>
      <c r="FB82" s="309"/>
      <c r="FC82" s="310"/>
      <c r="FD82" s="329"/>
      <c r="FE82" s="329"/>
      <c r="FF82" s="309"/>
      <c r="FG82" s="310"/>
      <c r="FH82" s="329"/>
      <c r="FI82" s="329"/>
      <c r="FJ82" s="309"/>
      <c r="FK82" s="310"/>
      <c r="FL82" s="329"/>
      <c r="FM82" s="329"/>
      <c r="FN82" s="309"/>
      <c r="FO82" s="310"/>
      <c r="FP82" s="329"/>
      <c r="FQ82" s="329"/>
      <c r="FR82" s="309"/>
      <c r="FS82" s="310"/>
      <c r="FT82" s="329"/>
      <c r="FU82" s="329"/>
      <c r="FV82" s="309"/>
      <c r="FW82" s="310"/>
      <c r="FX82" s="329"/>
      <c r="FY82" s="329"/>
      <c r="FZ82" s="309"/>
      <c r="GA82" s="310"/>
      <c r="GB82" s="329"/>
      <c r="GC82" s="329"/>
      <c r="GD82" s="309"/>
      <c r="GE82" s="310"/>
      <c r="GF82" s="329"/>
      <c r="GG82" s="329"/>
      <c r="GH82" s="309"/>
      <c r="GI82" s="310"/>
      <c r="GJ82" s="329"/>
      <c r="GK82" s="329"/>
      <c r="GL82" s="309"/>
      <c r="GM82" s="310"/>
      <c r="GN82" s="329"/>
      <c r="GO82" s="329"/>
      <c r="GP82" s="309"/>
      <c r="GQ82" s="310"/>
      <c r="GR82" s="329"/>
      <c r="GS82" s="329"/>
      <c r="GT82" s="309"/>
      <c r="GU82" s="310"/>
      <c r="GV82" s="329"/>
      <c r="GW82" s="329"/>
      <c r="GX82" s="309"/>
      <c r="GY82" s="310"/>
      <c r="GZ82" s="329"/>
      <c r="HA82" s="329"/>
      <c r="HB82" s="309"/>
      <c r="HC82" s="312">
        <f t="shared" si="80"/>
        <v>0</v>
      </c>
      <c r="HD82" s="330"/>
      <c r="HE82" s="330"/>
      <c r="HF82" s="314"/>
      <c r="HG82" s="312">
        <f>SUM(SUMIFS(K82:HB82,$K$13:$HB$13,{"エネルギー管理指定工場等*","県域*"}))</f>
        <v>0</v>
      </c>
      <c r="HH82" s="330"/>
      <c r="HI82" s="330"/>
      <c r="HJ82" s="314"/>
      <c r="IE82" s="579"/>
      <c r="IF82" s="579"/>
      <c r="IG82" s="579"/>
      <c r="IH82" s="579"/>
    </row>
    <row r="83" spans="2:242" s="164" customFormat="1" ht="20.100000000000001" customHeight="1">
      <c r="B83" s="302"/>
      <c r="C83" s="327" t="s">
        <v>1385</v>
      </c>
      <c r="D83" s="303" t="s">
        <v>612</v>
      </c>
      <c r="E83" s="305"/>
      <c r="F83" s="303" t="s">
        <v>610</v>
      </c>
      <c r="G83" s="306">
        <v>3.6</v>
      </c>
      <c r="H83" s="309"/>
      <c r="I83" s="310"/>
      <c r="J83" s="315"/>
      <c r="K83" s="310"/>
      <c r="L83" s="329"/>
      <c r="M83" s="329"/>
      <c r="N83" s="309"/>
      <c r="O83" s="310"/>
      <c r="P83" s="329"/>
      <c r="Q83" s="329"/>
      <c r="R83" s="309"/>
      <c r="S83" s="310"/>
      <c r="T83" s="329"/>
      <c r="U83" s="329"/>
      <c r="V83" s="309"/>
      <c r="W83" s="310"/>
      <c r="X83" s="329"/>
      <c r="Y83" s="329"/>
      <c r="Z83" s="309"/>
      <c r="AA83" s="310"/>
      <c r="AB83" s="329"/>
      <c r="AC83" s="329"/>
      <c r="AD83" s="309"/>
      <c r="AE83" s="310"/>
      <c r="AF83" s="329"/>
      <c r="AG83" s="329"/>
      <c r="AH83" s="309"/>
      <c r="AI83" s="310"/>
      <c r="AJ83" s="329"/>
      <c r="AK83" s="329"/>
      <c r="AL83" s="309"/>
      <c r="AM83" s="310"/>
      <c r="AN83" s="329"/>
      <c r="AO83" s="329"/>
      <c r="AP83" s="309"/>
      <c r="AQ83" s="310"/>
      <c r="AR83" s="329"/>
      <c r="AS83" s="329"/>
      <c r="AT83" s="309"/>
      <c r="AU83" s="310"/>
      <c r="AV83" s="329"/>
      <c r="AW83" s="329"/>
      <c r="AX83" s="309"/>
      <c r="AY83" s="310"/>
      <c r="AZ83" s="329"/>
      <c r="BA83" s="329"/>
      <c r="BB83" s="309"/>
      <c r="BC83" s="310"/>
      <c r="BD83" s="329"/>
      <c r="BE83" s="329"/>
      <c r="BF83" s="309"/>
      <c r="BG83" s="310"/>
      <c r="BH83" s="329"/>
      <c r="BI83" s="329"/>
      <c r="BJ83" s="309"/>
      <c r="BK83" s="310"/>
      <c r="BL83" s="329"/>
      <c r="BM83" s="329"/>
      <c r="BN83" s="309"/>
      <c r="BO83" s="310"/>
      <c r="BP83" s="329"/>
      <c r="BQ83" s="329"/>
      <c r="BR83" s="309"/>
      <c r="BS83" s="310"/>
      <c r="BT83" s="329"/>
      <c r="BU83" s="329"/>
      <c r="BV83" s="309"/>
      <c r="BW83" s="310"/>
      <c r="BX83" s="329"/>
      <c r="BY83" s="329"/>
      <c r="BZ83" s="309"/>
      <c r="CA83" s="310"/>
      <c r="CB83" s="329"/>
      <c r="CC83" s="329"/>
      <c r="CD83" s="309"/>
      <c r="CE83" s="310"/>
      <c r="CF83" s="329"/>
      <c r="CG83" s="329"/>
      <c r="CH83" s="309"/>
      <c r="CI83" s="310"/>
      <c r="CJ83" s="329"/>
      <c r="CK83" s="329"/>
      <c r="CL83" s="309"/>
      <c r="CM83" s="310"/>
      <c r="CN83" s="329"/>
      <c r="CO83" s="329"/>
      <c r="CP83" s="309"/>
      <c r="CQ83" s="310"/>
      <c r="CR83" s="329"/>
      <c r="CS83" s="329"/>
      <c r="CT83" s="309"/>
      <c r="CU83" s="310"/>
      <c r="CV83" s="329"/>
      <c r="CW83" s="329"/>
      <c r="CX83" s="309"/>
      <c r="CY83" s="310"/>
      <c r="CZ83" s="329"/>
      <c r="DA83" s="329"/>
      <c r="DB83" s="309"/>
      <c r="DC83" s="310"/>
      <c r="DD83" s="329"/>
      <c r="DE83" s="329"/>
      <c r="DF83" s="309"/>
      <c r="DG83" s="310"/>
      <c r="DH83" s="329"/>
      <c r="DI83" s="329"/>
      <c r="DJ83" s="309"/>
      <c r="DK83" s="310"/>
      <c r="DL83" s="329"/>
      <c r="DM83" s="329"/>
      <c r="DN83" s="309"/>
      <c r="DO83" s="310"/>
      <c r="DP83" s="329"/>
      <c r="DQ83" s="329"/>
      <c r="DR83" s="309"/>
      <c r="DS83" s="310"/>
      <c r="DT83" s="329"/>
      <c r="DU83" s="329"/>
      <c r="DV83" s="309"/>
      <c r="DW83" s="310"/>
      <c r="DX83" s="329"/>
      <c r="DY83" s="329"/>
      <c r="DZ83" s="309"/>
      <c r="EA83" s="310"/>
      <c r="EB83" s="329"/>
      <c r="EC83" s="329"/>
      <c r="ED83" s="309"/>
      <c r="EE83" s="310"/>
      <c r="EF83" s="329"/>
      <c r="EG83" s="329"/>
      <c r="EH83" s="309"/>
      <c r="EI83" s="310"/>
      <c r="EJ83" s="329"/>
      <c r="EK83" s="329"/>
      <c r="EL83" s="309"/>
      <c r="EM83" s="310"/>
      <c r="EN83" s="329"/>
      <c r="EO83" s="329"/>
      <c r="EP83" s="309"/>
      <c r="EQ83" s="310"/>
      <c r="ER83" s="329"/>
      <c r="ES83" s="329"/>
      <c r="ET83" s="309"/>
      <c r="EU83" s="310"/>
      <c r="EV83" s="329"/>
      <c r="EW83" s="329"/>
      <c r="EX83" s="309"/>
      <c r="EY83" s="310"/>
      <c r="EZ83" s="329"/>
      <c r="FA83" s="329"/>
      <c r="FB83" s="309"/>
      <c r="FC83" s="310"/>
      <c r="FD83" s="329"/>
      <c r="FE83" s="329"/>
      <c r="FF83" s="309"/>
      <c r="FG83" s="310"/>
      <c r="FH83" s="329"/>
      <c r="FI83" s="329"/>
      <c r="FJ83" s="309"/>
      <c r="FK83" s="310"/>
      <c r="FL83" s="329"/>
      <c r="FM83" s="329"/>
      <c r="FN83" s="309"/>
      <c r="FO83" s="310"/>
      <c r="FP83" s="329"/>
      <c r="FQ83" s="329"/>
      <c r="FR83" s="309"/>
      <c r="FS83" s="310"/>
      <c r="FT83" s="329"/>
      <c r="FU83" s="329"/>
      <c r="FV83" s="309"/>
      <c r="FW83" s="310"/>
      <c r="FX83" s="329"/>
      <c r="FY83" s="329"/>
      <c r="FZ83" s="309"/>
      <c r="GA83" s="310"/>
      <c r="GB83" s="329"/>
      <c r="GC83" s="329"/>
      <c r="GD83" s="309"/>
      <c r="GE83" s="310"/>
      <c r="GF83" s="329"/>
      <c r="GG83" s="329"/>
      <c r="GH83" s="309"/>
      <c r="GI83" s="310"/>
      <c r="GJ83" s="329"/>
      <c r="GK83" s="329"/>
      <c r="GL83" s="309"/>
      <c r="GM83" s="310"/>
      <c r="GN83" s="329"/>
      <c r="GO83" s="329"/>
      <c r="GP83" s="309"/>
      <c r="GQ83" s="310"/>
      <c r="GR83" s="329"/>
      <c r="GS83" s="329"/>
      <c r="GT83" s="309"/>
      <c r="GU83" s="310"/>
      <c r="GV83" s="329"/>
      <c r="GW83" s="329"/>
      <c r="GX83" s="309"/>
      <c r="GY83" s="310"/>
      <c r="GZ83" s="329"/>
      <c r="HA83" s="329"/>
      <c r="HB83" s="309"/>
      <c r="HC83" s="312">
        <f t="shared" si="80"/>
        <v>0</v>
      </c>
      <c r="HD83" s="330"/>
      <c r="HE83" s="330"/>
      <c r="HF83" s="314"/>
      <c r="HG83" s="312">
        <f>SUM(SUMIFS(K83:HB83,$K$13:$HB$13,{"エネルギー管理指定工場等*","県域*"}))</f>
        <v>0</v>
      </c>
      <c r="HH83" s="330"/>
      <c r="HI83" s="330"/>
      <c r="HJ83" s="314"/>
      <c r="IE83" s="579"/>
      <c r="IF83" s="579"/>
      <c r="IG83" s="579"/>
      <c r="IH83" s="579"/>
    </row>
    <row r="84" spans="2:242" s="164" customFormat="1" ht="20.100000000000001" customHeight="1">
      <c r="B84" s="302"/>
      <c r="C84" s="319"/>
      <c r="D84" s="303" t="s">
        <v>613</v>
      </c>
      <c r="E84" s="305"/>
      <c r="F84" s="303" t="s">
        <v>610</v>
      </c>
      <c r="G84" s="306">
        <v>3.6</v>
      </c>
      <c r="H84" s="309"/>
      <c r="I84" s="308"/>
      <c r="J84" s="309"/>
      <c r="K84" s="310"/>
      <c r="L84" s="329"/>
      <c r="M84" s="329"/>
      <c r="N84" s="309"/>
      <c r="O84" s="310"/>
      <c r="P84" s="329"/>
      <c r="Q84" s="329"/>
      <c r="R84" s="309"/>
      <c r="S84" s="310"/>
      <c r="T84" s="329"/>
      <c r="U84" s="329"/>
      <c r="V84" s="309"/>
      <c r="W84" s="310"/>
      <c r="X84" s="329"/>
      <c r="Y84" s="329"/>
      <c r="Z84" s="309"/>
      <c r="AA84" s="310"/>
      <c r="AB84" s="329"/>
      <c r="AC84" s="329"/>
      <c r="AD84" s="309"/>
      <c r="AE84" s="310"/>
      <c r="AF84" s="329"/>
      <c r="AG84" s="329"/>
      <c r="AH84" s="309"/>
      <c r="AI84" s="310"/>
      <c r="AJ84" s="329"/>
      <c r="AK84" s="329"/>
      <c r="AL84" s="309"/>
      <c r="AM84" s="310"/>
      <c r="AN84" s="329"/>
      <c r="AO84" s="329"/>
      <c r="AP84" s="309"/>
      <c r="AQ84" s="310"/>
      <c r="AR84" s="329"/>
      <c r="AS84" s="329"/>
      <c r="AT84" s="309"/>
      <c r="AU84" s="310"/>
      <c r="AV84" s="329"/>
      <c r="AW84" s="329"/>
      <c r="AX84" s="309"/>
      <c r="AY84" s="310"/>
      <c r="AZ84" s="329"/>
      <c r="BA84" s="329"/>
      <c r="BB84" s="309"/>
      <c r="BC84" s="310"/>
      <c r="BD84" s="329"/>
      <c r="BE84" s="329"/>
      <c r="BF84" s="309"/>
      <c r="BG84" s="310"/>
      <c r="BH84" s="329"/>
      <c r="BI84" s="329"/>
      <c r="BJ84" s="309"/>
      <c r="BK84" s="310"/>
      <c r="BL84" s="329"/>
      <c r="BM84" s="329"/>
      <c r="BN84" s="309"/>
      <c r="BO84" s="310"/>
      <c r="BP84" s="329"/>
      <c r="BQ84" s="329"/>
      <c r="BR84" s="309"/>
      <c r="BS84" s="310"/>
      <c r="BT84" s="329"/>
      <c r="BU84" s="329"/>
      <c r="BV84" s="309"/>
      <c r="BW84" s="310"/>
      <c r="BX84" s="329"/>
      <c r="BY84" s="329"/>
      <c r="BZ84" s="309"/>
      <c r="CA84" s="310"/>
      <c r="CB84" s="329"/>
      <c r="CC84" s="329"/>
      <c r="CD84" s="309"/>
      <c r="CE84" s="310"/>
      <c r="CF84" s="329"/>
      <c r="CG84" s="329"/>
      <c r="CH84" s="309"/>
      <c r="CI84" s="310"/>
      <c r="CJ84" s="329"/>
      <c r="CK84" s="329"/>
      <c r="CL84" s="309"/>
      <c r="CM84" s="310"/>
      <c r="CN84" s="329"/>
      <c r="CO84" s="329"/>
      <c r="CP84" s="309"/>
      <c r="CQ84" s="310"/>
      <c r="CR84" s="329"/>
      <c r="CS84" s="329"/>
      <c r="CT84" s="309"/>
      <c r="CU84" s="310"/>
      <c r="CV84" s="329"/>
      <c r="CW84" s="329"/>
      <c r="CX84" s="309"/>
      <c r="CY84" s="310"/>
      <c r="CZ84" s="329"/>
      <c r="DA84" s="329"/>
      <c r="DB84" s="309"/>
      <c r="DC84" s="310"/>
      <c r="DD84" s="329"/>
      <c r="DE84" s="329"/>
      <c r="DF84" s="309"/>
      <c r="DG84" s="310"/>
      <c r="DH84" s="329"/>
      <c r="DI84" s="329"/>
      <c r="DJ84" s="309"/>
      <c r="DK84" s="310"/>
      <c r="DL84" s="329"/>
      <c r="DM84" s="329"/>
      <c r="DN84" s="309"/>
      <c r="DO84" s="310"/>
      <c r="DP84" s="329"/>
      <c r="DQ84" s="329"/>
      <c r="DR84" s="309"/>
      <c r="DS84" s="310"/>
      <c r="DT84" s="329"/>
      <c r="DU84" s="329"/>
      <c r="DV84" s="309"/>
      <c r="DW84" s="310"/>
      <c r="DX84" s="329"/>
      <c r="DY84" s="329"/>
      <c r="DZ84" s="309"/>
      <c r="EA84" s="310"/>
      <c r="EB84" s="329"/>
      <c r="EC84" s="329"/>
      <c r="ED84" s="309"/>
      <c r="EE84" s="310"/>
      <c r="EF84" s="329"/>
      <c r="EG84" s="329"/>
      <c r="EH84" s="309"/>
      <c r="EI84" s="310"/>
      <c r="EJ84" s="329"/>
      <c r="EK84" s="329"/>
      <c r="EL84" s="309"/>
      <c r="EM84" s="310"/>
      <c r="EN84" s="329"/>
      <c r="EO84" s="329"/>
      <c r="EP84" s="309"/>
      <c r="EQ84" s="310"/>
      <c r="ER84" s="329"/>
      <c r="ES84" s="329"/>
      <c r="ET84" s="309"/>
      <c r="EU84" s="310"/>
      <c r="EV84" s="329"/>
      <c r="EW84" s="329"/>
      <c r="EX84" s="309"/>
      <c r="EY84" s="310"/>
      <c r="EZ84" s="329"/>
      <c r="FA84" s="329"/>
      <c r="FB84" s="309"/>
      <c r="FC84" s="310"/>
      <c r="FD84" s="329"/>
      <c r="FE84" s="329"/>
      <c r="FF84" s="309"/>
      <c r="FG84" s="310"/>
      <c r="FH84" s="329"/>
      <c r="FI84" s="329"/>
      <c r="FJ84" s="309"/>
      <c r="FK84" s="310"/>
      <c r="FL84" s="329"/>
      <c r="FM84" s="329"/>
      <c r="FN84" s="309"/>
      <c r="FO84" s="310"/>
      <c r="FP84" s="329"/>
      <c r="FQ84" s="329"/>
      <c r="FR84" s="309"/>
      <c r="FS84" s="310"/>
      <c r="FT84" s="329"/>
      <c r="FU84" s="329"/>
      <c r="FV84" s="309"/>
      <c r="FW84" s="310"/>
      <c r="FX84" s="329"/>
      <c r="FY84" s="329"/>
      <c r="FZ84" s="309"/>
      <c r="GA84" s="310"/>
      <c r="GB84" s="329"/>
      <c r="GC84" s="329"/>
      <c r="GD84" s="309"/>
      <c r="GE84" s="310"/>
      <c r="GF84" s="329"/>
      <c r="GG84" s="329"/>
      <c r="GH84" s="309"/>
      <c r="GI84" s="310"/>
      <c r="GJ84" s="329"/>
      <c r="GK84" s="329"/>
      <c r="GL84" s="309"/>
      <c r="GM84" s="310"/>
      <c r="GN84" s="329"/>
      <c r="GO84" s="329"/>
      <c r="GP84" s="309"/>
      <c r="GQ84" s="310"/>
      <c r="GR84" s="329"/>
      <c r="GS84" s="329"/>
      <c r="GT84" s="309"/>
      <c r="GU84" s="310"/>
      <c r="GV84" s="329"/>
      <c r="GW84" s="329"/>
      <c r="GX84" s="309"/>
      <c r="GY84" s="310"/>
      <c r="GZ84" s="329"/>
      <c r="HA84" s="329"/>
      <c r="HB84" s="309"/>
      <c r="HC84" s="312">
        <f t="shared" si="80"/>
        <v>0</v>
      </c>
      <c r="HD84" s="330"/>
      <c r="HE84" s="330"/>
      <c r="HF84" s="314"/>
      <c r="HG84" s="312">
        <f>SUM(SUMIFS(K84:HB84,$K$13:$HB$13,{"エネルギー管理指定工場等*","県域*"}))</f>
        <v>0</v>
      </c>
      <c r="HH84" s="330"/>
      <c r="HI84" s="330"/>
      <c r="HJ84" s="314"/>
      <c r="IE84" s="579"/>
      <c r="IF84" s="579"/>
      <c r="IG84" s="579"/>
      <c r="IH84" s="579"/>
    </row>
    <row r="85" spans="2:242" s="164" customFormat="1" ht="20.100000000000001" customHeight="1">
      <c r="B85" s="302"/>
      <c r="C85" s="319"/>
      <c r="D85" s="303" t="s">
        <v>614</v>
      </c>
      <c r="E85" s="305"/>
      <c r="F85" s="303" t="s">
        <v>610</v>
      </c>
      <c r="G85" s="306">
        <v>3.6</v>
      </c>
      <c r="H85" s="309"/>
      <c r="I85" s="310"/>
      <c r="J85" s="315"/>
      <c r="K85" s="310"/>
      <c r="L85" s="329"/>
      <c r="M85" s="329"/>
      <c r="N85" s="309"/>
      <c r="O85" s="310"/>
      <c r="P85" s="329"/>
      <c r="Q85" s="329"/>
      <c r="R85" s="309"/>
      <c r="S85" s="310"/>
      <c r="T85" s="329"/>
      <c r="U85" s="329"/>
      <c r="V85" s="309"/>
      <c r="W85" s="310"/>
      <c r="X85" s="329"/>
      <c r="Y85" s="329"/>
      <c r="Z85" s="309"/>
      <c r="AA85" s="310"/>
      <c r="AB85" s="329"/>
      <c r="AC85" s="329"/>
      <c r="AD85" s="309"/>
      <c r="AE85" s="310"/>
      <c r="AF85" s="329"/>
      <c r="AG85" s="329"/>
      <c r="AH85" s="309"/>
      <c r="AI85" s="310"/>
      <c r="AJ85" s="329"/>
      <c r="AK85" s="329"/>
      <c r="AL85" s="309"/>
      <c r="AM85" s="310"/>
      <c r="AN85" s="329"/>
      <c r="AO85" s="329"/>
      <c r="AP85" s="309"/>
      <c r="AQ85" s="310"/>
      <c r="AR85" s="329"/>
      <c r="AS85" s="329"/>
      <c r="AT85" s="309"/>
      <c r="AU85" s="310"/>
      <c r="AV85" s="329"/>
      <c r="AW85" s="329"/>
      <c r="AX85" s="309"/>
      <c r="AY85" s="310"/>
      <c r="AZ85" s="329"/>
      <c r="BA85" s="329"/>
      <c r="BB85" s="309"/>
      <c r="BC85" s="310"/>
      <c r="BD85" s="329"/>
      <c r="BE85" s="329"/>
      <c r="BF85" s="309"/>
      <c r="BG85" s="310"/>
      <c r="BH85" s="329"/>
      <c r="BI85" s="329"/>
      <c r="BJ85" s="309"/>
      <c r="BK85" s="310"/>
      <c r="BL85" s="329"/>
      <c r="BM85" s="329"/>
      <c r="BN85" s="309"/>
      <c r="BO85" s="310"/>
      <c r="BP85" s="329"/>
      <c r="BQ85" s="329"/>
      <c r="BR85" s="309"/>
      <c r="BS85" s="310"/>
      <c r="BT85" s="329"/>
      <c r="BU85" s="329"/>
      <c r="BV85" s="309"/>
      <c r="BW85" s="310"/>
      <c r="BX85" s="329"/>
      <c r="BY85" s="329"/>
      <c r="BZ85" s="309"/>
      <c r="CA85" s="310"/>
      <c r="CB85" s="329"/>
      <c r="CC85" s="329"/>
      <c r="CD85" s="309"/>
      <c r="CE85" s="310"/>
      <c r="CF85" s="329"/>
      <c r="CG85" s="329"/>
      <c r="CH85" s="309"/>
      <c r="CI85" s="310"/>
      <c r="CJ85" s="329"/>
      <c r="CK85" s="329"/>
      <c r="CL85" s="309"/>
      <c r="CM85" s="310"/>
      <c r="CN85" s="329"/>
      <c r="CO85" s="329"/>
      <c r="CP85" s="309"/>
      <c r="CQ85" s="310"/>
      <c r="CR85" s="329"/>
      <c r="CS85" s="329"/>
      <c r="CT85" s="309"/>
      <c r="CU85" s="310"/>
      <c r="CV85" s="329"/>
      <c r="CW85" s="329"/>
      <c r="CX85" s="309"/>
      <c r="CY85" s="310"/>
      <c r="CZ85" s="329"/>
      <c r="DA85" s="329"/>
      <c r="DB85" s="309"/>
      <c r="DC85" s="310"/>
      <c r="DD85" s="329"/>
      <c r="DE85" s="329"/>
      <c r="DF85" s="309"/>
      <c r="DG85" s="310"/>
      <c r="DH85" s="329"/>
      <c r="DI85" s="329"/>
      <c r="DJ85" s="309"/>
      <c r="DK85" s="310"/>
      <c r="DL85" s="329"/>
      <c r="DM85" s="329"/>
      <c r="DN85" s="309"/>
      <c r="DO85" s="310"/>
      <c r="DP85" s="329"/>
      <c r="DQ85" s="329"/>
      <c r="DR85" s="309"/>
      <c r="DS85" s="310"/>
      <c r="DT85" s="329"/>
      <c r="DU85" s="329"/>
      <c r="DV85" s="309"/>
      <c r="DW85" s="310"/>
      <c r="DX85" s="329"/>
      <c r="DY85" s="329"/>
      <c r="DZ85" s="309"/>
      <c r="EA85" s="310"/>
      <c r="EB85" s="329"/>
      <c r="EC85" s="329"/>
      <c r="ED85" s="309"/>
      <c r="EE85" s="310"/>
      <c r="EF85" s="329"/>
      <c r="EG85" s="329"/>
      <c r="EH85" s="309"/>
      <c r="EI85" s="310"/>
      <c r="EJ85" s="329"/>
      <c r="EK85" s="329"/>
      <c r="EL85" s="309"/>
      <c r="EM85" s="310"/>
      <c r="EN85" s="329"/>
      <c r="EO85" s="329"/>
      <c r="EP85" s="309"/>
      <c r="EQ85" s="310"/>
      <c r="ER85" s="329"/>
      <c r="ES85" s="329"/>
      <c r="ET85" s="309"/>
      <c r="EU85" s="310"/>
      <c r="EV85" s="329"/>
      <c r="EW85" s="329"/>
      <c r="EX85" s="309"/>
      <c r="EY85" s="310"/>
      <c r="EZ85" s="329"/>
      <c r="FA85" s="329"/>
      <c r="FB85" s="309"/>
      <c r="FC85" s="310"/>
      <c r="FD85" s="329"/>
      <c r="FE85" s="329"/>
      <c r="FF85" s="309"/>
      <c r="FG85" s="310"/>
      <c r="FH85" s="329"/>
      <c r="FI85" s="329"/>
      <c r="FJ85" s="309"/>
      <c r="FK85" s="310"/>
      <c r="FL85" s="329"/>
      <c r="FM85" s="329"/>
      <c r="FN85" s="309"/>
      <c r="FO85" s="310"/>
      <c r="FP85" s="329"/>
      <c r="FQ85" s="329"/>
      <c r="FR85" s="309"/>
      <c r="FS85" s="310"/>
      <c r="FT85" s="329"/>
      <c r="FU85" s="329"/>
      <c r="FV85" s="309"/>
      <c r="FW85" s="310"/>
      <c r="FX85" s="329"/>
      <c r="FY85" s="329"/>
      <c r="FZ85" s="309"/>
      <c r="GA85" s="310"/>
      <c r="GB85" s="329"/>
      <c r="GC85" s="329"/>
      <c r="GD85" s="309"/>
      <c r="GE85" s="310"/>
      <c r="GF85" s="329"/>
      <c r="GG85" s="329"/>
      <c r="GH85" s="309"/>
      <c r="GI85" s="310"/>
      <c r="GJ85" s="329"/>
      <c r="GK85" s="329"/>
      <c r="GL85" s="309"/>
      <c r="GM85" s="310"/>
      <c r="GN85" s="329"/>
      <c r="GO85" s="329"/>
      <c r="GP85" s="309"/>
      <c r="GQ85" s="310"/>
      <c r="GR85" s="329"/>
      <c r="GS85" s="329"/>
      <c r="GT85" s="309"/>
      <c r="GU85" s="310"/>
      <c r="GV85" s="329"/>
      <c r="GW85" s="329"/>
      <c r="GX85" s="309"/>
      <c r="GY85" s="310"/>
      <c r="GZ85" s="329"/>
      <c r="HA85" s="329"/>
      <c r="HB85" s="309"/>
      <c r="HC85" s="312">
        <f t="shared" si="80"/>
        <v>0</v>
      </c>
      <c r="HD85" s="330"/>
      <c r="HE85" s="330"/>
      <c r="HF85" s="314"/>
      <c r="HG85" s="312">
        <f>SUM(SUMIFS(K85:HB85,$K$13:$HB$13,{"エネルギー管理指定工場等*","県域*"}))</f>
        <v>0</v>
      </c>
      <c r="HH85" s="330"/>
      <c r="HI85" s="330"/>
      <c r="HJ85" s="314"/>
      <c r="IE85" s="579"/>
      <c r="IF85" s="579"/>
      <c r="IG85" s="579"/>
      <c r="IH85" s="579"/>
    </row>
    <row r="86" spans="2:242" s="164" customFormat="1" ht="20.100000000000001" customHeight="1">
      <c r="B86" s="302"/>
      <c r="C86" s="319"/>
      <c r="D86" s="328" t="s">
        <v>615</v>
      </c>
      <c r="E86" s="335"/>
      <c r="F86" s="303" t="s">
        <v>610</v>
      </c>
      <c r="G86" s="306">
        <v>8.64</v>
      </c>
      <c r="H86" s="315"/>
      <c r="I86" s="310"/>
      <c r="J86" s="315"/>
      <c r="K86" s="310"/>
      <c r="L86" s="329"/>
      <c r="M86" s="329"/>
      <c r="N86" s="309"/>
      <c r="O86" s="310"/>
      <c r="P86" s="329"/>
      <c r="Q86" s="329"/>
      <c r="R86" s="309"/>
      <c r="S86" s="310"/>
      <c r="T86" s="329"/>
      <c r="U86" s="329"/>
      <c r="V86" s="309"/>
      <c r="W86" s="310"/>
      <c r="X86" s="329"/>
      <c r="Y86" s="329"/>
      <c r="Z86" s="309"/>
      <c r="AA86" s="310"/>
      <c r="AB86" s="329"/>
      <c r="AC86" s="329"/>
      <c r="AD86" s="309"/>
      <c r="AE86" s="310"/>
      <c r="AF86" s="329"/>
      <c r="AG86" s="329"/>
      <c r="AH86" s="309"/>
      <c r="AI86" s="310"/>
      <c r="AJ86" s="329"/>
      <c r="AK86" s="329"/>
      <c r="AL86" s="309"/>
      <c r="AM86" s="310"/>
      <c r="AN86" s="329"/>
      <c r="AO86" s="329"/>
      <c r="AP86" s="309"/>
      <c r="AQ86" s="310"/>
      <c r="AR86" s="329"/>
      <c r="AS86" s="329"/>
      <c r="AT86" s="309"/>
      <c r="AU86" s="310"/>
      <c r="AV86" s="329"/>
      <c r="AW86" s="329"/>
      <c r="AX86" s="309"/>
      <c r="AY86" s="310"/>
      <c r="AZ86" s="329"/>
      <c r="BA86" s="329"/>
      <c r="BB86" s="309"/>
      <c r="BC86" s="310"/>
      <c r="BD86" s="329"/>
      <c r="BE86" s="329"/>
      <c r="BF86" s="309"/>
      <c r="BG86" s="310"/>
      <c r="BH86" s="329"/>
      <c r="BI86" s="329"/>
      <c r="BJ86" s="309"/>
      <c r="BK86" s="310"/>
      <c r="BL86" s="329"/>
      <c r="BM86" s="329"/>
      <c r="BN86" s="309"/>
      <c r="BO86" s="310"/>
      <c r="BP86" s="329"/>
      <c r="BQ86" s="329"/>
      <c r="BR86" s="309"/>
      <c r="BS86" s="310"/>
      <c r="BT86" s="329"/>
      <c r="BU86" s="329"/>
      <c r="BV86" s="309"/>
      <c r="BW86" s="310"/>
      <c r="BX86" s="329"/>
      <c r="BY86" s="329"/>
      <c r="BZ86" s="309"/>
      <c r="CA86" s="310"/>
      <c r="CB86" s="329"/>
      <c r="CC86" s="329"/>
      <c r="CD86" s="309"/>
      <c r="CE86" s="310"/>
      <c r="CF86" s="329"/>
      <c r="CG86" s="329"/>
      <c r="CH86" s="309"/>
      <c r="CI86" s="310"/>
      <c r="CJ86" s="329"/>
      <c r="CK86" s="329"/>
      <c r="CL86" s="309"/>
      <c r="CM86" s="310"/>
      <c r="CN86" s="329"/>
      <c r="CO86" s="329"/>
      <c r="CP86" s="309"/>
      <c r="CQ86" s="310"/>
      <c r="CR86" s="329"/>
      <c r="CS86" s="329"/>
      <c r="CT86" s="309"/>
      <c r="CU86" s="310"/>
      <c r="CV86" s="329"/>
      <c r="CW86" s="329"/>
      <c r="CX86" s="309"/>
      <c r="CY86" s="310"/>
      <c r="CZ86" s="329"/>
      <c r="DA86" s="329"/>
      <c r="DB86" s="309"/>
      <c r="DC86" s="310"/>
      <c r="DD86" s="329"/>
      <c r="DE86" s="329"/>
      <c r="DF86" s="309"/>
      <c r="DG86" s="310"/>
      <c r="DH86" s="329"/>
      <c r="DI86" s="329"/>
      <c r="DJ86" s="309"/>
      <c r="DK86" s="310"/>
      <c r="DL86" s="329"/>
      <c r="DM86" s="329"/>
      <c r="DN86" s="309"/>
      <c r="DO86" s="310"/>
      <c r="DP86" s="329"/>
      <c r="DQ86" s="329"/>
      <c r="DR86" s="309"/>
      <c r="DS86" s="310"/>
      <c r="DT86" s="329"/>
      <c r="DU86" s="329"/>
      <c r="DV86" s="309"/>
      <c r="DW86" s="310"/>
      <c r="DX86" s="329"/>
      <c r="DY86" s="329"/>
      <c r="DZ86" s="309"/>
      <c r="EA86" s="310"/>
      <c r="EB86" s="329"/>
      <c r="EC86" s="329"/>
      <c r="ED86" s="309"/>
      <c r="EE86" s="310"/>
      <c r="EF86" s="329"/>
      <c r="EG86" s="329"/>
      <c r="EH86" s="309"/>
      <c r="EI86" s="310"/>
      <c r="EJ86" s="329"/>
      <c r="EK86" s="329"/>
      <c r="EL86" s="309"/>
      <c r="EM86" s="310"/>
      <c r="EN86" s="329"/>
      <c r="EO86" s="329"/>
      <c r="EP86" s="309"/>
      <c r="EQ86" s="310"/>
      <c r="ER86" s="329"/>
      <c r="ES86" s="329"/>
      <c r="ET86" s="309"/>
      <c r="EU86" s="310"/>
      <c r="EV86" s="329"/>
      <c r="EW86" s="329"/>
      <c r="EX86" s="309"/>
      <c r="EY86" s="310"/>
      <c r="EZ86" s="329"/>
      <c r="FA86" s="329"/>
      <c r="FB86" s="309"/>
      <c r="FC86" s="310"/>
      <c r="FD86" s="329"/>
      <c r="FE86" s="329"/>
      <c r="FF86" s="309"/>
      <c r="FG86" s="310"/>
      <c r="FH86" s="329"/>
      <c r="FI86" s="329"/>
      <c r="FJ86" s="309"/>
      <c r="FK86" s="310"/>
      <c r="FL86" s="329"/>
      <c r="FM86" s="329"/>
      <c r="FN86" s="309"/>
      <c r="FO86" s="310"/>
      <c r="FP86" s="329"/>
      <c r="FQ86" s="329"/>
      <c r="FR86" s="309"/>
      <c r="FS86" s="310"/>
      <c r="FT86" s="329"/>
      <c r="FU86" s="329"/>
      <c r="FV86" s="309"/>
      <c r="FW86" s="310"/>
      <c r="FX86" s="329"/>
      <c r="FY86" s="329"/>
      <c r="FZ86" s="309"/>
      <c r="GA86" s="310"/>
      <c r="GB86" s="329"/>
      <c r="GC86" s="329"/>
      <c r="GD86" s="309"/>
      <c r="GE86" s="310"/>
      <c r="GF86" s="329"/>
      <c r="GG86" s="329"/>
      <c r="GH86" s="309"/>
      <c r="GI86" s="310"/>
      <c r="GJ86" s="329"/>
      <c r="GK86" s="329"/>
      <c r="GL86" s="309"/>
      <c r="GM86" s="310"/>
      <c r="GN86" s="329"/>
      <c r="GO86" s="329"/>
      <c r="GP86" s="309"/>
      <c r="GQ86" s="310"/>
      <c r="GR86" s="329"/>
      <c r="GS86" s="329"/>
      <c r="GT86" s="309"/>
      <c r="GU86" s="310"/>
      <c r="GV86" s="329"/>
      <c r="GW86" s="329"/>
      <c r="GX86" s="309"/>
      <c r="GY86" s="310"/>
      <c r="GZ86" s="329"/>
      <c r="HA86" s="329"/>
      <c r="HB86" s="309"/>
      <c r="HC86" s="312">
        <f t="shared" si="80"/>
        <v>0</v>
      </c>
      <c r="HD86" s="330"/>
      <c r="HE86" s="330"/>
      <c r="HF86" s="314"/>
      <c r="HG86" s="312">
        <f>SUM(SUMIFS(K86:HB86,$K$13:$HB$13,{"エネルギー管理指定工場等*","県域*"}))</f>
        <v>0</v>
      </c>
      <c r="HH86" s="330"/>
      <c r="HI86" s="330"/>
      <c r="HJ86" s="314"/>
      <c r="IE86" s="579"/>
      <c r="IF86" s="579"/>
      <c r="IG86" s="579"/>
      <c r="IH86" s="579"/>
    </row>
    <row r="87" spans="2:242" s="164" customFormat="1" ht="20.100000000000001" customHeight="1">
      <c r="B87" s="302"/>
      <c r="C87" s="319"/>
      <c r="D87" s="355"/>
      <c r="E87" s="333" t="s">
        <v>616</v>
      </c>
      <c r="F87" s="303" t="s">
        <v>610</v>
      </c>
      <c r="G87" s="306">
        <v>8.64</v>
      </c>
      <c r="H87" s="315"/>
      <c r="I87" s="308"/>
      <c r="J87" s="309"/>
      <c r="K87" s="310"/>
      <c r="L87" s="329"/>
      <c r="M87" s="329"/>
      <c r="N87" s="309"/>
      <c r="O87" s="310"/>
      <c r="P87" s="329"/>
      <c r="Q87" s="329"/>
      <c r="R87" s="309"/>
      <c r="S87" s="310"/>
      <c r="T87" s="329"/>
      <c r="U87" s="329"/>
      <c r="V87" s="309"/>
      <c r="W87" s="310"/>
      <c r="X87" s="329"/>
      <c r="Y87" s="329"/>
      <c r="Z87" s="309"/>
      <c r="AA87" s="310"/>
      <c r="AB87" s="329"/>
      <c r="AC87" s="329"/>
      <c r="AD87" s="309"/>
      <c r="AE87" s="310"/>
      <c r="AF87" s="329"/>
      <c r="AG87" s="329"/>
      <c r="AH87" s="309"/>
      <c r="AI87" s="310"/>
      <c r="AJ87" s="329"/>
      <c r="AK87" s="329"/>
      <c r="AL87" s="309"/>
      <c r="AM87" s="310"/>
      <c r="AN87" s="329"/>
      <c r="AO87" s="329"/>
      <c r="AP87" s="309"/>
      <c r="AQ87" s="310"/>
      <c r="AR87" s="329"/>
      <c r="AS87" s="329"/>
      <c r="AT87" s="309"/>
      <c r="AU87" s="310"/>
      <c r="AV87" s="329"/>
      <c r="AW87" s="329"/>
      <c r="AX87" s="309"/>
      <c r="AY87" s="310"/>
      <c r="AZ87" s="329"/>
      <c r="BA87" s="329"/>
      <c r="BB87" s="309"/>
      <c r="BC87" s="310"/>
      <c r="BD87" s="329"/>
      <c r="BE87" s="329"/>
      <c r="BF87" s="309"/>
      <c r="BG87" s="310"/>
      <c r="BH87" s="329"/>
      <c r="BI87" s="329"/>
      <c r="BJ87" s="309"/>
      <c r="BK87" s="310"/>
      <c r="BL87" s="329"/>
      <c r="BM87" s="329"/>
      <c r="BN87" s="309"/>
      <c r="BO87" s="310"/>
      <c r="BP87" s="329"/>
      <c r="BQ87" s="329"/>
      <c r="BR87" s="309"/>
      <c r="BS87" s="310"/>
      <c r="BT87" s="329"/>
      <c r="BU87" s="329"/>
      <c r="BV87" s="309"/>
      <c r="BW87" s="310"/>
      <c r="BX87" s="329"/>
      <c r="BY87" s="329"/>
      <c r="BZ87" s="309"/>
      <c r="CA87" s="310"/>
      <c r="CB87" s="329"/>
      <c r="CC87" s="329"/>
      <c r="CD87" s="309"/>
      <c r="CE87" s="310"/>
      <c r="CF87" s="329"/>
      <c r="CG87" s="329"/>
      <c r="CH87" s="309"/>
      <c r="CI87" s="310"/>
      <c r="CJ87" s="329"/>
      <c r="CK87" s="329"/>
      <c r="CL87" s="309"/>
      <c r="CM87" s="310"/>
      <c r="CN87" s="329"/>
      <c r="CO87" s="329"/>
      <c r="CP87" s="309"/>
      <c r="CQ87" s="310"/>
      <c r="CR87" s="329"/>
      <c r="CS87" s="329"/>
      <c r="CT87" s="309"/>
      <c r="CU87" s="310"/>
      <c r="CV87" s="329"/>
      <c r="CW87" s="329"/>
      <c r="CX87" s="309"/>
      <c r="CY87" s="310"/>
      <c r="CZ87" s="329"/>
      <c r="DA87" s="329"/>
      <c r="DB87" s="309"/>
      <c r="DC87" s="310"/>
      <c r="DD87" s="329"/>
      <c r="DE87" s="329"/>
      <c r="DF87" s="309"/>
      <c r="DG87" s="310"/>
      <c r="DH87" s="329"/>
      <c r="DI87" s="329"/>
      <c r="DJ87" s="309"/>
      <c r="DK87" s="310"/>
      <c r="DL87" s="329"/>
      <c r="DM87" s="329"/>
      <c r="DN87" s="309"/>
      <c r="DO87" s="310"/>
      <c r="DP87" s="329"/>
      <c r="DQ87" s="329"/>
      <c r="DR87" s="309"/>
      <c r="DS87" s="310"/>
      <c r="DT87" s="329"/>
      <c r="DU87" s="329"/>
      <c r="DV87" s="309"/>
      <c r="DW87" s="310"/>
      <c r="DX87" s="329"/>
      <c r="DY87" s="329"/>
      <c r="DZ87" s="309"/>
      <c r="EA87" s="310"/>
      <c r="EB87" s="329"/>
      <c r="EC87" s="329"/>
      <c r="ED87" s="309"/>
      <c r="EE87" s="310"/>
      <c r="EF87" s="329"/>
      <c r="EG87" s="329"/>
      <c r="EH87" s="309"/>
      <c r="EI87" s="310"/>
      <c r="EJ87" s="329"/>
      <c r="EK87" s="329"/>
      <c r="EL87" s="309"/>
      <c r="EM87" s="310"/>
      <c r="EN87" s="329"/>
      <c r="EO87" s="329"/>
      <c r="EP87" s="309"/>
      <c r="EQ87" s="310"/>
      <c r="ER87" s="329"/>
      <c r="ES87" s="329"/>
      <c r="ET87" s="309"/>
      <c r="EU87" s="310"/>
      <c r="EV87" s="329"/>
      <c r="EW87" s="329"/>
      <c r="EX87" s="309"/>
      <c r="EY87" s="310"/>
      <c r="EZ87" s="329"/>
      <c r="FA87" s="329"/>
      <c r="FB87" s="309"/>
      <c r="FC87" s="310"/>
      <c r="FD87" s="329"/>
      <c r="FE87" s="329"/>
      <c r="FF87" s="309"/>
      <c r="FG87" s="310"/>
      <c r="FH87" s="329"/>
      <c r="FI87" s="329"/>
      <c r="FJ87" s="309"/>
      <c r="FK87" s="310"/>
      <c r="FL87" s="329"/>
      <c r="FM87" s="329"/>
      <c r="FN87" s="309"/>
      <c r="FO87" s="310"/>
      <c r="FP87" s="329"/>
      <c r="FQ87" s="329"/>
      <c r="FR87" s="309"/>
      <c r="FS87" s="310"/>
      <c r="FT87" s="329"/>
      <c r="FU87" s="329"/>
      <c r="FV87" s="309"/>
      <c r="FW87" s="310"/>
      <c r="FX87" s="329"/>
      <c r="FY87" s="329"/>
      <c r="FZ87" s="309"/>
      <c r="GA87" s="310"/>
      <c r="GB87" s="329"/>
      <c r="GC87" s="329"/>
      <c r="GD87" s="309"/>
      <c r="GE87" s="310"/>
      <c r="GF87" s="329"/>
      <c r="GG87" s="329"/>
      <c r="GH87" s="309"/>
      <c r="GI87" s="310"/>
      <c r="GJ87" s="329"/>
      <c r="GK87" s="329"/>
      <c r="GL87" s="309"/>
      <c r="GM87" s="310"/>
      <c r="GN87" s="329"/>
      <c r="GO87" s="329"/>
      <c r="GP87" s="309"/>
      <c r="GQ87" s="310"/>
      <c r="GR87" s="329"/>
      <c r="GS87" s="329"/>
      <c r="GT87" s="309"/>
      <c r="GU87" s="310"/>
      <c r="GV87" s="329"/>
      <c r="GW87" s="329"/>
      <c r="GX87" s="309"/>
      <c r="GY87" s="310"/>
      <c r="GZ87" s="329"/>
      <c r="HA87" s="329"/>
      <c r="HB87" s="309"/>
      <c r="HC87" s="312">
        <f t="shared" si="80"/>
        <v>0</v>
      </c>
      <c r="HD87" s="330"/>
      <c r="HE87" s="330"/>
      <c r="HF87" s="314"/>
      <c r="HG87" s="312">
        <f>SUM(SUMIFS(K87:HB87,$K$13:$HB$13,{"エネルギー管理指定工場等*","県域*"}))</f>
        <v>0</v>
      </c>
      <c r="HH87" s="330"/>
      <c r="HI87" s="330"/>
      <c r="HJ87" s="314"/>
      <c r="IE87" s="579"/>
      <c r="IF87" s="579"/>
      <c r="IG87" s="579"/>
      <c r="IH87" s="579"/>
    </row>
    <row r="88" spans="2:242" s="164" customFormat="1" ht="20.100000000000001" customHeight="1">
      <c r="B88" s="302"/>
      <c r="C88" s="319"/>
      <c r="D88" s="355"/>
      <c r="E88" s="356" t="s">
        <v>617</v>
      </c>
      <c r="F88" s="303" t="s">
        <v>610</v>
      </c>
      <c r="G88" s="306">
        <v>8.64</v>
      </c>
      <c r="H88" s="315"/>
      <c r="I88" s="308"/>
      <c r="J88" s="309"/>
      <c r="K88" s="310"/>
      <c r="L88" s="329"/>
      <c r="M88" s="329"/>
      <c r="N88" s="309"/>
      <c r="O88" s="310"/>
      <c r="P88" s="329"/>
      <c r="Q88" s="329"/>
      <c r="R88" s="309"/>
      <c r="S88" s="310"/>
      <c r="T88" s="329"/>
      <c r="U88" s="329"/>
      <c r="V88" s="309"/>
      <c r="W88" s="310"/>
      <c r="X88" s="329"/>
      <c r="Y88" s="329"/>
      <c r="Z88" s="309"/>
      <c r="AA88" s="310"/>
      <c r="AB88" s="329"/>
      <c r="AC88" s="329"/>
      <c r="AD88" s="309"/>
      <c r="AE88" s="310"/>
      <c r="AF88" s="329"/>
      <c r="AG88" s="329"/>
      <c r="AH88" s="309"/>
      <c r="AI88" s="310"/>
      <c r="AJ88" s="329"/>
      <c r="AK88" s="329"/>
      <c r="AL88" s="309"/>
      <c r="AM88" s="310"/>
      <c r="AN88" s="329"/>
      <c r="AO88" s="329"/>
      <c r="AP88" s="309"/>
      <c r="AQ88" s="310"/>
      <c r="AR88" s="329"/>
      <c r="AS88" s="329"/>
      <c r="AT88" s="309"/>
      <c r="AU88" s="310"/>
      <c r="AV88" s="329"/>
      <c r="AW88" s="329"/>
      <c r="AX88" s="309"/>
      <c r="AY88" s="310"/>
      <c r="AZ88" s="329"/>
      <c r="BA88" s="329"/>
      <c r="BB88" s="309"/>
      <c r="BC88" s="310"/>
      <c r="BD88" s="329"/>
      <c r="BE88" s="329"/>
      <c r="BF88" s="309"/>
      <c r="BG88" s="310"/>
      <c r="BH88" s="329"/>
      <c r="BI88" s="329"/>
      <c r="BJ88" s="309"/>
      <c r="BK88" s="310"/>
      <c r="BL88" s="329"/>
      <c r="BM88" s="329"/>
      <c r="BN88" s="309"/>
      <c r="BO88" s="310"/>
      <c r="BP88" s="329"/>
      <c r="BQ88" s="329"/>
      <c r="BR88" s="309"/>
      <c r="BS88" s="310"/>
      <c r="BT88" s="329"/>
      <c r="BU88" s="329"/>
      <c r="BV88" s="309"/>
      <c r="BW88" s="310"/>
      <c r="BX88" s="329"/>
      <c r="BY88" s="329"/>
      <c r="BZ88" s="309"/>
      <c r="CA88" s="310"/>
      <c r="CB88" s="329"/>
      <c r="CC88" s="329"/>
      <c r="CD88" s="309"/>
      <c r="CE88" s="310"/>
      <c r="CF88" s="329"/>
      <c r="CG88" s="329"/>
      <c r="CH88" s="309"/>
      <c r="CI88" s="310"/>
      <c r="CJ88" s="329"/>
      <c r="CK88" s="329"/>
      <c r="CL88" s="309"/>
      <c r="CM88" s="310"/>
      <c r="CN88" s="329"/>
      <c r="CO88" s="329"/>
      <c r="CP88" s="309"/>
      <c r="CQ88" s="310"/>
      <c r="CR88" s="329"/>
      <c r="CS88" s="329"/>
      <c r="CT88" s="309"/>
      <c r="CU88" s="310"/>
      <c r="CV88" s="329"/>
      <c r="CW88" s="329"/>
      <c r="CX88" s="309"/>
      <c r="CY88" s="310"/>
      <c r="CZ88" s="329"/>
      <c r="DA88" s="329"/>
      <c r="DB88" s="309"/>
      <c r="DC88" s="310"/>
      <c r="DD88" s="329"/>
      <c r="DE88" s="329"/>
      <c r="DF88" s="309"/>
      <c r="DG88" s="310"/>
      <c r="DH88" s="329"/>
      <c r="DI88" s="329"/>
      <c r="DJ88" s="309"/>
      <c r="DK88" s="310"/>
      <c r="DL88" s="329"/>
      <c r="DM88" s="329"/>
      <c r="DN88" s="309"/>
      <c r="DO88" s="310"/>
      <c r="DP88" s="329"/>
      <c r="DQ88" s="329"/>
      <c r="DR88" s="309"/>
      <c r="DS88" s="310"/>
      <c r="DT88" s="329"/>
      <c r="DU88" s="329"/>
      <c r="DV88" s="309"/>
      <c r="DW88" s="310"/>
      <c r="DX88" s="329"/>
      <c r="DY88" s="329"/>
      <c r="DZ88" s="309"/>
      <c r="EA88" s="310"/>
      <c r="EB88" s="329"/>
      <c r="EC88" s="329"/>
      <c r="ED88" s="309"/>
      <c r="EE88" s="310"/>
      <c r="EF88" s="329"/>
      <c r="EG88" s="329"/>
      <c r="EH88" s="309"/>
      <c r="EI88" s="310"/>
      <c r="EJ88" s="329"/>
      <c r="EK88" s="329"/>
      <c r="EL88" s="309"/>
      <c r="EM88" s="310"/>
      <c r="EN88" s="329"/>
      <c r="EO88" s="329"/>
      <c r="EP88" s="309"/>
      <c r="EQ88" s="310"/>
      <c r="ER88" s="329"/>
      <c r="ES88" s="329"/>
      <c r="ET88" s="309"/>
      <c r="EU88" s="310"/>
      <c r="EV88" s="329"/>
      <c r="EW88" s="329"/>
      <c r="EX88" s="309"/>
      <c r="EY88" s="310"/>
      <c r="EZ88" s="329"/>
      <c r="FA88" s="329"/>
      <c r="FB88" s="309"/>
      <c r="FC88" s="310"/>
      <c r="FD88" s="329"/>
      <c r="FE88" s="329"/>
      <c r="FF88" s="309"/>
      <c r="FG88" s="310"/>
      <c r="FH88" s="329"/>
      <c r="FI88" s="329"/>
      <c r="FJ88" s="309"/>
      <c r="FK88" s="310"/>
      <c r="FL88" s="329"/>
      <c r="FM88" s="329"/>
      <c r="FN88" s="309"/>
      <c r="FO88" s="310"/>
      <c r="FP88" s="329"/>
      <c r="FQ88" s="329"/>
      <c r="FR88" s="309"/>
      <c r="FS88" s="310"/>
      <c r="FT88" s="329"/>
      <c r="FU88" s="329"/>
      <c r="FV88" s="309"/>
      <c r="FW88" s="310"/>
      <c r="FX88" s="329"/>
      <c r="FY88" s="329"/>
      <c r="FZ88" s="309"/>
      <c r="GA88" s="310"/>
      <c r="GB88" s="329"/>
      <c r="GC88" s="329"/>
      <c r="GD88" s="309"/>
      <c r="GE88" s="310"/>
      <c r="GF88" s="329"/>
      <c r="GG88" s="329"/>
      <c r="GH88" s="309"/>
      <c r="GI88" s="310"/>
      <c r="GJ88" s="329"/>
      <c r="GK88" s="329"/>
      <c r="GL88" s="309"/>
      <c r="GM88" s="310"/>
      <c r="GN88" s="329"/>
      <c r="GO88" s="329"/>
      <c r="GP88" s="309"/>
      <c r="GQ88" s="310"/>
      <c r="GR88" s="329"/>
      <c r="GS88" s="329"/>
      <c r="GT88" s="309"/>
      <c r="GU88" s="310"/>
      <c r="GV88" s="329"/>
      <c r="GW88" s="329"/>
      <c r="GX88" s="309"/>
      <c r="GY88" s="310"/>
      <c r="GZ88" s="329"/>
      <c r="HA88" s="329"/>
      <c r="HB88" s="309"/>
      <c r="HC88" s="312">
        <f t="shared" si="80"/>
        <v>0</v>
      </c>
      <c r="HD88" s="330"/>
      <c r="HE88" s="330"/>
      <c r="HF88" s="314"/>
      <c r="HG88" s="312">
        <f>SUM(SUMIFS(K88:HB88,$K$13:$HB$13,{"エネルギー管理指定工場等*","県域*"}))</f>
        <v>0</v>
      </c>
      <c r="HH88" s="330"/>
      <c r="HI88" s="330"/>
      <c r="HJ88" s="314"/>
      <c r="IE88" s="579"/>
      <c r="IF88" s="579"/>
      <c r="IG88" s="579"/>
      <c r="IH88" s="579"/>
    </row>
    <row r="89" spans="2:242" s="164" customFormat="1" ht="20.100000000000001" customHeight="1">
      <c r="B89" s="302"/>
      <c r="C89" s="319"/>
      <c r="D89" s="328" t="s">
        <v>618</v>
      </c>
      <c r="E89" s="335"/>
      <c r="F89" s="303" t="s">
        <v>610</v>
      </c>
      <c r="G89" s="310"/>
      <c r="H89" s="315"/>
      <c r="I89" s="310"/>
      <c r="J89" s="315"/>
      <c r="K89" s="310"/>
      <c r="L89" s="329"/>
      <c r="M89" s="329"/>
      <c r="N89" s="309"/>
      <c r="O89" s="310"/>
      <c r="P89" s="329"/>
      <c r="Q89" s="329"/>
      <c r="R89" s="309"/>
      <c r="S89" s="310"/>
      <c r="T89" s="329"/>
      <c r="U89" s="329"/>
      <c r="V89" s="309"/>
      <c r="W89" s="310"/>
      <c r="X89" s="329"/>
      <c r="Y89" s="329"/>
      <c r="Z89" s="309"/>
      <c r="AA89" s="310"/>
      <c r="AB89" s="329"/>
      <c r="AC89" s="329"/>
      <c r="AD89" s="309"/>
      <c r="AE89" s="310"/>
      <c r="AF89" s="329"/>
      <c r="AG89" s="329"/>
      <c r="AH89" s="309"/>
      <c r="AI89" s="310"/>
      <c r="AJ89" s="329"/>
      <c r="AK89" s="329"/>
      <c r="AL89" s="309"/>
      <c r="AM89" s="310"/>
      <c r="AN89" s="329"/>
      <c r="AO89" s="329"/>
      <c r="AP89" s="309"/>
      <c r="AQ89" s="310"/>
      <c r="AR89" s="329"/>
      <c r="AS89" s="329"/>
      <c r="AT89" s="309"/>
      <c r="AU89" s="310"/>
      <c r="AV89" s="329"/>
      <c r="AW89" s="329"/>
      <c r="AX89" s="309"/>
      <c r="AY89" s="310"/>
      <c r="AZ89" s="329"/>
      <c r="BA89" s="329"/>
      <c r="BB89" s="309"/>
      <c r="BC89" s="310"/>
      <c r="BD89" s="329"/>
      <c r="BE89" s="329"/>
      <c r="BF89" s="309"/>
      <c r="BG89" s="310"/>
      <c r="BH89" s="329"/>
      <c r="BI89" s="329"/>
      <c r="BJ89" s="309"/>
      <c r="BK89" s="310"/>
      <c r="BL89" s="329"/>
      <c r="BM89" s="329"/>
      <c r="BN89" s="309"/>
      <c r="BO89" s="310"/>
      <c r="BP89" s="329"/>
      <c r="BQ89" s="329"/>
      <c r="BR89" s="309"/>
      <c r="BS89" s="310"/>
      <c r="BT89" s="329"/>
      <c r="BU89" s="329"/>
      <c r="BV89" s="309"/>
      <c r="BW89" s="310"/>
      <c r="BX89" s="329"/>
      <c r="BY89" s="329"/>
      <c r="BZ89" s="309"/>
      <c r="CA89" s="310"/>
      <c r="CB89" s="329"/>
      <c r="CC89" s="329"/>
      <c r="CD89" s="309"/>
      <c r="CE89" s="310"/>
      <c r="CF89" s="329"/>
      <c r="CG89" s="329"/>
      <c r="CH89" s="309"/>
      <c r="CI89" s="310"/>
      <c r="CJ89" s="329"/>
      <c r="CK89" s="329"/>
      <c r="CL89" s="309"/>
      <c r="CM89" s="310"/>
      <c r="CN89" s="329"/>
      <c r="CO89" s="329"/>
      <c r="CP89" s="309"/>
      <c r="CQ89" s="310"/>
      <c r="CR89" s="329"/>
      <c r="CS89" s="329"/>
      <c r="CT89" s="309"/>
      <c r="CU89" s="310"/>
      <c r="CV89" s="329"/>
      <c r="CW89" s="329"/>
      <c r="CX89" s="309"/>
      <c r="CY89" s="310"/>
      <c r="CZ89" s="329"/>
      <c r="DA89" s="329"/>
      <c r="DB89" s="309"/>
      <c r="DC89" s="310"/>
      <c r="DD89" s="329"/>
      <c r="DE89" s="329"/>
      <c r="DF89" s="309"/>
      <c r="DG89" s="310"/>
      <c r="DH89" s="329"/>
      <c r="DI89" s="329"/>
      <c r="DJ89" s="309"/>
      <c r="DK89" s="310"/>
      <c r="DL89" s="329"/>
      <c r="DM89" s="329"/>
      <c r="DN89" s="309"/>
      <c r="DO89" s="310"/>
      <c r="DP89" s="329"/>
      <c r="DQ89" s="329"/>
      <c r="DR89" s="309"/>
      <c r="DS89" s="310"/>
      <c r="DT89" s="329"/>
      <c r="DU89" s="329"/>
      <c r="DV89" s="309"/>
      <c r="DW89" s="310"/>
      <c r="DX89" s="329"/>
      <c r="DY89" s="329"/>
      <c r="DZ89" s="309"/>
      <c r="EA89" s="310"/>
      <c r="EB89" s="329"/>
      <c r="EC89" s="329"/>
      <c r="ED89" s="309"/>
      <c r="EE89" s="310"/>
      <c r="EF89" s="329"/>
      <c r="EG89" s="329"/>
      <c r="EH89" s="309"/>
      <c r="EI89" s="310"/>
      <c r="EJ89" s="329"/>
      <c r="EK89" s="329"/>
      <c r="EL89" s="309"/>
      <c r="EM89" s="310"/>
      <c r="EN89" s="329"/>
      <c r="EO89" s="329"/>
      <c r="EP89" s="309"/>
      <c r="EQ89" s="310"/>
      <c r="ER89" s="329"/>
      <c r="ES89" s="329"/>
      <c r="ET89" s="309"/>
      <c r="EU89" s="310"/>
      <c r="EV89" s="329"/>
      <c r="EW89" s="329"/>
      <c r="EX89" s="309"/>
      <c r="EY89" s="310"/>
      <c r="EZ89" s="329"/>
      <c r="FA89" s="329"/>
      <c r="FB89" s="309"/>
      <c r="FC89" s="310"/>
      <c r="FD89" s="329"/>
      <c r="FE89" s="329"/>
      <c r="FF89" s="309"/>
      <c r="FG89" s="310"/>
      <c r="FH89" s="329"/>
      <c r="FI89" s="329"/>
      <c r="FJ89" s="309"/>
      <c r="FK89" s="310"/>
      <c r="FL89" s="329"/>
      <c r="FM89" s="329"/>
      <c r="FN89" s="309"/>
      <c r="FO89" s="310"/>
      <c r="FP89" s="329"/>
      <c r="FQ89" s="329"/>
      <c r="FR89" s="309"/>
      <c r="FS89" s="310"/>
      <c r="FT89" s="329"/>
      <c r="FU89" s="329"/>
      <c r="FV89" s="309"/>
      <c r="FW89" s="310"/>
      <c r="FX89" s="329"/>
      <c r="FY89" s="329"/>
      <c r="FZ89" s="309"/>
      <c r="GA89" s="310"/>
      <c r="GB89" s="329"/>
      <c r="GC89" s="329"/>
      <c r="GD89" s="309"/>
      <c r="GE89" s="310"/>
      <c r="GF89" s="329"/>
      <c r="GG89" s="329"/>
      <c r="GH89" s="309"/>
      <c r="GI89" s="310"/>
      <c r="GJ89" s="329"/>
      <c r="GK89" s="329"/>
      <c r="GL89" s="309"/>
      <c r="GM89" s="310"/>
      <c r="GN89" s="329"/>
      <c r="GO89" s="329"/>
      <c r="GP89" s="309"/>
      <c r="GQ89" s="310"/>
      <c r="GR89" s="329"/>
      <c r="GS89" s="329"/>
      <c r="GT89" s="309"/>
      <c r="GU89" s="310"/>
      <c r="GV89" s="329"/>
      <c r="GW89" s="329"/>
      <c r="GX89" s="309"/>
      <c r="GY89" s="310"/>
      <c r="GZ89" s="329"/>
      <c r="HA89" s="329"/>
      <c r="HB89" s="309"/>
      <c r="HC89" s="312">
        <f t="shared" si="80"/>
        <v>0</v>
      </c>
      <c r="HD89" s="330"/>
      <c r="HE89" s="330"/>
      <c r="HF89" s="314"/>
      <c r="HG89" s="312">
        <f>SUM(SUMIFS(K89:HB89,$K$13:$HB$13,{"エネルギー管理指定工場等*","県域*"}))</f>
        <v>0</v>
      </c>
      <c r="HH89" s="330"/>
      <c r="HI89" s="330"/>
      <c r="HJ89" s="314"/>
      <c r="IE89" s="579"/>
      <c r="IF89" s="579"/>
      <c r="IG89" s="579"/>
      <c r="IH89" s="579"/>
    </row>
    <row r="90" spans="2:242" s="164" customFormat="1" ht="20.100000000000001" customHeight="1">
      <c r="B90" s="302"/>
      <c r="C90" s="319"/>
      <c r="D90" s="355"/>
      <c r="E90" s="333" t="s">
        <v>616</v>
      </c>
      <c r="F90" s="303" t="s">
        <v>610</v>
      </c>
      <c r="G90" s="310"/>
      <c r="H90" s="315"/>
      <c r="I90" s="308"/>
      <c r="J90" s="309"/>
      <c r="K90" s="310"/>
      <c r="L90" s="329"/>
      <c r="M90" s="329"/>
      <c r="N90" s="309"/>
      <c r="O90" s="310"/>
      <c r="P90" s="329"/>
      <c r="Q90" s="329"/>
      <c r="R90" s="309"/>
      <c r="S90" s="310"/>
      <c r="T90" s="329"/>
      <c r="U90" s="329"/>
      <c r="V90" s="309"/>
      <c r="W90" s="310"/>
      <c r="X90" s="329"/>
      <c r="Y90" s="329"/>
      <c r="Z90" s="309"/>
      <c r="AA90" s="310"/>
      <c r="AB90" s="329"/>
      <c r="AC90" s="329"/>
      <c r="AD90" s="309"/>
      <c r="AE90" s="310"/>
      <c r="AF90" s="329"/>
      <c r="AG90" s="329"/>
      <c r="AH90" s="309"/>
      <c r="AI90" s="310"/>
      <c r="AJ90" s="329"/>
      <c r="AK90" s="329"/>
      <c r="AL90" s="309"/>
      <c r="AM90" s="310"/>
      <c r="AN90" s="329"/>
      <c r="AO90" s="329"/>
      <c r="AP90" s="309"/>
      <c r="AQ90" s="310"/>
      <c r="AR90" s="329"/>
      <c r="AS90" s="329"/>
      <c r="AT90" s="309"/>
      <c r="AU90" s="310"/>
      <c r="AV90" s="329"/>
      <c r="AW90" s="329"/>
      <c r="AX90" s="309"/>
      <c r="AY90" s="310"/>
      <c r="AZ90" s="329"/>
      <c r="BA90" s="329"/>
      <c r="BB90" s="309"/>
      <c r="BC90" s="310"/>
      <c r="BD90" s="329"/>
      <c r="BE90" s="329"/>
      <c r="BF90" s="309"/>
      <c r="BG90" s="310"/>
      <c r="BH90" s="329"/>
      <c r="BI90" s="329"/>
      <c r="BJ90" s="309"/>
      <c r="BK90" s="310"/>
      <c r="BL90" s="329"/>
      <c r="BM90" s="329"/>
      <c r="BN90" s="309"/>
      <c r="BO90" s="310"/>
      <c r="BP90" s="329"/>
      <c r="BQ90" s="329"/>
      <c r="BR90" s="309"/>
      <c r="BS90" s="310"/>
      <c r="BT90" s="329"/>
      <c r="BU90" s="329"/>
      <c r="BV90" s="309"/>
      <c r="BW90" s="310"/>
      <c r="BX90" s="329"/>
      <c r="BY90" s="329"/>
      <c r="BZ90" s="309"/>
      <c r="CA90" s="310"/>
      <c r="CB90" s="329"/>
      <c r="CC90" s="329"/>
      <c r="CD90" s="309"/>
      <c r="CE90" s="310"/>
      <c r="CF90" s="329"/>
      <c r="CG90" s="329"/>
      <c r="CH90" s="309"/>
      <c r="CI90" s="310"/>
      <c r="CJ90" s="329"/>
      <c r="CK90" s="329"/>
      <c r="CL90" s="309"/>
      <c r="CM90" s="310"/>
      <c r="CN90" s="329"/>
      <c r="CO90" s="329"/>
      <c r="CP90" s="309"/>
      <c r="CQ90" s="310"/>
      <c r="CR90" s="329"/>
      <c r="CS90" s="329"/>
      <c r="CT90" s="309"/>
      <c r="CU90" s="310"/>
      <c r="CV90" s="329"/>
      <c r="CW90" s="329"/>
      <c r="CX90" s="309"/>
      <c r="CY90" s="310"/>
      <c r="CZ90" s="329"/>
      <c r="DA90" s="329"/>
      <c r="DB90" s="309"/>
      <c r="DC90" s="310"/>
      <c r="DD90" s="329"/>
      <c r="DE90" s="329"/>
      <c r="DF90" s="309"/>
      <c r="DG90" s="310"/>
      <c r="DH90" s="329"/>
      <c r="DI90" s="329"/>
      <c r="DJ90" s="309"/>
      <c r="DK90" s="310"/>
      <c r="DL90" s="329"/>
      <c r="DM90" s="329"/>
      <c r="DN90" s="309"/>
      <c r="DO90" s="310"/>
      <c r="DP90" s="329"/>
      <c r="DQ90" s="329"/>
      <c r="DR90" s="309"/>
      <c r="DS90" s="310"/>
      <c r="DT90" s="329"/>
      <c r="DU90" s="329"/>
      <c r="DV90" s="309"/>
      <c r="DW90" s="310"/>
      <c r="DX90" s="329"/>
      <c r="DY90" s="329"/>
      <c r="DZ90" s="309"/>
      <c r="EA90" s="310"/>
      <c r="EB90" s="329"/>
      <c r="EC90" s="329"/>
      <c r="ED90" s="309"/>
      <c r="EE90" s="310"/>
      <c r="EF90" s="329"/>
      <c r="EG90" s="329"/>
      <c r="EH90" s="309"/>
      <c r="EI90" s="310"/>
      <c r="EJ90" s="329"/>
      <c r="EK90" s="329"/>
      <c r="EL90" s="309"/>
      <c r="EM90" s="310"/>
      <c r="EN90" s="329"/>
      <c r="EO90" s="329"/>
      <c r="EP90" s="309"/>
      <c r="EQ90" s="310"/>
      <c r="ER90" s="329"/>
      <c r="ES90" s="329"/>
      <c r="ET90" s="309"/>
      <c r="EU90" s="310"/>
      <c r="EV90" s="329"/>
      <c r="EW90" s="329"/>
      <c r="EX90" s="309"/>
      <c r="EY90" s="310"/>
      <c r="EZ90" s="329"/>
      <c r="FA90" s="329"/>
      <c r="FB90" s="309"/>
      <c r="FC90" s="310"/>
      <c r="FD90" s="329"/>
      <c r="FE90" s="329"/>
      <c r="FF90" s="309"/>
      <c r="FG90" s="310"/>
      <c r="FH90" s="329"/>
      <c r="FI90" s="329"/>
      <c r="FJ90" s="309"/>
      <c r="FK90" s="310"/>
      <c r="FL90" s="329"/>
      <c r="FM90" s="329"/>
      <c r="FN90" s="309"/>
      <c r="FO90" s="310"/>
      <c r="FP90" s="329"/>
      <c r="FQ90" s="329"/>
      <c r="FR90" s="309"/>
      <c r="FS90" s="310"/>
      <c r="FT90" s="329"/>
      <c r="FU90" s="329"/>
      <c r="FV90" s="309"/>
      <c r="FW90" s="310"/>
      <c r="FX90" s="329"/>
      <c r="FY90" s="329"/>
      <c r="FZ90" s="309"/>
      <c r="GA90" s="310"/>
      <c r="GB90" s="329"/>
      <c r="GC90" s="329"/>
      <c r="GD90" s="309"/>
      <c r="GE90" s="310"/>
      <c r="GF90" s="329"/>
      <c r="GG90" s="329"/>
      <c r="GH90" s="309"/>
      <c r="GI90" s="310"/>
      <c r="GJ90" s="329"/>
      <c r="GK90" s="329"/>
      <c r="GL90" s="309"/>
      <c r="GM90" s="310"/>
      <c r="GN90" s="329"/>
      <c r="GO90" s="329"/>
      <c r="GP90" s="309"/>
      <c r="GQ90" s="310"/>
      <c r="GR90" s="329"/>
      <c r="GS90" s="329"/>
      <c r="GT90" s="309"/>
      <c r="GU90" s="310"/>
      <c r="GV90" s="329"/>
      <c r="GW90" s="329"/>
      <c r="GX90" s="309"/>
      <c r="GY90" s="310"/>
      <c r="GZ90" s="329"/>
      <c r="HA90" s="329"/>
      <c r="HB90" s="309"/>
      <c r="HC90" s="312">
        <f t="shared" si="80"/>
        <v>0</v>
      </c>
      <c r="HD90" s="330"/>
      <c r="HE90" s="330"/>
      <c r="HF90" s="314"/>
      <c r="HG90" s="312">
        <f>SUM(SUMIFS(K90:HB90,$K$13:$HB$13,{"エネルギー管理指定工場等*","県域*"}))</f>
        <v>0</v>
      </c>
      <c r="HH90" s="330"/>
      <c r="HI90" s="330"/>
      <c r="HJ90" s="314"/>
      <c r="IE90" s="579"/>
      <c r="IF90" s="579"/>
      <c r="IG90" s="579"/>
      <c r="IH90" s="579"/>
    </row>
    <row r="91" spans="2:242" s="164" customFormat="1" ht="20.100000000000001" customHeight="1">
      <c r="B91" s="302"/>
      <c r="C91" s="319"/>
      <c r="D91" s="355"/>
      <c r="E91" s="333" t="s">
        <v>617</v>
      </c>
      <c r="F91" s="303" t="s">
        <v>610</v>
      </c>
      <c r="G91" s="310"/>
      <c r="H91" s="315"/>
      <c r="I91" s="308"/>
      <c r="J91" s="309"/>
      <c r="K91" s="310"/>
      <c r="L91" s="329"/>
      <c r="M91" s="329"/>
      <c r="N91" s="309"/>
      <c r="O91" s="310"/>
      <c r="P91" s="329"/>
      <c r="Q91" s="329"/>
      <c r="R91" s="309"/>
      <c r="S91" s="310"/>
      <c r="T91" s="329"/>
      <c r="U91" s="329"/>
      <c r="V91" s="309"/>
      <c r="W91" s="310"/>
      <c r="X91" s="329"/>
      <c r="Y91" s="329"/>
      <c r="Z91" s="309"/>
      <c r="AA91" s="310"/>
      <c r="AB91" s="329"/>
      <c r="AC91" s="329"/>
      <c r="AD91" s="309"/>
      <c r="AE91" s="310"/>
      <c r="AF91" s="329"/>
      <c r="AG91" s="329"/>
      <c r="AH91" s="309"/>
      <c r="AI91" s="310"/>
      <c r="AJ91" s="329"/>
      <c r="AK91" s="329"/>
      <c r="AL91" s="309"/>
      <c r="AM91" s="310"/>
      <c r="AN91" s="329"/>
      <c r="AO91" s="329"/>
      <c r="AP91" s="309"/>
      <c r="AQ91" s="310"/>
      <c r="AR91" s="329"/>
      <c r="AS91" s="329"/>
      <c r="AT91" s="309"/>
      <c r="AU91" s="310"/>
      <c r="AV91" s="329"/>
      <c r="AW91" s="329"/>
      <c r="AX91" s="309"/>
      <c r="AY91" s="310"/>
      <c r="AZ91" s="329"/>
      <c r="BA91" s="329"/>
      <c r="BB91" s="309"/>
      <c r="BC91" s="310"/>
      <c r="BD91" s="329"/>
      <c r="BE91" s="329"/>
      <c r="BF91" s="309"/>
      <c r="BG91" s="310"/>
      <c r="BH91" s="329"/>
      <c r="BI91" s="329"/>
      <c r="BJ91" s="309"/>
      <c r="BK91" s="310"/>
      <c r="BL91" s="329"/>
      <c r="BM91" s="329"/>
      <c r="BN91" s="309"/>
      <c r="BO91" s="310"/>
      <c r="BP91" s="329"/>
      <c r="BQ91" s="329"/>
      <c r="BR91" s="309"/>
      <c r="BS91" s="310"/>
      <c r="BT91" s="329"/>
      <c r="BU91" s="329"/>
      <c r="BV91" s="309"/>
      <c r="BW91" s="310"/>
      <c r="BX91" s="329"/>
      <c r="BY91" s="329"/>
      <c r="BZ91" s="309"/>
      <c r="CA91" s="310"/>
      <c r="CB91" s="329"/>
      <c r="CC91" s="329"/>
      <c r="CD91" s="309"/>
      <c r="CE91" s="310"/>
      <c r="CF91" s="329"/>
      <c r="CG91" s="329"/>
      <c r="CH91" s="309"/>
      <c r="CI91" s="310"/>
      <c r="CJ91" s="329"/>
      <c r="CK91" s="329"/>
      <c r="CL91" s="309"/>
      <c r="CM91" s="310"/>
      <c r="CN91" s="329"/>
      <c r="CO91" s="329"/>
      <c r="CP91" s="309"/>
      <c r="CQ91" s="310"/>
      <c r="CR91" s="329"/>
      <c r="CS91" s="329"/>
      <c r="CT91" s="309"/>
      <c r="CU91" s="310"/>
      <c r="CV91" s="329"/>
      <c r="CW91" s="329"/>
      <c r="CX91" s="309"/>
      <c r="CY91" s="310"/>
      <c r="CZ91" s="329"/>
      <c r="DA91" s="329"/>
      <c r="DB91" s="309"/>
      <c r="DC91" s="310"/>
      <c r="DD91" s="329"/>
      <c r="DE91" s="329"/>
      <c r="DF91" s="309"/>
      <c r="DG91" s="310"/>
      <c r="DH91" s="329"/>
      <c r="DI91" s="329"/>
      <c r="DJ91" s="309"/>
      <c r="DK91" s="310"/>
      <c r="DL91" s="329"/>
      <c r="DM91" s="329"/>
      <c r="DN91" s="309"/>
      <c r="DO91" s="310"/>
      <c r="DP91" s="329"/>
      <c r="DQ91" s="329"/>
      <c r="DR91" s="309"/>
      <c r="DS91" s="310"/>
      <c r="DT91" s="329"/>
      <c r="DU91" s="329"/>
      <c r="DV91" s="309"/>
      <c r="DW91" s="310"/>
      <c r="DX91" s="329"/>
      <c r="DY91" s="329"/>
      <c r="DZ91" s="309"/>
      <c r="EA91" s="310"/>
      <c r="EB91" s="329"/>
      <c r="EC91" s="329"/>
      <c r="ED91" s="309"/>
      <c r="EE91" s="310"/>
      <c r="EF91" s="329"/>
      <c r="EG91" s="329"/>
      <c r="EH91" s="309"/>
      <c r="EI91" s="310"/>
      <c r="EJ91" s="329"/>
      <c r="EK91" s="329"/>
      <c r="EL91" s="309"/>
      <c r="EM91" s="310"/>
      <c r="EN91" s="329"/>
      <c r="EO91" s="329"/>
      <c r="EP91" s="309"/>
      <c r="EQ91" s="310"/>
      <c r="ER91" s="329"/>
      <c r="ES91" s="329"/>
      <c r="ET91" s="309"/>
      <c r="EU91" s="310"/>
      <c r="EV91" s="329"/>
      <c r="EW91" s="329"/>
      <c r="EX91" s="309"/>
      <c r="EY91" s="310"/>
      <c r="EZ91" s="329"/>
      <c r="FA91" s="329"/>
      <c r="FB91" s="309"/>
      <c r="FC91" s="310"/>
      <c r="FD91" s="329"/>
      <c r="FE91" s="329"/>
      <c r="FF91" s="309"/>
      <c r="FG91" s="310"/>
      <c r="FH91" s="329"/>
      <c r="FI91" s="329"/>
      <c r="FJ91" s="309"/>
      <c r="FK91" s="310"/>
      <c r="FL91" s="329"/>
      <c r="FM91" s="329"/>
      <c r="FN91" s="309"/>
      <c r="FO91" s="310"/>
      <c r="FP91" s="329"/>
      <c r="FQ91" s="329"/>
      <c r="FR91" s="309"/>
      <c r="FS91" s="310"/>
      <c r="FT91" s="329"/>
      <c r="FU91" s="329"/>
      <c r="FV91" s="309"/>
      <c r="FW91" s="310"/>
      <c r="FX91" s="329"/>
      <c r="FY91" s="329"/>
      <c r="FZ91" s="309"/>
      <c r="GA91" s="310"/>
      <c r="GB91" s="329"/>
      <c r="GC91" s="329"/>
      <c r="GD91" s="309"/>
      <c r="GE91" s="310"/>
      <c r="GF91" s="329"/>
      <c r="GG91" s="329"/>
      <c r="GH91" s="309"/>
      <c r="GI91" s="310"/>
      <c r="GJ91" s="329"/>
      <c r="GK91" s="329"/>
      <c r="GL91" s="309"/>
      <c r="GM91" s="310"/>
      <c r="GN91" s="329"/>
      <c r="GO91" s="329"/>
      <c r="GP91" s="309"/>
      <c r="GQ91" s="310"/>
      <c r="GR91" s="329"/>
      <c r="GS91" s="329"/>
      <c r="GT91" s="309"/>
      <c r="GU91" s="310"/>
      <c r="GV91" s="329"/>
      <c r="GW91" s="329"/>
      <c r="GX91" s="309"/>
      <c r="GY91" s="310"/>
      <c r="GZ91" s="329"/>
      <c r="HA91" s="329"/>
      <c r="HB91" s="309"/>
      <c r="HC91" s="312">
        <f t="shared" si="80"/>
        <v>0</v>
      </c>
      <c r="HD91" s="330"/>
      <c r="HE91" s="330"/>
      <c r="HF91" s="314"/>
      <c r="HG91" s="312">
        <f>SUM(SUMIFS(K91:HB91,$K$13:$HB$13,{"エネルギー管理指定工場等*","県域*"}))</f>
        <v>0</v>
      </c>
      <c r="HH91" s="330"/>
      <c r="HI91" s="330"/>
      <c r="HJ91" s="314"/>
      <c r="IE91" s="579"/>
      <c r="IF91" s="579"/>
      <c r="IG91" s="579"/>
      <c r="IH91" s="579"/>
    </row>
    <row r="92" spans="2:242" s="164" customFormat="1" ht="20.100000000000001" customHeight="1">
      <c r="B92" s="302"/>
      <c r="C92" s="317" t="s">
        <v>619</v>
      </c>
      <c r="D92" s="328" t="s">
        <v>620</v>
      </c>
      <c r="E92" s="357"/>
      <c r="F92" s="303" t="s">
        <v>610</v>
      </c>
      <c r="G92" s="306">
        <v>3.6</v>
      </c>
      <c r="H92" s="309"/>
      <c r="I92" s="310"/>
      <c r="J92" s="315"/>
      <c r="K92" s="310"/>
      <c r="L92" s="329"/>
      <c r="M92" s="311"/>
      <c r="N92" s="309"/>
      <c r="O92" s="310"/>
      <c r="P92" s="329"/>
      <c r="Q92" s="311"/>
      <c r="R92" s="309"/>
      <c r="S92" s="310"/>
      <c r="T92" s="329"/>
      <c r="U92" s="311"/>
      <c r="V92" s="309"/>
      <c r="W92" s="310"/>
      <c r="X92" s="329"/>
      <c r="Y92" s="311"/>
      <c r="Z92" s="309"/>
      <c r="AA92" s="310"/>
      <c r="AB92" s="329"/>
      <c r="AC92" s="311"/>
      <c r="AD92" s="309"/>
      <c r="AE92" s="310"/>
      <c r="AF92" s="329"/>
      <c r="AG92" s="311"/>
      <c r="AH92" s="309"/>
      <c r="AI92" s="310"/>
      <c r="AJ92" s="329"/>
      <c r="AK92" s="311"/>
      <c r="AL92" s="309"/>
      <c r="AM92" s="310"/>
      <c r="AN92" s="329"/>
      <c r="AO92" s="311"/>
      <c r="AP92" s="309"/>
      <c r="AQ92" s="310"/>
      <c r="AR92" s="329"/>
      <c r="AS92" s="311"/>
      <c r="AT92" s="309"/>
      <c r="AU92" s="310"/>
      <c r="AV92" s="329"/>
      <c r="AW92" s="311"/>
      <c r="AX92" s="309"/>
      <c r="AY92" s="310"/>
      <c r="AZ92" s="329"/>
      <c r="BA92" s="311"/>
      <c r="BB92" s="309"/>
      <c r="BC92" s="310"/>
      <c r="BD92" s="329"/>
      <c r="BE92" s="311"/>
      <c r="BF92" s="309"/>
      <c r="BG92" s="310"/>
      <c r="BH92" s="329"/>
      <c r="BI92" s="311"/>
      <c r="BJ92" s="309"/>
      <c r="BK92" s="310"/>
      <c r="BL92" s="329"/>
      <c r="BM92" s="311"/>
      <c r="BN92" s="309"/>
      <c r="BO92" s="310"/>
      <c r="BP92" s="329"/>
      <c r="BQ92" s="311"/>
      <c r="BR92" s="309"/>
      <c r="BS92" s="310"/>
      <c r="BT92" s="329"/>
      <c r="BU92" s="311"/>
      <c r="BV92" s="309"/>
      <c r="BW92" s="310"/>
      <c r="BX92" s="329"/>
      <c r="BY92" s="311"/>
      <c r="BZ92" s="309"/>
      <c r="CA92" s="310"/>
      <c r="CB92" s="329"/>
      <c r="CC92" s="311"/>
      <c r="CD92" s="309"/>
      <c r="CE92" s="310"/>
      <c r="CF92" s="329"/>
      <c r="CG92" s="311"/>
      <c r="CH92" s="309"/>
      <c r="CI92" s="310"/>
      <c r="CJ92" s="329"/>
      <c r="CK92" s="311"/>
      <c r="CL92" s="309"/>
      <c r="CM92" s="310"/>
      <c r="CN92" s="329"/>
      <c r="CO92" s="311"/>
      <c r="CP92" s="309"/>
      <c r="CQ92" s="310"/>
      <c r="CR92" s="329"/>
      <c r="CS92" s="311"/>
      <c r="CT92" s="309"/>
      <c r="CU92" s="310"/>
      <c r="CV92" s="329"/>
      <c r="CW92" s="311"/>
      <c r="CX92" s="309"/>
      <c r="CY92" s="310"/>
      <c r="CZ92" s="329"/>
      <c r="DA92" s="311"/>
      <c r="DB92" s="309"/>
      <c r="DC92" s="310"/>
      <c r="DD92" s="329"/>
      <c r="DE92" s="311"/>
      <c r="DF92" s="309"/>
      <c r="DG92" s="310"/>
      <c r="DH92" s="329"/>
      <c r="DI92" s="311"/>
      <c r="DJ92" s="309"/>
      <c r="DK92" s="310"/>
      <c r="DL92" s="329"/>
      <c r="DM92" s="311"/>
      <c r="DN92" s="309"/>
      <c r="DO92" s="310"/>
      <c r="DP92" s="329"/>
      <c r="DQ92" s="311"/>
      <c r="DR92" s="309"/>
      <c r="DS92" s="310"/>
      <c r="DT92" s="329"/>
      <c r="DU92" s="311"/>
      <c r="DV92" s="309"/>
      <c r="DW92" s="310"/>
      <c r="DX92" s="329"/>
      <c r="DY92" s="311"/>
      <c r="DZ92" s="309"/>
      <c r="EA92" s="310"/>
      <c r="EB92" s="329"/>
      <c r="EC92" s="311"/>
      <c r="ED92" s="309"/>
      <c r="EE92" s="310"/>
      <c r="EF92" s="329"/>
      <c r="EG92" s="311"/>
      <c r="EH92" s="309"/>
      <c r="EI92" s="310"/>
      <c r="EJ92" s="329"/>
      <c r="EK92" s="311"/>
      <c r="EL92" s="309"/>
      <c r="EM92" s="310"/>
      <c r="EN92" s="329"/>
      <c r="EO92" s="311"/>
      <c r="EP92" s="309"/>
      <c r="EQ92" s="310"/>
      <c r="ER92" s="329"/>
      <c r="ES92" s="311"/>
      <c r="ET92" s="309"/>
      <c r="EU92" s="310"/>
      <c r="EV92" s="329"/>
      <c r="EW92" s="311"/>
      <c r="EX92" s="309"/>
      <c r="EY92" s="310"/>
      <c r="EZ92" s="329"/>
      <c r="FA92" s="311"/>
      <c r="FB92" s="309"/>
      <c r="FC92" s="310"/>
      <c r="FD92" s="329"/>
      <c r="FE92" s="311"/>
      <c r="FF92" s="309"/>
      <c r="FG92" s="310"/>
      <c r="FH92" s="329"/>
      <c r="FI92" s="311"/>
      <c r="FJ92" s="309"/>
      <c r="FK92" s="310"/>
      <c r="FL92" s="329"/>
      <c r="FM92" s="311"/>
      <c r="FN92" s="309"/>
      <c r="FO92" s="310"/>
      <c r="FP92" s="329"/>
      <c r="FQ92" s="311"/>
      <c r="FR92" s="309"/>
      <c r="FS92" s="310"/>
      <c r="FT92" s="329"/>
      <c r="FU92" s="311"/>
      <c r="FV92" s="309"/>
      <c r="FW92" s="310"/>
      <c r="FX92" s="329"/>
      <c r="FY92" s="311"/>
      <c r="FZ92" s="309"/>
      <c r="GA92" s="310"/>
      <c r="GB92" s="329"/>
      <c r="GC92" s="311"/>
      <c r="GD92" s="309"/>
      <c r="GE92" s="310"/>
      <c r="GF92" s="329"/>
      <c r="GG92" s="311"/>
      <c r="GH92" s="309"/>
      <c r="GI92" s="310"/>
      <c r="GJ92" s="329"/>
      <c r="GK92" s="311"/>
      <c r="GL92" s="309"/>
      <c r="GM92" s="310"/>
      <c r="GN92" s="329"/>
      <c r="GO92" s="311"/>
      <c r="GP92" s="309"/>
      <c r="GQ92" s="310"/>
      <c r="GR92" s="329"/>
      <c r="GS92" s="311"/>
      <c r="GT92" s="309"/>
      <c r="GU92" s="310"/>
      <c r="GV92" s="329"/>
      <c r="GW92" s="311"/>
      <c r="GX92" s="309"/>
      <c r="GY92" s="310"/>
      <c r="GZ92" s="329"/>
      <c r="HA92" s="311"/>
      <c r="HB92" s="309"/>
      <c r="HC92" s="312">
        <f t="shared" si="80"/>
        <v>0</v>
      </c>
      <c r="HD92" s="330"/>
      <c r="HE92" s="313">
        <f t="shared" ref="HE92:HE107" si="81">M92+Q92+U92+Y92+AC92+AG92+AK92+AO92+AS92+AW92+BA92+BE92+BI92+BM92+BQ92+BU92+BY92+CC92+CG92+CK92+CO92+CS92+CW92+DA92+DE92+DI92+DM92+DQ92+DU92+DY92+EC92+EG92+EK92+EO92+ES92+EW92+FA92+FE92+FI92+FM92+FQ92+FU92+FY92+GC92+GG92+GK92+GO92+GS92+GW92+HA92</f>
        <v>0</v>
      </c>
      <c r="HF92" s="314"/>
      <c r="HG92" s="312">
        <f>SUM(SUMIFS(K92:HB92,$K$13:$HB$13,{"エネルギー管理指定工場等*","県域*"}))</f>
        <v>0</v>
      </c>
      <c r="HH92" s="330"/>
      <c r="HI92" s="313">
        <f>SUM(SUMIFS(M92:HD92,$K$13:$HB$13,{"エネルギー管理指定工場等*","県域*"}))</f>
        <v>0</v>
      </c>
      <c r="HJ92" s="314"/>
      <c r="IE92" s="579"/>
      <c r="IF92" s="579"/>
      <c r="IG92" s="579"/>
      <c r="IH92" s="579"/>
    </row>
    <row r="93" spans="2:242" s="164" customFormat="1" ht="20.100000000000001" customHeight="1">
      <c r="B93" s="302"/>
      <c r="C93" s="319"/>
      <c r="D93" s="346"/>
      <c r="E93" s="270"/>
      <c r="F93" s="303" t="s">
        <v>463</v>
      </c>
      <c r="G93" s="308"/>
      <c r="H93" s="309"/>
      <c r="I93" s="310"/>
      <c r="J93" s="315"/>
      <c r="K93" s="310"/>
      <c r="L93" s="329"/>
      <c r="M93" s="329"/>
      <c r="N93" s="309"/>
      <c r="O93" s="310"/>
      <c r="P93" s="329"/>
      <c r="Q93" s="329"/>
      <c r="R93" s="309"/>
      <c r="S93" s="310"/>
      <c r="T93" s="329"/>
      <c r="U93" s="329"/>
      <c r="V93" s="309"/>
      <c r="W93" s="310"/>
      <c r="X93" s="329"/>
      <c r="Y93" s="329"/>
      <c r="Z93" s="309"/>
      <c r="AA93" s="310"/>
      <c r="AB93" s="329"/>
      <c r="AC93" s="329"/>
      <c r="AD93" s="309"/>
      <c r="AE93" s="310"/>
      <c r="AF93" s="329"/>
      <c r="AG93" s="329"/>
      <c r="AH93" s="309"/>
      <c r="AI93" s="310"/>
      <c r="AJ93" s="329"/>
      <c r="AK93" s="329"/>
      <c r="AL93" s="309"/>
      <c r="AM93" s="310"/>
      <c r="AN93" s="329"/>
      <c r="AO93" s="329"/>
      <c r="AP93" s="309"/>
      <c r="AQ93" s="310"/>
      <c r="AR93" s="329"/>
      <c r="AS93" s="329"/>
      <c r="AT93" s="309"/>
      <c r="AU93" s="310"/>
      <c r="AV93" s="329"/>
      <c r="AW93" s="329"/>
      <c r="AX93" s="309"/>
      <c r="AY93" s="310"/>
      <c r="AZ93" s="329"/>
      <c r="BA93" s="329"/>
      <c r="BB93" s="309"/>
      <c r="BC93" s="310"/>
      <c r="BD93" s="329"/>
      <c r="BE93" s="329"/>
      <c r="BF93" s="309"/>
      <c r="BG93" s="310"/>
      <c r="BH93" s="329"/>
      <c r="BI93" s="329"/>
      <c r="BJ93" s="309"/>
      <c r="BK93" s="310"/>
      <c r="BL93" s="329"/>
      <c r="BM93" s="329"/>
      <c r="BN93" s="309"/>
      <c r="BO93" s="310"/>
      <c r="BP93" s="329"/>
      <c r="BQ93" s="329"/>
      <c r="BR93" s="309"/>
      <c r="BS93" s="310"/>
      <c r="BT93" s="329"/>
      <c r="BU93" s="329"/>
      <c r="BV93" s="309"/>
      <c r="BW93" s="310"/>
      <c r="BX93" s="329"/>
      <c r="BY93" s="329"/>
      <c r="BZ93" s="309"/>
      <c r="CA93" s="310"/>
      <c r="CB93" s="329"/>
      <c r="CC93" s="329"/>
      <c r="CD93" s="309"/>
      <c r="CE93" s="310"/>
      <c r="CF93" s="329"/>
      <c r="CG93" s="329"/>
      <c r="CH93" s="309"/>
      <c r="CI93" s="310"/>
      <c r="CJ93" s="329"/>
      <c r="CK93" s="329"/>
      <c r="CL93" s="309"/>
      <c r="CM93" s="310"/>
      <c r="CN93" s="329"/>
      <c r="CO93" s="329"/>
      <c r="CP93" s="309"/>
      <c r="CQ93" s="310"/>
      <c r="CR93" s="329"/>
      <c r="CS93" s="329"/>
      <c r="CT93" s="309"/>
      <c r="CU93" s="310"/>
      <c r="CV93" s="329"/>
      <c r="CW93" s="329"/>
      <c r="CX93" s="309"/>
      <c r="CY93" s="310"/>
      <c r="CZ93" s="329"/>
      <c r="DA93" s="329"/>
      <c r="DB93" s="309"/>
      <c r="DC93" s="310"/>
      <c r="DD93" s="329"/>
      <c r="DE93" s="329"/>
      <c r="DF93" s="309"/>
      <c r="DG93" s="310"/>
      <c r="DH93" s="329"/>
      <c r="DI93" s="329"/>
      <c r="DJ93" s="309"/>
      <c r="DK93" s="310"/>
      <c r="DL93" s="329"/>
      <c r="DM93" s="329"/>
      <c r="DN93" s="309"/>
      <c r="DO93" s="310"/>
      <c r="DP93" s="329"/>
      <c r="DQ93" s="329"/>
      <c r="DR93" s="309"/>
      <c r="DS93" s="310"/>
      <c r="DT93" s="329"/>
      <c r="DU93" s="329"/>
      <c r="DV93" s="309"/>
      <c r="DW93" s="310"/>
      <c r="DX93" s="329"/>
      <c r="DY93" s="329"/>
      <c r="DZ93" s="309"/>
      <c r="EA93" s="310"/>
      <c r="EB93" s="329"/>
      <c r="EC93" s="329"/>
      <c r="ED93" s="309"/>
      <c r="EE93" s="310"/>
      <c r="EF93" s="329"/>
      <c r="EG93" s="329"/>
      <c r="EH93" s="309"/>
      <c r="EI93" s="310"/>
      <c r="EJ93" s="329"/>
      <c r="EK93" s="329"/>
      <c r="EL93" s="309"/>
      <c r="EM93" s="310"/>
      <c r="EN93" s="329"/>
      <c r="EO93" s="329"/>
      <c r="EP93" s="309"/>
      <c r="EQ93" s="310"/>
      <c r="ER93" s="329"/>
      <c r="ES93" s="329"/>
      <c r="ET93" s="309"/>
      <c r="EU93" s="310"/>
      <c r="EV93" s="329"/>
      <c r="EW93" s="329"/>
      <c r="EX93" s="309"/>
      <c r="EY93" s="310"/>
      <c r="EZ93" s="329"/>
      <c r="FA93" s="329"/>
      <c r="FB93" s="309"/>
      <c r="FC93" s="310"/>
      <c r="FD93" s="329"/>
      <c r="FE93" s="329"/>
      <c r="FF93" s="309"/>
      <c r="FG93" s="310"/>
      <c r="FH93" s="329"/>
      <c r="FI93" s="329"/>
      <c r="FJ93" s="309"/>
      <c r="FK93" s="310"/>
      <c r="FL93" s="329"/>
      <c r="FM93" s="329"/>
      <c r="FN93" s="309"/>
      <c r="FO93" s="310"/>
      <c r="FP93" s="329"/>
      <c r="FQ93" s="329"/>
      <c r="FR93" s="309"/>
      <c r="FS93" s="310"/>
      <c r="FT93" s="329"/>
      <c r="FU93" s="329"/>
      <c r="FV93" s="309"/>
      <c r="FW93" s="310"/>
      <c r="FX93" s="329"/>
      <c r="FY93" s="329"/>
      <c r="FZ93" s="309"/>
      <c r="GA93" s="310"/>
      <c r="GB93" s="329"/>
      <c r="GC93" s="329"/>
      <c r="GD93" s="309"/>
      <c r="GE93" s="310"/>
      <c r="GF93" s="329"/>
      <c r="GG93" s="329"/>
      <c r="GH93" s="309"/>
      <c r="GI93" s="310"/>
      <c r="GJ93" s="329"/>
      <c r="GK93" s="329"/>
      <c r="GL93" s="309"/>
      <c r="GM93" s="310"/>
      <c r="GN93" s="329"/>
      <c r="GO93" s="329"/>
      <c r="GP93" s="309"/>
      <c r="GQ93" s="310"/>
      <c r="GR93" s="329"/>
      <c r="GS93" s="329"/>
      <c r="GT93" s="309"/>
      <c r="GU93" s="310"/>
      <c r="GV93" s="329"/>
      <c r="GW93" s="329"/>
      <c r="GX93" s="309"/>
      <c r="GY93" s="310"/>
      <c r="GZ93" s="329"/>
      <c r="HA93" s="329"/>
      <c r="HB93" s="309"/>
      <c r="HC93" s="312">
        <f t="shared" si="80"/>
        <v>0</v>
      </c>
      <c r="HD93" s="330"/>
      <c r="HE93" s="330"/>
      <c r="HF93" s="314"/>
      <c r="HG93" s="312">
        <f>SUM(SUMIFS(K93:HB93,$K$13:$HB$13,{"エネルギー管理指定工場等*","県域*"}))</f>
        <v>0</v>
      </c>
      <c r="HH93" s="330"/>
      <c r="HI93" s="330"/>
      <c r="HJ93" s="314"/>
      <c r="IE93" s="579"/>
      <c r="IF93" s="579"/>
      <c r="IG93" s="579"/>
      <c r="IH93" s="579"/>
    </row>
    <row r="94" spans="2:242" s="164" customFormat="1" ht="20.100000000000001" customHeight="1">
      <c r="B94" s="302"/>
      <c r="C94" s="319"/>
      <c r="D94" s="328" t="s">
        <v>621</v>
      </c>
      <c r="E94" s="357"/>
      <c r="F94" s="303" t="s">
        <v>610</v>
      </c>
      <c r="G94" s="306">
        <v>3.6</v>
      </c>
      <c r="H94" s="309"/>
      <c r="I94" s="310"/>
      <c r="J94" s="315"/>
      <c r="K94" s="310"/>
      <c r="L94" s="329"/>
      <c r="M94" s="311"/>
      <c r="N94" s="309"/>
      <c r="O94" s="310"/>
      <c r="P94" s="329"/>
      <c r="Q94" s="311"/>
      <c r="R94" s="309"/>
      <c r="S94" s="310"/>
      <c r="T94" s="329"/>
      <c r="U94" s="311"/>
      <c r="V94" s="309"/>
      <c r="W94" s="310"/>
      <c r="X94" s="329"/>
      <c r="Y94" s="311"/>
      <c r="Z94" s="309"/>
      <c r="AA94" s="310"/>
      <c r="AB94" s="329"/>
      <c r="AC94" s="311"/>
      <c r="AD94" s="309"/>
      <c r="AE94" s="310"/>
      <c r="AF94" s="329"/>
      <c r="AG94" s="311"/>
      <c r="AH94" s="309"/>
      <c r="AI94" s="310"/>
      <c r="AJ94" s="329"/>
      <c r="AK94" s="311"/>
      <c r="AL94" s="309"/>
      <c r="AM94" s="310"/>
      <c r="AN94" s="329"/>
      <c r="AO94" s="311"/>
      <c r="AP94" s="309"/>
      <c r="AQ94" s="310"/>
      <c r="AR94" s="329"/>
      <c r="AS94" s="311"/>
      <c r="AT94" s="309"/>
      <c r="AU94" s="310"/>
      <c r="AV94" s="329"/>
      <c r="AW94" s="311"/>
      <c r="AX94" s="309"/>
      <c r="AY94" s="310"/>
      <c r="AZ94" s="329"/>
      <c r="BA94" s="311"/>
      <c r="BB94" s="309"/>
      <c r="BC94" s="310"/>
      <c r="BD94" s="329"/>
      <c r="BE94" s="311"/>
      <c r="BF94" s="309"/>
      <c r="BG94" s="310"/>
      <c r="BH94" s="329"/>
      <c r="BI94" s="311"/>
      <c r="BJ94" s="309"/>
      <c r="BK94" s="310"/>
      <c r="BL94" s="329"/>
      <c r="BM94" s="311"/>
      <c r="BN94" s="309"/>
      <c r="BO94" s="310"/>
      <c r="BP94" s="329"/>
      <c r="BQ94" s="311"/>
      <c r="BR94" s="309"/>
      <c r="BS94" s="310"/>
      <c r="BT94" s="329"/>
      <c r="BU94" s="311"/>
      <c r="BV94" s="309"/>
      <c r="BW94" s="310"/>
      <c r="BX94" s="329"/>
      <c r="BY94" s="311"/>
      <c r="BZ94" s="309"/>
      <c r="CA94" s="310"/>
      <c r="CB94" s="329"/>
      <c r="CC94" s="311"/>
      <c r="CD94" s="309"/>
      <c r="CE94" s="310"/>
      <c r="CF94" s="329"/>
      <c r="CG94" s="311"/>
      <c r="CH94" s="309"/>
      <c r="CI94" s="310"/>
      <c r="CJ94" s="329"/>
      <c r="CK94" s="311"/>
      <c r="CL94" s="309"/>
      <c r="CM94" s="310"/>
      <c r="CN94" s="329"/>
      <c r="CO94" s="311"/>
      <c r="CP94" s="309"/>
      <c r="CQ94" s="310"/>
      <c r="CR94" s="329"/>
      <c r="CS94" s="311"/>
      <c r="CT94" s="309"/>
      <c r="CU94" s="310"/>
      <c r="CV94" s="329"/>
      <c r="CW94" s="311"/>
      <c r="CX94" s="309"/>
      <c r="CY94" s="310"/>
      <c r="CZ94" s="329"/>
      <c r="DA94" s="311"/>
      <c r="DB94" s="309"/>
      <c r="DC94" s="310"/>
      <c r="DD94" s="329"/>
      <c r="DE94" s="311"/>
      <c r="DF94" s="309"/>
      <c r="DG94" s="310"/>
      <c r="DH94" s="329"/>
      <c r="DI94" s="311"/>
      <c r="DJ94" s="309"/>
      <c r="DK94" s="310"/>
      <c r="DL94" s="329"/>
      <c r="DM94" s="311"/>
      <c r="DN94" s="309"/>
      <c r="DO94" s="310"/>
      <c r="DP94" s="329"/>
      <c r="DQ94" s="311"/>
      <c r="DR94" s="309"/>
      <c r="DS94" s="310"/>
      <c r="DT94" s="329"/>
      <c r="DU94" s="311"/>
      <c r="DV94" s="309"/>
      <c r="DW94" s="310"/>
      <c r="DX94" s="329"/>
      <c r="DY94" s="311"/>
      <c r="DZ94" s="309"/>
      <c r="EA94" s="310"/>
      <c r="EB94" s="329"/>
      <c r="EC94" s="311"/>
      <c r="ED94" s="309"/>
      <c r="EE94" s="310"/>
      <c r="EF94" s="329"/>
      <c r="EG94" s="311"/>
      <c r="EH94" s="309"/>
      <c r="EI94" s="310"/>
      <c r="EJ94" s="329"/>
      <c r="EK94" s="311"/>
      <c r="EL94" s="309"/>
      <c r="EM94" s="310"/>
      <c r="EN94" s="329"/>
      <c r="EO94" s="311"/>
      <c r="EP94" s="309"/>
      <c r="EQ94" s="310"/>
      <c r="ER94" s="329"/>
      <c r="ES94" s="311"/>
      <c r="ET94" s="309"/>
      <c r="EU94" s="310"/>
      <c r="EV94" s="329"/>
      <c r="EW94" s="311"/>
      <c r="EX94" s="309"/>
      <c r="EY94" s="310"/>
      <c r="EZ94" s="329"/>
      <c r="FA94" s="311"/>
      <c r="FB94" s="309"/>
      <c r="FC94" s="310"/>
      <c r="FD94" s="329"/>
      <c r="FE94" s="311"/>
      <c r="FF94" s="309"/>
      <c r="FG94" s="310"/>
      <c r="FH94" s="329"/>
      <c r="FI94" s="311"/>
      <c r="FJ94" s="309"/>
      <c r="FK94" s="310"/>
      <c r="FL94" s="329"/>
      <c r="FM94" s="311"/>
      <c r="FN94" s="309"/>
      <c r="FO94" s="310"/>
      <c r="FP94" s="329"/>
      <c r="FQ94" s="311"/>
      <c r="FR94" s="309"/>
      <c r="FS94" s="310"/>
      <c r="FT94" s="329"/>
      <c r="FU94" s="311"/>
      <c r="FV94" s="309"/>
      <c r="FW94" s="310"/>
      <c r="FX94" s="329"/>
      <c r="FY94" s="311"/>
      <c r="FZ94" s="309"/>
      <c r="GA94" s="310"/>
      <c r="GB94" s="329"/>
      <c r="GC94" s="311"/>
      <c r="GD94" s="309"/>
      <c r="GE94" s="310"/>
      <c r="GF94" s="329"/>
      <c r="GG94" s="311"/>
      <c r="GH94" s="309"/>
      <c r="GI94" s="310"/>
      <c r="GJ94" s="329"/>
      <c r="GK94" s="311"/>
      <c r="GL94" s="309"/>
      <c r="GM94" s="310"/>
      <c r="GN94" s="329"/>
      <c r="GO94" s="311"/>
      <c r="GP94" s="309"/>
      <c r="GQ94" s="310"/>
      <c r="GR94" s="329"/>
      <c r="GS94" s="311"/>
      <c r="GT94" s="309"/>
      <c r="GU94" s="310"/>
      <c r="GV94" s="329"/>
      <c r="GW94" s="311"/>
      <c r="GX94" s="309"/>
      <c r="GY94" s="310"/>
      <c r="GZ94" s="329"/>
      <c r="HA94" s="311"/>
      <c r="HB94" s="309"/>
      <c r="HC94" s="312">
        <f t="shared" si="80"/>
        <v>0</v>
      </c>
      <c r="HD94" s="330"/>
      <c r="HE94" s="313">
        <f t="shared" ref="HE94" si="82">M94+Q94+U94+Y94+AC94+AG94+AK94+AO94+AS94+AW94+BA94+BE94+BI94+BM94+BQ94+BU94+BY94+CC94+CG94+CK94+CO94+CS94+CW94+DA94+DE94+DI94+DM94+DQ94+DU94+DY94+EC94+EG94+EK94+EO94+ES94+EW94+FA94+FE94+FI94+FM94+FQ94+FU94+FY94+GC94+GG94+GK94+GO94+GS94+GW94+HA94</f>
        <v>0</v>
      </c>
      <c r="HF94" s="314"/>
      <c r="HG94" s="312">
        <f>SUM(SUMIFS(K94:HB94,$K$13:$HB$13,{"エネルギー管理指定工場等*","県域*"}))</f>
        <v>0</v>
      </c>
      <c r="HH94" s="330"/>
      <c r="HI94" s="313">
        <f>SUM(SUMIFS(M94:HD94,$K$13:$HB$13,{"エネルギー管理指定工場等*","県域*"}))</f>
        <v>0</v>
      </c>
      <c r="HJ94" s="314"/>
      <c r="IE94" s="579"/>
      <c r="IF94" s="579"/>
      <c r="IG94" s="579"/>
      <c r="IH94" s="579"/>
    </row>
    <row r="95" spans="2:242" s="164" customFormat="1" ht="20.100000000000001" customHeight="1">
      <c r="B95" s="302"/>
      <c r="C95" s="319"/>
      <c r="D95" s="346"/>
      <c r="E95" s="270"/>
      <c r="F95" s="303" t="s">
        <v>463</v>
      </c>
      <c r="G95" s="308"/>
      <c r="H95" s="309"/>
      <c r="I95" s="310"/>
      <c r="J95" s="315"/>
      <c r="K95" s="310"/>
      <c r="L95" s="329"/>
      <c r="M95" s="329"/>
      <c r="N95" s="309"/>
      <c r="O95" s="310"/>
      <c r="P95" s="329"/>
      <c r="Q95" s="329"/>
      <c r="R95" s="309"/>
      <c r="S95" s="310"/>
      <c r="T95" s="329"/>
      <c r="U95" s="329"/>
      <c r="V95" s="309"/>
      <c r="W95" s="310"/>
      <c r="X95" s="329"/>
      <c r="Y95" s="329"/>
      <c r="Z95" s="309"/>
      <c r="AA95" s="310"/>
      <c r="AB95" s="329"/>
      <c r="AC95" s="329"/>
      <c r="AD95" s="309"/>
      <c r="AE95" s="310"/>
      <c r="AF95" s="329"/>
      <c r="AG95" s="329"/>
      <c r="AH95" s="309"/>
      <c r="AI95" s="310"/>
      <c r="AJ95" s="329"/>
      <c r="AK95" s="329"/>
      <c r="AL95" s="309"/>
      <c r="AM95" s="310"/>
      <c r="AN95" s="329"/>
      <c r="AO95" s="329"/>
      <c r="AP95" s="309"/>
      <c r="AQ95" s="310"/>
      <c r="AR95" s="329"/>
      <c r="AS95" s="329"/>
      <c r="AT95" s="309"/>
      <c r="AU95" s="310"/>
      <c r="AV95" s="329"/>
      <c r="AW95" s="329"/>
      <c r="AX95" s="309"/>
      <c r="AY95" s="310"/>
      <c r="AZ95" s="329"/>
      <c r="BA95" s="329"/>
      <c r="BB95" s="309"/>
      <c r="BC95" s="310"/>
      <c r="BD95" s="329"/>
      <c r="BE95" s="329"/>
      <c r="BF95" s="309"/>
      <c r="BG95" s="310"/>
      <c r="BH95" s="329"/>
      <c r="BI95" s="329"/>
      <c r="BJ95" s="309"/>
      <c r="BK95" s="310"/>
      <c r="BL95" s="329"/>
      <c r="BM95" s="329"/>
      <c r="BN95" s="309"/>
      <c r="BO95" s="310"/>
      <c r="BP95" s="329"/>
      <c r="BQ95" s="329"/>
      <c r="BR95" s="309"/>
      <c r="BS95" s="310"/>
      <c r="BT95" s="329"/>
      <c r="BU95" s="329"/>
      <c r="BV95" s="309"/>
      <c r="BW95" s="310"/>
      <c r="BX95" s="329"/>
      <c r="BY95" s="329"/>
      <c r="BZ95" s="309"/>
      <c r="CA95" s="310"/>
      <c r="CB95" s="329"/>
      <c r="CC95" s="329"/>
      <c r="CD95" s="309"/>
      <c r="CE95" s="310"/>
      <c r="CF95" s="329"/>
      <c r="CG95" s="329"/>
      <c r="CH95" s="309"/>
      <c r="CI95" s="310"/>
      <c r="CJ95" s="329"/>
      <c r="CK95" s="329"/>
      <c r="CL95" s="309"/>
      <c r="CM95" s="310"/>
      <c r="CN95" s="329"/>
      <c r="CO95" s="329"/>
      <c r="CP95" s="309"/>
      <c r="CQ95" s="310"/>
      <c r="CR95" s="329"/>
      <c r="CS95" s="329"/>
      <c r="CT95" s="309"/>
      <c r="CU95" s="310"/>
      <c r="CV95" s="329"/>
      <c r="CW95" s="329"/>
      <c r="CX95" s="309"/>
      <c r="CY95" s="310"/>
      <c r="CZ95" s="329"/>
      <c r="DA95" s="329"/>
      <c r="DB95" s="309"/>
      <c r="DC95" s="310"/>
      <c r="DD95" s="329"/>
      <c r="DE95" s="329"/>
      <c r="DF95" s="309"/>
      <c r="DG95" s="310"/>
      <c r="DH95" s="329"/>
      <c r="DI95" s="329"/>
      <c r="DJ95" s="309"/>
      <c r="DK95" s="310"/>
      <c r="DL95" s="329"/>
      <c r="DM95" s="329"/>
      <c r="DN95" s="309"/>
      <c r="DO95" s="310"/>
      <c r="DP95" s="329"/>
      <c r="DQ95" s="329"/>
      <c r="DR95" s="309"/>
      <c r="DS95" s="310"/>
      <c r="DT95" s="329"/>
      <c r="DU95" s="329"/>
      <c r="DV95" s="309"/>
      <c r="DW95" s="310"/>
      <c r="DX95" s="329"/>
      <c r="DY95" s="329"/>
      <c r="DZ95" s="309"/>
      <c r="EA95" s="310"/>
      <c r="EB95" s="329"/>
      <c r="EC95" s="329"/>
      <c r="ED95" s="309"/>
      <c r="EE95" s="310"/>
      <c r="EF95" s="329"/>
      <c r="EG95" s="329"/>
      <c r="EH95" s="309"/>
      <c r="EI95" s="310"/>
      <c r="EJ95" s="329"/>
      <c r="EK95" s="329"/>
      <c r="EL95" s="309"/>
      <c r="EM95" s="310"/>
      <c r="EN95" s="329"/>
      <c r="EO95" s="329"/>
      <c r="EP95" s="309"/>
      <c r="EQ95" s="310"/>
      <c r="ER95" s="329"/>
      <c r="ES95" s="329"/>
      <c r="ET95" s="309"/>
      <c r="EU95" s="310"/>
      <c r="EV95" s="329"/>
      <c r="EW95" s="329"/>
      <c r="EX95" s="309"/>
      <c r="EY95" s="310"/>
      <c r="EZ95" s="329"/>
      <c r="FA95" s="329"/>
      <c r="FB95" s="309"/>
      <c r="FC95" s="310"/>
      <c r="FD95" s="329"/>
      <c r="FE95" s="329"/>
      <c r="FF95" s="309"/>
      <c r="FG95" s="310"/>
      <c r="FH95" s="329"/>
      <c r="FI95" s="329"/>
      <c r="FJ95" s="309"/>
      <c r="FK95" s="310"/>
      <c r="FL95" s="329"/>
      <c r="FM95" s="329"/>
      <c r="FN95" s="309"/>
      <c r="FO95" s="310"/>
      <c r="FP95" s="329"/>
      <c r="FQ95" s="329"/>
      <c r="FR95" s="309"/>
      <c r="FS95" s="310"/>
      <c r="FT95" s="329"/>
      <c r="FU95" s="329"/>
      <c r="FV95" s="309"/>
      <c r="FW95" s="310"/>
      <c r="FX95" s="329"/>
      <c r="FY95" s="329"/>
      <c r="FZ95" s="309"/>
      <c r="GA95" s="310"/>
      <c r="GB95" s="329"/>
      <c r="GC95" s="329"/>
      <c r="GD95" s="309"/>
      <c r="GE95" s="310"/>
      <c r="GF95" s="329"/>
      <c r="GG95" s="329"/>
      <c r="GH95" s="309"/>
      <c r="GI95" s="310"/>
      <c r="GJ95" s="329"/>
      <c r="GK95" s="329"/>
      <c r="GL95" s="309"/>
      <c r="GM95" s="310"/>
      <c r="GN95" s="329"/>
      <c r="GO95" s="329"/>
      <c r="GP95" s="309"/>
      <c r="GQ95" s="310"/>
      <c r="GR95" s="329"/>
      <c r="GS95" s="329"/>
      <c r="GT95" s="309"/>
      <c r="GU95" s="310"/>
      <c r="GV95" s="329"/>
      <c r="GW95" s="329"/>
      <c r="GX95" s="309"/>
      <c r="GY95" s="310"/>
      <c r="GZ95" s="329"/>
      <c r="HA95" s="329"/>
      <c r="HB95" s="309"/>
      <c r="HC95" s="312">
        <f t="shared" si="80"/>
        <v>0</v>
      </c>
      <c r="HD95" s="330"/>
      <c r="HE95" s="330"/>
      <c r="HF95" s="314"/>
      <c r="HG95" s="312">
        <f>SUM(SUMIFS(K95:HB95,$K$13:$HB$13,{"エネルギー管理指定工場等*","県域*"}))</f>
        <v>0</v>
      </c>
      <c r="HH95" s="330"/>
      <c r="HI95" s="330"/>
      <c r="HJ95" s="314"/>
      <c r="IE95" s="579"/>
      <c r="IF95" s="579"/>
      <c r="IG95" s="579"/>
      <c r="IH95" s="579"/>
    </row>
    <row r="96" spans="2:242" s="164" customFormat="1" ht="20.100000000000001" customHeight="1">
      <c r="B96" s="302"/>
      <c r="C96" s="319"/>
      <c r="D96" s="328" t="s">
        <v>622</v>
      </c>
      <c r="E96" s="357"/>
      <c r="F96" s="303" t="s">
        <v>610</v>
      </c>
      <c r="G96" s="306">
        <v>3.6</v>
      </c>
      <c r="H96" s="309"/>
      <c r="I96" s="310"/>
      <c r="J96" s="315"/>
      <c r="K96" s="310"/>
      <c r="L96" s="329"/>
      <c r="M96" s="311"/>
      <c r="N96" s="309"/>
      <c r="O96" s="310"/>
      <c r="P96" s="329"/>
      <c r="Q96" s="311"/>
      <c r="R96" s="309"/>
      <c r="S96" s="310"/>
      <c r="T96" s="329"/>
      <c r="U96" s="311"/>
      <c r="V96" s="309"/>
      <c r="W96" s="310"/>
      <c r="X96" s="329"/>
      <c r="Y96" s="311"/>
      <c r="Z96" s="309"/>
      <c r="AA96" s="310"/>
      <c r="AB96" s="329"/>
      <c r="AC96" s="311"/>
      <c r="AD96" s="309"/>
      <c r="AE96" s="310"/>
      <c r="AF96" s="329"/>
      <c r="AG96" s="311"/>
      <c r="AH96" s="309"/>
      <c r="AI96" s="310"/>
      <c r="AJ96" s="329"/>
      <c r="AK96" s="311"/>
      <c r="AL96" s="309"/>
      <c r="AM96" s="310"/>
      <c r="AN96" s="329"/>
      <c r="AO96" s="311"/>
      <c r="AP96" s="309"/>
      <c r="AQ96" s="310"/>
      <c r="AR96" s="329"/>
      <c r="AS96" s="311"/>
      <c r="AT96" s="309"/>
      <c r="AU96" s="310"/>
      <c r="AV96" s="329"/>
      <c r="AW96" s="311"/>
      <c r="AX96" s="309"/>
      <c r="AY96" s="310"/>
      <c r="AZ96" s="329"/>
      <c r="BA96" s="311"/>
      <c r="BB96" s="309"/>
      <c r="BC96" s="310"/>
      <c r="BD96" s="329"/>
      <c r="BE96" s="311"/>
      <c r="BF96" s="309"/>
      <c r="BG96" s="310"/>
      <c r="BH96" s="329"/>
      <c r="BI96" s="311"/>
      <c r="BJ96" s="309"/>
      <c r="BK96" s="310"/>
      <c r="BL96" s="329"/>
      <c r="BM96" s="311"/>
      <c r="BN96" s="309"/>
      <c r="BO96" s="310"/>
      <c r="BP96" s="329"/>
      <c r="BQ96" s="311"/>
      <c r="BR96" s="309"/>
      <c r="BS96" s="310"/>
      <c r="BT96" s="329"/>
      <c r="BU96" s="311"/>
      <c r="BV96" s="309"/>
      <c r="BW96" s="310"/>
      <c r="BX96" s="329"/>
      <c r="BY96" s="311"/>
      <c r="BZ96" s="309"/>
      <c r="CA96" s="310"/>
      <c r="CB96" s="329"/>
      <c r="CC96" s="311"/>
      <c r="CD96" s="309"/>
      <c r="CE96" s="310"/>
      <c r="CF96" s="329"/>
      <c r="CG96" s="311"/>
      <c r="CH96" s="309"/>
      <c r="CI96" s="310"/>
      <c r="CJ96" s="329"/>
      <c r="CK96" s="311"/>
      <c r="CL96" s="309"/>
      <c r="CM96" s="310"/>
      <c r="CN96" s="329"/>
      <c r="CO96" s="311"/>
      <c r="CP96" s="309"/>
      <c r="CQ96" s="310"/>
      <c r="CR96" s="329"/>
      <c r="CS96" s="311"/>
      <c r="CT96" s="309"/>
      <c r="CU96" s="310"/>
      <c r="CV96" s="329"/>
      <c r="CW96" s="311"/>
      <c r="CX96" s="309"/>
      <c r="CY96" s="310"/>
      <c r="CZ96" s="329"/>
      <c r="DA96" s="311"/>
      <c r="DB96" s="309"/>
      <c r="DC96" s="310"/>
      <c r="DD96" s="329"/>
      <c r="DE96" s="311"/>
      <c r="DF96" s="309"/>
      <c r="DG96" s="310"/>
      <c r="DH96" s="329"/>
      <c r="DI96" s="311"/>
      <c r="DJ96" s="309"/>
      <c r="DK96" s="310"/>
      <c r="DL96" s="329"/>
      <c r="DM96" s="311"/>
      <c r="DN96" s="309"/>
      <c r="DO96" s="310"/>
      <c r="DP96" s="329"/>
      <c r="DQ96" s="311"/>
      <c r="DR96" s="309"/>
      <c r="DS96" s="310"/>
      <c r="DT96" s="329"/>
      <c r="DU96" s="311"/>
      <c r="DV96" s="309"/>
      <c r="DW96" s="310"/>
      <c r="DX96" s="329"/>
      <c r="DY96" s="311"/>
      <c r="DZ96" s="309"/>
      <c r="EA96" s="310"/>
      <c r="EB96" s="329"/>
      <c r="EC96" s="311"/>
      <c r="ED96" s="309"/>
      <c r="EE96" s="310"/>
      <c r="EF96" s="329"/>
      <c r="EG96" s="311"/>
      <c r="EH96" s="309"/>
      <c r="EI96" s="310"/>
      <c r="EJ96" s="329"/>
      <c r="EK96" s="311"/>
      <c r="EL96" s="309"/>
      <c r="EM96" s="310"/>
      <c r="EN96" s="329"/>
      <c r="EO96" s="311"/>
      <c r="EP96" s="309"/>
      <c r="EQ96" s="310"/>
      <c r="ER96" s="329"/>
      <c r="ES96" s="311"/>
      <c r="ET96" s="309"/>
      <c r="EU96" s="310"/>
      <c r="EV96" s="329"/>
      <c r="EW96" s="311"/>
      <c r="EX96" s="309"/>
      <c r="EY96" s="310"/>
      <c r="EZ96" s="329"/>
      <c r="FA96" s="311"/>
      <c r="FB96" s="309"/>
      <c r="FC96" s="310"/>
      <c r="FD96" s="329"/>
      <c r="FE96" s="311"/>
      <c r="FF96" s="309"/>
      <c r="FG96" s="310"/>
      <c r="FH96" s="329"/>
      <c r="FI96" s="311"/>
      <c r="FJ96" s="309"/>
      <c r="FK96" s="310"/>
      <c r="FL96" s="329"/>
      <c r="FM96" s="311"/>
      <c r="FN96" s="309"/>
      <c r="FO96" s="310"/>
      <c r="FP96" s="329"/>
      <c r="FQ96" s="311"/>
      <c r="FR96" s="309"/>
      <c r="FS96" s="310"/>
      <c r="FT96" s="329"/>
      <c r="FU96" s="311"/>
      <c r="FV96" s="309"/>
      <c r="FW96" s="310"/>
      <c r="FX96" s="329"/>
      <c r="FY96" s="311"/>
      <c r="FZ96" s="309"/>
      <c r="GA96" s="310"/>
      <c r="GB96" s="329"/>
      <c r="GC96" s="311"/>
      <c r="GD96" s="309"/>
      <c r="GE96" s="310"/>
      <c r="GF96" s="329"/>
      <c r="GG96" s="311"/>
      <c r="GH96" s="309"/>
      <c r="GI96" s="310"/>
      <c r="GJ96" s="329"/>
      <c r="GK96" s="311"/>
      <c r="GL96" s="309"/>
      <c r="GM96" s="310"/>
      <c r="GN96" s="329"/>
      <c r="GO96" s="311"/>
      <c r="GP96" s="309"/>
      <c r="GQ96" s="310"/>
      <c r="GR96" s="329"/>
      <c r="GS96" s="311"/>
      <c r="GT96" s="309"/>
      <c r="GU96" s="310"/>
      <c r="GV96" s="329"/>
      <c r="GW96" s="311"/>
      <c r="GX96" s="309"/>
      <c r="GY96" s="310"/>
      <c r="GZ96" s="329"/>
      <c r="HA96" s="311"/>
      <c r="HB96" s="309"/>
      <c r="HC96" s="312">
        <f t="shared" si="80"/>
        <v>0</v>
      </c>
      <c r="HD96" s="330"/>
      <c r="HE96" s="313">
        <f t="shared" si="81"/>
        <v>0</v>
      </c>
      <c r="HF96" s="314"/>
      <c r="HG96" s="312">
        <f>SUM(SUMIFS(K96:HB96,$K$13:$HB$13,{"エネルギー管理指定工場等*","県域*"}))</f>
        <v>0</v>
      </c>
      <c r="HH96" s="330"/>
      <c r="HI96" s="313">
        <f>SUM(SUMIFS(M96:HD96,$K$13:$HB$13,{"エネルギー管理指定工場等*","県域*"}))</f>
        <v>0</v>
      </c>
      <c r="HJ96" s="314"/>
      <c r="IE96" s="579"/>
      <c r="IF96" s="579"/>
      <c r="IG96" s="579"/>
      <c r="IH96" s="579"/>
    </row>
    <row r="97" spans="2:242" s="164" customFormat="1" ht="20.100000000000001" customHeight="1">
      <c r="B97" s="302"/>
      <c r="C97" s="319"/>
      <c r="D97" s="346"/>
      <c r="E97" s="270"/>
      <c r="F97" s="303" t="s">
        <v>463</v>
      </c>
      <c r="G97" s="308"/>
      <c r="H97" s="309"/>
      <c r="I97" s="310"/>
      <c r="J97" s="315"/>
      <c r="K97" s="310"/>
      <c r="L97" s="329"/>
      <c r="M97" s="329"/>
      <c r="N97" s="309"/>
      <c r="O97" s="310"/>
      <c r="P97" s="329"/>
      <c r="Q97" s="329"/>
      <c r="R97" s="309"/>
      <c r="S97" s="310"/>
      <c r="T97" s="329"/>
      <c r="U97" s="329"/>
      <c r="V97" s="309"/>
      <c r="W97" s="310"/>
      <c r="X97" s="329"/>
      <c r="Y97" s="329"/>
      <c r="Z97" s="309"/>
      <c r="AA97" s="310"/>
      <c r="AB97" s="329"/>
      <c r="AC97" s="329"/>
      <c r="AD97" s="309"/>
      <c r="AE97" s="310"/>
      <c r="AF97" s="329"/>
      <c r="AG97" s="329"/>
      <c r="AH97" s="309"/>
      <c r="AI97" s="310"/>
      <c r="AJ97" s="329"/>
      <c r="AK97" s="329"/>
      <c r="AL97" s="309"/>
      <c r="AM97" s="310"/>
      <c r="AN97" s="329"/>
      <c r="AO97" s="329"/>
      <c r="AP97" s="309"/>
      <c r="AQ97" s="310"/>
      <c r="AR97" s="329"/>
      <c r="AS97" s="329"/>
      <c r="AT97" s="309"/>
      <c r="AU97" s="310"/>
      <c r="AV97" s="329"/>
      <c r="AW97" s="329"/>
      <c r="AX97" s="309"/>
      <c r="AY97" s="310"/>
      <c r="AZ97" s="329"/>
      <c r="BA97" s="329"/>
      <c r="BB97" s="309"/>
      <c r="BC97" s="310"/>
      <c r="BD97" s="329"/>
      <c r="BE97" s="329"/>
      <c r="BF97" s="309"/>
      <c r="BG97" s="310"/>
      <c r="BH97" s="329"/>
      <c r="BI97" s="329"/>
      <c r="BJ97" s="309"/>
      <c r="BK97" s="310"/>
      <c r="BL97" s="329"/>
      <c r="BM97" s="329"/>
      <c r="BN97" s="309"/>
      <c r="BO97" s="310"/>
      <c r="BP97" s="329"/>
      <c r="BQ97" s="329"/>
      <c r="BR97" s="309"/>
      <c r="BS97" s="310"/>
      <c r="BT97" s="329"/>
      <c r="BU97" s="329"/>
      <c r="BV97" s="309"/>
      <c r="BW97" s="310"/>
      <c r="BX97" s="329"/>
      <c r="BY97" s="329"/>
      <c r="BZ97" s="309"/>
      <c r="CA97" s="310"/>
      <c r="CB97" s="329"/>
      <c r="CC97" s="329"/>
      <c r="CD97" s="309"/>
      <c r="CE97" s="310"/>
      <c r="CF97" s="329"/>
      <c r="CG97" s="329"/>
      <c r="CH97" s="309"/>
      <c r="CI97" s="310"/>
      <c r="CJ97" s="329"/>
      <c r="CK97" s="329"/>
      <c r="CL97" s="309"/>
      <c r="CM97" s="310"/>
      <c r="CN97" s="329"/>
      <c r="CO97" s="329"/>
      <c r="CP97" s="309"/>
      <c r="CQ97" s="310"/>
      <c r="CR97" s="329"/>
      <c r="CS97" s="329"/>
      <c r="CT97" s="309"/>
      <c r="CU97" s="310"/>
      <c r="CV97" s="329"/>
      <c r="CW97" s="329"/>
      <c r="CX97" s="309"/>
      <c r="CY97" s="310"/>
      <c r="CZ97" s="329"/>
      <c r="DA97" s="329"/>
      <c r="DB97" s="309"/>
      <c r="DC97" s="310"/>
      <c r="DD97" s="329"/>
      <c r="DE97" s="329"/>
      <c r="DF97" s="309"/>
      <c r="DG97" s="310"/>
      <c r="DH97" s="329"/>
      <c r="DI97" s="329"/>
      <c r="DJ97" s="309"/>
      <c r="DK97" s="310"/>
      <c r="DL97" s="329"/>
      <c r="DM97" s="329"/>
      <c r="DN97" s="309"/>
      <c r="DO97" s="310"/>
      <c r="DP97" s="329"/>
      <c r="DQ97" s="329"/>
      <c r="DR97" s="309"/>
      <c r="DS97" s="310"/>
      <c r="DT97" s="329"/>
      <c r="DU97" s="329"/>
      <c r="DV97" s="309"/>
      <c r="DW97" s="310"/>
      <c r="DX97" s="329"/>
      <c r="DY97" s="329"/>
      <c r="DZ97" s="309"/>
      <c r="EA97" s="310"/>
      <c r="EB97" s="329"/>
      <c r="EC97" s="329"/>
      <c r="ED97" s="309"/>
      <c r="EE97" s="310"/>
      <c r="EF97" s="329"/>
      <c r="EG97" s="329"/>
      <c r="EH97" s="309"/>
      <c r="EI97" s="310"/>
      <c r="EJ97" s="329"/>
      <c r="EK97" s="329"/>
      <c r="EL97" s="309"/>
      <c r="EM97" s="310"/>
      <c r="EN97" s="329"/>
      <c r="EO97" s="329"/>
      <c r="EP97" s="309"/>
      <c r="EQ97" s="310"/>
      <c r="ER97" s="329"/>
      <c r="ES97" s="329"/>
      <c r="ET97" s="309"/>
      <c r="EU97" s="310"/>
      <c r="EV97" s="329"/>
      <c r="EW97" s="329"/>
      <c r="EX97" s="309"/>
      <c r="EY97" s="310"/>
      <c r="EZ97" s="329"/>
      <c r="FA97" s="329"/>
      <c r="FB97" s="309"/>
      <c r="FC97" s="310"/>
      <c r="FD97" s="329"/>
      <c r="FE97" s="329"/>
      <c r="FF97" s="309"/>
      <c r="FG97" s="310"/>
      <c r="FH97" s="329"/>
      <c r="FI97" s="329"/>
      <c r="FJ97" s="309"/>
      <c r="FK97" s="310"/>
      <c r="FL97" s="329"/>
      <c r="FM97" s="329"/>
      <c r="FN97" s="309"/>
      <c r="FO97" s="310"/>
      <c r="FP97" s="329"/>
      <c r="FQ97" s="329"/>
      <c r="FR97" s="309"/>
      <c r="FS97" s="310"/>
      <c r="FT97" s="329"/>
      <c r="FU97" s="329"/>
      <c r="FV97" s="309"/>
      <c r="FW97" s="310"/>
      <c r="FX97" s="329"/>
      <c r="FY97" s="329"/>
      <c r="FZ97" s="309"/>
      <c r="GA97" s="310"/>
      <c r="GB97" s="329"/>
      <c r="GC97" s="329"/>
      <c r="GD97" s="309"/>
      <c r="GE97" s="310"/>
      <c r="GF97" s="329"/>
      <c r="GG97" s="329"/>
      <c r="GH97" s="309"/>
      <c r="GI97" s="310"/>
      <c r="GJ97" s="329"/>
      <c r="GK97" s="329"/>
      <c r="GL97" s="309"/>
      <c r="GM97" s="310"/>
      <c r="GN97" s="329"/>
      <c r="GO97" s="329"/>
      <c r="GP97" s="309"/>
      <c r="GQ97" s="310"/>
      <c r="GR97" s="329"/>
      <c r="GS97" s="329"/>
      <c r="GT97" s="309"/>
      <c r="GU97" s="310"/>
      <c r="GV97" s="329"/>
      <c r="GW97" s="329"/>
      <c r="GX97" s="309"/>
      <c r="GY97" s="310"/>
      <c r="GZ97" s="329"/>
      <c r="HA97" s="329"/>
      <c r="HB97" s="309"/>
      <c r="HC97" s="312">
        <f t="shared" si="80"/>
        <v>0</v>
      </c>
      <c r="HD97" s="330"/>
      <c r="HE97" s="330"/>
      <c r="HF97" s="314"/>
      <c r="HG97" s="312">
        <f>SUM(SUMIFS(K97:HB97,$K$13:$HB$13,{"エネルギー管理指定工場等*","県域*"}))</f>
        <v>0</v>
      </c>
      <c r="HH97" s="330"/>
      <c r="HI97" s="330"/>
      <c r="HJ97" s="314"/>
      <c r="IE97" s="579"/>
      <c r="IF97" s="579"/>
      <c r="IG97" s="579"/>
      <c r="IH97" s="579"/>
    </row>
    <row r="98" spans="2:242" s="164" customFormat="1" ht="20.100000000000001" customHeight="1">
      <c r="B98" s="302"/>
      <c r="C98" s="319"/>
      <c r="D98" s="328" t="s">
        <v>623</v>
      </c>
      <c r="E98" s="357"/>
      <c r="F98" s="303" t="s">
        <v>610</v>
      </c>
      <c r="G98" s="306">
        <v>3.6</v>
      </c>
      <c r="H98" s="309"/>
      <c r="I98" s="310"/>
      <c r="J98" s="315"/>
      <c r="K98" s="310"/>
      <c r="L98" s="329"/>
      <c r="M98" s="311"/>
      <c r="N98" s="309"/>
      <c r="O98" s="310"/>
      <c r="P98" s="329"/>
      <c r="Q98" s="311"/>
      <c r="R98" s="309"/>
      <c r="S98" s="310"/>
      <c r="T98" s="329"/>
      <c r="U98" s="311"/>
      <c r="V98" s="309"/>
      <c r="W98" s="310"/>
      <c r="X98" s="329"/>
      <c r="Y98" s="311"/>
      <c r="Z98" s="309"/>
      <c r="AA98" s="310"/>
      <c r="AB98" s="329"/>
      <c r="AC98" s="311"/>
      <c r="AD98" s="309"/>
      <c r="AE98" s="310"/>
      <c r="AF98" s="329"/>
      <c r="AG98" s="311"/>
      <c r="AH98" s="309"/>
      <c r="AI98" s="310"/>
      <c r="AJ98" s="329"/>
      <c r="AK98" s="311"/>
      <c r="AL98" s="309"/>
      <c r="AM98" s="310"/>
      <c r="AN98" s="329"/>
      <c r="AO98" s="311"/>
      <c r="AP98" s="309"/>
      <c r="AQ98" s="310"/>
      <c r="AR98" s="329"/>
      <c r="AS98" s="311"/>
      <c r="AT98" s="309"/>
      <c r="AU98" s="310"/>
      <c r="AV98" s="329"/>
      <c r="AW98" s="311"/>
      <c r="AX98" s="309"/>
      <c r="AY98" s="310"/>
      <c r="AZ98" s="329"/>
      <c r="BA98" s="311"/>
      <c r="BB98" s="309"/>
      <c r="BC98" s="310"/>
      <c r="BD98" s="329"/>
      <c r="BE98" s="311"/>
      <c r="BF98" s="309"/>
      <c r="BG98" s="310"/>
      <c r="BH98" s="329"/>
      <c r="BI98" s="311"/>
      <c r="BJ98" s="309"/>
      <c r="BK98" s="310"/>
      <c r="BL98" s="329"/>
      <c r="BM98" s="311"/>
      <c r="BN98" s="309"/>
      <c r="BO98" s="310"/>
      <c r="BP98" s="329"/>
      <c r="BQ98" s="311"/>
      <c r="BR98" s="309"/>
      <c r="BS98" s="310"/>
      <c r="BT98" s="329"/>
      <c r="BU98" s="311"/>
      <c r="BV98" s="309"/>
      <c r="BW98" s="310"/>
      <c r="BX98" s="329"/>
      <c r="BY98" s="311"/>
      <c r="BZ98" s="309"/>
      <c r="CA98" s="310"/>
      <c r="CB98" s="329"/>
      <c r="CC98" s="311"/>
      <c r="CD98" s="309"/>
      <c r="CE98" s="310"/>
      <c r="CF98" s="329"/>
      <c r="CG98" s="311"/>
      <c r="CH98" s="309"/>
      <c r="CI98" s="310"/>
      <c r="CJ98" s="329"/>
      <c r="CK98" s="311"/>
      <c r="CL98" s="309"/>
      <c r="CM98" s="310"/>
      <c r="CN98" s="329"/>
      <c r="CO98" s="311"/>
      <c r="CP98" s="309"/>
      <c r="CQ98" s="310"/>
      <c r="CR98" s="329"/>
      <c r="CS98" s="311"/>
      <c r="CT98" s="309"/>
      <c r="CU98" s="310"/>
      <c r="CV98" s="329"/>
      <c r="CW98" s="311"/>
      <c r="CX98" s="309"/>
      <c r="CY98" s="310"/>
      <c r="CZ98" s="329"/>
      <c r="DA98" s="311"/>
      <c r="DB98" s="309"/>
      <c r="DC98" s="310"/>
      <c r="DD98" s="329"/>
      <c r="DE98" s="311"/>
      <c r="DF98" s="309"/>
      <c r="DG98" s="310"/>
      <c r="DH98" s="329"/>
      <c r="DI98" s="311"/>
      <c r="DJ98" s="309"/>
      <c r="DK98" s="310"/>
      <c r="DL98" s="329"/>
      <c r="DM98" s="311"/>
      <c r="DN98" s="309"/>
      <c r="DO98" s="310"/>
      <c r="DP98" s="329"/>
      <c r="DQ98" s="311"/>
      <c r="DR98" s="309"/>
      <c r="DS98" s="310"/>
      <c r="DT98" s="329"/>
      <c r="DU98" s="311"/>
      <c r="DV98" s="309"/>
      <c r="DW98" s="310"/>
      <c r="DX98" s="329"/>
      <c r="DY98" s="311"/>
      <c r="DZ98" s="309"/>
      <c r="EA98" s="310"/>
      <c r="EB98" s="329"/>
      <c r="EC98" s="311"/>
      <c r="ED98" s="309"/>
      <c r="EE98" s="310"/>
      <c r="EF98" s="329"/>
      <c r="EG98" s="311"/>
      <c r="EH98" s="309"/>
      <c r="EI98" s="310"/>
      <c r="EJ98" s="329"/>
      <c r="EK98" s="311"/>
      <c r="EL98" s="309"/>
      <c r="EM98" s="310"/>
      <c r="EN98" s="329"/>
      <c r="EO98" s="311"/>
      <c r="EP98" s="309"/>
      <c r="EQ98" s="310"/>
      <c r="ER98" s="329"/>
      <c r="ES98" s="311"/>
      <c r="ET98" s="309"/>
      <c r="EU98" s="310"/>
      <c r="EV98" s="329"/>
      <c r="EW98" s="311"/>
      <c r="EX98" s="309"/>
      <c r="EY98" s="310"/>
      <c r="EZ98" s="329"/>
      <c r="FA98" s="311"/>
      <c r="FB98" s="309"/>
      <c r="FC98" s="310"/>
      <c r="FD98" s="329"/>
      <c r="FE98" s="311"/>
      <c r="FF98" s="309"/>
      <c r="FG98" s="310"/>
      <c r="FH98" s="329"/>
      <c r="FI98" s="311"/>
      <c r="FJ98" s="309"/>
      <c r="FK98" s="310"/>
      <c r="FL98" s="329"/>
      <c r="FM98" s="311"/>
      <c r="FN98" s="309"/>
      <c r="FO98" s="310"/>
      <c r="FP98" s="329"/>
      <c r="FQ98" s="311"/>
      <c r="FR98" s="309"/>
      <c r="FS98" s="310"/>
      <c r="FT98" s="329"/>
      <c r="FU98" s="311"/>
      <c r="FV98" s="309"/>
      <c r="FW98" s="310"/>
      <c r="FX98" s="329"/>
      <c r="FY98" s="311"/>
      <c r="FZ98" s="309"/>
      <c r="GA98" s="310"/>
      <c r="GB98" s="329"/>
      <c r="GC98" s="311"/>
      <c r="GD98" s="309"/>
      <c r="GE98" s="310"/>
      <c r="GF98" s="329"/>
      <c r="GG98" s="311"/>
      <c r="GH98" s="309"/>
      <c r="GI98" s="310"/>
      <c r="GJ98" s="329"/>
      <c r="GK98" s="311"/>
      <c r="GL98" s="309"/>
      <c r="GM98" s="310"/>
      <c r="GN98" s="329"/>
      <c r="GO98" s="311"/>
      <c r="GP98" s="309"/>
      <c r="GQ98" s="310"/>
      <c r="GR98" s="329"/>
      <c r="GS98" s="311"/>
      <c r="GT98" s="309"/>
      <c r="GU98" s="310"/>
      <c r="GV98" s="329"/>
      <c r="GW98" s="311"/>
      <c r="GX98" s="309"/>
      <c r="GY98" s="310"/>
      <c r="GZ98" s="329"/>
      <c r="HA98" s="311"/>
      <c r="HB98" s="309"/>
      <c r="HC98" s="312">
        <f t="shared" si="80"/>
        <v>0</v>
      </c>
      <c r="HD98" s="330"/>
      <c r="HE98" s="313">
        <f t="shared" si="81"/>
        <v>0</v>
      </c>
      <c r="HF98" s="314"/>
      <c r="HG98" s="312">
        <f>SUM(SUMIFS(K98:HB98,$K$13:$HB$13,{"エネルギー管理指定工場等*","県域*"}))</f>
        <v>0</v>
      </c>
      <c r="HH98" s="330"/>
      <c r="HI98" s="313">
        <f>SUM(SUMIFS(M98:HD98,$K$13:$HB$13,{"エネルギー管理指定工場等*","県域*"}))</f>
        <v>0</v>
      </c>
      <c r="HJ98" s="314"/>
      <c r="IE98" s="579"/>
      <c r="IF98" s="579"/>
      <c r="IG98" s="579"/>
      <c r="IH98" s="579"/>
    </row>
    <row r="99" spans="2:242" s="164" customFormat="1" ht="20.100000000000001" customHeight="1">
      <c r="B99" s="302"/>
      <c r="C99" s="318"/>
      <c r="D99" s="346"/>
      <c r="E99" s="270"/>
      <c r="F99" s="303" t="s">
        <v>463</v>
      </c>
      <c r="G99" s="308"/>
      <c r="H99" s="309"/>
      <c r="I99" s="310"/>
      <c r="J99" s="315"/>
      <c r="K99" s="310"/>
      <c r="L99" s="329"/>
      <c r="M99" s="329"/>
      <c r="N99" s="309"/>
      <c r="O99" s="310"/>
      <c r="P99" s="329"/>
      <c r="Q99" s="329"/>
      <c r="R99" s="309"/>
      <c r="S99" s="310"/>
      <c r="T99" s="329"/>
      <c r="U99" s="329"/>
      <c r="V99" s="309"/>
      <c r="W99" s="310"/>
      <c r="X99" s="329"/>
      <c r="Y99" s="329"/>
      <c r="Z99" s="309"/>
      <c r="AA99" s="310"/>
      <c r="AB99" s="329"/>
      <c r="AC99" s="329"/>
      <c r="AD99" s="309"/>
      <c r="AE99" s="310"/>
      <c r="AF99" s="329"/>
      <c r="AG99" s="329"/>
      <c r="AH99" s="309"/>
      <c r="AI99" s="310"/>
      <c r="AJ99" s="329"/>
      <c r="AK99" s="329"/>
      <c r="AL99" s="309"/>
      <c r="AM99" s="310"/>
      <c r="AN99" s="329"/>
      <c r="AO99" s="329"/>
      <c r="AP99" s="309"/>
      <c r="AQ99" s="310"/>
      <c r="AR99" s="329"/>
      <c r="AS99" s="329"/>
      <c r="AT99" s="309"/>
      <c r="AU99" s="310"/>
      <c r="AV99" s="329"/>
      <c r="AW99" s="329"/>
      <c r="AX99" s="309"/>
      <c r="AY99" s="310"/>
      <c r="AZ99" s="329"/>
      <c r="BA99" s="329"/>
      <c r="BB99" s="309"/>
      <c r="BC99" s="310"/>
      <c r="BD99" s="329"/>
      <c r="BE99" s="329"/>
      <c r="BF99" s="309"/>
      <c r="BG99" s="310"/>
      <c r="BH99" s="329"/>
      <c r="BI99" s="329"/>
      <c r="BJ99" s="309"/>
      <c r="BK99" s="310"/>
      <c r="BL99" s="329"/>
      <c r="BM99" s="329"/>
      <c r="BN99" s="309"/>
      <c r="BO99" s="310"/>
      <c r="BP99" s="329"/>
      <c r="BQ99" s="329"/>
      <c r="BR99" s="309"/>
      <c r="BS99" s="310"/>
      <c r="BT99" s="329"/>
      <c r="BU99" s="329"/>
      <c r="BV99" s="309"/>
      <c r="BW99" s="310"/>
      <c r="BX99" s="329"/>
      <c r="BY99" s="329"/>
      <c r="BZ99" s="309"/>
      <c r="CA99" s="310"/>
      <c r="CB99" s="329"/>
      <c r="CC99" s="329"/>
      <c r="CD99" s="309"/>
      <c r="CE99" s="310"/>
      <c r="CF99" s="329"/>
      <c r="CG99" s="329"/>
      <c r="CH99" s="309"/>
      <c r="CI99" s="310"/>
      <c r="CJ99" s="329"/>
      <c r="CK99" s="329"/>
      <c r="CL99" s="309"/>
      <c r="CM99" s="310"/>
      <c r="CN99" s="329"/>
      <c r="CO99" s="329"/>
      <c r="CP99" s="309"/>
      <c r="CQ99" s="310"/>
      <c r="CR99" s="329"/>
      <c r="CS99" s="329"/>
      <c r="CT99" s="309"/>
      <c r="CU99" s="310"/>
      <c r="CV99" s="329"/>
      <c r="CW99" s="329"/>
      <c r="CX99" s="309"/>
      <c r="CY99" s="310"/>
      <c r="CZ99" s="329"/>
      <c r="DA99" s="329"/>
      <c r="DB99" s="309"/>
      <c r="DC99" s="310"/>
      <c r="DD99" s="329"/>
      <c r="DE99" s="329"/>
      <c r="DF99" s="309"/>
      <c r="DG99" s="310"/>
      <c r="DH99" s="329"/>
      <c r="DI99" s="329"/>
      <c r="DJ99" s="309"/>
      <c r="DK99" s="310"/>
      <c r="DL99" s="329"/>
      <c r="DM99" s="329"/>
      <c r="DN99" s="309"/>
      <c r="DO99" s="310"/>
      <c r="DP99" s="329"/>
      <c r="DQ99" s="329"/>
      <c r="DR99" s="309"/>
      <c r="DS99" s="310"/>
      <c r="DT99" s="329"/>
      <c r="DU99" s="329"/>
      <c r="DV99" s="309"/>
      <c r="DW99" s="310"/>
      <c r="DX99" s="329"/>
      <c r="DY99" s="329"/>
      <c r="DZ99" s="309"/>
      <c r="EA99" s="310"/>
      <c r="EB99" s="329"/>
      <c r="EC99" s="329"/>
      <c r="ED99" s="309"/>
      <c r="EE99" s="310"/>
      <c r="EF99" s="329"/>
      <c r="EG99" s="329"/>
      <c r="EH99" s="309"/>
      <c r="EI99" s="310"/>
      <c r="EJ99" s="329"/>
      <c r="EK99" s="329"/>
      <c r="EL99" s="309"/>
      <c r="EM99" s="310"/>
      <c r="EN99" s="329"/>
      <c r="EO99" s="329"/>
      <c r="EP99" s="309"/>
      <c r="EQ99" s="310"/>
      <c r="ER99" s="329"/>
      <c r="ES99" s="329"/>
      <c r="ET99" s="309"/>
      <c r="EU99" s="310"/>
      <c r="EV99" s="329"/>
      <c r="EW99" s="329"/>
      <c r="EX99" s="309"/>
      <c r="EY99" s="310"/>
      <c r="EZ99" s="329"/>
      <c r="FA99" s="329"/>
      <c r="FB99" s="309"/>
      <c r="FC99" s="310"/>
      <c r="FD99" s="329"/>
      <c r="FE99" s="329"/>
      <c r="FF99" s="309"/>
      <c r="FG99" s="310"/>
      <c r="FH99" s="329"/>
      <c r="FI99" s="329"/>
      <c r="FJ99" s="309"/>
      <c r="FK99" s="310"/>
      <c r="FL99" s="329"/>
      <c r="FM99" s="329"/>
      <c r="FN99" s="309"/>
      <c r="FO99" s="310"/>
      <c r="FP99" s="329"/>
      <c r="FQ99" s="329"/>
      <c r="FR99" s="309"/>
      <c r="FS99" s="310"/>
      <c r="FT99" s="329"/>
      <c r="FU99" s="329"/>
      <c r="FV99" s="309"/>
      <c r="FW99" s="310"/>
      <c r="FX99" s="329"/>
      <c r="FY99" s="329"/>
      <c r="FZ99" s="309"/>
      <c r="GA99" s="310"/>
      <c r="GB99" s="329"/>
      <c r="GC99" s="329"/>
      <c r="GD99" s="309"/>
      <c r="GE99" s="310"/>
      <c r="GF99" s="329"/>
      <c r="GG99" s="329"/>
      <c r="GH99" s="309"/>
      <c r="GI99" s="310"/>
      <c r="GJ99" s="329"/>
      <c r="GK99" s="329"/>
      <c r="GL99" s="309"/>
      <c r="GM99" s="310"/>
      <c r="GN99" s="329"/>
      <c r="GO99" s="329"/>
      <c r="GP99" s="309"/>
      <c r="GQ99" s="310"/>
      <c r="GR99" s="329"/>
      <c r="GS99" s="329"/>
      <c r="GT99" s="309"/>
      <c r="GU99" s="310"/>
      <c r="GV99" s="329"/>
      <c r="GW99" s="329"/>
      <c r="GX99" s="309"/>
      <c r="GY99" s="310"/>
      <c r="GZ99" s="329"/>
      <c r="HA99" s="329"/>
      <c r="HB99" s="309"/>
      <c r="HC99" s="312">
        <f t="shared" si="80"/>
        <v>0</v>
      </c>
      <c r="HD99" s="330"/>
      <c r="HE99" s="330"/>
      <c r="HF99" s="314"/>
      <c r="HG99" s="312">
        <f>SUM(SUMIFS(K99:HB99,$K$13:$HB$13,{"エネルギー管理指定工場等*","県域*"}))</f>
        <v>0</v>
      </c>
      <c r="HH99" s="330"/>
      <c r="HI99" s="330"/>
      <c r="HJ99" s="314"/>
      <c r="IE99" s="579"/>
      <c r="IF99" s="579"/>
      <c r="IG99" s="579"/>
      <c r="IH99" s="579"/>
    </row>
    <row r="100" spans="2:242" s="164" customFormat="1" ht="99">
      <c r="B100" s="302"/>
      <c r="C100" s="327" t="s">
        <v>1386</v>
      </c>
      <c r="D100" s="358"/>
      <c r="E100" s="335"/>
      <c r="F100" s="303" t="s">
        <v>610</v>
      </c>
      <c r="G100" s="310"/>
      <c r="H100" s="315"/>
      <c r="I100" s="310"/>
      <c r="J100" s="315"/>
      <c r="K100" s="310"/>
      <c r="L100" s="329"/>
      <c r="M100" s="311"/>
      <c r="N100" s="309"/>
      <c r="O100" s="310"/>
      <c r="P100" s="329"/>
      <c r="Q100" s="311"/>
      <c r="R100" s="309"/>
      <c r="S100" s="310"/>
      <c r="T100" s="329"/>
      <c r="U100" s="311"/>
      <c r="V100" s="309"/>
      <c r="W100" s="310"/>
      <c r="X100" s="329"/>
      <c r="Y100" s="311"/>
      <c r="Z100" s="309"/>
      <c r="AA100" s="310"/>
      <c r="AB100" s="329"/>
      <c r="AC100" s="311"/>
      <c r="AD100" s="309"/>
      <c r="AE100" s="310"/>
      <c r="AF100" s="329"/>
      <c r="AG100" s="311"/>
      <c r="AH100" s="309"/>
      <c r="AI100" s="310"/>
      <c r="AJ100" s="329"/>
      <c r="AK100" s="311"/>
      <c r="AL100" s="309"/>
      <c r="AM100" s="310"/>
      <c r="AN100" s="329"/>
      <c r="AO100" s="311"/>
      <c r="AP100" s="309"/>
      <c r="AQ100" s="310"/>
      <c r="AR100" s="329"/>
      <c r="AS100" s="311"/>
      <c r="AT100" s="309"/>
      <c r="AU100" s="310"/>
      <c r="AV100" s="329"/>
      <c r="AW100" s="311"/>
      <c r="AX100" s="309"/>
      <c r="AY100" s="310"/>
      <c r="AZ100" s="329"/>
      <c r="BA100" s="311"/>
      <c r="BB100" s="309"/>
      <c r="BC100" s="310"/>
      <c r="BD100" s="329"/>
      <c r="BE100" s="311"/>
      <c r="BF100" s="309"/>
      <c r="BG100" s="310"/>
      <c r="BH100" s="329"/>
      <c r="BI100" s="311"/>
      <c r="BJ100" s="309"/>
      <c r="BK100" s="310"/>
      <c r="BL100" s="329"/>
      <c r="BM100" s="311"/>
      <c r="BN100" s="309"/>
      <c r="BO100" s="310"/>
      <c r="BP100" s="329"/>
      <c r="BQ100" s="311"/>
      <c r="BR100" s="309"/>
      <c r="BS100" s="310"/>
      <c r="BT100" s="329"/>
      <c r="BU100" s="311"/>
      <c r="BV100" s="309"/>
      <c r="BW100" s="310"/>
      <c r="BX100" s="329"/>
      <c r="BY100" s="311"/>
      <c r="BZ100" s="309"/>
      <c r="CA100" s="310"/>
      <c r="CB100" s="329"/>
      <c r="CC100" s="311"/>
      <c r="CD100" s="309"/>
      <c r="CE100" s="310"/>
      <c r="CF100" s="329"/>
      <c r="CG100" s="311"/>
      <c r="CH100" s="309"/>
      <c r="CI100" s="310"/>
      <c r="CJ100" s="329"/>
      <c r="CK100" s="311"/>
      <c r="CL100" s="309"/>
      <c r="CM100" s="310"/>
      <c r="CN100" s="329"/>
      <c r="CO100" s="311"/>
      <c r="CP100" s="309"/>
      <c r="CQ100" s="310"/>
      <c r="CR100" s="329"/>
      <c r="CS100" s="311"/>
      <c r="CT100" s="309"/>
      <c r="CU100" s="310"/>
      <c r="CV100" s="329"/>
      <c r="CW100" s="311"/>
      <c r="CX100" s="309"/>
      <c r="CY100" s="310"/>
      <c r="CZ100" s="329"/>
      <c r="DA100" s="311"/>
      <c r="DB100" s="309"/>
      <c r="DC100" s="310"/>
      <c r="DD100" s="329"/>
      <c r="DE100" s="311"/>
      <c r="DF100" s="309"/>
      <c r="DG100" s="310"/>
      <c r="DH100" s="329"/>
      <c r="DI100" s="311"/>
      <c r="DJ100" s="309"/>
      <c r="DK100" s="310"/>
      <c r="DL100" s="329"/>
      <c r="DM100" s="311"/>
      <c r="DN100" s="309"/>
      <c r="DO100" s="310"/>
      <c r="DP100" s="329"/>
      <c r="DQ100" s="311"/>
      <c r="DR100" s="309"/>
      <c r="DS100" s="310"/>
      <c r="DT100" s="329"/>
      <c r="DU100" s="311"/>
      <c r="DV100" s="309"/>
      <c r="DW100" s="310"/>
      <c r="DX100" s="329"/>
      <c r="DY100" s="311"/>
      <c r="DZ100" s="309"/>
      <c r="EA100" s="310"/>
      <c r="EB100" s="329"/>
      <c r="EC100" s="311"/>
      <c r="ED100" s="309"/>
      <c r="EE100" s="310"/>
      <c r="EF100" s="329"/>
      <c r="EG100" s="311"/>
      <c r="EH100" s="309"/>
      <c r="EI100" s="310"/>
      <c r="EJ100" s="329"/>
      <c r="EK100" s="311"/>
      <c r="EL100" s="309"/>
      <c r="EM100" s="310"/>
      <c r="EN100" s="329"/>
      <c r="EO100" s="311"/>
      <c r="EP100" s="309"/>
      <c r="EQ100" s="310"/>
      <c r="ER100" s="329"/>
      <c r="ES100" s="311"/>
      <c r="ET100" s="309"/>
      <c r="EU100" s="310"/>
      <c r="EV100" s="329"/>
      <c r="EW100" s="311"/>
      <c r="EX100" s="309"/>
      <c r="EY100" s="310"/>
      <c r="EZ100" s="329"/>
      <c r="FA100" s="311"/>
      <c r="FB100" s="309"/>
      <c r="FC100" s="310"/>
      <c r="FD100" s="329"/>
      <c r="FE100" s="311"/>
      <c r="FF100" s="309"/>
      <c r="FG100" s="310"/>
      <c r="FH100" s="329"/>
      <c r="FI100" s="311"/>
      <c r="FJ100" s="309"/>
      <c r="FK100" s="310"/>
      <c r="FL100" s="329"/>
      <c r="FM100" s="311"/>
      <c r="FN100" s="309"/>
      <c r="FO100" s="310"/>
      <c r="FP100" s="329"/>
      <c r="FQ100" s="311"/>
      <c r="FR100" s="309"/>
      <c r="FS100" s="310"/>
      <c r="FT100" s="329"/>
      <c r="FU100" s="311"/>
      <c r="FV100" s="309"/>
      <c r="FW100" s="310"/>
      <c r="FX100" s="329"/>
      <c r="FY100" s="311"/>
      <c r="FZ100" s="309"/>
      <c r="GA100" s="310"/>
      <c r="GB100" s="329"/>
      <c r="GC100" s="311"/>
      <c r="GD100" s="309"/>
      <c r="GE100" s="310"/>
      <c r="GF100" s="329"/>
      <c r="GG100" s="311"/>
      <c r="GH100" s="309"/>
      <c r="GI100" s="310"/>
      <c r="GJ100" s="329"/>
      <c r="GK100" s="311"/>
      <c r="GL100" s="309"/>
      <c r="GM100" s="310"/>
      <c r="GN100" s="329"/>
      <c r="GO100" s="311"/>
      <c r="GP100" s="309"/>
      <c r="GQ100" s="310"/>
      <c r="GR100" s="329"/>
      <c r="GS100" s="311"/>
      <c r="GT100" s="309"/>
      <c r="GU100" s="310"/>
      <c r="GV100" s="329"/>
      <c r="GW100" s="311"/>
      <c r="GX100" s="309"/>
      <c r="GY100" s="310"/>
      <c r="GZ100" s="329"/>
      <c r="HA100" s="311"/>
      <c r="HB100" s="309"/>
      <c r="HC100" s="312">
        <f t="shared" si="80"/>
        <v>0</v>
      </c>
      <c r="HD100" s="330"/>
      <c r="HE100" s="313">
        <f t="shared" si="81"/>
        <v>0</v>
      </c>
      <c r="HF100" s="314"/>
      <c r="HG100" s="312">
        <f>SUM(SUMIFS(K100:HB100,$K$13:$HB$13,{"エネルギー管理指定工場等*","県域*"}))</f>
        <v>0</v>
      </c>
      <c r="HH100" s="330"/>
      <c r="HI100" s="313">
        <f>SUM(SUMIFS(M100:HD100,$K$13:$HB$13,{"エネルギー管理指定工場等*","県域*"}))</f>
        <v>0</v>
      </c>
      <c r="HJ100" s="314"/>
      <c r="IE100" s="579"/>
      <c r="IF100" s="579"/>
      <c r="IG100" s="579"/>
      <c r="IH100" s="579"/>
    </row>
    <row r="101" spans="2:242" s="164" customFormat="1" ht="20.100000000000001" customHeight="1">
      <c r="B101" s="302"/>
      <c r="C101" s="319"/>
      <c r="D101" s="359"/>
      <c r="E101" s="360"/>
      <c r="F101" s="303" t="s">
        <v>463</v>
      </c>
      <c r="G101" s="310"/>
      <c r="H101" s="315"/>
      <c r="I101" s="310"/>
      <c r="J101" s="315"/>
      <c r="K101" s="310"/>
      <c r="L101" s="329"/>
      <c r="M101" s="329"/>
      <c r="N101" s="309"/>
      <c r="O101" s="310"/>
      <c r="P101" s="329"/>
      <c r="Q101" s="329"/>
      <c r="R101" s="309"/>
      <c r="S101" s="310"/>
      <c r="T101" s="329"/>
      <c r="U101" s="329"/>
      <c r="V101" s="309"/>
      <c r="W101" s="310"/>
      <c r="X101" s="329"/>
      <c r="Y101" s="329"/>
      <c r="Z101" s="309"/>
      <c r="AA101" s="310"/>
      <c r="AB101" s="329"/>
      <c r="AC101" s="329"/>
      <c r="AD101" s="309"/>
      <c r="AE101" s="310"/>
      <c r="AF101" s="329"/>
      <c r="AG101" s="329"/>
      <c r="AH101" s="309"/>
      <c r="AI101" s="310"/>
      <c r="AJ101" s="329"/>
      <c r="AK101" s="329"/>
      <c r="AL101" s="309"/>
      <c r="AM101" s="310"/>
      <c r="AN101" s="329"/>
      <c r="AO101" s="329"/>
      <c r="AP101" s="309"/>
      <c r="AQ101" s="310"/>
      <c r="AR101" s="329"/>
      <c r="AS101" s="329"/>
      <c r="AT101" s="309"/>
      <c r="AU101" s="310"/>
      <c r="AV101" s="329"/>
      <c r="AW101" s="329"/>
      <c r="AX101" s="309"/>
      <c r="AY101" s="310"/>
      <c r="AZ101" s="329"/>
      <c r="BA101" s="329"/>
      <c r="BB101" s="309"/>
      <c r="BC101" s="310"/>
      <c r="BD101" s="329"/>
      <c r="BE101" s="329"/>
      <c r="BF101" s="309"/>
      <c r="BG101" s="310"/>
      <c r="BH101" s="329"/>
      <c r="BI101" s="329"/>
      <c r="BJ101" s="309"/>
      <c r="BK101" s="310"/>
      <c r="BL101" s="329"/>
      <c r="BM101" s="329"/>
      <c r="BN101" s="309"/>
      <c r="BO101" s="310"/>
      <c r="BP101" s="329"/>
      <c r="BQ101" s="329"/>
      <c r="BR101" s="309"/>
      <c r="BS101" s="310"/>
      <c r="BT101" s="329"/>
      <c r="BU101" s="329"/>
      <c r="BV101" s="309"/>
      <c r="BW101" s="310"/>
      <c r="BX101" s="329"/>
      <c r="BY101" s="329"/>
      <c r="BZ101" s="309"/>
      <c r="CA101" s="310"/>
      <c r="CB101" s="329"/>
      <c r="CC101" s="329"/>
      <c r="CD101" s="309"/>
      <c r="CE101" s="310"/>
      <c r="CF101" s="329"/>
      <c r="CG101" s="329"/>
      <c r="CH101" s="309"/>
      <c r="CI101" s="310"/>
      <c r="CJ101" s="329"/>
      <c r="CK101" s="329"/>
      <c r="CL101" s="309"/>
      <c r="CM101" s="310"/>
      <c r="CN101" s="329"/>
      <c r="CO101" s="329"/>
      <c r="CP101" s="309"/>
      <c r="CQ101" s="310"/>
      <c r="CR101" s="329"/>
      <c r="CS101" s="329"/>
      <c r="CT101" s="309"/>
      <c r="CU101" s="310"/>
      <c r="CV101" s="329"/>
      <c r="CW101" s="329"/>
      <c r="CX101" s="309"/>
      <c r="CY101" s="310"/>
      <c r="CZ101" s="329"/>
      <c r="DA101" s="329"/>
      <c r="DB101" s="309"/>
      <c r="DC101" s="310"/>
      <c r="DD101" s="329"/>
      <c r="DE101" s="329"/>
      <c r="DF101" s="309"/>
      <c r="DG101" s="310"/>
      <c r="DH101" s="329"/>
      <c r="DI101" s="329"/>
      <c r="DJ101" s="309"/>
      <c r="DK101" s="310"/>
      <c r="DL101" s="329"/>
      <c r="DM101" s="329"/>
      <c r="DN101" s="309"/>
      <c r="DO101" s="310"/>
      <c r="DP101" s="329"/>
      <c r="DQ101" s="329"/>
      <c r="DR101" s="309"/>
      <c r="DS101" s="310"/>
      <c r="DT101" s="329"/>
      <c r="DU101" s="329"/>
      <c r="DV101" s="309"/>
      <c r="DW101" s="310"/>
      <c r="DX101" s="329"/>
      <c r="DY101" s="329"/>
      <c r="DZ101" s="309"/>
      <c r="EA101" s="310"/>
      <c r="EB101" s="329"/>
      <c r="EC101" s="329"/>
      <c r="ED101" s="309"/>
      <c r="EE101" s="310"/>
      <c r="EF101" s="329"/>
      <c r="EG101" s="329"/>
      <c r="EH101" s="309"/>
      <c r="EI101" s="310"/>
      <c r="EJ101" s="329"/>
      <c r="EK101" s="329"/>
      <c r="EL101" s="309"/>
      <c r="EM101" s="310"/>
      <c r="EN101" s="329"/>
      <c r="EO101" s="329"/>
      <c r="EP101" s="309"/>
      <c r="EQ101" s="310"/>
      <c r="ER101" s="329"/>
      <c r="ES101" s="329"/>
      <c r="ET101" s="309"/>
      <c r="EU101" s="310"/>
      <c r="EV101" s="329"/>
      <c r="EW101" s="329"/>
      <c r="EX101" s="309"/>
      <c r="EY101" s="310"/>
      <c r="EZ101" s="329"/>
      <c r="FA101" s="329"/>
      <c r="FB101" s="309"/>
      <c r="FC101" s="310"/>
      <c r="FD101" s="329"/>
      <c r="FE101" s="329"/>
      <c r="FF101" s="309"/>
      <c r="FG101" s="310"/>
      <c r="FH101" s="329"/>
      <c r="FI101" s="329"/>
      <c r="FJ101" s="309"/>
      <c r="FK101" s="310"/>
      <c r="FL101" s="329"/>
      <c r="FM101" s="329"/>
      <c r="FN101" s="309"/>
      <c r="FO101" s="310"/>
      <c r="FP101" s="329"/>
      <c r="FQ101" s="329"/>
      <c r="FR101" s="309"/>
      <c r="FS101" s="310"/>
      <c r="FT101" s="329"/>
      <c r="FU101" s="329"/>
      <c r="FV101" s="309"/>
      <c r="FW101" s="310"/>
      <c r="FX101" s="329"/>
      <c r="FY101" s="329"/>
      <c r="FZ101" s="309"/>
      <c r="GA101" s="310"/>
      <c r="GB101" s="329"/>
      <c r="GC101" s="329"/>
      <c r="GD101" s="309"/>
      <c r="GE101" s="310"/>
      <c r="GF101" s="329"/>
      <c r="GG101" s="329"/>
      <c r="GH101" s="309"/>
      <c r="GI101" s="310"/>
      <c r="GJ101" s="329"/>
      <c r="GK101" s="329"/>
      <c r="GL101" s="309"/>
      <c r="GM101" s="310"/>
      <c r="GN101" s="329"/>
      <c r="GO101" s="329"/>
      <c r="GP101" s="309"/>
      <c r="GQ101" s="310"/>
      <c r="GR101" s="329"/>
      <c r="GS101" s="329"/>
      <c r="GT101" s="309"/>
      <c r="GU101" s="310"/>
      <c r="GV101" s="329"/>
      <c r="GW101" s="329"/>
      <c r="GX101" s="309"/>
      <c r="GY101" s="310"/>
      <c r="GZ101" s="329"/>
      <c r="HA101" s="329"/>
      <c r="HB101" s="309"/>
      <c r="HC101" s="312">
        <f t="shared" si="80"/>
        <v>0</v>
      </c>
      <c r="HD101" s="330"/>
      <c r="HE101" s="330"/>
      <c r="HF101" s="314"/>
      <c r="HG101" s="312">
        <f>SUM(SUMIFS(K101:HB101,$K$13:$HB$13,{"エネルギー管理指定工場等*","県域*"}))</f>
        <v>0</v>
      </c>
      <c r="HH101" s="330"/>
      <c r="HI101" s="330"/>
      <c r="HJ101" s="314"/>
      <c r="IE101" s="579"/>
      <c r="IF101" s="579"/>
      <c r="IG101" s="579"/>
      <c r="IH101" s="579"/>
    </row>
    <row r="102" spans="2:242" s="164" customFormat="1" ht="20.100000000000001" customHeight="1">
      <c r="B102" s="302"/>
      <c r="C102" s="327"/>
      <c r="D102" s="358"/>
      <c r="E102" s="335"/>
      <c r="F102" s="303" t="s">
        <v>610</v>
      </c>
      <c r="G102" s="310"/>
      <c r="H102" s="315"/>
      <c r="I102" s="310"/>
      <c r="J102" s="315"/>
      <c r="K102" s="310"/>
      <c r="L102" s="329"/>
      <c r="M102" s="311"/>
      <c r="N102" s="309"/>
      <c r="O102" s="310"/>
      <c r="P102" s="329"/>
      <c r="Q102" s="311"/>
      <c r="R102" s="309"/>
      <c r="S102" s="310"/>
      <c r="T102" s="329"/>
      <c r="U102" s="311"/>
      <c r="V102" s="309"/>
      <c r="W102" s="310"/>
      <c r="X102" s="329"/>
      <c r="Y102" s="311"/>
      <c r="Z102" s="309"/>
      <c r="AA102" s="310"/>
      <c r="AB102" s="329"/>
      <c r="AC102" s="311"/>
      <c r="AD102" s="309"/>
      <c r="AE102" s="310"/>
      <c r="AF102" s="329"/>
      <c r="AG102" s="311"/>
      <c r="AH102" s="309"/>
      <c r="AI102" s="310"/>
      <c r="AJ102" s="329"/>
      <c r="AK102" s="311"/>
      <c r="AL102" s="309"/>
      <c r="AM102" s="310"/>
      <c r="AN102" s="329"/>
      <c r="AO102" s="311"/>
      <c r="AP102" s="309"/>
      <c r="AQ102" s="310"/>
      <c r="AR102" s="329"/>
      <c r="AS102" s="311"/>
      <c r="AT102" s="309"/>
      <c r="AU102" s="310"/>
      <c r="AV102" s="329"/>
      <c r="AW102" s="311"/>
      <c r="AX102" s="309"/>
      <c r="AY102" s="310"/>
      <c r="AZ102" s="329"/>
      <c r="BA102" s="311"/>
      <c r="BB102" s="309"/>
      <c r="BC102" s="310"/>
      <c r="BD102" s="329"/>
      <c r="BE102" s="311"/>
      <c r="BF102" s="309"/>
      <c r="BG102" s="310"/>
      <c r="BH102" s="329"/>
      <c r="BI102" s="311"/>
      <c r="BJ102" s="309"/>
      <c r="BK102" s="310"/>
      <c r="BL102" s="329"/>
      <c r="BM102" s="311"/>
      <c r="BN102" s="309"/>
      <c r="BO102" s="310"/>
      <c r="BP102" s="329"/>
      <c r="BQ102" s="311"/>
      <c r="BR102" s="309"/>
      <c r="BS102" s="310"/>
      <c r="BT102" s="329"/>
      <c r="BU102" s="311"/>
      <c r="BV102" s="309"/>
      <c r="BW102" s="310"/>
      <c r="BX102" s="329"/>
      <c r="BY102" s="311"/>
      <c r="BZ102" s="309"/>
      <c r="CA102" s="310"/>
      <c r="CB102" s="329"/>
      <c r="CC102" s="311"/>
      <c r="CD102" s="309"/>
      <c r="CE102" s="310"/>
      <c r="CF102" s="329"/>
      <c r="CG102" s="311"/>
      <c r="CH102" s="309"/>
      <c r="CI102" s="310"/>
      <c r="CJ102" s="329"/>
      <c r="CK102" s="311"/>
      <c r="CL102" s="309"/>
      <c r="CM102" s="310"/>
      <c r="CN102" s="329"/>
      <c r="CO102" s="311"/>
      <c r="CP102" s="309"/>
      <c r="CQ102" s="310"/>
      <c r="CR102" s="329"/>
      <c r="CS102" s="311"/>
      <c r="CT102" s="309"/>
      <c r="CU102" s="310"/>
      <c r="CV102" s="329"/>
      <c r="CW102" s="311"/>
      <c r="CX102" s="309"/>
      <c r="CY102" s="310"/>
      <c r="CZ102" s="329"/>
      <c r="DA102" s="311"/>
      <c r="DB102" s="309"/>
      <c r="DC102" s="310"/>
      <c r="DD102" s="329"/>
      <c r="DE102" s="311"/>
      <c r="DF102" s="309"/>
      <c r="DG102" s="310"/>
      <c r="DH102" s="329"/>
      <c r="DI102" s="311"/>
      <c r="DJ102" s="309"/>
      <c r="DK102" s="310"/>
      <c r="DL102" s="329"/>
      <c r="DM102" s="311"/>
      <c r="DN102" s="309"/>
      <c r="DO102" s="310"/>
      <c r="DP102" s="329"/>
      <c r="DQ102" s="311"/>
      <c r="DR102" s="309"/>
      <c r="DS102" s="310"/>
      <c r="DT102" s="329"/>
      <c r="DU102" s="311"/>
      <c r="DV102" s="309"/>
      <c r="DW102" s="310"/>
      <c r="DX102" s="329"/>
      <c r="DY102" s="311"/>
      <c r="DZ102" s="309"/>
      <c r="EA102" s="310"/>
      <c r="EB102" s="329"/>
      <c r="EC102" s="311"/>
      <c r="ED102" s="309"/>
      <c r="EE102" s="310"/>
      <c r="EF102" s="329"/>
      <c r="EG102" s="311"/>
      <c r="EH102" s="309"/>
      <c r="EI102" s="310"/>
      <c r="EJ102" s="329"/>
      <c r="EK102" s="311"/>
      <c r="EL102" s="309"/>
      <c r="EM102" s="310"/>
      <c r="EN102" s="329"/>
      <c r="EO102" s="311"/>
      <c r="EP102" s="309"/>
      <c r="EQ102" s="310"/>
      <c r="ER102" s="329"/>
      <c r="ES102" s="311"/>
      <c r="ET102" s="309"/>
      <c r="EU102" s="310"/>
      <c r="EV102" s="329"/>
      <c r="EW102" s="311"/>
      <c r="EX102" s="309"/>
      <c r="EY102" s="310"/>
      <c r="EZ102" s="329"/>
      <c r="FA102" s="311"/>
      <c r="FB102" s="309"/>
      <c r="FC102" s="310"/>
      <c r="FD102" s="329"/>
      <c r="FE102" s="311"/>
      <c r="FF102" s="309"/>
      <c r="FG102" s="310"/>
      <c r="FH102" s="329"/>
      <c r="FI102" s="311"/>
      <c r="FJ102" s="309"/>
      <c r="FK102" s="310"/>
      <c r="FL102" s="329"/>
      <c r="FM102" s="311"/>
      <c r="FN102" s="309"/>
      <c r="FO102" s="310"/>
      <c r="FP102" s="329"/>
      <c r="FQ102" s="311"/>
      <c r="FR102" s="309"/>
      <c r="FS102" s="310"/>
      <c r="FT102" s="329"/>
      <c r="FU102" s="311"/>
      <c r="FV102" s="309"/>
      <c r="FW102" s="310"/>
      <c r="FX102" s="329"/>
      <c r="FY102" s="311"/>
      <c r="FZ102" s="309"/>
      <c r="GA102" s="310"/>
      <c r="GB102" s="329"/>
      <c r="GC102" s="311"/>
      <c r="GD102" s="309"/>
      <c r="GE102" s="310"/>
      <c r="GF102" s="329"/>
      <c r="GG102" s="311"/>
      <c r="GH102" s="309"/>
      <c r="GI102" s="310"/>
      <c r="GJ102" s="329"/>
      <c r="GK102" s="311"/>
      <c r="GL102" s="309"/>
      <c r="GM102" s="310"/>
      <c r="GN102" s="329"/>
      <c r="GO102" s="311"/>
      <c r="GP102" s="309"/>
      <c r="GQ102" s="310"/>
      <c r="GR102" s="329"/>
      <c r="GS102" s="311"/>
      <c r="GT102" s="309"/>
      <c r="GU102" s="310"/>
      <c r="GV102" s="329"/>
      <c r="GW102" s="311"/>
      <c r="GX102" s="309"/>
      <c r="GY102" s="310"/>
      <c r="GZ102" s="329"/>
      <c r="HA102" s="311"/>
      <c r="HB102" s="309"/>
      <c r="HC102" s="312">
        <f t="shared" si="80"/>
        <v>0</v>
      </c>
      <c r="HD102" s="330"/>
      <c r="HE102" s="313">
        <f t="shared" si="81"/>
        <v>0</v>
      </c>
      <c r="HF102" s="314"/>
      <c r="HG102" s="312">
        <f>SUM(SUMIFS(K102:HB102,$K$13:$HB$13,{"エネルギー管理指定工場等*","県域*"}))</f>
        <v>0</v>
      </c>
      <c r="HH102" s="330"/>
      <c r="HI102" s="313">
        <f>SUM(SUMIFS(M102:HD102,$K$13:$HB$13,{"エネルギー管理指定工場等*","県域*"}))</f>
        <v>0</v>
      </c>
      <c r="HJ102" s="314"/>
      <c r="IE102" s="579"/>
      <c r="IF102" s="579"/>
      <c r="IG102" s="579"/>
      <c r="IH102" s="579"/>
    </row>
    <row r="103" spans="2:242" s="164" customFormat="1" ht="20.100000000000001" customHeight="1">
      <c r="B103" s="302"/>
      <c r="C103" s="318"/>
      <c r="D103" s="359"/>
      <c r="E103" s="360"/>
      <c r="F103" s="303" t="s">
        <v>463</v>
      </c>
      <c r="G103" s="310"/>
      <c r="H103" s="315"/>
      <c r="I103" s="310"/>
      <c r="J103" s="315"/>
      <c r="K103" s="310"/>
      <c r="L103" s="329"/>
      <c r="M103" s="329"/>
      <c r="N103" s="309"/>
      <c r="O103" s="310"/>
      <c r="P103" s="329"/>
      <c r="Q103" s="329"/>
      <c r="R103" s="309"/>
      <c r="S103" s="310"/>
      <c r="T103" s="329"/>
      <c r="U103" s="329"/>
      <c r="V103" s="309"/>
      <c r="W103" s="310"/>
      <c r="X103" s="329"/>
      <c r="Y103" s="329"/>
      <c r="Z103" s="309"/>
      <c r="AA103" s="310"/>
      <c r="AB103" s="329"/>
      <c r="AC103" s="329"/>
      <c r="AD103" s="309"/>
      <c r="AE103" s="310"/>
      <c r="AF103" s="329"/>
      <c r="AG103" s="329"/>
      <c r="AH103" s="309"/>
      <c r="AI103" s="310"/>
      <c r="AJ103" s="329"/>
      <c r="AK103" s="329"/>
      <c r="AL103" s="309"/>
      <c r="AM103" s="310"/>
      <c r="AN103" s="329"/>
      <c r="AO103" s="329"/>
      <c r="AP103" s="309"/>
      <c r="AQ103" s="310"/>
      <c r="AR103" s="329"/>
      <c r="AS103" s="329"/>
      <c r="AT103" s="309"/>
      <c r="AU103" s="310"/>
      <c r="AV103" s="329"/>
      <c r="AW103" s="329"/>
      <c r="AX103" s="309"/>
      <c r="AY103" s="310"/>
      <c r="AZ103" s="329"/>
      <c r="BA103" s="329"/>
      <c r="BB103" s="309"/>
      <c r="BC103" s="310"/>
      <c r="BD103" s="329"/>
      <c r="BE103" s="329"/>
      <c r="BF103" s="309"/>
      <c r="BG103" s="310"/>
      <c r="BH103" s="329"/>
      <c r="BI103" s="329"/>
      <c r="BJ103" s="309"/>
      <c r="BK103" s="310"/>
      <c r="BL103" s="329"/>
      <c r="BM103" s="329"/>
      <c r="BN103" s="309"/>
      <c r="BO103" s="310"/>
      <c r="BP103" s="329"/>
      <c r="BQ103" s="329"/>
      <c r="BR103" s="309"/>
      <c r="BS103" s="310"/>
      <c r="BT103" s="329"/>
      <c r="BU103" s="329"/>
      <c r="BV103" s="309"/>
      <c r="BW103" s="310"/>
      <c r="BX103" s="329"/>
      <c r="BY103" s="329"/>
      <c r="BZ103" s="309"/>
      <c r="CA103" s="310"/>
      <c r="CB103" s="329"/>
      <c r="CC103" s="329"/>
      <c r="CD103" s="309"/>
      <c r="CE103" s="310"/>
      <c r="CF103" s="329"/>
      <c r="CG103" s="329"/>
      <c r="CH103" s="309"/>
      <c r="CI103" s="310"/>
      <c r="CJ103" s="329"/>
      <c r="CK103" s="329"/>
      <c r="CL103" s="309"/>
      <c r="CM103" s="310"/>
      <c r="CN103" s="329"/>
      <c r="CO103" s="329"/>
      <c r="CP103" s="309"/>
      <c r="CQ103" s="310"/>
      <c r="CR103" s="329"/>
      <c r="CS103" s="329"/>
      <c r="CT103" s="309"/>
      <c r="CU103" s="310"/>
      <c r="CV103" s="329"/>
      <c r="CW103" s="329"/>
      <c r="CX103" s="309"/>
      <c r="CY103" s="310"/>
      <c r="CZ103" s="329"/>
      <c r="DA103" s="329"/>
      <c r="DB103" s="309"/>
      <c r="DC103" s="310"/>
      <c r="DD103" s="329"/>
      <c r="DE103" s="329"/>
      <c r="DF103" s="309"/>
      <c r="DG103" s="310"/>
      <c r="DH103" s="329"/>
      <c r="DI103" s="329"/>
      <c r="DJ103" s="309"/>
      <c r="DK103" s="310"/>
      <c r="DL103" s="329"/>
      <c r="DM103" s="329"/>
      <c r="DN103" s="309"/>
      <c r="DO103" s="310"/>
      <c r="DP103" s="329"/>
      <c r="DQ103" s="329"/>
      <c r="DR103" s="309"/>
      <c r="DS103" s="310"/>
      <c r="DT103" s="329"/>
      <c r="DU103" s="329"/>
      <c r="DV103" s="309"/>
      <c r="DW103" s="310"/>
      <c r="DX103" s="329"/>
      <c r="DY103" s="329"/>
      <c r="DZ103" s="309"/>
      <c r="EA103" s="310"/>
      <c r="EB103" s="329"/>
      <c r="EC103" s="329"/>
      <c r="ED103" s="309"/>
      <c r="EE103" s="310"/>
      <c r="EF103" s="329"/>
      <c r="EG103" s="329"/>
      <c r="EH103" s="309"/>
      <c r="EI103" s="310"/>
      <c r="EJ103" s="329"/>
      <c r="EK103" s="329"/>
      <c r="EL103" s="309"/>
      <c r="EM103" s="310"/>
      <c r="EN103" s="329"/>
      <c r="EO103" s="329"/>
      <c r="EP103" s="309"/>
      <c r="EQ103" s="310"/>
      <c r="ER103" s="329"/>
      <c r="ES103" s="329"/>
      <c r="ET103" s="309"/>
      <c r="EU103" s="310"/>
      <c r="EV103" s="329"/>
      <c r="EW103" s="329"/>
      <c r="EX103" s="309"/>
      <c r="EY103" s="310"/>
      <c r="EZ103" s="329"/>
      <c r="FA103" s="329"/>
      <c r="FB103" s="309"/>
      <c r="FC103" s="310"/>
      <c r="FD103" s="329"/>
      <c r="FE103" s="329"/>
      <c r="FF103" s="309"/>
      <c r="FG103" s="310"/>
      <c r="FH103" s="329"/>
      <c r="FI103" s="329"/>
      <c r="FJ103" s="309"/>
      <c r="FK103" s="310"/>
      <c r="FL103" s="329"/>
      <c r="FM103" s="329"/>
      <c r="FN103" s="309"/>
      <c r="FO103" s="310"/>
      <c r="FP103" s="329"/>
      <c r="FQ103" s="329"/>
      <c r="FR103" s="309"/>
      <c r="FS103" s="310"/>
      <c r="FT103" s="329"/>
      <c r="FU103" s="329"/>
      <c r="FV103" s="309"/>
      <c r="FW103" s="310"/>
      <c r="FX103" s="329"/>
      <c r="FY103" s="329"/>
      <c r="FZ103" s="309"/>
      <c r="GA103" s="310"/>
      <c r="GB103" s="329"/>
      <c r="GC103" s="329"/>
      <c r="GD103" s="309"/>
      <c r="GE103" s="310"/>
      <c r="GF103" s="329"/>
      <c r="GG103" s="329"/>
      <c r="GH103" s="309"/>
      <c r="GI103" s="310"/>
      <c r="GJ103" s="329"/>
      <c r="GK103" s="329"/>
      <c r="GL103" s="309"/>
      <c r="GM103" s="310"/>
      <c r="GN103" s="329"/>
      <c r="GO103" s="329"/>
      <c r="GP103" s="309"/>
      <c r="GQ103" s="310"/>
      <c r="GR103" s="329"/>
      <c r="GS103" s="329"/>
      <c r="GT103" s="309"/>
      <c r="GU103" s="310"/>
      <c r="GV103" s="329"/>
      <c r="GW103" s="329"/>
      <c r="GX103" s="309"/>
      <c r="GY103" s="310"/>
      <c r="GZ103" s="329"/>
      <c r="HA103" s="329"/>
      <c r="HB103" s="309"/>
      <c r="HC103" s="312">
        <f t="shared" si="80"/>
        <v>0</v>
      </c>
      <c r="HD103" s="330"/>
      <c r="HE103" s="330"/>
      <c r="HF103" s="314"/>
      <c r="HG103" s="312">
        <f>SUM(SUMIFS(K103:HB103,$K$13:$HB$13,{"エネルギー管理指定工場等*","県域*"}))</f>
        <v>0</v>
      </c>
      <c r="HH103" s="330"/>
      <c r="HI103" s="330"/>
      <c r="HJ103" s="314"/>
      <c r="IE103" s="579"/>
      <c r="IF103" s="579"/>
      <c r="IG103" s="579"/>
      <c r="IH103" s="579"/>
    </row>
    <row r="104" spans="2:242" s="164" customFormat="1" ht="20.100000000000001" customHeight="1">
      <c r="B104" s="302"/>
      <c r="C104" s="327" t="s">
        <v>1387</v>
      </c>
      <c r="D104" s="303" t="s">
        <v>1388</v>
      </c>
      <c r="E104" s="335"/>
      <c r="F104" s="303" t="s">
        <v>610</v>
      </c>
      <c r="G104" s="306">
        <v>8.64</v>
      </c>
      <c r="H104" s="315"/>
      <c r="I104" s="310"/>
      <c r="J104" s="315"/>
      <c r="K104" s="310"/>
      <c r="L104" s="329"/>
      <c r="M104" s="311"/>
      <c r="N104" s="309"/>
      <c r="O104" s="310"/>
      <c r="P104" s="329"/>
      <c r="Q104" s="311"/>
      <c r="R104" s="309"/>
      <c r="S104" s="310"/>
      <c r="T104" s="329"/>
      <c r="U104" s="311"/>
      <c r="V104" s="309"/>
      <c r="W104" s="310"/>
      <c r="X104" s="329"/>
      <c r="Y104" s="311"/>
      <c r="Z104" s="309"/>
      <c r="AA104" s="310"/>
      <c r="AB104" s="329"/>
      <c r="AC104" s="311"/>
      <c r="AD104" s="309"/>
      <c r="AE104" s="310"/>
      <c r="AF104" s="329"/>
      <c r="AG104" s="311"/>
      <c r="AH104" s="309"/>
      <c r="AI104" s="310"/>
      <c r="AJ104" s="329"/>
      <c r="AK104" s="311"/>
      <c r="AL104" s="309"/>
      <c r="AM104" s="310"/>
      <c r="AN104" s="329"/>
      <c r="AO104" s="311"/>
      <c r="AP104" s="309"/>
      <c r="AQ104" s="310"/>
      <c r="AR104" s="329"/>
      <c r="AS104" s="311"/>
      <c r="AT104" s="309"/>
      <c r="AU104" s="310"/>
      <c r="AV104" s="329"/>
      <c r="AW104" s="311"/>
      <c r="AX104" s="309"/>
      <c r="AY104" s="310"/>
      <c r="AZ104" s="329"/>
      <c r="BA104" s="311"/>
      <c r="BB104" s="309"/>
      <c r="BC104" s="310"/>
      <c r="BD104" s="329"/>
      <c r="BE104" s="311"/>
      <c r="BF104" s="309"/>
      <c r="BG104" s="310"/>
      <c r="BH104" s="329"/>
      <c r="BI104" s="311"/>
      <c r="BJ104" s="309"/>
      <c r="BK104" s="310"/>
      <c r="BL104" s="329"/>
      <c r="BM104" s="311"/>
      <c r="BN104" s="309"/>
      <c r="BO104" s="310"/>
      <c r="BP104" s="329"/>
      <c r="BQ104" s="311"/>
      <c r="BR104" s="309"/>
      <c r="BS104" s="310"/>
      <c r="BT104" s="329"/>
      <c r="BU104" s="311"/>
      <c r="BV104" s="309"/>
      <c r="BW104" s="310"/>
      <c r="BX104" s="329"/>
      <c r="BY104" s="311"/>
      <c r="BZ104" s="309"/>
      <c r="CA104" s="310"/>
      <c r="CB104" s="329"/>
      <c r="CC104" s="311"/>
      <c r="CD104" s="309"/>
      <c r="CE104" s="310"/>
      <c r="CF104" s="329"/>
      <c r="CG104" s="311"/>
      <c r="CH104" s="309"/>
      <c r="CI104" s="310"/>
      <c r="CJ104" s="329"/>
      <c r="CK104" s="311"/>
      <c r="CL104" s="309"/>
      <c r="CM104" s="310"/>
      <c r="CN104" s="329"/>
      <c r="CO104" s="311"/>
      <c r="CP104" s="309"/>
      <c r="CQ104" s="310"/>
      <c r="CR104" s="329"/>
      <c r="CS104" s="311"/>
      <c r="CT104" s="309"/>
      <c r="CU104" s="310"/>
      <c r="CV104" s="329"/>
      <c r="CW104" s="311"/>
      <c r="CX104" s="309"/>
      <c r="CY104" s="310"/>
      <c r="CZ104" s="329"/>
      <c r="DA104" s="311"/>
      <c r="DB104" s="309"/>
      <c r="DC104" s="310"/>
      <c r="DD104" s="329"/>
      <c r="DE104" s="311"/>
      <c r="DF104" s="309"/>
      <c r="DG104" s="310"/>
      <c r="DH104" s="329"/>
      <c r="DI104" s="311"/>
      <c r="DJ104" s="309"/>
      <c r="DK104" s="310"/>
      <c r="DL104" s="329"/>
      <c r="DM104" s="311"/>
      <c r="DN104" s="309"/>
      <c r="DO104" s="310"/>
      <c r="DP104" s="329"/>
      <c r="DQ104" s="311"/>
      <c r="DR104" s="309"/>
      <c r="DS104" s="310"/>
      <c r="DT104" s="329"/>
      <c r="DU104" s="311"/>
      <c r="DV104" s="309"/>
      <c r="DW104" s="310"/>
      <c r="DX104" s="329"/>
      <c r="DY104" s="311"/>
      <c r="DZ104" s="309"/>
      <c r="EA104" s="310"/>
      <c r="EB104" s="329"/>
      <c r="EC104" s="311"/>
      <c r="ED104" s="309"/>
      <c r="EE104" s="310"/>
      <c r="EF104" s="329"/>
      <c r="EG104" s="311"/>
      <c r="EH104" s="309"/>
      <c r="EI104" s="310"/>
      <c r="EJ104" s="329"/>
      <c r="EK104" s="311"/>
      <c r="EL104" s="309"/>
      <c r="EM104" s="310"/>
      <c r="EN104" s="329"/>
      <c r="EO104" s="311"/>
      <c r="EP104" s="309"/>
      <c r="EQ104" s="310"/>
      <c r="ER104" s="329"/>
      <c r="ES104" s="311"/>
      <c r="ET104" s="309"/>
      <c r="EU104" s="310"/>
      <c r="EV104" s="329"/>
      <c r="EW104" s="311"/>
      <c r="EX104" s="309"/>
      <c r="EY104" s="310"/>
      <c r="EZ104" s="329"/>
      <c r="FA104" s="311"/>
      <c r="FB104" s="309"/>
      <c r="FC104" s="310"/>
      <c r="FD104" s="329"/>
      <c r="FE104" s="311"/>
      <c r="FF104" s="309"/>
      <c r="FG104" s="310"/>
      <c r="FH104" s="329"/>
      <c r="FI104" s="311"/>
      <c r="FJ104" s="309"/>
      <c r="FK104" s="310"/>
      <c r="FL104" s="329"/>
      <c r="FM104" s="311"/>
      <c r="FN104" s="309"/>
      <c r="FO104" s="310"/>
      <c r="FP104" s="329"/>
      <c r="FQ104" s="311"/>
      <c r="FR104" s="309"/>
      <c r="FS104" s="310"/>
      <c r="FT104" s="329"/>
      <c r="FU104" s="311"/>
      <c r="FV104" s="309"/>
      <c r="FW104" s="310"/>
      <c r="FX104" s="329"/>
      <c r="FY104" s="311"/>
      <c r="FZ104" s="309"/>
      <c r="GA104" s="310"/>
      <c r="GB104" s="329"/>
      <c r="GC104" s="311"/>
      <c r="GD104" s="309"/>
      <c r="GE104" s="310"/>
      <c r="GF104" s="329"/>
      <c r="GG104" s="311"/>
      <c r="GH104" s="309"/>
      <c r="GI104" s="310"/>
      <c r="GJ104" s="329"/>
      <c r="GK104" s="311"/>
      <c r="GL104" s="309"/>
      <c r="GM104" s="310"/>
      <c r="GN104" s="329"/>
      <c r="GO104" s="311"/>
      <c r="GP104" s="309"/>
      <c r="GQ104" s="310"/>
      <c r="GR104" s="329"/>
      <c r="GS104" s="311"/>
      <c r="GT104" s="309"/>
      <c r="GU104" s="310"/>
      <c r="GV104" s="329"/>
      <c r="GW104" s="311"/>
      <c r="GX104" s="309"/>
      <c r="GY104" s="310"/>
      <c r="GZ104" s="329"/>
      <c r="HA104" s="311"/>
      <c r="HB104" s="309"/>
      <c r="HC104" s="312">
        <f t="shared" si="80"/>
        <v>0</v>
      </c>
      <c r="HD104" s="330"/>
      <c r="HE104" s="313">
        <f t="shared" si="81"/>
        <v>0</v>
      </c>
      <c r="HF104" s="314"/>
      <c r="HG104" s="312">
        <f>SUM(SUMIFS(K104:HB104,$K$13:$HB$13,{"エネルギー管理指定工場等*","県域*"}))</f>
        <v>0</v>
      </c>
      <c r="HH104" s="330"/>
      <c r="HI104" s="313">
        <f>SUM(SUMIFS(M104:HD104,$K$13:$HB$13,{"エネルギー管理指定工場等*","県域*"}))</f>
        <v>0</v>
      </c>
      <c r="HJ104" s="314"/>
      <c r="IE104" s="579"/>
      <c r="IF104" s="579"/>
      <c r="IG104" s="579"/>
      <c r="IH104" s="579"/>
    </row>
    <row r="105" spans="2:242" s="164" customFormat="1" ht="20.100000000000001" customHeight="1">
      <c r="B105" s="302"/>
      <c r="C105" s="318"/>
      <c r="D105" s="303" t="s">
        <v>624</v>
      </c>
      <c r="E105" s="335"/>
      <c r="F105" s="303" t="s">
        <v>610</v>
      </c>
      <c r="G105" s="306">
        <v>8.64</v>
      </c>
      <c r="H105" s="315"/>
      <c r="I105" s="310"/>
      <c r="J105" s="315"/>
      <c r="K105" s="310"/>
      <c r="L105" s="329"/>
      <c r="M105" s="311"/>
      <c r="N105" s="309"/>
      <c r="O105" s="310"/>
      <c r="P105" s="329"/>
      <c r="Q105" s="311"/>
      <c r="R105" s="309"/>
      <c r="S105" s="310"/>
      <c r="T105" s="329"/>
      <c r="U105" s="311"/>
      <c r="V105" s="309"/>
      <c r="W105" s="310"/>
      <c r="X105" s="329"/>
      <c r="Y105" s="311"/>
      <c r="Z105" s="309"/>
      <c r="AA105" s="310"/>
      <c r="AB105" s="329"/>
      <c r="AC105" s="311"/>
      <c r="AD105" s="309"/>
      <c r="AE105" s="310"/>
      <c r="AF105" s="329"/>
      <c r="AG105" s="311"/>
      <c r="AH105" s="309"/>
      <c r="AI105" s="310"/>
      <c r="AJ105" s="329"/>
      <c r="AK105" s="311"/>
      <c r="AL105" s="309"/>
      <c r="AM105" s="310"/>
      <c r="AN105" s="329"/>
      <c r="AO105" s="311"/>
      <c r="AP105" s="309"/>
      <c r="AQ105" s="310"/>
      <c r="AR105" s="329"/>
      <c r="AS105" s="311"/>
      <c r="AT105" s="309"/>
      <c r="AU105" s="310"/>
      <c r="AV105" s="329"/>
      <c r="AW105" s="311"/>
      <c r="AX105" s="309"/>
      <c r="AY105" s="310"/>
      <c r="AZ105" s="329"/>
      <c r="BA105" s="311"/>
      <c r="BB105" s="309"/>
      <c r="BC105" s="310"/>
      <c r="BD105" s="329"/>
      <c r="BE105" s="311"/>
      <c r="BF105" s="309"/>
      <c r="BG105" s="310"/>
      <c r="BH105" s="329"/>
      <c r="BI105" s="311"/>
      <c r="BJ105" s="309"/>
      <c r="BK105" s="310"/>
      <c r="BL105" s="329"/>
      <c r="BM105" s="311"/>
      <c r="BN105" s="309"/>
      <c r="BO105" s="310"/>
      <c r="BP105" s="329"/>
      <c r="BQ105" s="311"/>
      <c r="BR105" s="309"/>
      <c r="BS105" s="310"/>
      <c r="BT105" s="329"/>
      <c r="BU105" s="311"/>
      <c r="BV105" s="309"/>
      <c r="BW105" s="310"/>
      <c r="BX105" s="329"/>
      <c r="BY105" s="311"/>
      <c r="BZ105" s="309"/>
      <c r="CA105" s="310"/>
      <c r="CB105" s="329"/>
      <c r="CC105" s="311"/>
      <c r="CD105" s="309"/>
      <c r="CE105" s="310"/>
      <c r="CF105" s="329"/>
      <c r="CG105" s="311"/>
      <c r="CH105" s="309"/>
      <c r="CI105" s="310"/>
      <c r="CJ105" s="329"/>
      <c r="CK105" s="311"/>
      <c r="CL105" s="309"/>
      <c r="CM105" s="310"/>
      <c r="CN105" s="329"/>
      <c r="CO105" s="311"/>
      <c r="CP105" s="309"/>
      <c r="CQ105" s="310"/>
      <c r="CR105" s="329"/>
      <c r="CS105" s="311"/>
      <c r="CT105" s="309"/>
      <c r="CU105" s="310"/>
      <c r="CV105" s="329"/>
      <c r="CW105" s="311"/>
      <c r="CX105" s="309"/>
      <c r="CY105" s="310"/>
      <c r="CZ105" s="329"/>
      <c r="DA105" s="311"/>
      <c r="DB105" s="309"/>
      <c r="DC105" s="310"/>
      <c r="DD105" s="329"/>
      <c r="DE105" s="311"/>
      <c r="DF105" s="309"/>
      <c r="DG105" s="310"/>
      <c r="DH105" s="329"/>
      <c r="DI105" s="311"/>
      <c r="DJ105" s="309"/>
      <c r="DK105" s="310"/>
      <c r="DL105" s="329"/>
      <c r="DM105" s="311"/>
      <c r="DN105" s="309"/>
      <c r="DO105" s="310"/>
      <c r="DP105" s="329"/>
      <c r="DQ105" s="311"/>
      <c r="DR105" s="309"/>
      <c r="DS105" s="310"/>
      <c r="DT105" s="329"/>
      <c r="DU105" s="311"/>
      <c r="DV105" s="309"/>
      <c r="DW105" s="310"/>
      <c r="DX105" s="329"/>
      <c r="DY105" s="311"/>
      <c r="DZ105" s="309"/>
      <c r="EA105" s="310"/>
      <c r="EB105" s="329"/>
      <c r="EC105" s="311"/>
      <c r="ED105" s="309"/>
      <c r="EE105" s="310"/>
      <c r="EF105" s="329"/>
      <c r="EG105" s="311"/>
      <c r="EH105" s="309"/>
      <c r="EI105" s="310"/>
      <c r="EJ105" s="329"/>
      <c r="EK105" s="311"/>
      <c r="EL105" s="309"/>
      <c r="EM105" s="310"/>
      <c r="EN105" s="329"/>
      <c r="EO105" s="311"/>
      <c r="EP105" s="309"/>
      <c r="EQ105" s="310"/>
      <c r="ER105" s="329"/>
      <c r="ES105" s="311"/>
      <c r="ET105" s="309"/>
      <c r="EU105" s="310"/>
      <c r="EV105" s="329"/>
      <c r="EW105" s="311"/>
      <c r="EX105" s="309"/>
      <c r="EY105" s="310"/>
      <c r="EZ105" s="329"/>
      <c r="FA105" s="311"/>
      <c r="FB105" s="309"/>
      <c r="FC105" s="310"/>
      <c r="FD105" s="329"/>
      <c r="FE105" s="311"/>
      <c r="FF105" s="309"/>
      <c r="FG105" s="310"/>
      <c r="FH105" s="329"/>
      <c r="FI105" s="311"/>
      <c r="FJ105" s="309"/>
      <c r="FK105" s="310"/>
      <c r="FL105" s="329"/>
      <c r="FM105" s="311"/>
      <c r="FN105" s="309"/>
      <c r="FO105" s="310"/>
      <c r="FP105" s="329"/>
      <c r="FQ105" s="311"/>
      <c r="FR105" s="309"/>
      <c r="FS105" s="310"/>
      <c r="FT105" s="329"/>
      <c r="FU105" s="311"/>
      <c r="FV105" s="309"/>
      <c r="FW105" s="310"/>
      <c r="FX105" s="329"/>
      <c r="FY105" s="311"/>
      <c r="FZ105" s="309"/>
      <c r="GA105" s="310"/>
      <c r="GB105" s="329"/>
      <c r="GC105" s="311"/>
      <c r="GD105" s="309"/>
      <c r="GE105" s="310"/>
      <c r="GF105" s="329"/>
      <c r="GG105" s="311"/>
      <c r="GH105" s="309"/>
      <c r="GI105" s="310"/>
      <c r="GJ105" s="329"/>
      <c r="GK105" s="311"/>
      <c r="GL105" s="309"/>
      <c r="GM105" s="310"/>
      <c r="GN105" s="329"/>
      <c r="GO105" s="311"/>
      <c r="GP105" s="309"/>
      <c r="GQ105" s="310"/>
      <c r="GR105" s="329"/>
      <c r="GS105" s="311"/>
      <c r="GT105" s="309"/>
      <c r="GU105" s="310"/>
      <c r="GV105" s="329"/>
      <c r="GW105" s="311"/>
      <c r="GX105" s="309"/>
      <c r="GY105" s="310"/>
      <c r="GZ105" s="329"/>
      <c r="HA105" s="311"/>
      <c r="HB105" s="309"/>
      <c r="HC105" s="312">
        <f t="shared" si="80"/>
        <v>0</v>
      </c>
      <c r="HD105" s="330"/>
      <c r="HE105" s="313">
        <f t="shared" si="81"/>
        <v>0</v>
      </c>
      <c r="HF105" s="314"/>
      <c r="HG105" s="312">
        <f>SUM(SUMIFS(K105:HB105,$K$13:$HB$13,{"エネルギー管理指定工場等*","県域*"}))</f>
        <v>0</v>
      </c>
      <c r="HH105" s="330"/>
      <c r="HI105" s="313">
        <f>SUM(SUMIFS(M105:HD105,$K$13:$HB$13,{"エネルギー管理指定工場等*","県域*"}))</f>
        <v>0</v>
      </c>
      <c r="HJ105" s="314"/>
      <c r="IE105" s="579"/>
      <c r="IF105" s="579"/>
      <c r="IG105" s="579"/>
      <c r="IH105" s="579"/>
    </row>
    <row r="106" spans="2:242" s="164" customFormat="1" ht="20.100000000000001" customHeight="1">
      <c r="B106" s="302"/>
      <c r="C106" s="327" t="s">
        <v>1389</v>
      </c>
      <c r="D106" s="303" t="s">
        <v>1388</v>
      </c>
      <c r="E106" s="335"/>
      <c r="F106" s="303" t="s">
        <v>610</v>
      </c>
      <c r="G106" s="306">
        <v>8.64</v>
      </c>
      <c r="H106" s="315"/>
      <c r="I106" s="310"/>
      <c r="J106" s="315"/>
      <c r="K106" s="310"/>
      <c r="L106" s="329"/>
      <c r="M106" s="311"/>
      <c r="N106" s="309"/>
      <c r="O106" s="310"/>
      <c r="P106" s="329"/>
      <c r="Q106" s="311"/>
      <c r="R106" s="309"/>
      <c r="S106" s="310"/>
      <c r="T106" s="329"/>
      <c r="U106" s="311"/>
      <c r="V106" s="309"/>
      <c r="W106" s="310"/>
      <c r="X106" s="329"/>
      <c r="Y106" s="311"/>
      <c r="Z106" s="309"/>
      <c r="AA106" s="310"/>
      <c r="AB106" s="329"/>
      <c r="AC106" s="311"/>
      <c r="AD106" s="309"/>
      <c r="AE106" s="310"/>
      <c r="AF106" s="329"/>
      <c r="AG106" s="311"/>
      <c r="AH106" s="309"/>
      <c r="AI106" s="310"/>
      <c r="AJ106" s="329"/>
      <c r="AK106" s="311"/>
      <c r="AL106" s="309"/>
      <c r="AM106" s="310"/>
      <c r="AN106" s="329"/>
      <c r="AO106" s="311"/>
      <c r="AP106" s="309"/>
      <c r="AQ106" s="310"/>
      <c r="AR106" s="329"/>
      <c r="AS106" s="311"/>
      <c r="AT106" s="309"/>
      <c r="AU106" s="310"/>
      <c r="AV106" s="329"/>
      <c r="AW106" s="311"/>
      <c r="AX106" s="309"/>
      <c r="AY106" s="310"/>
      <c r="AZ106" s="329"/>
      <c r="BA106" s="311"/>
      <c r="BB106" s="309"/>
      <c r="BC106" s="310"/>
      <c r="BD106" s="329"/>
      <c r="BE106" s="311"/>
      <c r="BF106" s="309"/>
      <c r="BG106" s="310"/>
      <c r="BH106" s="329"/>
      <c r="BI106" s="311"/>
      <c r="BJ106" s="309"/>
      <c r="BK106" s="310"/>
      <c r="BL106" s="329"/>
      <c r="BM106" s="311"/>
      <c r="BN106" s="309"/>
      <c r="BO106" s="310"/>
      <c r="BP106" s="329"/>
      <c r="BQ106" s="311"/>
      <c r="BR106" s="309"/>
      <c r="BS106" s="310"/>
      <c r="BT106" s="329"/>
      <c r="BU106" s="311"/>
      <c r="BV106" s="309"/>
      <c r="BW106" s="310"/>
      <c r="BX106" s="329"/>
      <c r="BY106" s="311"/>
      <c r="BZ106" s="309"/>
      <c r="CA106" s="310"/>
      <c r="CB106" s="329"/>
      <c r="CC106" s="311"/>
      <c r="CD106" s="309"/>
      <c r="CE106" s="310"/>
      <c r="CF106" s="329"/>
      <c r="CG106" s="311"/>
      <c r="CH106" s="309"/>
      <c r="CI106" s="310"/>
      <c r="CJ106" s="329"/>
      <c r="CK106" s="311"/>
      <c r="CL106" s="309"/>
      <c r="CM106" s="310"/>
      <c r="CN106" s="329"/>
      <c r="CO106" s="311"/>
      <c r="CP106" s="309"/>
      <c r="CQ106" s="310"/>
      <c r="CR106" s="329"/>
      <c r="CS106" s="311"/>
      <c r="CT106" s="309"/>
      <c r="CU106" s="310"/>
      <c r="CV106" s="329"/>
      <c r="CW106" s="311"/>
      <c r="CX106" s="309"/>
      <c r="CY106" s="310"/>
      <c r="CZ106" s="329"/>
      <c r="DA106" s="311"/>
      <c r="DB106" s="309"/>
      <c r="DC106" s="310"/>
      <c r="DD106" s="329"/>
      <c r="DE106" s="311"/>
      <c r="DF106" s="309"/>
      <c r="DG106" s="310"/>
      <c r="DH106" s="329"/>
      <c r="DI106" s="311"/>
      <c r="DJ106" s="309"/>
      <c r="DK106" s="310"/>
      <c r="DL106" s="329"/>
      <c r="DM106" s="311"/>
      <c r="DN106" s="309"/>
      <c r="DO106" s="310"/>
      <c r="DP106" s="329"/>
      <c r="DQ106" s="311"/>
      <c r="DR106" s="309"/>
      <c r="DS106" s="310"/>
      <c r="DT106" s="329"/>
      <c r="DU106" s="311"/>
      <c r="DV106" s="309"/>
      <c r="DW106" s="310"/>
      <c r="DX106" s="329"/>
      <c r="DY106" s="311"/>
      <c r="DZ106" s="309"/>
      <c r="EA106" s="310"/>
      <c r="EB106" s="329"/>
      <c r="EC106" s="311"/>
      <c r="ED106" s="309"/>
      <c r="EE106" s="310"/>
      <c r="EF106" s="329"/>
      <c r="EG106" s="311"/>
      <c r="EH106" s="309"/>
      <c r="EI106" s="310"/>
      <c r="EJ106" s="329"/>
      <c r="EK106" s="311"/>
      <c r="EL106" s="309"/>
      <c r="EM106" s="310"/>
      <c r="EN106" s="329"/>
      <c r="EO106" s="311"/>
      <c r="EP106" s="309"/>
      <c r="EQ106" s="310"/>
      <c r="ER106" s="329"/>
      <c r="ES106" s="311"/>
      <c r="ET106" s="309"/>
      <c r="EU106" s="310"/>
      <c r="EV106" s="329"/>
      <c r="EW106" s="311"/>
      <c r="EX106" s="309"/>
      <c r="EY106" s="310"/>
      <c r="EZ106" s="329"/>
      <c r="FA106" s="311"/>
      <c r="FB106" s="309"/>
      <c r="FC106" s="310"/>
      <c r="FD106" s="329"/>
      <c r="FE106" s="311"/>
      <c r="FF106" s="309"/>
      <c r="FG106" s="310"/>
      <c r="FH106" s="329"/>
      <c r="FI106" s="311"/>
      <c r="FJ106" s="309"/>
      <c r="FK106" s="310"/>
      <c r="FL106" s="329"/>
      <c r="FM106" s="311"/>
      <c r="FN106" s="309"/>
      <c r="FO106" s="310"/>
      <c r="FP106" s="329"/>
      <c r="FQ106" s="311"/>
      <c r="FR106" s="309"/>
      <c r="FS106" s="310"/>
      <c r="FT106" s="329"/>
      <c r="FU106" s="311"/>
      <c r="FV106" s="309"/>
      <c r="FW106" s="310"/>
      <c r="FX106" s="329"/>
      <c r="FY106" s="311"/>
      <c r="FZ106" s="309"/>
      <c r="GA106" s="310"/>
      <c r="GB106" s="329"/>
      <c r="GC106" s="311"/>
      <c r="GD106" s="309"/>
      <c r="GE106" s="310"/>
      <c r="GF106" s="329"/>
      <c r="GG106" s="311"/>
      <c r="GH106" s="309"/>
      <c r="GI106" s="310"/>
      <c r="GJ106" s="329"/>
      <c r="GK106" s="311"/>
      <c r="GL106" s="309"/>
      <c r="GM106" s="310"/>
      <c r="GN106" s="329"/>
      <c r="GO106" s="311"/>
      <c r="GP106" s="309"/>
      <c r="GQ106" s="310"/>
      <c r="GR106" s="329"/>
      <c r="GS106" s="311"/>
      <c r="GT106" s="309"/>
      <c r="GU106" s="310"/>
      <c r="GV106" s="329"/>
      <c r="GW106" s="311"/>
      <c r="GX106" s="309"/>
      <c r="GY106" s="310"/>
      <c r="GZ106" s="329"/>
      <c r="HA106" s="311"/>
      <c r="HB106" s="309"/>
      <c r="HC106" s="312">
        <f t="shared" si="80"/>
        <v>0</v>
      </c>
      <c r="HD106" s="330"/>
      <c r="HE106" s="313">
        <f t="shared" si="81"/>
        <v>0</v>
      </c>
      <c r="HF106" s="314"/>
      <c r="HG106" s="312">
        <f>SUM(SUMIFS(K106:HB106,$K$13:$HB$13,{"エネルギー管理指定工場等*","県域*"}))</f>
        <v>0</v>
      </c>
      <c r="HH106" s="330"/>
      <c r="HI106" s="313">
        <f>SUM(SUMIFS(M106:HD106,$K$13:$HB$13,{"エネルギー管理指定工場等*","県域*"}))</f>
        <v>0</v>
      </c>
      <c r="HJ106" s="314"/>
      <c r="IE106" s="579"/>
      <c r="IF106" s="579"/>
      <c r="IG106" s="579"/>
      <c r="IH106" s="579"/>
    </row>
    <row r="107" spans="2:242" s="164" customFormat="1" ht="20.100000000000001" customHeight="1" thickBot="1">
      <c r="B107" s="361"/>
      <c r="C107" s="362"/>
      <c r="D107" s="363" t="s">
        <v>624</v>
      </c>
      <c r="E107" s="335"/>
      <c r="F107" s="363" t="s">
        <v>610</v>
      </c>
      <c r="G107" s="364">
        <v>8.64</v>
      </c>
      <c r="H107" s="365"/>
      <c r="I107" s="366"/>
      <c r="J107" s="365"/>
      <c r="K107" s="366"/>
      <c r="L107" s="367"/>
      <c r="M107" s="368"/>
      <c r="N107" s="369"/>
      <c r="O107" s="366"/>
      <c r="P107" s="367"/>
      <c r="Q107" s="368"/>
      <c r="R107" s="369"/>
      <c r="S107" s="366"/>
      <c r="T107" s="367"/>
      <c r="U107" s="368"/>
      <c r="V107" s="369"/>
      <c r="W107" s="366"/>
      <c r="X107" s="367"/>
      <c r="Y107" s="368"/>
      <c r="Z107" s="369"/>
      <c r="AA107" s="366"/>
      <c r="AB107" s="367"/>
      <c r="AC107" s="368"/>
      <c r="AD107" s="369"/>
      <c r="AE107" s="366"/>
      <c r="AF107" s="367"/>
      <c r="AG107" s="368"/>
      <c r="AH107" s="369"/>
      <c r="AI107" s="366"/>
      <c r="AJ107" s="367"/>
      <c r="AK107" s="368"/>
      <c r="AL107" s="369"/>
      <c r="AM107" s="366"/>
      <c r="AN107" s="367"/>
      <c r="AO107" s="368"/>
      <c r="AP107" s="369"/>
      <c r="AQ107" s="366"/>
      <c r="AR107" s="367"/>
      <c r="AS107" s="368"/>
      <c r="AT107" s="369"/>
      <c r="AU107" s="366"/>
      <c r="AV107" s="367"/>
      <c r="AW107" s="368"/>
      <c r="AX107" s="369"/>
      <c r="AY107" s="366"/>
      <c r="AZ107" s="367"/>
      <c r="BA107" s="368"/>
      <c r="BB107" s="369"/>
      <c r="BC107" s="366"/>
      <c r="BD107" s="367"/>
      <c r="BE107" s="368"/>
      <c r="BF107" s="369"/>
      <c r="BG107" s="366"/>
      <c r="BH107" s="367"/>
      <c r="BI107" s="368"/>
      <c r="BJ107" s="369"/>
      <c r="BK107" s="366"/>
      <c r="BL107" s="367"/>
      <c r="BM107" s="368"/>
      <c r="BN107" s="369"/>
      <c r="BO107" s="366"/>
      <c r="BP107" s="367"/>
      <c r="BQ107" s="368"/>
      <c r="BR107" s="369"/>
      <c r="BS107" s="366"/>
      <c r="BT107" s="367"/>
      <c r="BU107" s="368"/>
      <c r="BV107" s="369"/>
      <c r="BW107" s="366"/>
      <c r="BX107" s="367"/>
      <c r="BY107" s="368"/>
      <c r="BZ107" s="369"/>
      <c r="CA107" s="366"/>
      <c r="CB107" s="367"/>
      <c r="CC107" s="368"/>
      <c r="CD107" s="369"/>
      <c r="CE107" s="366"/>
      <c r="CF107" s="367"/>
      <c r="CG107" s="368"/>
      <c r="CH107" s="369"/>
      <c r="CI107" s="366"/>
      <c r="CJ107" s="367"/>
      <c r="CK107" s="368"/>
      <c r="CL107" s="369"/>
      <c r="CM107" s="366"/>
      <c r="CN107" s="367"/>
      <c r="CO107" s="368"/>
      <c r="CP107" s="369"/>
      <c r="CQ107" s="366"/>
      <c r="CR107" s="367"/>
      <c r="CS107" s="368"/>
      <c r="CT107" s="369"/>
      <c r="CU107" s="366"/>
      <c r="CV107" s="367"/>
      <c r="CW107" s="368"/>
      <c r="CX107" s="369"/>
      <c r="CY107" s="366"/>
      <c r="CZ107" s="367"/>
      <c r="DA107" s="368"/>
      <c r="DB107" s="369"/>
      <c r="DC107" s="366"/>
      <c r="DD107" s="367"/>
      <c r="DE107" s="368"/>
      <c r="DF107" s="369"/>
      <c r="DG107" s="366"/>
      <c r="DH107" s="367"/>
      <c r="DI107" s="368"/>
      <c r="DJ107" s="369"/>
      <c r="DK107" s="366"/>
      <c r="DL107" s="367"/>
      <c r="DM107" s="368"/>
      <c r="DN107" s="369"/>
      <c r="DO107" s="366"/>
      <c r="DP107" s="367"/>
      <c r="DQ107" s="368"/>
      <c r="DR107" s="369"/>
      <c r="DS107" s="366"/>
      <c r="DT107" s="367"/>
      <c r="DU107" s="368"/>
      <c r="DV107" s="369"/>
      <c r="DW107" s="366"/>
      <c r="DX107" s="367"/>
      <c r="DY107" s="368"/>
      <c r="DZ107" s="369"/>
      <c r="EA107" s="366"/>
      <c r="EB107" s="367"/>
      <c r="EC107" s="368"/>
      <c r="ED107" s="369"/>
      <c r="EE107" s="366"/>
      <c r="EF107" s="367"/>
      <c r="EG107" s="368"/>
      <c r="EH107" s="369"/>
      <c r="EI107" s="366"/>
      <c r="EJ107" s="367"/>
      <c r="EK107" s="368"/>
      <c r="EL107" s="369"/>
      <c r="EM107" s="366"/>
      <c r="EN107" s="367"/>
      <c r="EO107" s="368"/>
      <c r="EP107" s="369"/>
      <c r="EQ107" s="366"/>
      <c r="ER107" s="367"/>
      <c r="ES107" s="368"/>
      <c r="ET107" s="369"/>
      <c r="EU107" s="366"/>
      <c r="EV107" s="367"/>
      <c r="EW107" s="368"/>
      <c r="EX107" s="369"/>
      <c r="EY107" s="366"/>
      <c r="EZ107" s="367"/>
      <c r="FA107" s="368"/>
      <c r="FB107" s="369"/>
      <c r="FC107" s="366"/>
      <c r="FD107" s="367"/>
      <c r="FE107" s="368"/>
      <c r="FF107" s="369"/>
      <c r="FG107" s="366"/>
      <c r="FH107" s="367"/>
      <c r="FI107" s="368"/>
      <c r="FJ107" s="369"/>
      <c r="FK107" s="366"/>
      <c r="FL107" s="367"/>
      <c r="FM107" s="368"/>
      <c r="FN107" s="369"/>
      <c r="FO107" s="366"/>
      <c r="FP107" s="367"/>
      <c r="FQ107" s="368"/>
      <c r="FR107" s="369"/>
      <c r="FS107" s="366"/>
      <c r="FT107" s="367"/>
      <c r="FU107" s="368"/>
      <c r="FV107" s="369"/>
      <c r="FW107" s="366"/>
      <c r="FX107" s="367"/>
      <c r="FY107" s="368"/>
      <c r="FZ107" s="369"/>
      <c r="GA107" s="366"/>
      <c r="GB107" s="367"/>
      <c r="GC107" s="368"/>
      <c r="GD107" s="369"/>
      <c r="GE107" s="366"/>
      <c r="GF107" s="367"/>
      <c r="GG107" s="368"/>
      <c r="GH107" s="369"/>
      <c r="GI107" s="366"/>
      <c r="GJ107" s="367"/>
      <c r="GK107" s="368"/>
      <c r="GL107" s="369"/>
      <c r="GM107" s="366"/>
      <c r="GN107" s="367"/>
      <c r="GO107" s="368"/>
      <c r="GP107" s="369"/>
      <c r="GQ107" s="366"/>
      <c r="GR107" s="367"/>
      <c r="GS107" s="368"/>
      <c r="GT107" s="369"/>
      <c r="GU107" s="366"/>
      <c r="GV107" s="367"/>
      <c r="GW107" s="368"/>
      <c r="GX107" s="369"/>
      <c r="GY107" s="366"/>
      <c r="GZ107" s="367"/>
      <c r="HA107" s="368"/>
      <c r="HB107" s="369"/>
      <c r="HC107" s="370">
        <f t="shared" si="80"/>
        <v>0</v>
      </c>
      <c r="HD107" s="371"/>
      <c r="HE107" s="372">
        <f t="shared" si="81"/>
        <v>0</v>
      </c>
      <c r="HF107" s="373"/>
      <c r="HG107" s="370">
        <f>SUM(SUMIFS(K107:HB107,$K$13:$HB$13,{"エネルギー管理指定工場等*","県域*"}))</f>
        <v>0</v>
      </c>
      <c r="HH107" s="371"/>
      <c r="HI107" s="372">
        <f>SUM(SUMIFS(M107:HD107,$K$13:$HB$13,{"エネルギー管理指定工場等*","県域*"}))</f>
        <v>0</v>
      </c>
      <c r="HJ107" s="373"/>
      <c r="IE107" s="579"/>
      <c r="IF107" s="579"/>
      <c r="IG107" s="579"/>
      <c r="IH107" s="579"/>
    </row>
    <row r="108" spans="2:242" s="164" customFormat="1" ht="20.100000000000001" customHeight="1">
      <c r="B108" s="290" t="s">
        <v>625</v>
      </c>
      <c r="C108" s="374" t="s">
        <v>626</v>
      </c>
      <c r="D108" s="375"/>
      <c r="E108" s="376"/>
      <c r="F108" s="376"/>
      <c r="G108" s="258"/>
      <c r="H108" s="256"/>
      <c r="I108" s="377"/>
      <c r="J108" s="378"/>
      <c r="K108" s="297"/>
      <c r="L108" s="379"/>
      <c r="M108" s="380"/>
      <c r="N108" s="381"/>
      <c r="O108" s="297"/>
      <c r="P108" s="379"/>
      <c r="Q108" s="380"/>
      <c r="R108" s="381"/>
      <c r="S108" s="297"/>
      <c r="T108" s="379"/>
      <c r="U108" s="380"/>
      <c r="V108" s="381"/>
      <c r="W108" s="297"/>
      <c r="X108" s="379"/>
      <c r="Y108" s="380"/>
      <c r="Z108" s="381"/>
      <c r="AA108" s="297"/>
      <c r="AB108" s="379"/>
      <c r="AC108" s="380"/>
      <c r="AD108" s="381"/>
      <c r="AE108" s="297"/>
      <c r="AF108" s="379"/>
      <c r="AG108" s="380"/>
      <c r="AH108" s="381"/>
      <c r="AI108" s="297"/>
      <c r="AJ108" s="379"/>
      <c r="AK108" s="380"/>
      <c r="AL108" s="381"/>
      <c r="AM108" s="297"/>
      <c r="AN108" s="379"/>
      <c r="AO108" s="380"/>
      <c r="AP108" s="381"/>
      <c r="AQ108" s="297"/>
      <c r="AR108" s="379"/>
      <c r="AS108" s="380"/>
      <c r="AT108" s="381"/>
      <c r="AU108" s="297"/>
      <c r="AV108" s="379"/>
      <c r="AW108" s="380"/>
      <c r="AX108" s="381"/>
      <c r="AY108" s="297"/>
      <c r="AZ108" s="379"/>
      <c r="BA108" s="380"/>
      <c r="BB108" s="381"/>
      <c r="BC108" s="297"/>
      <c r="BD108" s="379"/>
      <c r="BE108" s="380"/>
      <c r="BF108" s="381"/>
      <c r="BG108" s="297"/>
      <c r="BH108" s="379"/>
      <c r="BI108" s="380"/>
      <c r="BJ108" s="381"/>
      <c r="BK108" s="297"/>
      <c r="BL108" s="379"/>
      <c r="BM108" s="380"/>
      <c r="BN108" s="381"/>
      <c r="BO108" s="297"/>
      <c r="BP108" s="379"/>
      <c r="BQ108" s="380"/>
      <c r="BR108" s="381"/>
      <c r="BS108" s="297"/>
      <c r="BT108" s="379"/>
      <c r="BU108" s="380"/>
      <c r="BV108" s="381"/>
      <c r="BW108" s="297"/>
      <c r="BX108" s="379"/>
      <c r="BY108" s="380"/>
      <c r="BZ108" s="381"/>
      <c r="CA108" s="297"/>
      <c r="CB108" s="379"/>
      <c r="CC108" s="380"/>
      <c r="CD108" s="381"/>
      <c r="CE108" s="297"/>
      <c r="CF108" s="379"/>
      <c r="CG108" s="380"/>
      <c r="CH108" s="381"/>
      <c r="CI108" s="297"/>
      <c r="CJ108" s="379"/>
      <c r="CK108" s="380"/>
      <c r="CL108" s="381"/>
      <c r="CM108" s="297"/>
      <c r="CN108" s="379"/>
      <c r="CO108" s="380"/>
      <c r="CP108" s="381"/>
      <c r="CQ108" s="297"/>
      <c r="CR108" s="379"/>
      <c r="CS108" s="380"/>
      <c r="CT108" s="381"/>
      <c r="CU108" s="297"/>
      <c r="CV108" s="379"/>
      <c r="CW108" s="380"/>
      <c r="CX108" s="381"/>
      <c r="CY108" s="297"/>
      <c r="CZ108" s="379"/>
      <c r="DA108" s="380"/>
      <c r="DB108" s="381"/>
      <c r="DC108" s="297"/>
      <c r="DD108" s="379"/>
      <c r="DE108" s="380"/>
      <c r="DF108" s="381"/>
      <c r="DG108" s="297"/>
      <c r="DH108" s="379"/>
      <c r="DI108" s="380"/>
      <c r="DJ108" s="381"/>
      <c r="DK108" s="297"/>
      <c r="DL108" s="379"/>
      <c r="DM108" s="380"/>
      <c r="DN108" s="381"/>
      <c r="DO108" s="297"/>
      <c r="DP108" s="379"/>
      <c r="DQ108" s="380"/>
      <c r="DR108" s="381"/>
      <c r="DS108" s="297"/>
      <c r="DT108" s="379"/>
      <c r="DU108" s="380"/>
      <c r="DV108" s="381"/>
      <c r="DW108" s="297"/>
      <c r="DX108" s="379"/>
      <c r="DY108" s="380"/>
      <c r="DZ108" s="381"/>
      <c r="EA108" s="297"/>
      <c r="EB108" s="379"/>
      <c r="EC108" s="380"/>
      <c r="ED108" s="381"/>
      <c r="EE108" s="297"/>
      <c r="EF108" s="379"/>
      <c r="EG108" s="380"/>
      <c r="EH108" s="381"/>
      <c r="EI108" s="297"/>
      <c r="EJ108" s="379"/>
      <c r="EK108" s="380"/>
      <c r="EL108" s="381"/>
      <c r="EM108" s="297"/>
      <c r="EN108" s="379"/>
      <c r="EO108" s="380"/>
      <c r="EP108" s="381"/>
      <c r="EQ108" s="297"/>
      <c r="ER108" s="379"/>
      <c r="ES108" s="380"/>
      <c r="ET108" s="381"/>
      <c r="EU108" s="297"/>
      <c r="EV108" s="379"/>
      <c r="EW108" s="380"/>
      <c r="EX108" s="381"/>
      <c r="EY108" s="297"/>
      <c r="EZ108" s="379"/>
      <c r="FA108" s="380"/>
      <c r="FB108" s="381"/>
      <c r="FC108" s="297"/>
      <c r="FD108" s="379"/>
      <c r="FE108" s="380"/>
      <c r="FF108" s="381"/>
      <c r="FG108" s="297"/>
      <c r="FH108" s="379"/>
      <c r="FI108" s="380"/>
      <c r="FJ108" s="381"/>
      <c r="FK108" s="297"/>
      <c r="FL108" s="379"/>
      <c r="FM108" s="380"/>
      <c r="FN108" s="381"/>
      <c r="FO108" s="297"/>
      <c r="FP108" s="379"/>
      <c r="FQ108" s="380"/>
      <c r="FR108" s="381"/>
      <c r="FS108" s="297"/>
      <c r="FT108" s="379"/>
      <c r="FU108" s="380"/>
      <c r="FV108" s="381"/>
      <c r="FW108" s="297"/>
      <c r="FX108" s="379"/>
      <c r="FY108" s="380"/>
      <c r="FZ108" s="381"/>
      <c r="GA108" s="297"/>
      <c r="GB108" s="379"/>
      <c r="GC108" s="380"/>
      <c r="GD108" s="381"/>
      <c r="GE108" s="297"/>
      <c r="GF108" s="379"/>
      <c r="GG108" s="380"/>
      <c r="GH108" s="381"/>
      <c r="GI108" s="297"/>
      <c r="GJ108" s="379"/>
      <c r="GK108" s="380"/>
      <c r="GL108" s="381"/>
      <c r="GM108" s="297"/>
      <c r="GN108" s="379"/>
      <c r="GO108" s="380"/>
      <c r="GP108" s="381"/>
      <c r="GQ108" s="297"/>
      <c r="GR108" s="379"/>
      <c r="GS108" s="380"/>
      <c r="GT108" s="381"/>
      <c r="GU108" s="297"/>
      <c r="GV108" s="379"/>
      <c r="GW108" s="380"/>
      <c r="GX108" s="381"/>
      <c r="GY108" s="297"/>
      <c r="GZ108" s="379"/>
      <c r="HA108" s="380"/>
      <c r="HB108" s="381"/>
      <c r="HC108" s="156"/>
      <c r="HD108" s="156"/>
      <c r="HE108" s="156"/>
      <c r="HF108" s="156"/>
      <c r="HG108" s="156"/>
      <c r="HH108" s="156"/>
      <c r="HI108" s="156"/>
      <c r="HJ108" s="156"/>
      <c r="IE108" s="579"/>
      <c r="IF108" s="579"/>
      <c r="IG108" s="579"/>
      <c r="IH108" s="579"/>
    </row>
    <row r="109" spans="2:242" s="164" customFormat="1" ht="20.100000000000001" customHeight="1">
      <c r="B109" s="302"/>
      <c r="C109" s="303" t="s">
        <v>510</v>
      </c>
      <c r="D109" s="382"/>
      <c r="E109" s="304"/>
      <c r="F109" s="304"/>
      <c r="G109" s="304"/>
      <c r="H109" s="383"/>
      <c r="I109" s="384"/>
      <c r="J109" s="385"/>
      <c r="K109" s="310"/>
      <c r="L109" s="386"/>
      <c r="M109" s="387"/>
      <c r="N109" s="388"/>
      <c r="O109" s="310"/>
      <c r="P109" s="386"/>
      <c r="Q109" s="387"/>
      <c r="R109" s="388"/>
      <c r="S109" s="310"/>
      <c r="T109" s="386"/>
      <c r="U109" s="387"/>
      <c r="V109" s="388"/>
      <c r="W109" s="310"/>
      <c r="X109" s="386"/>
      <c r="Y109" s="387"/>
      <c r="Z109" s="388"/>
      <c r="AA109" s="310"/>
      <c r="AB109" s="386"/>
      <c r="AC109" s="387"/>
      <c r="AD109" s="388"/>
      <c r="AE109" s="310"/>
      <c r="AF109" s="386"/>
      <c r="AG109" s="387"/>
      <c r="AH109" s="388"/>
      <c r="AI109" s="310"/>
      <c r="AJ109" s="386"/>
      <c r="AK109" s="387"/>
      <c r="AL109" s="388"/>
      <c r="AM109" s="310"/>
      <c r="AN109" s="386"/>
      <c r="AO109" s="387"/>
      <c r="AP109" s="388"/>
      <c r="AQ109" s="310"/>
      <c r="AR109" s="386"/>
      <c r="AS109" s="387"/>
      <c r="AT109" s="388"/>
      <c r="AU109" s="310"/>
      <c r="AV109" s="386"/>
      <c r="AW109" s="387"/>
      <c r="AX109" s="388"/>
      <c r="AY109" s="310"/>
      <c r="AZ109" s="386"/>
      <c r="BA109" s="387"/>
      <c r="BB109" s="388"/>
      <c r="BC109" s="310"/>
      <c r="BD109" s="386"/>
      <c r="BE109" s="387"/>
      <c r="BF109" s="388"/>
      <c r="BG109" s="310"/>
      <c r="BH109" s="386"/>
      <c r="BI109" s="387"/>
      <c r="BJ109" s="388"/>
      <c r="BK109" s="310"/>
      <c r="BL109" s="386"/>
      <c r="BM109" s="387"/>
      <c r="BN109" s="388"/>
      <c r="BO109" s="310"/>
      <c r="BP109" s="386"/>
      <c r="BQ109" s="387"/>
      <c r="BR109" s="388"/>
      <c r="BS109" s="310"/>
      <c r="BT109" s="386"/>
      <c r="BU109" s="387"/>
      <c r="BV109" s="388"/>
      <c r="BW109" s="310"/>
      <c r="BX109" s="386"/>
      <c r="BY109" s="387"/>
      <c r="BZ109" s="388"/>
      <c r="CA109" s="310"/>
      <c r="CB109" s="386"/>
      <c r="CC109" s="387"/>
      <c r="CD109" s="388"/>
      <c r="CE109" s="310"/>
      <c r="CF109" s="386"/>
      <c r="CG109" s="387"/>
      <c r="CH109" s="388"/>
      <c r="CI109" s="310"/>
      <c r="CJ109" s="386"/>
      <c r="CK109" s="387"/>
      <c r="CL109" s="388"/>
      <c r="CM109" s="310"/>
      <c r="CN109" s="386"/>
      <c r="CO109" s="387"/>
      <c r="CP109" s="388"/>
      <c r="CQ109" s="310"/>
      <c r="CR109" s="386"/>
      <c r="CS109" s="387"/>
      <c r="CT109" s="388"/>
      <c r="CU109" s="310"/>
      <c r="CV109" s="386"/>
      <c r="CW109" s="387"/>
      <c r="CX109" s="388"/>
      <c r="CY109" s="310"/>
      <c r="CZ109" s="386"/>
      <c r="DA109" s="387"/>
      <c r="DB109" s="388"/>
      <c r="DC109" s="310"/>
      <c r="DD109" s="386"/>
      <c r="DE109" s="387"/>
      <c r="DF109" s="388"/>
      <c r="DG109" s="310"/>
      <c r="DH109" s="386"/>
      <c r="DI109" s="387"/>
      <c r="DJ109" s="388"/>
      <c r="DK109" s="310"/>
      <c r="DL109" s="386"/>
      <c r="DM109" s="387"/>
      <c r="DN109" s="388"/>
      <c r="DO109" s="310"/>
      <c r="DP109" s="386"/>
      <c r="DQ109" s="387"/>
      <c r="DR109" s="388"/>
      <c r="DS109" s="310"/>
      <c r="DT109" s="386"/>
      <c r="DU109" s="387"/>
      <c r="DV109" s="388"/>
      <c r="DW109" s="310"/>
      <c r="DX109" s="386"/>
      <c r="DY109" s="387"/>
      <c r="DZ109" s="388"/>
      <c r="EA109" s="310"/>
      <c r="EB109" s="386"/>
      <c r="EC109" s="387"/>
      <c r="ED109" s="388"/>
      <c r="EE109" s="310"/>
      <c r="EF109" s="386"/>
      <c r="EG109" s="387"/>
      <c r="EH109" s="388"/>
      <c r="EI109" s="310"/>
      <c r="EJ109" s="386"/>
      <c r="EK109" s="387"/>
      <c r="EL109" s="388"/>
      <c r="EM109" s="310"/>
      <c r="EN109" s="386"/>
      <c r="EO109" s="387"/>
      <c r="EP109" s="388"/>
      <c r="EQ109" s="310"/>
      <c r="ER109" s="386"/>
      <c r="ES109" s="387"/>
      <c r="ET109" s="388"/>
      <c r="EU109" s="310"/>
      <c r="EV109" s="386"/>
      <c r="EW109" s="387"/>
      <c r="EX109" s="388"/>
      <c r="EY109" s="310"/>
      <c r="EZ109" s="386"/>
      <c r="FA109" s="387"/>
      <c r="FB109" s="388"/>
      <c r="FC109" s="310"/>
      <c r="FD109" s="386"/>
      <c r="FE109" s="387"/>
      <c r="FF109" s="388"/>
      <c r="FG109" s="310"/>
      <c r="FH109" s="386"/>
      <c r="FI109" s="387"/>
      <c r="FJ109" s="388"/>
      <c r="FK109" s="310"/>
      <c r="FL109" s="386"/>
      <c r="FM109" s="387"/>
      <c r="FN109" s="388"/>
      <c r="FO109" s="310"/>
      <c r="FP109" s="386"/>
      <c r="FQ109" s="387"/>
      <c r="FR109" s="388"/>
      <c r="FS109" s="310"/>
      <c r="FT109" s="386"/>
      <c r="FU109" s="387"/>
      <c r="FV109" s="388"/>
      <c r="FW109" s="310"/>
      <c r="FX109" s="386"/>
      <c r="FY109" s="387"/>
      <c r="FZ109" s="388"/>
      <c r="GA109" s="310"/>
      <c r="GB109" s="386"/>
      <c r="GC109" s="387"/>
      <c r="GD109" s="388"/>
      <c r="GE109" s="310"/>
      <c r="GF109" s="386"/>
      <c r="GG109" s="387"/>
      <c r="GH109" s="388"/>
      <c r="GI109" s="310"/>
      <c r="GJ109" s="386"/>
      <c r="GK109" s="387"/>
      <c r="GL109" s="388"/>
      <c r="GM109" s="310"/>
      <c r="GN109" s="386"/>
      <c r="GO109" s="387"/>
      <c r="GP109" s="388"/>
      <c r="GQ109" s="310"/>
      <c r="GR109" s="386"/>
      <c r="GS109" s="387"/>
      <c r="GT109" s="388"/>
      <c r="GU109" s="310"/>
      <c r="GV109" s="386"/>
      <c r="GW109" s="387"/>
      <c r="GX109" s="388"/>
      <c r="GY109" s="310"/>
      <c r="GZ109" s="386"/>
      <c r="HA109" s="387"/>
      <c r="HB109" s="388"/>
      <c r="HC109" s="156"/>
      <c r="HD109" s="156"/>
      <c r="HE109" s="156"/>
      <c r="HF109" s="156"/>
      <c r="HG109" s="156"/>
      <c r="HH109" s="156"/>
      <c r="HI109" s="156"/>
      <c r="HJ109" s="156"/>
      <c r="IE109" s="579"/>
      <c r="IF109" s="579"/>
      <c r="IG109" s="579"/>
      <c r="IH109" s="579"/>
    </row>
    <row r="110" spans="2:242" s="164" customFormat="1" ht="20.100000000000001" customHeight="1" thickBot="1">
      <c r="B110" s="361"/>
      <c r="C110" s="389" t="s">
        <v>1357</v>
      </c>
      <c r="D110" s="390"/>
      <c r="E110" s="278"/>
      <c r="F110" s="278"/>
      <c r="G110" s="391"/>
      <c r="H110" s="392"/>
      <c r="I110" s="393"/>
      <c r="J110" s="394"/>
      <c r="K110" s="366"/>
      <c r="L110" s="395"/>
      <c r="M110" s="396"/>
      <c r="N110" s="397"/>
      <c r="O110" s="366"/>
      <c r="P110" s="395"/>
      <c r="Q110" s="396"/>
      <c r="R110" s="397"/>
      <c r="S110" s="366"/>
      <c r="T110" s="395"/>
      <c r="U110" s="396"/>
      <c r="V110" s="397"/>
      <c r="W110" s="366"/>
      <c r="X110" s="395"/>
      <c r="Y110" s="396"/>
      <c r="Z110" s="397"/>
      <c r="AA110" s="366"/>
      <c r="AB110" s="395"/>
      <c r="AC110" s="396"/>
      <c r="AD110" s="397"/>
      <c r="AE110" s="366"/>
      <c r="AF110" s="395"/>
      <c r="AG110" s="396"/>
      <c r="AH110" s="397"/>
      <c r="AI110" s="366"/>
      <c r="AJ110" s="395"/>
      <c r="AK110" s="396"/>
      <c r="AL110" s="397"/>
      <c r="AM110" s="366"/>
      <c r="AN110" s="395"/>
      <c r="AO110" s="396"/>
      <c r="AP110" s="397"/>
      <c r="AQ110" s="366"/>
      <c r="AR110" s="395"/>
      <c r="AS110" s="396"/>
      <c r="AT110" s="397"/>
      <c r="AU110" s="366"/>
      <c r="AV110" s="395"/>
      <c r="AW110" s="396"/>
      <c r="AX110" s="397"/>
      <c r="AY110" s="366"/>
      <c r="AZ110" s="395"/>
      <c r="BA110" s="396"/>
      <c r="BB110" s="397"/>
      <c r="BC110" s="366"/>
      <c r="BD110" s="395"/>
      <c r="BE110" s="396"/>
      <c r="BF110" s="397"/>
      <c r="BG110" s="366"/>
      <c r="BH110" s="395"/>
      <c r="BI110" s="396"/>
      <c r="BJ110" s="397"/>
      <c r="BK110" s="366"/>
      <c r="BL110" s="395"/>
      <c r="BM110" s="396"/>
      <c r="BN110" s="397"/>
      <c r="BO110" s="366"/>
      <c r="BP110" s="395"/>
      <c r="BQ110" s="396"/>
      <c r="BR110" s="397"/>
      <c r="BS110" s="366"/>
      <c r="BT110" s="395"/>
      <c r="BU110" s="396"/>
      <c r="BV110" s="397"/>
      <c r="BW110" s="366"/>
      <c r="BX110" s="395"/>
      <c r="BY110" s="396"/>
      <c r="BZ110" s="397"/>
      <c r="CA110" s="366"/>
      <c r="CB110" s="395"/>
      <c r="CC110" s="396"/>
      <c r="CD110" s="397"/>
      <c r="CE110" s="366"/>
      <c r="CF110" s="395"/>
      <c r="CG110" s="396"/>
      <c r="CH110" s="397"/>
      <c r="CI110" s="366"/>
      <c r="CJ110" s="395"/>
      <c r="CK110" s="396"/>
      <c r="CL110" s="397"/>
      <c r="CM110" s="366"/>
      <c r="CN110" s="395"/>
      <c r="CO110" s="396"/>
      <c r="CP110" s="397"/>
      <c r="CQ110" s="366"/>
      <c r="CR110" s="395"/>
      <c r="CS110" s="396"/>
      <c r="CT110" s="397"/>
      <c r="CU110" s="366"/>
      <c r="CV110" s="395"/>
      <c r="CW110" s="396"/>
      <c r="CX110" s="397"/>
      <c r="CY110" s="366"/>
      <c r="CZ110" s="395"/>
      <c r="DA110" s="396"/>
      <c r="DB110" s="397"/>
      <c r="DC110" s="366"/>
      <c r="DD110" s="395"/>
      <c r="DE110" s="396"/>
      <c r="DF110" s="397"/>
      <c r="DG110" s="366"/>
      <c r="DH110" s="395"/>
      <c r="DI110" s="396"/>
      <c r="DJ110" s="397"/>
      <c r="DK110" s="366"/>
      <c r="DL110" s="395"/>
      <c r="DM110" s="396"/>
      <c r="DN110" s="397"/>
      <c r="DO110" s="366"/>
      <c r="DP110" s="395"/>
      <c r="DQ110" s="396"/>
      <c r="DR110" s="397"/>
      <c r="DS110" s="366"/>
      <c r="DT110" s="395"/>
      <c r="DU110" s="396"/>
      <c r="DV110" s="397"/>
      <c r="DW110" s="366"/>
      <c r="DX110" s="395"/>
      <c r="DY110" s="396"/>
      <c r="DZ110" s="397"/>
      <c r="EA110" s="366"/>
      <c r="EB110" s="395"/>
      <c r="EC110" s="396"/>
      <c r="ED110" s="397"/>
      <c r="EE110" s="366"/>
      <c r="EF110" s="395"/>
      <c r="EG110" s="396"/>
      <c r="EH110" s="397"/>
      <c r="EI110" s="366"/>
      <c r="EJ110" s="395"/>
      <c r="EK110" s="396"/>
      <c r="EL110" s="397"/>
      <c r="EM110" s="366"/>
      <c r="EN110" s="395"/>
      <c r="EO110" s="396"/>
      <c r="EP110" s="397"/>
      <c r="EQ110" s="366"/>
      <c r="ER110" s="395"/>
      <c r="ES110" s="396"/>
      <c r="ET110" s="397"/>
      <c r="EU110" s="366"/>
      <c r="EV110" s="395"/>
      <c r="EW110" s="396"/>
      <c r="EX110" s="397"/>
      <c r="EY110" s="366"/>
      <c r="EZ110" s="395"/>
      <c r="FA110" s="396"/>
      <c r="FB110" s="397"/>
      <c r="FC110" s="366"/>
      <c r="FD110" s="395"/>
      <c r="FE110" s="396"/>
      <c r="FF110" s="397"/>
      <c r="FG110" s="366"/>
      <c r="FH110" s="395"/>
      <c r="FI110" s="396"/>
      <c r="FJ110" s="397"/>
      <c r="FK110" s="366"/>
      <c r="FL110" s="395"/>
      <c r="FM110" s="396"/>
      <c r="FN110" s="397"/>
      <c r="FO110" s="366"/>
      <c r="FP110" s="395"/>
      <c r="FQ110" s="396"/>
      <c r="FR110" s="397"/>
      <c r="FS110" s="366"/>
      <c r="FT110" s="395"/>
      <c r="FU110" s="396"/>
      <c r="FV110" s="397"/>
      <c r="FW110" s="366"/>
      <c r="FX110" s="395"/>
      <c r="FY110" s="396"/>
      <c r="FZ110" s="397"/>
      <c r="GA110" s="366"/>
      <c r="GB110" s="395"/>
      <c r="GC110" s="396"/>
      <c r="GD110" s="397"/>
      <c r="GE110" s="366"/>
      <c r="GF110" s="395"/>
      <c r="GG110" s="396"/>
      <c r="GH110" s="397"/>
      <c r="GI110" s="366"/>
      <c r="GJ110" s="395"/>
      <c r="GK110" s="396"/>
      <c r="GL110" s="397"/>
      <c r="GM110" s="366"/>
      <c r="GN110" s="395"/>
      <c r="GO110" s="396"/>
      <c r="GP110" s="397"/>
      <c r="GQ110" s="366"/>
      <c r="GR110" s="395"/>
      <c r="GS110" s="396"/>
      <c r="GT110" s="397"/>
      <c r="GU110" s="366"/>
      <c r="GV110" s="395"/>
      <c r="GW110" s="396"/>
      <c r="GX110" s="397"/>
      <c r="GY110" s="366"/>
      <c r="GZ110" s="395"/>
      <c r="HA110" s="396"/>
      <c r="HB110" s="397"/>
      <c r="HC110" s="156"/>
      <c r="HD110" s="156"/>
      <c r="HE110" s="156"/>
      <c r="HF110" s="156"/>
      <c r="HG110" s="156"/>
      <c r="HH110" s="156"/>
      <c r="HI110" s="156"/>
      <c r="HJ110" s="156"/>
      <c r="IE110" s="579"/>
      <c r="IF110" s="579"/>
      <c r="IG110" s="579"/>
      <c r="IH110" s="579"/>
    </row>
    <row r="111" spans="2:242" s="164" customFormat="1" ht="20.100000000000001" customHeight="1" thickBot="1">
      <c r="B111" s="398" t="s">
        <v>1390</v>
      </c>
      <c r="C111" s="399" t="s">
        <v>628</v>
      </c>
      <c r="D111" s="399" t="s">
        <v>464</v>
      </c>
      <c r="E111" s="399" t="s">
        <v>1391</v>
      </c>
      <c r="F111" s="400" t="s">
        <v>1392</v>
      </c>
      <c r="G111" s="400" t="s">
        <v>465</v>
      </c>
      <c r="H111" s="401" t="s">
        <v>629</v>
      </c>
      <c r="I111" s="402"/>
      <c r="J111" s="403"/>
      <c r="K111" s="404" t="s">
        <v>1369</v>
      </c>
      <c r="L111" s="405" t="s">
        <v>1370</v>
      </c>
      <c r="M111" s="405" t="s">
        <v>1371</v>
      </c>
      <c r="N111" s="406"/>
      <c r="O111" s="404" t="s">
        <v>1369</v>
      </c>
      <c r="P111" s="405" t="s">
        <v>1370</v>
      </c>
      <c r="Q111" s="405" t="s">
        <v>1371</v>
      </c>
      <c r="R111" s="406"/>
      <c r="S111" s="404" t="s">
        <v>1369</v>
      </c>
      <c r="T111" s="405" t="s">
        <v>1370</v>
      </c>
      <c r="U111" s="405" t="s">
        <v>1371</v>
      </c>
      <c r="V111" s="406"/>
      <c r="W111" s="404" t="s">
        <v>1369</v>
      </c>
      <c r="X111" s="405" t="s">
        <v>1370</v>
      </c>
      <c r="Y111" s="405" t="s">
        <v>1371</v>
      </c>
      <c r="Z111" s="406"/>
      <c r="AA111" s="404" t="s">
        <v>1369</v>
      </c>
      <c r="AB111" s="405" t="s">
        <v>1370</v>
      </c>
      <c r="AC111" s="405" t="s">
        <v>1371</v>
      </c>
      <c r="AD111" s="406"/>
      <c r="AE111" s="404" t="s">
        <v>1369</v>
      </c>
      <c r="AF111" s="405" t="s">
        <v>1370</v>
      </c>
      <c r="AG111" s="405" t="s">
        <v>1371</v>
      </c>
      <c r="AH111" s="282"/>
      <c r="AI111" s="404" t="s">
        <v>1369</v>
      </c>
      <c r="AJ111" s="405" t="s">
        <v>1370</v>
      </c>
      <c r="AK111" s="405" t="s">
        <v>1371</v>
      </c>
      <c r="AL111" s="282"/>
      <c r="AM111" s="404" t="s">
        <v>1369</v>
      </c>
      <c r="AN111" s="405" t="s">
        <v>1370</v>
      </c>
      <c r="AO111" s="405" t="s">
        <v>1371</v>
      </c>
      <c r="AP111" s="282"/>
      <c r="AQ111" s="404" t="s">
        <v>1369</v>
      </c>
      <c r="AR111" s="405" t="s">
        <v>1370</v>
      </c>
      <c r="AS111" s="405" t="s">
        <v>1371</v>
      </c>
      <c r="AT111" s="282"/>
      <c r="AU111" s="404" t="s">
        <v>1369</v>
      </c>
      <c r="AV111" s="405" t="s">
        <v>1370</v>
      </c>
      <c r="AW111" s="405" t="s">
        <v>1371</v>
      </c>
      <c r="AX111" s="282"/>
      <c r="AY111" s="404" t="s">
        <v>1369</v>
      </c>
      <c r="AZ111" s="405" t="s">
        <v>1370</v>
      </c>
      <c r="BA111" s="405" t="s">
        <v>1371</v>
      </c>
      <c r="BB111" s="282"/>
      <c r="BC111" s="404" t="s">
        <v>1369</v>
      </c>
      <c r="BD111" s="405" t="s">
        <v>1370</v>
      </c>
      <c r="BE111" s="405" t="s">
        <v>1371</v>
      </c>
      <c r="BF111" s="282"/>
      <c r="BG111" s="404" t="s">
        <v>1369</v>
      </c>
      <c r="BH111" s="405" t="s">
        <v>1370</v>
      </c>
      <c r="BI111" s="405" t="s">
        <v>1371</v>
      </c>
      <c r="BJ111" s="282"/>
      <c r="BK111" s="404" t="s">
        <v>1369</v>
      </c>
      <c r="BL111" s="405" t="s">
        <v>1370</v>
      </c>
      <c r="BM111" s="405" t="s">
        <v>1371</v>
      </c>
      <c r="BN111" s="282"/>
      <c r="BO111" s="404" t="s">
        <v>1369</v>
      </c>
      <c r="BP111" s="405" t="s">
        <v>1370</v>
      </c>
      <c r="BQ111" s="405" t="s">
        <v>1371</v>
      </c>
      <c r="BR111" s="282"/>
      <c r="BS111" s="404" t="s">
        <v>1369</v>
      </c>
      <c r="BT111" s="405" t="s">
        <v>1370</v>
      </c>
      <c r="BU111" s="405" t="s">
        <v>1371</v>
      </c>
      <c r="BV111" s="282"/>
      <c r="BW111" s="404" t="s">
        <v>630</v>
      </c>
      <c r="BX111" s="405" t="s">
        <v>570</v>
      </c>
      <c r="BY111" s="405" t="s">
        <v>571</v>
      </c>
      <c r="BZ111" s="282" t="s">
        <v>572</v>
      </c>
      <c r="CA111" s="404" t="s">
        <v>630</v>
      </c>
      <c r="CB111" s="405" t="s">
        <v>570</v>
      </c>
      <c r="CC111" s="405" t="s">
        <v>571</v>
      </c>
      <c r="CD111" s="282" t="s">
        <v>572</v>
      </c>
      <c r="CE111" s="404" t="s">
        <v>630</v>
      </c>
      <c r="CF111" s="405" t="s">
        <v>570</v>
      </c>
      <c r="CG111" s="405" t="s">
        <v>571</v>
      </c>
      <c r="CH111" s="282" t="s">
        <v>572</v>
      </c>
      <c r="CI111" s="404" t="s">
        <v>630</v>
      </c>
      <c r="CJ111" s="405" t="s">
        <v>570</v>
      </c>
      <c r="CK111" s="405" t="s">
        <v>571</v>
      </c>
      <c r="CL111" s="282" t="s">
        <v>572</v>
      </c>
      <c r="CM111" s="404" t="s">
        <v>630</v>
      </c>
      <c r="CN111" s="405" t="s">
        <v>570</v>
      </c>
      <c r="CO111" s="405" t="s">
        <v>571</v>
      </c>
      <c r="CP111" s="282" t="s">
        <v>572</v>
      </c>
      <c r="CQ111" s="404" t="s">
        <v>630</v>
      </c>
      <c r="CR111" s="405" t="s">
        <v>570</v>
      </c>
      <c r="CS111" s="405" t="s">
        <v>571</v>
      </c>
      <c r="CT111" s="282" t="s">
        <v>572</v>
      </c>
      <c r="CU111" s="404" t="s">
        <v>630</v>
      </c>
      <c r="CV111" s="405" t="s">
        <v>570</v>
      </c>
      <c r="CW111" s="405" t="s">
        <v>571</v>
      </c>
      <c r="CX111" s="282" t="s">
        <v>572</v>
      </c>
      <c r="CY111" s="404" t="s">
        <v>630</v>
      </c>
      <c r="CZ111" s="405" t="s">
        <v>570</v>
      </c>
      <c r="DA111" s="405" t="s">
        <v>571</v>
      </c>
      <c r="DB111" s="282" t="s">
        <v>572</v>
      </c>
      <c r="DC111" s="404" t="s">
        <v>630</v>
      </c>
      <c r="DD111" s="405" t="s">
        <v>570</v>
      </c>
      <c r="DE111" s="405" t="s">
        <v>571</v>
      </c>
      <c r="DF111" s="282" t="s">
        <v>572</v>
      </c>
      <c r="DG111" s="404" t="s">
        <v>630</v>
      </c>
      <c r="DH111" s="405" t="s">
        <v>570</v>
      </c>
      <c r="DI111" s="405" t="s">
        <v>571</v>
      </c>
      <c r="DJ111" s="282" t="s">
        <v>572</v>
      </c>
      <c r="DK111" s="404" t="s">
        <v>630</v>
      </c>
      <c r="DL111" s="405" t="s">
        <v>570</v>
      </c>
      <c r="DM111" s="405" t="s">
        <v>571</v>
      </c>
      <c r="DN111" s="282" t="s">
        <v>572</v>
      </c>
      <c r="DO111" s="404" t="s">
        <v>630</v>
      </c>
      <c r="DP111" s="405" t="s">
        <v>570</v>
      </c>
      <c r="DQ111" s="405" t="s">
        <v>571</v>
      </c>
      <c r="DR111" s="282" t="s">
        <v>572</v>
      </c>
      <c r="DS111" s="404" t="s">
        <v>630</v>
      </c>
      <c r="DT111" s="405" t="s">
        <v>570</v>
      </c>
      <c r="DU111" s="405" t="s">
        <v>571</v>
      </c>
      <c r="DV111" s="282" t="s">
        <v>572</v>
      </c>
      <c r="DW111" s="404" t="s">
        <v>630</v>
      </c>
      <c r="DX111" s="405" t="s">
        <v>570</v>
      </c>
      <c r="DY111" s="405" t="s">
        <v>571</v>
      </c>
      <c r="DZ111" s="282" t="s">
        <v>572</v>
      </c>
      <c r="EA111" s="404" t="s">
        <v>630</v>
      </c>
      <c r="EB111" s="405" t="s">
        <v>570</v>
      </c>
      <c r="EC111" s="405" t="s">
        <v>571</v>
      </c>
      <c r="ED111" s="282" t="s">
        <v>572</v>
      </c>
      <c r="EE111" s="404" t="s">
        <v>630</v>
      </c>
      <c r="EF111" s="405" t="s">
        <v>570</v>
      </c>
      <c r="EG111" s="405" t="s">
        <v>571</v>
      </c>
      <c r="EH111" s="282" t="s">
        <v>572</v>
      </c>
      <c r="EI111" s="404" t="s">
        <v>630</v>
      </c>
      <c r="EJ111" s="405" t="s">
        <v>570</v>
      </c>
      <c r="EK111" s="405" t="s">
        <v>571</v>
      </c>
      <c r="EL111" s="282" t="s">
        <v>572</v>
      </c>
      <c r="EM111" s="404" t="s">
        <v>630</v>
      </c>
      <c r="EN111" s="405" t="s">
        <v>570</v>
      </c>
      <c r="EO111" s="405" t="s">
        <v>571</v>
      </c>
      <c r="EP111" s="282" t="s">
        <v>572</v>
      </c>
      <c r="EQ111" s="404" t="s">
        <v>630</v>
      </c>
      <c r="ER111" s="405" t="s">
        <v>570</v>
      </c>
      <c r="ES111" s="405" t="s">
        <v>571</v>
      </c>
      <c r="ET111" s="282" t="s">
        <v>572</v>
      </c>
      <c r="EU111" s="404" t="s">
        <v>630</v>
      </c>
      <c r="EV111" s="405" t="s">
        <v>570</v>
      </c>
      <c r="EW111" s="405" t="s">
        <v>571</v>
      </c>
      <c r="EX111" s="282" t="s">
        <v>572</v>
      </c>
      <c r="EY111" s="404" t="s">
        <v>630</v>
      </c>
      <c r="EZ111" s="405" t="s">
        <v>570</v>
      </c>
      <c r="FA111" s="405" t="s">
        <v>571</v>
      </c>
      <c r="FB111" s="282" t="s">
        <v>572</v>
      </c>
      <c r="FC111" s="404" t="s">
        <v>630</v>
      </c>
      <c r="FD111" s="405" t="s">
        <v>570</v>
      </c>
      <c r="FE111" s="405" t="s">
        <v>571</v>
      </c>
      <c r="FF111" s="282" t="s">
        <v>572</v>
      </c>
      <c r="FG111" s="404" t="s">
        <v>630</v>
      </c>
      <c r="FH111" s="405" t="s">
        <v>570</v>
      </c>
      <c r="FI111" s="405" t="s">
        <v>571</v>
      </c>
      <c r="FJ111" s="282" t="s">
        <v>572</v>
      </c>
      <c r="FK111" s="404" t="s">
        <v>630</v>
      </c>
      <c r="FL111" s="405" t="s">
        <v>570</v>
      </c>
      <c r="FM111" s="405" t="s">
        <v>571</v>
      </c>
      <c r="FN111" s="282" t="s">
        <v>572</v>
      </c>
      <c r="FO111" s="404" t="s">
        <v>630</v>
      </c>
      <c r="FP111" s="405" t="s">
        <v>570</v>
      </c>
      <c r="FQ111" s="405" t="s">
        <v>571</v>
      </c>
      <c r="FR111" s="282" t="s">
        <v>572</v>
      </c>
      <c r="FS111" s="404" t="s">
        <v>630</v>
      </c>
      <c r="FT111" s="405" t="s">
        <v>570</v>
      </c>
      <c r="FU111" s="405" t="s">
        <v>571</v>
      </c>
      <c r="FV111" s="282" t="s">
        <v>572</v>
      </c>
      <c r="FW111" s="404" t="s">
        <v>630</v>
      </c>
      <c r="FX111" s="405" t="s">
        <v>570</v>
      </c>
      <c r="FY111" s="405" t="s">
        <v>571</v>
      </c>
      <c r="FZ111" s="282" t="s">
        <v>572</v>
      </c>
      <c r="GA111" s="404" t="s">
        <v>630</v>
      </c>
      <c r="GB111" s="405" t="s">
        <v>570</v>
      </c>
      <c r="GC111" s="405" t="s">
        <v>571</v>
      </c>
      <c r="GD111" s="282" t="s">
        <v>572</v>
      </c>
      <c r="GE111" s="404" t="s">
        <v>630</v>
      </c>
      <c r="GF111" s="405" t="s">
        <v>570</v>
      </c>
      <c r="GG111" s="405" t="s">
        <v>571</v>
      </c>
      <c r="GH111" s="282" t="s">
        <v>572</v>
      </c>
      <c r="GI111" s="404" t="s">
        <v>630</v>
      </c>
      <c r="GJ111" s="405" t="s">
        <v>570</v>
      </c>
      <c r="GK111" s="405" t="s">
        <v>571</v>
      </c>
      <c r="GL111" s="282" t="s">
        <v>572</v>
      </c>
      <c r="GM111" s="404" t="s">
        <v>630</v>
      </c>
      <c r="GN111" s="405" t="s">
        <v>570</v>
      </c>
      <c r="GO111" s="405" t="s">
        <v>571</v>
      </c>
      <c r="GP111" s="282" t="s">
        <v>572</v>
      </c>
      <c r="GQ111" s="404" t="s">
        <v>630</v>
      </c>
      <c r="GR111" s="405" t="s">
        <v>570</v>
      </c>
      <c r="GS111" s="405" t="s">
        <v>571</v>
      </c>
      <c r="GT111" s="282" t="s">
        <v>572</v>
      </c>
      <c r="GU111" s="404" t="s">
        <v>630</v>
      </c>
      <c r="GV111" s="405" t="s">
        <v>570</v>
      </c>
      <c r="GW111" s="405" t="s">
        <v>571</v>
      </c>
      <c r="GX111" s="282" t="s">
        <v>572</v>
      </c>
      <c r="GY111" s="404" t="s">
        <v>630</v>
      </c>
      <c r="GZ111" s="405" t="s">
        <v>570</v>
      </c>
      <c r="HA111" s="405" t="s">
        <v>571</v>
      </c>
      <c r="HB111" s="282" t="s">
        <v>572</v>
      </c>
      <c r="HC111" s="407" t="s">
        <v>630</v>
      </c>
      <c r="HD111" s="408" t="s">
        <v>570</v>
      </c>
      <c r="HE111" s="408" t="s">
        <v>571</v>
      </c>
      <c r="HF111" s="409" t="s">
        <v>572</v>
      </c>
      <c r="HG111" s="407" t="s">
        <v>630</v>
      </c>
      <c r="HH111" s="408" t="s">
        <v>570</v>
      </c>
      <c r="HI111" s="408" t="s">
        <v>571</v>
      </c>
      <c r="HJ111" s="409" t="s">
        <v>572</v>
      </c>
      <c r="IE111" s="579"/>
      <c r="IF111" s="579"/>
      <c r="IG111" s="579"/>
      <c r="IH111" s="579"/>
    </row>
    <row r="112" spans="2:242" s="164" customFormat="1" ht="20.100000000000001" customHeight="1">
      <c r="B112" s="410" t="s">
        <v>1393</v>
      </c>
      <c r="C112" s="411"/>
      <c r="D112" s="411"/>
      <c r="E112" s="411"/>
      <c r="F112" s="411"/>
      <c r="G112" s="412"/>
      <c r="H112" s="413"/>
      <c r="I112" s="414"/>
      <c r="J112" s="415"/>
      <c r="K112" s="416"/>
      <c r="L112" s="411"/>
      <c r="M112" s="411"/>
      <c r="N112" s="417"/>
      <c r="O112" s="416"/>
      <c r="P112" s="411"/>
      <c r="Q112" s="411"/>
      <c r="R112" s="417"/>
      <c r="S112" s="416"/>
      <c r="T112" s="411"/>
      <c r="U112" s="411"/>
      <c r="V112" s="417"/>
      <c r="W112" s="416"/>
      <c r="X112" s="411"/>
      <c r="Y112" s="411"/>
      <c r="Z112" s="417"/>
      <c r="AA112" s="416"/>
      <c r="AB112" s="411"/>
      <c r="AC112" s="411"/>
      <c r="AD112" s="417"/>
      <c r="AE112" s="416"/>
      <c r="AF112" s="411"/>
      <c r="AG112" s="411"/>
      <c r="AH112" s="417"/>
      <c r="AI112" s="416"/>
      <c r="AJ112" s="411"/>
      <c r="AK112" s="411"/>
      <c r="AL112" s="417"/>
      <c r="AM112" s="416"/>
      <c r="AN112" s="411"/>
      <c r="AO112" s="411"/>
      <c r="AP112" s="417"/>
      <c r="AQ112" s="416"/>
      <c r="AR112" s="411"/>
      <c r="AS112" s="411"/>
      <c r="AT112" s="417"/>
      <c r="AU112" s="416"/>
      <c r="AV112" s="411"/>
      <c r="AW112" s="411"/>
      <c r="AX112" s="417"/>
      <c r="AY112" s="416"/>
      <c r="AZ112" s="411"/>
      <c r="BA112" s="411"/>
      <c r="BB112" s="417"/>
      <c r="BC112" s="416"/>
      <c r="BD112" s="411"/>
      <c r="BE112" s="411"/>
      <c r="BF112" s="417"/>
      <c r="BG112" s="416"/>
      <c r="BH112" s="411"/>
      <c r="BI112" s="411"/>
      <c r="BJ112" s="417"/>
      <c r="BK112" s="416"/>
      <c r="BL112" s="411"/>
      <c r="BM112" s="411"/>
      <c r="BN112" s="417"/>
      <c r="BO112" s="416"/>
      <c r="BP112" s="411"/>
      <c r="BQ112" s="411"/>
      <c r="BR112" s="417"/>
      <c r="BS112" s="416"/>
      <c r="BT112" s="411"/>
      <c r="BU112" s="411"/>
      <c r="BV112" s="417"/>
      <c r="BW112" s="416"/>
      <c r="BX112" s="411"/>
      <c r="BY112" s="411"/>
      <c r="BZ112" s="417"/>
      <c r="CA112" s="416"/>
      <c r="CB112" s="411"/>
      <c r="CC112" s="411"/>
      <c r="CD112" s="417"/>
      <c r="CE112" s="416"/>
      <c r="CF112" s="411"/>
      <c r="CG112" s="411"/>
      <c r="CH112" s="417"/>
      <c r="CI112" s="416"/>
      <c r="CJ112" s="411"/>
      <c r="CK112" s="411"/>
      <c r="CL112" s="417"/>
      <c r="CM112" s="416"/>
      <c r="CN112" s="411"/>
      <c r="CO112" s="411"/>
      <c r="CP112" s="417"/>
      <c r="CQ112" s="416"/>
      <c r="CR112" s="411"/>
      <c r="CS112" s="411"/>
      <c r="CT112" s="417"/>
      <c r="CU112" s="416"/>
      <c r="CV112" s="411"/>
      <c r="CW112" s="411"/>
      <c r="CX112" s="417"/>
      <c r="CY112" s="416"/>
      <c r="CZ112" s="411"/>
      <c r="DA112" s="411"/>
      <c r="DB112" s="417"/>
      <c r="DC112" s="416"/>
      <c r="DD112" s="411"/>
      <c r="DE112" s="411"/>
      <c r="DF112" s="417"/>
      <c r="DG112" s="416"/>
      <c r="DH112" s="411"/>
      <c r="DI112" s="411"/>
      <c r="DJ112" s="417"/>
      <c r="DK112" s="416"/>
      <c r="DL112" s="411"/>
      <c r="DM112" s="411"/>
      <c r="DN112" s="417"/>
      <c r="DO112" s="416"/>
      <c r="DP112" s="411"/>
      <c r="DQ112" s="411"/>
      <c r="DR112" s="417"/>
      <c r="DS112" s="416"/>
      <c r="DT112" s="411"/>
      <c r="DU112" s="411"/>
      <c r="DV112" s="417"/>
      <c r="DW112" s="416"/>
      <c r="DX112" s="411"/>
      <c r="DY112" s="411"/>
      <c r="DZ112" s="417"/>
      <c r="EA112" s="416"/>
      <c r="EB112" s="411"/>
      <c r="EC112" s="411"/>
      <c r="ED112" s="417"/>
      <c r="EE112" s="416"/>
      <c r="EF112" s="411"/>
      <c r="EG112" s="411"/>
      <c r="EH112" s="417"/>
      <c r="EI112" s="416"/>
      <c r="EJ112" s="411"/>
      <c r="EK112" s="411"/>
      <c r="EL112" s="417"/>
      <c r="EM112" s="416"/>
      <c r="EN112" s="411"/>
      <c r="EO112" s="411"/>
      <c r="EP112" s="417"/>
      <c r="EQ112" s="416"/>
      <c r="ER112" s="411"/>
      <c r="ES112" s="411"/>
      <c r="ET112" s="417"/>
      <c r="EU112" s="416"/>
      <c r="EV112" s="411"/>
      <c r="EW112" s="411"/>
      <c r="EX112" s="417"/>
      <c r="EY112" s="416"/>
      <c r="EZ112" s="411"/>
      <c r="FA112" s="411"/>
      <c r="FB112" s="417"/>
      <c r="FC112" s="416"/>
      <c r="FD112" s="411"/>
      <c r="FE112" s="411"/>
      <c r="FF112" s="417"/>
      <c r="FG112" s="416"/>
      <c r="FH112" s="411"/>
      <c r="FI112" s="411"/>
      <c r="FJ112" s="417"/>
      <c r="FK112" s="416"/>
      <c r="FL112" s="411"/>
      <c r="FM112" s="411"/>
      <c r="FN112" s="417"/>
      <c r="FO112" s="416"/>
      <c r="FP112" s="411"/>
      <c r="FQ112" s="411"/>
      <c r="FR112" s="417"/>
      <c r="FS112" s="416"/>
      <c r="FT112" s="411"/>
      <c r="FU112" s="411"/>
      <c r="FV112" s="417"/>
      <c r="FW112" s="416"/>
      <c r="FX112" s="411"/>
      <c r="FY112" s="411"/>
      <c r="FZ112" s="417"/>
      <c r="GA112" s="416"/>
      <c r="GB112" s="411"/>
      <c r="GC112" s="411"/>
      <c r="GD112" s="417"/>
      <c r="GE112" s="416"/>
      <c r="GF112" s="411"/>
      <c r="GG112" s="411"/>
      <c r="GH112" s="417"/>
      <c r="GI112" s="416"/>
      <c r="GJ112" s="411"/>
      <c r="GK112" s="411"/>
      <c r="GL112" s="417"/>
      <c r="GM112" s="416"/>
      <c r="GN112" s="411"/>
      <c r="GO112" s="411"/>
      <c r="GP112" s="417"/>
      <c r="GQ112" s="416"/>
      <c r="GR112" s="411"/>
      <c r="GS112" s="411"/>
      <c r="GT112" s="417"/>
      <c r="GU112" s="416"/>
      <c r="GV112" s="411"/>
      <c r="GW112" s="411"/>
      <c r="GX112" s="417"/>
      <c r="GY112" s="416"/>
      <c r="GZ112" s="411"/>
      <c r="HA112" s="411"/>
      <c r="HB112" s="417"/>
      <c r="HC112" s="418">
        <f t="shared" ref="HC112:HF143" si="83">K112+O112+S112+W112+AA112+AE112+AI112+AM112+AQ112+AU112+AY112+BC112+BG112+BK112+BO112+BS112+BW112+CA112+CE112+CI112+CM112+CQ112+CU112+CY112+DC112+DG112+DK112+DO112+DS112+DW112+EA112+EE112+EI112+EM112+EQ112+EU112+EY112+FC112+FG112+FK112+FO112+FS112+FW112+GA112+GE112+GI112+GM112+GQ112+GU112+GY112</f>
        <v>0</v>
      </c>
      <c r="HD112" s="419">
        <f t="shared" si="83"/>
        <v>0</v>
      </c>
      <c r="HE112" s="419">
        <f t="shared" si="83"/>
        <v>0</v>
      </c>
      <c r="HF112" s="420"/>
      <c r="HG112" s="418">
        <f>SUM(SUMIFS(K112:HB112,$K$13:$HB$13,{"エネルギー管理指定工場等*","県域*"}))</f>
        <v>0</v>
      </c>
      <c r="HH112" s="419">
        <f>SUM(SUMIFS(L112:HC112,$K$13:$HB$13,{"エネルギー管理指定工場等*","県域*"}))</f>
        <v>0</v>
      </c>
      <c r="HI112" s="419">
        <f>SUM(SUMIFS(M112:HD112,$K$13:$HB$13,{"エネルギー管理指定工場等*","県域*"}))</f>
        <v>0</v>
      </c>
      <c r="HJ112" s="420"/>
      <c r="IE112" s="579"/>
      <c r="IF112" s="579"/>
      <c r="IG112" s="579"/>
      <c r="IH112" s="579"/>
    </row>
    <row r="113" spans="2:242" s="164" customFormat="1" ht="20.100000000000001" customHeight="1">
      <c r="B113" s="421" t="s">
        <v>1394</v>
      </c>
      <c r="C113" s="422"/>
      <c r="D113" s="422"/>
      <c r="E113" s="422"/>
      <c r="F113" s="422"/>
      <c r="G113" s="423"/>
      <c r="H113" s="424"/>
      <c r="I113" s="425"/>
      <c r="J113" s="426"/>
      <c r="K113" s="427"/>
      <c r="L113" s="422"/>
      <c r="M113" s="422"/>
      <c r="N113" s="428"/>
      <c r="O113" s="427"/>
      <c r="P113" s="422"/>
      <c r="Q113" s="422"/>
      <c r="R113" s="428"/>
      <c r="S113" s="427"/>
      <c r="T113" s="422"/>
      <c r="U113" s="422"/>
      <c r="V113" s="428"/>
      <c r="W113" s="427"/>
      <c r="X113" s="422"/>
      <c r="Y113" s="422"/>
      <c r="Z113" s="428"/>
      <c r="AA113" s="427"/>
      <c r="AB113" s="422"/>
      <c r="AC113" s="422"/>
      <c r="AD113" s="428"/>
      <c r="AE113" s="427"/>
      <c r="AF113" s="422"/>
      <c r="AG113" s="422"/>
      <c r="AH113" s="428"/>
      <c r="AI113" s="427"/>
      <c r="AJ113" s="422"/>
      <c r="AK113" s="422"/>
      <c r="AL113" s="428"/>
      <c r="AM113" s="427"/>
      <c r="AN113" s="422"/>
      <c r="AO113" s="422"/>
      <c r="AP113" s="428"/>
      <c r="AQ113" s="427"/>
      <c r="AR113" s="422"/>
      <c r="AS113" s="422"/>
      <c r="AT113" s="428"/>
      <c r="AU113" s="427"/>
      <c r="AV113" s="422"/>
      <c r="AW113" s="422"/>
      <c r="AX113" s="428"/>
      <c r="AY113" s="427"/>
      <c r="AZ113" s="422"/>
      <c r="BA113" s="422"/>
      <c r="BB113" s="428"/>
      <c r="BC113" s="427"/>
      <c r="BD113" s="422"/>
      <c r="BE113" s="422"/>
      <c r="BF113" s="428"/>
      <c r="BG113" s="427"/>
      <c r="BH113" s="422"/>
      <c r="BI113" s="422"/>
      <c r="BJ113" s="428"/>
      <c r="BK113" s="427"/>
      <c r="BL113" s="422"/>
      <c r="BM113" s="422"/>
      <c r="BN113" s="428"/>
      <c r="BO113" s="427"/>
      <c r="BP113" s="422"/>
      <c r="BQ113" s="422"/>
      <c r="BR113" s="428"/>
      <c r="BS113" s="427"/>
      <c r="BT113" s="422"/>
      <c r="BU113" s="422"/>
      <c r="BV113" s="428"/>
      <c r="BW113" s="427"/>
      <c r="BX113" s="422"/>
      <c r="BY113" s="422"/>
      <c r="BZ113" s="428"/>
      <c r="CA113" s="427"/>
      <c r="CB113" s="422"/>
      <c r="CC113" s="422"/>
      <c r="CD113" s="428"/>
      <c r="CE113" s="427"/>
      <c r="CF113" s="422"/>
      <c r="CG113" s="422"/>
      <c r="CH113" s="428"/>
      <c r="CI113" s="427"/>
      <c r="CJ113" s="422"/>
      <c r="CK113" s="422"/>
      <c r="CL113" s="428"/>
      <c r="CM113" s="427"/>
      <c r="CN113" s="422"/>
      <c r="CO113" s="422"/>
      <c r="CP113" s="428"/>
      <c r="CQ113" s="427"/>
      <c r="CR113" s="422"/>
      <c r="CS113" s="422"/>
      <c r="CT113" s="428"/>
      <c r="CU113" s="427"/>
      <c r="CV113" s="422"/>
      <c r="CW113" s="422"/>
      <c r="CX113" s="428"/>
      <c r="CY113" s="427"/>
      <c r="CZ113" s="422"/>
      <c r="DA113" s="422"/>
      <c r="DB113" s="428"/>
      <c r="DC113" s="427"/>
      <c r="DD113" s="422"/>
      <c r="DE113" s="422"/>
      <c r="DF113" s="428"/>
      <c r="DG113" s="427"/>
      <c r="DH113" s="422"/>
      <c r="DI113" s="422"/>
      <c r="DJ113" s="428"/>
      <c r="DK113" s="427"/>
      <c r="DL113" s="422"/>
      <c r="DM113" s="422"/>
      <c r="DN113" s="428"/>
      <c r="DO113" s="427"/>
      <c r="DP113" s="422"/>
      <c r="DQ113" s="422"/>
      <c r="DR113" s="428"/>
      <c r="DS113" s="427"/>
      <c r="DT113" s="422"/>
      <c r="DU113" s="422"/>
      <c r="DV113" s="428"/>
      <c r="DW113" s="427"/>
      <c r="DX113" s="422"/>
      <c r="DY113" s="422"/>
      <c r="DZ113" s="428"/>
      <c r="EA113" s="427"/>
      <c r="EB113" s="422"/>
      <c r="EC113" s="422"/>
      <c r="ED113" s="428"/>
      <c r="EE113" s="427"/>
      <c r="EF113" s="422"/>
      <c r="EG113" s="422"/>
      <c r="EH113" s="428"/>
      <c r="EI113" s="427"/>
      <c r="EJ113" s="422"/>
      <c r="EK113" s="422"/>
      <c r="EL113" s="428"/>
      <c r="EM113" s="427"/>
      <c r="EN113" s="422"/>
      <c r="EO113" s="422"/>
      <c r="EP113" s="428"/>
      <c r="EQ113" s="427"/>
      <c r="ER113" s="422"/>
      <c r="ES113" s="422"/>
      <c r="ET113" s="428"/>
      <c r="EU113" s="427"/>
      <c r="EV113" s="422"/>
      <c r="EW113" s="422"/>
      <c r="EX113" s="428"/>
      <c r="EY113" s="427"/>
      <c r="EZ113" s="422"/>
      <c r="FA113" s="422"/>
      <c r="FB113" s="428"/>
      <c r="FC113" s="427"/>
      <c r="FD113" s="422"/>
      <c r="FE113" s="422"/>
      <c r="FF113" s="428"/>
      <c r="FG113" s="427"/>
      <c r="FH113" s="422"/>
      <c r="FI113" s="422"/>
      <c r="FJ113" s="428"/>
      <c r="FK113" s="427"/>
      <c r="FL113" s="422"/>
      <c r="FM113" s="422"/>
      <c r="FN113" s="428"/>
      <c r="FO113" s="427"/>
      <c r="FP113" s="422"/>
      <c r="FQ113" s="422"/>
      <c r="FR113" s="428"/>
      <c r="FS113" s="427"/>
      <c r="FT113" s="422"/>
      <c r="FU113" s="422"/>
      <c r="FV113" s="428"/>
      <c r="FW113" s="427"/>
      <c r="FX113" s="422"/>
      <c r="FY113" s="422"/>
      <c r="FZ113" s="428"/>
      <c r="GA113" s="427"/>
      <c r="GB113" s="422"/>
      <c r="GC113" s="422"/>
      <c r="GD113" s="428"/>
      <c r="GE113" s="427"/>
      <c r="GF113" s="422"/>
      <c r="GG113" s="422"/>
      <c r="GH113" s="428"/>
      <c r="GI113" s="427"/>
      <c r="GJ113" s="422"/>
      <c r="GK113" s="422"/>
      <c r="GL113" s="428"/>
      <c r="GM113" s="427"/>
      <c r="GN113" s="422"/>
      <c r="GO113" s="422"/>
      <c r="GP113" s="428"/>
      <c r="GQ113" s="427"/>
      <c r="GR113" s="422"/>
      <c r="GS113" s="422"/>
      <c r="GT113" s="428"/>
      <c r="GU113" s="427"/>
      <c r="GV113" s="422"/>
      <c r="GW113" s="422"/>
      <c r="GX113" s="428"/>
      <c r="GY113" s="427"/>
      <c r="GZ113" s="422"/>
      <c r="HA113" s="422"/>
      <c r="HB113" s="428"/>
      <c r="HC113" s="429">
        <f t="shared" si="83"/>
        <v>0</v>
      </c>
      <c r="HD113" s="430">
        <f t="shared" si="83"/>
        <v>0</v>
      </c>
      <c r="HE113" s="430">
        <f t="shared" si="83"/>
        <v>0</v>
      </c>
      <c r="HF113" s="431"/>
      <c r="HG113" s="429">
        <f>SUM(SUMIFS(K113:HB113,$K$13:$HB$13,{"エネルギー管理指定工場等*","県域*"}))</f>
        <v>0</v>
      </c>
      <c r="HH113" s="432">
        <f>SUM(SUMIFS(L113:HC113,$K$13:$HB$13,{"エネルギー管理指定工場等*","県域*"}))</f>
        <v>0</v>
      </c>
      <c r="HI113" s="432">
        <f>SUM(SUMIFS(M113:HD113,$K$13:$HB$13,{"エネルギー管理指定工場等*","県域*"}))</f>
        <v>0</v>
      </c>
      <c r="HJ113" s="433"/>
      <c r="IE113" s="579"/>
      <c r="IF113" s="579"/>
      <c r="IG113" s="579"/>
      <c r="IH113" s="579"/>
    </row>
    <row r="114" spans="2:242" s="164" customFormat="1" ht="20.100000000000001" customHeight="1">
      <c r="B114" s="421" t="s">
        <v>1395</v>
      </c>
      <c r="C114" s="422"/>
      <c r="D114" s="422"/>
      <c r="E114" s="422"/>
      <c r="F114" s="422"/>
      <c r="G114" s="423"/>
      <c r="H114" s="424"/>
      <c r="I114" s="425"/>
      <c r="J114" s="426"/>
      <c r="K114" s="427"/>
      <c r="L114" s="422"/>
      <c r="M114" s="422"/>
      <c r="N114" s="428"/>
      <c r="O114" s="427"/>
      <c r="P114" s="422"/>
      <c r="Q114" s="422"/>
      <c r="R114" s="428"/>
      <c r="S114" s="427"/>
      <c r="T114" s="422"/>
      <c r="U114" s="422"/>
      <c r="V114" s="428"/>
      <c r="W114" s="427"/>
      <c r="X114" s="422"/>
      <c r="Y114" s="422"/>
      <c r="Z114" s="428"/>
      <c r="AA114" s="427"/>
      <c r="AB114" s="422"/>
      <c r="AC114" s="422"/>
      <c r="AD114" s="428"/>
      <c r="AE114" s="427"/>
      <c r="AF114" s="422"/>
      <c r="AG114" s="422"/>
      <c r="AH114" s="428"/>
      <c r="AI114" s="427"/>
      <c r="AJ114" s="422"/>
      <c r="AK114" s="422"/>
      <c r="AL114" s="428"/>
      <c r="AM114" s="427"/>
      <c r="AN114" s="422"/>
      <c r="AO114" s="422"/>
      <c r="AP114" s="428"/>
      <c r="AQ114" s="427"/>
      <c r="AR114" s="422"/>
      <c r="AS114" s="422"/>
      <c r="AT114" s="428"/>
      <c r="AU114" s="427"/>
      <c r="AV114" s="422"/>
      <c r="AW114" s="422"/>
      <c r="AX114" s="428"/>
      <c r="AY114" s="427"/>
      <c r="AZ114" s="422"/>
      <c r="BA114" s="422"/>
      <c r="BB114" s="428"/>
      <c r="BC114" s="427"/>
      <c r="BD114" s="422"/>
      <c r="BE114" s="422"/>
      <c r="BF114" s="428"/>
      <c r="BG114" s="427"/>
      <c r="BH114" s="422"/>
      <c r="BI114" s="422"/>
      <c r="BJ114" s="428"/>
      <c r="BK114" s="427"/>
      <c r="BL114" s="422"/>
      <c r="BM114" s="422"/>
      <c r="BN114" s="428"/>
      <c r="BO114" s="427"/>
      <c r="BP114" s="422"/>
      <c r="BQ114" s="422"/>
      <c r="BR114" s="428"/>
      <c r="BS114" s="427"/>
      <c r="BT114" s="422"/>
      <c r="BU114" s="422"/>
      <c r="BV114" s="428"/>
      <c r="BW114" s="427"/>
      <c r="BX114" s="422"/>
      <c r="BY114" s="422"/>
      <c r="BZ114" s="428"/>
      <c r="CA114" s="427"/>
      <c r="CB114" s="422"/>
      <c r="CC114" s="422"/>
      <c r="CD114" s="428"/>
      <c r="CE114" s="427"/>
      <c r="CF114" s="422"/>
      <c r="CG114" s="422"/>
      <c r="CH114" s="428"/>
      <c r="CI114" s="427"/>
      <c r="CJ114" s="422"/>
      <c r="CK114" s="422"/>
      <c r="CL114" s="428"/>
      <c r="CM114" s="427"/>
      <c r="CN114" s="422"/>
      <c r="CO114" s="422"/>
      <c r="CP114" s="428"/>
      <c r="CQ114" s="427"/>
      <c r="CR114" s="422"/>
      <c r="CS114" s="422"/>
      <c r="CT114" s="428"/>
      <c r="CU114" s="427"/>
      <c r="CV114" s="422"/>
      <c r="CW114" s="422"/>
      <c r="CX114" s="428"/>
      <c r="CY114" s="427"/>
      <c r="CZ114" s="422"/>
      <c r="DA114" s="422"/>
      <c r="DB114" s="428"/>
      <c r="DC114" s="427"/>
      <c r="DD114" s="422"/>
      <c r="DE114" s="422"/>
      <c r="DF114" s="428"/>
      <c r="DG114" s="427"/>
      <c r="DH114" s="422"/>
      <c r="DI114" s="422"/>
      <c r="DJ114" s="428"/>
      <c r="DK114" s="427"/>
      <c r="DL114" s="422"/>
      <c r="DM114" s="422"/>
      <c r="DN114" s="428"/>
      <c r="DO114" s="427"/>
      <c r="DP114" s="422"/>
      <c r="DQ114" s="422"/>
      <c r="DR114" s="428"/>
      <c r="DS114" s="427"/>
      <c r="DT114" s="422"/>
      <c r="DU114" s="422"/>
      <c r="DV114" s="428"/>
      <c r="DW114" s="427"/>
      <c r="DX114" s="422"/>
      <c r="DY114" s="422"/>
      <c r="DZ114" s="428"/>
      <c r="EA114" s="427"/>
      <c r="EB114" s="422"/>
      <c r="EC114" s="422"/>
      <c r="ED114" s="428"/>
      <c r="EE114" s="427"/>
      <c r="EF114" s="422"/>
      <c r="EG114" s="422"/>
      <c r="EH114" s="428"/>
      <c r="EI114" s="427"/>
      <c r="EJ114" s="422"/>
      <c r="EK114" s="422"/>
      <c r="EL114" s="428"/>
      <c r="EM114" s="427"/>
      <c r="EN114" s="422"/>
      <c r="EO114" s="422"/>
      <c r="EP114" s="428"/>
      <c r="EQ114" s="427"/>
      <c r="ER114" s="422"/>
      <c r="ES114" s="422"/>
      <c r="ET114" s="428"/>
      <c r="EU114" s="427"/>
      <c r="EV114" s="422"/>
      <c r="EW114" s="422"/>
      <c r="EX114" s="428"/>
      <c r="EY114" s="427"/>
      <c r="EZ114" s="422"/>
      <c r="FA114" s="422"/>
      <c r="FB114" s="428"/>
      <c r="FC114" s="427"/>
      <c r="FD114" s="422"/>
      <c r="FE114" s="422"/>
      <c r="FF114" s="428"/>
      <c r="FG114" s="427"/>
      <c r="FH114" s="422"/>
      <c r="FI114" s="422"/>
      <c r="FJ114" s="428"/>
      <c r="FK114" s="427"/>
      <c r="FL114" s="422"/>
      <c r="FM114" s="422"/>
      <c r="FN114" s="428"/>
      <c r="FO114" s="427"/>
      <c r="FP114" s="422"/>
      <c r="FQ114" s="422"/>
      <c r="FR114" s="428"/>
      <c r="FS114" s="427"/>
      <c r="FT114" s="422"/>
      <c r="FU114" s="422"/>
      <c r="FV114" s="428"/>
      <c r="FW114" s="427"/>
      <c r="FX114" s="422"/>
      <c r="FY114" s="422"/>
      <c r="FZ114" s="428"/>
      <c r="GA114" s="427"/>
      <c r="GB114" s="422"/>
      <c r="GC114" s="422"/>
      <c r="GD114" s="428"/>
      <c r="GE114" s="427"/>
      <c r="GF114" s="422"/>
      <c r="GG114" s="422"/>
      <c r="GH114" s="428"/>
      <c r="GI114" s="427"/>
      <c r="GJ114" s="422"/>
      <c r="GK114" s="422"/>
      <c r="GL114" s="428"/>
      <c r="GM114" s="427"/>
      <c r="GN114" s="422"/>
      <c r="GO114" s="422"/>
      <c r="GP114" s="428"/>
      <c r="GQ114" s="427"/>
      <c r="GR114" s="422"/>
      <c r="GS114" s="422"/>
      <c r="GT114" s="428"/>
      <c r="GU114" s="427"/>
      <c r="GV114" s="422"/>
      <c r="GW114" s="422"/>
      <c r="GX114" s="428"/>
      <c r="GY114" s="427"/>
      <c r="GZ114" s="422"/>
      <c r="HA114" s="422"/>
      <c r="HB114" s="428"/>
      <c r="HC114" s="434">
        <f t="shared" si="83"/>
        <v>0</v>
      </c>
      <c r="HD114" s="432">
        <f t="shared" si="83"/>
        <v>0</v>
      </c>
      <c r="HE114" s="432">
        <f t="shared" si="83"/>
        <v>0</v>
      </c>
      <c r="HF114" s="433"/>
      <c r="HG114" s="434">
        <f>SUM(SUMIFS(K114:HB114,$K$13:$HB$13,{"エネルギー管理指定工場等*","県域*"}))</f>
        <v>0</v>
      </c>
      <c r="HH114" s="432">
        <f>SUM(SUMIFS(L114:HC114,$K$13:$HB$13,{"エネルギー管理指定工場等*","県域*"}))</f>
        <v>0</v>
      </c>
      <c r="HI114" s="432">
        <f>SUM(SUMIFS(M114:HD114,$K$13:$HB$13,{"エネルギー管理指定工場等*","県域*"}))</f>
        <v>0</v>
      </c>
      <c r="HJ114" s="433"/>
      <c r="IE114" s="579"/>
      <c r="IF114" s="579"/>
      <c r="IG114" s="579"/>
      <c r="IH114" s="579"/>
    </row>
    <row r="115" spans="2:242" s="164" customFormat="1" ht="20.100000000000001" customHeight="1">
      <c r="B115" s="421" t="s">
        <v>1396</v>
      </c>
      <c r="C115" s="422"/>
      <c r="D115" s="422"/>
      <c r="E115" s="422"/>
      <c r="F115" s="422"/>
      <c r="G115" s="423"/>
      <c r="H115" s="424"/>
      <c r="I115" s="425"/>
      <c r="J115" s="426"/>
      <c r="K115" s="427"/>
      <c r="L115" s="422"/>
      <c r="M115" s="422"/>
      <c r="N115" s="428"/>
      <c r="O115" s="427"/>
      <c r="P115" s="422"/>
      <c r="Q115" s="422"/>
      <c r="R115" s="428"/>
      <c r="S115" s="427"/>
      <c r="T115" s="422"/>
      <c r="U115" s="422"/>
      <c r="V115" s="428"/>
      <c r="W115" s="427"/>
      <c r="X115" s="422"/>
      <c r="Y115" s="422"/>
      <c r="Z115" s="428"/>
      <c r="AA115" s="427"/>
      <c r="AB115" s="422"/>
      <c r="AC115" s="422"/>
      <c r="AD115" s="428"/>
      <c r="AE115" s="427"/>
      <c r="AF115" s="422"/>
      <c r="AG115" s="422"/>
      <c r="AH115" s="428"/>
      <c r="AI115" s="427"/>
      <c r="AJ115" s="422"/>
      <c r="AK115" s="422"/>
      <c r="AL115" s="428"/>
      <c r="AM115" s="427"/>
      <c r="AN115" s="422"/>
      <c r="AO115" s="422"/>
      <c r="AP115" s="428"/>
      <c r="AQ115" s="427"/>
      <c r="AR115" s="422"/>
      <c r="AS115" s="422"/>
      <c r="AT115" s="428"/>
      <c r="AU115" s="427"/>
      <c r="AV115" s="422"/>
      <c r="AW115" s="422"/>
      <c r="AX115" s="428"/>
      <c r="AY115" s="427"/>
      <c r="AZ115" s="422"/>
      <c r="BA115" s="422"/>
      <c r="BB115" s="428"/>
      <c r="BC115" s="427"/>
      <c r="BD115" s="422"/>
      <c r="BE115" s="422"/>
      <c r="BF115" s="428"/>
      <c r="BG115" s="427"/>
      <c r="BH115" s="422"/>
      <c r="BI115" s="422"/>
      <c r="BJ115" s="428"/>
      <c r="BK115" s="427"/>
      <c r="BL115" s="422"/>
      <c r="BM115" s="422"/>
      <c r="BN115" s="428"/>
      <c r="BO115" s="427"/>
      <c r="BP115" s="422"/>
      <c r="BQ115" s="422"/>
      <c r="BR115" s="428"/>
      <c r="BS115" s="427"/>
      <c r="BT115" s="422"/>
      <c r="BU115" s="422"/>
      <c r="BV115" s="428"/>
      <c r="BW115" s="427"/>
      <c r="BX115" s="422"/>
      <c r="BY115" s="422"/>
      <c r="BZ115" s="428"/>
      <c r="CA115" s="427"/>
      <c r="CB115" s="422"/>
      <c r="CC115" s="422"/>
      <c r="CD115" s="428"/>
      <c r="CE115" s="427"/>
      <c r="CF115" s="422"/>
      <c r="CG115" s="422"/>
      <c r="CH115" s="428"/>
      <c r="CI115" s="427"/>
      <c r="CJ115" s="422"/>
      <c r="CK115" s="422"/>
      <c r="CL115" s="428"/>
      <c r="CM115" s="427"/>
      <c r="CN115" s="422"/>
      <c r="CO115" s="422"/>
      <c r="CP115" s="428"/>
      <c r="CQ115" s="427"/>
      <c r="CR115" s="422"/>
      <c r="CS115" s="422"/>
      <c r="CT115" s="428"/>
      <c r="CU115" s="427"/>
      <c r="CV115" s="422"/>
      <c r="CW115" s="422"/>
      <c r="CX115" s="428"/>
      <c r="CY115" s="427"/>
      <c r="CZ115" s="422"/>
      <c r="DA115" s="422"/>
      <c r="DB115" s="428"/>
      <c r="DC115" s="427"/>
      <c r="DD115" s="422"/>
      <c r="DE115" s="422"/>
      <c r="DF115" s="428"/>
      <c r="DG115" s="427"/>
      <c r="DH115" s="422"/>
      <c r="DI115" s="422"/>
      <c r="DJ115" s="428"/>
      <c r="DK115" s="427"/>
      <c r="DL115" s="422"/>
      <c r="DM115" s="422"/>
      <c r="DN115" s="428"/>
      <c r="DO115" s="427"/>
      <c r="DP115" s="422"/>
      <c r="DQ115" s="422"/>
      <c r="DR115" s="428"/>
      <c r="DS115" s="427"/>
      <c r="DT115" s="422"/>
      <c r="DU115" s="422"/>
      <c r="DV115" s="428"/>
      <c r="DW115" s="427"/>
      <c r="DX115" s="422"/>
      <c r="DY115" s="422"/>
      <c r="DZ115" s="428"/>
      <c r="EA115" s="427"/>
      <c r="EB115" s="422"/>
      <c r="EC115" s="422"/>
      <c r="ED115" s="428"/>
      <c r="EE115" s="427"/>
      <c r="EF115" s="422"/>
      <c r="EG115" s="422"/>
      <c r="EH115" s="428"/>
      <c r="EI115" s="427"/>
      <c r="EJ115" s="422"/>
      <c r="EK115" s="422"/>
      <c r="EL115" s="428"/>
      <c r="EM115" s="427"/>
      <c r="EN115" s="422"/>
      <c r="EO115" s="422"/>
      <c r="EP115" s="428"/>
      <c r="EQ115" s="427"/>
      <c r="ER115" s="422"/>
      <c r="ES115" s="422"/>
      <c r="ET115" s="428"/>
      <c r="EU115" s="427"/>
      <c r="EV115" s="422"/>
      <c r="EW115" s="422"/>
      <c r="EX115" s="428"/>
      <c r="EY115" s="427"/>
      <c r="EZ115" s="422"/>
      <c r="FA115" s="422"/>
      <c r="FB115" s="428"/>
      <c r="FC115" s="427"/>
      <c r="FD115" s="422"/>
      <c r="FE115" s="422"/>
      <c r="FF115" s="428"/>
      <c r="FG115" s="427"/>
      <c r="FH115" s="422"/>
      <c r="FI115" s="422"/>
      <c r="FJ115" s="428"/>
      <c r="FK115" s="427"/>
      <c r="FL115" s="422"/>
      <c r="FM115" s="422"/>
      <c r="FN115" s="428"/>
      <c r="FO115" s="427"/>
      <c r="FP115" s="422"/>
      <c r="FQ115" s="422"/>
      <c r="FR115" s="428"/>
      <c r="FS115" s="427"/>
      <c r="FT115" s="422"/>
      <c r="FU115" s="422"/>
      <c r="FV115" s="428"/>
      <c r="FW115" s="427"/>
      <c r="FX115" s="422"/>
      <c r="FY115" s="422"/>
      <c r="FZ115" s="428"/>
      <c r="GA115" s="427"/>
      <c r="GB115" s="422"/>
      <c r="GC115" s="422"/>
      <c r="GD115" s="428"/>
      <c r="GE115" s="427"/>
      <c r="GF115" s="422"/>
      <c r="GG115" s="422"/>
      <c r="GH115" s="428"/>
      <c r="GI115" s="427"/>
      <c r="GJ115" s="422"/>
      <c r="GK115" s="422"/>
      <c r="GL115" s="428"/>
      <c r="GM115" s="427"/>
      <c r="GN115" s="422"/>
      <c r="GO115" s="422"/>
      <c r="GP115" s="428"/>
      <c r="GQ115" s="427"/>
      <c r="GR115" s="422"/>
      <c r="GS115" s="422"/>
      <c r="GT115" s="428"/>
      <c r="GU115" s="427"/>
      <c r="GV115" s="422"/>
      <c r="GW115" s="422"/>
      <c r="GX115" s="428"/>
      <c r="GY115" s="427"/>
      <c r="GZ115" s="422"/>
      <c r="HA115" s="422"/>
      <c r="HB115" s="428"/>
      <c r="HC115" s="434">
        <f t="shared" si="83"/>
        <v>0</v>
      </c>
      <c r="HD115" s="432">
        <f t="shared" si="83"/>
        <v>0</v>
      </c>
      <c r="HE115" s="432">
        <f t="shared" si="83"/>
        <v>0</v>
      </c>
      <c r="HF115" s="433"/>
      <c r="HG115" s="434">
        <f>SUM(SUMIFS(K115:HB115,$K$13:$HB$13,{"エネルギー管理指定工場等*","県域*"}))</f>
        <v>0</v>
      </c>
      <c r="HH115" s="432">
        <f>SUM(SUMIFS(L115:HC115,$K$13:$HB$13,{"エネルギー管理指定工場等*","県域*"}))</f>
        <v>0</v>
      </c>
      <c r="HI115" s="432">
        <f>SUM(SUMIFS(M115:HD115,$K$13:$HB$13,{"エネルギー管理指定工場等*","県域*"}))</f>
        <v>0</v>
      </c>
      <c r="HJ115" s="433"/>
      <c r="IE115" s="579"/>
      <c r="IF115" s="579"/>
      <c r="IG115" s="579"/>
      <c r="IH115" s="579"/>
    </row>
    <row r="116" spans="2:242" s="164" customFormat="1" ht="20.100000000000001" customHeight="1">
      <c r="B116" s="421" t="s">
        <v>1397</v>
      </c>
      <c r="C116" s="422"/>
      <c r="D116" s="422"/>
      <c r="E116" s="422"/>
      <c r="F116" s="422"/>
      <c r="G116" s="423"/>
      <c r="H116" s="424"/>
      <c r="I116" s="435"/>
      <c r="J116" s="436"/>
      <c r="K116" s="427"/>
      <c r="L116" s="422"/>
      <c r="M116" s="422"/>
      <c r="N116" s="428"/>
      <c r="O116" s="427"/>
      <c r="P116" s="422"/>
      <c r="Q116" s="422"/>
      <c r="R116" s="428"/>
      <c r="S116" s="427"/>
      <c r="T116" s="422"/>
      <c r="U116" s="422"/>
      <c r="V116" s="428"/>
      <c r="W116" s="427"/>
      <c r="X116" s="422"/>
      <c r="Y116" s="422"/>
      <c r="Z116" s="428"/>
      <c r="AA116" s="427"/>
      <c r="AB116" s="422"/>
      <c r="AC116" s="422"/>
      <c r="AD116" s="428"/>
      <c r="AE116" s="427"/>
      <c r="AF116" s="422"/>
      <c r="AG116" s="422"/>
      <c r="AH116" s="428"/>
      <c r="AI116" s="427"/>
      <c r="AJ116" s="422"/>
      <c r="AK116" s="422"/>
      <c r="AL116" s="428"/>
      <c r="AM116" s="427"/>
      <c r="AN116" s="422"/>
      <c r="AO116" s="422"/>
      <c r="AP116" s="428"/>
      <c r="AQ116" s="427"/>
      <c r="AR116" s="422"/>
      <c r="AS116" s="422"/>
      <c r="AT116" s="428"/>
      <c r="AU116" s="427"/>
      <c r="AV116" s="422"/>
      <c r="AW116" s="422"/>
      <c r="AX116" s="428"/>
      <c r="AY116" s="427"/>
      <c r="AZ116" s="422"/>
      <c r="BA116" s="422"/>
      <c r="BB116" s="428"/>
      <c r="BC116" s="427"/>
      <c r="BD116" s="422"/>
      <c r="BE116" s="422"/>
      <c r="BF116" s="428"/>
      <c r="BG116" s="427"/>
      <c r="BH116" s="422"/>
      <c r="BI116" s="422"/>
      <c r="BJ116" s="428"/>
      <c r="BK116" s="427"/>
      <c r="BL116" s="422"/>
      <c r="BM116" s="422"/>
      <c r="BN116" s="428"/>
      <c r="BO116" s="427"/>
      <c r="BP116" s="422"/>
      <c r="BQ116" s="422"/>
      <c r="BR116" s="428"/>
      <c r="BS116" s="427"/>
      <c r="BT116" s="422"/>
      <c r="BU116" s="422"/>
      <c r="BV116" s="428"/>
      <c r="BW116" s="427"/>
      <c r="BX116" s="422"/>
      <c r="BY116" s="422"/>
      <c r="BZ116" s="428"/>
      <c r="CA116" s="427"/>
      <c r="CB116" s="422"/>
      <c r="CC116" s="422"/>
      <c r="CD116" s="428"/>
      <c r="CE116" s="427"/>
      <c r="CF116" s="422"/>
      <c r="CG116" s="422"/>
      <c r="CH116" s="428"/>
      <c r="CI116" s="427"/>
      <c r="CJ116" s="422"/>
      <c r="CK116" s="422"/>
      <c r="CL116" s="428"/>
      <c r="CM116" s="427"/>
      <c r="CN116" s="422"/>
      <c r="CO116" s="422"/>
      <c r="CP116" s="428"/>
      <c r="CQ116" s="427"/>
      <c r="CR116" s="422"/>
      <c r="CS116" s="422"/>
      <c r="CT116" s="428"/>
      <c r="CU116" s="427"/>
      <c r="CV116" s="422"/>
      <c r="CW116" s="422"/>
      <c r="CX116" s="428"/>
      <c r="CY116" s="427"/>
      <c r="CZ116" s="422"/>
      <c r="DA116" s="422"/>
      <c r="DB116" s="428"/>
      <c r="DC116" s="427"/>
      <c r="DD116" s="422"/>
      <c r="DE116" s="422"/>
      <c r="DF116" s="428"/>
      <c r="DG116" s="427"/>
      <c r="DH116" s="422"/>
      <c r="DI116" s="422"/>
      <c r="DJ116" s="428"/>
      <c r="DK116" s="427"/>
      <c r="DL116" s="422"/>
      <c r="DM116" s="422"/>
      <c r="DN116" s="428"/>
      <c r="DO116" s="427"/>
      <c r="DP116" s="422"/>
      <c r="DQ116" s="422"/>
      <c r="DR116" s="428"/>
      <c r="DS116" s="427"/>
      <c r="DT116" s="422"/>
      <c r="DU116" s="422"/>
      <c r="DV116" s="428"/>
      <c r="DW116" s="427"/>
      <c r="DX116" s="422"/>
      <c r="DY116" s="422"/>
      <c r="DZ116" s="428"/>
      <c r="EA116" s="427"/>
      <c r="EB116" s="422"/>
      <c r="EC116" s="422"/>
      <c r="ED116" s="428"/>
      <c r="EE116" s="427"/>
      <c r="EF116" s="422"/>
      <c r="EG116" s="422"/>
      <c r="EH116" s="428"/>
      <c r="EI116" s="427"/>
      <c r="EJ116" s="422"/>
      <c r="EK116" s="422"/>
      <c r="EL116" s="428"/>
      <c r="EM116" s="427"/>
      <c r="EN116" s="422"/>
      <c r="EO116" s="422"/>
      <c r="EP116" s="428"/>
      <c r="EQ116" s="427"/>
      <c r="ER116" s="422"/>
      <c r="ES116" s="422"/>
      <c r="ET116" s="428"/>
      <c r="EU116" s="427"/>
      <c r="EV116" s="422"/>
      <c r="EW116" s="422"/>
      <c r="EX116" s="428"/>
      <c r="EY116" s="427"/>
      <c r="EZ116" s="422"/>
      <c r="FA116" s="422"/>
      <c r="FB116" s="428"/>
      <c r="FC116" s="427"/>
      <c r="FD116" s="422"/>
      <c r="FE116" s="422"/>
      <c r="FF116" s="428"/>
      <c r="FG116" s="427"/>
      <c r="FH116" s="422"/>
      <c r="FI116" s="422"/>
      <c r="FJ116" s="428"/>
      <c r="FK116" s="427"/>
      <c r="FL116" s="422"/>
      <c r="FM116" s="422"/>
      <c r="FN116" s="428"/>
      <c r="FO116" s="427"/>
      <c r="FP116" s="422"/>
      <c r="FQ116" s="422"/>
      <c r="FR116" s="428"/>
      <c r="FS116" s="427"/>
      <c r="FT116" s="422"/>
      <c r="FU116" s="422"/>
      <c r="FV116" s="428"/>
      <c r="FW116" s="427"/>
      <c r="FX116" s="422"/>
      <c r="FY116" s="422"/>
      <c r="FZ116" s="428"/>
      <c r="GA116" s="427"/>
      <c r="GB116" s="422"/>
      <c r="GC116" s="422"/>
      <c r="GD116" s="428"/>
      <c r="GE116" s="427"/>
      <c r="GF116" s="422"/>
      <c r="GG116" s="422"/>
      <c r="GH116" s="428"/>
      <c r="GI116" s="427"/>
      <c r="GJ116" s="422"/>
      <c r="GK116" s="422"/>
      <c r="GL116" s="428"/>
      <c r="GM116" s="427"/>
      <c r="GN116" s="422"/>
      <c r="GO116" s="422"/>
      <c r="GP116" s="428"/>
      <c r="GQ116" s="427"/>
      <c r="GR116" s="422"/>
      <c r="GS116" s="422"/>
      <c r="GT116" s="428"/>
      <c r="GU116" s="427"/>
      <c r="GV116" s="422"/>
      <c r="GW116" s="422"/>
      <c r="GX116" s="428"/>
      <c r="GY116" s="427"/>
      <c r="GZ116" s="422"/>
      <c r="HA116" s="422"/>
      <c r="HB116" s="428"/>
      <c r="HC116" s="434">
        <f t="shared" si="83"/>
        <v>0</v>
      </c>
      <c r="HD116" s="432">
        <f t="shared" si="83"/>
        <v>0</v>
      </c>
      <c r="HE116" s="432">
        <f t="shared" si="83"/>
        <v>0</v>
      </c>
      <c r="HF116" s="433"/>
      <c r="HG116" s="434">
        <f>SUM(SUMIFS(K116:HB116,$K$13:$HB$13,{"エネルギー管理指定工場等*","県域*"}))</f>
        <v>0</v>
      </c>
      <c r="HH116" s="432">
        <f>SUM(SUMIFS(L116:HC116,$K$13:$HB$13,{"エネルギー管理指定工場等*","県域*"}))</f>
        <v>0</v>
      </c>
      <c r="HI116" s="432">
        <f>SUM(SUMIFS(M116:HD116,$K$13:$HB$13,{"エネルギー管理指定工場等*","県域*"}))</f>
        <v>0</v>
      </c>
      <c r="HJ116" s="433"/>
      <c r="IE116" s="579"/>
      <c r="IF116" s="579"/>
      <c r="IG116" s="579"/>
      <c r="IH116" s="579"/>
    </row>
    <row r="117" spans="2:242" s="164" customFormat="1" ht="20.100000000000001" customHeight="1">
      <c r="B117" s="421" t="s">
        <v>1398</v>
      </c>
      <c r="C117" s="437"/>
      <c r="D117" s="437"/>
      <c r="E117" s="437"/>
      <c r="F117" s="422"/>
      <c r="G117" s="423"/>
      <c r="H117" s="438"/>
      <c r="I117" s="439"/>
      <c r="J117" s="440"/>
      <c r="K117" s="441"/>
      <c r="L117" s="437"/>
      <c r="M117" s="437"/>
      <c r="N117" s="442"/>
      <c r="O117" s="441"/>
      <c r="P117" s="437"/>
      <c r="Q117" s="437"/>
      <c r="R117" s="442"/>
      <c r="S117" s="441"/>
      <c r="T117" s="437"/>
      <c r="U117" s="437"/>
      <c r="V117" s="442"/>
      <c r="W117" s="441"/>
      <c r="X117" s="437"/>
      <c r="Y117" s="437"/>
      <c r="Z117" s="442"/>
      <c r="AA117" s="441"/>
      <c r="AB117" s="437"/>
      <c r="AC117" s="437"/>
      <c r="AD117" s="442"/>
      <c r="AE117" s="441"/>
      <c r="AF117" s="437"/>
      <c r="AG117" s="437"/>
      <c r="AH117" s="442"/>
      <c r="AI117" s="441"/>
      <c r="AJ117" s="437"/>
      <c r="AK117" s="437"/>
      <c r="AL117" s="442"/>
      <c r="AM117" s="441"/>
      <c r="AN117" s="437"/>
      <c r="AO117" s="437"/>
      <c r="AP117" s="442"/>
      <c r="AQ117" s="441"/>
      <c r="AR117" s="437"/>
      <c r="AS117" s="437"/>
      <c r="AT117" s="442"/>
      <c r="AU117" s="441"/>
      <c r="AV117" s="437"/>
      <c r="AW117" s="437"/>
      <c r="AX117" s="442"/>
      <c r="AY117" s="441"/>
      <c r="AZ117" s="437"/>
      <c r="BA117" s="437"/>
      <c r="BB117" s="442"/>
      <c r="BC117" s="441"/>
      <c r="BD117" s="437"/>
      <c r="BE117" s="437"/>
      <c r="BF117" s="442"/>
      <c r="BG117" s="441"/>
      <c r="BH117" s="437"/>
      <c r="BI117" s="437"/>
      <c r="BJ117" s="442"/>
      <c r="BK117" s="441"/>
      <c r="BL117" s="437"/>
      <c r="BM117" s="437"/>
      <c r="BN117" s="442"/>
      <c r="BO117" s="441"/>
      <c r="BP117" s="437"/>
      <c r="BQ117" s="437"/>
      <c r="BR117" s="442"/>
      <c r="BS117" s="441"/>
      <c r="BT117" s="437"/>
      <c r="BU117" s="437"/>
      <c r="BV117" s="442"/>
      <c r="BW117" s="441"/>
      <c r="BX117" s="437"/>
      <c r="BY117" s="437"/>
      <c r="BZ117" s="442"/>
      <c r="CA117" s="441"/>
      <c r="CB117" s="437"/>
      <c r="CC117" s="437"/>
      <c r="CD117" s="442"/>
      <c r="CE117" s="441"/>
      <c r="CF117" s="437"/>
      <c r="CG117" s="437"/>
      <c r="CH117" s="442"/>
      <c r="CI117" s="441"/>
      <c r="CJ117" s="437"/>
      <c r="CK117" s="437"/>
      <c r="CL117" s="442"/>
      <c r="CM117" s="441"/>
      <c r="CN117" s="437"/>
      <c r="CO117" s="437"/>
      <c r="CP117" s="442"/>
      <c r="CQ117" s="441"/>
      <c r="CR117" s="437"/>
      <c r="CS117" s="437"/>
      <c r="CT117" s="442"/>
      <c r="CU117" s="441"/>
      <c r="CV117" s="437"/>
      <c r="CW117" s="437"/>
      <c r="CX117" s="442"/>
      <c r="CY117" s="441"/>
      <c r="CZ117" s="437"/>
      <c r="DA117" s="437"/>
      <c r="DB117" s="442"/>
      <c r="DC117" s="441"/>
      <c r="DD117" s="437"/>
      <c r="DE117" s="437"/>
      <c r="DF117" s="442"/>
      <c r="DG117" s="441"/>
      <c r="DH117" s="437"/>
      <c r="DI117" s="437"/>
      <c r="DJ117" s="442"/>
      <c r="DK117" s="441"/>
      <c r="DL117" s="437"/>
      <c r="DM117" s="437"/>
      <c r="DN117" s="442"/>
      <c r="DO117" s="441"/>
      <c r="DP117" s="437"/>
      <c r="DQ117" s="437"/>
      <c r="DR117" s="442"/>
      <c r="DS117" s="441"/>
      <c r="DT117" s="437"/>
      <c r="DU117" s="437"/>
      <c r="DV117" s="442"/>
      <c r="DW117" s="441"/>
      <c r="DX117" s="437"/>
      <c r="DY117" s="437"/>
      <c r="DZ117" s="442"/>
      <c r="EA117" s="441"/>
      <c r="EB117" s="437"/>
      <c r="EC117" s="437"/>
      <c r="ED117" s="442"/>
      <c r="EE117" s="441"/>
      <c r="EF117" s="437"/>
      <c r="EG117" s="437"/>
      <c r="EH117" s="442"/>
      <c r="EI117" s="441"/>
      <c r="EJ117" s="437"/>
      <c r="EK117" s="437"/>
      <c r="EL117" s="442"/>
      <c r="EM117" s="441"/>
      <c r="EN117" s="437"/>
      <c r="EO117" s="437"/>
      <c r="EP117" s="442"/>
      <c r="EQ117" s="441"/>
      <c r="ER117" s="437"/>
      <c r="ES117" s="437"/>
      <c r="ET117" s="442"/>
      <c r="EU117" s="441"/>
      <c r="EV117" s="437"/>
      <c r="EW117" s="437"/>
      <c r="EX117" s="442"/>
      <c r="EY117" s="441"/>
      <c r="EZ117" s="437"/>
      <c r="FA117" s="437"/>
      <c r="FB117" s="442"/>
      <c r="FC117" s="441"/>
      <c r="FD117" s="437"/>
      <c r="FE117" s="437"/>
      <c r="FF117" s="442"/>
      <c r="FG117" s="441"/>
      <c r="FH117" s="437"/>
      <c r="FI117" s="437"/>
      <c r="FJ117" s="442"/>
      <c r="FK117" s="441"/>
      <c r="FL117" s="437"/>
      <c r="FM117" s="437"/>
      <c r="FN117" s="442"/>
      <c r="FO117" s="441"/>
      <c r="FP117" s="437"/>
      <c r="FQ117" s="437"/>
      <c r="FR117" s="442"/>
      <c r="FS117" s="441"/>
      <c r="FT117" s="437"/>
      <c r="FU117" s="437"/>
      <c r="FV117" s="442"/>
      <c r="FW117" s="441"/>
      <c r="FX117" s="437"/>
      <c r="FY117" s="437"/>
      <c r="FZ117" s="442"/>
      <c r="GA117" s="441"/>
      <c r="GB117" s="437"/>
      <c r="GC117" s="437"/>
      <c r="GD117" s="442"/>
      <c r="GE117" s="441"/>
      <c r="GF117" s="437"/>
      <c r="GG117" s="437"/>
      <c r="GH117" s="442"/>
      <c r="GI117" s="441"/>
      <c r="GJ117" s="437"/>
      <c r="GK117" s="437"/>
      <c r="GL117" s="442"/>
      <c r="GM117" s="441"/>
      <c r="GN117" s="437"/>
      <c r="GO117" s="437"/>
      <c r="GP117" s="442"/>
      <c r="GQ117" s="441"/>
      <c r="GR117" s="437"/>
      <c r="GS117" s="437"/>
      <c r="GT117" s="442"/>
      <c r="GU117" s="441"/>
      <c r="GV117" s="437"/>
      <c r="GW117" s="437"/>
      <c r="GX117" s="442"/>
      <c r="GY117" s="441"/>
      <c r="GZ117" s="437"/>
      <c r="HA117" s="437"/>
      <c r="HB117" s="442"/>
      <c r="HC117" s="429">
        <f t="shared" si="83"/>
        <v>0</v>
      </c>
      <c r="HD117" s="430">
        <f t="shared" si="83"/>
        <v>0</v>
      </c>
      <c r="HE117" s="430">
        <f t="shared" si="83"/>
        <v>0</v>
      </c>
      <c r="HF117" s="431"/>
      <c r="HG117" s="429">
        <f>SUM(SUMIFS(K117:HB117,$K$13:$HB$13,{"エネルギー管理指定工場等*","県域*"}))</f>
        <v>0</v>
      </c>
      <c r="HH117" s="430">
        <f>SUM(SUMIFS(L117:HC117,$K$13:$HB$13,{"エネルギー管理指定工場等*","県域*"}))</f>
        <v>0</v>
      </c>
      <c r="HI117" s="430">
        <f>SUM(SUMIFS(M117:HD117,$K$13:$HB$13,{"エネルギー管理指定工場等*","県域*"}))</f>
        <v>0</v>
      </c>
      <c r="HJ117" s="431"/>
      <c r="IE117" s="579"/>
      <c r="IF117" s="579"/>
      <c r="IG117" s="579"/>
      <c r="IH117" s="579"/>
    </row>
    <row r="118" spans="2:242" s="164" customFormat="1" ht="20.100000000000001" customHeight="1">
      <c r="B118" s="421" t="s">
        <v>1399</v>
      </c>
      <c r="C118" s="422"/>
      <c r="D118" s="422"/>
      <c r="E118" s="422"/>
      <c r="F118" s="422"/>
      <c r="G118" s="423"/>
      <c r="H118" s="424"/>
      <c r="I118" s="425"/>
      <c r="J118" s="426"/>
      <c r="K118" s="427"/>
      <c r="L118" s="422"/>
      <c r="M118" s="422"/>
      <c r="N118" s="428"/>
      <c r="O118" s="427"/>
      <c r="P118" s="422"/>
      <c r="Q118" s="422"/>
      <c r="R118" s="428"/>
      <c r="S118" s="427"/>
      <c r="T118" s="422"/>
      <c r="U118" s="422"/>
      <c r="V118" s="428"/>
      <c r="W118" s="427"/>
      <c r="X118" s="422"/>
      <c r="Y118" s="422"/>
      <c r="Z118" s="428"/>
      <c r="AA118" s="427"/>
      <c r="AB118" s="422"/>
      <c r="AC118" s="422"/>
      <c r="AD118" s="428"/>
      <c r="AE118" s="427"/>
      <c r="AF118" s="422"/>
      <c r="AG118" s="422"/>
      <c r="AH118" s="428"/>
      <c r="AI118" s="427"/>
      <c r="AJ118" s="422"/>
      <c r="AK118" s="422"/>
      <c r="AL118" s="428"/>
      <c r="AM118" s="427"/>
      <c r="AN118" s="422"/>
      <c r="AO118" s="422"/>
      <c r="AP118" s="428"/>
      <c r="AQ118" s="427"/>
      <c r="AR118" s="422"/>
      <c r="AS118" s="422"/>
      <c r="AT118" s="428"/>
      <c r="AU118" s="427"/>
      <c r="AV118" s="422"/>
      <c r="AW118" s="422"/>
      <c r="AX118" s="428"/>
      <c r="AY118" s="427"/>
      <c r="AZ118" s="422"/>
      <c r="BA118" s="422"/>
      <c r="BB118" s="428"/>
      <c r="BC118" s="427"/>
      <c r="BD118" s="422"/>
      <c r="BE118" s="422"/>
      <c r="BF118" s="428"/>
      <c r="BG118" s="427"/>
      <c r="BH118" s="422"/>
      <c r="BI118" s="422"/>
      <c r="BJ118" s="428"/>
      <c r="BK118" s="427"/>
      <c r="BL118" s="422"/>
      <c r="BM118" s="422"/>
      <c r="BN118" s="428"/>
      <c r="BO118" s="427"/>
      <c r="BP118" s="422"/>
      <c r="BQ118" s="422"/>
      <c r="BR118" s="428"/>
      <c r="BS118" s="427"/>
      <c r="BT118" s="422"/>
      <c r="BU118" s="422"/>
      <c r="BV118" s="428"/>
      <c r="BW118" s="427"/>
      <c r="BX118" s="422"/>
      <c r="BY118" s="422"/>
      <c r="BZ118" s="428"/>
      <c r="CA118" s="427"/>
      <c r="CB118" s="422"/>
      <c r="CC118" s="422"/>
      <c r="CD118" s="428"/>
      <c r="CE118" s="427"/>
      <c r="CF118" s="422"/>
      <c r="CG118" s="422"/>
      <c r="CH118" s="428"/>
      <c r="CI118" s="427"/>
      <c r="CJ118" s="422"/>
      <c r="CK118" s="422"/>
      <c r="CL118" s="428"/>
      <c r="CM118" s="427"/>
      <c r="CN118" s="422"/>
      <c r="CO118" s="422"/>
      <c r="CP118" s="428"/>
      <c r="CQ118" s="427"/>
      <c r="CR118" s="422"/>
      <c r="CS118" s="422"/>
      <c r="CT118" s="428"/>
      <c r="CU118" s="427"/>
      <c r="CV118" s="422"/>
      <c r="CW118" s="422"/>
      <c r="CX118" s="428"/>
      <c r="CY118" s="427"/>
      <c r="CZ118" s="422"/>
      <c r="DA118" s="422"/>
      <c r="DB118" s="428"/>
      <c r="DC118" s="427"/>
      <c r="DD118" s="422"/>
      <c r="DE118" s="422"/>
      <c r="DF118" s="428"/>
      <c r="DG118" s="427"/>
      <c r="DH118" s="422"/>
      <c r="DI118" s="422"/>
      <c r="DJ118" s="428"/>
      <c r="DK118" s="427"/>
      <c r="DL118" s="422"/>
      <c r="DM118" s="422"/>
      <c r="DN118" s="428"/>
      <c r="DO118" s="427"/>
      <c r="DP118" s="422"/>
      <c r="DQ118" s="422"/>
      <c r="DR118" s="428"/>
      <c r="DS118" s="427"/>
      <c r="DT118" s="422"/>
      <c r="DU118" s="422"/>
      <c r="DV118" s="428"/>
      <c r="DW118" s="427"/>
      <c r="DX118" s="422"/>
      <c r="DY118" s="422"/>
      <c r="DZ118" s="428"/>
      <c r="EA118" s="427"/>
      <c r="EB118" s="422"/>
      <c r="EC118" s="422"/>
      <c r="ED118" s="428"/>
      <c r="EE118" s="427"/>
      <c r="EF118" s="422"/>
      <c r="EG118" s="422"/>
      <c r="EH118" s="428"/>
      <c r="EI118" s="427"/>
      <c r="EJ118" s="422"/>
      <c r="EK118" s="422"/>
      <c r="EL118" s="428"/>
      <c r="EM118" s="427"/>
      <c r="EN118" s="422"/>
      <c r="EO118" s="422"/>
      <c r="EP118" s="428"/>
      <c r="EQ118" s="427"/>
      <c r="ER118" s="422"/>
      <c r="ES118" s="422"/>
      <c r="ET118" s="428"/>
      <c r="EU118" s="427"/>
      <c r="EV118" s="422"/>
      <c r="EW118" s="422"/>
      <c r="EX118" s="428"/>
      <c r="EY118" s="427"/>
      <c r="EZ118" s="422"/>
      <c r="FA118" s="422"/>
      <c r="FB118" s="428"/>
      <c r="FC118" s="427"/>
      <c r="FD118" s="422"/>
      <c r="FE118" s="422"/>
      <c r="FF118" s="428"/>
      <c r="FG118" s="427"/>
      <c r="FH118" s="422"/>
      <c r="FI118" s="422"/>
      <c r="FJ118" s="428"/>
      <c r="FK118" s="427"/>
      <c r="FL118" s="422"/>
      <c r="FM118" s="422"/>
      <c r="FN118" s="428"/>
      <c r="FO118" s="427"/>
      <c r="FP118" s="422"/>
      <c r="FQ118" s="422"/>
      <c r="FR118" s="428"/>
      <c r="FS118" s="427"/>
      <c r="FT118" s="422"/>
      <c r="FU118" s="422"/>
      <c r="FV118" s="428"/>
      <c r="FW118" s="427"/>
      <c r="FX118" s="422"/>
      <c r="FY118" s="422"/>
      <c r="FZ118" s="428"/>
      <c r="GA118" s="427"/>
      <c r="GB118" s="422"/>
      <c r="GC118" s="422"/>
      <c r="GD118" s="428"/>
      <c r="GE118" s="427"/>
      <c r="GF118" s="422"/>
      <c r="GG118" s="422"/>
      <c r="GH118" s="428"/>
      <c r="GI118" s="427"/>
      <c r="GJ118" s="422"/>
      <c r="GK118" s="422"/>
      <c r="GL118" s="428"/>
      <c r="GM118" s="427"/>
      <c r="GN118" s="422"/>
      <c r="GO118" s="422"/>
      <c r="GP118" s="428"/>
      <c r="GQ118" s="427"/>
      <c r="GR118" s="422"/>
      <c r="GS118" s="422"/>
      <c r="GT118" s="428"/>
      <c r="GU118" s="427"/>
      <c r="GV118" s="422"/>
      <c r="GW118" s="422"/>
      <c r="GX118" s="428"/>
      <c r="GY118" s="427"/>
      <c r="GZ118" s="422"/>
      <c r="HA118" s="422"/>
      <c r="HB118" s="428"/>
      <c r="HC118" s="434">
        <f t="shared" si="83"/>
        <v>0</v>
      </c>
      <c r="HD118" s="432">
        <f t="shared" si="83"/>
        <v>0</v>
      </c>
      <c r="HE118" s="432">
        <f t="shared" si="83"/>
        <v>0</v>
      </c>
      <c r="HF118" s="433"/>
      <c r="HG118" s="434">
        <f>SUM(SUMIFS(K118:HB118,$K$13:$HB$13,{"エネルギー管理指定工場等*","県域*"}))</f>
        <v>0</v>
      </c>
      <c r="HH118" s="432">
        <f>SUM(SUMIFS(L118:HC118,$K$13:$HB$13,{"エネルギー管理指定工場等*","県域*"}))</f>
        <v>0</v>
      </c>
      <c r="HI118" s="432">
        <f>SUM(SUMIFS(M118:HD118,$K$13:$HB$13,{"エネルギー管理指定工場等*","県域*"}))</f>
        <v>0</v>
      </c>
      <c r="HJ118" s="433"/>
      <c r="IE118" s="579"/>
      <c r="IF118" s="579"/>
      <c r="IG118" s="579"/>
      <c r="IH118" s="579"/>
    </row>
    <row r="119" spans="2:242" s="164" customFormat="1" ht="20.100000000000001" customHeight="1">
      <c r="B119" s="421" t="s">
        <v>1400</v>
      </c>
      <c r="C119" s="422"/>
      <c r="D119" s="422"/>
      <c r="E119" s="422"/>
      <c r="F119" s="422"/>
      <c r="G119" s="423"/>
      <c r="H119" s="424"/>
      <c r="I119" s="425"/>
      <c r="J119" s="426"/>
      <c r="K119" s="427"/>
      <c r="L119" s="422"/>
      <c r="M119" s="422"/>
      <c r="N119" s="428"/>
      <c r="O119" s="427"/>
      <c r="P119" s="422"/>
      <c r="Q119" s="422"/>
      <c r="R119" s="428"/>
      <c r="S119" s="427"/>
      <c r="T119" s="422"/>
      <c r="U119" s="422"/>
      <c r="V119" s="428"/>
      <c r="W119" s="427"/>
      <c r="X119" s="422"/>
      <c r="Y119" s="422"/>
      <c r="Z119" s="428"/>
      <c r="AA119" s="427"/>
      <c r="AB119" s="422"/>
      <c r="AC119" s="422"/>
      <c r="AD119" s="428"/>
      <c r="AE119" s="427"/>
      <c r="AF119" s="422"/>
      <c r="AG119" s="422"/>
      <c r="AH119" s="428"/>
      <c r="AI119" s="427"/>
      <c r="AJ119" s="422"/>
      <c r="AK119" s="422"/>
      <c r="AL119" s="428"/>
      <c r="AM119" s="427"/>
      <c r="AN119" s="422"/>
      <c r="AO119" s="422"/>
      <c r="AP119" s="428"/>
      <c r="AQ119" s="427"/>
      <c r="AR119" s="422"/>
      <c r="AS119" s="422"/>
      <c r="AT119" s="428"/>
      <c r="AU119" s="427"/>
      <c r="AV119" s="422"/>
      <c r="AW119" s="422"/>
      <c r="AX119" s="428"/>
      <c r="AY119" s="427"/>
      <c r="AZ119" s="422"/>
      <c r="BA119" s="422"/>
      <c r="BB119" s="428"/>
      <c r="BC119" s="427"/>
      <c r="BD119" s="422"/>
      <c r="BE119" s="422"/>
      <c r="BF119" s="428"/>
      <c r="BG119" s="427"/>
      <c r="BH119" s="422"/>
      <c r="BI119" s="422"/>
      <c r="BJ119" s="428"/>
      <c r="BK119" s="427"/>
      <c r="BL119" s="422"/>
      <c r="BM119" s="422"/>
      <c r="BN119" s="428"/>
      <c r="BO119" s="427"/>
      <c r="BP119" s="422"/>
      <c r="BQ119" s="422"/>
      <c r="BR119" s="428"/>
      <c r="BS119" s="427"/>
      <c r="BT119" s="422"/>
      <c r="BU119" s="422"/>
      <c r="BV119" s="428"/>
      <c r="BW119" s="427"/>
      <c r="BX119" s="422"/>
      <c r="BY119" s="422"/>
      <c r="BZ119" s="428"/>
      <c r="CA119" s="427"/>
      <c r="CB119" s="422"/>
      <c r="CC119" s="422"/>
      <c r="CD119" s="428"/>
      <c r="CE119" s="427"/>
      <c r="CF119" s="422"/>
      <c r="CG119" s="422"/>
      <c r="CH119" s="428"/>
      <c r="CI119" s="427"/>
      <c r="CJ119" s="422"/>
      <c r="CK119" s="422"/>
      <c r="CL119" s="428"/>
      <c r="CM119" s="427"/>
      <c r="CN119" s="422"/>
      <c r="CO119" s="422"/>
      <c r="CP119" s="428"/>
      <c r="CQ119" s="427"/>
      <c r="CR119" s="422"/>
      <c r="CS119" s="422"/>
      <c r="CT119" s="428"/>
      <c r="CU119" s="427"/>
      <c r="CV119" s="422"/>
      <c r="CW119" s="422"/>
      <c r="CX119" s="428"/>
      <c r="CY119" s="427"/>
      <c r="CZ119" s="422"/>
      <c r="DA119" s="422"/>
      <c r="DB119" s="428"/>
      <c r="DC119" s="427"/>
      <c r="DD119" s="422"/>
      <c r="DE119" s="422"/>
      <c r="DF119" s="428"/>
      <c r="DG119" s="427"/>
      <c r="DH119" s="422"/>
      <c r="DI119" s="422"/>
      <c r="DJ119" s="428"/>
      <c r="DK119" s="427"/>
      <c r="DL119" s="422"/>
      <c r="DM119" s="422"/>
      <c r="DN119" s="428"/>
      <c r="DO119" s="427"/>
      <c r="DP119" s="422"/>
      <c r="DQ119" s="422"/>
      <c r="DR119" s="428"/>
      <c r="DS119" s="427"/>
      <c r="DT119" s="422"/>
      <c r="DU119" s="422"/>
      <c r="DV119" s="428"/>
      <c r="DW119" s="427"/>
      <c r="DX119" s="422"/>
      <c r="DY119" s="422"/>
      <c r="DZ119" s="428"/>
      <c r="EA119" s="427"/>
      <c r="EB119" s="422"/>
      <c r="EC119" s="422"/>
      <c r="ED119" s="428"/>
      <c r="EE119" s="427"/>
      <c r="EF119" s="422"/>
      <c r="EG119" s="422"/>
      <c r="EH119" s="428"/>
      <c r="EI119" s="427"/>
      <c r="EJ119" s="422"/>
      <c r="EK119" s="422"/>
      <c r="EL119" s="428"/>
      <c r="EM119" s="427"/>
      <c r="EN119" s="422"/>
      <c r="EO119" s="422"/>
      <c r="EP119" s="428"/>
      <c r="EQ119" s="427"/>
      <c r="ER119" s="422"/>
      <c r="ES119" s="422"/>
      <c r="ET119" s="428"/>
      <c r="EU119" s="427"/>
      <c r="EV119" s="422"/>
      <c r="EW119" s="422"/>
      <c r="EX119" s="428"/>
      <c r="EY119" s="427"/>
      <c r="EZ119" s="422"/>
      <c r="FA119" s="422"/>
      <c r="FB119" s="428"/>
      <c r="FC119" s="427"/>
      <c r="FD119" s="422"/>
      <c r="FE119" s="422"/>
      <c r="FF119" s="428"/>
      <c r="FG119" s="427"/>
      <c r="FH119" s="422"/>
      <c r="FI119" s="422"/>
      <c r="FJ119" s="428"/>
      <c r="FK119" s="427"/>
      <c r="FL119" s="422"/>
      <c r="FM119" s="422"/>
      <c r="FN119" s="428"/>
      <c r="FO119" s="427"/>
      <c r="FP119" s="422"/>
      <c r="FQ119" s="422"/>
      <c r="FR119" s="428"/>
      <c r="FS119" s="427"/>
      <c r="FT119" s="422"/>
      <c r="FU119" s="422"/>
      <c r="FV119" s="428"/>
      <c r="FW119" s="427"/>
      <c r="FX119" s="422"/>
      <c r="FY119" s="422"/>
      <c r="FZ119" s="428"/>
      <c r="GA119" s="427"/>
      <c r="GB119" s="422"/>
      <c r="GC119" s="422"/>
      <c r="GD119" s="428"/>
      <c r="GE119" s="427"/>
      <c r="GF119" s="422"/>
      <c r="GG119" s="422"/>
      <c r="GH119" s="428"/>
      <c r="GI119" s="427"/>
      <c r="GJ119" s="422"/>
      <c r="GK119" s="422"/>
      <c r="GL119" s="428"/>
      <c r="GM119" s="427"/>
      <c r="GN119" s="422"/>
      <c r="GO119" s="422"/>
      <c r="GP119" s="428"/>
      <c r="GQ119" s="427"/>
      <c r="GR119" s="422"/>
      <c r="GS119" s="422"/>
      <c r="GT119" s="428"/>
      <c r="GU119" s="427"/>
      <c r="GV119" s="422"/>
      <c r="GW119" s="422"/>
      <c r="GX119" s="428"/>
      <c r="GY119" s="427"/>
      <c r="GZ119" s="422"/>
      <c r="HA119" s="422"/>
      <c r="HB119" s="428"/>
      <c r="HC119" s="434">
        <f t="shared" si="83"/>
        <v>0</v>
      </c>
      <c r="HD119" s="432">
        <f t="shared" si="83"/>
        <v>0</v>
      </c>
      <c r="HE119" s="432">
        <f t="shared" si="83"/>
        <v>0</v>
      </c>
      <c r="HF119" s="433"/>
      <c r="HG119" s="434">
        <f>SUM(SUMIFS(K119:HB119,$K$13:$HB$13,{"エネルギー管理指定工場等*","県域*"}))</f>
        <v>0</v>
      </c>
      <c r="HH119" s="432">
        <f>SUM(SUMIFS(L119:HC119,$K$13:$HB$13,{"エネルギー管理指定工場等*","県域*"}))</f>
        <v>0</v>
      </c>
      <c r="HI119" s="432">
        <f>SUM(SUMIFS(M119:HD119,$K$13:$HB$13,{"エネルギー管理指定工場等*","県域*"}))</f>
        <v>0</v>
      </c>
      <c r="HJ119" s="433"/>
      <c r="IE119" s="579"/>
      <c r="IF119" s="579"/>
      <c r="IG119" s="579"/>
      <c r="IH119" s="579"/>
    </row>
    <row r="120" spans="2:242" s="164" customFormat="1" ht="20.100000000000001" customHeight="1">
      <c r="B120" s="421" t="s">
        <v>1401</v>
      </c>
      <c r="C120" s="422"/>
      <c r="D120" s="422"/>
      <c r="E120" s="422"/>
      <c r="F120" s="422"/>
      <c r="G120" s="423"/>
      <c r="H120" s="424"/>
      <c r="I120" s="425"/>
      <c r="J120" s="426"/>
      <c r="K120" s="427"/>
      <c r="L120" s="422"/>
      <c r="M120" s="422"/>
      <c r="N120" s="428"/>
      <c r="O120" s="427"/>
      <c r="P120" s="422"/>
      <c r="Q120" s="422"/>
      <c r="R120" s="428"/>
      <c r="S120" s="427"/>
      <c r="T120" s="422"/>
      <c r="U120" s="422"/>
      <c r="V120" s="428"/>
      <c r="W120" s="427"/>
      <c r="X120" s="422"/>
      <c r="Y120" s="422"/>
      <c r="Z120" s="428"/>
      <c r="AA120" s="427"/>
      <c r="AB120" s="422"/>
      <c r="AC120" s="422"/>
      <c r="AD120" s="428"/>
      <c r="AE120" s="427"/>
      <c r="AF120" s="422"/>
      <c r="AG120" s="422"/>
      <c r="AH120" s="428"/>
      <c r="AI120" s="427"/>
      <c r="AJ120" s="422"/>
      <c r="AK120" s="422"/>
      <c r="AL120" s="428"/>
      <c r="AM120" s="427"/>
      <c r="AN120" s="422"/>
      <c r="AO120" s="422"/>
      <c r="AP120" s="428"/>
      <c r="AQ120" s="427"/>
      <c r="AR120" s="422"/>
      <c r="AS120" s="422"/>
      <c r="AT120" s="428"/>
      <c r="AU120" s="427"/>
      <c r="AV120" s="422"/>
      <c r="AW120" s="422"/>
      <c r="AX120" s="428"/>
      <c r="AY120" s="427"/>
      <c r="AZ120" s="422"/>
      <c r="BA120" s="422"/>
      <c r="BB120" s="428"/>
      <c r="BC120" s="427"/>
      <c r="BD120" s="422"/>
      <c r="BE120" s="422"/>
      <c r="BF120" s="428"/>
      <c r="BG120" s="427"/>
      <c r="BH120" s="422"/>
      <c r="BI120" s="422"/>
      <c r="BJ120" s="428"/>
      <c r="BK120" s="427"/>
      <c r="BL120" s="422"/>
      <c r="BM120" s="422"/>
      <c r="BN120" s="428"/>
      <c r="BO120" s="427"/>
      <c r="BP120" s="422"/>
      <c r="BQ120" s="422"/>
      <c r="BR120" s="428"/>
      <c r="BS120" s="427"/>
      <c r="BT120" s="422"/>
      <c r="BU120" s="422"/>
      <c r="BV120" s="428"/>
      <c r="BW120" s="427"/>
      <c r="BX120" s="422"/>
      <c r="BY120" s="422"/>
      <c r="BZ120" s="428"/>
      <c r="CA120" s="427"/>
      <c r="CB120" s="422"/>
      <c r="CC120" s="422"/>
      <c r="CD120" s="428"/>
      <c r="CE120" s="427"/>
      <c r="CF120" s="422"/>
      <c r="CG120" s="422"/>
      <c r="CH120" s="428"/>
      <c r="CI120" s="427"/>
      <c r="CJ120" s="422"/>
      <c r="CK120" s="422"/>
      <c r="CL120" s="428"/>
      <c r="CM120" s="427"/>
      <c r="CN120" s="422"/>
      <c r="CO120" s="422"/>
      <c r="CP120" s="428"/>
      <c r="CQ120" s="427"/>
      <c r="CR120" s="422"/>
      <c r="CS120" s="422"/>
      <c r="CT120" s="428"/>
      <c r="CU120" s="427"/>
      <c r="CV120" s="422"/>
      <c r="CW120" s="422"/>
      <c r="CX120" s="428"/>
      <c r="CY120" s="427"/>
      <c r="CZ120" s="422"/>
      <c r="DA120" s="422"/>
      <c r="DB120" s="428"/>
      <c r="DC120" s="427"/>
      <c r="DD120" s="422"/>
      <c r="DE120" s="422"/>
      <c r="DF120" s="428"/>
      <c r="DG120" s="427"/>
      <c r="DH120" s="422"/>
      <c r="DI120" s="422"/>
      <c r="DJ120" s="428"/>
      <c r="DK120" s="427"/>
      <c r="DL120" s="422"/>
      <c r="DM120" s="422"/>
      <c r="DN120" s="428"/>
      <c r="DO120" s="427"/>
      <c r="DP120" s="422"/>
      <c r="DQ120" s="422"/>
      <c r="DR120" s="428"/>
      <c r="DS120" s="427"/>
      <c r="DT120" s="422"/>
      <c r="DU120" s="422"/>
      <c r="DV120" s="428"/>
      <c r="DW120" s="427"/>
      <c r="DX120" s="422"/>
      <c r="DY120" s="422"/>
      <c r="DZ120" s="428"/>
      <c r="EA120" s="427"/>
      <c r="EB120" s="422"/>
      <c r="EC120" s="422"/>
      <c r="ED120" s="428"/>
      <c r="EE120" s="427"/>
      <c r="EF120" s="422"/>
      <c r="EG120" s="422"/>
      <c r="EH120" s="428"/>
      <c r="EI120" s="427"/>
      <c r="EJ120" s="422"/>
      <c r="EK120" s="422"/>
      <c r="EL120" s="428"/>
      <c r="EM120" s="427"/>
      <c r="EN120" s="422"/>
      <c r="EO120" s="422"/>
      <c r="EP120" s="428"/>
      <c r="EQ120" s="427"/>
      <c r="ER120" s="422"/>
      <c r="ES120" s="422"/>
      <c r="ET120" s="428"/>
      <c r="EU120" s="427"/>
      <c r="EV120" s="422"/>
      <c r="EW120" s="422"/>
      <c r="EX120" s="428"/>
      <c r="EY120" s="427"/>
      <c r="EZ120" s="422"/>
      <c r="FA120" s="422"/>
      <c r="FB120" s="428"/>
      <c r="FC120" s="427"/>
      <c r="FD120" s="422"/>
      <c r="FE120" s="422"/>
      <c r="FF120" s="428"/>
      <c r="FG120" s="427"/>
      <c r="FH120" s="422"/>
      <c r="FI120" s="422"/>
      <c r="FJ120" s="428"/>
      <c r="FK120" s="427"/>
      <c r="FL120" s="422"/>
      <c r="FM120" s="422"/>
      <c r="FN120" s="428"/>
      <c r="FO120" s="427"/>
      <c r="FP120" s="422"/>
      <c r="FQ120" s="422"/>
      <c r="FR120" s="428"/>
      <c r="FS120" s="427"/>
      <c r="FT120" s="422"/>
      <c r="FU120" s="422"/>
      <c r="FV120" s="428"/>
      <c r="FW120" s="427"/>
      <c r="FX120" s="422"/>
      <c r="FY120" s="422"/>
      <c r="FZ120" s="428"/>
      <c r="GA120" s="427"/>
      <c r="GB120" s="422"/>
      <c r="GC120" s="422"/>
      <c r="GD120" s="428"/>
      <c r="GE120" s="427"/>
      <c r="GF120" s="422"/>
      <c r="GG120" s="422"/>
      <c r="GH120" s="428"/>
      <c r="GI120" s="427"/>
      <c r="GJ120" s="422"/>
      <c r="GK120" s="422"/>
      <c r="GL120" s="428"/>
      <c r="GM120" s="427"/>
      <c r="GN120" s="422"/>
      <c r="GO120" s="422"/>
      <c r="GP120" s="428"/>
      <c r="GQ120" s="427"/>
      <c r="GR120" s="422"/>
      <c r="GS120" s="422"/>
      <c r="GT120" s="428"/>
      <c r="GU120" s="427"/>
      <c r="GV120" s="422"/>
      <c r="GW120" s="422"/>
      <c r="GX120" s="428"/>
      <c r="GY120" s="427"/>
      <c r="GZ120" s="422"/>
      <c r="HA120" s="422"/>
      <c r="HB120" s="428"/>
      <c r="HC120" s="434">
        <f t="shared" si="83"/>
        <v>0</v>
      </c>
      <c r="HD120" s="432">
        <f t="shared" si="83"/>
        <v>0</v>
      </c>
      <c r="HE120" s="432">
        <f t="shared" si="83"/>
        <v>0</v>
      </c>
      <c r="HF120" s="433"/>
      <c r="HG120" s="434">
        <f>SUM(SUMIFS(K120:HB120,$K$13:$HB$13,{"エネルギー管理指定工場等*","県域*"}))</f>
        <v>0</v>
      </c>
      <c r="HH120" s="432">
        <f>SUM(SUMIFS(L120:HC120,$K$13:$HB$13,{"エネルギー管理指定工場等*","県域*"}))</f>
        <v>0</v>
      </c>
      <c r="HI120" s="432">
        <f>SUM(SUMIFS(M120:HD120,$K$13:$HB$13,{"エネルギー管理指定工場等*","県域*"}))</f>
        <v>0</v>
      </c>
      <c r="HJ120" s="433"/>
      <c r="IE120" s="579"/>
      <c r="IF120" s="579"/>
      <c r="IG120" s="579"/>
      <c r="IH120" s="579"/>
    </row>
    <row r="121" spans="2:242" s="164" customFormat="1" ht="20.100000000000001" customHeight="1">
      <c r="B121" s="443" t="s">
        <v>1402</v>
      </c>
      <c r="C121" s="422"/>
      <c r="D121" s="422"/>
      <c r="E121" s="422"/>
      <c r="F121" s="444"/>
      <c r="G121" s="445"/>
      <c r="H121" s="424"/>
      <c r="I121" s="425"/>
      <c r="J121" s="426"/>
      <c r="K121" s="427"/>
      <c r="L121" s="422"/>
      <c r="M121" s="422"/>
      <c r="N121" s="428"/>
      <c r="O121" s="427"/>
      <c r="P121" s="422"/>
      <c r="Q121" s="422"/>
      <c r="R121" s="428"/>
      <c r="S121" s="427"/>
      <c r="T121" s="422"/>
      <c r="U121" s="422"/>
      <c r="V121" s="428"/>
      <c r="W121" s="427"/>
      <c r="X121" s="422"/>
      <c r="Y121" s="422"/>
      <c r="Z121" s="428"/>
      <c r="AA121" s="427"/>
      <c r="AB121" s="422"/>
      <c r="AC121" s="422"/>
      <c r="AD121" s="428"/>
      <c r="AE121" s="427"/>
      <c r="AF121" s="422"/>
      <c r="AG121" s="422"/>
      <c r="AH121" s="428"/>
      <c r="AI121" s="427"/>
      <c r="AJ121" s="422"/>
      <c r="AK121" s="422"/>
      <c r="AL121" s="428"/>
      <c r="AM121" s="427"/>
      <c r="AN121" s="422"/>
      <c r="AO121" s="422"/>
      <c r="AP121" s="428"/>
      <c r="AQ121" s="427"/>
      <c r="AR121" s="422"/>
      <c r="AS121" s="422"/>
      <c r="AT121" s="428"/>
      <c r="AU121" s="427"/>
      <c r="AV121" s="422"/>
      <c r="AW121" s="422"/>
      <c r="AX121" s="428"/>
      <c r="AY121" s="427"/>
      <c r="AZ121" s="422"/>
      <c r="BA121" s="422"/>
      <c r="BB121" s="428"/>
      <c r="BC121" s="427"/>
      <c r="BD121" s="422"/>
      <c r="BE121" s="422"/>
      <c r="BF121" s="428"/>
      <c r="BG121" s="427"/>
      <c r="BH121" s="422"/>
      <c r="BI121" s="422"/>
      <c r="BJ121" s="428"/>
      <c r="BK121" s="427"/>
      <c r="BL121" s="422"/>
      <c r="BM121" s="422"/>
      <c r="BN121" s="428"/>
      <c r="BO121" s="427"/>
      <c r="BP121" s="422"/>
      <c r="BQ121" s="422"/>
      <c r="BR121" s="428"/>
      <c r="BS121" s="427"/>
      <c r="BT121" s="422"/>
      <c r="BU121" s="422"/>
      <c r="BV121" s="428"/>
      <c r="BW121" s="427"/>
      <c r="BX121" s="422"/>
      <c r="BY121" s="422"/>
      <c r="BZ121" s="428"/>
      <c r="CA121" s="427"/>
      <c r="CB121" s="422"/>
      <c r="CC121" s="422"/>
      <c r="CD121" s="428"/>
      <c r="CE121" s="427"/>
      <c r="CF121" s="422"/>
      <c r="CG121" s="422"/>
      <c r="CH121" s="428"/>
      <c r="CI121" s="427"/>
      <c r="CJ121" s="422"/>
      <c r="CK121" s="422"/>
      <c r="CL121" s="428"/>
      <c r="CM121" s="427"/>
      <c r="CN121" s="422"/>
      <c r="CO121" s="422"/>
      <c r="CP121" s="428"/>
      <c r="CQ121" s="427"/>
      <c r="CR121" s="422"/>
      <c r="CS121" s="422"/>
      <c r="CT121" s="428"/>
      <c r="CU121" s="427"/>
      <c r="CV121" s="422"/>
      <c r="CW121" s="422"/>
      <c r="CX121" s="428"/>
      <c r="CY121" s="427"/>
      <c r="CZ121" s="422"/>
      <c r="DA121" s="422"/>
      <c r="DB121" s="428"/>
      <c r="DC121" s="427"/>
      <c r="DD121" s="422"/>
      <c r="DE121" s="422"/>
      <c r="DF121" s="428"/>
      <c r="DG121" s="427"/>
      <c r="DH121" s="422"/>
      <c r="DI121" s="422"/>
      <c r="DJ121" s="428"/>
      <c r="DK121" s="427"/>
      <c r="DL121" s="422"/>
      <c r="DM121" s="422"/>
      <c r="DN121" s="428"/>
      <c r="DO121" s="427"/>
      <c r="DP121" s="422"/>
      <c r="DQ121" s="422"/>
      <c r="DR121" s="428"/>
      <c r="DS121" s="427"/>
      <c r="DT121" s="422"/>
      <c r="DU121" s="422"/>
      <c r="DV121" s="428"/>
      <c r="DW121" s="427"/>
      <c r="DX121" s="422"/>
      <c r="DY121" s="422"/>
      <c r="DZ121" s="428"/>
      <c r="EA121" s="427"/>
      <c r="EB121" s="422"/>
      <c r="EC121" s="422"/>
      <c r="ED121" s="428"/>
      <c r="EE121" s="427"/>
      <c r="EF121" s="422"/>
      <c r="EG121" s="422"/>
      <c r="EH121" s="428"/>
      <c r="EI121" s="427"/>
      <c r="EJ121" s="422"/>
      <c r="EK121" s="422"/>
      <c r="EL121" s="428"/>
      <c r="EM121" s="427"/>
      <c r="EN121" s="422"/>
      <c r="EO121" s="422"/>
      <c r="EP121" s="428"/>
      <c r="EQ121" s="427"/>
      <c r="ER121" s="422"/>
      <c r="ES121" s="422"/>
      <c r="ET121" s="428"/>
      <c r="EU121" s="427"/>
      <c r="EV121" s="422"/>
      <c r="EW121" s="422"/>
      <c r="EX121" s="428"/>
      <c r="EY121" s="427"/>
      <c r="EZ121" s="422"/>
      <c r="FA121" s="422"/>
      <c r="FB121" s="428"/>
      <c r="FC121" s="427"/>
      <c r="FD121" s="422"/>
      <c r="FE121" s="422"/>
      <c r="FF121" s="428"/>
      <c r="FG121" s="427"/>
      <c r="FH121" s="422"/>
      <c r="FI121" s="422"/>
      <c r="FJ121" s="428"/>
      <c r="FK121" s="427"/>
      <c r="FL121" s="422"/>
      <c r="FM121" s="422"/>
      <c r="FN121" s="428"/>
      <c r="FO121" s="427"/>
      <c r="FP121" s="422"/>
      <c r="FQ121" s="422"/>
      <c r="FR121" s="428"/>
      <c r="FS121" s="427"/>
      <c r="FT121" s="422"/>
      <c r="FU121" s="422"/>
      <c r="FV121" s="428"/>
      <c r="FW121" s="427"/>
      <c r="FX121" s="422"/>
      <c r="FY121" s="422"/>
      <c r="FZ121" s="428"/>
      <c r="GA121" s="427"/>
      <c r="GB121" s="422"/>
      <c r="GC121" s="422"/>
      <c r="GD121" s="428"/>
      <c r="GE121" s="427"/>
      <c r="GF121" s="422"/>
      <c r="GG121" s="422"/>
      <c r="GH121" s="428"/>
      <c r="GI121" s="427"/>
      <c r="GJ121" s="422"/>
      <c r="GK121" s="422"/>
      <c r="GL121" s="428"/>
      <c r="GM121" s="427"/>
      <c r="GN121" s="422"/>
      <c r="GO121" s="422"/>
      <c r="GP121" s="428"/>
      <c r="GQ121" s="427"/>
      <c r="GR121" s="422"/>
      <c r="GS121" s="422"/>
      <c r="GT121" s="428"/>
      <c r="GU121" s="427"/>
      <c r="GV121" s="422"/>
      <c r="GW121" s="422"/>
      <c r="GX121" s="428"/>
      <c r="GY121" s="427"/>
      <c r="GZ121" s="422"/>
      <c r="HA121" s="422"/>
      <c r="HB121" s="428"/>
      <c r="HC121" s="446">
        <f t="shared" si="83"/>
        <v>0</v>
      </c>
      <c r="HD121" s="447">
        <f t="shared" si="83"/>
        <v>0</v>
      </c>
      <c r="HE121" s="447">
        <f t="shared" si="83"/>
        <v>0</v>
      </c>
      <c r="HF121" s="448"/>
      <c r="HG121" s="446">
        <f>SUM(SUMIFS(K121:HB121,$K$13:$HB$13,{"エネルギー管理指定工場等*","県域*"}))</f>
        <v>0</v>
      </c>
      <c r="HH121" s="447">
        <f>SUM(SUMIFS(L121:HC121,$K$13:$HB$13,{"エネルギー管理指定工場等*","県域*"}))</f>
        <v>0</v>
      </c>
      <c r="HI121" s="447">
        <f>SUM(SUMIFS(M121:HD121,$K$13:$HB$13,{"エネルギー管理指定工場等*","県域*"}))</f>
        <v>0</v>
      </c>
      <c r="HJ121" s="448"/>
      <c r="IE121" s="579"/>
      <c r="IF121" s="579"/>
      <c r="IG121" s="579"/>
      <c r="IH121" s="579"/>
    </row>
    <row r="122" spans="2:242" s="164" customFormat="1" ht="20.100000000000001" customHeight="1">
      <c r="B122" s="410" t="s">
        <v>1403</v>
      </c>
      <c r="C122" s="411"/>
      <c r="D122" s="411"/>
      <c r="E122" s="411"/>
      <c r="F122" s="411"/>
      <c r="G122" s="411"/>
      <c r="H122" s="436"/>
      <c r="I122" s="425"/>
      <c r="J122" s="426"/>
      <c r="K122" s="416"/>
      <c r="L122" s="449"/>
      <c r="M122" s="411"/>
      <c r="N122" s="450"/>
      <c r="O122" s="416"/>
      <c r="P122" s="449"/>
      <c r="Q122" s="411"/>
      <c r="R122" s="450"/>
      <c r="S122" s="416"/>
      <c r="T122" s="449"/>
      <c r="U122" s="411"/>
      <c r="V122" s="450"/>
      <c r="W122" s="416"/>
      <c r="X122" s="449"/>
      <c r="Y122" s="411"/>
      <c r="Z122" s="450"/>
      <c r="AA122" s="416"/>
      <c r="AB122" s="449"/>
      <c r="AC122" s="411"/>
      <c r="AD122" s="450"/>
      <c r="AE122" s="416"/>
      <c r="AF122" s="449"/>
      <c r="AG122" s="411"/>
      <c r="AH122" s="450"/>
      <c r="AI122" s="416"/>
      <c r="AJ122" s="449"/>
      <c r="AK122" s="411"/>
      <c r="AL122" s="450"/>
      <c r="AM122" s="416"/>
      <c r="AN122" s="449"/>
      <c r="AO122" s="411"/>
      <c r="AP122" s="450"/>
      <c r="AQ122" s="416"/>
      <c r="AR122" s="449"/>
      <c r="AS122" s="411"/>
      <c r="AT122" s="450"/>
      <c r="AU122" s="416"/>
      <c r="AV122" s="449"/>
      <c r="AW122" s="411"/>
      <c r="AX122" s="450"/>
      <c r="AY122" s="416"/>
      <c r="AZ122" s="449"/>
      <c r="BA122" s="411"/>
      <c r="BB122" s="450"/>
      <c r="BC122" s="416"/>
      <c r="BD122" s="449"/>
      <c r="BE122" s="411"/>
      <c r="BF122" s="450"/>
      <c r="BG122" s="416"/>
      <c r="BH122" s="449"/>
      <c r="BI122" s="411"/>
      <c r="BJ122" s="450"/>
      <c r="BK122" s="416"/>
      <c r="BL122" s="449"/>
      <c r="BM122" s="411"/>
      <c r="BN122" s="450"/>
      <c r="BO122" s="416"/>
      <c r="BP122" s="449"/>
      <c r="BQ122" s="411"/>
      <c r="BR122" s="450"/>
      <c r="BS122" s="416"/>
      <c r="BT122" s="449"/>
      <c r="BU122" s="411"/>
      <c r="BV122" s="450"/>
      <c r="BW122" s="416"/>
      <c r="BX122" s="449"/>
      <c r="BY122" s="411"/>
      <c r="BZ122" s="411"/>
      <c r="CA122" s="416"/>
      <c r="CB122" s="449"/>
      <c r="CC122" s="411"/>
      <c r="CD122" s="411"/>
      <c r="CE122" s="416"/>
      <c r="CF122" s="449"/>
      <c r="CG122" s="411"/>
      <c r="CH122" s="411"/>
      <c r="CI122" s="416"/>
      <c r="CJ122" s="449"/>
      <c r="CK122" s="411"/>
      <c r="CL122" s="411"/>
      <c r="CM122" s="416"/>
      <c r="CN122" s="449"/>
      <c r="CO122" s="411"/>
      <c r="CP122" s="411"/>
      <c r="CQ122" s="416"/>
      <c r="CR122" s="449"/>
      <c r="CS122" s="411"/>
      <c r="CT122" s="411"/>
      <c r="CU122" s="416"/>
      <c r="CV122" s="449"/>
      <c r="CW122" s="411"/>
      <c r="CX122" s="411"/>
      <c r="CY122" s="416"/>
      <c r="CZ122" s="449"/>
      <c r="DA122" s="411"/>
      <c r="DB122" s="411"/>
      <c r="DC122" s="416"/>
      <c r="DD122" s="449"/>
      <c r="DE122" s="411"/>
      <c r="DF122" s="411"/>
      <c r="DG122" s="416"/>
      <c r="DH122" s="449"/>
      <c r="DI122" s="411"/>
      <c r="DJ122" s="411"/>
      <c r="DK122" s="416"/>
      <c r="DL122" s="449"/>
      <c r="DM122" s="411"/>
      <c r="DN122" s="411"/>
      <c r="DO122" s="416"/>
      <c r="DP122" s="449"/>
      <c r="DQ122" s="411"/>
      <c r="DR122" s="411"/>
      <c r="DS122" s="416"/>
      <c r="DT122" s="449"/>
      <c r="DU122" s="411"/>
      <c r="DV122" s="411"/>
      <c r="DW122" s="416"/>
      <c r="DX122" s="449"/>
      <c r="DY122" s="411"/>
      <c r="DZ122" s="411"/>
      <c r="EA122" s="416"/>
      <c r="EB122" s="449"/>
      <c r="EC122" s="411"/>
      <c r="ED122" s="411"/>
      <c r="EE122" s="416"/>
      <c r="EF122" s="449"/>
      <c r="EG122" s="411"/>
      <c r="EH122" s="411"/>
      <c r="EI122" s="416"/>
      <c r="EJ122" s="449"/>
      <c r="EK122" s="411"/>
      <c r="EL122" s="411"/>
      <c r="EM122" s="416"/>
      <c r="EN122" s="449"/>
      <c r="EO122" s="411"/>
      <c r="EP122" s="411"/>
      <c r="EQ122" s="416"/>
      <c r="ER122" s="449"/>
      <c r="ES122" s="411"/>
      <c r="ET122" s="411"/>
      <c r="EU122" s="416"/>
      <c r="EV122" s="449"/>
      <c r="EW122" s="411"/>
      <c r="EX122" s="411"/>
      <c r="EY122" s="416"/>
      <c r="EZ122" s="449"/>
      <c r="FA122" s="411"/>
      <c r="FB122" s="411"/>
      <c r="FC122" s="416"/>
      <c r="FD122" s="449"/>
      <c r="FE122" s="411"/>
      <c r="FF122" s="411"/>
      <c r="FG122" s="416"/>
      <c r="FH122" s="449"/>
      <c r="FI122" s="411"/>
      <c r="FJ122" s="411"/>
      <c r="FK122" s="416"/>
      <c r="FL122" s="449"/>
      <c r="FM122" s="411"/>
      <c r="FN122" s="411"/>
      <c r="FO122" s="416"/>
      <c r="FP122" s="449"/>
      <c r="FQ122" s="411"/>
      <c r="FR122" s="411"/>
      <c r="FS122" s="416"/>
      <c r="FT122" s="449"/>
      <c r="FU122" s="411"/>
      <c r="FV122" s="411"/>
      <c r="FW122" s="416"/>
      <c r="FX122" s="449"/>
      <c r="FY122" s="411"/>
      <c r="FZ122" s="411"/>
      <c r="GA122" s="416"/>
      <c r="GB122" s="449"/>
      <c r="GC122" s="411"/>
      <c r="GD122" s="411"/>
      <c r="GE122" s="416"/>
      <c r="GF122" s="449"/>
      <c r="GG122" s="411"/>
      <c r="GH122" s="411"/>
      <c r="GI122" s="416"/>
      <c r="GJ122" s="449"/>
      <c r="GK122" s="411"/>
      <c r="GL122" s="411"/>
      <c r="GM122" s="416"/>
      <c r="GN122" s="449"/>
      <c r="GO122" s="411"/>
      <c r="GP122" s="411"/>
      <c r="GQ122" s="416"/>
      <c r="GR122" s="449"/>
      <c r="GS122" s="411"/>
      <c r="GT122" s="411"/>
      <c r="GU122" s="416"/>
      <c r="GV122" s="449"/>
      <c r="GW122" s="411"/>
      <c r="GX122" s="411"/>
      <c r="GY122" s="416"/>
      <c r="GZ122" s="449"/>
      <c r="HA122" s="411"/>
      <c r="HB122" s="411"/>
      <c r="HC122" s="418">
        <f t="shared" si="83"/>
        <v>0</v>
      </c>
      <c r="HD122" s="451"/>
      <c r="HE122" s="419">
        <f t="shared" si="83"/>
        <v>0</v>
      </c>
      <c r="HF122" s="419">
        <f t="shared" si="83"/>
        <v>0</v>
      </c>
      <c r="HG122" s="418">
        <f>SUM(SUMIFS(K122:HB122,$K$13:$HB$13,{"エネルギー管理指定工場等*","県域*"}))</f>
        <v>0</v>
      </c>
      <c r="HH122" s="451"/>
      <c r="HI122" s="419">
        <f>SUM(SUMIFS(M122:HD122,$K$13:$HB$13,{"エネルギー管理指定工場等*","県域*"}))</f>
        <v>0</v>
      </c>
      <c r="HJ122" s="452">
        <f>SUM(SUMIFS(N122:HE122,$K$13:$HB$13,{"エネルギー管理指定工場等*","県域*"}))</f>
        <v>0</v>
      </c>
      <c r="IE122" s="579"/>
      <c r="IF122" s="579"/>
      <c r="IG122" s="579"/>
      <c r="IH122" s="579"/>
    </row>
    <row r="123" spans="2:242" s="164" customFormat="1" ht="20.100000000000001" customHeight="1">
      <c r="B123" s="421" t="s">
        <v>1404</v>
      </c>
      <c r="C123" s="422"/>
      <c r="D123" s="422"/>
      <c r="E123" s="422"/>
      <c r="F123" s="422"/>
      <c r="G123" s="422"/>
      <c r="H123" s="453"/>
      <c r="I123" s="425"/>
      <c r="J123" s="426"/>
      <c r="K123" s="427"/>
      <c r="L123" s="454"/>
      <c r="M123" s="422"/>
      <c r="N123" s="455"/>
      <c r="O123" s="427"/>
      <c r="P123" s="454"/>
      <c r="Q123" s="422"/>
      <c r="R123" s="455"/>
      <c r="S123" s="427"/>
      <c r="T123" s="454"/>
      <c r="U123" s="422"/>
      <c r="V123" s="455"/>
      <c r="W123" s="427"/>
      <c r="X123" s="454"/>
      <c r="Y123" s="422"/>
      <c r="Z123" s="455"/>
      <c r="AA123" s="427"/>
      <c r="AB123" s="454"/>
      <c r="AC123" s="422"/>
      <c r="AD123" s="455"/>
      <c r="AE123" s="427"/>
      <c r="AF123" s="454"/>
      <c r="AG123" s="422"/>
      <c r="AH123" s="455"/>
      <c r="AI123" s="427"/>
      <c r="AJ123" s="454"/>
      <c r="AK123" s="422"/>
      <c r="AL123" s="455"/>
      <c r="AM123" s="427"/>
      <c r="AN123" s="454"/>
      <c r="AO123" s="422"/>
      <c r="AP123" s="455"/>
      <c r="AQ123" s="427"/>
      <c r="AR123" s="454"/>
      <c r="AS123" s="422"/>
      <c r="AT123" s="455"/>
      <c r="AU123" s="427"/>
      <c r="AV123" s="454"/>
      <c r="AW123" s="422"/>
      <c r="AX123" s="455"/>
      <c r="AY123" s="427"/>
      <c r="AZ123" s="454"/>
      <c r="BA123" s="422"/>
      <c r="BB123" s="455"/>
      <c r="BC123" s="427"/>
      <c r="BD123" s="454"/>
      <c r="BE123" s="422"/>
      <c r="BF123" s="455"/>
      <c r="BG123" s="427"/>
      <c r="BH123" s="454"/>
      <c r="BI123" s="422"/>
      <c r="BJ123" s="455"/>
      <c r="BK123" s="427"/>
      <c r="BL123" s="454"/>
      <c r="BM123" s="422"/>
      <c r="BN123" s="455"/>
      <c r="BO123" s="427"/>
      <c r="BP123" s="454"/>
      <c r="BQ123" s="422"/>
      <c r="BR123" s="455"/>
      <c r="BS123" s="427"/>
      <c r="BT123" s="454"/>
      <c r="BU123" s="422"/>
      <c r="BV123" s="455"/>
      <c r="BW123" s="427"/>
      <c r="BX123" s="454"/>
      <c r="BY123" s="422"/>
      <c r="BZ123" s="422"/>
      <c r="CA123" s="427"/>
      <c r="CB123" s="454"/>
      <c r="CC123" s="422"/>
      <c r="CD123" s="422"/>
      <c r="CE123" s="427"/>
      <c r="CF123" s="454"/>
      <c r="CG123" s="422"/>
      <c r="CH123" s="422"/>
      <c r="CI123" s="427"/>
      <c r="CJ123" s="454"/>
      <c r="CK123" s="422"/>
      <c r="CL123" s="422"/>
      <c r="CM123" s="427"/>
      <c r="CN123" s="454"/>
      <c r="CO123" s="422"/>
      <c r="CP123" s="422"/>
      <c r="CQ123" s="427"/>
      <c r="CR123" s="454"/>
      <c r="CS123" s="422"/>
      <c r="CT123" s="422"/>
      <c r="CU123" s="427"/>
      <c r="CV123" s="454"/>
      <c r="CW123" s="422"/>
      <c r="CX123" s="422"/>
      <c r="CY123" s="427"/>
      <c r="CZ123" s="454"/>
      <c r="DA123" s="422"/>
      <c r="DB123" s="422"/>
      <c r="DC123" s="427"/>
      <c r="DD123" s="454"/>
      <c r="DE123" s="422"/>
      <c r="DF123" s="422"/>
      <c r="DG123" s="427"/>
      <c r="DH123" s="454"/>
      <c r="DI123" s="422"/>
      <c r="DJ123" s="422"/>
      <c r="DK123" s="427"/>
      <c r="DL123" s="454"/>
      <c r="DM123" s="422"/>
      <c r="DN123" s="422"/>
      <c r="DO123" s="427"/>
      <c r="DP123" s="454"/>
      <c r="DQ123" s="422"/>
      <c r="DR123" s="422"/>
      <c r="DS123" s="427"/>
      <c r="DT123" s="454"/>
      <c r="DU123" s="422"/>
      <c r="DV123" s="422"/>
      <c r="DW123" s="427"/>
      <c r="DX123" s="454"/>
      <c r="DY123" s="422"/>
      <c r="DZ123" s="422"/>
      <c r="EA123" s="427"/>
      <c r="EB123" s="454"/>
      <c r="EC123" s="422"/>
      <c r="ED123" s="422"/>
      <c r="EE123" s="427"/>
      <c r="EF123" s="454"/>
      <c r="EG123" s="422"/>
      <c r="EH123" s="422"/>
      <c r="EI123" s="427"/>
      <c r="EJ123" s="454"/>
      <c r="EK123" s="422"/>
      <c r="EL123" s="422"/>
      <c r="EM123" s="427"/>
      <c r="EN123" s="454"/>
      <c r="EO123" s="422"/>
      <c r="EP123" s="422"/>
      <c r="EQ123" s="427"/>
      <c r="ER123" s="454"/>
      <c r="ES123" s="422"/>
      <c r="ET123" s="422"/>
      <c r="EU123" s="427"/>
      <c r="EV123" s="454"/>
      <c r="EW123" s="422"/>
      <c r="EX123" s="422"/>
      <c r="EY123" s="427"/>
      <c r="EZ123" s="454"/>
      <c r="FA123" s="422"/>
      <c r="FB123" s="422"/>
      <c r="FC123" s="427"/>
      <c r="FD123" s="454"/>
      <c r="FE123" s="422"/>
      <c r="FF123" s="422"/>
      <c r="FG123" s="427"/>
      <c r="FH123" s="454"/>
      <c r="FI123" s="422"/>
      <c r="FJ123" s="422"/>
      <c r="FK123" s="427"/>
      <c r="FL123" s="454"/>
      <c r="FM123" s="422"/>
      <c r="FN123" s="422"/>
      <c r="FO123" s="427"/>
      <c r="FP123" s="454"/>
      <c r="FQ123" s="422"/>
      <c r="FR123" s="422"/>
      <c r="FS123" s="427"/>
      <c r="FT123" s="454"/>
      <c r="FU123" s="422"/>
      <c r="FV123" s="422"/>
      <c r="FW123" s="427"/>
      <c r="FX123" s="454"/>
      <c r="FY123" s="422"/>
      <c r="FZ123" s="422"/>
      <c r="GA123" s="427"/>
      <c r="GB123" s="454"/>
      <c r="GC123" s="422"/>
      <c r="GD123" s="422"/>
      <c r="GE123" s="427"/>
      <c r="GF123" s="454"/>
      <c r="GG123" s="422"/>
      <c r="GH123" s="422"/>
      <c r="GI123" s="427"/>
      <c r="GJ123" s="454"/>
      <c r="GK123" s="422"/>
      <c r="GL123" s="422"/>
      <c r="GM123" s="427"/>
      <c r="GN123" s="454"/>
      <c r="GO123" s="422"/>
      <c r="GP123" s="422"/>
      <c r="GQ123" s="427"/>
      <c r="GR123" s="454"/>
      <c r="GS123" s="422"/>
      <c r="GT123" s="422"/>
      <c r="GU123" s="427"/>
      <c r="GV123" s="454"/>
      <c r="GW123" s="422"/>
      <c r="GX123" s="422"/>
      <c r="GY123" s="427"/>
      <c r="GZ123" s="454"/>
      <c r="HA123" s="422"/>
      <c r="HB123" s="422"/>
      <c r="HC123" s="434">
        <f t="shared" si="83"/>
        <v>0</v>
      </c>
      <c r="HD123" s="456"/>
      <c r="HE123" s="432">
        <f t="shared" si="83"/>
        <v>0</v>
      </c>
      <c r="HF123" s="432">
        <f t="shared" si="83"/>
        <v>0</v>
      </c>
      <c r="HG123" s="434">
        <f>SUM(SUMIFS(K123:HB123,$K$13:$HB$13,{"エネルギー管理指定工場等*","県域*"}))</f>
        <v>0</v>
      </c>
      <c r="HH123" s="456"/>
      <c r="HI123" s="432">
        <f>SUM(SUMIFS(M123:HD123,$K$13:$HB$13,{"エネルギー管理指定工場等*","県域*"}))</f>
        <v>0</v>
      </c>
      <c r="HJ123" s="457">
        <f>SUM(SUMIFS(N123:HE123,$K$13:$HB$13,{"エネルギー管理指定工場等*","県域*"}))</f>
        <v>0</v>
      </c>
      <c r="IE123" s="579"/>
      <c r="IF123" s="579"/>
      <c r="IG123" s="579"/>
      <c r="IH123" s="579"/>
    </row>
    <row r="124" spans="2:242" s="164" customFormat="1" ht="20.100000000000001" customHeight="1">
      <c r="B124" s="443" t="s">
        <v>1405</v>
      </c>
      <c r="C124" s="458"/>
      <c r="D124" s="458"/>
      <c r="E124" s="458"/>
      <c r="F124" s="444"/>
      <c r="G124" s="444"/>
      <c r="H124" s="459"/>
      <c r="I124" s="425"/>
      <c r="J124" s="426"/>
      <c r="K124" s="460"/>
      <c r="L124" s="461"/>
      <c r="M124" s="458"/>
      <c r="N124" s="462"/>
      <c r="O124" s="460"/>
      <c r="P124" s="461"/>
      <c r="Q124" s="458"/>
      <c r="R124" s="462"/>
      <c r="S124" s="460"/>
      <c r="T124" s="461"/>
      <c r="U124" s="458"/>
      <c r="V124" s="462"/>
      <c r="W124" s="460"/>
      <c r="X124" s="461"/>
      <c r="Y124" s="458"/>
      <c r="Z124" s="462"/>
      <c r="AA124" s="460"/>
      <c r="AB124" s="461"/>
      <c r="AC124" s="458"/>
      <c r="AD124" s="462"/>
      <c r="AE124" s="460"/>
      <c r="AF124" s="461"/>
      <c r="AG124" s="458"/>
      <c r="AH124" s="462"/>
      <c r="AI124" s="460"/>
      <c r="AJ124" s="461"/>
      <c r="AK124" s="458"/>
      <c r="AL124" s="462"/>
      <c r="AM124" s="460"/>
      <c r="AN124" s="461"/>
      <c r="AO124" s="458"/>
      <c r="AP124" s="462"/>
      <c r="AQ124" s="460"/>
      <c r="AR124" s="461"/>
      <c r="AS124" s="458"/>
      <c r="AT124" s="462"/>
      <c r="AU124" s="460"/>
      <c r="AV124" s="461"/>
      <c r="AW124" s="458"/>
      <c r="AX124" s="462"/>
      <c r="AY124" s="460"/>
      <c r="AZ124" s="461"/>
      <c r="BA124" s="458"/>
      <c r="BB124" s="462"/>
      <c r="BC124" s="460"/>
      <c r="BD124" s="461"/>
      <c r="BE124" s="458"/>
      <c r="BF124" s="462"/>
      <c r="BG124" s="460"/>
      <c r="BH124" s="461"/>
      <c r="BI124" s="458"/>
      <c r="BJ124" s="462"/>
      <c r="BK124" s="460"/>
      <c r="BL124" s="461"/>
      <c r="BM124" s="458"/>
      <c r="BN124" s="462"/>
      <c r="BO124" s="460"/>
      <c r="BP124" s="461"/>
      <c r="BQ124" s="458"/>
      <c r="BR124" s="462"/>
      <c r="BS124" s="460"/>
      <c r="BT124" s="461"/>
      <c r="BU124" s="458"/>
      <c r="BV124" s="462"/>
      <c r="BW124" s="460"/>
      <c r="BX124" s="461"/>
      <c r="BY124" s="458"/>
      <c r="BZ124" s="458"/>
      <c r="CA124" s="460"/>
      <c r="CB124" s="461"/>
      <c r="CC124" s="458"/>
      <c r="CD124" s="458"/>
      <c r="CE124" s="460"/>
      <c r="CF124" s="461"/>
      <c r="CG124" s="458"/>
      <c r="CH124" s="458"/>
      <c r="CI124" s="460"/>
      <c r="CJ124" s="461"/>
      <c r="CK124" s="458"/>
      <c r="CL124" s="458"/>
      <c r="CM124" s="460"/>
      <c r="CN124" s="461"/>
      <c r="CO124" s="458"/>
      <c r="CP124" s="458"/>
      <c r="CQ124" s="460"/>
      <c r="CR124" s="461"/>
      <c r="CS124" s="458"/>
      <c r="CT124" s="458"/>
      <c r="CU124" s="460"/>
      <c r="CV124" s="461"/>
      <c r="CW124" s="458"/>
      <c r="CX124" s="458"/>
      <c r="CY124" s="460"/>
      <c r="CZ124" s="461"/>
      <c r="DA124" s="458"/>
      <c r="DB124" s="458"/>
      <c r="DC124" s="460"/>
      <c r="DD124" s="461"/>
      <c r="DE124" s="458"/>
      <c r="DF124" s="458"/>
      <c r="DG124" s="460"/>
      <c r="DH124" s="461"/>
      <c r="DI124" s="458"/>
      <c r="DJ124" s="458"/>
      <c r="DK124" s="460"/>
      <c r="DL124" s="461"/>
      <c r="DM124" s="458"/>
      <c r="DN124" s="458"/>
      <c r="DO124" s="460"/>
      <c r="DP124" s="461"/>
      <c r="DQ124" s="458"/>
      <c r="DR124" s="458"/>
      <c r="DS124" s="460"/>
      <c r="DT124" s="461"/>
      <c r="DU124" s="458"/>
      <c r="DV124" s="458"/>
      <c r="DW124" s="460"/>
      <c r="DX124" s="461"/>
      <c r="DY124" s="458"/>
      <c r="DZ124" s="458"/>
      <c r="EA124" s="460"/>
      <c r="EB124" s="461"/>
      <c r="EC124" s="458"/>
      <c r="ED124" s="458"/>
      <c r="EE124" s="460"/>
      <c r="EF124" s="461"/>
      <c r="EG124" s="458"/>
      <c r="EH124" s="458"/>
      <c r="EI124" s="460"/>
      <c r="EJ124" s="461"/>
      <c r="EK124" s="458"/>
      <c r="EL124" s="458"/>
      <c r="EM124" s="460"/>
      <c r="EN124" s="461"/>
      <c r="EO124" s="458"/>
      <c r="EP124" s="458"/>
      <c r="EQ124" s="460"/>
      <c r="ER124" s="461"/>
      <c r="ES124" s="458"/>
      <c r="ET124" s="458"/>
      <c r="EU124" s="460"/>
      <c r="EV124" s="461"/>
      <c r="EW124" s="458"/>
      <c r="EX124" s="458"/>
      <c r="EY124" s="460"/>
      <c r="EZ124" s="461"/>
      <c r="FA124" s="458"/>
      <c r="FB124" s="458"/>
      <c r="FC124" s="460"/>
      <c r="FD124" s="461"/>
      <c r="FE124" s="458"/>
      <c r="FF124" s="458"/>
      <c r="FG124" s="460"/>
      <c r="FH124" s="461"/>
      <c r="FI124" s="458"/>
      <c r="FJ124" s="458"/>
      <c r="FK124" s="460"/>
      <c r="FL124" s="461"/>
      <c r="FM124" s="458"/>
      <c r="FN124" s="458"/>
      <c r="FO124" s="460"/>
      <c r="FP124" s="461"/>
      <c r="FQ124" s="458"/>
      <c r="FR124" s="458"/>
      <c r="FS124" s="460"/>
      <c r="FT124" s="461"/>
      <c r="FU124" s="458"/>
      <c r="FV124" s="458"/>
      <c r="FW124" s="460"/>
      <c r="FX124" s="461"/>
      <c r="FY124" s="458"/>
      <c r="FZ124" s="458"/>
      <c r="GA124" s="460"/>
      <c r="GB124" s="461"/>
      <c r="GC124" s="458"/>
      <c r="GD124" s="458"/>
      <c r="GE124" s="460"/>
      <c r="GF124" s="461"/>
      <c r="GG124" s="458"/>
      <c r="GH124" s="458"/>
      <c r="GI124" s="460"/>
      <c r="GJ124" s="461"/>
      <c r="GK124" s="458"/>
      <c r="GL124" s="458"/>
      <c r="GM124" s="460"/>
      <c r="GN124" s="461"/>
      <c r="GO124" s="458"/>
      <c r="GP124" s="458"/>
      <c r="GQ124" s="460"/>
      <c r="GR124" s="461"/>
      <c r="GS124" s="458"/>
      <c r="GT124" s="458"/>
      <c r="GU124" s="460"/>
      <c r="GV124" s="461"/>
      <c r="GW124" s="458"/>
      <c r="GX124" s="458"/>
      <c r="GY124" s="460"/>
      <c r="GZ124" s="461"/>
      <c r="HA124" s="458"/>
      <c r="HB124" s="458"/>
      <c r="HC124" s="463">
        <f t="shared" si="83"/>
        <v>0</v>
      </c>
      <c r="HD124" s="464"/>
      <c r="HE124" s="465">
        <f t="shared" si="83"/>
        <v>0</v>
      </c>
      <c r="HF124" s="465">
        <f t="shared" si="83"/>
        <v>0</v>
      </c>
      <c r="HG124" s="463">
        <f>SUM(SUMIFS(K124:HB124,$K$13:$HB$13,{"エネルギー管理指定工場等*","県域*"}))</f>
        <v>0</v>
      </c>
      <c r="HH124" s="464"/>
      <c r="HI124" s="465">
        <f>SUM(SUMIFS(M124:HD124,$K$13:$HB$13,{"エネルギー管理指定工場等*","県域*"}))</f>
        <v>0</v>
      </c>
      <c r="HJ124" s="466">
        <f>SUM(SUMIFS(N124:HE124,$K$13:$HB$13,{"エネルギー管理指定工場等*","県域*"}))</f>
        <v>0</v>
      </c>
      <c r="IE124" s="579"/>
      <c r="IF124" s="579"/>
      <c r="IG124" s="579"/>
      <c r="IH124" s="579"/>
    </row>
    <row r="125" spans="2:242" s="164" customFormat="1" ht="20.100000000000001" customHeight="1">
      <c r="B125" s="410" t="s">
        <v>1406</v>
      </c>
      <c r="C125" s="411"/>
      <c r="D125" s="411"/>
      <c r="E125" s="411"/>
      <c r="F125" s="411"/>
      <c r="G125" s="411"/>
      <c r="H125" s="436"/>
      <c r="I125" s="425"/>
      <c r="J125" s="426"/>
      <c r="K125" s="416"/>
      <c r="L125" s="449"/>
      <c r="M125" s="411"/>
      <c r="N125" s="450"/>
      <c r="O125" s="416"/>
      <c r="P125" s="449"/>
      <c r="Q125" s="411"/>
      <c r="R125" s="450"/>
      <c r="S125" s="416"/>
      <c r="T125" s="449"/>
      <c r="U125" s="411"/>
      <c r="V125" s="450"/>
      <c r="W125" s="416"/>
      <c r="X125" s="449"/>
      <c r="Y125" s="411"/>
      <c r="Z125" s="450"/>
      <c r="AA125" s="416"/>
      <c r="AB125" s="449"/>
      <c r="AC125" s="411"/>
      <c r="AD125" s="450"/>
      <c r="AE125" s="416"/>
      <c r="AF125" s="449"/>
      <c r="AG125" s="411"/>
      <c r="AH125" s="450"/>
      <c r="AI125" s="416"/>
      <c r="AJ125" s="449"/>
      <c r="AK125" s="411"/>
      <c r="AL125" s="450"/>
      <c r="AM125" s="416"/>
      <c r="AN125" s="449"/>
      <c r="AO125" s="411"/>
      <c r="AP125" s="450"/>
      <c r="AQ125" s="416"/>
      <c r="AR125" s="449"/>
      <c r="AS125" s="411"/>
      <c r="AT125" s="450"/>
      <c r="AU125" s="416"/>
      <c r="AV125" s="449"/>
      <c r="AW125" s="411"/>
      <c r="AX125" s="450"/>
      <c r="AY125" s="416"/>
      <c r="AZ125" s="449"/>
      <c r="BA125" s="411"/>
      <c r="BB125" s="450"/>
      <c r="BC125" s="416"/>
      <c r="BD125" s="449"/>
      <c r="BE125" s="411"/>
      <c r="BF125" s="450"/>
      <c r="BG125" s="416"/>
      <c r="BH125" s="449"/>
      <c r="BI125" s="411"/>
      <c r="BJ125" s="450"/>
      <c r="BK125" s="416"/>
      <c r="BL125" s="449"/>
      <c r="BM125" s="411"/>
      <c r="BN125" s="450"/>
      <c r="BO125" s="416"/>
      <c r="BP125" s="449"/>
      <c r="BQ125" s="411"/>
      <c r="BR125" s="450"/>
      <c r="BS125" s="416"/>
      <c r="BT125" s="449"/>
      <c r="BU125" s="411"/>
      <c r="BV125" s="450"/>
      <c r="BW125" s="416"/>
      <c r="BX125" s="449"/>
      <c r="BY125" s="411"/>
      <c r="BZ125" s="411"/>
      <c r="CA125" s="416"/>
      <c r="CB125" s="449"/>
      <c r="CC125" s="411"/>
      <c r="CD125" s="411"/>
      <c r="CE125" s="416"/>
      <c r="CF125" s="449"/>
      <c r="CG125" s="411"/>
      <c r="CH125" s="411"/>
      <c r="CI125" s="416"/>
      <c r="CJ125" s="449"/>
      <c r="CK125" s="411"/>
      <c r="CL125" s="411"/>
      <c r="CM125" s="416"/>
      <c r="CN125" s="449"/>
      <c r="CO125" s="411"/>
      <c r="CP125" s="411"/>
      <c r="CQ125" s="416"/>
      <c r="CR125" s="449"/>
      <c r="CS125" s="411"/>
      <c r="CT125" s="411"/>
      <c r="CU125" s="416"/>
      <c r="CV125" s="449"/>
      <c r="CW125" s="411"/>
      <c r="CX125" s="411"/>
      <c r="CY125" s="416"/>
      <c r="CZ125" s="449"/>
      <c r="DA125" s="411"/>
      <c r="DB125" s="411"/>
      <c r="DC125" s="416"/>
      <c r="DD125" s="449"/>
      <c r="DE125" s="411"/>
      <c r="DF125" s="411"/>
      <c r="DG125" s="416"/>
      <c r="DH125" s="449"/>
      <c r="DI125" s="411"/>
      <c r="DJ125" s="411"/>
      <c r="DK125" s="416"/>
      <c r="DL125" s="449"/>
      <c r="DM125" s="411"/>
      <c r="DN125" s="411"/>
      <c r="DO125" s="416"/>
      <c r="DP125" s="449"/>
      <c r="DQ125" s="411"/>
      <c r="DR125" s="411"/>
      <c r="DS125" s="416"/>
      <c r="DT125" s="449"/>
      <c r="DU125" s="411"/>
      <c r="DV125" s="411"/>
      <c r="DW125" s="416"/>
      <c r="DX125" s="449"/>
      <c r="DY125" s="411"/>
      <c r="DZ125" s="411"/>
      <c r="EA125" s="416"/>
      <c r="EB125" s="449"/>
      <c r="EC125" s="411"/>
      <c r="ED125" s="411"/>
      <c r="EE125" s="416"/>
      <c r="EF125" s="449"/>
      <c r="EG125" s="411"/>
      <c r="EH125" s="411"/>
      <c r="EI125" s="416"/>
      <c r="EJ125" s="449"/>
      <c r="EK125" s="411"/>
      <c r="EL125" s="411"/>
      <c r="EM125" s="416"/>
      <c r="EN125" s="449"/>
      <c r="EO125" s="411"/>
      <c r="EP125" s="411"/>
      <c r="EQ125" s="416"/>
      <c r="ER125" s="449"/>
      <c r="ES125" s="411"/>
      <c r="ET125" s="411"/>
      <c r="EU125" s="416"/>
      <c r="EV125" s="449"/>
      <c r="EW125" s="411"/>
      <c r="EX125" s="411"/>
      <c r="EY125" s="416"/>
      <c r="EZ125" s="449"/>
      <c r="FA125" s="411"/>
      <c r="FB125" s="411"/>
      <c r="FC125" s="416"/>
      <c r="FD125" s="449"/>
      <c r="FE125" s="411"/>
      <c r="FF125" s="411"/>
      <c r="FG125" s="416"/>
      <c r="FH125" s="449"/>
      <c r="FI125" s="411"/>
      <c r="FJ125" s="411"/>
      <c r="FK125" s="416"/>
      <c r="FL125" s="449"/>
      <c r="FM125" s="411"/>
      <c r="FN125" s="411"/>
      <c r="FO125" s="416"/>
      <c r="FP125" s="449"/>
      <c r="FQ125" s="411"/>
      <c r="FR125" s="411"/>
      <c r="FS125" s="416"/>
      <c r="FT125" s="449"/>
      <c r="FU125" s="411"/>
      <c r="FV125" s="411"/>
      <c r="FW125" s="416"/>
      <c r="FX125" s="449"/>
      <c r="FY125" s="411"/>
      <c r="FZ125" s="411"/>
      <c r="GA125" s="416"/>
      <c r="GB125" s="449"/>
      <c r="GC125" s="411"/>
      <c r="GD125" s="411"/>
      <c r="GE125" s="416"/>
      <c r="GF125" s="449"/>
      <c r="GG125" s="411"/>
      <c r="GH125" s="411"/>
      <c r="GI125" s="416"/>
      <c r="GJ125" s="449"/>
      <c r="GK125" s="411"/>
      <c r="GL125" s="411"/>
      <c r="GM125" s="416"/>
      <c r="GN125" s="449"/>
      <c r="GO125" s="411"/>
      <c r="GP125" s="411"/>
      <c r="GQ125" s="416"/>
      <c r="GR125" s="449"/>
      <c r="GS125" s="411"/>
      <c r="GT125" s="411"/>
      <c r="GU125" s="416"/>
      <c r="GV125" s="449"/>
      <c r="GW125" s="411"/>
      <c r="GX125" s="411"/>
      <c r="GY125" s="416"/>
      <c r="GZ125" s="449"/>
      <c r="HA125" s="411"/>
      <c r="HB125" s="411"/>
      <c r="HC125" s="418">
        <f t="shared" si="83"/>
        <v>0</v>
      </c>
      <c r="HD125" s="451"/>
      <c r="HE125" s="419">
        <f t="shared" si="83"/>
        <v>0</v>
      </c>
      <c r="HF125" s="419">
        <f t="shared" si="83"/>
        <v>0</v>
      </c>
      <c r="HG125" s="418">
        <f>SUM(SUMIFS(K125:HB125,$K$13:$HB$13,{"エネルギー管理指定工場等*","県域*"}))</f>
        <v>0</v>
      </c>
      <c r="HH125" s="451"/>
      <c r="HI125" s="419">
        <f>SUM(SUMIFS(M125:HD125,$K$13:$HB$13,{"エネルギー管理指定工場等*","県域*"}))</f>
        <v>0</v>
      </c>
      <c r="HJ125" s="452">
        <f>SUM(SUMIFS(N125:HE125,$K$13:$HB$13,{"エネルギー管理指定工場等*","県域*"}))</f>
        <v>0</v>
      </c>
      <c r="IE125" s="579"/>
      <c r="IF125" s="579"/>
      <c r="IG125" s="579"/>
      <c r="IH125" s="579"/>
    </row>
    <row r="126" spans="2:242" s="164" customFormat="1" ht="20.100000000000001" customHeight="1">
      <c r="B126" s="421" t="s">
        <v>1407</v>
      </c>
      <c r="C126" s="422"/>
      <c r="D126" s="422"/>
      <c r="E126" s="422"/>
      <c r="F126" s="422"/>
      <c r="G126" s="422"/>
      <c r="H126" s="453"/>
      <c r="I126" s="425"/>
      <c r="J126" s="426"/>
      <c r="K126" s="427"/>
      <c r="L126" s="454"/>
      <c r="M126" s="422"/>
      <c r="N126" s="455"/>
      <c r="O126" s="427"/>
      <c r="P126" s="454"/>
      <c r="Q126" s="422"/>
      <c r="R126" s="455"/>
      <c r="S126" s="427"/>
      <c r="T126" s="454"/>
      <c r="U126" s="422"/>
      <c r="V126" s="455"/>
      <c r="W126" s="427"/>
      <c r="X126" s="454"/>
      <c r="Y126" s="422"/>
      <c r="Z126" s="455"/>
      <c r="AA126" s="427"/>
      <c r="AB126" s="454"/>
      <c r="AC126" s="422"/>
      <c r="AD126" s="455"/>
      <c r="AE126" s="427"/>
      <c r="AF126" s="454"/>
      <c r="AG126" s="422"/>
      <c r="AH126" s="455"/>
      <c r="AI126" s="427"/>
      <c r="AJ126" s="454"/>
      <c r="AK126" s="422"/>
      <c r="AL126" s="455"/>
      <c r="AM126" s="427"/>
      <c r="AN126" s="454"/>
      <c r="AO126" s="422"/>
      <c r="AP126" s="455"/>
      <c r="AQ126" s="427"/>
      <c r="AR126" s="454"/>
      <c r="AS126" s="422"/>
      <c r="AT126" s="455"/>
      <c r="AU126" s="427"/>
      <c r="AV126" s="454"/>
      <c r="AW126" s="422"/>
      <c r="AX126" s="455"/>
      <c r="AY126" s="427"/>
      <c r="AZ126" s="454"/>
      <c r="BA126" s="422"/>
      <c r="BB126" s="455"/>
      <c r="BC126" s="427"/>
      <c r="BD126" s="454"/>
      <c r="BE126" s="422"/>
      <c r="BF126" s="455"/>
      <c r="BG126" s="427"/>
      <c r="BH126" s="454"/>
      <c r="BI126" s="422"/>
      <c r="BJ126" s="455"/>
      <c r="BK126" s="427"/>
      <c r="BL126" s="454"/>
      <c r="BM126" s="422"/>
      <c r="BN126" s="455"/>
      <c r="BO126" s="427"/>
      <c r="BP126" s="454"/>
      <c r="BQ126" s="422"/>
      <c r="BR126" s="455"/>
      <c r="BS126" s="427"/>
      <c r="BT126" s="454"/>
      <c r="BU126" s="422"/>
      <c r="BV126" s="455"/>
      <c r="BW126" s="427"/>
      <c r="BX126" s="454"/>
      <c r="BY126" s="422"/>
      <c r="BZ126" s="422"/>
      <c r="CA126" s="427"/>
      <c r="CB126" s="454"/>
      <c r="CC126" s="422"/>
      <c r="CD126" s="422"/>
      <c r="CE126" s="427"/>
      <c r="CF126" s="454"/>
      <c r="CG126" s="422"/>
      <c r="CH126" s="422"/>
      <c r="CI126" s="427"/>
      <c r="CJ126" s="454"/>
      <c r="CK126" s="422"/>
      <c r="CL126" s="422"/>
      <c r="CM126" s="427"/>
      <c r="CN126" s="454"/>
      <c r="CO126" s="422"/>
      <c r="CP126" s="422"/>
      <c r="CQ126" s="427"/>
      <c r="CR126" s="454"/>
      <c r="CS126" s="422"/>
      <c r="CT126" s="422"/>
      <c r="CU126" s="427"/>
      <c r="CV126" s="454"/>
      <c r="CW126" s="422"/>
      <c r="CX126" s="422"/>
      <c r="CY126" s="427"/>
      <c r="CZ126" s="454"/>
      <c r="DA126" s="422"/>
      <c r="DB126" s="422"/>
      <c r="DC126" s="427"/>
      <c r="DD126" s="454"/>
      <c r="DE126" s="422"/>
      <c r="DF126" s="422"/>
      <c r="DG126" s="427"/>
      <c r="DH126" s="454"/>
      <c r="DI126" s="422"/>
      <c r="DJ126" s="422"/>
      <c r="DK126" s="427"/>
      <c r="DL126" s="454"/>
      <c r="DM126" s="422"/>
      <c r="DN126" s="422"/>
      <c r="DO126" s="427"/>
      <c r="DP126" s="454"/>
      <c r="DQ126" s="422"/>
      <c r="DR126" s="422"/>
      <c r="DS126" s="427"/>
      <c r="DT126" s="454"/>
      <c r="DU126" s="422"/>
      <c r="DV126" s="422"/>
      <c r="DW126" s="427"/>
      <c r="DX126" s="454"/>
      <c r="DY126" s="422"/>
      <c r="DZ126" s="422"/>
      <c r="EA126" s="427"/>
      <c r="EB126" s="454"/>
      <c r="EC126" s="422"/>
      <c r="ED126" s="422"/>
      <c r="EE126" s="427"/>
      <c r="EF126" s="454"/>
      <c r="EG126" s="422"/>
      <c r="EH126" s="422"/>
      <c r="EI126" s="427"/>
      <c r="EJ126" s="454"/>
      <c r="EK126" s="422"/>
      <c r="EL126" s="422"/>
      <c r="EM126" s="427"/>
      <c r="EN126" s="454"/>
      <c r="EO126" s="422"/>
      <c r="EP126" s="422"/>
      <c r="EQ126" s="427"/>
      <c r="ER126" s="454"/>
      <c r="ES126" s="422"/>
      <c r="ET126" s="422"/>
      <c r="EU126" s="427"/>
      <c r="EV126" s="454"/>
      <c r="EW126" s="422"/>
      <c r="EX126" s="422"/>
      <c r="EY126" s="427"/>
      <c r="EZ126" s="454"/>
      <c r="FA126" s="422"/>
      <c r="FB126" s="422"/>
      <c r="FC126" s="427"/>
      <c r="FD126" s="454"/>
      <c r="FE126" s="422"/>
      <c r="FF126" s="422"/>
      <c r="FG126" s="427"/>
      <c r="FH126" s="454"/>
      <c r="FI126" s="422"/>
      <c r="FJ126" s="422"/>
      <c r="FK126" s="427"/>
      <c r="FL126" s="454"/>
      <c r="FM126" s="422"/>
      <c r="FN126" s="422"/>
      <c r="FO126" s="427"/>
      <c r="FP126" s="454"/>
      <c r="FQ126" s="422"/>
      <c r="FR126" s="422"/>
      <c r="FS126" s="427"/>
      <c r="FT126" s="454"/>
      <c r="FU126" s="422"/>
      <c r="FV126" s="422"/>
      <c r="FW126" s="427"/>
      <c r="FX126" s="454"/>
      <c r="FY126" s="422"/>
      <c r="FZ126" s="422"/>
      <c r="GA126" s="427"/>
      <c r="GB126" s="454"/>
      <c r="GC126" s="422"/>
      <c r="GD126" s="422"/>
      <c r="GE126" s="427"/>
      <c r="GF126" s="454"/>
      <c r="GG126" s="422"/>
      <c r="GH126" s="422"/>
      <c r="GI126" s="427"/>
      <c r="GJ126" s="454"/>
      <c r="GK126" s="422"/>
      <c r="GL126" s="422"/>
      <c r="GM126" s="427"/>
      <c r="GN126" s="454"/>
      <c r="GO126" s="422"/>
      <c r="GP126" s="422"/>
      <c r="GQ126" s="427"/>
      <c r="GR126" s="454"/>
      <c r="GS126" s="422"/>
      <c r="GT126" s="422"/>
      <c r="GU126" s="427"/>
      <c r="GV126" s="454"/>
      <c r="GW126" s="422"/>
      <c r="GX126" s="422"/>
      <c r="GY126" s="427"/>
      <c r="GZ126" s="454"/>
      <c r="HA126" s="422"/>
      <c r="HB126" s="422"/>
      <c r="HC126" s="434">
        <f t="shared" si="83"/>
        <v>0</v>
      </c>
      <c r="HD126" s="456"/>
      <c r="HE126" s="432">
        <f t="shared" si="83"/>
        <v>0</v>
      </c>
      <c r="HF126" s="432">
        <f t="shared" si="83"/>
        <v>0</v>
      </c>
      <c r="HG126" s="434">
        <f>SUM(SUMIFS(K126:HB126,$K$13:$HB$13,{"エネルギー管理指定工場等*","県域*"}))</f>
        <v>0</v>
      </c>
      <c r="HH126" s="456"/>
      <c r="HI126" s="432">
        <f>SUM(SUMIFS(M126:HD126,$K$13:$HB$13,{"エネルギー管理指定工場等*","県域*"}))</f>
        <v>0</v>
      </c>
      <c r="HJ126" s="457">
        <f>SUM(SUMIFS(N126:HE126,$K$13:$HB$13,{"エネルギー管理指定工場等*","県域*"}))</f>
        <v>0</v>
      </c>
      <c r="IE126" s="579"/>
      <c r="IF126" s="579"/>
      <c r="IG126" s="579"/>
      <c r="IH126" s="579"/>
    </row>
    <row r="127" spans="2:242" s="164" customFormat="1" ht="20.100000000000001" customHeight="1">
      <c r="B127" s="443" t="s">
        <v>1408</v>
      </c>
      <c r="C127" s="444"/>
      <c r="D127" s="444"/>
      <c r="E127" s="444"/>
      <c r="F127" s="444"/>
      <c r="G127" s="444"/>
      <c r="H127" s="467"/>
      <c r="I127" s="425"/>
      <c r="J127" s="426"/>
      <c r="K127" s="468"/>
      <c r="L127" s="469"/>
      <c r="M127" s="444"/>
      <c r="N127" s="470"/>
      <c r="O127" s="468"/>
      <c r="P127" s="469"/>
      <c r="Q127" s="444"/>
      <c r="R127" s="470"/>
      <c r="S127" s="468"/>
      <c r="T127" s="469"/>
      <c r="U127" s="444"/>
      <c r="V127" s="470"/>
      <c r="W127" s="468"/>
      <c r="X127" s="469"/>
      <c r="Y127" s="444"/>
      <c r="Z127" s="470"/>
      <c r="AA127" s="468"/>
      <c r="AB127" s="469"/>
      <c r="AC127" s="444"/>
      <c r="AD127" s="470"/>
      <c r="AE127" s="468"/>
      <c r="AF127" s="469"/>
      <c r="AG127" s="444"/>
      <c r="AH127" s="470"/>
      <c r="AI127" s="468"/>
      <c r="AJ127" s="469"/>
      <c r="AK127" s="444"/>
      <c r="AL127" s="470"/>
      <c r="AM127" s="468"/>
      <c r="AN127" s="469"/>
      <c r="AO127" s="444"/>
      <c r="AP127" s="470"/>
      <c r="AQ127" s="468"/>
      <c r="AR127" s="469"/>
      <c r="AS127" s="444"/>
      <c r="AT127" s="470"/>
      <c r="AU127" s="468"/>
      <c r="AV127" s="469"/>
      <c r="AW127" s="444"/>
      <c r="AX127" s="470"/>
      <c r="AY127" s="468"/>
      <c r="AZ127" s="469"/>
      <c r="BA127" s="444"/>
      <c r="BB127" s="470"/>
      <c r="BC127" s="468"/>
      <c r="BD127" s="469"/>
      <c r="BE127" s="444"/>
      <c r="BF127" s="470"/>
      <c r="BG127" s="468"/>
      <c r="BH127" s="469"/>
      <c r="BI127" s="444"/>
      <c r="BJ127" s="470"/>
      <c r="BK127" s="468"/>
      <c r="BL127" s="469"/>
      <c r="BM127" s="444"/>
      <c r="BN127" s="470"/>
      <c r="BO127" s="468"/>
      <c r="BP127" s="469"/>
      <c r="BQ127" s="444"/>
      <c r="BR127" s="470"/>
      <c r="BS127" s="468"/>
      <c r="BT127" s="469"/>
      <c r="BU127" s="444"/>
      <c r="BV127" s="470"/>
      <c r="BW127" s="468"/>
      <c r="BX127" s="469"/>
      <c r="BY127" s="444"/>
      <c r="BZ127" s="444"/>
      <c r="CA127" s="468"/>
      <c r="CB127" s="469"/>
      <c r="CC127" s="444"/>
      <c r="CD127" s="444"/>
      <c r="CE127" s="468"/>
      <c r="CF127" s="469"/>
      <c r="CG127" s="444"/>
      <c r="CH127" s="444"/>
      <c r="CI127" s="468"/>
      <c r="CJ127" s="469"/>
      <c r="CK127" s="444"/>
      <c r="CL127" s="444"/>
      <c r="CM127" s="468"/>
      <c r="CN127" s="469"/>
      <c r="CO127" s="444"/>
      <c r="CP127" s="444"/>
      <c r="CQ127" s="468"/>
      <c r="CR127" s="469"/>
      <c r="CS127" s="444"/>
      <c r="CT127" s="444"/>
      <c r="CU127" s="468"/>
      <c r="CV127" s="469"/>
      <c r="CW127" s="444"/>
      <c r="CX127" s="444"/>
      <c r="CY127" s="468"/>
      <c r="CZ127" s="469"/>
      <c r="DA127" s="444"/>
      <c r="DB127" s="444"/>
      <c r="DC127" s="468"/>
      <c r="DD127" s="469"/>
      <c r="DE127" s="444"/>
      <c r="DF127" s="444"/>
      <c r="DG127" s="468"/>
      <c r="DH127" s="469"/>
      <c r="DI127" s="444"/>
      <c r="DJ127" s="444"/>
      <c r="DK127" s="468"/>
      <c r="DL127" s="469"/>
      <c r="DM127" s="444"/>
      <c r="DN127" s="444"/>
      <c r="DO127" s="468"/>
      <c r="DP127" s="469"/>
      <c r="DQ127" s="444"/>
      <c r="DR127" s="444"/>
      <c r="DS127" s="468"/>
      <c r="DT127" s="469"/>
      <c r="DU127" s="444"/>
      <c r="DV127" s="444"/>
      <c r="DW127" s="468"/>
      <c r="DX127" s="469"/>
      <c r="DY127" s="444"/>
      <c r="DZ127" s="444"/>
      <c r="EA127" s="468"/>
      <c r="EB127" s="469"/>
      <c r="EC127" s="444"/>
      <c r="ED127" s="444"/>
      <c r="EE127" s="468"/>
      <c r="EF127" s="469"/>
      <c r="EG127" s="444"/>
      <c r="EH127" s="444"/>
      <c r="EI127" s="468"/>
      <c r="EJ127" s="469"/>
      <c r="EK127" s="444"/>
      <c r="EL127" s="444"/>
      <c r="EM127" s="468"/>
      <c r="EN127" s="469"/>
      <c r="EO127" s="444"/>
      <c r="EP127" s="444"/>
      <c r="EQ127" s="468"/>
      <c r="ER127" s="469"/>
      <c r="ES127" s="444"/>
      <c r="ET127" s="444"/>
      <c r="EU127" s="468"/>
      <c r="EV127" s="469"/>
      <c r="EW127" s="444"/>
      <c r="EX127" s="444"/>
      <c r="EY127" s="468"/>
      <c r="EZ127" s="469"/>
      <c r="FA127" s="444"/>
      <c r="FB127" s="444"/>
      <c r="FC127" s="468"/>
      <c r="FD127" s="469"/>
      <c r="FE127" s="444"/>
      <c r="FF127" s="444"/>
      <c r="FG127" s="468"/>
      <c r="FH127" s="469"/>
      <c r="FI127" s="444"/>
      <c r="FJ127" s="444"/>
      <c r="FK127" s="468"/>
      <c r="FL127" s="469"/>
      <c r="FM127" s="444"/>
      <c r="FN127" s="444"/>
      <c r="FO127" s="468"/>
      <c r="FP127" s="469"/>
      <c r="FQ127" s="444"/>
      <c r="FR127" s="444"/>
      <c r="FS127" s="468"/>
      <c r="FT127" s="469"/>
      <c r="FU127" s="444"/>
      <c r="FV127" s="444"/>
      <c r="FW127" s="468"/>
      <c r="FX127" s="469"/>
      <c r="FY127" s="444"/>
      <c r="FZ127" s="444"/>
      <c r="GA127" s="468"/>
      <c r="GB127" s="469"/>
      <c r="GC127" s="444"/>
      <c r="GD127" s="444"/>
      <c r="GE127" s="468"/>
      <c r="GF127" s="469"/>
      <c r="GG127" s="444"/>
      <c r="GH127" s="444"/>
      <c r="GI127" s="468"/>
      <c r="GJ127" s="469"/>
      <c r="GK127" s="444"/>
      <c r="GL127" s="444"/>
      <c r="GM127" s="468"/>
      <c r="GN127" s="469"/>
      <c r="GO127" s="444"/>
      <c r="GP127" s="444"/>
      <c r="GQ127" s="468"/>
      <c r="GR127" s="469"/>
      <c r="GS127" s="444"/>
      <c r="GT127" s="444"/>
      <c r="GU127" s="468"/>
      <c r="GV127" s="469"/>
      <c r="GW127" s="444"/>
      <c r="GX127" s="444"/>
      <c r="GY127" s="468"/>
      <c r="GZ127" s="469"/>
      <c r="HA127" s="444"/>
      <c r="HB127" s="444"/>
      <c r="HC127" s="446">
        <f t="shared" si="83"/>
        <v>0</v>
      </c>
      <c r="HD127" s="471"/>
      <c r="HE127" s="447">
        <f t="shared" si="83"/>
        <v>0</v>
      </c>
      <c r="HF127" s="447">
        <f t="shared" si="83"/>
        <v>0</v>
      </c>
      <c r="HG127" s="446">
        <f>SUM(SUMIFS(K127:HB127,$K$13:$HB$13,{"エネルギー管理指定工場等*","県域*"}))</f>
        <v>0</v>
      </c>
      <c r="HH127" s="471"/>
      <c r="HI127" s="447">
        <f>SUM(SUMIFS(M127:HD127,$K$13:$HB$13,{"エネルギー管理指定工場等*","県域*"}))</f>
        <v>0</v>
      </c>
      <c r="HJ127" s="472">
        <f>SUM(SUMIFS(N127:HE127,$K$13:$HB$13,{"エネルギー管理指定工場等*","県域*"}))</f>
        <v>0</v>
      </c>
      <c r="IE127" s="579"/>
      <c r="IF127" s="579"/>
      <c r="IG127" s="579"/>
      <c r="IH127" s="579"/>
    </row>
    <row r="128" spans="2:242" s="164" customFormat="1" ht="20.100000000000001" customHeight="1">
      <c r="B128" s="410" t="s">
        <v>1409</v>
      </c>
      <c r="C128" s="473"/>
      <c r="D128" s="473"/>
      <c r="E128" s="473"/>
      <c r="F128" s="411"/>
      <c r="G128" s="411"/>
      <c r="H128" s="474"/>
      <c r="I128" s="425"/>
      <c r="J128" s="426"/>
      <c r="K128" s="475"/>
      <c r="L128" s="476"/>
      <c r="M128" s="473"/>
      <c r="N128" s="477"/>
      <c r="O128" s="475"/>
      <c r="P128" s="476"/>
      <c r="Q128" s="473"/>
      <c r="R128" s="477"/>
      <c r="S128" s="475"/>
      <c r="T128" s="476"/>
      <c r="U128" s="473"/>
      <c r="V128" s="477"/>
      <c r="W128" s="475"/>
      <c r="X128" s="476"/>
      <c r="Y128" s="473"/>
      <c r="Z128" s="477"/>
      <c r="AA128" s="475"/>
      <c r="AB128" s="476"/>
      <c r="AC128" s="473"/>
      <c r="AD128" s="477"/>
      <c r="AE128" s="475"/>
      <c r="AF128" s="476"/>
      <c r="AG128" s="473"/>
      <c r="AH128" s="477"/>
      <c r="AI128" s="475"/>
      <c r="AJ128" s="476"/>
      <c r="AK128" s="473"/>
      <c r="AL128" s="477"/>
      <c r="AM128" s="475"/>
      <c r="AN128" s="476"/>
      <c r="AO128" s="473"/>
      <c r="AP128" s="477"/>
      <c r="AQ128" s="475"/>
      <c r="AR128" s="476"/>
      <c r="AS128" s="473"/>
      <c r="AT128" s="477"/>
      <c r="AU128" s="475"/>
      <c r="AV128" s="476"/>
      <c r="AW128" s="473"/>
      <c r="AX128" s="477"/>
      <c r="AY128" s="475"/>
      <c r="AZ128" s="476"/>
      <c r="BA128" s="473"/>
      <c r="BB128" s="477"/>
      <c r="BC128" s="475"/>
      <c r="BD128" s="476"/>
      <c r="BE128" s="473"/>
      <c r="BF128" s="477"/>
      <c r="BG128" s="475"/>
      <c r="BH128" s="476"/>
      <c r="BI128" s="473"/>
      <c r="BJ128" s="477"/>
      <c r="BK128" s="475"/>
      <c r="BL128" s="476"/>
      <c r="BM128" s="473"/>
      <c r="BN128" s="477"/>
      <c r="BO128" s="475"/>
      <c r="BP128" s="476"/>
      <c r="BQ128" s="473"/>
      <c r="BR128" s="477"/>
      <c r="BS128" s="475"/>
      <c r="BT128" s="476"/>
      <c r="BU128" s="473"/>
      <c r="BV128" s="477"/>
      <c r="BW128" s="475"/>
      <c r="BX128" s="476"/>
      <c r="BY128" s="473"/>
      <c r="BZ128" s="473"/>
      <c r="CA128" s="475"/>
      <c r="CB128" s="476"/>
      <c r="CC128" s="473"/>
      <c r="CD128" s="473"/>
      <c r="CE128" s="475"/>
      <c r="CF128" s="476"/>
      <c r="CG128" s="473"/>
      <c r="CH128" s="473"/>
      <c r="CI128" s="475"/>
      <c r="CJ128" s="476"/>
      <c r="CK128" s="473"/>
      <c r="CL128" s="473"/>
      <c r="CM128" s="475"/>
      <c r="CN128" s="476"/>
      <c r="CO128" s="473"/>
      <c r="CP128" s="473"/>
      <c r="CQ128" s="475"/>
      <c r="CR128" s="476"/>
      <c r="CS128" s="473"/>
      <c r="CT128" s="473"/>
      <c r="CU128" s="475"/>
      <c r="CV128" s="476"/>
      <c r="CW128" s="473"/>
      <c r="CX128" s="473"/>
      <c r="CY128" s="475"/>
      <c r="CZ128" s="476"/>
      <c r="DA128" s="473"/>
      <c r="DB128" s="473"/>
      <c r="DC128" s="475"/>
      <c r="DD128" s="476"/>
      <c r="DE128" s="473"/>
      <c r="DF128" s="473"/>
      <c r="DG128" s="475"/>
      <c r="DH128" s="476"/>
      <c r="DI128" s="473"/>
      <c r="DJ128" s="473"/>
      <c r="DK128" s="475"/>
      <c r="DL128" s="476"/>
      <c r="DM128" s="473"/>
      <c r="DN128" s="473"/>
      <c r="DO128" s="475"/>
      <c r="DP128" s="476"/>
      <c r="DQ128" s="473"/>
      <c r="DR128" s="473"/>
      <c r="DS128" s="475"/>
      <c r="DT128" s="476"/>
      <c r="DU128" s="473"/>
      <c r="DV128" s="473"/>
      <c r="DW128" s="475"/>
      <c r="DX128" s="476"/>
      <c r="DY128" s="473"/>
      <c r="DZ128" s="473"/>
      <c r="EA128" s="475"/>
      <c r="EB128" s="476"/>
      <c r="EC128" s="473"/>
      <c r="ED128" s="473"/>
      <c r="EE128" s="475"/>
      <c r="EF128" s="476"/>
      <c r="EG128" s="473"/>
      <c r="EH128" s="473"/>
      <c r="EI128" s="475"/>
      <c r="EJ128" s="476"/>
      <c r="EK128" s="473"/>
      <c r="EL128" s="473"/>
      <c r="EM128" s="475"/>
      <c r="EN128" s="476"/>
      <c r="EO128" s="473"/>
      <c r="EP128" s="473"/>
      <c r="EQ128" s="475"/>
      <c r="ER128" s="476"/>
      <c r="ES128" s="473"/>
      <c r="ET128" s="473"/>
      <c r="EU128" s="475"/>
      <c r="EV128" s="476"/>
      <c r="EW128" s="473"/>
      <c r="EX128" s="473"/>
      <c r="EY128" s="475"/>
      <c r="EZ128" s="476"/>
      <c r="FA128" s="473"/>
      <c r="FB128" s="473"/>
      <c r="FC128" s="475"/>
      <c r="FD128" s="476"/>
      <c r="FE128" s="473"/>
      <c r="FF128" s="473"/>
      <c r="FG128" s="475"/>
      <c r="FH128" s="476"/>
      <c r="FI128" s="473"/>
      <c r="FJ128" s="473"/>
      <c r="FK128" s="475"/>
      <c r="FL128" s="476"/>
      <c r="FM128" s="473"/>
      <c r="FN128" s="473"/>
      <c r="FO128" s="475"/>
      <c r="FP128" s="476"/>
      <c r="FQ128" s="473"/>
      <c r="FR128" s="473"/>
      <c r="FS128" s="475"/>
      <c r="FT128" s="476"/>
      <c r="FU128" s="473"/>
      <c r="FV128" s="473"/>
      <c r="FW128" s="475"/>
      <c r="FX128" s="476"/>
      <c r="FY128" s="473"/>
      <c r="FZ128" s="473"/>
      <c r="GA128" s="475"/>
      <c r="GB128" s="476"/>
      <c r="GC128" s="473"/>
      <c r="GD128" s="473"/>
      <c r="GE128" s="475"/>
      <c r="GF128" s="476"/>
      <c r="GG128" s="473"/>
      <c r="GH128" s="473"/>
      <c r="GI128" s="475"/>
      <c r="GJ128" s="476"/>
      <c r="GK128" s="473"/>
      <c r="GL128" s="473"/>
      <c r="GM128" s="475"/>
      <c r="GN128" s="476"/>
      <c r="GO128" s="473"/>
      <c r="GP128" s="473"/>
      <c r="GQ128" s="475"/>
      <c r="GR128" s="476"/>
      <c r="GS128" s="473"/>
      <c r="GT128" s="473"/>
      <c r="GU128" s="475"/>
      <c r="GV128" s="476"/>
      <c r="GW128" s="473"/>
      <c r="GX128" s="473"/>
      <c r="GY128" s="475"/>
      <c r="GZ128" s="476"/>
      <c r="HA128" s="473"/>
      <c r="HB128" s="473"/>
      <c r="HC128" s="478">
        <f t="shared" si="83"/>
        <v>0</v>
      </c>
      <c r="HD128" s="479"/>
      <c r="HE128" s="480">
        <f t="shared" si="83"/>
        <v>0</v>
      </c>
      <c r="HF128" s="480">
        <f t="shared" si="83"/>
        <v>0</v>
      </c>
      <c r="HG128" s="478">
        <f>SUM(SUMIFS(K128:HB128,$K$13:$HB$13,{"エネルギー管理指定工場等*","県域*"}))</f>
        <v>0</v>
      </c>
      <c r="HH128" s="479"/>
      <c r="HI128" s="480">
        <f>SUM(SUMIFS(M128:HD128,$K$13:$HB$13,{"エネルギー管理指定工場等*","県域*"}))</f>
        <v>0</v>
      </c>
      <c r="HJ128" s="481">
        <f>SUM(SUMIFS(N128:HE128,$K$13:$HB$13,{"エネルギー管理指定工場等*","県域*"}))</f>
        <v>0</v>
      </c>
      <c r="IE128" s="579"/>
      <c r="IF128" s="579"/>
      <c r="IG128" s="579"/>
      <c r="IH128" s="579"/>
    </row>
    <row r="129" spans="1:242" s="164" customFormat="1" ht="20.100000000000001" customHeight="1">
      <c r="B129" s="421" t="s">
        <v>1410</v>
      </c>
      <c r="C129" s="458"/>
      <c r="D129" s="458"/>
      <c r="E129" s="458"/>
      <c r="F129" s="422"/>
      <c r="G129" s="422"/>
      <c r="H129" s="459"/>
      <c r="I129" s="425"/>
      <c r="J129" s="426"/>
      <c r="K129" s="460"/>
      <c r="L129" s="461"/>
      <c r="M129" s="458"/>
      <c r="N129" s="462"/>
      <c r="O129" s="460"/>
      <c r="P129" s="461"/>
      <c r="Q129" s="458"/>
      <c r="R129" s="462"/>
      <c r="S129" s="460"/>
      <c r="T129" s="461"/>
      <c r="U129" s="458"/>
      <c r="V129" s="462"/>
      <c r="W129" s="460"/>
      <c r="X129" s="461"/>
      <c r="Y129" s="458"/>
      <c r="Z129" s="462"/>
      <c r="AA129" s="460"/>
      <c r="AB129" s="461"/>
      <c r="AC129" s="458"/>
      <c r="AD129" s="462"/>
      <c r="AE129" s="460"/>
      <c r="AF129" s="461"/>
      <c r="AG129" s="458"/>
      <c r="AH129" s="462"/>
      <c r="AI129" s="460"/>
      <c r="AJ129" s="461"/>
      <c r="AK129" s="458"/>
      <c r="AL129" s="462"/>
      <c r="AM129" s="460"/>
      <c r="AN129" s="461"/>
      <c r="AO129" s="458"/>
      <c r="AP129" s="462"/>
      <c r="AQ129" s="460"/>
      <c r="AR129" s="461"/>
      <c r="AS129" s="458"/>
      <c r="AT129" s="462"/>
      <c r="AU129" s="460"/>
      <c r="AV129" s="461"/>
      <c r="AW129" s="458"/>
      <c r="AX129" s="462"/>
      <c r="AY129" s="460"/>
      <c r="AZ129" s="461"/>
      <c r="BA129" s="458"/>
      <c r="BB129" s="462"/>
      <c r="BC129" s="460"/>
      <c r="BD129" s="461"/>
      <c r="BE129" s="458"/>
      <c r="BF129" s="462"/>
      <c r="BG129" s="460"/>
      <c r="BH129" s="461"/>
      <c r="BI129" s="458"/>
      <c r="BJ129" s="462"/>
      <c r="BK129" s="460"/>
      <c r="BL129" s="461"/>
      <c r="BM129" s="458"/>
      <c r="BN129" s="462"/>
      <c r="BO129" s="460"/>
      <c r="BP129" s="461"/>
      <c r="BQ129" s="458"/>
      <c r="BR129" s="462"/>
      <c r="BS129" s="460"/>
      <c r="BT129" s="461"/>
      <c r="BU129" s="458"/>
      <c r="BV129" s="462"/>
      <c r="BW129" s="460"/>
      <c r="BX129" s="461"/>
      <c r="BY129" s="458"/>
      <c r="BZ129" s="458"/>
      <c r="CA129" s="460"/>
      <c r="CB129" s="461"/>
      <c r="CC129" s="458"/>
      <c r="CD129" s="458"/>
      <c r="CE129" s="460"/>
      <c r="CF129" s="461"/>
      <c r="CG129" s="458"/>
      <c r="CH129" s="458"/>
      <c r="CI129" s="460"/>
      <c r="CJ129" s="461"/>
      <c r="CK129" s="458"/>
      <c r="CL129" s="458"/>
      <c r="CM129" s="460"/>
      <c r="CN129" s="461"/>
      <c r="CO129" s="458"/>
      <c r="CP129" s="458"/>
      <c r="CQ129" s="460"/>
      <c r="CR129" s="461"/>
      <c r="CS129" s="458"/>
      <c r="CT129" s="458"/>
      <c r="CU129" s="460"/>
      <c r="CV129" s="461"/>
      <c r="CW129" s="458"/>
      <c r="CX129" s="458"/>
      <c r="CY129" s="460"/>
      <c r="CZ129" s="461"/>
      <c r="DA129" s="458"/>
      <c r="DB129" s="458"/>
      <c r="DC129" s="460"/>
      <c r="DD129" s="461"/>
      <c r="DE129" s="458"/>
      <c r="DF129" s="458"/>
      <c r="DG129" s="460"/>
      <c r="DH129" s="461"/>
      <c r="DI129" s="458"/>
      <c r="DJ129" s="458"/>
      <c r="DK129" s="460"/>
      <c r="DL129" s="461"/>
      <c r="DM129" s="458"/>
      <c r="DN129" s="458"/>
      <c r="DO129" s="460"/>
      <c r="DP129" s="461"/>
      <c r="DQ129" s="458"/>
      <c r="DR129" s="458"/>
      <c r="DS129" s="460"/>
      <c r="DT129" s="461"/>
      <c r="DU129" s="458"/>
      <c r="DV129" s="458"/>
      <c r="DW129" s="460"/>
      <c r="DX129" s="461"/>
      <c r="DY129" s="458"/>
      <c r="DZ129" s="458"/>
      <c r="EA129" s="460"/>
      <c r="EB129" s="461"/>
      <c r="EC129" s="458"/>
      <c r="ED129" s="458"/>
      <c r="EE129" s="460"/>
      <c r="EF129" s="461"/>
      <c r="EG129" s="458"/>
      <c r="EH129" s="458"/>
      <c r="EI129" s="460"/>
      <c r="EJ129" s="461"/>
      <c r="EK129" s="458"/>
      <c r="EL129" s="458"/>
      <c r="EM129" s="460"/>
      <c r="EN129" s="461"/>
      <c r="EO129" s="458"/>
      <c r="EP129" s="458"/>
      <c r="EQ129" s="460"/>
      <c r="ER129" s="461"/>
      <c r="ES129" s="458"/>
      <c r="ET129" s="458"/>
      <c r="EU129" s="460"/>
      <c r="EV129" s="461"/>
      <c r="EW129" s="458"/>
      <c r="EX129" s="458"/>
      <c r="EY129" s="460"/>
      <c r="EZ129" s="461"/>
      <c r="FA129" s="458"/>
      <c r="FB129" s="458"/>
      <c r="FC129" s="460"/>
      <c r="FD129" s="461"/>
      <c r="FE129" s="458"/>
      <c r="FF129" s="458"/>
      <c r="FG129" s="460"/>
      <c r="FH129" s="461"/>
      <c r="FI129" s="458"/>
      <c r="FJ129" s="458"/>
      <c r="FK129" s="460"/>
      <c r="FL129" s="461"/>
      <c r="FM129" s="458"/>
      <c r="FN129" s="458"/>
      <c r="FO129" s="460"/>
      <c r="FP129" s="461"/>
      <c r="FQ129" s="458"/>
      <c r="FR129" s="458"/>
      <c r="FS129" s="460"/>
      <c r="FT129" s="461"/>
      <c r="FU129" s="458"/>
      <c r="FV129" s="458"/>
      <c r="FW129" s="460"/>
      <c r="FX129" s="461"/>
      <c r="FY129" s="458"/>
      <c r="FZ129" s="458"/>
      <c r="GA129" s="460"/>
      <c r="GB129" s="461"/>
      <c r="GC129" s="458"/>
      <c r="GD129" s="458"/>
      <c r="GE129" s="460"/>
      <c r="GF129" s="461"/>
      <c r="GG129" s="458"/>
      <c r="GH129" s="458"/>
      <c r="GI129" s="460"/>
      <c r="GJ129" s="461"/>
      <c r="GK129" s="458"/>
      <c r="GL129" s="458"/>
      <c r="GM129" s="460"/>
      <c r="GN129" s="461"/>
      <c r="GO129" s="458"/>
      <c r="GP129" s="458"/>
      <c r="GQ129" s="460"/>
      <c r="GR129" s="461"/>
      <c r="GS129" s="458"/>
      <c r="GT129" s="458"/>
      <c r="GU129" s="460"/>
      <c r="GV129" s="461"/>
      <c r="GW129" s="458"/>
      <c r="GX129" s="458"/>
      <c r="GY129" s="460"/>
      <c r="GZ129" s="461"/>
      <c r="HA129" s="458"/>
      <c r="HB129" s="458"/>
      <c r="HC129" s="463">
        <f t="shared" si="83"/>
        <v>0</v>
      </c>
      <c r="HD129" s="464"/>
      <c r="HE129" s="465">
        <f t="shared" si="83"/>
        <v>0</v>
      </c>
      <c r="HF129" s="465">
        <f t="shared" si="83"/>
        <v>0</v>
      </c>
      <c r="HG129" s="463">
        <f>SUM(SUMIFS(K129:HB129,$K$13:$HB$13,{"エネルギー管理指定工場等*","県域*"}))</f>
        <v>0</v>
      </c>
      <c r="HH129" s="464"/>
      <c r="HI129" s="465">
        <f>SUM(SUMIFS(M129:HD129,$K$13:$HB$13,{"エネルギー管理指定工場等*","県域*"}))</f>
        <v>0</v>
      </c>
      <c r="HJ129" s="466">
        <f>SUM(SUMIFS(N129:HE129,$K$13:$HB$13,{"エネルギー管理指定工場等*","県域*"}))</f>
        <v>0</v>
      </c>
      <c r="IE129" s="579"/>
      <c r="IF129" s="579"/>
      <c r="IG129" s="579"/>
      <c r="IH129" s="579"/>
    </row>
    <row r="130" spans="1:242" s="164" customFormat="1" ht="20.100000000000001" customHeight="1">
      <c r="B130" s="443" t="s">
        <v>1411</v>
      </c>
      <c r="C130" s="444"/>
      <c r="D130" s="444"/>
      <c r="E130" s="444"/>
      <c r="F130" s="444"/>
      <c r="G130" s="444"/>
      <c r="H130" s="467"/>
      <c r="I130" s="425"/>
      <c r="J130" s="426"/>
      <c r="K130" s="468"/>
      <c r="L130" s="469"/>
      <c r="M130" s="444"/>
      <c r="N130" s="470"/>
      <c r="O130" s="468"/>
      <c r="P130" s="469"/>
      <c r="Q130" s="444"/>
      <c r="R130" s="470"/>
      <c r="S130" s="468"/>
      <c r="T130" s="469"/>
      <c r="U130" s="444"/>
      <c r="V130" s="470"/>
      <c r="W130" s="468"/>
      <c r="X130" s="469"/>
      <c r="Y130" s="444"/>
      <c r="Z130" s="470"/>
      <c r="AA130" s="468"/>
      <c r="AB130" s="469"/>
      <c r="AC130" s="444"/>
      <c r="AD130" s="470"/>
      <c r="AE130" s="468"/>
      <c r="AF130" s="469"/>
      <c r="AG130" s="444"/>
      <c r="AH130" s="470"/>
      <c r="AI130" s="468"/>
      <c r="AJ130" s="469"/>
      <c r="AK130" s="444"/>
      <c r="AL130" s="470"/>
      <c r="AM130" s="468"/>
      <c r="AN130" s="469"/>
      <c r="AO130" s="444"/>
      <c r="AP130" s="470"/>
      <c r="AQ130" s="468"/>
      <c r="AR130" s="469"/>
      <c r="AS130" s="444"/>
      <c r="AT130" s="470"/>
      <c r="AU130" s="468"/>
      <c r="AV130" s="469"/>
      <c r="AW130" s="444"/>
      <c r="AX130" s="470"/>
      <c r="AY130" s="468"/>
      <c r="AZ130" s="469"/>
      <c r="BA130" s="444"/>
      <c r="BB130" s="470"/>
      <c r="BC130" s="468"/>
      <c r="BD130" s="469"/>
      <c r="BE130" s="444"/>
      <c r="BF130" s="470"/>
      <c r="BG130" s="468"/>
      <c r="BH130" s="469"/>
      <c r="BI130" s="444"/>
      <c r="BJ130" s="470"/>
      <c r="BK130" s="468"/>
      <c r="BL130" s="469"/>
      <c r="BM130" s="444"/>
      <c r="BN130" s="470"/>
      <c r="BO130" s="468"/>
      <c r="BP130" s="469"/>
      <c r="BQ130" s="444"/>
      <c r="BR130" s="470"/>
      <c r="BS130" s="468"/>
      <c r="BT130" s="469"/>
      <c r="BU130" s="444"/>
      <c r="BV130" s="470"/>
      <c r="BW130" s="468"/>
      <c r="BX130" s="469"/>
      <c r="BY130" s="444"/>
      <c r="BZ130" s="444"/>
      <c r="CA130" s="468"/>
      <c r="CB130" s="469"/>
      <c r="CC130" s="444"/>
      <c r="CD130" s="444"/>
      <c r="CE130" s="468"/>
      <c r="CF130" s="469"/>
      <c r="CG130" s="444"/>
      <c r="CH130" s="444"/>
      <c r="CI130" s="468"/>
      <c r="CJ130" s="469"/>
      <c r="CK130" s="444"/>
      <c r="CL130" s="444"/>
      <c r="CM130" s="468"/>
      <c r="CN130" s="469"/>
      <c r="CO130" s="444"/>
      <c r="CP130" s="444"/>
      <c r="CQ130" s="468"/>
      <c r="CR130" s="469"/>
      <c r="CS130" s="444"/>
      <c r="CT130" s="444"/>
      <c r="CU130" s="468"/>
      <c r="CV130" s="469"/>
      <c r="CW130" s="444"/>
      <c r="CX130" s="444"/>
      <c r="CY130" s="468"/>
      <c r="CZ130" s="469"/>
      <c r="DA130" s="444"/>
      <c r="DB130" s="444"/>
      <c r="DC130" s="468"/>
      <c r="DD130" s="469"/>
      <c r="DE130" s="444"/>
      <c r="DF130" s="444"/>
      <c r="DG130" s="468"/>
      <c r="DH130" s="469"/>
      <c r="DI130" s="444"/>
      <c r="DJ130" s="444"/>
      <c r="DK130" s="468"/>
      <c r="DL130" s="469"/>
      <c r="DM130" s="444"/>
      <c r="DN130" s="444"/>
      <c r="DO130" s="468"/>
      <c r="DP130" s="469"/>
      <c r="DQ130" s="444"/>
      <c r="DR130" s="444"/>
      <c r="DS130" s="468"/>
      <c r="DT130" s="469"/>
      <c r="DU130" s="444"/>
      <c r="DV130" s="444"/>
      <c r="DW130" s="468"/>
      <c r="DX130" s="469"/>
      <c r="DY130" s="444"/>
      <c r="DZ130" s="444"/>
      <c r="EA130" s="468"/>
      <c r="EB130" s="469"/>
      <c r="EC130" s="444"/>
      <c r="ED130" s="444"/>
      <c r="EE130" s="468"/>
      <c r="EF130" s="469"/>
      <c r="EG130" s="444"/>
      <c r="EH130" s="444"/>
      <c r="EI130" s="468"/>
      <c r="EJ130" s="469"/>
      <c r="EK130" s="444"/>
      <c r="EL130" s="444"/>
      <c r="EM130" s="468"/>
      <c r="EN130" s="469"/>
      <c r="EO130" s="444"/>
      <c r="EP130" s="444"/>
      <c r="EQ130" s="468"/>
      <c r="ER130" s="469"/>
      <c r="ES130" s="444"/>
      <c r="ET130" s="444"/>
      <c r="EU130" s="468"/>
      <c r="EV130" s="469"/>
      <c r="EW130" s="444"/>
      <c r="EX130" s="444"/>
      <c r="EY130" s="468"/>
      <c r="EZ130" s="469"/>
      <c r="FA130" s="444"/>
      <c r="FB130" s="444"/>
      <c r="FC130" s="468"/>
      <c r="FD130" s="469"/>
      <c r="FE130" s="444"/>
      <c r="FF130" s="444"/>
      <c r="FG130" s="468"/>
      <c r="FH130" s="469"/>
      <c r="FI130" s="444"/>
      <c r="FJ130" s="444"/>
      <c r="FK130" s="468"/>
      <c r="FL130" s="469"/>
      <c r="FM130" s="444"/>
      <c r="FN130" s="444"/>
      <c r="FO130" s="468"/>
      <c r="FP130" s="469"/>
      <c r="FQ130" s="444"/>
      <c r="FR130" s="444"/>
      <c r="FS130" s="468"/>
      <c r="FT130" s="469"/>
      <c r="FU130" s="444"/>
      <c r="FV130" s="444"/>
      <c r="FW130" s="468"/>
      <c r="FX130" s="469"/>
      <c r="FY130" s="444"/>
      <c r="FZ130" s="444"/>
      <c r="GA130" s="468"/>
      <c r="GB130" s="469"/>
      <c r="GC130" s="444"/>
      <c r="GD130" s="444"/>
      <c r="GE130" s="468"/>
      <c r="GF130" s="469"/>
      <c r="GG130" s="444"/>
      <c r="GH130" s="444"/>
      <c r="GI130" s="468"/>
      <c r="GJ130" s="469"/>
      <c r="GK130" s="444"/>
      <c r="GL130" s="444"/>
      <c r="GM130" s="468"/>
      <c r="GN130" s="469"/>
      <c r="GO130" s="444"/>
      <c r="GP130" s="444"/>
      <c r="GQ130" s="468"/>
      <c r="GR130" s="469"/>
      <c r="GS130" s="444"/>
      <c r="GT130" s="444"/>
      <c r="GU130" s="468"/>
      <c r="GV130" s="469"/>
      <c r="GW130" s="444"/>
      <c r="GX130" s="444"/>
      <c r="GY130" s="468"/>
      <c r="GZ130" s="469"/>
      <c r="HA130" s="444"/>
      <c r="HB130" s="444"/>
      <c r="HC130" s="446">
        <f t="shared" si="83"/>
        <v>0</v>
      </c>
      <c r="HD130" s="471"/>
      <c r="HE130" s="447">
        <f t="shared" si="83"/>
        <v>0</v>
      </c>
      <c r="HF130" s="447">
        <f t="shared" si="83"/>
        <v>0</v>
      </c>
      <c r="HG130" s="446">
        <f>SUM(SUMIFS(K130:HB130,$K$13:$HB$13,{"エネルギー管理指定工場等*","県域*"}))</f>
        <v>0</v>
      </c>
      <c r="HH130" s="471"/>
      <c r="HI130" s="447">
        <f>SUM(SUMIFS(M130:HD130,$K$13:$HB$13,{"エネルギー管理指定工場等*","県域*"}))</f>
        <v>0</v>
      </c>
      <c r="HJ130" s="472">
        <f>SUM(SUMIFS(N130:HE130,$K$13:$HB$13,{"エネルギー管理指定工場等*","県域*"}))</f>
        <v>0</v>
      </c>
      <c r="IE130" s="579"/>
      <c r="IF130" s="579"/>
      <c r="IG130" s="579"/>
      <c r="IH130" s="579"/>
    </row>
    <row r="131" spans="1:242" ht="20.100000000000001" customHeight="1">
      <c r="A131" s="164"/>
      <c r="B131" s="410" t="s">
        <v>1412</v>
      </c>
      <c r="C131" s="411"/>
      <c r="D131" s="411"/>
      <c r="E131" s="411"/>
      <c r="F131" s="411"/>
      <c r="G131" s="411"/>
      <c r="H131" s="436"/>
      <c r="I131" s="425"/>
      <c r="J131" s="426"/>
      <c r="K131" s="416"/>
      <c r="L131" s="449"/>
      <c r="M131" s="449"/>
      <c r="N131" s="417"/>
      <c r="O131" s="416"/>
      <c r="P131" s="449"/>
      <c r="Q131" s="449"/>
      <c r="R131" s="417"/>
      <c r="S131" s="416"/>
      <c r="T131" s="449"/>
      <c r="U131" s="449"/>
      <c r="V131" s="417"/>
      <c r="W131" s="416"/>
      <c r="X131" s="449"/>
      <c r="Y131" s="449"/>
      <c r="Z131" s="417"/>
      <c r="AA131" s="416"/>
      <c r="AB131" s="449"/>
      <c r="AC131" s="449"/>
      <c r="AD131" s="417"/>
      <c r="AE131" s="416"/>
      <c r="AF131" s="449"/>
      <c r="AG131" s="449"/>
      <c r="AH131" s="417"/>
      <c r="AI131" s="416"/>
      <c r="AJ131" s="449"/>
      <c r="AK131" s="449"/>
      <c r="AL131" s="417"/>
      <c r="AM131" s="416"/>
      <c r="AN131" s="449"/>
      <c r="AO131" s="449"/>
      <c r="AP131" s="417"/>
      <c r="AQ131" s="416"/>
      <c r="AR131" s="449"/>
      <c r="AS131" s="449"/>
      <c r="AT131" s="417"/>
      <c r="AU131" s="416"/>
      <c r="AV131" s="449"/>
      <c r="AW131" s="449"/>
      <c r="AX131" s="417"/>
      <c r="AY131" s="416"/>
      <c r="AZ131" s="449"/>
      <c r="BA131" s="449"/>
      <c r="BB131" s="417"/>
      <c r="BC131" s="416"/>
      <c r="BD131" s="449"/>
      <c r="BE131" s="449"/>
      <c r="BF131" s="417"/>
      <c r="BG131" s="416"/>
      <c r="BH131" s="449"/>
      <c r="BI131" s="449"/>
      <c r="BJ131" s="417"/>
      <c r="BK131" s="416"/>
      <c r="BL131" s="449"/>
      <c r="BM131" s="449"/>
      <c r="BN131" s="417"/>
      <c r="BO131" s="416"/>
      <c r="BP131" s="449"/>
      <c r="BQ131" s="449"/>
      <c r="BR131" s="417"/>
      <c r="BS131" s="416"/>
      <c r="BT131" s="449"/>
      <c r="BU131" s="449"/>
      <c r="BV131" s="417"/>
      <c r="BW131" s="416"/>
      <c r="BX131" s="449"/>
      <c r="BY131" s="449"/>
      <c r="BZ131" s="417"/>
      <c r="CA131" s="416"/>
      <c r="CB131" s="449"/>
      <c r="CC131" s="449"/>
      <c r="CD131" s="417"/>
      <c r="CE131" s="416"/>
      <c r="CF131" s="449"/>
      <c r="CG131" s="449"/>
      <c r="CH131" s="417"/>
      <c r="CI131" s="416"/>
      <c r="CJ131" s="449"/>
      <c r="CK131" s="449"/>
      <c r="CL131" s="417"/>
      <c r="CM131" s="416"/>
      <c r="CN131" s="449"/>
      <c r="CO131" s="449"/>
      <c r="CP131" s="417"/>
      <c r="CQ131" s="416"/>
      <c r="CR131" s="449"/>
      <c r="CS131" s="449"/>
      <c r="CT131" s="417"/>
      <c r="CU131" s="416"/>
      <c r="CV131" s="449"/>
      <c r="CW131" s="449"/>
      <c r="CX131" s="417"/>
      <c r="CY131" s="416"/>
      <c r="CZ131" s="449"/>
      <c r="DA131" s="449"/>
      <c r="DB131" s="417"/>
      <c r="DC131" s="416"/>
      <c r="DD131" s="449"/>
      <c r="DE131" s="449"/>
      <c r="DF131" s="417"/>
      <c r="DG131" s="416"/>
      <c r="DH131" s="449"/>
      <c r="DI131" s="449"/>
      <c r="DJ131" s="417"/>
      <c r="DK131" s="416"/>
      <c r="DL131" s="449"/>
      <c r="DM131" s="449"/>
      <c r="DN131" s="417"/>
      <c r="DO131" s="416"/>
      <c r="DP131" s="449"/>
      <c r="DQ131" s="449"/>
      <c r="DR131" s="417"/>
      <c r="DS131" s="416"/>
      <c r="DT131" s="449"/>
      <c r="DU131" s="449"/>
      <c r="DV131" s="417"/>
      <c r="DW131" s="416"/>
      <c r="DX131" s="449"/>
      <c r="DY131" s="449"/>
      <c r="DZ131" s="417"/>
      <c r="EA131" s="416"/>
      <c r="EB131" s="449"/>
      <c r="EC131" s="449"/>
      <c r="ED131" s="417"/>
      <c r="EE131" s="416"/>
      <c r="EF131" s="449"/>
      <c r="EG131" s="449"/>
      <c r="EH131" s="417"/>
      <c r="EI131" s="416"/>
      <c r="EJ131" s="449"/>
      <c r="EK131" s="449"/>
      <c r="EL131" s="417"/>
      <c r="EM131" s="416"/>
      <c r="EN131" s="449"/>
      <c r="EO131" s="449"/>
      <c r="EP131" s="417"/>
      <c r="EQ131" s="416"/>
      <c r="ER131" s="449"/>
      <c r="ES131" s="449"/>
      <c r="ET131" s="417"/>
      <c r="EU131" s="416"/>
      <c r="EV131" s="449"/>
      <c r="EW131" s="449"/>
      <c r="EX131" s="417"/>
      <c r="EY131" s="416"/>
      <c r="EZ131" s="449"/>
      <c r="FA131" s="449"/>
      <c r="FB131" s="417"/>
      <c r="FC131" s="416"/>
      <c r="FD131" s="449"/>
      <c r="FE131" s="449"/>
      <c r="FF131" s="417"/>
      <c r="FG131" s="416"/>
      <c r="FH131" s="449"/>
      <c r="FI131" s="449"/>
      <c r="FJ131" s="417"/>
      <c r="FK131" s="416"/>
      <c r="FL131" s="449"/>
      <c r="FM131" s="449"/>
      <c r="FN131" s="417"/>
      <c r="FO131" s="416"/>
      <c r="FP131" s="449"/>
      <c r="FQ131" s="449"/>
      <c r="FR131" s="417"/>
      <c r="FS131" s="416"/>
      <c r="FT131" s="449"/>
      <c r="FU131" s="449"/>
      <c r="FV131" s="417"/>
      <c r="FW131" s="416"/>
      <c r="FX131" s="449"/>
      <c r="FY131" s="449"/>
      <c r="FZ131" s="417"/>
      <c r="GA131" s="416"/>
      <c r="GB131" s="449"/>
      <c r="GC131" s="449"/>
      <c r="GD131" s="417"/>
      <c r="GE131" s="416"/>
      <c r="GF131" s="449"/>
      <c r="GG131" s="449"/>
      <c r="GH131" s="417"/>
      <c r="GI131" s="416"/>
      <c r="GJ131" s="449"/>
      <c r="GK131" s="449"/>
      <c r="GL131" s="417"/>
      <c r="GM131" s="416"/>
      <c r="GN131" s="449"/>
      <c r="GO131" s="449"/>
      <c r="GP131" s="417"/>
      <c r="GQ131" s="416"/>
      <c r="GR131" s="449"/>
      <c r="GS131" s="449"/>
      <c r="GT131" s="417"/>
      <c r="GU131" s="416"/>
      <c r="GV131" s="449"/>
      <c r="GW131" s="449"/>
      <c r="GX131" s="417"/>
      <c r="GY131" s="416"/>
      <c r="GZ131" s="449"/>
      <c r="HA131" s="449"/>
      <c r="HB131" s="417"/>
      <c r="HC131" s="418">
        <f t="shared" si="83"/>
        <v>0</v>
      </c>
      <c r="HD131" s="451"/>
      <c r="HE131" s="451"/>
      <c r="HF131" s="420"/>
      <c r="HG131" s="418">
        <f>SUM(SUMIFS(K131:HB131,$K$13:$HB$13,{"エネルギー管理指定工場等*","県域*"}))</f>
        <v>0</v>
      </c>
      <c r="HH131" s="451"/>
      <c r="HI131" s="451"/>
      <c r="HJ131" s="420"/>
    </row>
    <row r="132" spans="1:242" ht="20.100000000000001" customHeight="1">
      <c r="A132" s="164"/>
      <c r="B132" s="421" t="s">
        <v>1413</v>
      </c>
      <c r="C132" s="422"/>
      <c r="D132" s="422"/>
      <c r="E132" s="422"/>
      <c r="F132" s="422"/>
      <c r="G132" s="422"/>
      <c r="H132" s="453"/>
      <c r="I132" s="425"/>
      <c r="J132" s="426"/>
      <c r="K132" s="427"/>
      <c r="L132" s="454"/>
      <c r="M132" s="454"/>
      <c r="N132" s="428"/>
      <c r="O132" s="427"/>
      <c r="P132" s="454"/>
      <c r="Q132" s="454"/>
      <c r="R132" s="428"/>
      <c r="S132" s="427"/>
      <c r="T132" s="454"/>
      <c r="U132" s="454"/>
      <c r="V132" s="428"/>
      <c r="W132" s="427"/>
      <c r="X132" s="454"/>
      <c r="Y132" s="454"/>
      <c r="Z132" s="428"/>
      <c r="AA132" s="427"/>
      <c r="AB132" s="454"/>
      <c r="AC132" s="454"/>
      <c r="AD132" s="428"/>
      <c r="AE132" s="427"/>
      <c r="AF132" s="454"/>
      <c r="AG132" s="454"/>
      <c r="AH132" s="428"/>
      <c r="AI132" s="427"/>
      <c r="AJ132" s="454"/>
      <c r="AK132" s="454"/>
      <c r="AL132" s="428"/>
      <c r="AM132" s="427"/>
      <c r="AN132" s="454"/>
      <c r="AO132" s="454"/>
      <c r="AP132" s="428"/>
      <c r="AQ132" s="427"/>
      <c r="AR132" s="454"/>
      <c r="AS132" s="454"/>
      <c r="AT132" s="428"/>
      <c r="AU132" s="427"/>
      <c r="AV132" s="454"/>
      <c r="AW132" s="454"/>
      <c r="AX132" s="428"/>
      <c r="AY132" s="427"/>
      <c r="AZ132" s="454"/>
      <c r="BA132" s="454"/>
      <c r="BB132" s="428"/>
      <c r="BC132" s="427"/>
      <c r="BD132" s="454"/>
      <c r="BE132" s="454"/>
      <c r="BF132" s="428"/>
      <c r="BG132" s="427"/>
      <c r="BH132" s="454"/>
      <c r="BI132" s="454"/>
      <c r="BJ132" s="428"/>
      <c r="BK132" s="427"/>
      <c r="BL132" s="454"/>
      <c r="BM132" s="454"/>
      <c r="BN132" s="428"/>
      <c r="BO132" s="427"/>
      <c r="BP132" s="454"/>
      <c r="BQ132" s="454"/>
      <c r="BR132" s="428"/>
      <c r="BS132" s="427"/>
      <c r="BT132" s="454"/>
      <c r="BU132" s="454"/>
      <c r="BV132" s="428"/>
      <c r="BW132" s="427"/>
      <c r="BX132" s="454"/>
      <c r="BY132" s="454"/>
      <c r="BZ132" s="428"/>
      <c r="CA132" s="427"/>
      <c r="CB132" s="454"/>
      <c r="CC132" s="454"/>
      <c r="CD132" s="428"/>
      <c r="CE132" s="427"/>
      <c r="CF132" s="454"/>
      <c r="CG132" s="454"/>
      <c r="CH132" s="428"/>
      <c r="CI132" s="427"/>
      <c r="CJ132" s="454"/>
      <c r="CK132" s="454"/>
      <c r="CL132" s="428"/>
      <c r="CM132" s="427"/>
      <c r="CN132" s="454"/>
      <c r="CO132" s="454"/>
      <c r="CP132" s="428"/>
      <c r="CQ132" s="427"/>
      <c r="CR132" s="454"/>
      <c r="CS132" s="454"/>
      <c r="CT132" s="428"/>
      <c r="CU132" s="427"/>
      <c r="CV132" s="454"/>
      <c r="CW132" s="454"/>
      <c r="CX132" s="428"/>
      <c r="CY132" s="427"/>
      <c r="CZ132" s="454"/>
      <c r="DA132" s="454"/>
      <c r="DB132" s="428"/>
      <c r="DC132" s="427"/>
      <c r="DD132" s="454"/>
      <c r="DE132" s="454"/>
      <c r="DF132" s="428"/>
      <c r="DG132" s="427"/>
      <c r="DH132" s="454"/>
      <c r="DI132" s="454"/>
      <c r="DJ132" s="428"/>
      <c r="DK132" s="427"/>
      <c r="DL132" s="454"/>
      <c r="DM132" s="454"/>
      <c r="DN132" s="428"/>
      <c r="DO132" s="427"/>
      <c r="DP132" s="454"/>
      <c r="DQ132" s="454"/>
      <c r="DR132" s="428"/>
      <c r="DS132" s="427"/>
      <c r="DT132" s="454"/>
      <c r="DU132" s="454"/>
      <c r="DV132" s="428"/>
      <c r="DW132" s="427"/>
      <c r="DX132" s="454"/>
      <c r="DY132" s="454"/>
      <c r="DZ132" s="428"/>
      <c r="EA132" s="427"/>
      <c r="EB132" s="454"/>
      <c r="EC132" s="454"/>
      <c r="ED132" s="428"/>
      <c r="EE132" s="427"/>
      <c r="EF132" s="454"/>
      <c r="EG132" s="454"/>
      <c r="EH132" s="428"/>
      <c r="EI132" s="427"/>
      <c r="EJ132" s="454"/>
      <c r="EK132" s="454"/>
      <c r="EL132" s="428"/>
      <c r="EM132" s="427"/>
      <c r="EN132" s="454"/>
      <c r="EO132" s="454"/>
      <c r="EP132" s="428"/>
      <c r="EQ132" s="427"/>
      <c r="ER132" s="454"/>
      <c r="ES132" s="454"/>
      <c r="ET132" s="428"/>
      <c r="EU132" s="427"/>
      <c r="EV132" s="454"/>
      <c r="EW132" s="454"/>
      <c r="EX132" s="428"/>
      <c r="EY132" s="427"/>
      <c r="EZ132" s="454"/>
      <c r="FA132" s="454"/>
      <c r="FB132" s="428"/>
      <c r="FC132" s="427"/>
      <c r="FD132" s="454"/>
      <c r="FE132" s="454"/>
      <c r="FF132" s="428"/>
      <c r="FG132" s="427"/>
      <c r="FH132" s="454"/>
      <c r="FI132" s="454"/>
      <c r="FJ132" s="428"/>
      <c r="FK132" s="427"/>
      <c r="FL132" s="454"/>
      <c r="FM132" s="454"/>
      <c r="FN132" s="428"/>
      <c r="FO132" s="427"/>
      <c r="FP132" s="454"/>
      <c r="FQ132" s="454"/>
      <c r="FR132" s="428"/>
      <c r="FS132" s="427"/>
      <c r="FT132" s="454"/>
      <c r="FU132" s="454"/>
      <c r="FV132" s="428"/>
      <c r="FW132" s="427"/>
      <c r="FX132" s="454"/>
      <c r="FY132" s="454"/>
      <c r="FZ132" s="428"/>
      <c r="GA132" s="427"/>
      <c r="GB132" s="454"/>
      <c r="GC132" s="454"/>
      <c r="GD132" s="428"/>
      <c r="GE132" s="427"/>
      <c r="GF132" s="454"/>
      <c r="GG132" s="454"/>
      <c r="GH132" s="428"/>
      <c r="GI132" s="427"/>
      <c r="GJ132" s="454"/>
      <c r="GK132" s="454"/>
      <c r="GL132" s="428"/>
      <c r="GM132" s="427"/>
      <c r="GN132" s="454"/>
      <c r="GO132" s="454"/>
      <c r="GP132" s="428"/>
      <c r="GQ132" s="427"/>
      <c r="GR132" s="454"/>
      <c r="GS132" s="454"/>
      <c r="GT132" s="428"/>
      <c r="GU132" s="427"/>
      <c r="GV132" s="454"/>
      <c r="GW132" s="454"/>
      <c r="GX132" s="428"/>
      <c r="GY132" s="427"/>
      <c r="GZ132" s="454"/>
      <c r="HA132" s="454"/>
      <c r="HB132" s="428"/>
      <c r="HC132" s="434">
        <f t="shared" si="83"/>
        <v>0</v>
      </c>
      <c r="HD132" s="456"/>
      <c r="HE132" s="456"/>
      <c r="HF132" s="433"/>
      <c r="HG132" s="434">
        <f>SUM(SUMIFS(K132:HB132,$K$13:$HB$13,{"エネルギー管理指定工場等*","県域*"}))</f>
        <v>0</v>
      </c>
      <c r="HH132" s="456"/>
      <c r="HI132" s="456"/>
      <c r="HJ132" s="433"/>
    </row>
    <row r="133" spans="1:242" ht="20.100000000000001" customHeight="1">
      <c r="A133" s="164"/>
      <c r="B133" s="421" t="s">
        <v>1414</v>
      </c>
      <c r="C133" s="422"/>
      <c r="D133" s="422"/>
      <c r="E133" s="422"/>
      <c r="F133" s="422"/>
      <c r="G133" s="422"/>
      <c r="H133" s="453"/>
      <c r="I133" s="425"/>
      <c r="J133" s="426"/>
      <c r="K133" s="427"/>
      <c r="L133" s="454"/>
      <c r="M133" s="454"/>
      <c r="N133" s="428"/>
      <c r="O133" s="427"/>
      <c r="P133" s="454"/>
      <c r="Q133" s="454"/>
      <c r="R133" s="428"/>
      <c r="S133" s="427"/>
      <c r="T133" s="454"/>
      <c r="U133" s="454"/>
      <c r="V133" s="428"/>
      <c r="W133" s="427"/>
      <c r="X133" s="454"/>
      <c r="Y133" s="454"/>
      <c r="Z133" s="428"/>
      <c r="AA133" s="427"/>
      <c r="AB133" s="454"/>
      <c r="AC133" s="454"/>
      <c r="AD133" s="428"/>
      <c r="AE133" s="427"/>
      <c r="AF133" s="454"/>
      <c r="AG133" s="454"/>
      <c r="AH133" s="428"/>
      <c r="AI133" s="427"/>
      <c r="AJ133" s="454"/>
      <c r="AK133" s="454"/>
      <c r="AL133" s="428"/>
      <c r="AM133" s="427"/>
      <c r="AN133" s="454"/>
      <c r="AO133" s="454"/>
      <c r="AP133" s="428"/>
      <c r="AQ133" s="427"/>
      <c r="AR133" s="454"/>
      <c r="AS133" s="454"/>
      <c r="AT133" s="428"/>
      <c r="AU133" s="427"/>
      <c r="AV133" s="454"/>
      <c r="AW133" s="454"/>
      <c r="AX133" s="428"/>
      <c r="AY133" s="427"/>
      <c r="AZ133" s="454"/>
      <c r="BA133" s="454"/>
      <c r="BB133" s="428"/>
      <c r="BC133" s="427"/>
      <c r="BD133" s="454"/>
      <c r="BE133" s="454"/>
      <c r="BF133" s="428"/>
      <c r="BG133" s="427"/>
      <c r="BH133" s="454"/>
      <c r="BI133" s="454"/>
      <c r="BJ133" s="428"/>
      <c r="BK133" s="427"/>
      <c r="BL133" s="454"/>
      <c r="BM133" s="454"/>
      <c r="BN133" s="428"/>
      <c r="BO133" s="427"/>
      <c r="BP133" s="454"/>
      <c r="BQ133" s="454"/>
      <c r="BR133" s="428"/>
      <c r="BS133" s="427"/>
      <c r="BT133" s="454"/>
      <c r="BU133" s="454"/>
      <c r="BV133" s="428"/>
      <c r="BW133" s="427"/>
      <c r="BX133" s="454"/>
      <c r="BY133" s="454"/>
      <c r="BZ133" s="428"/>
      <c r="CA133" s="427"/>
      <c r="CB133" s="454"/>
      <c r="CC133" s="454"/>
      <c r="CD133" s="428"/>
      <c r="CE133" s="427"/>
      <c r="CF133" s="454"/>
      <c r="CG133" s="454"/>
      <c r="CH133" s="428"/>
      <c r="CI133" s="427"/>
      <c r="CJ133" s="454"/>
      <c r="CK133" s="454"/>
      <c r="CL133" s="428"/>
      <c r="CM133" s="427"/>
      <c r="CN133" s="454"/>
      <c r="CO133" s="454"/>
      <c r="CP133" s="428"/>
      <c r="CQ133" s="427"/>
      <c r="CR133" s="454"/>
      <c r="CS133" s="454"/>
      <c r="CT133" s="428"/>
      <c r="CU133" s="427"/>
      <c r="CV133" s="454"/>
      <c r="CW133" s="454"/>
      <c r="CX133" s="428"/>
      <c r="CY133" s="427"/>
      <c r="CZ133" s="454"/>
      <c r="DA133" s="454"/>
      <c r="DB133" s="428"/>
      <c r="DC133" s="427"/>
      <c r="DD133" s="454"/>
      <c r="DE133" s="454"/>
      <c r="DF133" s="428"/>
      <c r="DG133" s="427"/>
      <c r="DH133" s="454"/>
      <c r="DI133" s="454"/>
      <c r="DJ133" s="428"/>
      <c r="DK133" s="427"/>
      <c r="DL133" s="454"/>
      <c r="DM133" s="454"/>
      <c r="DN133" s="428"/>
      <c r="DO133" s="427"/>
      <c r="DP133" s="454"/>
      <c r="DQ133" s="454"/>
      <c r="DR133" s="428"/>
      <c r="DS133" s="427"/>
      <c r="DT133" s="454"/>
      <c r="DU133" s="454"/>
      <c r="DV133" s="428"/>
      <c r="DW133" s="427"/>
      <c r="DX133" s="454"/>
      <c r="DY133" s="454"/>
      <c r="DZ133" s="428"/>
      <c r="EA133" s="427"/>
      <c r="EB133" s="454"/>
      <c r="EC133" s="454"/>
      <c r="ED133" s="428"/>
      <c r="EE133" s="427"/>
      <c r="EF133" s="454"/>
      <c r="EG133" s="454"/>
      <c r="EH133" s="428"/>
      <c r="EI133" s="427"/>
      <c r="EJ133" s="454"/>
      <c r="EK133" s="454"/>
      <c r="EL133" s="428"/>
      <c r="EM133" s="427"/>
      <c r="EN133" s="454"/>
      <c r="EO133" s="454"/>
      <c r="EP133" s="428"/>
      <c r="EQ133" s="427"/>
      <c r="ER133" s="454"/>
      <c r="ES133" s="454"/>
      <c r="ET133" s="428"/>
      <c r="EU133" s="427"/>
      <c r="EV133" s="454"/>
      <c r="EW133" s="454"/>
      <c r="EX133" s="428"/>
      <c r="EY133" s="427"/>
      <c r="EZ133" s="454"/>
      <c r="FA133" s="454"/>
      <c r="FB133" s="428"/>
      <c r="FC133" s="427"/>
      <c r="FD133" s="454"/>
      <c r="FE133" s="454"/>
      <c r="FF133" s="428"/>
      <c r="FG133" s="427"/>
      <c r="FH133" s="454"/>
      <c r="FI133" s="454"/>
      <c r="FJ133" s="428"/>
      <c r="FK133" s="427"/>
      <c r="FL133" s="454"/>
      <c r="FM133" s="454"/>
      <c r="FN133" s="428"/>
      <c r="FO133" s="427"/>
      <c r="FP133" s="454"/>
      <c r="FQ133" s="454"/>
      <c r="FR133" s="428"/>
      <c r="FS133" s="427"/>
      <c r="FT133" s="454"/>
      <c r="FU133" s="454"/>
      <c r="FV133" s="428"/>
      <c r="FW133" s="427"/>
      <c r="FX133" s="454"/>
      <c r="FY133" s="454"/>
      <c r="FZ133" s="428"/>
      <c r="GA133" s="427"/>
      <c r="GB133" s="454"/>
      <c r="GC133" s="454"/>
      <c r="GD133" s="428"/>
      <c r="GE133" s="427"/>
      <c r="GF133" s="454"/>
      <c r="GG133" s="454"/>
      <c r="GH133" s="428"/>
      <c r="GI133" s="427"/>
      <c r="GJ133" s="454"/>
      <c r="GK133" s="454"/>
      <c r="GL133" s="428"/>
      <c r="GM133" s="427"/>
      <c r="GN133" s="454"/>
      <c r="GO133" s="454"/>
      <c r="GP133" s="428"/>
      <c r="GQ133" s="427"/>
      <c r="GR133" s="454"/>
      <c r="GS133" s="454"/>
      <c r="GT133" s="428"/>
      <c r="GU133" s="427"/>
      <c r="GV133" s="454"/>
      <c r="GW133" s="454"/>
      <c r="GX133" s="428"/>
      <c r="GY133" s="427"/>
      <c r="GZ133" s="454"/>
      <c r="HA133" s="454"/>
      <c r="HB133" s="428"/>
      <c r="HC133" s="434">
        <f t="shared" si="83"/>
        <v>0</v>
      </c>
      <c r="HD133" s="456"/>
      <c r="HE133" s="456"/>
      <c r="HF133" s="433"/>
      <c r="HG133" s="434">
        <f>SUM(SUMIFS(K133:HB133,$K$13:$HB$13,{"エネルギー管理指定工場等*","県域*"}))</f>
        <v>0</v>
      </c>
      <c r="HH133" s="456"/>
      <c r="HI133" s="456"/>
      <c r="HJ133" s="433"/>
    </row>
    <row r="134" spans="1:242" ht="20.100000000000001" customHeight="1">
      <c r="A134" s="164"/>
      <c r="B134" s="421" t="s">
        <v>1415</v>
      </c>
      <c r="C134" s="422"/>
      <c r="D134" s="422"/>
      <c r="E134" s="422"/>
      <c r="F134" s="422"/>
      <c r="G134" s="422"/>
      <c r="H134" s="453"/>
      <c r="I134" s="425"/>
      <c r="J134" s="426"/>
      <c r="K134" s="427"/>
      <c r="L134" s="454"/>
      <c r="M134" s="454"/>
      <c r="N134" s="428"/>
      <c r="O134" s="427"/>
      <c r="P134" s="454"/>
      <c r="Q134" s="454"/>
      <c r="R134" s="428"/>
      <c r="S134" s="427"/>
      <c r="T134" s="454"/>
      <c r="U134" s="454"/>
      <c r="V134" s="428"/>
      <c r="W134" s="427"/>
      <c r="X134" s="454"/>
      <c r="Y134" s="454"/>
      <c r="Z134" s="428"/>
      <c r="AA134" s="427"/>
      <c r="AB134" s="454"/>
      <c r="AC134" s="454"/>
      <c r="AD134" s="428"/>
      <c r="AE134" s="427"/>
      <c r="AF134" s="454"/>
      <c r="AG134" s="454"/>
      <c r="AH134" s="428"/>
      <c r="AI134" s="427"/>
      <c r="AJ134" s="454"/>
      <c r="AK134" s="454"/>
      <c r="AL134" s="428"/>
      <c r="AM134" s="427"/>
      <c r="AN134" s="454"/>
      <c r="AO134" s="454"/>
      <c r="AP134" s="428"/>
      <c r="AQ134" s="427"/>
      <c r="AR134" s="454"/>
      <c r="AS134" s="454"/>
      <c r="AT134" s="428"/>
      <c r="AU134" s="427"/>
      <c r="AV134" s="454"/>
      <c r="AW134" s="454"/>
      <c r="AX134" s="428"/>
      <c r="AY134" s="427"/>
      <c r="AZ134" s="454"/>
      <c r="BA134" s="454"/>
      <c r="BB134" s="428"/>
      <c r="BC134" s="427"/>
      <c r="BD134" s="454"/>
      <c r="BE134" s="454"/>
      <c r="BF134" s="428"/>
      <c r="BG134" s="427"/>
      <c r="BH134" s="454"/>
      <c r="BI134" s="454"/>
      <c r="BJ134" s="428"/>
      <c r="BK134" s="427"/>
      <c r="BL134" s="454"/>
      <c r="BM134" s="454"/>
      <c r="BN134" s="428"/>
      <c r="BO134" s="427"/>
      <c r="BP134" s="454"/>
      <c r="BQ134" s="454"/>
      <c r="BR134" s="428"/>
      <c r="BS134" s="427"/>
      <c r="BT134" s="454"/>
      <c r="BU134" s="454"/>
      <c r="BV134" s="428"/>
      <c r="BW134" s="427"/>
      <c r="BX134" s="454"/>
      <c r="BY134" s="454"/>
      <c r="BZ134" s="428"/>
      <c r="CA134" s="427"/>
      <c r="CB134" s="454"/>
      <c r="CC134" s="454"/>
      <c r="CD134" s="428"/>
      <c r="CE134" s="427"/>
      <c r="CF134" s="454"/>
      <c r="CG134" s="454"/>
      <c r="CH134" s="428"/>
      <c r="CI134" s="427"/>
      <c r="CJ134" s="454"/>
      <c r="CK134" s="454"/>
      <c r="CL134" s="428"/>
      <c r="CM134" s="427"/>
      <c r="CN134" s="454"/>
      <c r="CO134" s="454"/>
      <c r="CP134" s="428"/>
      <c r="CQ134" s="427"/>
      <c r="CR134" s="454"/>
      <c r="CS134" s="454"/>
      <c r="CT134" s="428"/>
      <c r="CU134" s="427"/>
      <c r="CV134" s="454"/>
      <c r="CW134" s="454"/>
      <c r="CX134" s="428"/>
      <c r="CY134" s="427"/>
      <c r="CZ134" s="454"/>
      <c r="DA134" s="454"/>
      <c r="DB134" s="428"/>
      <c r="DC134" s="427"/>
      <c r="DD134" s="454"/>
      <c r="DE134" s="454"/>
      <c r="DF134" s="428"/>
      <c r="DG134" s="427"/>
      <c r="DH134" s="454"/>
      <c r="DI134" s="454"/>
      <c r="DJ134" s="428"/>
      <c r="DK134" s="427"/>
      <c r="DL134" s="454"/>
      <c r="DM134" s="454"/>
      <c r="DN134" s="428"/>
      <c r="DO134" s="427"/>
      <c r="DP134" s="454"/>
      <c r="DQ134" s="454"/>
      <c r="DR134" s="428"/>
      <c r="DS134" s="427"/>
      <c r="DT134" s="454"/>
      <c r="DU134" s="454"/>
      <c r="DV134" s="428"/>
      <c r="DW134" s="427"/>
      <c r="DX134" s="454"/>
      <c r="DY134" s="454"/>
      <c r="DZ134" s="428"/>
      <c r="EA134" s="427"/>
      <c r="EB134" s="454"/>
      <c r="EC134" s="454"/>
      <c r="ED134" s="428"/>
      <c r="EE134" s="427"/>
      <c r="EF134" s="454"/>
      <c r="EG134" s="454"/>
      <c r="EH134" s="428"/>
      <c r="EI134" s="427"/>
      <c r="EJ134" s="454"/>
      <c r="EK134" s="454"/>
      <c r="EL134" s="428"/>
      <c r="EM134" s="427"/>
      <c r="EN134" s="454"/>
      <c r="EO134" s="454"/>
      <c r="EP134" s="428"/>
      <c r="EQ134" s="427"/>
      <c r="ER134" s="454"/>
      <c r="ES134" s="454"/>
      <c r="ET134" s="428"/>
      <c r="EU134" s="427"/>
      <c r="EV134" s="454"/>
      <c r="EW134" s="454"/>
      <c r="EX134" s="428"/>
      <c r="EY134" s="427"/>
      <c r="EZ134" s="454"/>
      <c r="FA134" s="454"/>
      <c r="FB134" s="428"/>
      <c r="FC134" s="427"/>
      <c r="FD134" s="454"/>
      <c r="FE134" s="454"/>
      <c r="FF134" s="428"/>
      <c r="FG134" s="427"/>
      <c r="FH134" s="454"/>
      <c r="FI134" s="454"/>
      <c r="FJ134" s="428"/>
      <c r="FK134" s="427"/>
      <c r="FL134" s="454"/>
      <c r="FM134" s="454"/>
      <c r="FN134" s="428"/>
      <c r="FO134" s="427"/>
      <c r="FP134" s="454"/>
      <c r="FQ134" s="454"/>
      <c r="FR134" s="428"/>
      <c r="FS134" s="427"/>
      <c r="FT134" s="454"/>
      <c r="FU134" s="454"/>
      <c r="FV134" s="428"/>
      <c r="FW134" s="427"/>
      <c r="FX134" s="454"/>
      <c r="FY134" s="454"/>
      <c r="FZ134" s="428"/>
      <c r="GA134" s="427"/>
      <c r="GB134" s="454"/>
      <c r="GC134" s="454"/>
      <c r="GD134" s="428"/>
      <c r="GE134" s="427"/>
      <c r="GF134" s="454"/>
      <c r="GG134" s="454"/>
      <c r="GH134" s="428"/>
      <c r="GI134" s="427"/>
      <c r="GJ134" s="454"/>
      <c r="GK134" s="454"/>
      <c r="GL134" s="428"/>
      <c r="GM134" s="427"/>
      <c r="GN134" s="454"/>
      <c r="GO134" s="454"/>
      <c r="GP134" s="428"/>
      <c r="GQ134" s="427"/>
      <c r="GR134" s="454"/>
      <c r="GS134" s="454"/>
      <c r="GT134" s="428"/>
      <c r="GU134" s="427"/>
      <c r="GV134" s="454"/>
      <c r="GW134" s="454"/>
      <c r="GX134" s="428"/>
      <c r="GY134" s="427"/>
      <c r="GZ134" s="454"/>
      <c r="HA134" s="454"/>
      <c r="HB134" s="428"/>
      <c r="HC134" s="434">
        <f t="shared" si="83"/>
        <v>0</v>
      </c>
      <c r="HD134" s="456"/>
      <c r="HE134" s="456"/>
      <c r="HF134" s="433"/>
      <c r="HG134" s="434">
        <f>SUM(SUMIFS(K134:HB134,$K$13:$HB$13,{"エネルギー管理指定工場等*","県域*"}))</f>
        <v>0</v>
      </c>
      <c r="HH134" s="456"/>
      <c r="HI134" s="456"/>
      <c r="HJ134" s="433"/>
    </row>
    <row r="135" spans="1:242" ht="20.100000000000001" customHeight="1">
      <c r="A135" s="164"/>
      <c r="B135" s="421" t="s">
        <v>1416</v>
      </c>
      <c r="C135" s="422"/>
      <c r="D135" s="422"/>
      <c r="E135" s="422"/>
      <c r="F135" s="422"/>
      <c r="G135" s="422"/>
      <c r="H135" s="453"/>
      <c r="I135" s="425"/>
      <c r="J135" s="426"/>
      <c r="K135" s="427"/>
      <c r="L135" s="454"/>
      <c r="M135" s="454"/>
      <c r="N135" s="428"/>
      <c r="O135" s="427"/>
      <c r="P135" s="454"/>
      <c r="Q135" s="454"/>
      <c r="R135" s="428"/>
      <c r="S135" s="427"/>
      <c r="T135" s="454"/>
      <c r="U135" s="454"/>
      <c r="V135" s="428"/>
      <c r="W135" s="427"/>
      <c r="X135" s="454"/>
      <c r="Y135" s="454"/>
      <c r="Z135" s="428"/>
      <c r="AA135" s="427"/>
      <c r="AB135" s="454"/>
      <c r="AC135" s="454"/>
      <c r="AD135" s="428"/>
      <c r="AE135" s="427"/>
      <c r="AF135" s="454"/>
      <c r="AG135" s="454"/>
      <c r="AH135" s="428"/>
      <c r="AI135" s="427"/>
      <c r="AJ135" s="454"/>
      <c r="AK135" s="454"/>
      <c r="AL135" s="428"/>
      <c r="AM135" s="427"/>
      <c r="AN135" s="454"/>
      <c r="AO135" s="454"/>
      <c r="AP135" s="428"/>
      <c r="AQ135" s="427"/>
      <c r="AR135" s="454"/>
      <c r="AS135" s="454"/>
      <c r="AT135" s="428"/>
      <c r="AU135" s="427"/>
      <c r="AV135" s="454"/>
      <c r="AW135" s="454"/>
      <c r="AX135" s="428"/>
      <c r="AY135" s="427"/>
      <c r="AZ135" s="454"/>
      <c r="BA135" s="454"/>
      <c r="BB135" s="428"/>
      <c r="BC135" s="427"/>
      <c r="BD135" s="454"/>
      <c r="BE135" s="454"/>
      <c r="BF135" s="428"/>
      <c r="BG135" s="427"/>
      <c r="BH135" s="454"/>
      <c r="BI135" s="454"/>
      <c r="BJ135" s="428"/>
      <c r="BK135" s="427"/>
      <c r="BL135" s="454"/>
      <c r="BM135" s="454"/>
      <c r="BN135" s="428"/>
      <c r="BO135" s="427"/>
      <c r="BP135" s="454"/>
      <c r="BQ135" s="454"/>
      <c r="BR135" s="428"/>
      <c r="BS135" s="427"/>
      <c r="BT135" s="454"/>
      <c r="BU135" s="454"/>
      <c r="BV135" s="428"/>
      <c r="BW135" s="427"/>
      <c r="BX135" s="454"/>
      <c r="BY135" s="454"/>
      <c r="BZ135" s="428"/>
      <c r="CA135" s="427"/>
      <c r="CB135" s="454"/>
      <c r="CC135" s="454"/>
      <c r="CD135" s="428"/>
      <c r="CE135" s="427"/>
      <c r="CF135" s="454"/>
      <c r="CG135" s="454"/>
      <c r="CH135" s="428"/>
      <c r="CI135" s="427"/>
      <c r="CJ135" s="454"/>
      <c r="CK135" s="454"/>
      <c r="CL135" s="428"/>
      <c r="CM135" s="427"/>
      <c r="CN135" s="454"/>
      <c r="CO135" s="454"/>
      <c r="CP135" s="428"/>
      <c r="CQ135" s="427"/>
      <c r="CR135" s="454"/>
      <c r="CS135" s="454"/>
      <c r="CT135" s="428"/>
      <c r="CU135" s="427"/>
      <c r="CV135" s="454"/>
      <c r="CW135" s="454"/>
      <c r="CX135" s="428"/>
      <c r="CY135" s="427"/>
      <c r="CZ135" s="454"/>
      <c r="DA135" s="454"/>
      <c r="DB135" s="428"/>
      <c r="DC135" s="427"/>
      <c r="DD135" s="454"/>
      <c r="DE135" s="454"/>
      <c r="DF135" s="428"/>
      <c r="DG135" s="427"/>
      <c r="DH135" s="454"/>
      <c r="DI135" s="454"/>
      <c r="DJ135" s="428"/>
      <c r="DK135" s="427"/>
      <c r="DL135" s="454"/>
      <c r="DM135" s="454"/>
      <c r="DN135" s="428"/>
      <c r="DO135" s="427"/>
      <c r="DP135" s="454"/>
      <c r="DQ135" s="454"/>
      <c r="DR135" s="428"/>
      <c r="DS135" s="427"/>
      <c r="DT135" s="454"/>
      <c r="DU135" s="454"/>
      <c r="DV135" s="428"/>
      <c r="DW135" s="427"/>
      <c r="DX135" s="454"/>
      <c r="DY135" s="454"/>
      <c r="DZ135" s="428"/>
      <c r="EA135" s="427"/>
      <c r="EB135" s="454"/>
      <c r="EC135" s="454"/>
      <c r="ED135" s="428"/>
      <c r="EE135" s="427"/>
      <c r="EF135" s="454"/>
      <c r="EG135" s="454"/>
      <c r="EH135" s="428"/>
      <c r="EI135" s="427"/>
      <c r="EJ135" s="454"/>
      <c r="EK135" s="454"/>
      <c r="EL135" s="428"/>
      <c r="EM135" s="427"/>
      <c r="EN135" s="454"/>
      <c r="EO135" s="454"/>
      <c r="EP135" s="428"/>
      <c r="EQ135" s="427"/>
      <c r="ER135" s="454"/>
      <c r="ES135" s="454"/>
      <c r="ET135" s="428"/>
      <c r="EU135" s="427"/>
      <c r="EV135" s="454"/>
      <c r="EW135" s="454"/>
      <c r="EX135" s="428"/>
      <c r="EY135" s="427"/>
      <c r="EZ135" s="454"/>
      <c r="FA135" s="454"/>
      <c r="FB135" s="428"/>
      <c r="FC135" s="427"/>
      <c r="FD135" s="454"/>
      <c r="FE135" s="454"/>
      <c r="FF135" s="428"/>
      <c r="FG135" s="427"/>
      <c r="FH135" s="454"/>
      <c r="FI135" s="454"/>
      <c r="FJ135" s="428"/>
      <c r="FK135" s="427"/>
      <c r="FL135" s="454"/>
      <c r="FM135" s="454"/>
      <c r="FN135" s="428"/>
      <c r="FO135" s="427"/>
      <c r="FP135" s="454"/>
      <c r="FQ135" s="454"/>
      <c r="FR135" s="428"/>
      <c r="FS135" s="427"/>
      <c r="FT135" s="454"/>
      <c r="FU135" s="454"/>
      <c r="FV135" s="428"/>
      <c r="FW135" s="427"/>
      <c r="FX135" s="454"/>
      <c r="FY135" s="454"/>
      <c r="FZ135" s="428"/>
      <c r="GA135" s="427"/>
      <c r="GB135" s="454"/>
      <c r="GC135" s="454"/>
      <c r="GD135" s="428"/>
      <c r="GE135" s="427"/>
      <c r="GF135" s="454"/>
      <c r="GG135" s="454"/>
      <c r="GH135" s="428"/>
      <c r="GI135" s="427"/>
      <c r="GJ135" s="454"/>
      <c r="GK135" s="454"/>
      <c r="GL135" s="428"/>
      <c r="GM135" s="427"/>
      <c r="GN135" s="454"/>
      <c r="GO135" s="454"/>
      <c r="GP135" s="428"/>
      <c r="GQ135" s="427"/>
      <c r="GR135" s="454"/>
      <c r="GS135" s="454"/>
      <c r="GT135" s="428"/>
      <c r="GU135" s="427"/>
      <c r="GV135" s="454"/>
      <c r="GW135" s="454"/>
      <c r="GX135" s="428"/>
      <c r="GY135" s="427"/>
      <c r="GZ135" s="454"/>
      <c r="HA135" s="454"/>
      <c r="HB135" s="428"/>
      <c r="HC135" s="434">
        <f t="shared" si="83"/>
        <v>0</v>
      </c>
      <c r="HD135" s="456"/>
      <c r="HE135" s="456"/>
      <c r="HF135" s="433"/>
      <c r="HG135" s="434">
        <f>SUM(SUMIFS(K135:HB135,$K$13:$HB$13,{"エネルギー管理指定工場等*","県域*"}))</f>
        <v>0</v>
      </c>
      <c r="HH135" s="456"/>
      <c r="HI135" s="456"/>
      <c r="HJ135" s="433"/>
    </row>
    <row r="136" spans="1:242" ht="20.100000000000001" customHeight="1">
      <c r="A136" s="164"/>
      <c r="B136" s="421" t="s">
        <v>1417</v>
      </c>
      <c r="C136" s="422"/>
      <c r="D136" s="422"/>
      <c r="E136" s="422"/>
      <c r="F136" s="422"/>
      <c r="G136" s="422"/>
      <c r="H136" s="453"/>
      <c r="I136" s="425"/>
      <c r="J136" s="426"/>
      <c r="K136" s="427"/>
      <c r="L136" s="454"/>
      <c r="M136" s="454"/>
      <c r="N136" s="428"/>
      <c r="O136" s="427"/>
      <c r="P136" s="454"/>
      <c r="Q136" s="454"/>
      <c r="R136" s="428"/>
      <c r="S136" s="427"/>
      <c r="T136" s="454"/>
      <c r="U136" s="454"/>
      <c r="V136" s="428"/>
      <c r="W136" s="427"/>
      <c r="X136" s="454"/>
      <c r="Y136" s="454"/>
      <c r="Z136" s="428"/>
      <c r="AA136" s="427"/>
      <c r="AB136" s="454"/>
      <c r="AC136" s="454"/>
      <c r="AD136" s="428"/>
      <c r="AE136" s="427"/>
      <c r="AF136" s="454"/>
      <c r="AG136" s="454"/>
      <c r="AH136" s="428"/>
      <c r="AI136" s="427"/>
      <c r="AJ136" s="454"/>
      <c r="AK136" s="454"/>
      <c r="AL136" s="428"/>
      <c r="AM136" s="427"/>
      <c r="AN136" s="454"/>
      <c r="AO136" s="454"/>
      <c r="AP136" s="428"/>
      <c r="AQ136" s="427"/>
      <c r="AR136" s="454"/>
      <c r="AS136" s="454"/>
      <c r="AT136" s="428"/>
      <c r="AU136" s="427"/>
      <c r="AV136" s="454"/>
      <c r="AW136" s="454"/>
      <c r="AX136" s="428"/>
      <c r="AY136" s="427"/>
      <c r="AZ136" s="454"/>
      <c r="BA136" s="454"/>
      <c r="BB136" s="428"/>
      <c r="BC136" s="427"/>
      <c r="BD136" s="454"/>
      <c r="BE136" s="454"/>
      <c r="BF136" s="428"/>
      <c r="BG136" s="427"/>
      <c r="BH136" s="454"/>
      <c r="BI136" s="454"/>
      <c r="BJ136" s="428"/>
      <c r="BK136" s="427"/>
      <c r="BL136" s="454"/>
      <c r="BM136" s="454"/>
      <c r="BN136" s="428"/>
      <c r="BO136" s="427"/>
      <c r="BP136" s="454"/>
      <c r="BQ136" s="454"/>
      <c r="BR136" s="428"/>
      <c r="BS136" s="427"/>
      <c r="BT136" s="454"/>
      <c r="BU136" s="454"/>
      <c r="BV136" s="428"/>
      <c r="BW136" s="427"/>
      <c r="BX136" s="454"/>
      <c r="BY136" s="454"/>
      <c r="BZ136" s="428"/>
      <c r="CA136" s="427"/>
      <c r="CB136" s="454"/>
      <c r="CC136" s="454"/>
      <c r="CD136" s="428"/>
      <c r="CE136" s="427"/>
      <c r="CF136" s="454"/>
      <c r="CG136" s="454"/>
      <c r="CH136" s="428"/>
      <c r="CI136" s="427"/>
      <c r="CJ136" s="454"/>
      <c r="CK136" s="454"/>
      <c r="CL136" s="428"/>
      <c r="CM136" s="427"/>
      <c r="CN136" s="454"/>
      <c r="CO136" s="454"/>
      <c r="CP136" s="428"/>
      <c r="CQ136" s="427"/>
      <c r="CR136" s="454"/>
      <c r="CS136" s="454"/>
      <c r="CT136" s="428"/>
      <c r="CU136" s="427"/>
      <c r="CV136" s="454"/>
      <c r="CW136" s="454"/>
      <c r="CX136" s="428"/>
      <c r="CY136" s="427"/>
      <c r="CZ136" s="454"/>
      <c r="DA136" s="454"/>
      <c r="DB136" s="428"/>
      <c r="DC136" s="427"/>
      <c r="DD136" s="454"/>
      <c r="DE136" s="454"/>
      <c r="DF136" s="428"/>
      <c r="DG136" s="427"/>
      <c r="DH136" s="454"/>
      <c r="DI136" s="454"/>
      <c r="DJ136" s="428"/>
      <c r="DK136" s="427"/>
      <c r="DL136" s="454"/>
      <c r="DM136" s="454"/>
      <c r="DN136" s="428"/>
      <c r="DO136" s="427"/>
      <c r="DP136" s="454"/>
      <c r="DQ136" s="454"/>
      <c r="DR136" s="428"/>
      <c r="DS136" s="427"/>
      <c r="DT136" s="454"/>
      <c r="DU136" s="454"/>
      <c r="DV136" s="428"/>
      <c r="DW136" s="427"/>
      <c r="DX136" s="454"/>
      <c r="DY136" s="454"/>
      <c r="DZ136" s="428"/>
      <c r="EA136" s="427"/>
      <c r="EB136" s="454"/>
      <c r="EC136" s="454"/>
      <c r="ED136" s="428"/>
      <c r="EE136" s="427"/>
      <c r="EF136" s="454"/>
      <c r="EG136" s="454"/>
      <c r="EH136" s="428"/>
      <c r="EI136" s="427"/>
      <c r="EJ136" s="454"/>
      <c r="EK136" s="454"/>
      <c r="EL136" s="428"/>
      <c r="EM136" s="427"/>
      <c r="EN136" s="454"/>
      <c r="EO136" s="454"/>
      <c r="EP136" s="428"/>
      <c r="EQ136" s="427"/>
      <c r="ER136" s="454"/>
      <c r="ES136" s="454"/>
      <c r="ET136" s="428"/>
      <c r="EU136" s="427"/>
      <c r="EV136" s="454"/>
      <c r="EW136" s="454"/>
      <c r="EX136" s="428"/>
      <c r="EY136" s="427"/>
      <c r="EZ136" s="454"/>
      <c r="FA136" s="454"/>
      <c r="FB136" s="428"/>
      <c r="FC136" s="427"/>
      <c r="FD136" s="454"/>
      <c r="FE136" s="454"/>
      <c r="FF136" s="428"/>
      <c r="FG136" s="427"/>
      <c r="FH136" s="454"/>
      <c r="FI136" s="454"/>
      <c r="FJ136" s="428"/>
      <c r="FK136" s="427"/>
      <c r="FL136" s="454"/>
      <c r="FM136" s="454"/>
      <c r="FN136" s="428"/>
      <c r="FO136" s="427"/>
      <c r="FP136" s="454"/>
      <c r="FQ136" s="454"/>
      <c r="FR136" s="428"/>
      <c r="FS136" s="427"/>
      <c r="FT136" s="454"/>
      <c r="FU136" s="454"/>
      <c r="FV136" s="428"/>
      <c r="FW136" s="427"/>
      <c r="FX136" s="454"/>
      <c r="FY136" s="454"/>
      <c r="FZ136" s="428"/>
      <c r="GA136" s="427"/>
      <c r="GB136" s="454"/>
      <c r="GC136" s="454"/>
      <c r="GD136" s="428"/>
      <c r="GE136" s="427"/>
      <c r="GF136" s="454"/>
      <c r="GG136" s="454"/>
      <c r="GH136" s="428"/>
      <c r="GI136" s="427"/>
      <c r="GJ136" s="454"/>
      <c r="GK136" s="454"/>
      <c r="GL136" s="428"/>
      <c r="GM136" s="427"/>
      <c r="GN136" s="454"/>
      <c r="GO136" s="454"/>
      <c r="GP136" s="428"/>
      <c r="GQ136" s="427"/>
      <c r="GR136" s="454"/>
      <c r="GS136" s="454"/>
      <c r="GT136" s="428"/>
      <c r="GU136" s="427"/>
      <c r="GV136" s="454"/>
      <c r="GW136" s="454"/>
      <c r="GX136" s="428"/>
      <c r="GY136" s="427"/>
      <c r="GZ136" s="454"/>
      <c r="HA136" s="454"/>
      <c r="HB136" s="428"/>
      <c r="HC136" s="434">
        <f t="shared" si="83"/>
        <v>0</v>
      </c>
      <c r="HD136" s="456"/>
      <c r="HE136" s="456"/>
      <c r="HF136" s="433"/>
      <c r="HG136" s="434">
        <f>SUM(SUMIFS(K136:HB136,$K$13:$HB$13,{"エネルギー管理指定工場等*","県域*"}))</f>
        <v>0</v>
      </c>
      <c r="HH136" s="456"/>
      <c r="HI136" s="456"/>
      <c r="HJ136" s="433"/>
    </row>
    <row r="137" spans="1:242" ht="20.100000000000001" customHeight="1">
      <c r="A137" s="164"/>
      <c r="B137" s="421" t="s">
        <v>1418</v>
      </c>
      <c r="C137" s="422"/>
      <c r="D137" s="422"/>
      <c r="E137" s="422"/>
      <c r="F137" s="422"/>
      <c r="G137" s="422"/>
      <c r="H137" s="453"/>
      <c r="I137" s="425"/>
      <c r="J137" s="426"/>
      <c r="K137" s="427"/>
      <c r="L137" s="454"/>
      <c r="M137" s="454"/>
      <c r="N137" s="428"/>
      <c r="O137" s="427"/>
      <c r="P137" s="454"/>
      <c r="Q137" s="454"/>
      <c r="R137" s="428"/>
      <c r="S137" s="427"/>
      <c r="T137" s="454"/>
      <c r="U137" s="454"/>
      <c r="V137" s="428"/>
      <c r="W137" s="427"/>
      <c r="X137" s="454"/>
      <c r="Y137" s="454"/>
      <c r="Z137" s="428"/>
      <c r="AA137" s="427"/>
      <c r="AB137" s="454"/>
      <c r="AC137" s="454"/>
      <c r="AD137" s="428"/>
      <c r="AE137" s="427"/>
      <c r="AF137" s="454"/>
      <c r="AG137" s="454"/>
      <c r="AH137" s="428"/>
      <c r="AI137" s="427"/>
      <c r="AJ137" s="454"/>
      <c r="AK137" s="454"/>
      <c r="AL137" s="428"/>
      <c r="AM137" s="427"/>
      <c r="AN137" s="454"/>
      <c r="AO137" s="454"/>
      <c r="AP137" s="428"/>
      <c r="AQ137" s="427"/>
      <c r="AR137" s="454"/>
      <c r="AS137" s="454"/>
      <c r="AT137" s="428"/>
      <c r="AU137" s="427"/>
      <c r="AV137" s="454"/>
      <c r="AW137" s="454"/>
      <c r="AX137" s="428"/>
      <c r="AY137" s="427"/>
      <c r="AZ137" s="454"/>
      <c r="BA137" s="454"/>
      <c r="BB137" s="428"/>
      <c r="BC137" s="427"/>
      <c r="BD137" s="454"/>
      <c r="BE137" s="454"/>
      <c r="BF137" s="428"/>
      <c r="BG137" s="427"/>
      <c r="BH137" s="454"/>
      <c r="BI137" s="454"/>
      <c r="BJ137" s="428"/>
      <c r="BK137" s="427"/>
      <c r="BL137" s="454"/>
      <c r="BM137" s="454"/>
      <c r="BN137" s="428"/>
      <c r="BO137" s="427"/>
      <c r="BP137" s="454"/>
      <c r="BQ137" s="454"/>
      <c r="BR137" s="428"/>
      <c r="BS137" s="427"/>
      <c r="BT137" s="454"/>
      <c r="BU137" s="454"/>
      <c r="BV137" s="428"/>
      <c r="BW137" s="427"/>
      <c r="BX137" s="454"/>
      <c r="BY137" s="454"/>
      <c r="BZ137" s="428"/>
      <c r="CA137" s="427"/>
      <c r="CB137" s="454"/>
      <c r="CC137" s="454"/>
      <c r="CD137" s="428"/>
      <c r="CE137" s="427"/>
      <c r="CF137" s="454"/>
      <c r="CG137" s="454"/>
      <c r="CH137" s="428"/>
      <c r="CI137" s="427"/>
      <c r="CJ137" s="454"/>
      <c r="CK137" s="454"/>
      <c r="CL137" s="428"/>
      <c r="CM137" s="427"/>
      <c r="CN137" s="454"/>
      <c r="CO137" s="454"/>
      <c r="CP137" s="428"/>
      <c r="CQ137" s="427"/>
      <c r="CR137" s="454"/>
      <c r="CS137" s="454"/>
      <c r="CT137" s="428"/>
      <c r="CU137" s="427"/>
      <c r="CV137" s="454"/>
      <c r="CW137" s="454"/>
      <c r="CX137" s="428"/>
      <c r="CY137" s="427"/>
      <c r="CZ137" s="454"/>
      <c r="DA137" s="454"/>
      <c r="DB137" s="428"/>
      <c r="DC137" s="427"/>
      <c r="DD137" s="454"/>
      <c r="DE137" s="454"/>
      <c r="DF137" s="428"/>
      <c r="DG137" s="427"/>
      <c r="DH137" s="454"/>
      <c r="DI137" s="454"/>
      <c r="DJ137" s="428"/>
      <c r="DK137" s="427"/>
      <c r="DL137" s="454"/>
      <c r="DM137" s="454"/>
      <c r="DN137" s="428"/>
      <c r="DO137" s="427"/>
      <c r="DP137" s="454"/>
      <c r="DQ137" s="454"/>
      <c r="DR137" s="428"/>
      <c r="DS137" s="427"/>
      <c r="DT137" s="454"/>
      <c r="DU137" s="454"/>
      <c r="DV137" s="428"/>
      <c r="DW137" s="427"/>
      <c r="DX137" s="454"/>
      <c r="DY137" s="454"/>
      <c r="DZ137" s="428"/>
      <c r="EA137" s="427"/>
      <c r="EB137" s="454"/>
      <c r="EC137" s="454"/>
      <c r="ED137" s="428"/>
      <c r="EE137" s="427"/>
      <c r="EF137" s="454"/>
      <c r="EG137" s="454"/>
      <c r="EH137" s="428"/>
      <c r="EI137" s="427"/>
      <c r="EJ137" s="454"/>
      <c r="EK137" s="454"/>
      <c r="EL137" s="428"/>
      <c r="EM137" s="427"/>
      <c r="EN137" s="454"/>
      <c r="EO137" s="454"/>
      <c r="EP137" s="428"/>
      <c r="EQ137" s="427"/>
      <c r="ER137" s="454"/>
      <c r="ES137" s="454"/>
      <c r="ET137" s="428"/>
      <c r="EU137" s="427"/>
      <c r="EV137" s="454"/>
      <c r="EW137" s="454"/>
      <c r="EX137" s="428"/>
      <c r="EY137" s="427"/>
      <c r="EZ137" s="454"/>
      <c r="FA137" s="454"/>
      <c r="FB137" s="428"/>
      <c r="FC137" s="427"/>
      <c r="FD137" s="454"/>
      <c r="FE137" s="454"/>
      <c r="FF137" s="428"/>
      <c r="FG137" s="427"/>
      <c r="FH137" s="454"/>
      <c r="FI137" s="454"/>
      <c r="FJ137" s="428"/>
      <c r="FK137" s="427"/>
      <c r="FL137" s="454"/>
      <c r="FM137" s="454"/>
      <c r="FN137" s="428"/>
      <c r="FO137" s="427"/>
      <c r="FP137" s="454"/>
      <c r="FQ137" s="454"/>
      <c r="FR137" s="428"/>
      <c r="FS137" s="427"/>
      <c r="FT137" s="454"/>
      <c r="FU137" s="454"/>
      <c r="FV137" s="428"/>
      <c r="FW137" s="427"/>
      <c r="FX137" s="454"/>
      <c r="FY137" s="454"/>
      <c r="FZ137" s="428"/>
      <c r="GA137" s="427"/>
      <c r="GB137" s="454"/>
      <c r="GC137" s="454"/>
      <c r="GD137" s="428"/>
      <c r="GE137" s="427"/>
      <c r="GF137" s="454"/>
      <c r="GG137" s="454"/>
      <c r="GH137" s="428"/>
      <c r="GI137" s="427"/>
      <c r="GJ137" s="454"/>
      <c r="GK137" s="454"/>
      <c r="GL137" s="428"/>
      <c r="GM137" s="427"/>
      <c r="GN137" s="454"/>
      <c r="GO137" s="454"/>
      <c r="GP137" s="428"/>
      <c r="GQ137" s="427"/>
      <c r="GR137" s="454"/>
      <c r="GS137" s="454"/>
      <c r="GT137" s="428"/>
      <c r="GU137" s="427"/>
      <c r="GV137" s="454"/>
      <c r="GW137" s="454"/>
      <c r="GX137" s="428"/>
      <c r="GY137" s="427"/>
      <c r="GZ137" s="454"/>
      <c r="HA137" s="454"/>
      <c r="HB137" s="428"/>
      <c r="HC137" s="434">
        <f t="shared" si="83"/>
        <v>0</v>
      </c>
      <c r="HD137" s="456"/>
      <c r="HE137" s="456"/>
      <c r="HF137" s="433"/>
      <c r="HG137" s="434">
        <f>SUM(SUMIFS(K137:HB137,$K$13:$HB$13,{"エネルギー管理指定工場等*","県域*"}))</f>
        <v>0</v>
      </c>
      <c r="HH137" s="456"/>
      <c r="HI137" s="456"/>
      <c r="HJ137" s="433"/>
    </row>
    <row r="138" spans="1:242" ht="20.100000000000001" customHeight="1">
      <c r="A138" s="164"/>
      <c r="B138" s="421" t="s">
        <v>1419</v>
      </c>
      <c r="C138" s="422"/>
      <c r="D138" s="422"/>
      <c r="E138" s="422"/>
      <c r="F138" s="422"/>
      <c r="G138" s="422"/>
      <c r="H138" s="453"/>
      <c r="I138" s="425"/>
      <c r="J138" s="426"/>
      <c r="K138" s="427"/>
      <c r="L138" s="454"/>
      <c r="M138" s="454"/>
      <c r="N138" s="428"/>
      <c r="O138" s="427"/>
      <c r="P138" s="454"/>
      <c r="Q138" s="454"/>
      <c r="R138" s="428"/>
      <c r="S138" s="427"/>
      <c r="T138" s="454"/>
      <c r="U138" s="454"/>
      <c r="V138" s="428"/>
      <c r="W138" s="427"/>
      <c r="X138" s="454"/>
      <c r="Y138" s="454"/>
      <c r="Z138" s="428"/>
      <c r="AA138" s="427"/>
      <c r="AB138" s="454"/>
      <c r="AC138" s="454"/>
      <c r="AD138" s="428"/>
      <c r="AE138" s="427"/>
      <c r="AF138" s="454"/>
      <c r="AG138" s="454"/>
      <c r="AH138" s="428"/>
      <c r="AI138" s="427"/>
      <c r="AJ138" s="454"/>
      <c r="AK138" s="454"/>
      <c r="AL138" s="428"/>
      <c r="AM138" s="427"/>
      <c r="AN138" s="454"/>
      <c r="AO138" s="454"/>
      <c r="AP138" s="428"/>
      <c r="AQ138" s="427"/>
      <c r="AR138" s="454"/>
      <c r="AS138" s="454"/>
      <c r="AT138" s="428"/>
      <c r="AU138" s="427"/>
      <c r="AV138" s="454"/>
      <c r="AW138" s="454"/>
      <c r="AX138" s="428"/>
      <c r="AY138" s="427"/>
      <c r="AZ138" s="454"/>
      <c r="BA138" s="454"/>
      <c r="BB138" s="428"/>
      <c r="BC138" s="427"/>
      <c r="BD138" s="454"/>
      <c r="BE138" s="454"/>
      <c r="BF138" s="428"/>
      <c r="BG138" s="427"/>
      <c r="BH138" s="454"/>
      <c r="BI138" s="454"/>
      <c r="BJ138" s="428"/>
      <c r="BK138" s="427"/>
      <c r="BL138" s="454"/>
      <c r="BM138" s="454"/>
      <c r="BN138" s="428"/>
      <c r="BO138" s="427"/>
      <c r="BP138" s="454"/>
      <c r="BQ138" s="454"/>
      <c r="BR138" s="428"/>
      <c r="BS138" s="427"/>
      <c r="BT138" s="454"/>
      <c r="BU138" s="454"/>
      <c r="BV138" s="428"/>
      <c r="BW138" s="427"/>
      <c r="BX138" s="454"/>
      <c r="BY138" s="454"/>
      <c r="BZ138" s="428"/>
      <c r="CA138" s="427"/>
      <c r="CB138" s="454"/>
      <c r="CC138" s="454"/>
      <c r="CD138" s="428"/>
      <c r="CE138" s="427"/>
      <c r="CF138" s="454"/>
      <c r="CG138" s="454"/>
      <c r="CH138" s="428"/>
      <c r="CI138" s="427"/>
      <c r="CJ138" s="454"/>
      <c r="CK138" s="454"/>
      <c r="CL138" s="428"/>
      <c r="CM138" s="427"/>
      <c r="CN138" s="454"/>
      <c r="CO138" s="454"/>
      <c r="CP138" s="428"/>
      <c r="CQ138" s="427"/>
      <c r="CR138" s="454"/>
      <c r="CS138" s="454"/>
      <c r="CT138" s="428"/>
      <c r="CU138" s="427"/>
      <c r="CV138" s="454"/>
      <c r="CW138" s="454"/>
      <c r="CX138" s="428"/>
      <c r="CY138" s="427"/>
      <c r="CZ138" s="454"/>
      <c r="DA138" s="454"/>
      <c r="DB138" s="428"/>
      <c r="DC138" s="427"/>
      <c r="DD138" s="454"/>
      <c r="DE138" s="454"/>
      <c r="DF138" s="428"/>
      <c r="DG138" s="427"/>
      <c r="DH138" s="454"/>
      <c r="DI138" s="454"/>
      <c r="DJ138" s="428"/>
      <c r="DK138" s="427"/>
      <c r="DL138" s="454"/>
      <c r="DM138" s="454"/>
      <c r="DN138" s="428"/>
      <c r="DO138" s="427"/>
      <c r="DP138" s="454"/>
      <c r="DQ138" s="454"/>
      <c r="DR138" s="428"/>
      <c r="DS138" s="427"/>
      <c r="DT138" s="454"/>
      <c r="DU138" s="454"/>
      <c r="DV138" s="428"/>
      <c r="DW138" s="427"/>
      <c r="DX138" s="454"/>
      <c r="DY138" s="454"/>
      <c r="DZ138" s="428"/>
      <c r="EA138" s="427"/>
      <c r="EB138" s="454"/>
      <c r="EC138" s="454"/>
      <c r="ED138" s="428"/>
      <c r="EE138" s="427"/>
      <c r="EF138" s="454"/>
      <c r="EG138" s="454"/>
      <c r="EH138" s="428"/>
      <c r="EI138" s="427"/>
      <c r="EJ138" s="454"/>
      <c r="EK138" s="454"/>
      <c r="EL138" s="428"/>
      <c r="EM138" s="427"/>
      <c r="EN138" s="454"/>
      <c r="EO138" s="454"/>
      <c r="EP138" s="428"/>
      <c r="EQ138" s="427"/>
      <c r="ER138" s="454"/>
      <c r="ES138" s="454"/>
      <c r="ET138" s="428"/>
      <c r="EU138" s="427"/>
      <c r="EV138" s="454"/>
      <c r="EW138" s="454"/>
      <c r="EX138" s="428"/>
      <c r="EY138" s="427"/>
      <c r="EZ138" s="454"/>
      <c r="FA138" s="454"/>
      <c r="FB138" s="428"/>
      <c r="FC138" s="427"/>
      <c r="FD138" s="454"/>
      <c r="FE138" s="454"/>
      <c r="FF138" s="428"/>
      <c r="FG138" s="427"/>
      <c r="FH138" s="454"/>
      <c r="FI138" s="454"/>
      <c r="FJ138" s="428"/>
      <c r="FK138" s="427"/>
      <c r="FL138" s="454"/>
      <c r="FM138" s="454"/>
      <c r="FN138" s="428"/>
      <c r="FO138" s="427"/>
      <c r="FP138" s="454"/>
      <c r="FQ138" s="454"/>
      <c r="FR138" s="428"/>
      <c r="FS138" s="427"/>
      <c r="FT138" s="454"/>
      <c r="FU138" s="454"/>
      <c r="FV138" s="428"/>
      <c r="FW138" s="427"/>
      <c r="FX138" s="454"/>
      <c r="FY138" s="454"/>
      <c r="FZ138" s="428"/>
      <c r="GA138" s="427"/>
      <c r="GB138" s="454"/>
      <c r="GC138" s="454"/>
      <c r="GD138" s="428"/>
      <c r="GE138" s="427"/>
      <c r="GF138" s="454"/>
      <c r="GG138" s="454"/>
      <c r="GH138" s="428"/>
      <c r="GI138" s="427"/>
      <c r="GJ138" s="454"/>
      <c r="GK138" s="454"/>
      <c r="GL138" s="428"/>
      <c r="GM138" s="427"/>
      <c r="GN138" s="454"/>
      <c r="GO138" s="454"/>
      <c r="GP138" s="428"/>
      <c r="GQ138" s="427"/>
      <c r="GR138" s="454"/>
      <c r="GS138" s="454"/>
      <c r="GT138" s="428"/>
      <c r="GU138" s="427"/>
      <c r="GV138" s="454"/>
      <c r="GW138" s="454"/>
      <c r="GX138" s="428"/>
      <c r="GY138" s="427"/>
      <c r="GZ138" s="454"/>
      <c r="HA138" s="454"/>
      <c r="HB138" s="428"/>
      <c r="HC138" s="434">
        <f t="shared" si="83"/>
        <v>0</v>
      </c>
      <c r="HD138" s="456"/>
      <c r="HE138" s="456"/>
      <c r="HF138" s="433"/>
      <c r="HG138" s="434">
        <f>SUM(SUMIFS(K138:HB138,$K$13:$HB$13,{"エネルギー管理指定工場等*","県域*"}))</f>
        <v>0</v>
      </c>
      <c r="HH138" s="456"/>
      <c r="HI138" s="456"/>
      <c r="HJ138" s="433"/>
    </row>
    <row r="139" spans="1:242" ht="20.100000000000001" customHeight="1">
      <c r="A139" s="164"/>
      <c r="B139" s="421" t="s">
        <v>1420</v>
      </c>
      <c r="C139" s="422"/>
      <c r="D139" s="422"/>
      <c r="E139" s="422"/>
      <c r="F139" s="422"/>
      <c r="G139" s="422"/>
      <c r="H139" s="453"/>
      <c r="I139" s="425"/>
      <c r="J139" s="426"/>
      <c r="K139" s="427"/>
      <c r="L139" s="454"/>
      <c r="M139" s="454"/>
      <c r="N139" s="428"/>
      <c r="O139" s="427"/>
      <c r="P139" s="454"/>
      <c r="Q139" s="454"/>
      <c r="R139" s="428"/>
      <c r="S139" s="427"/>
      <c r="T139" s="454"/>
      <c r="U139" s="454"/>
      <c r="V139" s="428"/>
      <c r="W139" s="427"/>
      <c r="X139" s="454"/>
      <c r="Y139" s="454"/>
      <c r="Z139" s="428"/>
      <c r="AA139" s="427"/>
      <c r="AB139" s="454"/>
      <c r="AC139" s="454"/>
      <c r="AD139" s="428"/>
      <c r="AE139" s="427"/>
      <c r="AF139" s="454"/>
      <c r="AG139" s="454"/>
      <c r="AH139" s="428"/>
      <c r="AI139" s="427"/>
      <c r="AJ139" s="454"/>
      <c r="AK139" s="454"/>
      <c r="AL139" s="428"/>
      <c r="AM139" s="427"/>
      <c r="AN139" s="454"/>
      <c r="AO139" s="454"/>
      <c r="AP139" s="428"/>
      <c r="AQ139" s="427"/>
      <c r="AR139" s="454"/>
      <c r="AS139" s="454"/>
      <c r="AT139" s="428"/>
      <c r="AU139" s="427"/>
      <c r="AV139" s="454"/>
      <c r="AW139" s="454"/>
      <c r="AX139" s="428"/>
      <c r="AY139" s="427"/>
      <c r="AZ139" s="454"/>
      <c r="BA139" s="454"/>
      <c r="BB139" s="428"/>
      <c r="BC139" s="427"/>
      <c r="BD139" s="454"/>
      <c r="BE139" s="454"/>
      <c r="BF139" s="428"/>
      <c r="BG139" s="427"/>
      <c r="BH139" s="454"/>
      <c r="BI139" s="454"/>
      <c r="BJ139" s="428"/>
      <c r="BK139" s="427"/>
      <c r="BL139" s="454"/>
      <c r="BM139" s="454"/>
      <c r="BN139" s="428"/>
      <c r="BO139" s="427"/>
      <c r="BP139" s="454"/>
      <c r="BQ139" s="454"/>
      <c r="BR139" s="428"/>
      <c r="BS139" s="427"/>
      <c r="BT139" s="454"/>
      <c r="BU139" s="454"/>
      <c r="BV139" s="428"/>
      <c r="BW139" s="427"/>
      <c r="BX139" s="454"/>
      <c r="BY139" s="454"/>
      <c r="BZ139" s="428"/>
      <c r="CA139" s="427"/>
      <c r="CB139" s="454"/>
      <c r="CC139" s="454"/>
      <c r="CD139" s="428"/>
      <c r="CE139" s="427"/>
      <c r="CF139" s="454"/>
      <c r="CG139" s="454"/>
      <c r="CH139" s="428"/>
      <c r="CI139" s="427"/>
      <c r="CJ139" s="454"/>
      <c r="CK139" s="454"/>
      <c r="CL139" s="428"/>
      <c r="CM139" s="427"/>
      <c r="CN139" s="454"/>
      <c r="CO139" s="454"/>
      <c r="CP139" s="428"/>
      <c r="CQ139" s="427"/>
      <c r="CR139" s="454"/>
      <c r="CS139" s="454"/>
      <c r="CT139" s="428"/>
      <c r="CU139" s="427"/>
      <c r="CV139" s="454"/>
      <c r="CW139" s="454"/>
      <c r="CX139" s="428"/>
      <c r="CY139" s="427"/>
      <c r="CZ139" s="454"/>
      <c r="DA139" s="454"/>
      <c r="DB139" s="428"/>
      <c r="DC139" s="427"/>
      <c r="DD139" s="454"/>
      <c r="DE139" s="454"/>
      <c r="DF139" s="428"/>
      <c r="DG139" s="427"/>
      <c r="DH139" s="454"/>
      <c r="DI139" s="454"/>
      <c r="DJ139" s="428"/>
      <c r="DK139" s="427"/>
      <c r="DL139" s="454"/>
      <c r="DM139" s="454"/>
      <c r="DN139" s="428"/>
      <c r="DO139" s="427"/>
      <c r="DP139" s="454"/>
      <c r="DQ139" s="454"/>
      <c r="DR139" s="428"/>
      <c r="DS139" s="427"/>
      <c r="DT139" s="454"/>
      <c r="DU139" s="454"/>
      <c r="DV139" s="428"/>
      <c r="DW139" s="427"/>
      <c r="DX139" s="454"/>
      <c r="DY139" s="454"/>
      <c r="DZ139" s="428"/>
      <c r="EA139" s="427"/>
      <c r="EB139" s="454"/>
      <c r="EC139" s="454"/>
      <c r="ED139" s="428"/>
      <c r="EE139" s="427"/>
      <c r="EF139" s="454"/>
      <c r="EG139" s="454"/>
      <c r="EH139" s="428"/>
      <c r="EI139" s="427"/>
      <c r="EJ139" s="454"/>
      <c r="EK139" s="454"/>
      <c r="EL139" s="428"/>
      <c r="EM139" s="427"/>
      <c r="EN139" s="454"/>
      <c r="EO139" s="454"/>
      <c r="EP139" s="428"/>
      <c r="EQ139" s="427"/>
      <c r="ER139" s="454"/>
      <c r="ES139" s="454"/>
      <c r="ET139" s="428"/>
      <c r="EU139" s="427"/>
      <c r="EV139" s="454"/>
      <c r="EW139" s="454"/>
      <c r="EX139" s="428"/>
      <c r="EY139" s="427"/>
      <c r="EZ139" s="454"/>
      <c r="FA139" s="454"/>
      <c r="FB139" s="428"/>
      <c r="FC139" s="427"/>
      <c r="FD139" s="454"/>
      <c r="FE139" s="454"/>
      <c r="FF139" s="428"/>
      <c r="FG139" s="427"/>
      <c r="FH139" s="454"/>
      <c r="FI139" s="454"/>
      <c r="FJ139" s="428"/>
      <c r="FK139" s="427"/>
      <c r="FL139" s="454"/>
      <c r="FM139" s="454"/>
      <c r="FN139" s="428"/>
      <c r="FO139" s="427"/>
      <c r="FP139" s="454"/>
      <c r="FQ139" s="454"/>
      <c r="FR139" s="428"/>
      <c r="FS139" s="427"/>
      <c r="FT139" s="454"/>
      <c r="FU139" s="454"/>
      <c r="FV139" s="428"/>
      <c r="FW139" s="427"/>
      <c r="FX139" s="454"/>
      <c r="FY139" s="454"/>
      <c r="FZ139" s="428"/>
      <c r="GA139" s="427"/>
      <c r="GB139" s="454"/>
      <c r="GC139" s="454"/>
      <c r="GD139" s="428"/>
      <c r="GE139" s="427"/>
      <c r="GF139" s="454"/>
      <c r="GG139" s="454"/>
      <c r="GH139" s="428"/>
      <c r="GI139" s="427"/>
      <c r="GJ139" s="454"/>
      <c r="GK139" s="454"/>
      <c r="GL139" s="428"/>
      <c r="GM139" s="427"/>
      <c r="GN139" s="454"/>
      <c r="GO139" s="454"/>
      <c r="GP139" s="428"/>
      <c r="GQ139" s="427"/>
      <c r="GR139" s="454"/>
      <c r="GS139" s="454"/>
      <c r="GT139" s="428"/>
      <c r="GU139" s="427"/>
      <c r="GV139" s="454"/>
      <c r="GW139" s="454"/>
      <c r="GX139" s="428"/>
      <c r="GY139" s="427"/>
      <c r="GZ139" s="454"/>
      <c r="HA139" s="454"/>
      <c r="HB139" s="428"/>
      <c r="HC139" s="434">
        <f t="shared" si="83"/>
        <v>0</v>
      </c>
      <c r="HD139" s="456"/>
      <c r="HE139" s="456"/>
      <c r="HF139" s="433"/>
      <c r="HG139" s="434">
        <f>SUM(SUMIFS(K139:HB139,$K$13:$HB$13,{"エネルギー管理指定工場等*","県域*"}))</f>
        <v>0</v>
      </c>
      <c r="HH139" s="456"/>
      <c r="HI139" s="456"/>
      <c r="HJ139" s="433"/>
    </row>
    <row r="140" spans="1:242" ht="20.100000000000001" customHeight="1">
      <c r="A140" s="164"/>
      <c r="B140" s="443" t="s">
        <v>1421</v>
      </c>
      <c r="C140" s="444"/>
      <c r="D140" s="444"/>
      <c r="E140" s="444"/>
      <c r="F140" s="444"/>
      <c r="G140" s="444"/>
      <c r="H140" s="467"/>
      <c r="I140" s="425"/>
      <c r="J140" s="426"/>
      <c r="K140" s="468"/>
      <c r="L140" s="469"/>
      <c r="M140" s="469"/>
      <c r="N140" s="482"/>
      <c r="O140" s="468"/>
      <c r="P140" s="469"/>
      <c r="Q140" s="469"/>
      <c r="R140" s="482"/>
      <c r="S140" s="468"/>
      <c r="T140" s="469"/>
      <c r="U140" s="469"/>
      <c r="V140" s="482"/>
      <c r="W140" s="468"/>
      <c r="X140" s="469"/>
      <c r="Y140" s="469"/>
      <c r="Z140" s="482"/>
      <c r="AA140" s="468"/>
      <c r="AB140" s="469"/>
      <c r="AC140" s="469"/>
      <c r="AD140" s="482"/>
      <c r="AE140" s="468"/>
      <c r="AF140" s="469"/>
      <c r="AG140" s="469"/>
      <c r="AH140" s="482"/>
      <c r="AI140" s="468"/>
      <c r="AJ140" s="469"/>
      <c r="AK140" s="469"/>
      <c r="AL140" s="482"/>
      <c r="AM140" s="468"/>
      <c r="AN140" s="469"/>
      <c r="AO140" s="469"/>
      <c r="AP140" s="482"/>
      <c r="AQ140" s="468"/>
      <c r="AR140" s="469"/>
      <c r="AS140" s="469"/>
      <c r="AT140" s="482"/>
      <c r="AU140" s="468"/>
      <c r="AV140" s="469"/>
      <c r="AW140" s="469"/>
      <c r="AX140" s="482"/>
      <c r="AY140" s="468"/>
      <c r="AZ140" s="469"/>
      <c r="BA140" s="469"/>
      <c r="BB140" s="482"/>
      <c r="BC140" s="468"/>
      <c r="BD140" s="469"/>
      <c r="BE140" s="469"/>
      <c r="BF140" s="482"/>
      <c r="BG140" s="468"/>
      <c r="BH140" s="469"/>
      <c r="BI140" s="469"/>
      <c r="BJ140" s="482"/>
      <c r="BK140" s="468"/>
      <c r="BL140" s="469"/>
      <c r="BM140" s="469"/>
      <c r="BN140" s="482"/>
      <c r="BO140" s="468"/>
      <c r="BP140" s="469"/>
      <c r="BQ140" s="469"/>
      <c r="BR140" s="482"/>
      <c r="BS140" s="468"/>
      <c r="BT140" s="469"/>
      <c r="BU140" s="469"/>
      <c r="BV140" s="482"/>
      <c r="BW140" s="468"/>
      <c r="BX140" s="469"/>
      <c r="BY140" s="469"/>
      <c r="BZ140" s="482"/>
      <c r="CA140" s="468"/>
      <c r="CB140" s="469"/>
      <c r="CC140" s="469"/>
      <c r="CD140" s="482"/>
      <c r="CE140" s="468"/>
      <c r="CF140" s="469"/>
      <c r="CG140" s="469"/>
      <c r="CH140" s="482"/>
      <c r="CI140" s="468"/>
      <c r="CJ140" s="469"/>
      <c r="CK140" s="469"/>
      <c r="CL140" s="482"/>
      <c r="CM140" s="468"/>
      <c r="CN140" s="469"/>
      <c r="CO140" s="469"/>
      <c r="CP140" s="482"/>
      <c r="CQ140" s="468"/>
      <c r="CR140" s="469"/>
      <c r="CS140" s="469"/>
      <c r="CT140" s="482"/>
      <c r="CU140" s="468"/>
      <c r="CV140" s="469"/>
      <c r="CW140" s="469"/>
      <c r="CX140" s="482"/>
      <c r="CY140" s="468"/>
      <c r="CZ140" s="469"/>
      <c r="DA140" s="469"/>
      <c r="DB140" s="482"/>
      <c r="DC140" s="468"/>
      <c r="DD140" s="469"/>
      <c r="DE140" s="469"/>
      <c r="DF140" s="482"/>
      <c r="DG140" s="468"/>
      <c r="DH140" s="469"/>
      <c r="DI140" s="469"/>
      <c r="DJ140" s="482"/>
      <c r="DK140" s="468"/>
      <c r="DL140" s="469"/>
      <c r="DM140" s="469"/>
      <c r="DN140" s="482"/>
      <c r="DO140" s="468"/>
      <c r="DP140" s="469"/>
      <c r="DQ140" s="469"/>
      <c r="DR140" s="482"/>
      <c r="DS140" s="468"/>
      <c r="DT140" s="469"/>
      <c r="DU140" s="469"/>
      <c r="DV140" s="482"/>
      <c r="DW140" s="468"/>
      <c r="DX140" s="469"/>
      <c r="DY140" s="469"/>
      <c r="DZ140" s="482"/>
      <c r="EA140" s="468"/>
      <c r="EB140" s="469"/>
      <c r="EC140" s="469"/>
      <c r="ED140" s="482"/>
      <c r="EE140" s="468"/>
      <c r="EF140" s="469"/>
      <c r="EG140" s="469"/>
      <c r="EH140" s="482"/>
      <c r="EI140" s="468"/>
      <c r="EJ140" s="469"/>
      <c r="EK140" s="469"/>
      <c r="EL140" s="482"/>
      <c r="EM140" s="468"/>
      <c r="EN140" s="469"/>
      <c r="EO140" s="469"/>
      <c r="EP140" s="482"/>
      <c r="EQ140" s="468"/>
      <c r="ER140" s="469"/>
      <c r="ES140" s="469"/>
      <c r="ET140" s="482"/>
      <c r="EU140" s="468"/>
      <c r="EV140" s="469"/>
      <c r="EW140" s="469"/>
      <c r="EX140" s="482"/>
      <c r="EY140" s="468"/>
      <c r="EZ140" s="469"/>
      <c r="FA140" s="469"/>
      <c r="FB140" s="482"/>
      <c r="FC140" s="468"/>
      <c r="FD140" s="469"/>
      <c r="FE140" s="469"/>
      <c r="FF140" s="482"/>
      <c r="FG140" s="468"/>
      <c r="FH140" s="469"/>
      <c r="FI140" s="469"/>
      <c r="FJ140" s="482"/>
      <c r="FK140" s="468"/>
      <c r="FL140" s="469"/>
      <c r="FM140" s="469"/>
      <c r="FN140" s="482"/>
      <c r="FO140" s="468"/>
      <c r="FP140" s="469"/>
      <c r="FQ140" s="469"/>
      <c r="FR140" s="482"/>
      <c r="FS140" s="468"/>
      <c r="FT140" s="469"/>
      <c r="FU140" s="469"/>
      <c r="FV140" s="482"/>
      <c r="FW140" s="468"/>
      <c r="FX140" s="469"/>
      <c r="FY140" s="469"/>
      <c r="FZ140" s="482"/>
      <c r="GA140" s="468"/>
      <c r="GB140" s="469"/>
      <c r="GC140" s="469"/>
      <c r="GD140" s="482"/>
      <c r="GE140" s="468"/>
      <c r="GF140" s="469"/>
      <c r="GG140" s="469"/>
      <c r="GH140" s="482"/>
      <c r="GI140" s="468"/>
      <c r="GJ140" s="469"/>
      <c r="GK140" s="469"/>
      <c r="GL140" s="482"/>
      <c r="GM140" s="468"/>
      <c r="GN140" s="469"/>
      <c r="GO140" s="469"/>
      <c r="GP140" s="482"/>
      <c r="GQ140" s="468"/>
      <c r="GR140" s="469"/>
      <c r="GS140" s="469"/>
      <c r="GT140" s="482"/>
      <c r="GU140" s="468"/>
      <c r="GV140" s="469"/>
      <c r="GW140" s="469"/>
      <c r="GX140" s="482"/>
      <c r="GY140" s="468"/>
      <c r="GZ140" s="469"/>
      <c r="HA140" s="469"/>
      <c r="HB140" s="482"/>
      <c r="HC140" s="446">
        <f t="shared" si="83"/>
        <v>0</v>
      </c>
      <c r="HD140" s="471"/>
      <c r="HE140" s="471"/>
      <c r="HF140" s="448"/>
      <c r="HG140" s="446">
        <f>SUM(SUMIFS(K140:HB140,$K$13:$HB$13,{"エネルギー管理指定工場等*","県域*"}))</f>
        <v>0</v>
      </c>
      <c r="HH140" s="471"/>
      <c r="HI140" s="471"/>
      <c r="HJ140" s="448"/>
    </row>
    <row r="141" spans="1:242" ht="20.100000000000001" customHeight="1">
      <c r="A141" s="164"/>
      <c r="B141" s="410" t="s">
        <v>1422</v>
      </c>
      <c r="C141" s="411"/>
      <c r="D141" s="411"/>
      <c r="E141" s="411"/>
      <c r="F141" s="411"/>
      <c r="G141" s="411"/>
      <c r="H141" s="436"/>
      <c r="I141" s="425"/>
      <c r="J141" s="426"/>
      <c r="K141" s="416"/>
      <c r="L141" s="449"/>
      <c r="M141" s="449"/>
      <c r="N141" s="417"/>
      <c r="O141" s="416"/>
      <c r="P141" s="449"/>
      <c r="Q141" s="449"/>
      <c r="R141" s="417"/>
      <c r="S141" s="416"/>
      <c r="T141" s="449"/>
      <c r="U141" s="449"/>
      <c r="V141" s="417"/>
      <c r="W141" s="416"/>
      <c r="X141" s="449"/>
      <c r="Y141" s="449"/>
      <c r="Z141" s="417"/>
      <c r="AA141" s="416"/>
      <c r="AB141" s="449"/>
      <c r="AC141" s="449"/>
      <c r="AD141" s="417"/>
      <c r="AE141" s="416"/>
      <c r="AF141" s="449"/>
      <c r="AG141" s="449"/>
      <c r="AH141" s="417"/>
      <c r="AI141" s="416"/>
      <c r="AJ141" s="449"/>
      <c r="AK141" s="449"/>
      <c r="AL141" s="417"/>
      <c r="AM141" s="416"/>
      <c r="AN141" s="449"/>
      <c r="AO141" s="449"/>
      <c r="AP141" s="417"/>
      <c r="AQ141" s="416"/>
      <c r="AR141" s="449"/>
      <c r="AS141" s="449"/>
      <c r="AT141" s="417"/>
      <c r="AU141" s="416"/>
      <c r="AV141" s="449"/>
      <c r="AW141" s="449"/>
      <c r="AX141" s="417"/>
      <c r="AY141" s="416"/>
      <c r="AZ141" s="449"/>
      <c r="BA141" s="449"/>
      <c r="BB141" s="417"/>
      <c r="BC141" s="416"/>
      <c r="BD141" s="449"/>
      <c r="BE141" s="449"/>
      <c r="BF141" s="417"/>
      <c r="BG141" s="416"/>
      <c r="BH141" s="449"/>
      <c r="BI141" s="449"/>
      <c r="BJ141" s="417"/>
      <c r="BK141" s="416"/>
      <c r="BL141" s="449"/>
      <c r="BM141" s="449"/>
      <c r="BN141" s="417"/>
      <c r="BO141" s="416"/>
      <c r="BP141" s="449"/>
      <c r="BQ141" s="449"/>
      <c r="BR141" s="417"/>
      <c r="BS141" s="416"/>
      <c r="BT141" s="449"/>
      <c r="BU141" s="449"/>
      <c r="BV141" s="417"/>
      <c r="BW141" s="416"/>
      <c r="BX141" s="449"/>
      <c r="BY141" s="449"/>
      <c r="BZ141" s="417"/>
      <c r="CA141" s="416"/>
      <c r="CB141" s="449"/>
      <c r="CC141" s="449"/>
      <c r="CD141" s="417"/>
      <c r="CE141" s="416"/>
      <c r="CF141" s="449"/>
      <c r="CG141" s="449"/>
      <c r="CH141" s="417"/>
      <c r="CI141" s="416"/>
      <c r="CJ141" s="449"/>
      <c r="CK141" s="449"/>
      <c r="CL141" s="417"/>
      <c r="CM141" s="416"/>
      <c r="CN141" s="449"/>
      <c r="CO141" s="449"/>
      <c r="CP141" s="417"/>
      <c r="CQ141" s="416"/>
      <c r="CR141" s="449"/>
      <c r="CS141" s="449"/>
      <c r="CT141" s="417"/>
      <c r="CU141" s="416"/>
      <c r="CV141" s="449"/>
      <c r="CW141" s="449"/>
      <c r="CX141" s="417"/>
      <c r="CY141" s="416"/>
      <c r="CZ141" s="449"/>
      <c r="DA141" s="449"/>
      <c r="DB141" s="417"/>
      <c r="DC141" s="416"/>
      <c r="DD141" s="449"/>
      <c r="DE141" s="449"/>
      <c r="DF141" s="417"/>
      <c r="DG141" s="416"/>
      <c r="DH141" s="449"/>
      <c r="DI141" s="449"/>
      <c r="DJ141" s="417"/>
      <c r="DK141" s="416"/>
      <c r="DL141" s="449"/>
      <c r="DM141" s="449"/>
      <c r="DN141" s="417"/>
      <c r="DO141" s="416"/>
      <c r="DP141" s="449"/>
      <c r="DQ141" s="449"/>
      <c r="DR141" s="417"/>
      <c r="DS141" s="416"/>
      <c r="DT141" s="449"/>
      <c r="DU141" s="449"/>
      <c r="DV141" s="417"/>
      <c r="DW141" s="416"/>
      <c r="DX141" s="449"/>
      <c r="DY141" s="449"/>
      <c r="DZ141" s="417"/>
      <c r="EA141" s="416"/>
      <c r="EB141" s="449"/>
      <c r="EC141" s="449"/>
      <c r="ED141" s="417"/>
      <c r="EE141" s="416"/>
      <c r="EF141" s="449"/>
      <c r="EG141" s="449"/>
      <c r="EH141" s="417"/>
      <c r="EI141" s="416"/>
      <c r="EJ141" s="449"/>
      <c r="EK141" s="449"/>
      <c r="EL141" s="417"/>
      <c r="EM141" s="416"/>
      <c r="EN141" s="449"/>
      <c r="EO141" s="449"/>
      <c r="EP141" s="417"/>
      <c r="EQ141" s="416"/>
      <c r="ER141" s="449"/>
      <c r="ES141" s="449"/>
      <c r="ET141" s="417"/>
      <c r="EU141" s="416"/>
      <c r="EV141" s="449"/>
      <c r="EW141" s="449"/>
      <c r="EX141" s="417"/>
      <c r="EY141" s="416"/>
      <c r="EZ141" s="449"/>
      <c r="FA141" s="449"/>
      <c r="FB141" s="417"/>
      <c r="FC141" s="416"/>
      <c r="FD141" s="449"/>
      <c r="FE141" s="449"/>
      <c r="FF141" s="417"/>
      <c r="FG141" s="416"/>
      <c r="FH141" s="449"/>
      <c r="FI141" s="449"/>
      <c r="FJ141" s="417"/>
      <c r="FK141" s="416"/>
      <c r="FL141" s="449"/>
      <c r="FM141" s="449"/>
      <c r="FN141" s="417"/>
      <c r="FO141" s="416"/>
      <c r="FP141" s="449"/>
      <c r="FQ141" s="449"/>
      <c r="FR141" s="417"/>
      <c r="FS141" s="416"/>
      <c r="FT141" s="449"/>
      <c r="FU141" s="449"/>
      <c r="FV141" s="417"/>
      <c r="FW141" s="416"/>
      <c r="FX141" s="449"/>
      <c r="FY141" s="449"/>
      <c r="FZ141" s="417"/>
      <c r="GA141" s="416"/>
      <c r="GB141" s="449"/>
      <c r="GC141" s="449"/>
      <c r="GD141" s="417"/>
      <c r="GE141" s="416"/>
      <c r="GF141" s="449"/>
      <c r="GG141" s="449"/>
      <c r="GH141" s="417"/>
      <c r="GI141" s="416"/>
      <c r="GJ141" s="449"/>
      <c r="GK141" s="449"/>
      <c r="GL141" s="417"/>
      <c r="GM141" s="416"/>
      <c r="GN141" s="449"/>
      <c r="GO141" s="449"/>
      <c r="GP141" s="417"/>
      <c r="GQ141" s="416"/>
      <c r="GR141" s="449"/>
      <c r="GS141" s="449"/>
      <c r="GT141" s="417"/>
      <c r="GU141" s="416"/>
      <c r="GV141" s="449"/>
      <c r="GW141" s="449"/>
      <c r="GX141" s="417"/>
      <c r="GY141" s="416"/>
      <c r="GZ141" s="449"/>
      <c r="HA141" s="449"/>
      <c r="HB141" s="417"/>
      <c r="HC141" s="418">
        <f t="shared" si="83"/>
        <v>0</v>
      </c>
      <c r="HD141" s="451"/>
      <c r="HE141" s="451"/>
      <c r="HF141" s="420"/>
      <c r="HG141" s="418">
        <f>SUM(SUMIFS(K141:HB141,$K$13:$HB$13,{"エネルギー管理指定工場等*","県域*"}))</f>
        <v>0</v>
      </c>
      <c r="HH141" s="451"/>
      <c r="HI141" s="451"/>
      <c r="HJ141" s="420"/>
    </row>
    <row r="142" spans="1:242" ht="20.100000000000001" customHeight="1">
      <c r="A142" s="164"/>
      <c r="B142" s="421" t="s">
        <v>1423</v>
      </c>
      <c r="C142" s="422"/>
      <c r="D142" s="422"/>
      <c r="E142" s="422"/>
      <c r="F142" s="422"/>
      <c r="G142" s="422"/>
      <c r="H142" s="453"/>
      <c r="I142" s="425"/>
      <c r="J142" s="426"/>
      <c r="K142" s="427"/>
      <c r="L142" s="454"/>
      <c r="M142" s="454"/>
      <c r="N142" s="428"/>
      <c r="O142" s="427"/>
      <c r="P142" s="454"/>
      <c r="Q142" s="454"/>
      <c r="R142" s="428"/>
      <c r="S142" s="427"/>
      <c r="T142" s="454"/>
      <c r="U142" s="454"/>
      <c r="V142" s="428"/>
      <c r="W142" s="427"/>
      <c r="X142" s="454"/>
      <c r="Y142" s="454"/>
      <c r="Z142" s="428"/>
      <c r="AA142" s="427"/>
      <c r="AB142" s="454"/>
      <c r="AC142" s="454"/>
      <c r="AD142" s="428"/>
      <c r="AE142" s="427"/>
      <c r="AF142" s="454"/>
      <c r="AG142" s="454"/>
      <c r="AH142" s="428"/>
      <c r="AI142" s="427"/>
      <c r="AJ142" s="454"/>
      <c r="AK142" s="454"/>
      <c r="AL142" s="428"/>
      <c r="AM142" s="427"/>
      <c r="AN142" s="454"/>
      <c r="AO142" s="454"/>
      <c r="AP142" s="428"/>
      <c r="AQ142" s="427"/>
      <c r="AR142" s="454"/>
      <c r="AS142" s="454"/>
      <c r="AT142" s="428"/>
      <c r="AU142" s="427"/>
      <c r="AV142" s="454"/>
      <c r="AW142" s="454"/>
      <c r="AX142" s="428"/>
      <c r="AY142" s="427"/>
      <c r="AZ142" s="454"/>
      <c r="BA142" s="454"/>
      <c r="BB142" s="428"/>
      <c r="BC142" s="427"/>
      <c r="BD142" s="454"/>
      <c r="BE142" s="454"/>
      <c r="BF142" s="428"/>
      <c r="BG142" s="427"/>
      <c r="BH142" s="454"/>
      <c r="BI142" s="454"/>
      <c r="BJ142" s="428"/>
      <c r="BK142" s="427"/>
      <c r="BL142" s="454"/>
      <c r="BM142" s="454"/>
      <c r="BN142" s="428"/>
      <c r="BO142" s="427"/>
      <c r="BP142" s="454"/>
      <c r="BQ142" s="454"/>
      <c r="BR142" s="428"/>
      <c r="BS142" s="427"/>
      <c r="BT142" s="454"/>
      <c r="BU142" s="454"/>
      <c r="BV142" s="428"/>
      <c r="BW142" s="427"/>
      <c r="BX142" s="454"/>
      <c r="BY142" s="454"/>
      <c r="BZ142" s="428"/>
      <c r="CA142" s="427"/>
      <c r="CB142" s="454"/>
      <c r="CC142" s="454"/>
      <c r="CD142" s="428"/>
      <c r="CE142" s="427"/>
      <c r="CF142" s="454"/>
      <c r="CG142" s="454"/>
      <c r="CH142" s="428"/>
      <c r="CI142" s="427"/>
      <c r="CJ142" s="454"/>
      <c r="CK142" s="454"/>
      <c r="CL142" s="428"/>
      <c r="CM142" s="427"/>
      <c r="CN142" s="454"/>
      <c r="CO142" s="454"/>
      <c r="CP142" s="428"/>
      <c r="CQ142" s="427"/>
      <c r="CR142" s="454"/>
      <c r="CS142" s="454"/>
      <c r="CT142" s="428"/>
      <c r="CU142" s="427"/>
      <c r="CV142" s="454"/>
      <c r="CW142" s="454"/>
      <c r="CX142" s="428"/>
      <c r="CY142" s="427"/>
      <c r="CZ142" s="454"/>
      <c r="DA142" s="454"/>
      <c r="DB142" s="428"/>
      <c r="DC142" s="427"/>
      <c r="DD142" s="454"/>
      <c r="DE142" s="454"/>
      <c r="DF142" s="428"/>
      <c r="DG142" s="427"/>
      <c r="DH142" s="454"/>
      <c r="DI142" s="454"/>
      <c r="DJ142" s="428"/>
      <c r="DK142" s="427"/>
      <c r="DL142" s="454"/>
      <c r="DM142" s="454"/>
      <c r="DN142" s="428"/>
      <c r="DO142" s="427"/>
      <c r="DP142" s="454"/>
      <c r="DQ142" s="454"/>
      <c r="DR142" s="428"/>
      <c r="DS142" s="427"/>
      <c r="DT142" s="454"/>
      <c r="DU142" s="454"/>
      <c r="DV142" s="428"/>
      <c r="DW142" s="427"/>
      <c r="DX142" s="454"/>
      <c r="DY142" s="454"/>
      <c r="DZ142" s="428"/>
      <c r="EA142" s="427"/>
      <c r="EB142" s="454"/>
      <c r="EC142" s="454"/>
      <c r="ED142" s="428"/>
      <c r="EE142" s="427"/>
      <c r="EF142" s="454"/>
      <c r="EG142" s="454"/>
      <c r="EH142" s="428"/>
      <c r="EI142" s="427"/>
      <c r="EJ142" s="454"/>
      <c r="EK142" s="454"/>
      <c r="EL142" s="428"/>
      <c r="EM142" s="427"/>
      <c r="EN142" s="454"/>
      <c r="EO142" s="454"/>
      <c r="EP142" s="428"/>
      <c r="EQ142" s="427"/>
      <c r="ER142" s="454"/>
      <c r="ES142" s="454"/>
      <c r="ET142" s="428"/>
      <c r="EU142" s="427"/>
      <c r="EV142" s="454"/>
      <c r="EW142" s="454"/>
      <c r="EX142" s="428"/>
      <c r="EY142" s="427"/>
      <c r="EZ142" s="454"/>
      <c r="FA142" s="454"/>
      <c r="FB142" s="428"/>
      <c r="FC142" s="427"/>
      <c r="FD142" s="454"/>
      <c r="FE142" s="454"/>
      <c r="FF142" s="428"/>
      <c r="FG142" s="427"/>
      <c r="FH142" s="454"/>
      <c r="FI142" s="454"/>
      <c r="FJ142" s="428"/>
      <c r="FK142" s="427"/>
      <c r="FL142" s="454"/>
      <c r="FM142" s="454"/>
      <c r="FN142" s="428"/>
      <c r="FO142" s="427"/>
      <c r="FP142" s="454"/>
      <c r="FQ142" s="454"/>
      <c r="FR142" s="428"/>
      <c r="FS142" s="427"/>
      <c r="FT142" s="454"/>
      <c r="FU142" s="454"/>
      <c r="FV142" s="428"/>
      <c r="FW142" s="427"/>
      <c r="FX142" s="454"/>
      <c r="FY142" s="454"/>
      <c r="FZ142" s="428"/>
      <c r="GA142" s="427"/>
      <c r="GB142" s="454"/>
      <c r="GC142" s="454"/>
      <c r="GD142" s="428"/>
      <c r="GE142" s="427"/>
      <c r="GF142" s="454"/>
      <c r="GG142" s="454"/>
      <c r="GH142" s="428"/>
      <c r="GI142" s="427"/>
      <c r="GJ142" s="454"/>
      <c r="GK142" s="454"/>
      <c r="GL142" s="428"/>
      <c r="GM142" s="427"/>
      <c r="GN142" s="454"/>
      <c r="GO142" s="454"/>
      <c r="GP142" s="428"/>
      <c r="GQ142" s="427"/>
      <c r="GR142" s="454"/>
      <c r="GS142" s="454"/>
      <c r="GT142" s="428"/>
      <c r="GU142" s="427"/>
      <c r="GV142" s="454"/>
      <c r="GW142" s="454"/>
      <c r="GX142" s="428"/>
      <c r="GY142" s="427"/>
      <c r="GZ142" s="454"/>
      <c r="HA142" s="454"/>
      <c r="HB142" s="428"/>
      <c r="HC142" s="434">
        <f t="shared" si="83"/>
        <v>0</v>
      </c>
      <c r="HD142" s="456"/>
      <c r="HE142" s="456"/>
      <c r="HF142" s="433"/>
      <c r="HG142" s="434">
        <f>SUM(SUMIFS(K142:HB142,$K$13:$HB$13,{"エネルギー管理指定工場等*","県域*"}))</f>
        <v>0</v>
      </c>
      <c r="HH142" s="456"/>
      <c r="HI142" s="456"/>
      <c r="HJ142" s="433"/>
    </row>
    <row r="143" spans="1:242" ht="20.100000000000001" customHeight="1">
      <c r="A143" s="164"/>
      <c r="B143" s="421" t="s">
        <v>1424</v>
      </c>
      <c r="C143" s="422"/>
      <c r="D143" s="422"/>
      <c r="E143" s="422"/>
      <c r="F143" s="422"/>
      <c r="G143" s="422"/>
      <c r="H143" s="453"/>
      <c r="I143" s="425"/>
      <c r="J143" s="426"/>
      <c r="K143" s="427"/>
      <c r="L143" s="454"/>
      <c r="M143" s="454"/>
      <c r="N143" s="428"/>
      <c r="O143" s="427"/>
      <c r="P143" s="454"/>
      <c r="Q143" s="454"/>
      <c r="R143" s="428"/>
      <c r="S143" s="427"/>
      <c r="T143" s="454"/>
      <c r="U143" s="454"/>
      <c r="V143" s="428"/>
      <c r="W143" s="427"/>
      <c r="X143" s="454"/>
      <c r="Y143" s="454"/>
      <c r="Z143" s="428"/>
      <c r="AA143" s="427"/>
      <c r="AB143" s="454"/>
      <c r="AC143" s="454"/>
      <c r="AD143" s="428"/>
      <c r="AE143" s="427"/>
      <c r="AF143" s="454"/>
      <c r="AG143" s="454"/>
      <c r="AH143" s="428"/>
      <c r="AI143" s="427"/>
      <c r="AJ143" s="454"/>
      <c r="AK143" s="454"/>
      <c r="AL143" s="428"/>
      <c r="AM143" s="427"/>
      <c r="AN143" s="454"/>
      <c r="AO143" s="454"/>
      <c r="AP143" s="428"/>
      <c r="AQ143" s="427"/>
      <c r="AR143" s="454"/>
      <c r="AS143" s="454"/>
      <c r="AT143" s="428"/>
      <c r="AU143" s="427"/>
      <c r="AV143" s="454"/>
      <c r="AW143" s="454"/>
      <c r="AX143" s="428"/>
      <c r="AY143" s="427"/>
      <c r="AZ143" s="454"/>
      <c r="BA143" s="454"/>
      <c r="BB143" s="428"/>
      <c r="BC143" s="427"/>
      <c r="BD143" s="454"/>
      <c r="BE143" s="454"/>
      <c r="BF143" s="428"/>
      <c r="BG143" s="427"/>
      <c r="BH143" s="454"/>
      <c r="BI143" s="454"/>
      <c r="BJ143" s="428"/>
      <c r="BK143" s="427"/>
      <c r="BL143" s="454"/>
      <c r="BM143" s="454"/>
      <c r="BN143" s="428"/>
      <c r="BO143" s="427"/>
      <c r="BP143" s="454"/>
      <c r="BQ143" s="454"/>
      <c r="BR143" s="428"/>
      <c r="BS143" s="427"/>
      <c r="BT143" s="454"/>
      <c r="BU143" s="454"/>
      <c r="BV143" s="428"/>
      <c r="BW143" s="427"/>
      <c r="BX143" s="454"/>
      <c r="BY143" s="454"/>
      <c r="BZ143" s="428"/>
      <c r="CA143" s="427"/>
      <c r="CB143" s="454"/>
      <c r="CC143" s="454"/>
      <c r="CD143" s="428"/>
      <c r="CE143" s="427"/>
      <c r="CF143" s="454"/>
      <c r="CG143" s="454"/>
      <c r="CH143" s="428"/>
      <c r="CI143" s="427"/>
      <c r="CJ143" s="454"/>
      <c r="CK143" s="454"/>
      <c r="CL143" s="428"/>
      <c r="CM143" s="427"/>
      <c r="CN143" s="454"/>
      <c r="CO143" s="454"/>
      <c r="CP143" s="428"/>
      <c r="CQ143" s="427"/>
      <c r="CR143" s="454"/>
      <c r="CS143" s="454"/>
      <c r="CT143" s="428"/>
      <c r="CU143" s="427"/>
      <c r="CV143" s="454"/>
      <c r="CW143" s="454"/>
      <c r="CX143" s="428"/>
      <c r="CY143" s="427"/>
      <c r="CZ143" s="454"/>
      <c r="DA143" s="454"/>
      <c r="DB143" s="428"/>
      <c r="DC143" s="427"/>
      <c r="DD143" s="454"/>
      <c r="DE143" s="454"/>
      <c r="DF143" s="428"/>
      <c r="DG143" s="427"/>
      <c r="DH143" s="454"/>
      <c r="DI143" s="454"/>
      <c r="DJ143" s="428"/>
      <c r="DK143" s="427"/>
      <c r="DL143" s="454"/>
      <c r="DM143" s="454"/>
      <c r="DN143" s="428"/>
      <c r="DO143" s="427"/>
      <c r="DP143" s="454"/>
      <c r="DQ143" s="454"/>
      <c r="DR143" s="428"/>
      <c r="DS143" s="427"/>
      <c r="DT143" s="454"/>
      <c r="DU143" s="454"/>
      <c r="DV143" s="428"/>
      <c r="DW143" s="427"/>
      <c r="DX143" s="454"/>
      <c r="DY143" s="454"/>
      <c r="DZ143" s="428"/>
      <c r="EA143" s="427"/>
      <c r="EB143" s="454"/>
      <c r="EC143" s="454"/>
      <c r="ED143" s="428"/>
      <c r="EE143" s="427"/>
      <c r="EF143" s="454"/>
      <c r="EG143" s="454"/>
      <c r="EH143" s="428"/>
      <c r="EI143" s="427"/>
      <c r="EJ143" s="454"/>
      <c r="EK143" s="454"/>
      <c r="EL143" s="428"/>
      <c r="EM143" s="427"/>
      <c r="EN143" s="454"/>
      <c r="EO143" s="454"/>
      <c r="EP143" s="428"/>
      <c r="EQ143" s="427"/>
      <c r="ER143" s="454"/>
      <c r="ES143" s="454"/>
      <c r="ET143" s="428"/>
      <c r="EU143" s="427"/>
      <c r="EV143" s="454"/>
      <c r="EW143" s="454"/>
      <c r="EX143" s="428"/>
      <c r="EY143" s="427"/>
      <c r="EZ143" s="454"/>
      <c r="FA143" s="454"/>
      <c r="FB143" s="428"/>
      <c r="FC143" s="427"/>
      <c r="FD143" s="454"/>
      <c r="FE143" s="454"/>
      <c r="FF143" s="428"/>
      <c r="FG143" s="427"/>
      <c r="FH143" s="454"/>
      <c r="FI143" s="454"/>
      <c r="FJ143" s="428"/>
      <c r="FK143" s="427"/>
      <c r="FL143" s="454"/>
      <c r="FM143" s="454"/>
      <c r="FN143" s="428"/>
      <c r="FO143" s="427"/>
      <c r="FP143" s="454"/>
      <c r="FQ143" s="454"/>
      <c r="FR143" s="428"/>
      <c r="FS143" s="427"/>
      <c r="FT143" s="454"/>
      <c r="FU143" s="454"/>
      <c r="FV143" s="428"/>
      <c r="FW143" s="427"/>
      <c r="FX143" s="454"/>
      <c r="FY143" s="454"/>
      <c r="FZ143" s="428"/>
      <c r="GA143" s="427"/>
      <c r="GB143" s="454"/>
      <c r="GC143" s="454"/>
      <c r="GD143" s="428"/>
      <c r="GE143" s="427"/>
      <c r="GF143" s="454"/>
      <c r="GG143" s="454"/>
      <c r="GH143" s="428"/>
      <c r="GI143" s="427"/>
      <c r="GJ143" s="454"/>
      <c r="GK143" s="454"/>
      <c r="GL143" s="428"/>
      <c r="GM143" s="427"/>
      <c r="GN143" s="454"/>
      <c r="GO143" s="454"/>
      <c r="GP143" s="428"/>
      <c r="GQ143" s="427"/>
      <c r="GR143" s="454"/>
      <c r="GS143" s="454"/>
      <c r="GT143" s="428"/>
      <c r="GU143" s="427"/>
      <c r="GV143" s="454"/>
      <c r="GW143" s="454"/>
      <c r="GX143" s="428"/>
      <c r="GY143" s="427"/>
      <c r="GZ143" s="454"/>
      <c r="HA143" s="454"/>
      <c r="HB143" s="428"/>
      <c r="HC143" s="434">
        <f t="shared" si="83"/>
        <v>0</v>
      </c>
      <c r="HD143" s="456"/>
      <c r="HE143" s="456"/>
      <c r="HF143" s="433"/>
      <c r="HG143" s="434">
        <f>SUM(SUMIFS(K143:HB143,$K$13:$HB$13,{"エネルギー管理指定工場等*","県域*"}))</f>
        <v>0</v>
      </c>
      <c r="HH143" s="456"/>
      <c r="HI143" s="456"/>
      <c r="HJ143" s="433"/>
    </row>
    <row r="144" spans="1:242" ht="20.100000000000001" customHeight="1">
      <c r="A144" s="164"/>
      <c r="B144" s="421" t="s">
        <v>1425</v>
      </c>
      <c r="C144" s="422"/>
      <c r="D144" s="422"/>
      <c r="E144" s="422"/>
      <c r="F144" s="422"/>
      <c r="G144" s="422"/>
      <c r="H144" s="453"/>
      <c r="I144" s="425"/>
      <c r="J144" s="426"/>
      <c r="K144" s="427"/>
      <c r="L144" s="454"/>
      <c r="M144" s="454"/>
      <c r="N144" s="428"/>
      <c r="O144" s="427"/>
      <c r="P144" s="454"/>
      <c r="Q144" s="454"/>
      <c r="R144" s="428"/>
      <c r="S144" s="427"/>
      <c r="T144" s="454"/>
      <c r="U144" s="454"/>
      <c r="V144" s="428"/>
      <c r="W144" s="427"/>
      <c r="X144" s="454"/>
      <c r="Y144" s="454"/>
      <c r="Z144" s="428"/>
      <c r="AA144" s="427"/>
      <c r="AB144" s="454"/>
      <c r="AC144" s="454"/>
      <c r="AD144" s="428"/>
      <c r="AE144" s="427"/>
      <c r="AF144" s="454"/>
      <c r="AG144" s="454"/>
      <c r="AH144" s="428"/>
      <c r="AI144" s="427"/>
      <c r="AJ144" s="454"/>
      <c r="AK144" s="454"/>
      <c r="AL144" s="428"/>
      <c r="AM144" s="427"/>
      <c r="AN144" s="454"/>
      <c r="AO144" s="454"/>
      <c r="AP144" s="428"/>
      <c r="AQ144" s="427"/>
      <c r="AR144" s="454"/>
      <c r="AS144" s="454"/>
      <c r="AT144" s="428"/>
      <c r="AU144" s="427"/>
      <c r="AV144" s="454"/>
      <c r="AW144" s="454"/>
      <c r="AX144" s="428"/>
      <c r="AY144" s="427"/>
      <c r="AZ144" s="454"/>
      <c r="BA144" s="454"/>
      <c r="BB144" s="428"/>
      <c r="BC144" s="427"/>
      <c r="BD144" s="454"/>
      <c r="BE144" s="454"/>
      <c r="BF144" s="428"/>
      <c r="BG144" s="427"/>
      <c r="BH144" s="454"/>
      <c r="BI144" s="454"/>
      <c r="BJ144" s="428"/>
      <c r="BK144" s="427"/>
      <c r="BL144" s="454"/>
      <c r="BM144" s="454"/>
      <c r="BN144" s="428"/>
      <c r="BO144" s="427"/>
      <c r="BP144" s="454"/>
      <c r="BQ144" s="454"/>
      <c r="BR144" s="428"/>
      <c r="BS144" s="427"/>
      <c r="BT144" s="454"/>
      <c r="BU144" s="454"/>
      <c r="BV144" s="428"/>
      <c r="BW144" s="427"/>
      <c r="BX144" s="454"/>
      <c r="BY144" s="454"/>
      <c r="BZ144" s="428"/>
      <c r="CA144" s="427"/>
      <c r="CB144" s="454"/>
      <c r="CC144" s="454"/>
      <c r="CD144" s="428"/>
      <c r="CE144" s="427"/>
      <c r="CF144" s="454"/>
      <c r="CG144" s="454"/>
      <c r="CH144" s="428"/>
      <c r="CI144" s="427"/>
      <c r="CJ144" s="454"/>
      <c r="CK144" s="454"/>
      <c r="CL144" s="428"/>
      <c r="CM144" s="427"/>
      <c r="CN144" s="454"/>
      <c r="CO144" s="454"/>
      <c r="CP144" s="428"/>
      <c r="CQ144" s="427"/>
      <c r="CR144" s="454"/>
      <c r="CS144" s="454"/>
      <c r="CT144" s="428"/>
      <c r="CU144" s="427"/>
      <c r="CV144" s="454"/>
      <c r="CW144" s="454"/>
      <c r="CX144" s="428"/>
      <c r="CY144" s="427"/>
      <c r="CZ144" s="454"/>
      <c r="DA144" s="454"/>
      <c r="DB144" s="428"/>
      <c r="DC144" s="427"/>
      <c r="DD144" s="454"/>
      <c r="DE144" s="454"/>
      <c r="DF144" s="428"/>
      <c r="DG144" s="427"/>
      <c r="DH144" s="454"/>
      <c r="DI144" s="454"/>
      <c r="DJ144" s="428"/>
      <c r="DK144" s="427"/>
      <c r="DL144" s="454"/>
      <c r="DM144" s="454"/>
      <c r="DN144" s="428"/>
      <c r="DO144" s="427"/>
      <c r="DP144" s="454"/>
      <c r="DQ144" s="454"/>
      <c r="DR144" s="428"/>
      <c r="DS144" s="427"/>
      <c r="DT144" s="454"/>
      <c r="DU144" s="454"/>
      <c r="DV144" s="428"/>
      <c r="DW144" s="427"/>
      <c r="DX144" s="454"/>
      <c r="DY144" s="454"/>
      <c r="DZ144" s="428"/>
      <c r="EA144" s="427"/>
      <c r="EB144" s="454"/>
      <c r="EC144" s="454"/>
      <c r="ED144" s="428"/>
      <c r="EE144" s="427"/>
      <c r="EF144" s="454"/>
      <c r="EG144" s="454"/>
      <c r="EH144" s="428"/>
      <c r="EI144" s="427"/>
      <c r="EJ144" s="454"/>
      <c r="EK144" s="454"/>
      <c r="EL144" s="428"/>
      <c r="EM144" s="427"/>
      <c r="EN144" s="454"/>
      <c r="EO144" s="454"/>
      <c r="EP144" s="428"/>
      <c r="EQ144" s="427"/>
      <c r="ER144" s="454"/>
      <c r="ES144" s="454"/>
      <c r="ET144" s="428"/>
      <c r="EU144" s="427"/>
      <c r="EV144" s="454"/>
      <c r="EW144" s="454"/>
      <c r="EX144" s="428"/>
      <c r="EY144" s="427"/>
      <c r="EZ144" s="454"/>
      <c r="FA144" s="454"/>
      <c r="FB144" s="428"/>
      <c r="FC144" s="427"/>
      <c r="FD144" s="454"/>
      <c r="FE144" s="454"/>
      <c r="FF144" s="428"/>
      <c r="FG144" s="427"/>
      <c r="FH144" s="454"/>
      <c r="FI144" s="454"/>
      <c r="FJ144" s="428"/>
      <c r="FK144" s="427"/>
      <c r="FL144" s="454"/>
      <c r="FM144" s="454"/>
      <c r="FN144" s="428"/>
      <c r="FO144" s="427"/>
      <c r="FP144" s="454"/>
      <c r="FQ144" s="454"/>
      <c r="FR144" s="428"/>
      <c r="FS144" s="427"/>
      <c r="FT144" s="454"/>
      <c r="FU144" s="454"/>
      <c r="FV144" s="428"/>
      <c r="FW144" s="427"/>
      <c r="FX144" s="454"/>
      <c r="FY144" s="454"/>
      <c r="FZ144" s="428"/>
      <c r="GA144" s="427"/>
      <c r="GB144" s="454"/>
      <c r="GC144" s="454"/>
      <c r="GD144" s="428"/>
      <c r="GE144" s="427"/>
      <c r="GF144" s="454"/>
      <c r="GG144" s="454"/>
      <c r="GH144" s="428"/>
      <c r="GI144" s="427"/>
      <c r="GJ144" s="454"/>
      <c r="GK144" s="454"/>
      <c r="GL144" s="428"/>
      <c r="GM144" s="427"/>
      <c r="GN144" s="454"/>
      <c r="GO144" s="454"/>
      <c r="GP144" s="428"/>
      <c r="GQ144" s="427"/>
      <c r="GR144" s="454"/>
      <c r="GS144" s="454"/>
      <c r="GT144" s="428"/>
      <c r="GU144" s="427"/>
      <c r="GV144" s="454"/>
      <c r="GW144" s="454"/>
      <c r="GX144" s="428"/>
      <c r="GY144" s="427"/>
      <c r="GZ144" s="454"/>
      <c r="HA144" s="454"/>
      <c r="HB144" s="428"/>
      <c r="HC144" s="434">
        <f t="shared" ref="HC144:HC160" si="84">K144+O144+S144+W144+AA144+AE144+AI144+AM144+AQ144+AU144+AY144+BC144+BG144+BK144+BO144+BS144+BW144+CA144+CE144+CI144+CM144+CQ144+CU144+CY144+DC144+DG144+DK144+DO144+DS144+DW144+EA144+EE144+EI144+EM144+EQ144+EU144+EY144+FC144+FG144+FK144+FO144+FS144+FW144+GA144+GE144+GI144+GM144+GQ144+GU144+GY144</f>
        <v>0</v>
      </c>
      <c r="HD144" s="456"/>
      <c r="HE144" s="456"/>
      <c r="HF144" s="433"/>
      <c r="HG144" s="434">
        <f>SUM(SUMIFS(K144:HB144,$K$13:$HB$13,{"エネルギー管理指定工場等*","県域*"}))</f>
        <v>0</v>
      </c>
      <c r="HH144" s="456"/>
      <c r="HI144" s="456"/>
      <c r="HJ144" s="433"/>
    </row>
    <row r="145" spans="1:218" ht="20.100000000000001" customHeight="1">
      <c r="A145" s="164"/>
      <c r="B145" s="421" t="s">
        <v>1426</v>
      </c>
      <c r="C145" s="422"/>
      <c r="D145" s="422"/>
      <c r="E145" s="422"/>
      <c r="F145" s="422"/>
      <c r="G145" s="422"/>
      <c r="H145" s="453"/>
      <c r="I145" s="425"/>
      <c r="J145" s="426"/>
      <c r="K145" s="427"/>
      <c r="L145" s="454"/>
      <c r="M145" s="454"/>
      <c r="N145" s="428"/>
      <c r="O145" s="427"/>
      <c r="P145" s="454"/>
      <c r="Q145" s="454"/>
      <c r="R145" s="428"/>
      <c r="S145" s="427"/>
      <c r="T145" s="454"/>
      <c r="U145" s="454"/>
      <c r="V145" s="428"/>
      <c r="W145" s="427"/>
      <c r="X145" s="454"/>
      <c r="Y145" s="454"/>
      <c r="Z145" s="428"/>
      <c r="AA145" s="427"/>
      <c r="AB145" s="454"/>
      <c r="AC145" s="454"/>
      <c r="AD145" s="428"/>
      <c r="AE145" s="427"/>
      <c r="AF145" s="454"/>
      <c r="AG145" s="454"/>
      <c r="AH145" s="428"/>
      <c r="AI145" s="427"/>
      <c r="AJ145" s="454"/>
      <c r="AK145" s="454"/>
      <c r="AL145" s="428"/>
      <c r="AM145" s="427"/>
      <c r="AN145" s="454"/>
      <c r="AO145" s="454"/>
      <c r="AP145" s="428"/>
      <c r="AQ145" s="427"/>
      <c r="AR145" s="454"/>
      <c r="AS145" s="454"/>
      <c r="AT145" s="428"/>
      <c r="AU145" s="427"/>
      <c r="AV145" s="454"/>
      <c r="AW145" s="454"/>
      <c r="AX145" s="428"/>
      <c r="AY145" s="427"/>
      <c r="AZ145" s="454"/>
      <c r="BA145" s="454"/>
      <c r="BB145" s="428"/>
      <c r="BC145" s="427"/>
      <c r="BD145" s="454"/>
      <c r="BE145" s="454"/>
      <c r="BF145" s="428"/>
      <c r="BG145" s="427"/>
      <c r="BH145" s="454"/>
      <c r="BI145" s="454"/>
      <c r="BJ145" s="428"/>
      <c r="BK145" s="427"/>
      <c r="BL145" s="454"/>
      <c r="BM145" s="454"/>
      <c r="BN145" s="428"/>
      <c r="BO145" s="427"/>
      <c r="BP145" s="454"/>
      <c r="BQ145" s="454"/>
      <c r="BR145" s="428"/>
      <c r="BS145" s="427"/>
      <c r="BT145" s="454"/>
      <c r="BU145" s="454"/>
      <c r="BV145" s="428"/>
      <c r="BW145" s="427"/>
      <c r="BX145" s="454"/>
      <c r="BY145" s="454"/>
      <c r="BZ145" s="428"/>
      <c r="CA145" s="427"/>
      <c r="CB145" s="454"/>
      <c r="CC145" s="454"/>
      <c r="CD145" s="428"/>
      <c r="CE145" s="427"/>
      <c r="CF145" s="454"/>
      <c r="CG145" s="454"/>
      <c r="CH145" s="428"/>
      <c r="CI145" s="427"/>
      <c r="CJ145" s="454"/>
      <c r="CK145" s="454"/>
      <c r="CL145" s="428"/>
      <c r="CM145" s="427"/>
      <c r="CN145" s="454"/>
      <c r="CO145" s="454"/>
      <c r="CP145" s="428"/>
      <c r="CQ145" s="427"/>
      <c r="CR145" s="454"/>
      <c r="CS145" s="454"/>
      <c r="CT145" s="428"/>
      <c r="CU145" s="427"/>
      <c r="CV145" s="454"/>
      <c r="CW145" s="454"/>
      <c r="CX145" s="428"/>
      <c r="CY145" s="427"/>
      <c r="CZ145" s="454"/>
      <c r="DA145" s="454"/>
      <c r="DB145" s="428"/>
      <c r="DC145" s="427"/>
      <c r="DD145" s="454"/>
      <c r="DE145" s="454"/>
      <c r="DF145" s="428"/>
      <c r="DG145" s="427"/>
      <c r="DH145" s="454"/>
      <c r="DI145" s="454"/>
      <c r="DJ145" s="428"/>
      <c r="DK145" s="427"/>
      <c r="DL145" s="454"/>
      <c r="DM145" s="454"/>
      <c r="DN145" s="428"/>
      <c r="DO145" s="427"/>
      <c r="DP145" s="454"/>
      <c r="DQ145" s="454"/>
      <c r="DR145" s="428"/>
      <c r="DS145" s="427"/>
      <c r="DT145" s="454"/>
      <c r="DU145" s="454"/>
      <c r="DV145" s="428"/>
      <c r="DW145" s="427"/>
      <c r="DX145" s="454"/>
      <c r="DY145" s="454"/>
      <c r="DZ145" s="428"/>
      <c r="EA145" s="427"/>
      <c r="EB145" s="454"/>
      <c r="EC145" s="454"/>
      <c r="ED145" s="428"/>
      <c r="EE145" s="427"/>
      <c r="EF145" s="454"/>
      <c r="EG145" s="454"/>
      <c r="EH145" s="428"/>
      <c r="EI145" s="427"/>
      <c r="EJ145" s="454"/>
      <c r="EK145" s="454"/>
      <c r="EL145" s="428"/>
      <c r="EM145" s="427"/>
      <c r="EN145" s="454"/>
      <c r="EO145" s="454"/>
      <c r="EP145" s="428"/>
      <c r="EQ145" s="427"/>
      <c r="ER145" s="454"/>
      <c r="ES145" s="454"/>
      <c r="ET145" s="428"/>
      <c r="EU145" s="427"/>
      <c r="EV145" s="454"/>
      <c r="EW145" s="454"/>
      <c r="EX145" s="428"/>
      <c r="EY145" s="427"/>
      <c r="EZ145" s="454"/>
      <c r="FA145" s="454"/>
      <c r="FB145" s="428"/>
      <c r="FC145" s="427"/>
      <c r="FD145" s="454"/>
      <c r="FE145" s="454"/>
      <c r="FF145" s="428"/>
      <c r="FG145" s="427"/>
      <c r="FH145" s="454"/>
      <c r="FI145" s="454"/>
      <c r="FJ145" s="428"/>
      <c r="FK145" s="427"/>
      <c r="FL145" s="454"/>
      <c r="FM145" s="454"/>
      <c r="FN145" s="428"/>
      <c r="FO145" s="427"/>
      <c r="FP145" s="454"/>
      <c r="FQ145" s="454"/>
      <c r="FR145" s="428"/>
      <c r="FS145" s="427"/>
      <c r="FT145" s="454"/>
      <c r="FU145" s="454"/>
      <c r="FV145" s="428"/>
      <c r="FW145" s="427"/>
      <c r="FX145" s="454"/>
      <c r="FY145" s="454"/>
      <c r="FZ145" s="428"/>
      <c r="GA145" s="427"/>
      <c r="GB145" s="454"/>
      <c r="GC145" s="454"/>
      <c r="GD145" s="428"/>
      <c r="GE145" s="427"/>
      <c r="GF145" s="454"/>
      <c r="GG145" s="454"/>
      <c r="GH145" s="428"/>
      <c r="GI145" s="427"/>
      <c r="GJ145" s="454"/>
      <c r="GK145" s="454"/>
      <c r="GL145" s="428"/>
      <c r="GM145" s="427"/>
      <c r="GN145" s="454"/>
      <c r="GO145" s="454"/>
      <c r="GP145" s="428"/>
      <c r="GQ145" s="427"/>
      <c r="GR145" s="454"/>
      <c r="GS145" s="454"/>
      <c r="GT145" s="428"/>
      <c r="GU145" s="427"/>
      <c r="GV145" s="454"/>
      <c r="GW145" s="454"/>
      <c r="GX145" s="428"/>
      <c r="GY145" s="427"/>
      <c r="GZ145" s="454"/>
      <c r="HA145" s="454"/>
      <c r="HB145" s="428"/>
      <c r="HC145" s="434">
        <f t="shared" si="84"/>
        <v>0</v>
      </c>
      <c r="HD145" s="456"/>
      <c r="HE145" s="456"/>
      <c r="HF145" s="433"/>
      <c r="HG145" s="434">
        <f>SUM(SUMIFS(K145:HB145,$K$13:$HB$13,{"エネルギー管理指定工場等*","県域*"}))</f>
        <v>0</v>
      </c>
      <c r="HH145" s="456"/>
      <c r="HI145" s="456"/>
      <c r="HJ145" s="433"/>
    </row>
    <row r="146" spans="1:218" ht="20.100000000000001" customHeight="1">
      <c r="A146" s="164"/>
      <c r="B146" s="421" t="s">
        <v>1427</v>
      </c>
      <c r="C146" s="422"/>
      <c r="D146" s="422"/>
      <c r="E146" s="422"/>
      <c r="F146" s="422"/>
      <c r="G146" s="422"/>
      <c r="H146" s="453"/>
      <c r="I146" s="425"/>
      <c r="J146" s="426"/>
      <c r="K146" s="427"/>
      <c r="L146" s="454"/>
      <c r="M146" s="454"/>
      <c r="N146" s="428"/>
      <c r="O146" s="427"/>
      <c r="P146" s="454"/>
      <c r="Q146" s="454"/>
      <c r="R146" s="428"/>
      <c r="S146" s="427"/>
      <c r="T146" s="454"/>
      <c r="U146" s="454"/>
      <c r="V146" s="428"/>
      <c r="W146" s="427"/>
      <c r="X146" s="454"/>
      <c r="Y146" s="454"/>
      <c r="Z146" s="428"/>
      <c r="AA146" s="427"/>
      <c r="AB146" s="454"/>
      <c r="AC146" s="454"/>
      <c r="AD146" s="428"/>
      <c r="AE146" s="427"/>
      <c r="AF146" s="454"/>
      <c r="AG146" s="454"/>
      <c r="AH146" s="428"/>
      <c r="AI146" s="427"/>
      <c r="AJ146" s="454"/>
      <c r="AK146" s="454"/>
      <c r="AL146" s="428"/>
      <c r="AM146" s="427"/>
      <c r="AN146" s="454"/>
      <c r="AO146" s="454"/>
      <c r="AP146" s="428"/>
      <c r="AQ146" s="427"/>
      <c r="AR146" s="454"/>
      <c r="AS146" s="454"/>
      <c r="AT146" s="428"/>
      <c r="AU146" s="427"/>
      <c r="AV146" s="454"/>
      <c r="AW146" s="454"/>
      <c r="AX146" s="428"/>
      <c r="AY146" s="427"/>
      <c r="AZ146" s="454"/>
      <c r="BA146" s="454"/>
      <c r="BB146" s="428"/>
      <c r="BC146" s="427"/>
      <c r="BD146" s="454"/>
      <c r="BE146" s="454"/>
      <c r="BF146" s="428"/>
      <c r="BG146" s="427"/>
      <c r="BH146" s="454"/>
      <c r="BI146" s="454"/>
      <c r="BJ146" s="428"/>
      <c r="BK146" s="427"/>
      <c r="BL146" s="454"/>
      <c r="BM146" s="454"/>
      <c r="BN146" s="428"/>
      <c r="BO146" s="427"/>
      <c r="BP146" s="454"/>
      <c r="BQ146" s="454"/>
      <c r="BR146" s="428"/>
      <c r="BS146" s="427"/>
      <c r="BT146" s="454"/>
      <c r="BU146" s="454"/>
      <c r="BV146" s="428"/>
      <c r="BW146" s="427"/>
      <c r="BX146" s="454"/>
      <c r="BY146" s="454"/>
      <c r="BZ146" s="428"/>
      <c r="CA146" s="427"/>
      <c r="CB146" s="454"/>
      <c r="CC146" s="454"/>
      <c r="CD146" s="428"/>
      <c r="CE146" s="427"/>
      <c r="CF146" s="454"/>
      <c r="CG146" s="454"/>
      <c r="CH146" s="428"/>
      <c r="CI146" s="427"/>
      <c r="CJ146" s="454"/>
      <c r="CK146" s="454"/>
      <c r="CL146" s="428"/>
      <c r="CM146" s="427"/>
      <c r="CN146" s="454"/>
      <c r="CO146" s="454"/>
      <c r="CP146" s="428"/>
      <c r="CQ146" s="427"/>
      <c r="CR146" s="454"/>
      <c r="CS146" s="454"/>
      <c r="CT146" s="428"/>
      <c r="CU146" s="427"/>
      <c r="CV146" s="454"/>
      <c r="CW146" s="454"/>
      <c r="CX146" s="428"/>
      <c r="CY146" s="427"/>
      <c r="CZ146" s="454"/>
      <c r="DA146" s="454"/>
      <c r="DB146" s="428"/>
      <c r="DC146" s="427"/>
      <c r="DD146" s="454"/>
      <c r="DE146" s="454"/>
      <c r="DF146" s="428"/>
      <c r="DG146" s="427"/>
      <c r="DH146" s="454"/>
      <c r="DI146" s="454"/>
      <c r="DJ146" s="428"/>
      <c r="DK146" s="427"/>
      <c r="DL146" s="454"/>
      <c r="DM146" s="454"/>
      <c r="DN146" s="428"/>
      <c r="DO146" s="427"/>
      <c r="DP146" s="454"/>
      <c r="DQ146" s="454"/>
      <c r="DR146" s="428"/>
      <c r="DS146" s="427"/>
      <c r="DT146" s="454"/>
      <c r="DU146" s="454"/>
      <c r="DV146" s="428"/>
      <c r="DW146" s="427"/>
      <c r="DX146" s="454"/>
      <c r="DY146" s="454"/>
      <c r="DZ146" s="428"/>
      <c r="EA146" s="427"/>
      <c r="EB146" s="454"/>
      <c r="EC146" s="454"/>
      <c r="ED146" s="428"/>
      <c r="EE146" s="427"/>
      <c r="EF146" s="454"/>
      <c r="EG146" s="454"/>
      <c r="EH146" s="428"/>
      <c r="EI146" s="427"/>
      <c r="EJ146" s="454"/>
      <c r="EK146" s="454"/>
      <c r="EL146" s="428"/>
      <c r="EM146" s="427"/>
      <c r="EN146" s="454"/>
      <c r="EO146" s="454"/>
      <c r="EP146" s="428"/>
      <c r="EQ146" s="427"/>
      <c r="ER146" s="454"/>
      <c r="ES146" s="454"/>
      <c r="ET146" s="428"/>
      <c r="EU146" s="427"/>
      <c r="EV146" s="454"/>
      <c r="EW146" s="454"/>
      <c r="EX146" s="428"/>
      <c r="EY146" s="427"/>
      <c r="EZ146" s="454"/>
      <c r="FA146" s="454"/>
      <c r="FB146" s="428"/>
      <c r="FC146" s="427"/>
      <c r="FD146" s="454"/>
      <c r="FE146" s="454"/>
      <c r="FF146" s="428"/>
      <c r="FG146" s="427"/>
      <c r="FH146" s="454"/>
      <c r="FI146" s="454"/>
      <c r="FJ146" s="428"/>
      <c r="FK146" s="427"/>
      <c r="FL146" s="454"/>
      <c r="FM146" s="454"/>
      <c r="FN146" s="428"/>
      <c r="FO146" s="427"/>
      <c r="FP146" s="454"/>
      <c r="FQ146" s="454"/>
      <c r="FR146" s="428"/>
      <c r="FS146" s="427"/>
      <c r="FT146" s="454"/>
      <c r="FU146" s="454"/>
      <c r="FV146" s="428"/>
      <c r="FW146" s="427"/>
      <c r="FX146" s="454"/>
      <c r="FY146" s="454"/>
      <c r="FZ146" s="428"/>
      <c r="GA146" s="427"/>
      <c r="GB146" s="454"/>
      <c r="GC146" s="454"/>
      <c r="GD146" s="428"/>
      <c r="GE146" s="427"/>
      <c r="GF146" s="454"/>
      <c r="GG146" s="454"/>
      <c r="GH146" s="428"/>
      <c r="GI146" s="427"/>
      <c r="GJ146" s="454"/>
      <c r="GK146" s="454"/>
      <c r="GL146" s="428"/>
      <c r="GM146" s="427"/>
      <c r="GN146" s="454"/>
      <c r="GO146" s="454"/>
      <c r="GP146" s="428"/>
      <c r="GQ146" s="427"/>
      <c r="GR146" s="454"/>
      <c r="GS146" s="454"/>
      <c r="GT146" s="428"/>
      <c r="GU146" s="427"/>
      <c r="GV146" s="454"/>
      <c r="GW146" s="454"/>
      <c r="GX146" s="428"/>
      <c r="GY146" s="427"/>
      <c r="GZ146" s="454"/>
      <c r="HA146" s="454"/>
      <c r="HB146" s="428"/>
      <c r="HC146" s="434">
        <f t="shared" si="84"/>
        <v>0</v>
      </c>
      <c r="HD146" s="456"/>
      <c r="HE146" s="456"/>
      <c r="HF146" s="433"/>
      <c r="HG146" s="434">
        <f>SUM(SUMIFS(K146:HB146,$K$13:$HB$13,{"エネルギー管理指定工場等*","県域*"}))</f>
        <v>0</v>
      </c>
      <c r="HH146" s="456"/>
      <c r="HI146" s="456"/>
      <c r="HJ146" s="433"/>
    </row>
    <row r="147" spans="1:218" ht="20.100000000000001" customHeight="1">
      <c r="A147" s="164"/>
      <c r="B147" s="421" t="s">
        <v>1428</v>
      </c>
      <c r="C147" s="422"/>
      <c r="D147" s="422"/>
      <c r="E147" s="422"/>
      <c r="F147" s="422"/>
      <c r="G147" s="422"/>
      <c r="H147" s="453"/>
      <c r="I147" s="425"/>
      <c r="J147" s="426"/>
      <c r="K147" s="427"/>
      <c r="L147" s="454"/>
      <c r="M147" s="454"/>
      <c r="N147" s="428"/>
      <c r="O147" s="427"/>
      <c r="P147" s="454"/>
      <c r="Q147" s="454"/>
      <c r="R147" s="428"/>
      <c r="S147" s="427"/>
      <c r="T147" s="454"/>
      <c r="U147" s="454"/>
      <c r="V147" s="428"/>
      <c r="W147" s="427"/>
      <c r="X147" s="454"/>
      <c r="Y147" s="454"/>
      <c r="Z147" s="428"/>
      <c r="AA147" s="427"/>
      <c r="AB147" s="454"/>
      <c r="AC147" s="454"/>
      <c r="AD147" s="428"/>
      <c r="AE147" s="427"/>
      <c r="AF147" s="454"/>
      <c r="AG147" s="454"/>
      <c r="AH147" s="428"/>
      <c r="AI147" s="427"/>
      <c r="AJ147" s="454"/>
      <c r="AK147" s="454"/>
      <c r="AL147" s="428"/>
      <c r="AM147" s="427"/>
      <c r="AN147" s="454"/>
      <c r="AO147" s="454"/>
      <c r="AP147" s="428"/>
      <c r="AQ147" s="427"/>
      <c r="AR147" s="454"/>
      <c r="AS147" s="454"/>
      <c r="AT147" s="428"/>
      <c r="AU147" s="427"/>
      <c r="AV147" s="454"/>
      <c r="AW147" s="454"/>
      <c r="AX147" s="428"/>
      <c r="AY147" s="427"/>
      <c r="AZ147" s="454"/>
      <c r="BA147" s="454"/>
      <c r="BB147" s="428"/>
      <c r="BC147" s="427"/>
      <c r="BD147" s="454"/>
      <c r="BE147" s="454"/>
      <c r="BF147" s="428"/>
      <c r="BG147" s="427"/>
      <c r="BH147" s="454"/>
      <c r="BI147" s="454"/>
      <c r="BJ147" s="428"/>
      <c r="BK147" s="427"/>
      <c r="BL147" s="454"/>
      <c r="BM147" s="454"/>
      <c r="BN147" s="428"/>
      <c r="BO147" s="427"/>
      <c r="BP147" s="454"/>
      <c r="BQ147" s="454"/>
      <c r="BR147" s="428"/>
      <c r="BS147" s="427"/>
      <c r="BT147" s="454"/>
      <c r="BU147" s="454"/>
      <c r="BV147" s="428"/>
      <c r="BW147" s="427"/>
      <c r="BX147" s="454"/>
      <c r="BY147" s="454"/>
      <c r="BZ147" s="428"/>
      <c r="CA147" s="427"/>
      <c r="CB147" s="454"/>
      <c r="CC147" s="454"/>
      <c r="CD147" s="428"/>
      <c r="CE147" s="427"/>
      <c r="CF147" s="454"/>
      <c r="CG147" s="454"/>
      <c r="CH147" s="428"/>
      <c r="CI147" s="427"/>
      <c r="CJ147" s="454"/>
      <c r="CK147" s="454"/>
      <c r="CL147" s="428"/>
      <c r="CM147" s="427"/>
      <c r="CN147" s="454"/>
      <c r="CO147" s="454"/>
      <c r="CP147" s="428"/>
      <c r="CQ147" s="427"/>
      <c r="CR147" s="454"/>
      <c r="CS147" s="454"/>
      <c r="CT147" s="428"/>
      <c r="CU147" s="427"/>
      <c r="CV147" s="454"/>
      <c r="CW147" s="454"/>
      <c r="CX147" s="428"/>
      <c r="CY147" s="427"/>
      <c r="CZ147" s="454"/>
      <c r="DA147" s="454"/>
      <c r="DB147" s="428"/>
      <c r="DC147" s="427"/>
      <c r="DD147" s="454"/>
      <c r="DE147" s="454"/>
      <c r="DF147" s="428"/>
      <c r="DG147" s="427"/>
      <c r="DH147" s="454"/>
      <c r="DI147" s="454"/>
      <c r="DJ147" s="428"/>
      <c r="DK147" s="427"/>
      <c r="DL147" s="454"/>
      <c r="DM147" s="454"/>
      <c r="DN147" s="428"/>
      <c r="DO147" s="427"/>
      <c r="DP147" s="454"/>
      <c r="DQ147" s="454"/>
      <c r="DR147" s="428"/>
      <c r="DS147" s="427"/>
      <c r="DT147" s="454"/>
      <c r="DU147" s="454"/>
      <c r="DV147" s="428"/>
      <c r="DW147" s="427"/>
      <c r="DX147" s="454"/>
      <c r="DY147" s="454"/>
      <c r="DZ147" s="428"/>
      <c r="EA147" s="427"/>
      <c r="EB147" s="454"/>
      <c r="EC147" s="454"/>
      <c r="ED147" s="428"/>
      <c r="EE147" s="427"/>
      <c r="EF147" s="454"/>
      <c r="EG147" s="454"/>
      <c r="EH147" s="428"/>
      <c r="EI147" s="427"/>
      <c r="EJ147" s="454"/>
      <c r="EK147" s="454"/>
      <c r="EL147" s="428"/>
      <c r="EM147" s="427"/>
      <c r="EN147" s="454"/>
      <c r="EO147" s="454"/>
      <c r="EP147" s="428"/>
      <c r="EQ147" s="427"/>
      <c r="ER147" s="454"/>
      <c r="ES147" s="454"/>
      <c r="ET147" s="428"/>
      <c r="EU147" s="427"/>
      <c r="EV147" s="454"/>
      <c r="EW147" s="454"/>
      <c r="EX147" s="428"/>
      <c r="EY147" s="427"/>
      <c r="EZ147" s="454"/>
      <c r="FA147" s="454"/>
      <c r="FB147" s="428"/>
      <c r="FC147" s="427"/>
      <c r="FD147" s="454"/>
      <c r="FE147" s="454"/>
      <c r="FF147" s="428"/>
      <c r="FG147" s="427"/>
      <c r="FH147" s="454"/>
      <c r="FI147" s="454"/>
      <c r="FJ147" s="428"/>
      <c r="FK147" s="427"/>
      <c r="FL147" s="454"/>
      <c r="FM147" s="454"/>
      <c r="FN147" s="428"/>
      <c r="FO147" s="427"/>
      <c r="FP147" s="454"/>
      <c r="FQ147" s="454"/>
      <c r="FR147" s="428"/>
      <c r="FS147" s="427"/>
      <c r="FT147" s="454"/>
      <c r="FU147" s="454"/>
      <c r="FV147" s="428"/>
      <c r="FW147" s="427"/>
      <c r="FX147" s="454"/>
      <c r="FY147" s="454"/>
      <c r="FZ147" s="428"/>
      <c r="GA147" s="427"/>
      <c r="GB147" s="454"/>
      <c r="GC147" s="454"/>
      <c r="GD147" s="428"/>
      <c r="GE147" s="427"/>
      <c r="GF147" s="454"/>
      <c r="GG147" s="454"/>
      <c r="GH147" s="428"/>
      <c r="GI147" s="427"/>
      <c r="GJ147" s="454"/>
      <c r="GK147" s="454"/>
      <c r="GL147" s="428"/>
      <c r="GM147" s="427"/>
      <c r="GN147" s="454"/>
      <c r="GO147" s="454"/>
      <c r="GP147" s="428"/>
      <c r="GQ147" s="427"/>
      <c r="GR147" s="454"/>
      <c r="GS147" s="454"/>
      <c r="GT147" s="428"/>
      <c r="GU147" s="427"/>
      <c r="GV147" s="454"/>
      <c r="GW147" s="454"/>
      <c r="GX147" s="428"/>
      <c r="GY147" s="427"/>
      <c r="GZ147" s="454"/>
      <c r="HA147" s="454"/>
      <c r="HB147" s="428"/>
      <c r="HC147" s="434">
        <f t="shared" si="84"/>
        <v>0</v>
      </c>
      <c r="HD147" s="456"/>
      <c r="HE147" s="456"/>
      <c r="HF147" s="433"/>
      <c r="HG147" s="434">
        <f>SUM(SUMIFS(K147:HB147,$K$13:$HB$13,{"エネルギー管理指定工場等*","県域*"}))</f>
        <v>0</v>
      </c>
      <c r="HH147" s="456"/>
      <c r="HI147" s="456"/>
      <c r="HJ147" s="433"/>
    </row>
    <row r="148" spans="1:218" ht="20.100000000000001" customHeight="1">
      <c r="A148" s="164"/>
      <c r="B148" s="421" t="s">
        <v>1429</v>
      </c>
      <c r="C148" s="422"/>
      <c r="D148" s="422"/>
      <c r="E148" s="422"/>
      <c r="F148" s="422"/>
      <c r="G148" s="422"/>
      <c r="H148" s="453"/>
      <c r="I148" s="425"/>
      <c r="J148" s="426"/>
      <c r="K148" s="427"/>
      <c r="L148" s="454"/>
      <c r="M148" s="454"/>
      <c r="N148" s="428"/>
      <c r="O148" s="427"/>
      <c r="P148" s="454"/>
      <c r="Q148" s="454"/>
      <c r="R148" s="428"/>
      <c r="S148" s="427"/>
      <c r="T148" s="454"/>
      <c r="U148" s="454"/>
      <c r="V148" s="428"/>
      <c r="W148" s="427"/>
      <c r="X148" s="454"/>
      <c r="Y148" s="454"/>
      <c r="Z148" s="428"/>
      <c r="AA148" s="427"/>
      <c r="AB148" s="454"/>
      <c r="AC148" s="454"/>
      <c r="AD148" s="428"/>
      <c r="AE148" s="427"/>
      <c r="AF148" s="454"/>
      <c r="AG148" s="454"/>
      <c r="AH148" s="428"/>
      <c r="AI148" s="427"/>
      <c r="AJ148" s="454"/>
      <c r="AK148" s="454"/>
      <c r="AL148" s="428"/>
      <c r="AM148" s="427"/>
      <c r="AN148" s="454"/>
      <c r="AO148" s="454"/>
      <c r="AP148" s="428"/>
      <c r="AQ148" s="427"/>
      <c r="AR148" s="454"/>
      <c r="AS148" s="454"/>
      <c r="AT148" s="428"/>
      <c r="AU148" s="427"/>
      <c r="AV148" s="454"/>
      <c r="AW148" s="454"/>
      <c r="AX148" s="428"/>
      <c r="AY148" s="427"/>
      <c r="AZ148" s="454"/>
      <c r="BA148" s="454"/>
      <c r="BB148" s="428"/>
      <c r="BC148" s="427"/>
      <c r="BD148" s="454"/>
      <c r="BE148" s="454"/>
      <c r="BF148" s="428"/>
      <c r="BG148" s="427"/>
      <c r="BH148" s="454"/>
      <c r="BI148" s="454"/>
      <c r="BJ148" s="428"/>
      <c r="BK148" s="427"/>
      <c r="BL148" s="454"/>
      <c r="BM148" s="454"/>
      <c r="BN148" s="428"/>
      <c r="BO148" s="427"/>
      <c r="BP148" s="454"/>
      <c r="BQ148" s="454"/>
      <c r="BR148" s="428"/>
      <c r="BS148" s="427"/>
      <c r="BT148" s="454"/>
      <c r="BU148" s="454"/>
      <c r="BV148" s="428"/>
      <c r="BW148" s="427"/>
      <c r="BX148" s="454"/>
      <c r="BY148" s="454"/>
      <c r="BZ148" s="428"/>
      <c r="CA148" s="427"/>
      <c r="CB148" s="454"/>
      <c r="CC148" s="454"/>
      <c r="CD148" s="428"/>
      <c r="CE148" s="427"/>
      <c r="CF148" s="454"/>
      <c r="CG148" s="454"/>
      <c r="CH148" s="428"/>
      <c r="CI148" s="427"/>
      <c r="CJ148" s="454"/>
      <c r="CK148" s="454"/>
      <c r="CL148" s="428"/>
      <c r="CM148" s="427"/>
      <c r="CN148" s="454"/>
      <c r="CO148" s="454"/>
      <c r="CP148" s="428"/>
      <c r="CQ148" s="427"/>
      <c r="CR148" s="454"/>
      <c r="CS148" s="454"/>
      <c r="CT148" s="428"/>
      <c r="CU148" s="427"/>
      <c r="CV148" s="454"/>
      <c r="CW148" s="454"/>
      <c r="CX148" s="428"/>
      <c r="CY148" s="427"/>
      <c r="CZ148" s="454"/>
      <c r="DA148" s="454"/>
      <c r="DB148" s="428"/>
      <c r="DC148" s="427"/>
      <c r="DD148" s="454"/>
      <c r="DE148" s="454"/>
      <c r="DF148" s="428"/>
      <c r="DG148" s="427"/>
      <c r="DH148" s="454"/>
      <c r="DI148" s="454"/>
      <c r="DJ148" s="428"/>
      <c r="DK148" s="427"/>
      <c r="DL148" s="454"/>
      <c r="DM148" s="454"/>
      <c r="DN148" s="428"/>
      <c r="DO148" s="427"/>
      <c r="DP148" s="454"/>
      <c r="DQ148" s="454"/>
      <c r="DR148" s="428"/>
      <c r="DS148" s="427"/>
      <c r="DT148" s="454"/>
      <c r="DU148" s="454"/>
      <c r="DV148" s="428"/>
      <c r="DW148" s="427"/>
      <c r="DX148" s="454"/>
      <c r="DY148" s="454"/>
      <c r="DZ148" s="428"/>
      <c r="EA148" s="427"/>
      <c r="EB148" s="454"/>
      <c r="EC148" s="454"/>
      <c r="ED148" s="428"/>
      <c r="EE148" s="427"/>
      <c r="EF148" s="454"/>
      <c r="EG148" s="454"/>
      <c r="EH148" s="428"/>
      <c r="EI148" s="427"/>
      <c r="EJ148" s="454"/>
      <c r="EK148" s="454"/>
      <c r="EL148" s="428"/>
      <c r="EM148" s="427"/>
      <c r="EN148" s="454"/>
      <c r="EO148" s="454"/>
      <c r="EP148" s="428"/>
      <c r="EQ148" s="427"/>
      <c r="ER148" s="454"/>
      <c r="ES148" s="454"/>
      <c r="ET148" s="428"/>
      <c r="EU148" s="427"/>
      <c r="EV148" s="454"/>
      <c r="EW148" s="454"/>
      <c r="EX148" s="428"/>
      <c r="EY148" s="427"/>
      <c r="EZ148" s="454"/>
      <c r="FA148" s="454"/>
      <c r="FB148" s="428"/>
      <c r="FC148" s="427"/>
      <c r="FD148" s="454"/>
      <c r="FE148" s="454"/>
      <c r="FF148" s="428"/>
      <c r="FG148" s="427"/>
      <c r="FH148" s="454"/>
      <c r="FI148" s="454"/>
      <c r="FJ148" s="428"/>
      <c r="FK148" s="427"/>
      <c r="FL148" s="454"/>
      <c r="FM148" s="454"/>
      <c r="FN148" s="428"/>
      <c r="FO148" s="427"/>
      <c r="FP148" s="454"/>
      <c r="FQ148" s="454"/>
      <c r="FR148" s="428"/>
      <c r="FS148" s="427"/>
      <c r="FT148" s="454"/>
      <c r="FU148" s="454"/>
      <c r="FV148" s="428"/>
      <c r="FW148" s="427"/>
      <c r="FX148" s="454"/>
      <c r="FY148" s="454"/>
      <c r="FZ148" s="428"/>
      <c r="GA148" s="427"/>
      <c r="GB148" s="454"/>
      <c r="GC148" s="454"/>
      <c r="GD148" s="428"/>
      <c r="GE148" s="427"/>
      <c r="GF148" s="454"/>
      <c r="GG148" s="454"/>
      <c r="GH148" s="428"/>
      <c r="GI148" s="427"/>
      <c r="GJ148" s="454"/>
      <c r="GK148" s="454"/>
      <c r="GL148" s="428"/>
      <c r="GM148" s="427"/>
      <c r="GN148" s="454"/>
      <c r="GO148" s="454"/>
      <c r="GP148" s="428"/>
      <c r="GQ148" s="427"/>
      <c r="GR148" s="454"/>
      <c r="GS148" s="454"/>
      <c r="GT148" s="428"/>
      <c r="GU148" s="427"/>
      <c r="GV148" s="454"/>
      <c r="GW148" s="454"/>
      <c r="GX148" s="428"/>
      <c r="GY148" s="427"/>
      <c r="GZ148" s="454"/>
      <c r="HA148" s="454"/>
      <c r="HB148" s="428"/>
      <c r="HC148" s="434">
        <f t="shared" si="84"/>
        <v>0</v>
      </c>
      <c r="HD148" s="456"/>
      <c r="HE148" s="456"/>
      <c r="HF148" s="433"/>
      <c r="HG148" s="434">
        <f>SUM(SUMIFS(K148:HB148,$K$13:$HB$13,{"エネルギー管理指定工場等*","県域*"}))</f>
        <v>0</v>
      </c>
      <c r="HH148" s="456"/>
      <c r="HI148" s="456"/>
      <c r="HJ148" s="433"/>
    </row>
    <row r="149" spans="1:218" ht="20.100000000000001" customHeight="1">
      <c r="A149" s="164"/>
      <c r="B149" s="421" t="s">
        <v>1430</v>
      </c>
      <c r="C149" s="422"/>
      <c r="D149" s="422"/>
      <c r="E149" s="422"/>
      <c r="F149" s="422"/>
      <c r="G149" s="422"/>
      <c r="H149" s="453"/>
      <c r="I149" s="425"/>
      <c r="J149" s="426"/>
      <c r="K149" s="427"/>
      <c r="L149" s="454"/>
      <c r="M149" s="454"/>
      <c r="N149" s="428"/>
      <c r="O149" s="427"/>
      <c r="P149" s="454"/>
      <c r="Q149" s="454"/>
      <c r="R149" s="428"/>
      <c r="S149" s="427"/>
      <c r="T149" s="454"/>
      <c r="U149" s="454"/>
      <c r="V149" s="428"/>
      <c r="W149" s="427"/>
      <c r="X149" s="454"/>
      <c r="Y149" s="454"/>
      <c r="Z149" s="428"/>
      <c r="AA149" s="427"/>
      <c r="AB149" s="454"/>
      <c r="AC149" s="454"/>
      <c r="AD149" s="428"/>
      <c r="AE149" s="427"/>
      <c r="AF149" s="454"/>
      <c r="AG149" s="454"/>
      <c r="AH149" s="428"/>
      <c r="AI149" s="427"/>
      <c r="AJ149" s="454"/>
      <c r="AK149" s="454"/>
      <c r="AL149" s="428"/>
      <c r="AM149" s="427"/>
      <c r="AN149" s="454"/>
      <c r="AO149" s="454"/>
      <c r="AP149" s="428"/>
      <c r="AQ149" s="427"/>
      <c r="AR149" s="454"/>
      <c r="AS149" s="454"/>
      <c r="AT149" s="428"/>
      <c r="AU149" s="427"/>
      <c r="AV149" s="454"/>
      <c r="AW149" s="454"/>
      <c r="AX149" s="428"/>
      <c r="AY149" s="427"/>
      <c r="AZ149" s="454"/>
      <c r="BA149" s="454"/>
      <c r="BB149" s="428"/>
      <c r="BC149" s="427"/>
      <c r="BD149" s="454"/>
      <c r="BE149" s="454"/>
      <c r="BF149" s="428"/>
      <c r="BG149" s="427"/>
      <c r="BH149" s="454"/>
      <c r="BI149" s="454"/>
      <c r="BJ149" s="428"/>
      <c r="BK149" s="427"/>
      <c r="BL149" s="454"/>
      <c r="BM149" s="454"/>
      <c r="BN149" s="428"/>
      <c r="BO149" s="427"/>
      <c r="BP149" s="454"/>
      <c r="BQ149" s="454"/>
      <c r="BR149" s="428"/>
      <c r="BS149" s="427"/>
      <c r="BT149" s="454"/>
      <c r="BU149" s="454"/>
      <c r="BV149" s="428"/>
      <c r="BW149" s="427"/>
      <c r="BX149" s="454"/>
      <c r="BY149" s="454"/>
      <c r="BZ149" s="428"/>
      <c r="CA149" s="427"/>
      <c r="CB149" s="454"/>
      <c r="CC149" s="454"/>
      <c r="CD149" s="428"/>
      <c r="CE149" s="427"/>
      <c r="CF149" s="454"/>
      <c r="CG149" s="454"/>
      <c r="CH149" s="428"/>
      <c r="CI149" s="427"/>
      <c r="CJ149" s="454"/>
      <c r="CK149" s="454"/>
      <c r="CL149" s="428"/>
      <c r="CM149" s="427"/>
      <c r="CN149" s="454"/>
      <c r="CO149" s="454"/>
      <c r="CP149" s="428"/>
      <c r="CQ149" s="427"/>
      <c r="CR149" s="454"/>
      <c r="CS149" s="454"/>
      <c r="CT149" s="428"/>
      <c r="CU149" s="427"/>
      <c r="CV149" s="454"/>
      <c r="CW149" s="454"/>
      <c r="CX149" s="428"/>
      <c r="CY149" s="427"/>
      <c r="CZ149" s="454"/>
      <c r="DA149" s="454"/>
      <c r="DB149" s="428"/>
      <c r="DC149" s="427"/>
      <c r="DD149" s="454"/>
      <c r="DE149" s="454"/>
      <c r="DF149" s="428"/>
      <c r="DG149" s="427"/>
      <c r="DH149" s="454"/>
      <c r="DI149" s="454"/>
      <c r="DJ149" s="428"/>
      <c r="DK149" s="427"/>
      <c r="DL149" s="454"/>
      <c r="DM149" s="454"/>
      <c r="DN149" s="428"/>
      <c r="DO149" s="427"/>
      <c r="DP149" s="454"/>
      <c r="DQ149" s="454"/>
      <c r="DR149" s="428"/>
      <c r="DS149" s="427"/>
      <c r="DT149" s="454"/>
      <c r="DU149" s="454"/>
      <c r="DV149" s="428"/>
      <c r="DW149" s="427"/>
      <c r="DX149" s="454"/>
      <c r="DY149" s="454"/>
      <c r="DZ149" s="428"/>
      <c r="EA149" s="427"/>
      <c r="EB149" s="454"/>
      <c r="EC149" s="454"/>
      <c r="ED149" s="428"/>
      <c r="EE149" s="427"/>
      <c r="EF149" s="454"/>
      <c r="EG149" s="454"/>
      <c r="EH149" s="428"/>
      <c r="EI149" s="427"/>
      <c r="EJ149" s="454"/>
      <c r="EK149" s="454"/>
      <c r="EL149" s="428"/>
      <c r="EM149" s="427"/>
      <c r="EN149" s="454"/>
      <c r="EO149" s="454"/>
      <c r="EP149" s="428"/>
      <c r="EQ149" s="427"/>
      <c r="ER149" s="454"/>
      <c r="ES149" s="454"/>
      <c r="ET149" s="428"/>
      <c r="EU149" s="427"/>
      <c r="EV149" s="454"/>
      <c r="EW149" s="454"/>
      <c r="EX149" s="428"/>
      <c r="EY149" s="427"/>
      <c r="EZ149" s="454"/>
      <c r="FA149" s="454"/>
      <c r="FB149" s="428"/>
      <c r="FC149" s="427"/>
      <c r="FD149" s="454"/>
      <c r="FE149" s="454"/>
      <c r="FF149" s="428"/>
      <c r="FG149" s="427"/>
      <c r="FH149" s="454"/>
      <c r="FI149" s="454"/>
      <c r="FJ149" s="428"/>
      <c r="FK149" s="427"/>
      <c r="FL149" s="454"/>
      <c r="FM149" s="454"/>
      <c r="FN149" s="428"/>
      <c r="FO149" s="427"/>
      <c r="FP149" s="454"/>
      <c r="FQ149" s="454"/>
      <c r="FR149" s="428"/>
      <c r="FS149" s="427"/>
      <c r="FT149" s="454"/>
      <c r="FU149" s="454"/>
      <c r="FV149" s="428"/>
      <c r="FW149" s="427"/>
      <c r="FX149" s="454"/>
      <c r="FY149" s="454"/>
      <c r="FZ149" s="428"/>
      <c r="GA149" s="427"/>
      <c r="GB149" s="454"/>
      <c r="GC149" s="454"/>
      <c r="GD149" s="428"/>
      <c r="GE149" s="427"/>
      <c r="GF149" s="454"/>
      <c r="GG149" s="454"/>
      <c r="GH149" s="428"/>
      <c r="GI149" s="427"/>
      <c r="GJ149" s="454"/>
      <c r="GK149" s="454"/>
      <c r="GL149" s="428"/>
      <c r="GM149" s="427"/>
      <c r="GN149" s="454"/>
      <c r="GO149" s="454"/>
      <c r="GP149" s="428"/>
      <c r="GQ149" s="427"/>
      <c r="GR149" s="454"/>
      <c r="GS149" s="454"/>
      <c r="GT149" s="428"/>
      <c r="GU149" s="427"/>
      <c r="GV149" s="454"/>
      <c r="GW149" s="454"/>
      <c r="GX149" s="428"/>
      <c r="GY149" s="427"/>
      <c r="GZ149" s="454"/>
      <c r="HA149" s="454"/>
      <c r="HB149" s="428"/>
      <c r="HC149" s="434">
        <f t="shared" si="84"/>
        <v>0</v>
      </c>
      <c r="HD149" s="456"/>
      <c r="HE149" s="456"/>
      <c r="HF149" s="433"/>
      <c r="HG149" s="434">
        <f>SUM(SUMIFS(K149:HB149,$K$13:$HB$13,{"エネルギー管理指定工場等*","県域*"}))</f>
        <v>0</v>
      </c>
      <c r="HH149" s="456"/>
      <c r="HI149" s="456"/>
      <c r="HJ149" s="433"/>
    </row>
    <row r="150" spans="1:218" ht="20.100000000000001" customHeight="1">
      <c r="A150" s="164"/>
      <c r="B150" s="443" t="s">
        <v>1431</v>
      </c>
      <c r="C150" s="444"/>
      <c r="D150" s="444"/>
      <c r="E150" s="444"/>
      <c r="F150" s="444"/>
      <c r="G150" s="444"/>
      <c r="H150" s="467"/>
      <c r="I150" s="425"/>
      <c r="J150" s="426"/>
      <c r="K150" s="468"/>
      <c r="L150" s="469"/>
      <c r="M150" s="469"/>
      <c r="N150" s="482"/>
      <c r="O150" s="468"/>
      <c r="P150" s="469"/>
      <c r="Q150" s="469"/>
      <c r="R150" s="482"/>
      <c r="S150" s="468"/>
      <c r="T150" s="469"/>
      <c r="U150" s="469"/>
      <c r="V150" s="482"/>
      <c r="W150" s="468"/>
      <c r="X150" s="469"/>
      <c r="Y150" s="469"/>
      <c r="Z150" s="482"/>
      <c r="AA150" s="468"/>
      <c r="AB150" s="469"/>
      <c r="AC150" s="469"/>
      <c r="AD150" s="482"/>
      <c r="AE150" s="468"/>
      <c r="AF150" s="469"/>
      <c r="AG150" s="469"/>
      <c r="AH150" s="482"/>
      <c r="AI150" s="468"/>
      <c r="AJ150" s="469"/>
      <c r="AK150" s="469"/>
      <c r="AL150" s="482"/>
      <c r="AM150" s="468"/>
      <c r="AN150" s="469"/>
      <c r="AO150" s="469"/>
      <c r="AP150" s="482"/>
      <c r="AQ150" s="468"/>
      <c r="AR150" s="469"/>
      <c r="AS150" s="469"/>
      <c r="AT150" s="482"/>
      <c r="AU150" s="468"/>
      <c r="AV150" s="469"/>
      <c r="AW150" s="469"/>
      <c r="AX150" s="482"/>
      <c r="AY150" s="468"/>
      <c r="AZ150" s="469"/>
      <c r="BA150" s="469"/>
      <c r="BB150" s="482"/>
      <c r="BC150" s="468"/>
      <c r="BD150" s="469"/>
      <c r="BE150" s="469"/>
      <c r="BF150" s="482"/>
      <c r="BG150" s="468"/>
      <c r="BH150" s="469"/>
      <c r="BI150" s="469"/>
      <c r="BJ150" s="482"/>
      <c r="BK150" s="468"/>
      <c r="BL150" s="469"/>
      <c r="BM150" s="469"/>
      <c r="BN150" s="482"/>
      <c r="BO150" s="468"/>
      <c r="BP150" s="469"/>
      <c r="BQ150" s="469"/>
      <c r="BR150" s="482"/>
      <c r="BS150" s="468"/>
      <c r="BT150" s="469"/>
      <c r="BU150" s="469"/>
      <c r="BV150" s="482"/>
      <c r="BW150" s="468"/>
      <c r="BX150" s="469"/>
      <c r="BY150" s="469"/>
      <c r="BZ150" s="482"/>
      <c r="CA150" s="468"/>
      <c r="CB150" s="469"/>
      <c r="CC150" s="469"/>
      <c r="CD150" s="482"/>
      <c r="CE150" s="468"/>
      <c r="CF150" s="469"/>
      <c r="CG150" s="469"/>
      <c r="CH150" s="482"/>
      <c r="CI150" s="468"/>
      <c r="CJ150" s="469"/>
      <c r="CK150" s="469"/>
      <c r="CL150" s="482"/>
      <c r="CM150" s="468"/>
      <c r="CN150" s="469"/>
      <c r="CO150" s="469"/>
      <c r="CP150" s="482"/>
      <c r="CQ150" s="468"/>
      <c r="CR150" s="469"/>
      <c r="CS150" s="469"/>
      <c r="CT150" s="482"/>
      <c r="CU150" s="468"/>
      <c r="CV150" s="469"/>
      <c r="CW150" s="469"/>
      <c r="CX150" s="482"/>
      <c r="CY150" s="468"/>
      <c r="CZ150" s="469"/>
      <c r="DA150" s="469"/>
      <c r="DB150" s="482"/>
      <c r="DC150" s="468"/>
      <c r="DD150" s="469"/>
      <c r="DE150" s="469"/>
      <c r="DF150" s="482"/>
      <c r="DG150" s="468"/>
      <c r="DH150" s="469"/>
      <c r="DI150" s="469"/>
      <c r="DJ150" s="482"/>
      <c r="DK150" s="468"/>
      <c r="DL150" s="469"/>
      <c r="DM150" s="469"/>
      <c r="DN150" s="482"/>
      <c r="DO150" s="468"/>
      <c r="DP150" s="469"/>
      <c r="DQ150" s="469"/>
      <c r="DR150" s="482"/>
      <c r="DS150" s="468"/>
      <c r="DT150" s="469"/>
      <c r="DU150" s="469"/>
      <c r="DV150" s="482"/>
      <c r="DW150" s="468"/>
      <c r="DX150" s="469"/>
      <c r="DY150" s="469"/>
      <c r="DZ150" s="482"/>
      <c r="EA150" s="468"/>
      <c r="EB150" s="469"/>
      <c r="EC150" s="469"/>
      <c r="ED150" s="482"/>
      <c r="EE150" s="468"/>
      <c r="EF150" s="469"/>
      <c r="EG150" s="469"/>
      <c r="EH150" s="482"/>
      <c r="EI150" s="468"/>
      <c r="EJ150" s="469"/>
      <c r="EK150" s="469"/>
      <c r="EL150" s="482"/>
      <c r="EM150" s="468"/>
      <c r="EN150" s="469"/>
      <c r="EO150" s="469"/>
      <c r="EP150" s="482"/>
      <c r="EQ150" s="468"/>
      <c r="ER150" s="469"/>
      <c r="ES150" s="469"/>
      <c r="ET150" s="482"/>
      <c r="EU150" s="468"/>
      <c r="EV150" s="469"/>
      <c r="EW150" s="469"/>
      <c r="EX150" s="482"/>
      <c r="EY150" s="468"/>
      <c r="EZ150" s="469"/>
      <c r="FA150" s="469"/>
      <c r="FB150" s="482"/>
      <c r="FC150" s="468"/>
      <c r="FD150" s="469"/>
      <c r="FE150" s="469"/>
      <c r="FF150" s="482"/>
      <c r="FG150" s="468"/>
      <c r="FH150" s="469"/>
      <c r="FI150" s="469"/>
      <c r="FJ150" s="482"/>
      <c r="FK150" s="468"/>
      <c r="FL150" s="469"/>
      <c r="FM150" s="469"/>
      <c r="FN150" s="482"/>
      <c r="FO150" s="468"/>
      <c r="FP150" s="469"/>
      <c r="FQ150" s="469"/>
      <c r="FR150" s="482"/>
      <c r="FS150" s="468"/>
      <c r="FT150" s="469"/>
      <c r="FU150" s="469"/>
      <c r="FV150" s="482"/>
      <c r="FW150" s="468"/>
      <c r="FX150" s="469"/>
      <c r="FY150" s="469"/>
      <c r="FZ150" s="482"/>
      <c r="GA150" s="468"/>
      <c r="GB150" s="469"/>
      <c r="GC150" s="469"/>
      <c r="GD150" s="482"/>
      <c r="GE150" s="468"/>
      <c r="GF150" s="469"/>
      <c r="GG150" s="469"/>
      <c r="GH150" s="482"/>
      <c r="GI150" s="468"/>
      <c r="GJ150" s="469"/>
      <c r="GK150" s="469"/>
      <c r="GL150" s="482"/>
      <c r="GM150" s="468"/>
      <c r="GN150" s="469"/>
      <c r="GO150" s="469"/>
      <c r="GP150" s="482"/>
      <c r="GQ150" s="468"/>
      <c r="GR150" s="469"/>
      <c r="GS150" s="469"/>
      <c r="GT150" s="482"/>
      <c r="GU150" s="468"/>
      <c r="GV150" s="469"/>
      <c r="GW150" s="469"/>
      <c r="GX150" s="482"/>
      <c r="GY150" s="468"/>
      <c r="GZ150" s="469"/>
      <c r="HA150" s="469"/>
      <c r="HB150" s="482"/>
      <c r="HC150" s="446">
        <f t="shared" si="84"/>
        <v>0</v>
      </c>
      <c r="HD150" s="471"/>
      <c r="HE150" s="471"/>
      <c r="HF150" s="448"/>
      <c r="HG150" s="446">
        <f>SUM(SUMIFS(K150:HB150,$K$13:$HB$13,{"エネルギー管理指定工場等*","県域*"}))</f>
        <v>0</v>
      </c>
      <c r="HH150" s="471"/>
      <c r="HI150" s="471"/>
      <c r="HJ150" s="448"/>
    </row>
    <row r="151" spans="1:218" ht="20.100000000000001" customHeight="1">
      <c r="A151" s="164"/>
      <c r="B151" s="410" t="s">
        <v>1432</v>
      </c>
      <c r="C151" s="411"/>
      <c r="D151" s="411"/>
      <c r="E151" s="411"/>
      <c r="F151" s="411"/>
      <c r="G151" s="411"/>
      <c r="H151" s="436"/>
      <c r="I151" s="425"/>
      <c r="J151" s="426"/>
      <c r="K151" s="416"/>
      <c r="L151" s="449"/>
      <c r="M151" s="449"/>
      <c r="N151" s="417"/>
      <c r="O151" s="416"/>
      <c r="P151" s="449"/>
      <c r="Q151" s="449"/>
      <c r="R151" s="417"/>
      <c r="S151" s="416"/>
      <c r="T151" s="449"/>
      <c r="U151" s="449"/>
      <c r="V151" s="417"/>
      <c r="W151" s="416"/>
      <c r="X151" s="449"/>
      <c r="Y151" s="449"/>
      <c r="Z151" s="417"/>
      <c r="AA151" s="416"/>
      <c r="AB151" s="449"/>
      <c r="AC151" s="449"/>
      <c r="AD151" s="417"/>
      <c r="AE151" s="416"/>
      <c r="AF151" s="449"/>
      <c r="AG151" s="449"/>
      <c r="AH151" s="417"/>
      <c r="AI151" s="416"/>
      <c r="AJ151" s="449"/>
      <c r="AK151" s="449"/>
      <c r="AL151" s="417"/>
      <c r="AM151" s="416"/>
      <c r="AN151" s="449"/>
      <c r="AO151" s="449"/>
      <c r="AP151" s="417"/>
      <c r="AQ151" s="416"/>
      <c r="AR151" s="449"/>
      <c r="AS151" s="449"/>
      <c r="AT151" s="417"/>
      <c r="AU151" s="416"/>
      <c r="AV151" s="449"/>
      <c r="AW151" s="449"/>
      <c r="AX151" s="417"/>
      <c r="AY151" s="416"/>
      <c r="AZ151" s="449"/>
      <c r="BA151" s="449"/>
      <c r="BB151" s="417"/>
      <c r="BC151" s="416"/>
      <c r="BD151" s="449"/>
      <c r="BE151" s="449"/>
      <c r="BF151" s="417"/>
      <c r="BG151" s="416"/>
      <c r="BH151" s="449"/>
      <c r="BI151" s="449"/>
      <c r="BJ151" s="417"/>
      <c r="BK151" s="416"/>
      <c r="BL151" s="449"/>
      <c r="BM151" s="449"/>
      <c r="BN151" s="417"/>
      <c r="BO151" s="416"/>
      <c r="BP151" s="449"/>
      <c r="BQ151" s="449"/>
      <c r="BR151" s="417"/>
      <c r="BS151" s="416"/>
      <c r="BT151" s="449"/>
      <c r="BU151" s="449"/>
      <c r="BV151" s="417"/>
      <c r="BW151" s="416"/>
      <c r="BX151" s="449"/>
      <c r="BY151" s="449"/>
      <c r="BZ151" s="417"/>
      <c r="CA151" s="416"/>
      <c r="CB151" s="449"/>
      <c r="CC151" s="449"/>
      <c r="CD151" s="417"/>
      <c r="CE151" s="416"/>
      <c r="CF151" s="449"/>
      <c r="CG151" s="449"/>
      <c r="CH151" s="417"/>
      <c r="CI151" s="416"/>
      <c r="CJ151" s="449"/>
      <c r="CK151" s="449"/>
      <c r="CL151" s="417"/>
      <c r="CM151" s="416"/>
      <c r="CN151" s="449"/>
      <c r="CO151" s="449"/>
      <c r="CP151" s="417"/>
      <c r="CQ151" s="416"/>
      <c r="CR151" s="449"/>
      <c r="CS151" s="449"/>
      <c r="CT151" s="417"/>
      <c r="CU151" s="416"/>
      <c r="CV151" s="449"/>
      <c r="CW151" s="449"/>
      <c r="CX151" s="417"/>
      <c r="CY151" s="416"/>
      <c r="CZ151" s="449"/>
      <c r="DA151" s="449"/>
      <c r="DB151" s="417"/>
      <c r="DC151" s="416"/>
      <c r="DD151" s="449"/>
      <c r="DE151" s="449"/>
      <c r="DF151" s="417"/>
      <c r="DG151" s="416"/>
      <c r="DH151" s="449"/>
      <c r="DI151" s="449"/>
      <c r="DJ151" s="417"/>
      <c r="DK151" s="416"/>
      <c r="DL151" s="449"/>
      <c r="DM151" s="449"/>
      <c r="DN151" s="417"/>
      <c r="DO151" s="416"/>
      <c r="DP151" s="449"/>
      <c r="DQ151" s="449"/>
      <c r="DR151" s="417"/>
      <c r="DS151" s="416"/>
      <c r="DT151" s="449"/>
      <c r="DU151" s="449"/>
      <c r="DV151" s="417"/>
      <c r="DW151" s="416"/>
      <c r="DX151" s="449"/>
      <c r="DY151" s="449"/>
      <c r="DZ151" s="417"/>
      <c r="EA151" s="416"/>
      <c r="EB151" s="449"/>
      <c r="EC151" s="449"/>
      <c r="ED151" s="417"/>
      <c r="EE151" s="416"/>
      <c r="EF151" s="449"/>
      <c r="EG151" s="449"/>
      <c r="EH151" s="417"/>
      <c r="EI151" s="416"/>
      <c r="EJ151" s="449"/>
      <c r="EK151" s="449"/>
      <c r="EL151" s="417"/>
      <c r="EM151" s="416"/>
      <c r="EN151" s="449"/>
      <c r="EO151" s="449"/>
      <c r="EP151" s="417"/>
      <c r="EQ151" s="416"/>
      <c r="ER151" s="449"/>
      <c r="ES151" s="449"/>
      <c r="ET151" s="417"/>
      <c r="EU151" s="416"/>
      <c r="EV151" s="449"/>
      <c r="EW151" s="449"/>
      <c r="EX151" s="417"/>
      <c r="EY151" s="416"/>
      <c r="EZ151" s="449"/>
      <c r="FA151" s="449"/>
      <c r="FB151" s="417"/>
      <c r="FC151" s="416"/>
      <c r="FD151" s="449"/>
      <c r="FE151" s="449"/>
      <c r="FF151" s="417"/>
      <c r="FG151" s="416"/>
      <c r="FH151" s="449"/>
      <c r="FI151" s="449"/>
      <c r="FJ151" s="417"/>
      <c r="FK151" s="416"/>
      <c r="FL151" s="449"/>
      <c r="FM151" s="449"/>
      <c r="FN151" s="417"/>
      <c r="FO151" s="416"/>
      <c r="FP151" s="449"/>
      <c r="FQ151" s="449"/>
      <c r="FR151" s="417"/>
      <c r="FS151" s="416"/>
      <c r="FT151" s="449"/>
      <c r="FU151" s="449"/>
      <c r="FV151" s="417"/>
      <c r="FW151" s="416"/>
      <c r="FX151" s="449"/>
      <c r="FY151" s="449"/>
      <c r="FZ151" s="417"/>
      <c r="GA151" s="416"/>
      <c r="GB151" s="449"/>
      <c r="GC151" s="449"/>
      <c r="GD151" s="417"/>
      <c r="GE151" s="416"/>
      <c r="GF151" s="449"/>
      <c r="GG151" s="449"/>
      <c r="GH151" s="417"/>
      <c r="GI151" s="416"/>
      <c r="GJ151" s="449"/>
      <c r="GK151" s="449"/>
      <c r="GL151" s="417"/>
      <c r="GM151" s="416"/>
      <c r="GN151" s="449"/>
      <c r="GO151" s="449"/>
      <c r="GP151" s="417"/>
      <c r="GQ151" s="416"/>
      <c r="GR151" s="449"/>
      <c r="GS151" s="449"/>
      <c r="GT151" s="417"/>
      <c r="GU151" s="416"/>
      <c r="GV151" s="449"/>
      <c r="GW151" s="449"/>
      <c r="GX151" s="417"/>
      <c r="GY151" s="416"/>
      <c r="GZ151" s="449"/>
      <c r="HA151" s="449"/>
      <c r="HB151" s="417"/>
      <c r="HC151" s="418">
        <f t="shared" si="84"/>
        <v>0</v>
      </c>
      <c r="HD151" s="451"/>
      <c r="HE151" s="451"/>
      <c r="HF151" s="420"/>
      <c r="HG151" s="418">
        <f>SUM(SUMIFS(K151:HB151,$K$13:$HB$13,{"エネルギー管理指定工場等*","県域*"}))</f>
        <v>0</v>
      </c>
      <c r="HH151" s="451"/>
      <c r="HI151" s="451"/>
      <c r="HJ151" s="420"/>
    </row>
    <row r="152" spans="1:218" ht="20.100000000000001" customHeight="1">
      <c r="A152" s="164"/>
      <c r="B152" s="421" t="s">
        <v>1433</v>
      </c>
      <c r="C152" s="422"/>
      <c r="D152" s="422"/>
      <c r="E152" s="422"/>
      <c r="F152" s="422"/>
      <c r="G152" s="422"/>
      <c r="H152" s="453"/>
      <c r="I152" s="425"/>
      <c r="J152" s="426"/>
      <c r="K152" s="427"/>
      <c r="L152" s="454"/>
      <c r="M152" s="454"/>
      <c r="N152" s="428"/>
      <c r="O152" s="427"/>
      <c r="P152" s="454"/>
      <c r="Q152" s="454"/>
      <c r="R152" s="428"/>
      <c r="S152" s="427"/>
      <c r="T152" s="454"/>
      <c r="U152" s="454"/>
      <c r="V152" s="428"/>
      <c r="W152" s="427"/>
      <c r="X152" s="454"/>
      <c r="Y152" s="454"/>
      <c r="Z152" s="428"/>
      <c r="AA152" s="427"/>
      <c r="AB152" s="454"/>
      <c r="AC152" s="454"/>
      <c r="AD152" s="428"/>
      <c r="AE152" s="427"/>
      <c r="AF152" s="454"/>
      <c r="AG152" s="454"/>
      <c r="AH152" s="428"/>
      <c r="AI152" s="427"/>
      <c r="AJ152" s="454"/>
      <c r="AK152" s="454"/>
      <c r="AL152" s="428"/>
      <c r="AM152" s="427"/>
      <c r="AN152" s="454"/>
      <c r="AO152" s="454"/>
      <c r="AP152" s="428"/>
      <c r="AQ152" s="427"/>
      <c r="AR152" s="454"/>
      <c r="AS152" s="454"/>
      <c r="AT152" s="428"/>
      <c r="AU152" s="427"/>
      <c r="AV152" s="454"/>
      <c r="AW152" s="454"/>
      <c r="AX152" s="428"/>
      <c r="AY152" s="427"/>
      <c r="AZ152" s="454"/>
      <c r="BA152" s="454"/>
      <c r="BB152" s="428"/>
      <c r="BC152" s="427"/>
      <c r="BD152" s="454"/>
      <c r="BE152" s="454"/>
      <c r="BF152" s="428"/>
      <c r="BG152" s="427"/>
      <c r="BH152" s="454"/>
      <c r="BI152" s="454"/>
      <c r="BJ152" s="428"/>
      <c r="BK152" s="427"/>
      <c r="BL152" s="454"/>
      <c r="BM152" s="454"/>
      <c r="BN152" s="428"/>
      <c r="BO152" s="427"/>
      <c r="BP152" s="454"/>
      <c r="BQ152" s="454"/>
      <c r="BR152" s="428"/>
      <c r="BS152" s="427"/>
      <c r="BT152" s="454"/>
      <c r="BU152" s="454"/>
      <c r="BV152" s="428"/>
      <c r="BW152" s="427"/>
      <c r="BX152" s="454"/>
      <c r="BY152" s="454"/>
      <c r="BZ152" s="428"/>
      <c r="CA152" s="427"/>
      <c r="CB152" s="454"/>
      <c r="CC152" s="454"/>
      <c r="CD152" s="428"/>
      <c r="CE152" s="427"/>
      <c r="CF152" s="454"/>
      <c r="CG152" s="454"/>
      <c r="CH152" s="428"/>
      <c r="CI152" s="427"/>
      <c r="CJ152" s="454"/>
      <c r="CK152" s="454"/>
      <c r="CL152" s="428"/>
      <c r="CM152" s="427"/>
      <c r="CN152" s="454"/>
      <c r="CO152" s="454"/>
      <c r="CP152" s="428"/>
      <c r="CQ152" s="427"/>
      <c r="CR152" s="454"/>
      <c r="CS152" s="454"/>
      <c r="CT152" s="428"/>
      <c r="CU152" s="427"/>
      <c r="CV152" s="454"/>
      <c r="CW152" s="454"/>
      <c r="CX152" s="428"/>
      <c r="CY152" s="427"/>
      <c r="CZ152" s="454"/>
      <c r="DA152" s="454"/>
      <c r="DB152" s="428"/>
      <c r="DC152" s="427"/>
      <c r="DD152" s="454"/>
      <c r="DE152" s="454"/>
      <c r="DF152" s="428"/>
      <c r="DG152" s="427"/>
      <c r="DH152" s="454"/>
      <c r="DI152" s="454"/>
      <c r="DJ152" s="428"/>
      <c r="DK152" s="427"/>
      <c r="DL152" s="454"/>
      <c r="DM152" s="454"/>
      <c r="DN152" s="428"/>
      <c r="DO152" s="427"/>
      <c r="DP152" s="454"/>
      <c r="DQ152" s="454"/>
      <c r="DR152" s="428"/>
      <c r="DS152" s="427"/>
      <c r="DT152" s="454"/>
      <c r="DU152" s="454"/>
      <c r="DV152" s="428"/>
      <c r="DW152" s="427"/>
      <c r="DX152" s="454"/>
      <c r="DY152" s="454"/>
      <c r="DZ152" s="428"/>
      <c r="EA152" s="427"/>
      <c r="EB152" s="454"/>
      <c r="EC152" s="454"/>
      <c r="ED152" s="428"/>
      <c r="EE152" s="427"/>
      <c r="EF152" s="454"/>
      <c r="EG152" s="454"/>
      <c r="EH152" s="428"/>
      <c r="EI152" s="427"/>
      <c r="EJ152" s="454"/>
      <c r="EK152" s="454"/>
      <c r="EL152" s="428"/>
      <c r="EM152" s="427"/>
      <c r="EN152" s="454"/>
      <c r="EO152" s="454"/>
      <c r="EP152" s="428"/>
      <c r="EQ152" s="427"/>
      <c r="ER152" s="454"/>
      <c r="ES152" s="454"/>
      <c r="ET152" s="428"/>
      <c r="EU152" s="427"/>
      <c r="EV152" s="454"/>
      <c r="EW152" s="454"/>
      <c r="EX152" s="428"/>
      <c r="EY152" s="427"/>
      <c r="EZ152" s="454"/>
      <c r="FA152" s="454"/>
      <c r="FB152" s="428"/>
      <c r="FC152" s="427"/>
      <c r="FD152" s="454"/>
      <c r="FE152" s="454"/>
      <c r="FF152" s="428"/>
      <c r="FG152" s="427"/>
      <c r="FH152" s="454"/>
      <c r="FI152" s="454"/>
      <c r="FJ152" s="428"/>
      <c r="FK152" s="427"/>
      <c r="FL152" s="454"/>
      <c r="FM152" s="454"/>
      <c r="FN152" s="428"/>
      <c r="FO152" s="427"/>
      <c r="FP152" s="454"/>
      <c r="FQ152" s="454"/>
      <c r="FR152" s="428"/>
      <c r="FS152" s="427"/>
      <c r="FT152" s="454"/>
      <c r="FU152" s="454"/>
      <c r="FV152" s="428"/>
      <c r="FW152" s="427"/>
      <c r="FX152" s="454"/>
      <c r="FY152" s="454"/>
      <c r="FZ152" s="428"/>
      <c r="GA152" s="427"/>
      <c r="GB152" s="454"/>
      <c r="GC152" s="454"/>
      <c r="GD152" s="428"/>
      <c r="GE152" s="427"/>
      <c r="GF152" s="454"/>
      <c r="GG152" s="454"/>
      <c r="GH152" s="428"/>
      <c r="GI152" s="427"/>
      <c r="GJ152" s="454"/>
      <c r="GK152" s="454"/>
      <c r="GL152" s="428"/>
      <c r="GM152" s="427"/>
      <c r="GN152" s="454"/>
      <c r="GO152" s="454"/>
      <c r="GP152" s="428"/>
      <c r="GQ152" s="427"/>
      <c r="GR152" s="454"/>
      <c r="GS152" s="454"/>
      <c r="GT152" s="428"/>
      <c r="GU152" s="427"/>
      <c r="GV152" s="454"/>
      <c r="GW152" s="454"/>
      <c r="GX152" s="428"/>
      <c r="GY152" s="427"/>
      <c r="GZ152" s="454"/>
      <c r="HA152" s="454"/>
      <c r="HB152" s="428"/>
      <c r="HC152" s="434">
        <f t="shared" si="84"/>
        <v>0</v>
      </c>
      <c r="HD152" s="456"/>
      <c r="HE152" s="456"/>
      <c r="HF152" s="433"/>
      <c r="HG152" s="434">
        <f>SUM(SUMIFS(K152:HB152,$K$13:$HB$13,{"エネルギー管理指定工場等*","県域*"}))</f>
        <v>0</v>
      </c>
      <c r="HH152" s="456"/>
      <c r="HI152" s="456"/>
      <c r="HJ152" s="433"/>
    </row>
    <row r="153" spans="1:218" ht="20.100000000000001" customHeight="1">
      <c r="A153" s="164"/>
      <c r="B153" s="421" t="s">
        <v>1434</v>
      </c>
      <c r="C153" s="422"/>
      <c r="D153" s="422"/>
      <c r="E153" s="422"/>
      <c r="F153" s="422"/>
      <c r="G153" s="422"/>
      <c r="H153" s="453"/>
      <c r="I153" s="425"/>
      <c r="J153" s="426"/>
      <c r="K153" s="427"/>
      <c r="L153" s="454"/>
      <c r="M153" s="454"/>
      <c r="N153" s="428"/>
      <c r="O153" s="427"/>
      <c r="P153" s="454"/>
      <c r="Q153" s="454"/>
      <c r="R153" s="428"/>
      <c r="S153" s="427"/>
      <c r="T153" s="454"/>
      <c r="U153" s="454"/>
      <c r="V153" s="428"/>
      <c r="W153" s="427"/>
      <c r="X153" s="454"/>
      <c r="Y153" s="454"/>
      <c r="Z153" s="428"/>
      <c r="AA153" s="427"/>
      <c r="AB153" s="454"/>
      <c r="AC153" s="454"/>
      <c r="AD153" s="428"/>
      <c r="AE153" s="427"/>
      <c r="AF153" s="454"/>
      <c r="AG153" s="454"/>
      <c r="AH153" s="428"/>
      <c r="AI153" s="427"/>
      <c r="AJ153" s="454"/>
      <c r="AK153" s="454"/>
      <c r="AL153" s="428"/>
      <c r="AM153" s="427"/>
      <c r="AN153" s="454"/>
      <c r="AO153" s="454"/>
      <c r="AP153" s="428"/>
      <c r="AQ153" s="427"/>
      <c r="AR153" s="454"/>
      <c r="AS153" s="454"/>
      <c r="AT153" s="428"/>
      <c r="AU153" s="427"/>
      <c r="AV153" s="454"/>
      <c r="AW153" s="454"/>
      <c r="AX153" s="428"/>
      <c r="AY153" s="427"/>
      <c r="AZ153" s="454"/>
      <c r="BA153" s="454"/>
      <c r="BB153" s="428"/>
      <c r="BC153" s="427"/>
      <c r="BD153" s="454"/>
      <c r="BE153" s="454"/>
      <c r="BF153" s="428"/>
      <c r="BG153" s="427"/>
      <c r="BH153" s="454"/>
      <c r="BI153" s="454"/>
      <c r="BJ153" s="428"/>
      <c r="BK153" s="427"/>
      <c r="BL153" s="454"/>
      <c r="BM153" s="454"/>
      <c r="BN153" s="428"/>
      <c r="BO153" s="427"/>
      <c r="BP153" s="454"/>
      <c r="BQ153" s="454"/>
      <c r="BR153" s="428"/>
      <c r="BS153" s="427"/>
      <c r="BT153" s="454"/>
      <c r="BU153" s="454"/>
      <c r="BV153" s="428"/>
      <c r="BW153" s="427"/>
      <c r="BX153" s="454"/>
      <c r="BY153" s="454"/>
      <c r="BZ153" s="428"/>
      <c r="CA153" s="427"/>
      <c r="CB153" s="454"/>
      <c r="CC153" s="454"/>
      <c r="CD153" s="428"/>
      <c r="CE153" s="427"/>
      <c r="CF153" s="454"/>
      <c r="CG153" s="454"/>
      <c r="CH153" s="428"/>
      <c r="CI153" s="427"/>
      <c r="CJ153" s="454"/>
      <c r="CK153" s="454"/>
      <c r="CL153" s="428"/>
      <c r="CM153" s="427"/>
      <c r="CN153" s="454"/>
      <c r="CO153" s="454"/>
      <c r="CP153" s="428"/>
      <c r="CQ153" s="427"/>
      <c r="CR153" s="454"/>
      <c r="CS153" s="454"/>
      <c r="CT153" s="428"/>
      <c r="CU153" s="427"/>
      <c r="CV153" s="454"/>
      <c r="CW153" s="454"/>
      <c r="CX153" s="428"/>
      <c r="CY153" s="427"/>
      <c r="CZ153" s="454"/>
      <c r="DA153" s="454"/>
      <c r="DB153" s="428"/>
      <c r="DC153" s="427"/>
      <c r="DD153" s="454"/>
      <c r="DE153" s="454"/>
      <c r="DF153" s="428"/>
      <c r="DG153" s="427"/>
      <c r="DH153" s="454"/>
      <c r="DI153" s="454"/>
      <c r="DJ153" s="428"/>
      <c r="DK153" s="427"/>
      <c r="DL153" s="454"/>
      <c r="DM153" s="454"/>
      <c r="DN153" s="428"/>
      <c r="DO153" s="427"/>
      <c r="DP153" s="454"/>
      <c r="DQ153" s="454"/>
      <c r="DR153" s="428"/>
      <c r="DS153" s="427"/>
      <c r="DT153" s="454"/>
      <c r="DU153" s="454"/>
      <c r="DV153" s="428"/>
      <c r="DW153" s="427"/>
      <c r="DX153" s="454"/>
      <c r="DY153" s="454"/>
      <c r="DZ153" s="428"/>
      <c r="EA153" s="427"/>
      <c r="EB153" s="454"/>
      <c r="EC153" s="454"/>
      <c r="ED153" s="428"/>
      <c r="EE153" s="427"/>
      <c r="EF153" s="454"/>
      <c r="EG153" s="454"/>
      <c r="EH153" s="428"/>
      <c r="EI153" s="427"/>
      <c r="EJ153" s="454"/>
      <c r="EK153" s="454"/>
      <c r="EL153" s="428"/>
      <c r="EM153" s="427"/>
      <c r="EN153" s="454"/>
      <c r="EO153" s="454"/>
      <c r="EP153" s="428"/>
      <c r="EQ153" s="427"/>
      <c r="ER153" s="454"/>
      <c r="ES153" s="454"/>
      <c r="ET153" s="428"/>
      <c r="EU153" s="427"/>
      <c r="EV153" s="454"/>
      <c r="EW153" s="454"/>
      <c r="EX153" s="428"/>
      <c r="EY153" s="427"/>
      <c r="EZ153" s="454"/>
      <c r="FA153" s="454"/>
      <c r="FB153" s="428"/>
      <c r="FC153" s="427"/>
      <c r="FD153" s="454"/>
      <c r="FE153" s="454"/>
      <c r="FF153" s="428"/>
      <c r="FG153" s="427"/>
      <c r="FH153" s="454"/>
      <c r="FI153" s="454"/>
      <c r="FJ153" s="428"/>
      <c r="FK153" s="427"/>
      <c r="FL153" s="454"/>
      <c r="FM153" s="454"/>
      <c r="FN153" s="428"/>
      <c r="FO153" s="427"/>
      <c r="FP153" s="454"/>
      <c r="FQ153" s="454"/>
      <c r="FR153" s="428"/>
      <c r="FS153" s="427"/>
      <c r="FT153" s="454"/>
      <c r="FU153" s="454"/>
      <c r="FV153" s="428"/>
      <c r="FW153" s="427"/>
      <c r="FX153" s="454"/>
      <c r="FY153" s="454"/>
      <c r="FZ153" s="428"/>
      <c r="GA153" s="427"/>
      <c r="GB153" s="454"/>
      <c r="GC153" s="454"/>
      <c r="GD153" s="428"/>
      <c r="GE153" s="427"/>
      <c r="GF153" s="454"/>
      <c r="GG153" s="454"/>
      <c r="GH153" s="428"/>
      <c r="GI153" s="427"/>
      <c r="GJ153" s="454"/>
      <c r="GK153" s="454"/>
      <c r="GL153" s="428"/>
      <c r="GM153" s="427"/>
      <c r="GN153" s="454"/>
      <c r="GO153" s="454"/>
      <c r="GP153" s="428"/>
      <c r="GQ153" s="427"/>
      <c r="GR153" s="454"/>
      <c r="GS153" s="454"/>
      <c r="GT153" s="428"/>
      <c r="GU153" s="427"/>
      <c r="GV153" s="454"/>
      <c r="GW153" s="454"/>
      <c r="GX153" s="428"/>
      <c r="GY153" s="427"/>
      <c r="GZ153" s="454"/>
      <c r="HA153" s="454"/>
      <c r="HB153" s="428"/>
      <c r="HC153" s="434">
        <f t="shared" si="84"/>
        <v>0</v>
      </c>
      <c r="HD153" s="456"/>
      <c r="HE153" s="456"/>
      <c r="HF153" s="433"/>
      <c r="HG153" s="434">
        <f>SUM(SUMIFS(K153:HB153,$K$13:$HB$13,{"エネルギー管理指定工場等*","県域*"}))</f>
        <v>0</v>
      </c>
      <c r="HH153" s="456"/>
      <c r="HI153" s="456"/>
      <c r="HJ153" s="433"/>
    </row>
    <row r="154" spans="1:218" ht="20.100000000000001" customHeight="1">
      <c r="A154" s="164"/>
      <c r="B154" s="421" t="s">
        <v>1435</v>
      </c>
      <c r="C154" s="422"/>
      <c r="D154" s="422"/>
      <c r="E154" s="422"/>
      <c r="F154" s="422"/>
      <c r="G154" s="422"/>
      <c r="H154" s="453"/>
      <c r="I154" s="425"/>
      <c r="J154" s="426"/>
      <c r="K154" s="427"/>
      <c r="L154" s="454"/>
      <c r="M154" s="454"/>
      <c r="N154" s="428"/>
      <c r="O154" s="427"/>
      <c r="P154" s="454"/>
      <c r="Q154" s="454"/>
      <c r="R154" s="428"/>
      <c r="S154" s="427"/>
      <c r="T154" s="454"/>
      <c r="U154" s="454"/>
      <c r="V154" s="428"/>
      <c r="W154" s="427"/>
      <c r="X154" s="454"/>
      <c r="Y154" s="454"/>
      <c r="Z154" s="428"/>
      <c r="AA154" s="427"/>
      <c r="AB154" s="454"/>
      <c r="AC154" s="454"/>
      <c r="AD154" s="428"/>
      <c r="AE154" s="427"/>
      <c r="AF154" s="454"/>
      <c r="AG154" s="454"/>
      <c r="AH154" s="428"/>
      <c r="AI154" s="427"/>
      <c r="AJ154" s="454"/>
      <c r="AK154" s="454"/>
      <c r="AL154" s="428"/>
      <c r="AM154" s="427"/>
      <c r="AN154" s="454"/>
      <c r="AO154" s="454"/>
      <c r="AP154" s="428"/>
      <c r="AQ154" s="427"/>
      <c r="AR154" s="454"/>
      <c r="AS154" s="454"/>
      <c r="AT154" s="428"/>
      <c r="AU154" s="427"/>
      <c r="AV154" s="454"/>
      <c r="AW154" s="454"/>
      <c r="AX154" s="428"/>
      <c r="AY154" s="427"/>
      <c r="AZ154" s="454"/>
      <c r="BA154" s="454"/>
      <c r="BB154" s="428"/>
      <c r="BC154" s="427"/>
      <c r="BD154" s="454"/>
      <c r="BE154" s="454"/>
      <c r="BF154" s="428"/>
      <c r="BG154" s="427"/>
      <c r="BH154" s="454"/>
      <c r="BI154" s="454"/>
      <c r="BJ154" s="428"/>
      <c r="BK154" s="427"/>
      <c r="BL154" s="454"/>
      <c r="BM154" s="454"/>
      <c r="BN154" s="428"/>
      <c r="BO154" s="427"/>
      <c r="BP154" s="454"/>
      <c r="BQ154" s="454"/>
      <c r="BR154" s="428"/>
      <c r="BS154" s="427"/>
      <c r="BT154" s="454"/>
      <c r="BU154" s="454"/>
      <c r="BV154" s="428"/>
      <c r="BW154" s="427"/>
      <c r="BX154" s="454"/>
      <c r="BY154" s="454"/>
      <c r="BZ154" s="428"/>
      <c r="CA154" s="427"/>
      <c r="CB154" s="454"/>
      <c r="CC154" s="454"/>
      <c r="CD154" s="428"/>
      <c r="CE154" s="427"/>
      <c r="CF154" s="454"/>
      <c r="CG154" s="454"/>
      <c r="CH154" s="428"/>
      <c r="CI154" s="427"/>
      <c r="CJ154" s="454"/>
      <c r="CK154" s="454"/>
      <c r="CL154" s="428"/>
      <c r="CM154" s="427"/>
      <c r="CN154" s="454"/>
      <c r="CO154" s="454"/>
      <c r="CP154" s="428"/>
      <c r="CQ154" s="427"/>
      <c r="CR154" s="454"/>
      <c r="CS154" s="454"/>
      <c r="CT154" s="428"/>
      <c r="CU154" s="427"/>
      <c r="CV154" s="454"/>
      <c r="CW154" s="454"/>
      <c r="CX154" s="428"/>
      <c r="CY154" s="427"/>
      <c r="CZ154" s="454"/>
      <c r="DA154" s="454"/>
      <c r="DB154" s="428"/>
      <c r="DC154" s="427"/>
      <c r="DD154" s="454"/>
      <c r="DE154" s="454"/>
      <c r="DF154" s="428"/>
      <c r="DG154" s="427"/>
      <c r="DH154" s="454"/>
      <c r="DI154" s="454"/>
      <c r="DJ154" s="428"/>
      <c r="DK154" s="427"/>
      <c r="DL154" s="454"/>
      <c r="DM154" s="454"/>
      <c r="DN154" s="428"/>
      <c r="DO154" s="427"/>
      <c r="DP154" s="454"/>
      <c r="DQ154" s="454"/>
      <c r="DR154" s="428"/>
      <c r="DS154" s="427"/>
      <c r="DT154" s="454"/>
      <c r="DU154" s="454"/>
      <c r="DV154" s="428"/>
      <c r="DW154" s="427"/>
      <c r="DX154" s="454"/>
      <c r="DY154" s="454"/>
      <c r="DZ154" s="428"/>
      <c r="EA154" s="427"/>
      <c r="EB154" s="454"/>
      <c r="EC154" s="454"/>
      <c r="ED154" s="428"/>
      <c r="EE154" s="427"/>
      <c r="EF154" s="454"/>
      <c r="EG154" s="454"/>
      <c r="EH154" s="428"/>
      <c r="EI154" s="427"/>
      <c r="EJ154" s="454"/>
      <c r="EK154" s="454"/>
      <c r="EL154" s="428"/>
      <c r="EM154" s="427"/>
      <c r="EN154" s="454"/>
      <c r="EO154" s="454"/>
      <c r="EP154" s="428"/>
      <c r="EQ154" s="427"/>
      <c r="ER154" s="454"/>
      <c r="ES154" s="454"/>
      <c r="ET154" s="428"/>
      <c r="EU154" s="427"/>
      <c r="EV154" s="454"/>
      <c r="EW154" s="454"/>
      <c r="EX154" s="428"/>
      <c r="EY154" s="427"/>
      <c r="EZ154" s="454"/>
      <c r="FA154" s="454"/>
      <c r="FB154" s="428"/>
      <c r="FC154" s="427"/>
      <c r="FD154" s="454"/>
      <c r="FE154" s="454"/>
      <c r="FF154" s="428"/>
      <c r="FG154" s="427"/>
      <c r="FH154" s="454"/>
      <c r="FI154" s="454"/>
      <c r="FJ154" s="428"/>
      <c r="FK154" s="427"/>
      <c r="FL154" s="454"/>
      <c r="FM154" s="454"/>
      <c r="FN154" s="428"/>
      <c r="FO154" s="427"/>
      <c r="FP154" s="454"/>
      <c r="FQ154" s="454"/>
      <c r="FR154" s="428"/>
      <c r="FS154" s="427"/>
      <c r="FT154" s="454"/>
      <c r="FU154" s="454"/>
      <c r="FV154" s="428"/>
      <c r="FW154" s="427"/>
      <c r="FX154" s="454"/>
      <c r="FY154" s="454"/>
      <c r="FZ154" s="428"/>
      <c r="GA154" s="427"/>
      <c r="GB154" s="454"/>
      <c r="GC154" s="454"/>
      <c r="GD154" s="428"/>
      <c r="GE154" s="427"/>
      <c r="GF154" s="454"/>
      <c r="GG154" s="454"/>
      <c r="GH154" s="428"/>
      <c r="GI154" s="427"/>
      <c r="GJ154" s="454"/>
      <c r="GK154" s="454"/>
      <c r="GL154" s="428"/>
      <c r="GM154" s="427"/>
      <c r="GN154" s="454"/>
      <c r="GO154" s="454"/>
      <c r="GP154" s="428"/>
      <c r="GQ154" s="427"/>
      <c r="GR154" s="454"/>
      <c r="GS154" s="454"/>
      <c r="GT154" s="428"/>
      <c r="GU154" s="427"/>
      <c r="GV154" s="454"/>
      <c r="GW154" s="454"/>
      <c r="GX154" s="428"/>
      <c r="GY154" s="427"/>
      <c r="GZ154" s="454"/>
      <c r="HA154" s="454"/>
      <c r="HB154" s="428"/>
      <c r="HC154" s="434">
        <f t="shared" si="84"/>
        <v>0</v>
      </c>
      <c r="HD154" s="456"/>
      <c r="HE154" s="456"/>
      <c r="HF154" s="433"/>
      <c r="HG154" s="434">
        <f>SUM(SUMIFS(K154:HB154,$K$13:$HB$13,{"エネルギー管理指定工場等*","県域*"}))</f>
        <v>0</v>
      </c>
      <c r="HH154" s="456"/>
      <c r="HI154" s="456"/>
      <c r="HJ154" s="433"/>
    </row>
    <row r="155" spans="1:218" ht="20.100000000000001" customHeight="1">
      <c r="A155" s="164"/>
      <c r="B155" s="421" t="s">
        <v>1436</v>
      </c>
      <c r="C155" s="422"/>
      <c r="D155" s="422"/>
      <c r="E155" s="422"/>
      <c r="F155" s="422"/>
      <c r="G155" s="422"/>
      <c r="H155" s="453"/>
      <c r="I155" s="425"/>
      <c r="J155" s="426"/>
      <c r="K155" s="427"/>
      <c r="L155" s="454"/>
      <c r="M155" s="454"/>
      <c r="N155" s="428"/>
      <c r="O155" s="427"/>
      <c r="P155" s="454"/>
      <c r="Q155" s="454"/>
      <c r="R155" s="428"/>
      <c r="S155" s="427"/>
      <c r="T155" s="454"/>
      <c r="U155" s="454"/>
      <c r="V155" s="428"/>
      <c r="W155" s="427"/>
      <c r="X155" s="454"/>
      <c r="Y155" s="454"/>
      <c r="Z155" s="428"/>
      <c r="AA155" s="427"/>
      <c r="AB155" s="454"/>
      <c r="AC155" s="454"/>
      <c r="AD155" s="428"/>
      <c r="AE155" s="427"/>
      <c r="AF155" s="454"/>
      <c r="AG155" s="454"/>
      <c r="AH155" s="428"/>
      <c r="AI155" s="427"/>
      <c r="AJ155" s="454"/>
      <c r="AK155" s="454"/>
      <c r="AL155" s="428"/>
      <c r="AM155" s="427"/>
      <c r="AN155" s="454"/>
      <c r="AO155" s="454"/>
      <c r="AP155" s="428"/>
      <c r="AQ155" s="427"/>
      <c r="AR155" s="454"/>
      <c r="AS155" s="454"/>
      <c r="AT155" s="428"/>
      <c r="AU155" s="427"/>
      <c r="AV155" s="454"/>
      <c r="AW155" s="454"/>
      <c r="AX155" s="428"/>
      <c r="AY155" s="427"/>
      <c r="AZ155" s="454"/>
      <c r="BA155" s="454"/>
      <c r="BB155" s="428"/>
      <c r="BC155" s="427"/>
      <c r="BD155" s="454"/>
      <c r="BE155" s="454"/>
      <c r="BF155" s="428"/>
      <c r="BG155" s="427"/>
      <c r="BH155" s="454"/>
      <c r="BI155" s="454"/>
      <c r="BJ155" s="428"/>
      <c r="BK155" s="427"/>
      <c r="BL155" s="454"/>
      <c r="BM155" s="454"/>
      <c r="BN155" s="428"/>
      <c r="BO155" s="427"/>
      <c r="BP155" s="454"/>
      <c r="BQ155" s="454"/>
      <c r="BR155" s="428"/>
      <c r="BS155" s="427"/>
      <c r="BT155" s="454"/>
      <c r="BU155" s="454"/>
      <c r="BV155" s="428"/>
      <c r="BW155" s="427"/>
      <c r="BX155" s="454"/>
      <c r="BY155" s="454"/>
      <c r="BZ155" s="428"/>
      <c r="CA155" s="427"/>
      <c r="CB155" s="454"/>
      <c r="CC155" s="454"/>
      <c r="CD155" s="428"/>
      <c r="CE155" s="427"/>
      <c r="CF155" s="454"/>
      <c r="CG155" s="454"/>
      <c r="CH155" s="428"/>
      <c r="CI155" s="427"/>
      <c r="CJ155" s="454"/>
      <c r="CK155" s="454"/>
      <c r="CL155" s="428"/>
      <c r="CM155" s="427"/>
      <c r="CN155" s="454"/>
      <c r="CO155" s="454"/>
      <c r="CP155" s="428"/>
      <c r="CQ155" s="427"/>
      <c r="CR155" s="454"/>
      <c r="CS155" s="454"/>
      <c r="CT155" s="428"/>
      <c r="CU155" s="427"/>
      <c r="CV155" s="454"/>
      <c r="CW155" s="454"/>
      <c r="CX155" s="428"/>
      <c r="CY155" s="427"/>
      <c r="CZ155" s="454"/>
      <c r="DA155" s="454"/>
      <c r="DB155" s="428"/>
      <c r="DC155" s="427"/>
      <c r="DD155" s="454"/>
      <c r="DE155" s="454"/>
      <c r="DF155" s="428"/>
      <c r="DG155" s="427"/>
      <c r="DH155" s="454"/>
      <c r="DI155" s="454"/>
      <c r="DJ155" s="428"/>
      <c r="DK155" s="427"/>
      <c r="DL155" s="454"/>
      <c r="DM155" s="454"/>
      <c r="DN155" s="428"/>
      <c r="DO155" s="427"/>
      <c r="DP155" s="454"/>
      <c r="DQ155" s="454"/>
      <c r="DR155" s="428"/>
      <c r="DS155" s="427"/>
      <c r="DT155" s="454"/>
      <c r="DU155" s="454"/>
      <c r="DV155" s="428"/>
      <c r="DW155" s="427"/>
      <c r="DX155" s="454"/>
      <c r="DY155" s="454"/>
      <c r="DZ155" s="428"/>
      <c r="EA155" s="427"/>
      <c r="EB155" s="454"/>
      <c r="EC155" s="454"/>
      <c r="ED155" s="428"/>
      <c r="EE155" s="427"/>
      <c r="EF155" s="454"/>
      <c r="EG155" s="454"/>
      <c r="EH155" s="428"/>
      <c r="EI155" s="427"/>
      <c r="EJ155" s="454"/>
      <c r="EK155" s="454"/>
      <c r="EL155" s="428"/>
      <c r="EM155" s="427"/>
      <c r="EN155" s="454"/>
      <c r="EO155" s="454"/>
      <c r="EP155" s="428"/>
      <c r="EQ155" s="427"/>
      <c r="ER155" s="454"/>
      <c r="ES155" s="454"/>
      <c r="ET155" s="428"/>
      <c r="EU155" s="427"/>
      <c r="EV155" s="454"/>
      <c r="EW155" s="454"/>
      <c r="EX155" s="428"/>
      <c r="EY155" s="427"/>
      <c r="EZ155" s="454"/>
      <c r="FA155" s="454"/>
      <c r="FB155" s="428"/>
      <c r="FC155" s="427"/>
      <c r="FD155" s="454"/>
      <c r="FE155" s="454"/>
      <c r="FF155" s="428"/>
      <c r="FG155" s="427"/>
      <c r="FH155" s="454"/>
      <c r="FI155" s="454"/>
      <c r="FJ155" s="428"/>
      <c r="FK155" s="427"/>
      <c r="FL155" s="454"/>
      <c r="FM155" s="454"/>
      <c r="FN155" s="428"/>
      <c r="FO155" s="427"/>
      <c r="FP155" s="454"/>
      <c r="FQ155" s="454"/>
      <c r="FR155" s="428"/>
      <c r="FS155" s="427"/>
      <c r="FT155" s="454"/>
      <c r="FU155" s="454"/>
      <c r="FV155" s="428"/>
      <c r="FW155" s="427"/>
      <c r="FX155" s="454"/>
      <c r="FY155" s="454"/>
      <c r="FZ155" s="428"/>
      <c r="GA155" s="427"/>
      <c r="GB155" s="454"/>
      <c r="GC155" s="454"/>
      <c r="GD155" s="428"/>
      <c r="GE155" s="427"/>
      <c r="GF155" s="454"/>
      <c r="GG155" s="454"/>
      <c r="GH155" s="428"/>
      <c r="GI155" s="427"/>
      <c r="GJ155" s="454"/>
      <c r="GK155" s="454"/>
      <c r="GL155" s="428"/>
      <c r="GM155" s="427"/>
      <c r="GN155" s="454"/>
      <c r="GO155" s="454"/>
      <c r="GP155" s="428"/>
      <c r="GQ155" s="427"/>
      <c r="GR155" s="454"/>
      <c r="GS155" s="454"/>
      <c r="GT155" s="428"/>
      <c r="GU155" s="427"/>
      <c r="GV155" s="454"/>
      <c r="GW155" s="454"/>
      <c r="GX155" s="428"/>
      <c r="GY155" s="427"/>
      <c r="GZ155" s="454"/>
      <c r="HA155" s="454"/>
      <c r="HB155" s="428"/>
      <c r="HC155" s="434">
        <f t="shared" si="84"/>
        <v>0</v>
      </c>
      <c r="HD155" s="456"/>
      <c r="HE155" s="456"/>
      <c r="HF155" s="433"/>
      <c r="HG155" s="434">
        <f>SUM(SUMIFS(K155:HB155,$K$13:$HB$13,{"エネルギー管理指定工場等*","県域*"}))</f>
        <v>0</v>
      </c>
      <c r="HH155" s="456"/>
      <c r="HI155" s="456"/>
      <c r="HJ155" s="433"/>
    </row>
    <row r="156" spans="1:218" ht="20.100000000000001" customHeight="1">
      <c r="A156" s="164"/>
      <c r="B156" s="421" t="s">
        <v>1437</v>
      </c>
      <c r="C156" s="422"/>
      <c r="D156" s="422"/>
      <c r="E156" s="422"/>
      <c r="F156" s="422"/>
      <c r="G156" s="422"/>
      <c r="H156" s="453"/>
      <c r="I156" s="425"/>
      <c r="J156" s="426"/>
      <c r="K156" s="427"/>
      <c r="L156" s="454"/>
      <c r="M156" s="454"/>
      <c r="N156" s="428"/>
      <c r="O156" s="427"/>
      <c r="P156" s="454"/>
      <c r="Q156" s="454"/>
      <c r="R156" s="428"/>
      <c r="S156" s="427"/>
      <c r="T156" s="454"/>
      <c r="U156" s="454"/>
      <c r="V156" s="428"/>
      <c r="W156" s="427"/>
      <c r="X156" s="454"/>
      <c r="Y156" s="454"/>
      <c r="Z156" s="428"/>
      <c r="AA156" s="427"/>
      <c r="AB156" s="454"/>
      <c r="AC156" s="454"/>
      <c r="AD156" s="428"/>
      <c r="AE156" s="427"/>
      <c r="AF156" s="454"/>
      <c r="AG156" s="454"/>
      <c r="AH156" s="428"/>
      <c r="AI156" s="427"/>
      <c r="AJ156" s="454"/>
      <c r="AK156" s="454"/>
      <c r="AL156" s="428"/>
      <c r="AM156" s="427"/>
      <c r="AN156" s="454"/>
      <c r="AO156" s="454"/>
      <c r="AP156" s="428"/>
      <c r="AQ156" s="427"/>
      <c r="AR156" s="454"/>
      <c r="AS156" s="454"/>
      <c r="AT156" s="428"/>
      <c r="AU156" s="427"/>
      <c r="AV156" s="454"/>
      <c r="AW156" s="454"/>
      <c r="AX156" s="428"/>
      <c r="AY156" s="427"/>
      <c r="AZ156" s="454"/>
      <c r="BA156" s="454"/>
      <c r="BB156" s="428"/>
      <c r="BC156" s="427"/>
      <c r="BD156" s="454"/>
      <c r="BE156" s="454"/>
      <c r="BF156" s="428"/>
      <c r="BG156" s="427"/>
      <c r="BH156" s="454"/>
      <c r="BI156" s="454"/>
      <c r="BJ156" s="428"/>
      <c r="BK156" s="427"/>
      <c r="BL156" s="454"/>
      <c r="BM156" s="454"/>
      <c r="BN156" s="428"/>
      <c r="BO156" s="427"/>
      <c r="BP156" s="454"/>
      <c r="BQ156" s="454"/>
      <c r="BR156" s="428"/>
      <c r="BS156" s="427"/>
      <c r="BT156" s="454"/>
      <c r="BU156" s="454"/>
      <c r="BV156" s="428"/>
      <c r="BW156" s="427"/>
      <c r="BX156" s="454"/>
      <c r="BY156" s="454"/>
      <c r="BZ156" s="428"/>
      <c r="CA156" s="427"/>
      <c r="CB156" s="454"/>
      <c r="CC156" s="454"/>
      <c r="CD156" s="428"/>
      <c r="CE156" s="427"/>
      <c r="CF156" s="454"/>
      <c r="CG156" s="454"/>
      <c r="CH156" s="428"/>
      <c r="CI156" s="427"/>
      <c r="CJ156" s="454"/>
      <c r="CK156" s="454"/>
      <c r="CL156" s="428"/>
      <c r="CM156" s="427"/>
      <c r="CN156" s="454"/>
      <c r="CO156" s="454"/>
      <c r="CP156" s="428"/>
      <c r="CQ156" s="427"/>
      <c r="CR156" s="454"/>
      <c r="CS156" s="454"/>
      <c r="CT156" s="428"/>
      <c r="CU156" s="427"/>
      <c r="CV156" s="454"/>
      <c r="CW156" s="454"/>
      <c r="CX156" s="428"/>
      <c r="CY156" s="427"/>
      <c r="CZ156" s="454"/>
      <c r="DA156" s="454"/>
      <c r="DB156" s="428"/>
      <c r="DC156" s="427"/>
      <c r="DD156" s="454"/>
      <c r="DE156" s="454"/>
      <c r="DF156" s="428"/>
      <c r="DG156" s="427"/>
      <c r="DH156" s="454"/>
      <c r="DI156" s="454"/>
      <c r="DJ156" s="428"/>
      <c r="DK156" s="427"/>
      <c r="DL156" s="454"/>
      <c r="DM156" s="454"/>
      <c r="DN156" s="428"/>
      <c r="DO156" s="427"/>
      <c r="DP156" s="454"/>
      <c r="DQ156" s="454"/>
      <c r="DR156" s="428"/>
      <c r="DS156" s="427"/>
      <c r="DT156" s="454"/>
      <c r="DU156" s="454"/>
      <c r="DV156" s="428"/>
      <c r="DW156" s="427"/>
      <c r="DX156" s="454"/>
      <c r="DY156" s="454"/>
      <c r="DZ156" s="428"/>
      <c r="EA156" s="427"/>
      <c r="EB156" s="454"/>
      <c r="EC156" s="454"/>
      <c r="ED156" s="428"/>
      <c r="EE156" s="427"/>
      <c r="EF156" s="454"/>
      <c r="EG156" s="454"/>
      <c r="EH156" s="428"/>
      <c r="EI156" s="427"/>
      <c r="EJ156" s="454"/>
      <c r="EK156" s="454"/>
      <c r="EL156" s="428"/>
      <c r="EM156" s="427"/>
      <c r="EN156" s="454"/>
      <c r="EO156" s="454"/>
      <c r="EP156" s="428"/>
      <c r="EQ156" s="427"/>
      <c r="ER156" s="454"/>
      <c r="ES156" s="454"/>
      <c r="ET156" s="428"/>
      <c r="EU156" s="427"/>
      <c r="EV156" s="454"/>
      <c r="EW156" s="454"/>
      <c r="EX156" s="428"/>
      <c r="EY156" s="427"/>
      <c r="EZ156" s="454"/>
      <c r="FA156" s="454"/>
      <c r="FB156" s="428"/>
      <c r="FC156" s="427"/>
      <c r="FD156" s="454"/>
      <c r="FE156" s="454"/>
      <c r="FF156" s="428"/>
      <c r="FG156" s="427"/>
      <c r="FH156" s="454"/>
      <c r="FI156" s="454"/>
      <c r="FJ156" s="428"/>
      <c r="FK156" s="427"/>
      <c r="FL156" s="454"/>
      <c r="FM156" s="454"/>
      <c r="FN156" s="428"/>
      <c r="FO156" s="427"/>
      <c r="FP156" s="454"/>
      <c r="FQ156" s="454"/>
      <c r="FR156" s="428"/>
      <c r="FS156" s="427"/>
      <c r="FT156" s="454"/>
      <c r="FU156" s="454"/>
      <c r="FV156" s="428"/>
      <c r="FW156" s="427"/>
      <c r="FX156" s="454"/>
      <c r="FY156" s="454"/>
      <c r="FZ156" s="428"/>
      <c r="GA156" s="427"/>
      <c r="GB156" s="454"/>
      <c r="GC156" s="454"/>
      <c r="GD156" s="428"/>
      <c r="GE156" s="427"/>
      <c r="GF156" s="454"/>
      <c r="GG156" s="454"/>
      <c r="GH156" s="428"/>
      <c r="GI156" s="427"/>
      <c r="GJ156" s="454"/>
      <c r="GK156" s="454"/>
      <c r="GL156" s="428"/>
      <c r="GM156" s="427"/>
      <c r="GN156" s="454"/>
      <c r="GO156" s="454"/>
      <c r="GP156" s="428"/>
      <c r="GQ156" s="427"/>
      <c r="GR156" s="454"/>
      <c r="GS156" s="454"/>
      <c r="GT156" s="428"/>
      <c r="GU156" s="427"/>
      <c r="GV156" s="454"/>
      <c r="GW156" s="454"/>
      <c r="GX156" s="428"/>
      <c r="GY156" s="427"/>
      <c r="GZ156" s="454"/>
      <c r="HA156" s="454"/>
      <c r="HB156" s="428"/>
      <c r="HC156" s="434">
        <f t="shared" si="84"/>
        <v>0</v>
      </c>
      <c r="HD156" s="456"/>
      <c r="HE156" s="456"/>
      <c r="HF156" s="433"/>
      <c r="HG156" s="434">
        <f>SUM(SUMIFS(K156:HB156,$K$13:$HB$13,{"エネルギー管理指定工場等*","県域*"}))</f>
        <v>0</v>
      </c>
      <c r="HH156" s="456"/>
      <c r="HI156" s="456"/>
      <c r="HJ156" s="433"/>
    </row>
    <row r="157" spans="1:218" ht="20.100000000000001" customHeight="1">
      <c r="A157" s="164"/>
      <c r="B157" s="421" t="s">
        <v>1438</v>
      </c>
      <c r="C157" s="422"/>
      <c r="D157" s="422"/>
      <c r="E157" s="422"/>
      <c r="F157" s="422"/>
      <c r="G157" s="422"/>
      <c r="H157" s="453"/>
      <c r="I157" s="425"/>
      <c r="J157" s="426"/>
      <c r="K157" s="427"/>
      <c r="L157" s="454"/>
      <c r="M157" s="454"/>
      <c r="N157" s="428"/>
      <c r="O157" s="427"/>
      <c r="P157" s="454"/>
      <c r="Q157" s="454"/>
      <c r="R157" s="428"/>
      <c r="S157" s="427"/>
      <c r="T157" s="454"/>
      <c r="U157" s="454"/>
      <c r="V157" s="428"/>
      <c r="W157" s="427"/>
      <c r="X157" s="454"/>
      <c r="Y157" s="454"/>
      <c r="Z157" s="428"/>
      <c r="AA157" s="427"/>
      <c r="AB157" s="454"/>
      <c r="AC157" s="454"/>
      <c r="AD157" s="428"/>
      <c r="AE157" s="427"/>
      <c r="AF157" s="454"/>
      <c r="AG157" s="454"/>
      <c r="AH157" s="428"/>
      <c r="AI157" s="427"/>
      <c r="AJ157" s="454"/>
      <c r="AK157" s="454"/>
      <c r="AL157" s="428"/>
      <c r="AM157" s="427"/>
      <c r="AN157" s="454"/>
      <c r="AO157" s="454"/>
      <c r="AP157" s="428"/>
      <c r="AQ157" s="427"/>
      <c r="AR157" s="454"/>
      <c r="AS157" s="454"/>
      <c r="AT157" s="428"/>
      <c r="AU157" s="427"/>
      <c r="AV157" s="454"/>
      <c r="AW157" s="454"/>
      <c r="AX157" s="428"/>
      <c r="AY157" s="427"/>
      <c r="AZ157" s="454"/>
      <c r="BA157" s="454"/>
      <c r="BB157" s="428"/>
      <c r="BC157" s="427"/>
      <c r="BD157" s="454"/>
      <c r="BE157" s="454"/>
      <c r="BF157" s="428"/>
      <c r="BG157" s="427"/>
      <c r="BH157" s="454"/>
      <c r="BI157" s="454"/>
      <c r="BJ157" s="428"/>
      <c r="BK157" s="427"/>
      <c r="BL157" s="454"/>
      <c r="BM157" s="454"/>
      <c r="BN157" s="428"/>
      <c r="BO157" s="427"/>
      <c r="BP157" s="454"/>
      <c r="BQ157" s="454"/>
      <c r="BR157" s="428"/>
      <c r="BS157" s="427"/>
      <c r="BT157" s="454"/>
      <c r="BU157" s="454"/>
      <c r="BV157" s="428"/>
      <c r="BW157" s="427"/>
      <c r="BX157" s="454"/>
      <c r="BY157" s="454"/>
      <c r="BZ157" s="428"/>
      <c r="CA157" s="427"/>
      <c r="CB157" s="454"/>
      <c r="CC157" s="454"/>
      <c r="CD157" s="428"/>
      <c r="CE157" s="427"/>
      <c r="CF157" s="454"/>
      <c r="CG157" s="454"/>
      <c r="CH157" s="428"/>
      <c r="CI157" s="427"/>
      <c r="CJ157" s="454"/>
      <c r="CK157" s="454"/>
      <c r="CL157" s="428"/>
      <c r="CM157" s="427"/>
      <c r="CN157" s="454"/>
      <c r="CO157" s="454"/>
      <c r="CP157" s="428"/>
      <c r="CQ157" s="427"/>
      <c r="CR157" s="454"/>
      <c r="CS157" s="454"/>
      <c r="CT157" s="428"/>
      <c r="CU157" s="427"/>
      <c r="CV157" s="454"/>
      <c r="CW157" s="454"/>
      <c r="CX157" s="428"/>
      <c r="CY157" s="427"/>
      <c r="CZ157" s="454"/>
      <c r="DA157" s="454"/>
      <c r="DB157" s="428"/>
      <c r="DC157" s="427"/>
      <c r="DD157" s="454"/>
      <c r="DE157" s="454"/>
      <c r="DF157" s="428"/>
      <c r="DG157" s="427"/>
      <c r="DH157" s="454"/>
      <c r="DI157" s="454"/>
      <c r="DJ157" s="428"/>
      <c r="DK157" s="427"/>
      <c r="DL157" s="454"/>
      <c r="DM157" s="454"/>
      <c r="DN157" s="428"/>
      <c r="DO157" s="427"/>
      <c r="DP157" s="454"/>
      <c r="DQ157" s="454"/>
      <c r="DR157" s="428"/>
      <c r="DS157" s="427"/>
      <c r="DT157" s="454"/>
      <c r="DU157" s="454"/>
      <c r="DV157" s="428"/>
      <c r="DW157" s="427"/>
      <c r="DX157" s="454"/>
      <c r="DY157" s="454"/>
      <c r="DZ157" s="428"/>
      <c r="EA157" s="427"/>
      <c r="EB157" s="454"/>
      <c r="EC157" s="454"/>
      <c r="ED157" s="428"/>
      <c r="EE157" s="427"/>
      <c r="EF157" s="454"/>
      <c r="EG157" s="454"/>
      <c r="EH157" s="428"/>
      <c r="EI157" s="427"/>
      <c r="EJ157" s="454"/>
      <c r="EK157" s="454"/>
      <c r="EL157" s="428"/>
      <c r="EM157" s="427"/>
      <c r="EN157" s="454"/>
      <c r="EO157" s="454"/>
      <c r="EP157" s="428"/>
      <c r="EQ157" s="427"/>
      <c r="ER157" s="454"/>
      <c r="ES157" s="454"/>
      <c r="ET157" s="428"/>
      <c r="EU157" s="427"/>
      <c r="EV157" s="454"/>
      <c r="EW157" s="454"/>
      <c r="EX157" s="428"/>
      <c r="EY157" s="427"/>
      <c r="EZ157" s="454"/>
      <c r="FA157" s="454"/>
      <c r="FB157" s="428"/>
      <c r="FC157" s="427"/>
      <c r="FD157" s="454"/>
      <c r="FE157" s="454"/>
      <c r="FF157" s="428"/>
      <c r="FG157" s="427"/>
      <c r="FH157" s="454"/>
      <c r="FI157" s="454"/>
      <c r="FJ157" s="428"/>
      <c r="FK157" s="427"/>
      <c r="FL157" s="454"/>
      <c r="FM157" s="454"/>
      <c r="FN157" s="428"/>
      <c r="FO157" s="427"/>
      <c r="FP157" s="454"/>
      <c r="FQ157" s="454"/>
      <c r="FR157" s="428"/>
      <c r="FS157" s="427"/>
      <c r="FT157" s="454"/>
      <c r="FU157" s="454"/>
      <c r="FV157" s="428"/>
      <c r="FW157" s="427"/>
      <c r="FX157" s="454"/>
      <c r="FY157" s="454"/>
      <c r="FZ157" s="428"/>
      <c r="GA157" s="427"/>
      <c r="GB157" s="454"/>
      <c r="GC157" s="454"/>
      <c r="GD157" s="428"/>
      <c r="GE157" s="427"/>
      <c r="GF157" s="454"/>
      <c r="GG157" s="454"/>
      <c r="GH157" s="428"/>
      <c r="GI157" s="427"/>
      <c r="GJ157" s="454"/>
      <c r="GK157" s="454"/>
      <c r="GL157" s="428"/>
      <c r="GM157" s="427"/>
      <c r="GN157" s="454"/>
      <c r="GO157" s="454"/>
      <c r="GP157" s="428"/>
      <c r="GQ157" s="427"/>
      <c r="GR157" s="454"/>
      <c r="GS157" s="454"/>
      <c r="GT157" s="428"/>
      <c r="GU157" s="427"/>
      <c r="GV157" s="454"/>
      <c r="GW157" s="454"/>
      <c r="GX157" s="428"/>
      <c r="GY157" s="427"/>
      <c r="GZ157" s="454"/>
      <c r="HA157" s="454"/>
      <c r="HB157" s="428"/>
      <c r="HC157" s="434">
        <f t="shared" si="84"/>
        <v>0</v>
      </c>
      <c r="HD157" s="456"/>
      <c r="HE157" s="456"/>
      <c r="HF157" s="433"/>
      <c r="HG157" s="434">
        <f>SUM(SUMIFS(K157:HB157,$K$13:$HB$13,{"エネルギー管理指定工場等*","県域*"}))</f>
        <v>0</v>
      </c>
      <c r="HH157" s="456"/>
      <c r="HI157" s="456"/>
      <c r="HJ157" s="433"/>
    </row>
    <row r="158" spans="1:218" ht="20.100000000000001" customHeight="1">
      <c r="A158" s="164"/>
      <c r="B158" s="421" t="s">
        <v>1439</v>
      </c>
      <c r="C158" s="422"/>
      <c r="D158" s="422"/>
      <c r="E158" s="422"/>
      <c r="F158" s="422"/>
      <c r="G158" s="422"/>
      <c r="H158" s="453"/>
      <c r="I158" s="425"/>
      <c r="J158" s="426"/>
      <c r="K158" s="427"/>
      <c r="L158" s="454"/>
      <c r="M158" s="454"/>
      <c r="N158" s="428"/>
      <c r="O158" s="427"/>
      <c r="P158" s="454"/>
      <c r="Q158" s="454"/>
      <c r="R158" s="428"/>
      <c r="S158" s="427"/>
      <c r="T158" s="454"/>
      <c r="U158" s="454"/>
      <c r="V158" s="428"/>
      <c r="W158" s="427"/>
      <c r="X158" s="454"/>
      <c r="Y158" s="454"/>
      <c r="Z158" s="428"/>
      <c r="AA158" s="427"/>
      <c r="AB158" s="454"/>
      <c r="AC158" s="454"/>
      <c r="AD158" s="428"/>
      <c r="AE158" s="427"/>
      <c r="AF158" s="454"/>
      <c r="AG158" s="454"/>
      <c r="AH158" s="428"/>
      <c r="AI158" s="427"/>
      <c r="AJ158" s="454"/>
      <c r="AK158" s="454"/>
      <c r="AL158" s="428"/>
      <c r="AM158" s="427"/>
      <c r="AN158" s="454"/>
      <c r="AO158" s="454"/>
      <c r="AP158" s="428"/>
      <c r="AQ158" s="427"/>
      <c r="AR158" s="454"/>
      <c r="AS158" s="454"/>
      <c r="AT158" s="428"/>
      <c r="AU158" s="427"/>
      <c r="AV158" s="454"/>
      <c r="AW158" s="454"/>
      <c r="AX158" s="428"/>
      <c r="AY158" s="427"/>
      <c r="AZ158" s="454"/>
      <c r="BA158" s="454"/>
      <c r="BB158" s="428"/>
      <c r="BC158" s="427"/>
      <c r="BD158" s="454"/>
      <c r="BE158" s="454"/>
      <c r="BF158" s="428"/>
      <c r="BG158" s="427"/>
      <c r="BH158" s="454"/>
      <c r="BI158" s="454"/>
      <c r="BJ158" s="428"/>
      <c r="BK158" s="427"/>
      <c r="BL158" s="454"/>
      <c r="BM158" s="454"/>
      <c r="BN158" s="428"/>
      <c r="BO158" s="427"/>
      <c r="BP158" s="454"/>
      <c r="BQ158" s="454"/>
      <c r="BR158" s="428"/>
      <c r="BS158" s="427"/>
      <c r="BT158" s="454"/>
      <c r="BU158" s="454"/>
      <c r="BV158" s="428"/>
      <c r="BW158" s="427"/>
      <c r="BX158" s="454"/>
      <c r="BY158" s="454"/>
      <c r="BZ158" s="428"/>
      <c r="CA158" s="427"/>
      <c r="CB158" s="454"/>
      <c r="CC158" s="454"/>
      <c r="CD158" s="428"/>
      <c r="CE158" s="427"/>
      <c r="CF158" s="454"/>
      <c r="CG158" s="454"/>
      <c r="CH158" s="428"/>
      <c r="CI158" s="427"/>
      <c r="CJ158" s="454"/>
      <c r="CK158" s="454"/>
      <c r="CL158" s="428"/>
      <c r="CM158" s="427"/>
      <c r="CN158" s="454"/>
      <c r="CO158" s="454"/>
      <c r="CP158" s="428"/>
      <c r="CQ158" s="427"/>
      <c r="CR158" s="454"/>
      <c r="CS158" s="454"/>
      <c r="CT158" s="428"/>
      <c r="CU158" s="427"/>
      <c r="CV158" s="454"/>
      <c r="CW158" s="454"/>
      <c r="CX158" s="428"/>
      <c r="CY158" s="427"/>
      <c r="CZ158" s="454"/>
      <c r="DA158" s="454"/>
      <c r="DB158" s="428"/>
      <c r="DC158" s="427"/>
      <c r="DD158" s="454"/>
      <c r="DE158" s="454"/>
      <c r="DF158" s="428"/>
      <c r="DG158" s="427"/>
      <c r="DH158" s="454"/>
      <c r="DI158" s="454"/>
      <c r="DJ158" s="428"/>
      <c r="DK158" s="427"/>
      <c r="DL158" s="454"/>
      <c r="DM158" s="454"/>
      <c r="DN158" s="428"/>
      <c r="DO158" s="427"/>
      <c r="DP158" s="454"/>
      <c r="DQ158" s="454"/>
      <c r="DR158" s="428"/>
      <c r="DS158" s="427"/>
      <c r="DT158" s="454"/>
      <c r="DU158" s="454"/>
      <c r="DV158" s="428"/>
      <c r="DW158" s="427"/>
      <c r="DX158" s="454"/>
      <c r="DY158" s="454"/>
      <c r="DZ158" s="428"/>
      <c r="EA158" s="427"/>
      <c r="EB158" s="454"/>
      <c r="EC158" s="454"/>
      <c r="ED158" s="428"/>
      <c r="EE158" s="427"/>
      <c r="EF158" s="454"/>
      <c r="EG158" s="454"/>
      <c r="EH158" s="428"/>
      <c r="EI158" s="427"/>
      <c r="EJ158" s="454"/>
      <c r="EK158" s="454"/>
      <c r="EL158" s="428"/>
      <c r="EM158" s="427"/>
      <c r="EN158" s="454"/>
      <c r="EO158" s="454"/>
      <c r="EP158" s="428"/>
      <c r="EQ158" s="427"/>
      <c r="ER158" s="454"/>
      <c r="ES158" s="454"/>
      <c r="ET158" s="428"/>
      <c r="EU158" s="427"/>
      <c r="EV158" s="454"/>
      <c r="EW158" s="454"/>
      <c r="EX158" s="428"/>
      <c r="EY158" s="427"/>
      <c r="EZ158" s="454"/>
      <c r="FA158" s="454"/>
      <c r="FB158" s="428"/>
      <c r="FC158" s="427"/>
      <c r="FD158" s="454"/>
      <c r="FE158" s="454"/>
      <c r="FF158" s="428"/>
      <c r="FG158" s="427"/>
      <c r="FH158" s="454"/>
      <c r="FI158" s="454"/>
      <c r="FJ158" s="428"/>
      <c r="FK158" s="427"/>
      <c r="FL158" s="454"/>
      <c r="FM158" s="454"/>
      <c r="FN158" s="428"/>
      <c r="FO158" s="427"/>
      <c r="FP158" s="454"/>
      <c r="FQ158" s="454"/>
      <c r="FR158" s="428"/>
      <c r="FS158" s="427"/>
      <c r="FT158" s="454"/>
      <c r="FU158" s="454"/>
      <c r="FV158" s="428"/>
      <c r="FW158" s="427"/>
      <c r="FX158" s="454"/>
      <c r="FY158" s="454"/>
      <c r="FZ158" s="428"/>
      <c r="GA158" s="427"/>
      <c r="GB158" s="454"/>
      <c r="GC158" s="454"/>
      <c r="GD158" s="428"/>
      <c r="GE158" s="427"/>
      <c r="GF158" s="454"/>
      <c r="GG158" s="454"/>
      <c r="GH158" s="428"/>
      <c r="GI158" s="427"/>
      <c r="GJ158" s="454"/>
      <c r="GK158" s="454"/>
      <c r="GL158" s="428"/>
      <c r="GM158" s="427"/>
      <c r="GN158" s="454"/>
      <c r="GO158" s="454"/>
      <c r="GP158" s="428"/>
      <c r="GQ158" s="427"/>
      <c r="GR158" s="454"/>
      <c r="GS158" s="454"/>
      <c r="GT158" s="428"/>
      <c r="GU158" s="427"/>
      <c r="GV158" s="454"/>
      <c r="GW158" s="454"/>
      <c r="GX158" s="428"/>
      <c r="GY158" s="427"/>
      <c r="GZ158" s="454"/>
      <c r="HA158" s="454"/>
      <c r="HB158" s="428"/>
      <c r="HC158" s="434">
        <f t="shared" si="84"/>
        <v>0</v>
      </c>
      <c r="HD158" s="456"/>
      <c r="HE158" s="456"/>
      <c r="HF158" s="433"/>
      <c r="HG158" s="434">
        <f>SUM(SUMIFS(K158:HB158,$K$13:$HB$13,{"エネルギー管理指定工場等*","県域*"}))</f>
        <v>0</v>
      </c>
      <c r="HH158" s="456"/>
      <c r="HI158" s="456"/>
      <c r="HJ158" s="433"/>
    </row>
    <row r="159" spans="1:218" ht="20.100000000000001" customHeight="1">
      <c r="A159" s="164"/>
      <c r="B159" s="421" t="s">
        <v>1440</v>
      </c>
      <c r="C159" s="422"/>
      <c r="D159" s="422"/>
      <c r="E159" s="422"/>
      <c r="F159" s="422"/>
      <c r="G159" s="422"/>
      <c r="H159" s="453"/>
      <c r="I159" s="425"/>
      <c r="J159" s="426"/>
      <c r="K159" s="427"/>
      <c r="L159" s="454"/>
      <c r="M159" s="454"/>
      <c r="N159" s="428"/>
      <c r="O159" s="427"/>
      <c r="P159" s="454"/>
      <c r="Q159" s="454"/>
      <c r="R159" s="428"/>
      <c r="S159" s="427"/>
      <c r="T159" s="454"/>
      <c r="U159" s="454"/>
      <c r="V159" s="428"/>
      <c r="W159" s="427"/>
      <c r="X159" s="454"/>
      <c r="Y159" s="454"/>
      <c r="Z159" s="428"/>
      <c r="AA159" s="427"/>
      <c r="AB159" s="454"/>
      <c r="AC159" s="454"/>
      <c r="AD159" s="428"/>
      <c r="AE159" s="427"/>
      <c r="AF159" s="454"/>
      <c r="AG159" s="454"/>
      <c r="AH159" s="428"/>
      <c r="AI159" s="427"/>
      <c r="AJ159" s="454"/>
      <c r="AK159" s="454"/>
      <c r="AL159" s="428"/>
      <c r="AM159" s="427"/>
      <c r="AN159" s="454"/>
      <c r="AO159" s="454"/>
      <c r="AP159" s="428"/>
      <c r="AQ159" s="427"/>
      <c r="AR159" s="454"/>
      <c r="AS159" s="454"/>
      <c r="AT159" s="428"/>
      <c r="AU159" s="427"/>
      <c r="AV159" s="454"/>
      <c r="AW159" s="454"/>
      <c r="AX159" s="428"/>
      <c r="AY159" s="427"/>
      <c r="AZ159" s="454"/>
      <c r="BA159" s="454"/>
      <c r="BB159" s="428"/>
      <c r="BC159" s="427"/>
      <c r="BD159" s="454"/>
      <c r="BE159" s="454"/>
      <c r="BF159" s="428"/>
      <c r="BG159" s="427"/>
      <c r="BH159" s="454"/>
      <c r="BI159" s="454"/>
      <c r="BJ159" s="428"/>
      <c r="BK159" s="427"/>
      <c r="BL159" s="454"/>
      <c r="BM159" s="454"/>
      <c r="BN159" s="428"/>
      <c r="BO159" s="427"/>
      <c r="BP159" s="454"/>
      <c r="BQ159" s="454"/>
      <c r="BR159" s="428"/>
      <c r="BS159" s="427"/>
      <c r="BT159" s="454"/>
      <c r="BU159" s="454"/>
      <c r="BV159" s="428"/>
      <c r="BW159" s="427"/>
      <c r="BX159" s="454"/>
      <c r="BY159" s="454"/>
      <c r="BZ159" s="428"/>
      <c r="CA159" s="427"/>
      <c r="CB159" s="454"/>
      <c r="CC159" s="454"/>
      <c r="CD159" s="428"/>
      <c r="CE159" s="427"/>
      <c r="CF159" s="454"/>
      <c r="CG159" s="454"/>
      <c r="CH159" s="428"/>
      <c r="CI159" s="427"/>
      <c r="CJ159" s="454"/>
      <c r="CK159" s="454"/>
      <c r="CL159" s="428"/>
      <c r="CM159" s="427"/>
      <c r="CN159" s="454"/>
      <c r="CO159" s="454"/>
      <c r="CP159" s="428"/>
      <c r="CQ159" s="427"/>
      <c r="CR159" s="454"/>
      <c r="CS159" s="454"/>
      <c r="CT159" s="428"/>
      <c r="CU159" s="427"/>
      <c r="CV159" s="454"/>
      <c r="CW159" s="454"/>
      <c r="CX159" s="428"/>
      <c r="CY159" s="427"/>
      <c r="CZ159" s="454"/>
      <c r="DA159" s="454"/>
      <c r="DB159" s="428"/>
      <c r="DC159" s="427"/>
      <c r="DD159" s="454"/>
      <c r="DE159" s="454"/>
      <c r="DF159" s="428"/>
      <c r="DG159" s="427"/>
      <c r="DH159" s="454"/>
      <c r="DI159" s="454"/>
      <c r="DJ159" s="428"/>
      <c r="DK159" s="427"/>
      <c r="DL159" s="454"/>
      <c r="DM159" s="454"/>
      <c r="DN159" s="428"/>
      <c r="DO159" s="427"/>
      <c r="DP159" s="454"/>
      <c r="DQ159" s="454"/>
      <c r="DR159" s="428"/>
      <c r="DS159" s="427"/>
      <c r="DT159" s="454"/>
      <c r="DU159" s="454"/>
      <c r="DV159" s="428"/>
      <c r="DW159" s="427"/>
      <c r="DX159" s="454"/>
      <c r="DY159" s="454"/>
      <c r="DZ159" s="428"/>
      <c r="EA159" s="427"/>
      <c r="EB159" s="454"/>
      <c r="EC159" s="454"/>
      <c r="ED159" s="428"/>
      <c r="EE159" s="427"/>
      <c r="EF159" s="454"/>
      <c r="EG159" s="454"/>
      <c r="EH159" s="428"/>
      <c r="EI159" s="427"/>
      <c r="EJ159" s="454"/>
      <c r="EK159" s="454"/>
      <c r="EL159" s="428"/>
      <c r="EM159" s="427"/>
      <c r="EN159" s="454"/>
      <c r="EO159" s="454"/>
      <c r="EP159" s="428"/>
      <c r="EQ159" s="427"/>
      <c r="ER159" s="454"/>
      <c r="ES159" s="454"/>
      <c r="ET159" s="428"/>
      <c r="EU159" s="427"/>
      <c r="EV159" s="454"/>
      <c r="EW159" s="454"/>
      <c r="EX159" s="428"/>
      <c r="EY159" s="427"/>
      <c r="EZ159" s="454"/>
      <c r="FA159" s="454"/>
      <c r="FB159" s="428"/>
      <c r="FC159" s="427"/>
      <c r="FD159" s="454"/>
      <c r="FE159" s="454"/>
      <c r="FF159" s="428"/>
      <c r="FG159" s="427"/>
      <c r="FH159" s="454"/>
      <c r="FI159" s="454"/>
      <c r="FJ159" s="428"/>
      <c r="FK159" s="427"/>
      <c r="FL159" s="454"/>
      <c r="FM159" s="454"/>
      <c r="FN159" s="428"/>
      <c r="FO159" s="427"/>
      <c r="FP159" s="454"/>
      <c r="FQ159" s="454"/>
      <c r="FR159" s="428"/>
      <c r="FS159" s="427"/>
      <c r="FT159" s="454"/>
      <c r="FU159" s="454"/>
      <c r="FV159" s="428"/>
      <c r="FW159" s="427"/>
      <c r="FX159" s="454"/>
      <c r="FY159" s="454"/>
      <c r="FZ159" s="428"/>
      <c r="GA159" s="427"/>
      <c r="GB159" s="454"/>
      <c r="GC159" s="454"/>
      <c r="GD159" s="428"/>
      <c r="GE159" s="427"/>
      <c r="GF159" s="454"/>
      <c r="GG159" s="454"/>
      <c r="GH159" s="428"/>
      <c r="GI159" s="427"/>
      <c r="GJ159" s="454"/>
      <c r="GK159" s="454"/>
      <c r="GL159" s="428"/>
      <c r="GM159" s="427"/>
      <c r="GN159" s="454"/>
      <c r="GO159" s="454"/>
      <c r="GP159" s="428"/>
      <c r="GQ159" s="427"/>
      <c r="GR159" s="454"/>
      <c r="GS159" s="454"/>
      <c r="GT159" s="428"/>
      <c r="GU159" s="427"/>
      <c r="GV159" s="454"/>
      <c r="GW159" s="454"/>
      <c r="GX159" s="428"/>
      <c r="GY159" s="427"/>
      <c r="GZ159" s="454"/>
      <c r="HA159" s="454"/>
      <c r="HB159" s="428"/>
      <c r="HC159" s="434">
        <f t="shared" si="84"/>
        <v>0</v>
      </c>
      <c r="HD159" s="456"/>
      <c r="HE159" s="456"/>
      <c r="HF159" s="433"/>
      <c r="HG159" s="434">
        <f>SUM(SUMIFS(K159:HB159,$K$13:$HB$13,{"エネルギー管理指定工場等*","県域*"}))</f>
        <v>0</v>
      </c>
      <c r="HH159" s="456"/>
      <c r="HI159" s="456"/>
      <c r="HJ159" s="433"/>
    </row>
    <row r="160" spans="1:218" ht="20.100000000000001" customHeight="1" thickBot="1">
      <c r="A160" s="164"/>
      <c r="B160" s="483" t="s">
        <v>1441</v>
      </c>
      <c r="C160" s="458"/>
      <c r="D160" s="458"/>
      <c r="E160" s="458"/>
      <c r="F160" s="458"/>
      <c r="G160" s="458"/>
      <c r="H160" s="459"/>
      <c r="I160" s="484"/>
      <c r="J160" s="485"/>
      <c r="K160" s="486"/>
      <c r="L160" s="487"/>
      <c r="M160" s="487"/>
      <c r="N160" s="488"/>
      <c r="O160" s="486"/>
      <c r="P160" s="487"/>
      <c r="Q160" s="487"/>
      <c r="R160" s="488"/>
      <c r="S160" s="486"/>
      <c r="T160" s="487"/>
      <c r="U160" s="487"/>
      <c r="V160" s="488"/>
      <c r="W160" s="486"/>
      <c r="X160" s="487"/>
      <c r="Y160" s="487"/>
      <c r="Z160" s="488"/>
      <c r="AA160" s="486"/>
      <c r="AB160" s="487"/>
      <c r="AC160" s="487"/>
      <c r="AD160" s="488"/>
      <c r="AE160" s="460"/>
      <c r="AF160" s="461"/>
      <c r="AG160" s="487"/>
      <c r="AH160" s="488"/>
      <c r="AI160" s="486"/>
      <c r="AJ160" s="487"/>
      <c r="AK160" s="487"/>
      <c r="AL160" s="488"/>
      <c r="AM160" s="486"/>
      <c r="AN160" s="487"/>
      <c r="AO160" s="487"/>
      <c r="AP160" s="488"/>
      <c r="AQ160" s="486"/>
      <c r="AR160" s="487"/>
      <c r="AS160" s="487"/>
      <c r="AT160" s="488"/>
      <c r="AU160" s="486"/>
      <c r="AV160" s="487"/>
      <c r="AW160" s="487"/>
      <c r="AX160" s="488"/>
      <c r="AY160" s="486"/>
      <c r="AZ160" s="487"/>
      <c r="BA160" s="487"/>
      <c r="BB160" s="488"/>
      <c r="BC160" s="486"/>
      <c r="BD160" s="487"/>
      <c r="BE160" s="487"/>
      <c r="BF160" s="488"/>
      <c r="BG160" s="486"/>
      <c r="BH160" s="487"/>
      <c r="BI160" s="487"/>
      <c r="BJ160" s="488"/>
      <c r="BK160" s="486"/>
      <c r="BL160" s="487"/>
      <c r="BM160" s="487"/>
      <c r="BN160" s="488"/>
      <c r="BO160" s="486"/>
      <c r="BP160" s="487"/>
      <c r="BQ160" s="487"/>
      <c r="BR160" s="488"/>
      <c r="BS160" s="486"/>
      <c r="BT160" s="487"/>
      <c r="BU160" s="487"/>
      <c r="BV160" s="488"/>
      <c r="BW160" s="486"/>
      <c r="BX160" s="487"/>
      <c r="BY160" s="487"/>
      <c r="BZ160" s="488"/>
      <c r="CA160" s="486"/>
      <c r="CB160" s="487"/>
      <c r="CC160" s="487"/>
      <c r="CD160" s="488"/>
      <c r="CE160" s="486"/>
      <c r="CF160" s="487"/>
      <c r="CG160" s="487"/>
      <c r="CH160" s="488"/>
      <c r="CI160" s="486"/>
      <c r="CJ160" s="487"/>
      <c r="CK160" s="487"/>
      <c r="CL160" s="488"/>
      <c r="CM160" s="486"/>
      <c r="CN160" s="487"/>
      <c r="CO160" s="487"/>
      <c r="CP160" s="488"/>
      <c r="CQ160" s="486"/>
      <c r="CR160" s="487"/>
      <c r="CS160" s="487"/>
      <c r="CT160" s="488"/>
      <c r="CU160" s="486"/>
      <c r="CV160" s="487"/>
      <c r="CW160" s="487"/>
      <c r="CX160" s="488"/>
      <c r="CY160" s="486"/>
      <c r="CZ160" s="487"/>
      <c r="DA160" s="487"/>
      <c r="DB160" s="488"/>
      <c r="DC160" s="486"/>
      <c r="DD160" s="487"/>
      <c r="DE160" s="487"/>
      <c r="DF160" s="488"/>
      <c r="DG160" s="486"/>
      <c r="DH160" s="487"/>
      <c r="DI160" s="487"/>
      <c r="DJ160" s="488"/>
      <c r="DK160" s="486"/>
      <c r="DL160" s="487"/>
      <c r="DM160" s="487"/>
      <c r="DN160" s="488"/>
      <c r="DO160" s="486"/>
      <c r="DP160" s="487"/>
      <c r="DQ160" s="487"/>
      <c r="DR160" s="488"/>
      <c r="DS160" s="486"/>
      <c r="DT160" s="487"/>
      <c r="DU160" s="487"/>
      <c r="DV160" s="488"/>
      <c r="DW160" s="486"/>
      <c r="DX160" s="487"/>
      <c r="DY160" s="487"/>
      <c r="DZ160" s="488"/>
      <c r="EA160" s="486"/>
      <c r="EB160" s="487"/>
      <c r="EC160" s="487"/>
      <c r="ED160" s="488"/>
      <c r="EE160" s="486"/>
      <c r="EF160" s="487"/>
      <c r="EG160" s="487"/>
      <c r="EH160" s="488"/>
      <c r="EI160" s="486"/>
      <c r="EJ160" s="487"/>
      <c r="EK160" s="487"/>
      <c r="EL160" s="488"/>
      <c r="EM160" s="486"/>
      <c r="EN160" s="487"/>
      <c r="EO160" s="487"/>
      <c r="EP160" s="488"/>
      <c r="EQ160" s="486"/>
      <c r="ER160" s="487"/>
      <c r="ES160" s="487"/>
      <c r="ET160" s="488"/>
      <c r="EU160" s="486"/>
      <c r="EV160" s="487"/>
      <c r="EW160" s="487"/>
      <c r="EX160" s="488"/>
      <c r="EY160" s="486"/>
      <c r="EZ160" s="487"/>
      <c r="FA160" s="487"/>
      <c r="FB160" s="488"/>
      <c r="FC160" s="486"/>
      <c r="FD160" s="487"/>
      <c r="FE160" s="487"/>
      <c r="FF160" s="488"/>
      <c r="FG160" s="486"/>
      <c r="FH160" s="487"/>
      <c r="FI160" s="487"/>
      <c r="FJ160" s="488"/>
      <c r="FK160" s="486"/>
      <c r="FL160" s="487"/>
      <c r="FM160" s="487"/>
      <c r="FN160" s="488"/>
      <c r="FO160" s="486"/>
      <c r="FP160" s="487"/>
      <c r="FQ160" s="487"/>
      <c r="FR160" s="488"/>
      <c r="FS160" s="486"/>
      <c r="FT160" s="487"/>
      <c r="FU160" s="487"/>
      <c r="FV160" s="488"/>
      <c r="FW160" s="486"/>
      <c r="FX160" s="487"/>
      <c r="FY160" s="487"/>
      <c r="FZ160" s="488"/>
      <c r="GA160" s="486"/>
      <c r="GB160" s="487"/>
      <c r="GC160" s="487"/>
      <c r="GD160" s="488"/>
      <c r="GE160" s="486"/>
      <c r="GF160" s="487"/>
      <c r="GG160" s="487"/>
      <c r="GH160" s="488"/>
      <c r="GI160" s="486"/>
      <c r="GJ160" s="487"/>
      <c r="GK160" s="487"/>
      <c r="GL160" s="488"/>
      <c r="GM160" s="486"/>
      <c r="GN160" s="487"/>
      <c r="GO160" s="487"/>
      <c r="GP160" s="488"/>
      <c r="GQ160" s="486"/>
      <c r="GR160" s="487"/>
      <c r="GS160" s="487"/>
      <c r="GT160" s="488"/>
      <c r="GU160" s="486"/>
      <c r="GV160" s="487"/>
      <c r="GW160" s="487"/>
      <c r="GX160" s="488"/>
      <c r="GY160" s="486"/>
      <c r="GZ160" s="487"/>
      <c r="HA160" s="487"/>
      <c r="HB160" s="488"/>
      <c r="HC160" s="489">
        <f t="shared" si="84"/>
        <v>0</v>
      </c>
      <c r="HD160" s="490"/>
      <c r="HE160" s="490"/>
      <c r="HF160" s="491"/>
      <c r="HG160" s="489">
        <f>SUM(SUMIFS(K160:HB160,$K$13:$HB$13,{"エネルギー管理指定工場等*","県域*"}))</f>
        <v>0</v>
      </c>
      <c r="HH160" s="490"/>
      <c r="HI160" s="490"/>
      <c r="HJ160" s="491"/>
    </row>
    <row r="161" spans="1:210" ht="20.100000000000001" customHeight="1">
      <c r="A161" s="164"/>
      <c r="B161" s="492" t="s">
        <v>1442</v>
      </c>
      <c r="C161" s="374" t="s">
        <v>1443</v>
      </c>
      <c r="D161" s="376"/>
      <c r="E161" s="376"/>
      <c r="F161" s="493"/>
      <c r="G161" s="492" t="s">
        <v>631</v>
      </c>
      <c r="H161" s="493"/>
      <c r="I161" s="293" t="s">
        <v>632</v>
      </c>
      <c r="J161" s="399" t="s">
        <v>633</v>
      </c>
      <c r="K161" s="494" t="s">
        <v>1444</v>
      </c>
      <c r="L161" s="254" t="s">
        <v>1445</v>
      </c>
      <c r="M161" s="254" t="s">
        <v>1446</v>
      </c>
      <c r="N161" s="254" t="s">
        <v>1447</v>
      </c>
      <c r="O161" s="492"/>
      <c r="P161" s="376"/>
      <c r="Q161" s="200"/>
      <c r="R161" s="251"/>
      <c r="S161" s="251"/>
      <c r="T161" s="251"/>
      <c r="U161" s="200"/>
      <c r="V161" s="251"/>
      <c r="W161" s="251"/>
      <c r="X161" s="251"/>
      <c r="Y161" s="200"/>
      <c r="Z161" s="251"/>
      <c r="AA161" s="251"/>
      <c r="AB161" s="251"/>
      <c r="AC161" s="200"/>
      <c r="AD161" s="251"/>
      <c r="AE161" s="376"/>
      <c r="AF161" s="376"/>
      <c r="AG161" s="251"/>
      <c r="AH161" s="251"/>
      <c r="AI161" s="251"/>
      <c r="AJ161" s="251"/>
      <c r="AK161" s="251"/>
      <c r="AL161" s="251"/>
      <c r="AM161" s="251"/>
      <c r="AN161" s="251"/>
      <c r="AO161" s="495"/>
      <c r="AP161" s="495"/>
      <c r="AQ161" s="249"/>
      <c r="AR161" s="249"/>
      <c r="AS161" s="249"/>
      <c r="AT161" s="249"/>
      <c r="AU161" s="249"/>
      <c r="AV161" s="249"/>
      <c r="AW161" s="251"/>
      <c r="AX161" s="251"/>
      <c r="AY161" s="251"/>
      <c r="AZ161" s="251"/>
      <c r="BA161" s="251"/>
      <c r="BB161" s="251"/>
      <c r="BC161" s="251"/>
      <c r="BD161" s="251"/>
      <c r="BE161" s="251"/>
      <c r="BF161" s="251"/>
      <c r="BG161" s="251"/>
      <c r="BH161" s="251"/>
      <c r="BI161" s="251"/>
      <c r="BJ161" s="251"/>
      <c r="BK161" s="251"/>
      <c r="BL161" s="251"/>
      <c r="BM161" s="251"/>
      <c r="BN161" s="251"/>
      <c r="BO161" s="251"/>
      <c r="BP161" s="251"/>
      <c r="BQ161" s="249"/>
      <c r="BR161" s="249"/>
      <c r="BS161" s="249"/>
      <c r="BT161" s="249"/>
      <c r="BU161" s="249"/>
      <c r="BV161" s="249"/>
      <c r="BW161" s="496"/>
      <c r="BX161" s="496"/>
      <c r="BY161" s="496"/>
      <c r="BZ161" s="496"/>
      <c r="CA161" s="496"/>
      <c r="CB161" s="496"/>
      <c r="CC161" s="496"/>
      <c r="CD161" s="496"/>
      <c r="CE161" s="496"/>
      <c r="CF161" s="496"/>
      <c r="CG161" s="496"/>
      <c r="CH161" s="496"/>
      <c r="CI161" s="496"/>
      <c r="CJ161" s="496"/>
      <c r="CK161" s="496"/>
      <c r="CL161" s="496"/>
      <c r="CM161" s="496"/>
      <c r="CN161" s="496"/>
      <c r="CO161" s="496"/>
      <c r="CP161" s="496"/>
      <c r="CQ161" s="496"/>
      <c r="CR161" s="496"/>
      <c r="CS161" s="496"/>
      <c r="CT161" s="496"/>
      <c r="CU161" s="496"/>
      <c r="CV161" s="496"/>
      <c r="CW161" s="496"/>
      <c r="CX161" s="496"/>
      <c r="CY161" s="496"/>
      <c r="CZ161" s="496"/>
      <c r="DA161" s="496"/>
      <c r="DB161" s="496"/>
      <c r="DC161" s="496"/>
      <c r="DD161" s="496"/>
      <c r="DE161" s="496"/>
      <c r="DF161" s="496"/>
      <c r="DG161" s="496"/>
      <c r="DH161" s="496"/>
      <c r="DI161" s="496"/>
      <c r="DJ161" s="496"/>
      <c r="DK161" s="496"/>
      <c r="DL161" s="496"/>
      <c r="DM161" s="496"/>
      <c r="DN161" s="496"/>
      <c r="DO161" s="496"/>
      <c r="DP161" s="496"/>
      <c r="DQ161" s="496"/>
      <c r="DR161" s="496"/>
      <c r="DS161" s="496"/>
      <c r="DT161" s="496"/>
      <c r="DU161" s="496"/>
      <c r="DV161" s="496"/>
      <c r="DW161" s="496"/>
      <c r="DX161" s="496"/>
      <c r="DY161" s="496"/>
      <c r="DZ161" s="496"/>
      <c r="EA161" s="496"/>
      <c r="EB161" s="496"/>
      <c r="EC161" s="496"/>
      <c r="ED161" s="496"/>
      <c r="EE161" s="496"/>
      <c r="EF161" s="496"/>
      <c r="EG161" s="496"/>
      <c r="EH161" s="496"/>
      <c r="EI161" s="496"/>
      <c r="EJ161" s="496"/>
      <c r="EK161" s="496"/>
      <c r="EL161" s="496"/>
      <c r="EM161" s="496"/>
      <c r="EN161" s="496"/>
      <c r="EO161" s="496"/>
      <c r="EP161" s="496"/>
      <c r="EQ161" s="496"/>
      <c r="ER161" s="496"/>
      <c r="ES161" s="496"/>
      <c r="ET161" s="496"/>
      <c r="EU161" s="496"/>
      <c r="EV161" s="496"/>
      <c r="EW161" s="496"/>
      <c r="EX161" s="496"/>
      <c r="EY161" s="496"/>
      <c r="EZ161" s="496"/>
      <c r="FA161" s="496"/>
      <c r="FB161" s="496"/>
      <c r="FC161" s="496"/>
      <c r="FD161" s="496"/>
      <c r="FE161" s="496"/>
      <c r="FF161" s="496"/>
      <c r="FG161" s="496"/>
      <c r="FH161" s="496"/>
      <c r="FI161" s="496"/>
      <c r="FJ161" s="496"/>
      <c r="FK161" s="496"/>
      <c r="FL161" s="496"/>
      <c r="FM161" s="496"/>
      <c r="FN161" s="496"/>
      <c r="FO161" s="496"/>
      <c r="FP161" s="496"/>
      <c r="FQ161" s="496"/>
      <c r="FR161" s="496"/>
      <c r="FS161" s="496"/>
      <c r="FT161" s="496"/>
      <c r="FU161" s="496"/>
      <c r="FV161" s="496"/>
      <c r="FW161" s="496"/>
      <c r="FX161" s="496"/>
      <c r="FY161" s="496"/>
      <c r="FZ161" s="496"/>
      <c r="GA161" s="496"/>
      <c r="GB161" s="496"/>
      <c r="GC161" s="496"/>
      <c r="GD161" s="496"/>
      <c r="GE161" s="496"/>
      <c r="GF161" s="496"/>
      <c r="GG161" s="496"/>
      <c r="GH161" s="496"/>
      <c r="GI161" s="496"/>
      <c r="GJ161" s="496"/>
      <c r="GK161" s="496"/>
      <c r="GL161" s="496"/>
      <c r="GM161" s="496"/>
      <c r="GN161" s="496"/>
      <c r="GO161" s="496"/>
      <c r="GP161" s="496"/>
      <c r="GQ161" s="496"/>
      <c r="GR161" s="496"/>
      <c r="GS161" s="496"/>
      <c r="GT161" s="496"/>
      <c r="GU161" s="496"/>
      <c r="GV161" s="496"/>
      <c r="GW161" s="496"/>
      <c r="GX161" s="496"/>
      <c r="GY161" s="496"/>
      <c r="GZ161" s="496"/>
      <c r="HA161" s="496"/>
      <c r="HB161" s="496"/>
    </row>
    <row r="162" spans="1:210" ht="20.100000000000001" customHeight="1">
      <c r="A162" s="164"/>
      <c r="B162" s="250"/>
      <c r="C162" s="497" t="s">
        <v>1448</v>
      </c>
      <c r="D162" s="498" t="s">
        <v>634</v>
      </c>
      <c r="E162" s="499"/>
      <c r="F162" s="500"/>
      <c r="G162" s="501" t="s">
        <v>433</v>
      </c>
      <c r="H162" s="383"/>
      <c r="I162" s="310"/>
      <c r="J162" s="311"/>
      <c r="K162" s="315"/>
      <c r="L162" s="310"/>
      <c r="M162" s="310"/>
      <c r="N162" s="310"/>
      <c r="O162" s="250"/>
      <c r="P162" s="251"/>
      <c r="Q162" s="200"/>
      <c r="R162" s="251"/>
      <c r="S162" s="251"/>
      <c r="T162" s="251"/>
      <c r="U162" s="200"/>
      <c r="V162" s="251"/>
      <c r="W162" s="251"/>
      <c r="X162" s="251"/>
      <c r="Y162" s="200"/>
      <c r="Z162" s="251"/>
      <c r="AA162" s="251"/>
      <c r="AB162" s="251"/>
      <c r="AC162" s="200"/>
      <c r="AD162" s="251"/>
      <c r="AE162" s="251"/>
      <c r="AF162" s="251"/>
      <c r="AG162" s="251"/>
      <c r="AH162" s="251"/>
      <c r="AI162" s="251"/>
      <c r="AJ162" s="251"/>
      <c r="AK162" s="251"/>
      <c r="AL162" s="251"/>
      <c r="AM162" s="251"/>
      <c r="AN162" s="251"/>
      <c r="AO162" s="495"/>
      <c r="AP162" s="495"/>
      <c r="AQ162" s="249"/>
      <c r="AR162" s="249"/>
      <c r="AS162" s="249"/>
      <c r="AT162" s="249"/>
      <c r="AU162" s="249"/>
      <c r="AV162" s="249"/>
      <c r="AW162" s="251"/>
      <c r="AX162" s="251"/>
      <c r="AY162" s="251"/>
      <c r="AZ162" s="251"/>
      <c r="BA162" s="251"/>
      <c r="BB162" s="251"/>
      <c r="BC162" s="251"/>
      <c r="BD162" s="251"/>
      <c r="BE162" s="251"/>
      <c r="BF162" s="251"/>
      <c r="BG162" s="251"/>
      <c r="BH162" s="251"/>
      <c r="BI162" s="251"/>
      <c r="BJ162" s="251"/>
      <c r="BK162" s="251"/>
      <c r="BL162" s="251"/>
      <c r="BM162" s="251"/>
      <c r="BN162" s="251"/>
      <c r="BO162" s="251"/>
      <c r="BP162" s="251"/>
      <c r="BQ162" s="249"/>
      <c r="BR162" s="249"/>
      <c r="BS162" s="249"/>
      <c r="BT162" s="249"/>
      <c r="BU162" s="249"/>
      <c r="BV162" s="249"/>
      <c r="BW162" s="496"/>
      <c r="BX162" s="496"/>
      <c r="BY162" s="496"/>
      <c r="BZ162" s="496"/>
      <c r="CA162" s="496"/>
      <c r="CB162" s="496"/>
      <c r="CC162" s="496"/>
      <c r="CD162" s="496"/>
      <c r="CE162" s="496"/>
      <c r="CF162" s="496"/>
      <c r="CG162" s="496"/>
      <c r="CH162" s="496"/>
      <c r="CI162" s="496"/>
      <c r="CJ162" s="496"/>
      <c r="CK162" s="496"/>
      <c r="CL162" s="496"/>
      <c r="CM162" s="496"/>
      <c r="CN162" s="496"/>
      <c r="CO162" s="496"/>
      <c r="CP162" s="496"/>
      <c r="CQ162" s="496"/>
      <c r="CR162" s="496"/>
      <c r="CS162" s="496"/>
      <c r="CT162" s="496"/>
      <c r="CU162" s="496"/>
      <c r="CV162" s="496"/>
      <c r="CW162" s="496"/>
      <c r="CX162" s="496"/>
      <c r="CY162" s="496"/>
      <c r="CZ162" s="496"/>
      <c r="DA162" s="496"/>
      <c r="DB162" s="496"/>
      <c r="DC162" s="496"/>
      <c r="DD162" s="496"/>
      <c r="DE162" s="496"/>
      <c r="DF162" s="496"/>
      <c r="DG162" s="496"/>
      <c r="DH162" s="496"/>
      <c r="DI162" s="496"/>
      <c r="DJ162" s="496"/>
      <c r="DK162" s="496"/>
      <c r="DL162" s="496"/>
      <c r="DM162" s="496"/>
      <c r="DN162" s="496"/>
      <c r="DO162" s="496"/>
      <c r="DP162" s="496"/>
      <c r="DQ162" s="496"/>
      <c r="DR162" s="496"/>
      <c r="DS162" s="496"/>
      <c r="DT162" s="496"/>
      <c r="DU162" s="496"/>
      <c r="DV162" s="496"/>
      <c r="DW162" s="496"/>
      <c r="DX162" s="496"/>
      <c r="DY162" s="496"/>
      <c r="DZ162" s="496"/>
      <c r="EA162" s="496"/>
      <c r="EB162" s="496"/>
      <c r="EC162" s="496"/>
      <c r="ED162" s="496"/>
      <c r="EE162" s="496"/>
      <c r="EF162" s="496"/>
      <c r="EG162" s="496"/>
      <c r="EH162" s="496"/>
      <c r="EI162" s="496"/>
      <c r="EJ162" s="496"/>
      <c r="EK162" s="496"/>
      <c r="EL162" s="496"/>
      <c r="EM162" s="496"/>
      <c r="EN162" s="496"/>
      <c r="EO162" s="496"/>
      <c r="EP162" s="496"/>
      <c r="EQ162" s="496"/>
      <c r="ER162" s="496"/>
      <c r="ES162" s="496"/>
      <c r="ET162" s="496"/>
      <c r="EU162" s="496"/>
      <c r="EV162" s="496"/>
      <c r="EW162" s="496"/>
      <c r="EX162" s="496"/>
      <c r="EY162" s="496"/>
      <c r="EZ162" s="496"/>
      <c r="FA162" s="496"/>
      <c r="FB162" s="496"/>
      <c r="FC162" s="496"/>
      <c r="FD162" s="496"/>
      <c r="FE162" s="496"/>
      <c r="FF162" s="496"/>
      <c r="FG162" s="496"/>
      <c r="FH162" s="496"/>
      <c r="FI162" s="496"/>
      <c r="FJ162" s="496"/>
      <c r="FK162" s="496"/>
      <c r="FL162" s="496"/>
      <c r="FM162" s="496"/>
      <c r="FN162" s="496"/>
      <c r="FO162" s="496"/>
      <c r="FP162" s="496"/>
      <c r="FQ162" s="496"/>
      <c r="FR162" s="496"/>
      <c r="FS162" s="496"/>
      <c r="FT162" s="496"/>
      <c r="FU162" s="496"/>
      <c r="FV162" s="496"/>
      <c r="FW162" s="496"/>
      <c r="FX162" s="496"/>
      <c r="FY162" s="496"/>
      <c r="FZ162" s="496"/>
      <c r="GA162" s="496"/>
      <c r="GB162" s="496"/>
      <c r="GC162" s="496"/>
      <c r="GD162" s="496"/>
      <c r="GE162" s="496"/>
      <c r="GF162" s="496"/>
      <c r="GG162" s="496"/>
      <c r="GH162" s="496"/>
      <c r="GI162" s="496"/>
      <c r="GJ162" s="496"/>
      <c r="GK162" s="496"/>
      <c r="GL162" s="496"/>
      <c r="GM162" s="496"/>
      <c r="GN162" s="496"/>
      <c r="GO162" s="496"/>
      <c r="GP162" s="496"/>
      <c r="GQ162" s="496"/>
      <c r="GR162" s="496"/>
      <c r="GS162" s="496"/>
      <c r="GT162" s="496"/>
      <c r="GU162" s="496"/>
      <c r="GV162" s="496"/>
      <c r="GW162" s="496"/>
      <c r="GX162" s="496"/>
      <c r="GY162" s="496"/>
      <c r="GZ162" s="496"/>
      <c r="HA162" s="496"/>
      <c r="HB162" s="496"/>
    </row>
    <row r="163" spans="1:210" ht="20.100000000000001" customHeight="1">
      <c r="A163" s="164"/>
      <c r="B163" s="250"/>
      <c r="C163" s="502"/>
      <c r="D163" s="503" t="s">
        <v>635</v>
      </c>
      <c r="E163" s="498"/>
      <c r="F163" s="500"/>
      <c r="G163" s="501" t="s">
        <v>433</v>
      </c>
      <c r="H163" s="383"/>
      <c r="I163" s="310"/>
      <c r="J163" s="311"/>
      <c r="K163" s="315"/>
      <c r="L163" s="310"/>
      <c r="M163" s="310"/>
      <c r="N163" s="310"/>
      <c r="O163" s="250"/>
      <c r="P163" s="251"/>
      <c r="Q163" s="200"/>
      <c r="R163" s="251"/>
      <c r="S163" s="251"/>
      <c r="T163" s="251"/>
      <c r="U163" s="200"/>
      <c r="V163" s="251"/>
      <c r="W163" s="251"/>
      <c r="X163" s="251"/>
      <c r="Y163" s="200"/>
      <c r="Z163" s="251"/>
      <c r="AA163" s="251"/>
      <c r="AB163" s="251"/>
      <c r="AC163" s="200"/>
      <c r="AD163" s="251"/>
      <c r="AE163" s="251"/>
      <c r="AF163" s="251"/>
      <c r="AG163" s="251"/>
      <c r="AH163" s="251"/>
      <c r="AI163" s="251"/>
      <c r="AJ163" s="251"/>
      <c r="AK163" s="251"/>
      <c r="AL163" s="251"/>
      <c r="AM163" s="251"/>
      <c r="AN163" s="251"/>
      <c r="AO163" s="495"/>
      <c r="AP163" s="495"/>
      <c r="AQ163" s="249"/>
      <c r="AR163" s="249"/>
      <c r="AS163" s="249"/>
      <c r="AT163" s="249"/>
      <c r="AU163" s="249"/>
      <c r="AV163" s="249"/>
      <c r="AW163" s="251"/>
      <c r="AX163" s="251"/>
      <c r="AY163" s="251"/>
      <c r="AZ163" s="251"/>
      <c r="BA163" s="251"/>
      <c r="BB163" s="251"/>
      <c r="BC163" s="251"/>
      <c r="BD163" s="251"/>
      <c r="BE163" s="251"/>
      <c r="BF163" s="251"/>
      <c r="BG163" s="251"/>
      <c r="BH163" s="251"/>
      <c r="BI163" s="251"/>
      <c r="BJ163" s="251"/>
      <c r="BK163" s="251"/>
      <c r="BL163" s="251"/>
      <c r="BM163" s="251"/>
      <c r="BN163" s="251"/>
      <c r="BO163" s="251"/>
      <c r="BP163" s="251"/>
      <c r="BQ163" s="249"/>
      <c r="BR163" s="249"/>
      <c r="BS163" s="249"/>
      <c r="BT163" s="249"/>
      <c r="BU163" s="249"/>
      <c r="BV163" s="249"/>
      <c r="BW163" s="496"/>
      <c r="BX163" s="496"/>
      <c r="BY163" s="496"/>
      <c r="BZ163" s="496"/>
      <c r="CA163" s="496"/>
      <c r="CB163" s="496"/>
      <c r="CC163" s="496"/>
      <c r="CD163" s="496"/>
      <c r="CE163" s="496"/>
      <c r="CF163" s="496"/>
      <c r="CG163" s="496"/>
      <c r="CH163" s="496"/>
      <c r="CI163" s="496"/>
      <c r="CJ163" s="496"/>
      <c r="CK163" s="496"/>
      <c r="CL163" s="496"/>
      <c r="CM163" s="496"/>
      <c r="CN163" s="496"/>
      <c r="CO163" s="496"/>
      <c r="CP163" s="496"/>
      <c r="CQ163" s="496"/>
      <c r="CR163" s="496"/>
      <c r="CS163" s="496"/>
      <c r="CT163" s="496"/>
      <c r="CU163" s="496"/>
      <c r="CV163" s="496"/>
      <c r="CW163" s="496"/>
      <c r="CX163" s="496"/>
      <c r="CY163" s="496"/>
      <c r="CZ163" s="496"/>
      <c r="DA163" s="496"/>
      <c r="DB163" s="496"/>
      <c r="DC163" s="496"/>
      <c r="DD163" s="496"/>
      <c r="DE163" s="496"/>
      <c r="DF163" s="496"/>
      <c r="DG163" s="496"/>
      <c r="DH163" s="496"/>
      <c r="DI163" s="496"/>
      <c r="DJ163" s="496"/>
      <c r="DK163" s="496"/>
      <c r="DL163" s="496"/>
      <c r="DM163" s="496"/>
      <c r="DN163" s="496"/>
      <c r="DO163" s="496"/>
      <c r="DP163" s="496"/>
      <c r="DQ163" s="496"/>
      <c r="DR163" s="496"/>
      <c r="DS163" s="496"/>
      <c r="DT163" s="496"/>
      <c r="DU163" s="496"/>
      <c r="DV163" s="496"/>
      <c r="DW163" s="496"/>
      <c r="DX163" s="496"/>
      <c r="DY163" s="496"/>
      <c r="DZ163" s="496"/>
      <c r="EA163" s="496"/>
      <c r="EB163" s="496"/>
      <c r="EC163" s="496"/>
      <c r="ED163" s="496"/>
      <c r="EE163" s="496"/>
      <c r="EF163" s="496"/>
      <c r="EG163" s="496"/>
      <c r="EH163" s="496"/>
      <c r="EI163" s="496"/>
      <c r="EJ163" s="496"/>
      <c r="EK163" s="496"/>
      <c r="EL163" s="496"/>
      <c r="EM163" s="496"/>
      <c r="EN163" s="496"/>
      <c r="EO163" s="496"/>
      <c r="EP163" s="496"/>
      <c r="EQ163" s="496"/>
      <c r="ER163" s="496"/>
      <c r="ES163" s="496"/>
      <c r="ET163" s="496"/>
      <c r="EU163" s="496"/>
      <c r="EV163" s="496"/>
      <c r="EW163" s="496"/>
      <c r="EX163" s="496"/>
      <c r="EY163" s="496"/>
      <c r="EZ163" s="496"/>
      <c r="FA163" s="496"/>
      <c r="FB163" s="496"/>
      <c r="FC163" s="496"/>
      <c r="FD163" s="496"/>
      <c r="FE163" s="496"/>
      <c r="FF163" s="496"/>
      <c r="FG163" s="496"/>
      <c r="FH163" s="496"/>
      <c r="FI163" s="496"/>
      <c r="FJ163" s="496"/>
      <c r="FK163" s="496"/>
      <c r="FL163" s="496"/>
      <c r="FM163" s="496"/>
      <c r="FN163" s="496"/>
      <c r="FO163" s="496"/>
      <c r="FP163" s="496"/>
      <c r="FQ163" s="496"/>
      <c r="FR163" s="496"/>
      <c r="FS163" s="496"/>
      <c r="FT163" s="496"/>
      <c r="FU163" s="496"/>
      <c r="FV163" s="496"/>
      <c r="FW163" s="496"/>
      <c r="FX163" s="496"/>
      <c r="FY163" s="496"/>
      <c r="FZ163" s="496"/>
      <c r="GA163" s="496"/>
      <c r="GB163" s="496"/>
      <c r="GC163" s="496"/>
      <c r="GD163" s="496"/>
      <c r="GE163" s="496"/>
      <c r="GF163" s="496"/>
      <c r="GG163" s="496"/>
      <c r="GH163" s="496"/>
      <c r="GI163" s="496"/>
      <c r="GJ163" s="496"/>
      <c r="GK163" s="496"/>
      <c r="GL163" s="496"/>
      <c r="GM163" s="496"/>
      <c r="GN163" s="496"/>
      <c r="GO163" s="496"/>
      <c r="GP163" s="496"/>
      <c r="GQ163" s="496"/>
      <c r="GR163" s="496"/>
      <c r="GS163" s="496"/>
      <c r="GT163" s="496"/>
      <c r="GU163" s="496"/>
      <c r="GV163" s="496"/>
      <c r="GW163" s="496"/>
      <c r="GX163" s="496"/>
      <c r="GY163" s="496"/>
      <c r="GZ163" s="496"/>
      <c r="HA163" s="496"/>
      <c r="HB163" s="496"/>
    </row>
    <row r="164" spans="1:210" ht="20.100000000000001" customHeight="1">
      <c r="A164" s="164"/>
      <c r="B164" s="250"/>
      <c r="C164" s="502"/>
      <c r="D164" s="504" t="s">
        <v>636</v>
      </c>
      <c r="E164" s="498" t="s">
        <v>1449</v>
      </c>
      <c r="F164" s="500"/>
      <c r="G164" s="501" t="s">
        <v>433</v>
      </c>
      <c r="H164" s="383"/>
      <c r="I164" s="310"/>
      <c r="J164" s="311"/>
      <c r="K164" s="315"/>
      <c r="L164" s="310"/>
      <c r="M164" s="310"/>
      <c r="N164" s="310"/>
      <c r="O164" s="250"/>
      <c r="P164" s="251"/>
      <c r="Q164" s="200"/>
      <c r="R164" s="251"/>
      <c r="S164" s="251"/>
      <c r="T164" s="251"/>
      <c r="U164" s="200"/>
      <c r="V164" s="251"/>
      <c r="W164" s="251"/>
      <c r="X164" s="251"/>
      <c r="Y164" s="200"/>
      <c r="Z164" s="251"/>
      <c r="AA164" s="251"/>
      <c r="AB164" s="251"/>
      <c r="AC164" s="200"/>
      <c r="AD164" s="251"/>
      <c r="AE164" s="251"/>
      <c r="AF164" s="251"/>
      <c r="AG164" s="251"/>
      <c r="AH164" s="251"/>
      <c r="AI164" s="251"/>
      <c r="AJ164" s="251"/>
      <c r="AK164" s="251"/>
      <c r="AL164" s="251"/>
      <c r="AM164" s="251"/>
      <c r="AN164" s="251"/>
      <c r="AO164" s="495"/>
      <c r="AP164" s="495"/>
      <c r="AQ164" s="249"/>
      <c r="AR164" s="249"/>
      <c r="AS164" s="249"/>
      <c r="AT164" s="249"/>
      <c r="AU164" s="249"/>
      <c r="AV164" s="249"/>
      <c r="AW164" s="251"/>
      <c r="AX164" s="251"/>
      <c r="AY164" s="251"/>
      <c r="AZ164" s="251"/>
      <c r="BA164" s="251"/>
      <c r="BB164" s="251"/>
      <c r="BC164" s="251"/>
      <c r="BD164" s="251"/>
      <c r="BE164" s="251"/>
      <c r="BF164" s="251"/>
      <c r="BG164" s="251"/>
      <c r="BH164" s="251"/>
      <c r="BI164" s="251"/>
      <c r="BJ164" s="251"/>
      <c r="BK164" s="251"/>
      <c r="BL164" s="251"/>
      <c r="BM164" s="251"/>
      <c r="BN164" s="251"/>
      <c r="BO164" s="251"/>
      <c r="BP164" s="251"/>
      <c r="BQ164" s="249"/>
      <c r="BR164" s="249"/>
      <c r="BS164" s="249"/>
      <c r="BT164" s="249"/>
      <c r="BU164" s="249"/>
      <c r="BV164" s="249"/>
      <c r="BW164" s="496"/>
      <c r="BX164" s="496"/>
      <c r="BY164" s="496"/>
      <c r="BZ164" s="496"/>
      <c r="CA164" s="496"/>
      <c r="CB164" s="496"/>
      <c r="CC164" s="496"/>
      <c r="CD164" s="496"/>
      <c r="CE164" s="496"/>
      <c r="CF164" s="496"/>
      <c r="CG164" s="496"/>
      <c r="CH164" s="496"/>
      <c r="CI164" s="496"/>
      <c r="CJ164" s="496"/>
      <c r="CK164" s="496"/>
      <c r="CL164" s="496"/>
      <c r="CM164" s="496"/>
      <c r="CN164" s="496"/>
      <c r="CO164" s="496"/>
      <c r="CP164" s="496"/>
      <c r="CQ164" s="496"/>
      <c r="CR164" s="496"/>
      <c r="CS164" s="496"/>
      <c r="CT164" s="496"/>
      <c r="CU164" s="496"/>
      <c r="CV164" s="496"/>
      <c r="CW164" s="496"/>
      <c r="CX164" s="496"/>
      <c r="CY164" s="496"/>
      <c r="CZ164" s="496"/>
      <c r="DA164" s="496"/>
      <c r="DB164" s="496"/>
      <c r="DC164" s="496"/>
      <c r="DD164" s="496"/>
      <c r="DE164" s="496"/>
      <c r="DF164" s="496"/>
      <c r="DG164" s="496"/>
      <c r="DH164" s="496"/>
      <c r="DI164" s="496"/>
      <c r="DJ164" s="496"/>
      <c r="DK164" s="496"/>
      <c r="DL164" s="496"/>
      <c r="DM164" s="496"/>
      <c r="DN164" s="496"/>
      <c r="DO164" s="496"/>
      <c r="DP164" s="496"/>
      <c r="DQ164" s="496"/>
      <c r="DR164" s="496"/>
      <c r="DS164" s="496"/>
      <c r="DT164" s="496"/>
      <c r="DU164" s="496"/>
      <c r="DV164" s="496"/>
      <c r="DW164" s="496"/>
      <c r="DX164" s="496"/>
      <c r="DY164" s="496"/>
      <c r="DZ164" s="496"/>
      <c r="EA164" s="496"/>
      <c r="EB164" s="496"/>
      <c r="EC164" s="496"/>
      <c r="ED164" s="496"/>
      <c r="EE164" s="496"/>
      <c r="EF164" s="496"/>
      <c r="EG164" s="496"/>
      <c r="EH164" s="496"/>
      <c r="EI164" s="496"/>
      <c r="EJ164" s="496"/>
      <c r="EK164" s="496"/>
      <c r="EL164" s="496"/>
      <c r="EM164" s="496"/>
      <c r="EN164" s="496"/>
      <c r="EO164" s="496"/>
      <c r="EP164" s="496"/>
      <c r="EQ164" s="496"/>
      <c r="ER164" s="496"/>
      <c r="ES164" s="496"/>
      <c r="ET164" s="496"/>
      <c r="EU164" s="496"/>
      <c r="EV164" s="496"/>
      <c r="EW164" s="496"/>
      <c r="EX164" s="496"/>
      <c r="EY164" s="496"/>
      <c r="EZ164" s="496"/>
      <c r="FA164" s="496"/>
      <c r="FB164" s="496"/>
      <c r="FC164" s="496"/>
      <c r="FD164" s="496"/>
      <c r="FE164" s="496"/>
      <c r="FF164" s="496"/>
      <c r="FG164" s="496"/>
      <c r="FH164" s="496"/>
      <c r="FI164" s="496"/>
      <c r="FJ164" s="496"/>
      <c r="FK164" s="496"/>
      <c r="FL164" s="496"/>
      <c r="FM164" s="496"/>
      <c r="FN164" s="496"/>
      <c r="FO164" s="496"/>
      <c r="FP164" s="496"/>
      <c r="FQ164" s="496"/>
      <c r="FR164" s="496"/>
      <c r="FS164" s="496"/>
      <c r="FT164" s="496"/>
      <c r="FU164" s="496"/>
      <c r="FV164" s="496"/>
      <c r="FW164" s="496"/>
      <c r="FX164" s="496"/>
      <c r="FY164" s="496"/>
      <c r="FZ164" s="496"/>
      <c r="GA164" s="496"/>
      <c r="GB164" s="496"/>
      <c r="GC164" s="496"/>
      <c r="GD164" s="496"/>
      <c r="GE164" s="496"/>
      <c r="GF164" s="496"/>
      <c r="GG164" s="496"/>
      <c r="GH164" s="496"/>
      <c r="GI164" s="496"/>
      <c r="GJ164" s="496"/>
      <c r="GK164" s="496"/>
      <c r="GL164" s="496"/>
      <c r="GM164" s="496"/>
      <c r="GN164" s="496"/>
      <c r="GO164" s="496"/>
      <c r="GP164" s="496"/>
      <c r="GQ164" s="496"/>
      <c r="GR164" s="496"/>
      <c r="GS164" s="496"/>
      <c r="GT164" s="496"/>
      <c r="GU164" s="496"/>
      <c r="GV164" s="496"/>
      <c r="GW164" s="496"/>
      <c r="GX164" s="496"/>
      <c r="GY164" s="496"/>
      <c r="GZ164" s="496"/>
      <c r="HA164" s="496"/>
      <c r="HB164" s="496"/>
    </row>
    <row r="165" spans="1:210" ht="20.100000000000001" customHeight="1">
      <c r="A165" s="164"/>
      <c r="B165" s="250"/>
      <c r="C165" s="502"/>
      <c r="D165" s="505"/>
      <c r="E165" s="498" t="s">
        <v>469</v>
      </c>
      <c r="F165" s="500"/>
      <c r="G165" s="501" t="s">
        <v>436</v>
      </c>
      <c r="H165" s="383"/>
      <c r="I165" s="310"/>
      <c r="J165" s="311"/>
      <c r="K165" s="315"/>
      <c r="L165" s="310"/>
      <c r="M165" s="310"/>
      <c r="N165" s="310"/>
      <c r="O165" s="250"/>
      <c r="P165" s="251"/>
      <c r="Q165" s="200"/>
      <c r="R165" s="251"/>
      <c r="S165" s="251"/>
      <c r="T165" s="251"/>
      <c r="U165" s="200"/>
      <c r="V165" s="251"/>
      <c r="W165" s="251"/>
      <c r="X165" s="251"/>
      <c r="Y165" s="200"/>
      <c r="Z165" s="251"/>
      <c r="AA165" s="251"/>
      <c r="AB165" s="251"/>
      <c r="AC165" s="200"/>
      <c r="AD165" s="251"/>
      <c r="AE165" s="251"/>
      <c r="AF165" s="251"/>
      <c r="AG165" s="251"/>
      <c r="AH165" s="251"/>
      <c r="AI165" s="251"/>
      <c r="AJ165" s="251"/>
      <c r="AK165" s="251"/>
      <c r="AL165" s="251"/>
      <c r="AM165" s="251"/>
      <c r="AN165" s="251"/>
      <c r="AO165" s="495"/>
      <c r="AP165" s="495"/>
      <c r="AQ165" s="249"/>
      <c r="AR165" s="249"/>
      <c r="AS165" s="249"/>
      <c r="AT165" s="249"/>
      <c r="AU165" s="249"/>
      <c r="AV165" s="249"/>
      <c r="AW165" s="251"/>
      <c r="AX165" s="251"/>
      <c r="AY165" s="251"/>
      <c r="AZ165" s="251"/>
      <c r="BA165" s="251"/>
      <c r="BB165" s="251"/>
      <c r="BC165" s="251"/>
      <c r="BD165" s="251"/>
      <c r="BE165" s="251"/>
      <c r="BF165" s="251"/>
      <c r="BG165" s="251"/>
      <c r="BH165" s="251"/>
      <c r="BI165" s="251"/>
      <c r="BJ165" s="251"/>
      <c r="BK165" s="251"/>
      <c r="BL165" s="251"/>
      <c r="BM165" s="251"/>
      <c r="BN165" s="251"/>
      <c r="BO165" s="251"/>
      <c r="BP165" s="251"/>
      <c r="BQ165" s="249"/>
      <c r="BR165" s="249"/>
      <c r="BS165" s="249"/>
      <c r="BT165" s="249"/>
      <c r="BU165" s="249"/>
      <c r="BV165" s="249"/>
      <c r="BW165" s="496"/>
      <c r="BX165" s="496"/>
      <c r="BY165" s="496"/>
      <c r="BZ165" s="496"/>
      <c r="CA165" s="496"/>
      <c r="CB165" s="496"/>
      <c r="CC165" s="496"/>
      <c r="CD165" s="496"/>
      <c r="CE165" s="496"/>
      <c r="CF165" s="496"/>
      <c r="CG165" s="496"/>
      <c r="CH165" s="496"/>
      <c r="CI165" s="496"/>
      <c r="CJ165" s="496"/>
      <c r="CK165" s="496"/>
      <c r="CL165" s="496"/>
      <c r="CM165" s="496"/>
      <c r="CN165" s="496"/>
      <c r="CO165" s="496"/>
      <c r="CP165" s="496"/>
      <c r="CQ165" s="496"/>
      <c r="CR165" s="496"/>
      <c r="CS165" s="496"/>
      <c r="CT165" s="496"/>
      <c r="CU165" s="496"/>
      <c r="CV165" s="496"/>
      <c r="CW165" s="496"/>
      <c r="CX165" s="496"/>
      <c r="CY165" s="496"/>
      <c r="CZ165" s="496"/>
      <c r="DA165" s="496"/>
      <c r="DB165" s="496"/>
      <c r="DC165" s="496"/>
      <c r="DD165" s="496"/>
      <c r="DE165" s="496"/>
      <c r="DF165" s="496"/>
      <c r="DG165" s="496"/>
      <c r="DH165" s="496"/>
      <c r="DI165" s="496"/>
      <c r="DJ165" s="496"/>
      <c r="DK165" s="496"/>
      <c r="DL165" s="496"/>
      <c r="DM165" s="496"/>
      <c r="DN165" s="496"/>
      <c r="DO165" s="496"/>
      <c r="DP165" s="496"/>
      <c r="DQ165" s="496"/>
      <c r="DR165" s="496"/>
      <c r="DS165" s="496"/>
      <c r="DT165" s="496"/>
      <c r="DU165" s="496"/>
      <c r="DV165" s="496"/>
      <c r="DW165" s="496"/>
      <c r="DX165" s="496"/>
      <c r="DY165" s="496"/>
      <c r="DZ165" s="496"/>
      <c r="EA165" s="496"/>
      <c r="EB165" s="496"/>
      <c r="EC165" s="496"/>
      <c r="ED165" s="496"/>
      <c r="EE165" s="496"/>
      <c r="EF165" s="496"/>
      <c r="EG165" s="496"/>
      <c r="EH165" s="496"/>
      <c r="EI165" s="496"/>
      <c r="EJ165" s="496"/>
      <c r="EK165" s="496"/>
      <c r="EL165" s="496"/>
      <c r="EM165" s="496"/>
      <c r="EN165" s="496"/>
      <c r="EO165" s="496"/>
      <c r="EP165" s="496"/>
      <c r="EQ165" s="496"/>
      <c r="ER165" s="496"/>
      <c r="ES165" s="496"/>
      <c r="ET165" s="496"/>
      <c r="EU165" s="496"/>
      <c r="EV165" s="496"/>
      <c r="EW165" s="496"/>
      <c r="EX165" s="496"/>
      <c r="EY165" s="496"/>
      <c r="EZ165" s="496"/>
      <c r="FA165" s="496"/>
      <c r="FB165" s="496"/>
      <c r="FC165" s="496"/>
      <c r="FD165" s="496"/>
      <c r="FE165" s="496"/>
      <c r="FF165" s="496"/>
      <c r="FG165" s="496"/>
      <c r="FH165" s="496"/>
      <c r="FI165" s="496"/>
      <c r="FJ165" s="496"/>
      <c r="FK165" s="496"/>
      <c r="FL165" s="496"/>
      <c r="FM165" s="496"/>
      <c r="FN165" s="496"/>
      <c r="FO165" s="496"/>
      <c r="FP165" s="496"/>
      <c r="FQ165" s="496"/>
      <c r="FR165" s="496"/>
      <c r="FS165" s="496"/>
      <c r="FT165" s="496"/>
      <c r="FU165" s="496"/>
      <c r="FV165" s="496"/>
      <c r="FW165" s="496"/>
      <c r="FX165" s="496"/>
      <c r="FY165" s="496"/>
      <c r="FZ165" s="496"/>
      <c r="GA165" s="496"/>
      <c r="GB165" s="496"/>
      <c r="GC165" s="496"/>
      <c r="GD165" s="496"/>
      <c r="GE165" s="496"/>
      <c r="GF165" s="496"/>
      <c r="GG165" s="496"/>
      <c r="GH165" s="496"/>
      <c r="GI165" s="496"/>
      <c r="GJ165" s="496"/>
      <c r="GK165" s="496"/>
      <c r="GL165" s="496"/>
      <c r="GM165" s="496"/>
      <c r="GN165" s="496"/>
      <c r="GO165" s="496"/>
      <c r="GP165" s="496"/>
      <c r="GQ165" s="496"/>
      <c r="GR165" s="496"/>
      <c r="GS165" s="496"/>
      <c r="GT165" s="496"/>
      <c r="GU165" s="496"/>
      <c r="GV165" s="496"/>
      <c r="GW165" s="496"/>
      <c r="GX165" s="496"/>
      <c r="GY165" s="496"/>
      <c r="GZ165" s="496"/>
      <c r="HA165" s="496"/>
      <c r="HB165" s="496"/>
    </row>
    <row r="166" spans="1:210" ht="20.100000000000001" customHeight="1">
      <c r="A166" s="164"/>
      <c r="B166" s="250"/>
      <c r="C166" s="502"/>
      <c r="D166" s="505"/>
      <c r="E166" s="498" t="s">
        <v>1450</v>
      </c>
      <c r="F166" s="500"/>
      <c r="G166" s="501" t="s">
        <v>433</v>
      </c>
      <c r="H166" s="383"/>
      <c r="I166" s="310"/>
      <c r="J166" s="311"/>
      <c r="K166" s="315"/>
      <c r="L166" s="310"/>
      <c r="M166" s="310"/>
      <c r="N166" s="310"/>
      <c r="O166" s="250"/>
      <c r="P166" s="251"/>
      <c r="Q166" s="200"/>
      <c r="R166" s="251"/>
      <c r="S166" s="251"/>
      <c r="T166" s="251"/>
      <c r="U166" s="200"/>
      <c r="V166" s="251"/>
      <c r="W166" s="251"/>
      <c r="X166" s="251"/>
      <c r="Y166" s="200"/>
      <c r="Z166" s="251"/>
      <c r="AA166" s="251"/>
      <c r="AB166" s="251"/>
      <c r="AC166" s="200"/>
      <c r="AD166" s="251"/>
      <c r="AE166" s="251"/>
      <c r="AF166" s="251"/>
      <c r="AG166" s="251"/>
      <c r="AH166" s="251"/>
      <c r="AI166" s="251"/>
      <c r="AJ166" s="251"/>
      <c r="AK166" s="251"/>
      <c r="AL166" s="251"/>
      <c r="AM166" s="251"/>
      <c r="AN166" s="251"/>
      <c r="AO166" s="495"/>
      <c r="AP166" s="495"/>
      <c r="AQ166" s="249"/>
      <c r="AR166" s="249"/>
      <c r="AS166" s="249"/>
      <c r="AT166" s="249"/>
      <c r="AU166" s="249"/>
      <c r="AV166" s="249"/>
      <c r="AW166" s="251"/>
      <c r="AX166" s="251"/>
      <c r="AY166" s="251"/>
      <c r="AZ166" s="251"/>
      <c r="BA166" s="251"/>
      <c r="BB166" s="251"/>
      <c r="BC166" s="251"/>
      <c r="BD166" s="251"/>
      <c r="BE166" s="251"/>
      <c r="BF166" s="251"/>
      <c r="BG166" s="251"/>
      <c r="BH166" s="251"/>
      <c r="BI166" s="251"/>
      <c r="BJ166" s="251"/>
      <c r="BK166" s="251"/>
      <c r="BL166" s="251"/>
      <c r="BM166" s="251"/>
      <c r="BN166" s="251"/>
      <c r="BO166" s="251"/>
      <c r="BP166" s="251"/>
      <c r="BQ166" s="249"/>
      <c r="BR166" s="249"/>
      <c r="BS166" s="249"/>
      <c r="BT166" s="249"/>
      <c r="BU166" s="249"/>
      <c r="BV166" s="249"/>
      <c r="BW166" s="496"/>
      <c r="BX166" s="496"/>
      <c r="BY166" s="496"/>
      <c r="BZ166" s="496"/>
      <c r="CA166" s="496"/>
      <c r="CB166" s="496"/>
      <c r="CC166" s="496"/>
      <c r="CD166" s="496"/>
      <c r="CE166" s="496"/>
      <c r="CF166" s="496"/>
      <c r="CG166" s="496"/>
      <c r="CH166" s="496"/>
      <c r="CI166" s="496"/>
      <c r="CJ166" s="496"/>
      <c r="CK166" s="496"/>
      <c r="CL166" s="496"/>
      <c r="CM166" s="496"/>
      <c r="CN166" s="496"/>
      <c r="CO166" s="496"/>
      <c r="CP166" s="496"/>
      <c r="CQ166" s="496"/>
      <c r="CR166" s="496"/>
      <c r="CS166" s="496"/>
      <c r="CT166" s="496"/>
      <c r="CU166" s="496"/>
      <c r="CV166" s="496"/>
      <c r="CW166" s="496"/>
      <c r="CX166" s="496"/>
      <c r="CY166" s="496"/>
      <c r="CZ166" s="496"/>
      <c r="DA166" s="496"/>
      <c r="DB166" s="496"/>
      <c r="DC166" s="496"/>
      <c r="DD166" s="496"/>
      <c r="DE166" s="496"/>
      <c r="DF166" s="496"/>
      <c r="DG166" s="496"/>
      <c r="DH166" s="496"/>
      <c r="DI166" s="496"/>
      <c r="DJ166" s="496"/>
      <c r="DK166" s="496"/>
      <c r="DL166" s="496"/>
      <c r="DM166" s="496"/>
      <c r="DN166" s="496"/>
      <c r="DO166" s="496"/>
      <c r="DP166" s="496"/>
      <c r="DQ166" s="496"/>
      <c r="DR166" s="496"/>
      <c r="DS166" s="496"/>
      <c r="DT166" s="496"/>
      <c r="DU166" s="496"/>
      <c r="DV166" s="496"/>
      <c r="DW166" s="496"/>
      <c r="DX166" s="496"/>
      <c r="DY166" s="496"/>
      <c r="DZ166" s="496"/>
      <c r="EA166" s="496"/>
      <c r="EB166" s="496"/>
      <c r="EC166" s="496"/>
      <c r="ED166" s="496"/>
      <c r="EE166" s="496"/>
      <c r="EF166" s="496"/>
      <c r="EG166" s="496"/>
      <c r="EH166" s="496"/>
      <c r="EI166" s="496"/>
      <c r="EJ166" s="496"/>
      <c r="EK166" s="496"/>
      <c r="EL166" s="496"/>
      <c r="EM166" s="496"/>
      <c r="EN166" s="496"/>
      <c r="EO166" s="496"/>
      <c r="EP166" s="496"/>
      <c r="EQ166" s="496"/>
      <c r="ER166" s="496"/>
      <c r="ES166" s="496"/>
      <c r="ET166" s="496"/>
      <c r="EU166" s="496"/>
      <c r="EV166" s="496"/>
      <c r="EW166" s="496"/>
      <c r="EX166" s="496"/>
      <c r="EY166" s="496"/>
      <c r="EZ166" s="496"/>
      <c r="FA166" s="496"/>
      <c r="FB166" s="496"/>
      <c r="FC166" s="496"/>
      <c r="FD166" s="496"/>
      <c r="FE166" s="496"/>
      <c r="FF166" s="496"/>
      <c r="FG166" s="496"/>
      <c r="FH166" s="496"/>
      <c r="FI166" s="496"/>
      <c r="FJ166" s="496"/>
      <c r="FK166" s="496"/>
      <c r="FL166" s="496"/>
      <c r="FM166" s="496"/>
      <c r="FN166" s="496"/>
      <c r="FO166" s="496"/>
      <c r="FP166" s="496"/>
      <c r="FQ166" s="496"/>
      <c r="FR166" s="496"/>
      <c r="FS166" s="496"/>
      <c r="FT166" s="496"/>
      <c r="FU166" s="496"/>
      <c r="FV166" s="496"/>
      <c r="FW166" s="496"/>
      <c r="FX166" s="496"/>
      <c r="FY166" s="496"/>
      <c r="FZ166" s="496"/>
      <c r="GA166" s="496"/>
      <c r="GB166" s="496"/>
      <c r="GC166" s="496"/>
      <c r="GD166" s="496"/>
      <c r="GE166" s="496"/>
      <c r="GF166" s="496"/>
      <c r="GG166" s="496"/>
      <c r="GH166" s="496"/>
      <c r="GI166" s="496"/>
      <c r="GJ166" s="496"/>
      <c r="GK166" s="496"/>
      <c r="GL166" s="496"/>
      <c r="GM166" s="496"/>
      <c r="GN166" s="496"/>
      <c r="GO166" s="496"/>
      <c r="GP166" s="496"/>
      <c r="GQ166" s="496"/>
      <c r="GR166" s="496"/>
      <c r="GS166" s="496"/>
      <c r="GT166" s="496"/>
      <c r="GU166" s="496"/>
      <c r="GV166" s="496"/>
      <c r="GW166" s="496"/>
      <c r="GX166" s="496"/>
      <c r="GY166" s="496"/>
      <c r="GZ166" s="496"/>
      <c r="HA166" s="496"/>
      <c r="HB166" s="496"/>
    </row>
    <row r="167" spans="1:210" ht="19.8">
      <c r="A167" s="164"/>
      <c r="B167" s="250"/>
      <c r="C167" s="502"/>
      <c r="D167" s="505"/>
      <c r="E167" s="498" t="s">
        <v>1451</v>
      </c>
      <c r="F167" s="500"/>
      <c r="G167" s="501" t="s">
        <v>1533</v>
      </c>
      <c r="H167" s="383"/>
      <c r="I167" s="310"/>
      <c r="J167" s="311"/>
      <c r="K167" s="315"/>
      <c r="L167" s="310"/>
      <c r="M167" s="310"/>
      <c r="N167" s="310"/>
      <c r="O167" s="250"/>
      <c r="P167" s="251"/>
      <c r="Q167" s="200"/>
      <c r="R167" s="251"/>
      <c r="S167" s="251"/>
      <c r="T167" s="251"/>
      <c r="U167" s="200"/>
      <c r="V167" s="251"/>
      <c r="W167" s="251"/>
      <c r="X167" s="251"/>
      <c r="Y167" s="200"/>
      <c r="Z167" s="251"/>
      <c r="AA167" s="251"/>
      <c r="AB167" s="251"/>
      <c r="AC167" s="200"/>
      <c r="AD167" s="251"/>
      <c r="AE167" s="251"/>
      <c r="AF167" s="251"/>
      <c r="AG167" s="251"/>
      <c r="AH167" s="251"/>
      <c r="AI167" s="251"/>
      <c r="AJ167" s="251"/>
      <c r="AK167" s="251"/>
      <c r="AL167" s="251"/>
      <c r="AM167" s="251"/>
      <c r="AN167" s="251"/>
      <c r="AO167" s="495"/>
      <c r="AP167" s="495"/>
      <c r="AQ167" s="249"/>
      <c r="AR167" s="249"/>
      <c r="AS167" s="249"/>
      <c r="AT167" s="249"/>
      <c r="AU167" s="249"/>
      <c r="AV167" s="249"/>
      <c r="AW167" s="251"/>
      <c r="AX167" s="251"/>
      <c r="AY167" s="251"/>
      <c r="AZ167" s="251"/>
      <c r="BA167" s="251"/>
      <c r="BB167" s="251"/>
      <c r="BC167" s="251"/>
      <c r="BD167" s="251"/>
      <c r="BE167" s="251"/>
      <c r="BF167" s="251"/>
      <c r="BG167" s="251"/>
      <c r="BH167" s="251"/>
      <c r="BI167" s="251"/>
      <c r="BJ167" s="251"/>
      <c r="BK167" s="251"/>
      <c r="BL167" s="251"/>
      <c r="BM167" s="251"/>
      <c r="BN167" s="251"/>
      <c r="BO167" s="251"/>
      <c r="BP167" s="251"/>
      <c r="BQ167" s="249"/>
      <c r="BR167" s="249"/>
      <c r="BS167" s="249"/>
      <c r="BT167" s="249"/>
      <c r="BU167" s="249"/>
      <c r="BV167" s="249"/>
      <c r="BW167" s="496"/>
      <c r="BX167" s="496"/>
      <c r="BY167" s="496"/>
      <c r="BZ167" s="496"/>
      <c r="CA167" s="496"/>
      <c r="CB167" s="496"/>
      <c r="CC167" s="496"/>
      <c r="CD167" s="496"/>
      <c r="CE167" s="496"/>
      <c r="CF167" s="496"/>
      <c r="CG167" s="496"/>
      <c r="CH167" s="496"/>
      <c r="CI167" s="496"/>
      <c r="CJ167" s="496"/>
      <c r="CK167" s="496"/>
      <c r="CL167" s="496"/>
      <c r="CM167" s="496"/>
      <c r="CN167" s="496"/>
      <c r="CO167" s="496"/>
      <c r="CP167" s="496"/>
      <c r="CQ167" s="496"/>
      <c r="CR167" s="496"/>
      <c r="CS167" s="496"/>
      <c r="CT167" s="496"/>
      <c r="CU167" s="496"/>
      <c r="CV167" s="496"/>
      <c r="CW167" s="496"/>
      <c r="CX167" s="496"/>
      <c r="CY167" s="496"/>
      <c r="CZ167" s="496"/>
      <c r="DA167" s="496"/>
      <c r="DB167" s="496"/>
      <c r="DC167" s="496"/>
      <c r="DD167" s="496"/>
      <c r="DE167" s="496"/>
      <c r="DF167" s="496"/>
      <c r="DG167" s="496"/>
      <c r="DH167" s="496"/>
      <c r="DI167" s="496"/>
      <c r="DJ167" s="496"/>
      <c r="DK167" s="496"/>
      <c r="DL167" s="496"/>
      <c r="DM167" s="496"/>
      <c r="DN167" s="496"/>
      <c r="DO167" s="496"/>
      <c r="DP167" s="496"/>
      <c r="DQ167" s="496"/>
      <c r="DR167" s="496"/>
      <c r="DS167" s="496"/>
      <c r="DT167" s="496"/>
      <c r="DU167" s="496"/>
      <c r="DV167" s="496"/>
      <c r="DW167" s="496"/>
      <c r="DX167" s="496"/>
      <c r="DY167" s="496"/>
      <c r="DZ167" s="496"/>
      <c r="EA167" s="496"/>
      <c r="EB167" s="496"/>
      <c r="EC167" s="496"/>
      <c r="ED167" s="496"/>
      <c r="EE167" s="496"/>
      <c r="EF167" s="496"/>
      <c r="EG167" s="496"/>
      <c r="EH167" s="496"/>
      <c r="EI167" s="496"/>
      <c r="EJ167" s="496"/>
      <c r="EK167" s="496"/>
      <c r="EL167" s="496"/>
      <c r="EM167" s="496"/>
      <c r="EN167" s="496"/>
      <c r="EO167" s="496"/>
      <c r="EP167" s="496"/>
      <c r="EQ167" s="496"/>
      <c r="ER167" s="496"/>
      <c r="ES167" s="496"/>
      <c r="ET167" s="496"/>
      <c r="EU167" s="496"/>
      <c r="EV167" s="496"/>
      <c r="EW167" s="496"/>
      <c r="EX167" s="496"/>
      <c r="EY167" s="496"/>
      <c r="EZ167" s="496"/>
      <c r="FA167" s="496"/>
      <c r="FB167" s="496"/>
      <c r="FC167" s="496"/>
      <c r="FD167" s="496"/>
      <c r="FE167" s="496"/>
      <c r="FF167" s="496"/>
      <c r="FG167" s="496"/>
      <c r="FH167" s="496"/>
      <c r="FI167" s="496"/>
      <c r="FJ167" s="496"/>
      <c r="FK167" s="496"/>
      <c r="FL167" s="496"/>
      <c r="FM167" s="496"/>
      <c r="FN167" s="496"/>
      <c r="FO167" s="496"/>
      <c r="FP167" s="496"/>
      <c r="FQ167" s="496"/>
      <c r="FR167" s="496"/>
      <c r="FS167" s="496"/>
      <c r="FT167" s="496"/>
      <c r="FU167" s="496"/>
      <c r="FV167" s="496"/>
      <c r="FW167" s="496"/>
      <c r="FX167" s="496"/>
      <c r="FY167" s="496"/>
      <c r="FZ167" s="496"/>
      <c r="GA167" s="496"/>
      <c r="GB167" s="496"/>
      <c r="GC167" s="496"/>
      <c r="GD167" s="496"/>
      <c r="GE167" s="496"/>
      <c r="GF167" s="496"/>
      <c r="GG167" s="496"/>
      <c r="GH167" s="496"/>
      <c r="GI167" s="496"/>
      <c r="GJ167" s="496"/>
      <c r="GK167" s="496"/>
      <c r="GL167" s="496"/>
      <c r="GM167" s="496"/>
      <c r="GN167" s="496"/>
      <c r="GO167" s="496"/>
      <c r="GP167" s="496"/>
      <c r="GQ167" s="496"/>
      <c r="GR167" s="496"/>
      <c r="GS167" s="496"/>
      <c r="GT167" s="496"/>
      <c r="GU167" s="496"/>
      <c r="GV167" s="496"/>
      <c r="GW167" s="496"/>
      <c r="GX167" s="496"/>
      <c r="GY167" s="496"/>
      <c r="GZ167" s="496"/>
      <c r="HA167" s="496"/>
      <c r="HB167" s="496"/>
    </row>
    <row r="168" spans="1:210" ht="20.100000000000001" customHeight="1">
      <c r="A168" s="164"/>
      <c r="B168" s="250"/>
      <c r="C168" s="502"/>
      <c r="D168" s="506"/>
      <c r="E168" s="498" t="s">
        <v>1452</v>
      </c>
      <c r="F168" s="500"/>
      <c r="G168" s="501" t="s">
        <v>433</v>
      </c>
      <c r="H168" s="383"/>
      <c r="I168" s="310"/>
      <c r="J168" s="311"/>
      <c r="K168" s="315"/>
      <c r="L168" s="310"/>
      <c r="M168" s="310"/>
      <c r="N168" s="310"/>
      <c r="O168" s="250"/>
      <c r="P168" s="251"/>
      <c r="Q168" s="200"/>
      <c r="R168" s="251"/>
      <c r="S168" s="251"/>
      <c r="T168" s="251"/>
      <c r="U168" s="200"/>
      <c r="V168" s="251"/>
      <c r="W168" s="251"/>
      <c r="X168" s="251"/>
      <c r="Y168" s="200"/>
      <c r="Z168" s="251"/>
      <c r="AA168" s="251"/>
      <c r="AB168" s="251"/>
      <c r="AC168" s="200"/>
      <c r="AD168" s="251"/>
      <c r="AE168" s="251"/>
      <c r="AF168" s="251"/>
      <c r="AG168" s="251"/>
      <c r="AH168" s="251"/>
      <c r="AI168" s="251"/>
      <c r="AJ168" s="251"/>
      <c r="AK168" s="251"/>
      <c r="AL168" s="251"/>
      <c r="AM168" s="251"/>
      <c r="AN168" s="251"/>
      <c r="AO168" s="495"/>
      <c r="AP168" s="495"/>
      <c r="AQ168" s="249"/>
      <c r="AR168" s="249"/>
      <c r="AS168" s="249"/>
      <c r="AT168" s="249"/>
      <c r="AU168" s="249"/>
      <c r="AV168" s="249"/>
      <c r="AW168" s="251"/>
      <c r="AX168" s="251"/>
      <c r="AY168" s="251"/>
      <c r="AZ168" s="251"/>
      <c r="BA168" s="251"/>
      <c r="BB168" s="251"/>
      <c r="BC168" s="251"/>
      <c r="BD168" s="251"/>
      <c r="BE168" s="251"/>
      <c r="BF168" s="251"/>
      <c r="BG168" s="251"/>
      <c r="BH168" s="251"/>
      <c r="BI168" s="251"/>
      <c r="BJ168" s="251"/>
      <c r="BK168" s="251"/>
      <c r="BL168" s="251"/>
      <c r="BM168" s="251"/>
      <c r="BN168" s="251"/>
      <c r="BO168" s="251"/>
      <c r="BP168" s="251"/>
      <c r="BQ168" s="249"/>
      <c r="BR168" s="249"/>
      <c r="BS168" s="249"/>
      <c r="BT168" s="249"/>
      <c r="BU168" s="249"/>
      <c r="BV168" s="249"/>
      <c r="BW168" s="496"/>
      <c r="BX168" s="496"/>
      <c r="BY168" s="496"/>
      <c r="BZ168" s="496"/>
      <c r="CA168" s="496"/>
      <c r="CB168" s="496"/>
      <c r="CC168" s="496"/>
      <c r="CD168" s="496"/>
      <c r="CE168" s="496"/>
      <c r="CF168" s="496"/>
      <c r="CG168" s="496"/>
      <c r="CH168" s="496"/>
      <c r="CI168" s="496"/>
      <c r="CJ168" s="496"/>
      <c r="CK168" s="496"/>
      <c r="CL168" s="496"/>
      <c r="CM168" s="496"/>
      <c r="CN168" s="496"/>
      <c r="CO168" s="496"/>
      <c r="CP168" s="496"/>
      <c r="CQ168" s="496"/>
      <c r="CR168" s="496"/>
      <c r="CS168" s="496"/>
      <c r="CT168" s="496"/>
      <c r="CU168" s="496"/>
      <c r="CV168" s="496"/>
      <c r="CW168" s="496"/>
      <c r="CX168" s="496"/>
      <c r="CY168" s="496"/>
      <c r="CZ168" s="496"/>
      <c r="DA168" s="496"/>
      <c r="DB168" s="496"/>
      <c r="DC168" s="496"/>
      <c r="DD168" s="496"/>
      <c r="DE168" s="496"/>
      <c r="DF168" s="496"/>
      <c r="DG168" s="496"/>
      <c r="DH168" s="496"/>
      <c r="DI168" s="496"/>
      <c r="DJ168" s="496"/>
      <c r="DK168" s="496"/>
      <c r="DL168" s="496"/>
      <c r="DM168" s="496"/>
      <c r="DN168" s="496"/>
      <c r="DO168" s="496"/>
      <c r="DP168" s="496"/>
      <c r="DQ168" s="496"/>
      <c r="DR168" s="496"/>
      <c r="DS168" s="496"/>
      <c r="DT168" s="496"/>
      <c r="DU168" s="496"/>
      <c r="DV168" s="496"/>
      <c r="DW168" s="496"/>
      <c r="DX168" s="496"/>
      <c r="DY168" s="496"/>
      <c r="DZ168" s="496"/>
      <c r="EA168" s="496"/>
      <c r="EB168" s="496"/>
      <c r="EC168" s="496"/>
      <c r="ED168" s="496"/>
      <c r="EE168" s="496"/>
      <c r="EF168" s="496"/>
      <c r="EG168" s="496"/>
      <c r="EH168" s="496"/>
      <c r="EI168" s="496"/>
      <c r="EJ168" s="496"/>
      <c r="EK168" s="496"/>
      <c r="EL168" s="496"/>
      <c r="EM168" s="496"/>
      <c r="EN168" s="496"/>
      <c r="EO168" s="496"/>
      <c r="EP168" s="496"/>
      <c r="EQ168" s="496"/>
      <c r="ER168" s="496"/>
      <c r="ES168" s="496"/>
      <c r="ET168" s="496"/>
      <c r="EU168" s="496"/>
      <c r="EV168" s="496"/>
      <c r="EW168" s="496"/>
      <c r="EX168" s="496"/>
      <c r="EY168" s="496"/>
      <c r="EZ168" s="496"/>
      <c r="FA168" s="496"/>
      <c r="FB168" s="496"/>
      <c r="FC168" s="496"/>
      <c r="FD168" s="496"/>
      <c r="FE168" s="496"/>
      <c r="FF168" s="496"/>
      <c r="FG168" s="496"/>
      <c r="FH168" s="496"/>
      <c r="FI168" s="496"/>
      <c r="FJ168" s="496"/>
      <c r="FK168" s="496"/>
      <c r="FL168" s="496"/>
      <c r="FM168" s="496"/>
      <c r="FN168" s="496"/>
      <c r="FO168" s="496"/>
      <c r="FP168" s="496"/>
      <c r="FQ168" s="496"/>
      <c r="FR168" s="496"/>
      <c r="FS168" s="496"/>
      <c r="FT168" s="496"/>
      <c r="FU168" s="496"/>
      <c r="FV168" s="496"/>
      <c r="FW168" s="496"/>
      <c r="FX168" s="496"/>
      <c r="FY168" s="496"/>
      <c r="FZ168" s="496"/>
      <c r="GA168" s="496"/>
      <c r="GB168" s="496"/>
      <c r="GC168" s="496"/>
      <c r="GD168" s="496"/>
      <c r="GE168" s="496"/>
      <c r="GF168" s="496"/>
      <c r="GG168" s="496"/>
      <c r="GH168" s="496"/>
      <c r="GI168" s="496"/>
      <c r="GJ168" s="496"/>
      <c r="GK168" s="496"/>
      <c r="GL168" s="496"/>
      <c r="GM168" s="496"/>
      <c r="GN168" s="496"/>
      <c r="GO168" s="496"/>
      <c r="GP168" s="496"/>
      <c r="GQ168" s="496"/>
      <c r="GR168" s="496"/>
      <c r="GS168" s="496"/>
      <c r="GT168" s="496"/>
      <c r="GU168" s="496"/>
      <c r="GV168" s="496"/>
      <c r="GW168" s="496"/>
      <c r="GX168" s="496"/>
      <c r="GY168" s="496"/>
      <c r="GZ168" s="496"/>
      <c r="HA168" s="496"/>
      <c r="HB168" s="496"/>
    </row>
    <row r="169" spans="1:210" ht="20.100000000000001" customHeight="1">
      <c r="A169" s="164"/>
      <c r="B169" s="250"/>
      <c r="C169" s="502"/>
      <c r="D169" s="497" t="s">
        <v>637</v>
      </c>
      <c r="E169" s="498" t="s">
        <v>1453</v>
      </c>
      <c r="F169" s="500"/>
      <c r="G169" s="501" t="s">
        <v>433</v>
      </c>
      <c r="H169" s="383"/>
      <c r="I169" s="310"/>
      <c r="J169" s="311"/>
      <c r="K169" s="315"/>
      <c r="L169" s="310"/>
      <c r="M169" s="310"/>
      <c r="N169" s="310"/>
      <c r="O169" s="250"/>
      <c r="P169" s="251"/>
      <c r="Q169" s="200"/>
      <c r="R169" s="251"/>
      <c r="S169" s="251"/>
      <c r="T169" s="251"/>
      <c r="U169" s="200"/>
      <c r="V169" s="251"/>
      <c r="W169" s="251"/>
      <c r="X169" s="251"/>
      <c r="Y169" s="200"/>
      <c r="Z169" s="251"/>
      <c r="AA169" s="251"/>
      <c r="AB169" s="251"/>
      <c r="AC169" s="200"/>
      <c r="AD169" s="251"/>
      <c r="AE169" s="251"/>
      <c r="AF169" s="251"/>
      <c r="AG169" s="251"/>
      <c r="AH169" s="251"/>
      <c r="AI169" s="251"/>
      <c r="AJ169" s="251"/>
      <c r="AK169" s="251"/>
      <c r="AL169" s="251"/>
      <c r="AM169" s="251"/>
      <c r="AN169" s="251"/>
      <c r="AO169" s="495"/>
      <c r="AP169" s="495"/>
      <c r="AQ169" s="249"/>
      <c r="AR169" s="249"/>
      <c r="AS169" s="249"/>
      <c r="AT169" s="249"/>
      <c r="AU169" s="249"/>
      <c r="AV169" s="249"/>
      <c r="AW169" s="251"/>
      <c r="AX169" s="251"/>
      <c r="AY169" s="251"/>
      <c r="AZ169" s="251"/>
      <c r="BA169" s="251"/>
      <c r="BB169" s="251"/>
      <c r="BC169" s="251"/>
      <c r="BD169" s="251"/>
      <c r="BE169" s="251"/>
      <c r="BF169" s="251"/>
      <c r="BG169" s="251"/>
      <c r="BH169" s="251"/>
      <c r="BI169" s="251"/>
      <c r="BJ169" s="251"/>
      <c r="BK169" s="251"/>
      <c r="BL169" s="251"/>
      <c r="BM169" s="251"/>
      <c r="BN169" s="251"/>
      <c r="BO169" s="251"/>
      <c r="BP169" s="251"/>
      <c r="BQ169" s="249"/>
      <c r="BR169" s="249"/>
      <c r="BS169" s="249"/>
      <c r="BT169" s="249"/>
      <c r="BU169" s="249"/>
      <c r="BV169" s="249"/>
      <c r="BW169" s="496"/>
      <c r="BX169" s="496"/>
      <c r="BY169" s="496"/>
      <c r="BZ169" s="496"/>
      <c r="CA169" s="496"/>
      <c r="CB169" s="496"/>
      <c r="CC169" s="496"/>
      <c r="CD169" s="496"/>
      <c r="CE169" s="496"/>
      <c r="CF169" s="496"/>
      <c r="CG169" s="496"/>
      <c r="CH169" s="496"/>
      <c r="CI169" s="496"/>
      <c r="CJ169" s="496"/>
      <c r="CK169" s="496"/>
      <c r="CL169" s="496"/>
      <c r="CM169" s="496"/>
      <c r="CN169" s="496"/>
      <c r="CO169" s="496"/>
      <c r="CP169" s="496"/>
      <c r="CQ169" s="496"/>
      <c r="CR169" s="496"/>
      <c r="CS169" s="496"/>
      <c r="CT169" s="496"/>
      <c r="CU169" s="496"/>
      <c r="CV169" s="496"/>
      <c r="CW169" s="496"/>
      <c r="CX169" s="496"/>
      <c r="CY169" s="496"/>
      <c r="CZ169" s="496"/>
      <c r="DA169" s="496"/>
      <c r="DB169" s="496"/>
      <c r="DC169" s="496"/>
      <c r="DD169" s="496"/>
      <c r="DE169" s="496"/>
      <c r="DF169" s="496"/>
      <c r="DG169" s="496"/>
      <c r="DH169" s="496"/>
      <c r="DI169" s="496"/>
      <c r="DJ169" s="496"/>
      <c r="DK169" s="496"/>
      <c r="DL169" s="496"/>
      <c r="DM169" s="496"/>
      <c r="DN169" s="496"/>
      <c r="DO169" s="496"/>
      <c r="DP169" s="496"/>
      <c r="DQ169" s="496"/>
      <c r="DR169" s="496"/>
      <c r="DS169" s="496"/>
      <c r="DT169" s="496"/>
      <c r="DU169" s="496"/>
      <c r="DV169" s="496"/>
      <c r="DW169" s="496"/>
      <c r="DX169" s="496"/>
      <c r="DY169" s="496"/>
      <c r="DZ169" s="496"/>
      <c r="EA169" s="496"/>
      <c r="EB169" s="496"/>
      <c r="EC169" s="496"/>
      <c r="ED169" s="496"/>
      <c r="EE169" s="496"/>
      <c r="EF169" s="496"/>
      <c r="EG169" s="496"/>
      <c r="EH169" s="496"/>
      <c r="EI169" s="496"/>
      <c r="EJ169" s="496"/>
      <c r="EK169" s="496"/>
      <c r="EL169" s="496"/>
      <c r="EM169" s="496"/>
      <c r="EN169" s="496"/>
      <c r="EO169" s="496"/>
      <c r="EP169" s="496"/>
      <c r="EQ169" s="496"/>
      <c r="ER169" s="496"/>
      <c r="ES169" s="496"/>
      <c r="ET169" s="496"/>
      <c r="EU169" s="496"/>
      <c r="EV169" s="496"/>
      <c r="EW169" s="496"/>
      <c r="EX169" s="496"/>
      <c r="EY169" s="496"/>
      <c r="EZ169" s="496"/>
      <c r="FA169" s="496"/>
      <c r="FB169" s="496"/>
      <c r="FC169" s="496"/>
      <c r="FD169" s="496"/>
      <c r="FE169" s="496"/>
      <c r="FF169" s="496"/>
      <c r="FG169" s="496"/>
      <c r="FH169" s="496"/>
      <c r="FI169" s="496"/>
      <c r="FJ169" s="496"/>
      <c r="FK169" s="496"/>
      <c r="FL169" s="496"/>
      <c r="FM169" s="496"/>
      <c r="FN169" s="496"/>
      <c r="FO169" s="496"/>
      <c r="FP169" s="496"/>
      <c r="FQ169" s="496"/>
      <c r="FR169" s="496"/>
      <c r="FS169" s="496"/>
      <c r="FT169" s="496"/>
      <c r="FU169" s="496"/>
      <c r="FV169" s="496"/>
      <c r="FW169" s="496"/>
      <c r="FX169" s="496"/>
      <c r="FY169" s="496"/>
      <c r="FZ169" s="496"/>
      <c r="GA169" s="496"/>
      <c r="GB169" s="496"/>
      <c r="GC169" s="496"/>
      <c r="GD169" s="496"/>
      <c r="GE169" s="496"/>
      <c r="GF169" s="496"/>
      <c r="GG169" s="496"/>
      <c r="GH169" s="496"/>
      <c r="GI169" s="496"/>
      <c r="GJ169" s="496"/>
      <c r="GK169" s="496"/>
      <c r="GL169" s="496"/>
      <c r="GM169" s="496"/>
      <c r="GN169" s="496"/>
      <c r="GO169" s="496"/>
      <c r="GP169" s="496"/>
      <c r="GQ169" s="496"/>
      <c r="GR169" s="496"/>
      <c r="GS169" s="496"/>
      <c r="GT169" s="496"/>
      <c r="GU169" s="496"/>
      <c r="GV169" s="496"/>
      <c r="GW169" s="496"/>
      <c r="GX169" s="496"/>
      <c r="GY169" s="496"/>
      <c r="GZ169" s="496"/>
      <c r="HA169" s="496"/>
      <c r="HB169" s="496"/>
    </row>
    <row r="170" spans="1:210" ht="20.100000000000001" customHeight="1">
      <c r="A170" s="164"/>
      <c r="B170" s="250"/>
      <c r="C170" s="502"/>
      <c r="D170" s="502"/>
      <c r="E170" s="498" t="s">
        <v>1454</v>
      </c>
      <c r="F170" s="500"/>
      <c r="G170" s="501" t="s">
        <v>436</v>
      </c>
      <c r="H170" s="383"/>
      <c r="I170" s="310"/>
      <c r="J170" s="311"/>
      <c r="K170" s="315"/>
      <c r="L170" s="310"/>
      <c r="M170" s="310"/>
      <c r="N170" s="310"/>
      <c r="O170" s="250"/>
      <c r="P170" s="251"/>
      <c r="Q170" s="200"/>
      <c r="R170" s="251"/>
      <c r="S170" s="251"/>
      <c r="T170" s="251"/>
      <c r="U170" s="200"/>
      <c r="V170" s="251"/>
      <c r="W170" s="251"/>
      <c r="X170" s="251"/>
      <c r="Y170" s="200"/>
      <c r="Z170" s="251"/>
      <c r="AA170" s="251"/>
      <c r="AB170" s="251"/>
      <c r="AC170" s="200"/>
      <c r="AD170" s="251"/>
      <c r="AE170" s="251"/>
      <c r="AF170" s="251"/>
      <c r="AG170" s="251"/>
      <c r="AH170" s="251"/>
      <c r="AI170" s="251"/>
      <c r="AJ170" s="251"/>
      <c r="AK170" s="251"/>
      <c r="AL170" s="251"/>
      <c r="AM170" s="251"/>
      <c r="AN170" s="251"/>
      <c r="AO170" s="495"/>
      <c r="AP170" s="495"/>
      <c r="AQ170" s="249"/>
      <c r="AR170" s="249"/>
      <c r="AS170" s="249"/>
      <c r="AT170" s="249"/>
      <c r="AU170" s="249"/>
      <c r="AV170" s="249"/>
      <c r="AW170" s="251"/>
      <c r="AX170" s="251"/>
      <c r="AY170" s="251"/>
      <c r="AZ170" s="251"/>
      <c r="BA170" s="251"/>
      <c r="BB170" s="251"/>
      <c r="BC170" s="251"/>
      <c r="BD170" s="251"/>
      <c r="BE170" s="251"/>
      <c r="BF170" s="251"/>
      <c r="BG170" s="251"/>
      <c r="BH170" s="251"/>
      <c r="BI170" s="251"/>
      <c r="BJ170" s="251"/>
      <c r="BK170" s="251"/>
      <c r="BL170" s="251"/>
      <c r="BM170" s="251"/>
      <c r="BN170" s="251"/>
      <c r="BO170" s="251"/>
      <c r="BP170" s="251"/>
      <c r="BQ170" s="249"/>
      <c r="BR170" s="249"/>
      <c r="BS170" s="249"/>
      <c r="BT170" s="249"/>
      <c r="BU170" s="249"/>
      <c r="BV170" s="249"/>
      <c r="BW170" s="496"/>
      <c r="BX170" s="496"/>
      <c r="BY170" s="496"/>
      <c r="BZ170" s="496"/>
      <c r="CA170" s="496"/>
      <c r="CB170" s="496"/>
      <c r="CC170" s="496"/>
      <c r="CD170" s="496"/>
      <c r="CE170" s="496"/>
      <c r="CF170" s="496"/>
      <c r="CG170" s="496"/>
      <c r="CH170" s="496"/>
      <c r="CI170" s="496"/>
      <c r="CJ170" s="496"/>
      <c r="CK170" s="496"/>
      <c r="CL170" s="496"/>
      <c r="CM170" s="496"/>
      <c r="CN170" s="496"/>
      <c r="CO170" s="496"/>
      <c r="CP170" s="496"/>
      <c r="CQ170" s="496"/>
      <c r="CR170" s="496"/>
      <c r="CS170" s="496"/>
      <c r="CT170" s="496"/>
      <c r="CU170" s="496"/>
      <c r="CV170" s="496"/>
      <c r="CW170" s="496"/>
      <c r="CX170" s="496"/>
      <c r="CY170" s="496"/>
      <c r="CZ170" s="496"/>
      <c r="DA170" s="496"/>
      <c r="DB170" s="496"/>
      <c r="DC170" s="496"/>
      <c r="DD170" s="496"/>
      <c r="DE170" s="496"/>
      <c r="DF170" s="496"/>
      <c r="DG170" s="496"/>
      <c r="DH170" s="496"/>
      <c r="DI170" s="496"/>
      <c r="DJ170" s="496"/>
      <c r="DK170" s="496"/>
      <c r="DL170" s="496"/>
      <c r="DM170" s="496"/>
      <c r="DN170" s="496"/>
      <c r="DO170" s="496"/>
      <c r="DP170" s="496"/>
      <c r="DQ170" s="496"/>
      <c r="DR170" s="496"/>
      <c r="DS170" s="496"/>
      <c r="DT170" s="496"/>
      <c r="DU170" s="496"/>
      <c r="DV170" s="496"/>
      <c r="DW170" s="496"/>
      <c r="DX170" s="496"/>
      <c r="DY170" s="496"/>
      <c r="DZ170" s="496"/>
      <c r="EA170" s="496"/>
      <c r="EB170" s="496"/>
      <c r="EC170" s="496"/>
      <c r="ED170" s="496"/>
      <c r="EE170" s="496"/>
      <c r="EF170" s="496"/>
      <c r="EG170" s="496"/>
      <c r="EH170" s="496"/>
      <c r="EI170" s="496"/>
      <c r="EJ170" s="496"/>
      <c r="EK170" s="496"/>
      <c r="EL170" s="496"/>
      <c r="EM170" s="496"/>
      <c r="EN170" s="496"/>
      <c r="EO170" s="496"/>
      <c r="EP170" s="496"/>
      <c r="EQ170" s="496"/>
      <c r="ER170" s="496"/>
      <c r="ES170" s="496"/>
      <c r="ET170" s="496"/>
      <c r="EU170" s="496"/>
      <c r="EV170" s="496"/>
      <c r="EW170" s="496"/>
      <c r="EX170" s="496"/>
      <c r="EY170" s="496"/>
      <c r="EZ170" s="496"/>
      <c r="FA170" s="496"/>
      <c r="FB170" s="496"/>
      <c r="FC170" s="496"/>
      <c r="FD170" s="496"/>
      <c r="FE170" s="496"/>
      <c r="FF170" s="496"/>
      <c r="FG170" s="496"/>
      <c r="FH170" s="496"/>
      <c r="FI170" s="496"/>
      <c r="FJ170" s="496"/>
      <c r="FK170" s="496"/>
      <c r="FL170" s="496"/>
      <c r="FM170" s="496"/>
      <c r="FN170" s="496"/>
      <c r="FO170" s="496"/>
      <c r="FP170" s="496"/>
      <c r="FQ170" s="496"/>
      <c r="FR170" s="496"/>
      <c r="FS170" s="496"/>
      <c r="FT170" s="496"/>
      <c r="FU170" s="496"/>
      <c r="FV170" s="496"/>
      <c r="FW170" s="496"/>
      <c r="FX170" s="496"/>
      <c r="FY170" s="496"/>
      <c r="FZ170" s="496"/>
      <c r="GA170" s="496"/>
      <c r="GB170" s="496"/>
      <c r="GC170" s="496"/>
      <c r="GD170" s="496"/>
      <c r="GE170" s="496"/>
      <c r="GF170" s="496"/>
      <c r="GG170" s="496"/>
      <c r="GH170" s="496"/>
      <c r="GI170" s="496"/>
      <c r="GJ170" s="496"/>
      <c r="GK170" s="496"/>
      <c r="GL170" s="496"/>
      <c r="GM170" s="496"/>
      <c r="GN170" s="496"/>
      <c r="GO170" s="496"/>
      <c r="GP170" s="496"/>
      <c r="GQ170" s="496"/>
      <c r="GR170" s="496"/>
      <c r="GS170" s="496"/>
      <c r="GT170" s="496"/>
      <c r="GU170" s="496"/>
      <c r="GV170" s="496"/>
      <c r="GW170" s="496"/>
      <c r="GX170" s="496"/>
      <c r="GY170" s="496"/>
      <c r="GZ170" s="496"/>
      <c r="HA170" s="496"/>
      <c r="HB170" s="496"/>
    </row>
    <row r="171" spans="1:210" ht="19.8">
      <c r="A171" s="164"/>
      <c r="B171" s="250"/>
      <c r="C171" s="502"/>
      <c r="D171" s="502"/>
      <c r="E171" s="498" t="s">
        <v>1455</v>
      </c>
      <c r="F171" s="500"/>
      <c r="G171" s="501" t="s">
        <v>433</v>
      </c>
      <c r="H171" s="383"/>
      <c r="I171" s="310"/>
      <c r="J171" s="311"/>
      <c r="K171" s="315"/>
      <c r="L171" s="310"/>
      <c r="M171" s="310"/>
      <c r="N171" s="310"/>
      <c r="O171" s="250"/>
      <c r="P171" s="251"/>
      <c r="Q171" s="200"/>
      <c r="R171" s="251"/>
      <c r="S171" s="251"/>
      <c r="T171" s="251"/>
      <c r="U171" s="200"/>
      <c r="V171" s="251"/>
      <c r="W171" s="251"/>
      <c r="X171" s="251"/>
      <c r="Y171" s="200"/>
      <c r="Z171" s="251"/>
      <c r="AA171" s="251"/>
      <c r="AB171" s="251"/>
      <c r="AC171" s="200"/>
      <c r="AD171" s="251"/>
      <c r="AE171" s="251"/>
      <c r="AF171" s="251"/>
      <c r="AG171" s="251"/>
      <c r="AH171" s="251"/>
      <c r="AI171" s="251"/>
      <c r="AJ171" s="251"/>
      <c r="AK171" s="251"/>
      <c r="AL171" s="251"/>
      <c r="AM171" s="251"/>
      <c r="AN171" s="251"/>
      <c r="AO171" s="495"/>
      <c r="AP171" s="495"/>
      <c r="AQ171" s="249"/>
      <c r="AR171" s="249"/>
      <c r="AS171" s="249"/>
      <c r="AT171" s="249"/>
      <c r="AU171" s="249"/>
      <c r="AV171" s="249"/>
      <c r="AW171" s="251"/>
      <c r="AX171" s="251"/>
      <c r="AY171" s="251"/>
      <c r="AZ171" s="251"/>
      <c r="BA171" s="251"/>
      <c r="BB171" s="251"/>
      <c r="BC171" s="251"/>
      <c r="BD171" s="251"/>
      <c r="BE171" s="251"/>
      <c r="BF171" s="251"/>
      <c r="BG171" s="251"/>
      <c r="BH171" s="251"/>
      <c r="BI171" s="251"/>
      <c r="BJ171" s="251"/>
      <c r="BK171" s="251"/>
      <c r="BL171" s="251"/>
      <c r="BM171" s="251"/>
      <c r="BN171" s="251"/>
      <c r="BO171" s="251"/>
      <c r="BP171" s="251"/>
      <c r="BQ171" s="249"/>
      <c r="BR171" s="249"/>
      <c r="BS171" s="249"/>
      <c r="BT171" s="249"/>
      <c r="BU171" s="249"/>
      <c r="BV171" s="249"/>
      <c r="BW171" s="496"/>
      <c r="BX171" s="496"/>
      <c r="BY171" s="496"/>
      <c r="BZ171" s="496"/>
      <c r="CA171" s="496"/>
      <c r="CB171" s="496"/>
      <c r="CC171" s="496"/>
      <c r="CD171" s="496"/>
      <c r="CE171" s="496"/>
      <c r="CF171" s="496"/>
      <c r="CG171" s="496"/>
      <c r="CH171" s="496"/>
      <c r="CI171" s="496"/>
      <c r="CJ171" s="496"/>
      <c r="CK171" s="496"/>
      <c r="CL171" s="496"/>
      <c r="CM171" s="496"/>
      <c r="CN171" s="496"/>
      <c r="CO171" s="496"/>
      <c r="CP171" s="496"/>
      <c r="CQ171" s="496"/>
      <c r="CR171" s="496"/>
      <c r="CS171" s="496"/>
      <c r="CT171" s="496"/>
      <c r="CU171" s="496"/>
      <c r="CV171" s="496"/>
      <c r="CW171" s="496"/>
      <c r="CX171" s="496"/>
      <c r="CY171" s="496"/>
      <c r="CZ171" s="496"/>
      <c r="DA171" s="496"/>
      <c r="DB171" s="496"/>
      <c r="DC171" s="496"/>
      <c r="DD171" s="496"/>
      <c r="DE171" s="496"/>
      <c r="DF171" s="496"/>
      <c r="DG171" s="496"/>
      <c r="DH171" s="496"/>
      <c r="DI171" s="496"/>
      <c r="DJ171" s="496"/>
      <c r="DK171" s="496"/>
      <c r="DL171" s="496"/>
      <c r="DM171" s="496"/>
      <c r="DN171" s="496"/>
      <c r="DO171" s="496"/>
      <c r="DP171" s="496"/>
      <c r="DQ171" s="496"/>
      <c r="DR171" s="496"/>
      <c r="DS171" s="496"/>
      <c r="DT171" s="496"/>
      <c r="DU171" s="496"/>
      <c r="DV171" s="496"/>
      <c r="DW171" s="496"/>
      <c r="DX171" s="496"/>
      <c r="DY171" s="496"/>
      <c r="DZ171" s="496"/>
      <c r="EA171" s="496"/>
      <c r="EB171" s="496"/>
      <c r="EC171" s="496"/>
      <c r="ED171" s="496"/>
      <c r="EE171" s="496"/>
      <c r="EF171" s="496"/>
      <c r="EG171" s="496"/>
      <c r="EH171" s="496"/>
      <c r="EI171" s="496"/>
      <c r="EJ171" s="496"/>
      <c r="EK171" s="496"/>
      <c r="EL171" s="496"/>
      <c r="EM171" s="496"/>
      <c r="EN171" s="496"/>
      <c r="EO171" s="496"/>
      <c r="EP171" s="496"/>
      <c r="EQ171" s="496"/>
      <c r="ER171" s="496"/>
      <c r="ES171" s="496"/>
      <c r="ET171" s="496"/>
      <c r="EU171" s="496"/>
      <c r="EV171" s="496"/>
      <c r="EW171" s="496"/>
      <c r="EX171" s="496"/>
      <c r="EY171" s="496"/>
      <c r="EZ171" s="496"/>
      <c r="FA171" s="496"/>
      <c r="FB171" s="496"/>
      <c r="FC171" s="496"/>
      <c r="FD171" s="496"/>
      <c r="FE171" s="496"/>
      <c r="FF171" s="496"/>
      <c r="FG171" s="496"/>
      <c r="FH171" s="496"/>
      <c r="FI171" s="496"/>
      <c r="FJ171" s="496"/>
      <c r="FK171" s="496"/>
      <c r="FL171" s="496"/>
      <c r="FM171" s="496"/>
      <c r="FN171" s="496"/>
      <c r="FO171" s="496"/>
      <c r="FP171" s="496"/>
      <c r="FQ171" s="496"/>
      <c r="FR171" s="496"/>
      <c r="FS171" s="496"/>
      <c r="FT171" s="496"/>
      <c r="FU171" s="496"/>
      <c r="FV171" s="496"/>
      <c r="FW171" s="496"/>
      <c r="FX171" s="496"/>
      <c r="FY171" s="496"/>
      <c r="FZ171" s="496"/>
      <c r="GA171" s="496"/>
      <c r="GB171" s="496"/>
      <c r="GC171" s="496"/>
      <c r="GD171" s="496"/>
      <c r="GE171" s="496"/>
      <c r="GF171" s="496"/>
      <c r="GG171" s="496"/>
      <c r="GH171" s="496"/>
      <c r="GI171" s="496"/>
      <c r="GJ171" s="496"/>
      <c r="GK171" s="496"/>
      <c r="GL171" s="496"/>
      <c r="GM171" s="496"/>
      <c r="GN171" s="496"/>
      <c r="GO171" s="496"/>
      <c r="GP171" s="496"/>
      <c r="GQ171" s="496"/>
      <c r="GR171" s="496"/>
      <c r="GS171" s="496"/>
      <c r="GT171" s="496"/>
      <c r="GU171" s="496"/>
      <c r="GV171" s="496"/>
      <c r="GW171" s="496"/>
      <c r="GX171" s="496"/>
      <c r="GY171" s="496"/>
      <c r="GZ171" s="496"/>
      <c r="HA171" s="496"/>
      <c r="HB171" s="496"/>
    </row>
    <row r="172" spans="1:210" ht="20.100000000000001" customHeight="1">
      <c r="A172" s="164"/>
      <c r="B172" s="250"/>
      <c r="C172" s="502"/>
      <c r="D172" s="506"/>
      <c r="E172" s="498" t="s">
        <v>1456</v>
      </c>
      <c r="F172" s="500"/>
      <c r="G172" s="501" t="s">
        <v>1533</v>
      </c>
      <c r="H172" s="383"/>
      <c r="I172" s="310"/>
      <c r="J172" s="311"/>
      <c r="K172" s="315"/>
      <c r="L172" s="310"/>
      <c r="M172" s="310"/>
      <c r="N172" s="310"/>
      <c r="O172" s="250"/>
      <c r="P172" s="251"/>
      <c r="Q172" s="200"/>
      <c r="R172" s="251"/>
      <c r="S172" s="251"/>
      <c r="T172" s="251"/>
      <c r="U172" s="200"/>
      <c r="V172" s="251"/>
      <c r="W172" s="251"/>
      <c r="X172" s="251"/>
      <c r="Y172" s="200"/>
      <c r="Z172" s="251"/>
      <c r="AA172" s="251"/>
      <c r="AB172" s="251"/>
      <c r="AC172" s="200"/>
      <c r="AD172" s="251"/>
      <c r="AE172" s="251"/>
      <c r="AF172" s="251"/>
      <c r="AG172" s="251"/>
      <c r="AH172" s="251"/>
      <c r="AI172" s="251"/>
      <c r="AJ172" s="251"/>
      <c r="AK172" s="251"/>
      <c r="AL172" s="251"/>
      <c r="AM172" s="251"/>
      <c r="AN172" s="251"/>
      <c r="AO172" s="495"/>
      <c r="AP172" s="495"/>
      <c r="AQ172" s="249"/>
      <c r="AR172" s="249"/>
      <c r="AS172" s="249"/>
      <c r="AT172" s="249"/>
      <c r="AU172" s="249"/>
      <c r="AV172" s="249"/>
      <c r="AW172" s="251"/>
      <c r="AX172" s="251"/>
      <c r="AY172" s="251"/>
      <c r="AZ172" s="251"/>
      <c r="BA172" s="251"/>
      <c r="BB172" s="251"/>
      <c r="BC172" s="251"/>
      <c r="BD172" s="251"/>
      <c r="BE172" s="251"/>
      <c r="BF172" s="251"/>
      <c r="BG172" s="251"/>
      <c r="BH172" s="251"/>
      <c r="BI172" s="251"/>
      <c r="BJ172" s="251"/>
      <c r="BK172" s="251"/>
      <c r="BL172" s="251"/>
      <c r="BM172" s="251"/>
      <c r="BN172" s="251"/>
      <c r="BO172" s="251"/>
      <c r="BP172" s="251"/>
      <c r="BQ172" s="249"/>
      <c r="BR172" s="249"/>
      <c r="BS172" s="249"/>
      <c r="BT172" s="249"/>
      <c r="BU172" s="249"/>
      <c r="BV172" s="249"/>
      <c r="BW172" s="496"/>
      <c r="BX172" s="496"/>
      <c r="BY172" s="496"/>
      <c r="BZ172" s="496"/>
      <c r="CA172" s="496"/>
      <c r="CB172" s="496"/>
      <c r="CC172" s="496"/>
      <c r="CD172" s="496"/>
      <c r="CE172" s="496"/>
      <c r="CF172" s="496"/>
      <c r="CG172" s="496"/>
      <c r="CH172" s="496"/>
      <c r="CI172" s="496"/>
      <c r="CJ172" s="496"/>
      <c r="CK172" s="496"/>
      <c r="CL172" s="496"/>
      <c r="CM172" s="496"/>
      <c r="CN172" s="496"/>
      <c r="CO172" s="496"/>
      <c r="CP172" s="496"/>
      <c r="CQ172" s="496"/>
      <c r="CR172" s="496"/>
      <c r="CS172" s="496"/>
      <c r="CT172" s="496"/>
      <c r="CU172" s="496"/>
      <c r="CV172" s="496"/>
      <c r="CW172" s="496"/>
      <c r="CX172" s="496"/>
      <c r="CY172" s="496"/>
      <c r="CZ172" s="496"/>
      <c r="DA172" s="496"/>
      <c r="DB172" s="496"/>
      <c r="DC172" s="496"/>
      <c r="DD172" s="496"/>
      <c r="DE172" s="496"/>
      <c r="DF172" s="496"/>
      <c r="DG172" s="496"/>
      <c r="DH172" s="496"/>
      <c r="DI172" s="496"/>
      <c r="DJ172" s="496"/>
      <c r="DK172" s="496"/>
      <c r="DL172" s="496"/>
      <c r="DM172" s="496"/>
      <c r="DN172" s="496"/>
      <c r="DO172" s="496"/>
      <c r="DP172" s="496"/>
      <c r="DQ172" s="496"/>
      <c r="DR172" s="496"/>
      <c r="DS172" s="496"/>
      <c r="DT172" s="496"/>
      <c r="DU172" s="496"/>
      <c r="DV172" s="496"/>
      <c r="DW172" s="496"/>
      <c r="DX172" s="496"/>
      <c r="DY172" s="496"/>
      <c r="DZ172" s="496"/>
      <c r="EA172" s="496"/>
      <c r="EB172" s="496"/>
      <c r="EC172" s="496"/>
      <c r="ED172" s="496"/>
      <c r="EE172" s="496"/>
      <c r="EF172" s="496"/>
      <c r="EG172" s="496"/>
      <c r="EH172" s="496"/>
      <c r="EI172" s="496"/>
      <c r="EJ172" s="496"/>
      <c r="EK172" s="496"/>
      <c r="EL172" s="496"/>
      <c r="EM172" s="496"/>
      <c r="EN172" s="496"/>
      <c r="EO172" s="496"/>
      <c r="EP172" s="496"/>
      <c r="EQ172" s="496"/>
      <c r="ER172" s="496"/>
      <c r="ES172" s="496"/>
      <c r="ET172" s="496"/>
      <c r="EU172" s="496"/>
      <c r="EV172" s="496"/>
      <c r="EW172" s="496"/>
      <c r="EX172" s="496"/>
      <c r="EY172" s="496"/>
      <c r="EZ172" s="496"/>
      <c r="FA172" s="496"/>
      <c r="FB172" s="496"/>
      <c r="FC172" s="496"/>
      <c r="FD172" s="496"/>
      <c r="FE172" s="496"/>
      <c r="FF172" s="496"/>
      <c r="FG172" s="496"/>
      <c r="FH172" s="496"/>
      <c r="FI172" s="496"/>
      <c r="FJ172" s="496"/>
      <c r="FK172" s="496"/>
      <c r="FL172" s="496"/>
      <c r="FM172" s="496"/>
      <c r="FN172" s="496"/>
      <c r="FO172" s="496"/>
      <c r="FP172" s="496"/>
      <c r="FQ172" s="496"/>
      <c r="FR172" s="496"/>
      <c r="FS172" s="496"/>
      <c r="FT172" s="496"/>
      <c r="FU172" s="496"/>
      <c r="FV172" s="496"/>
      <c r="FW172" s="496"/>
      <c r="FX172" s="496"/>
      <c r="FY172" s="496"/>
      <c r="FZ172" s="496"/>
      <c r="GA172" s="496"/>
      <c r="GB172" s="496"/>
      <c r="GC172" s="496"/>
      <c r="GD172" s="496"/>
      <c r="GE172" s="496"/>
      <c r="GF172" s="496"/>
      <c r="GG172" s="496"/>
      <c r="GH172" s="496"/>
      <c r="GI172" s="496"/>
      <c r="GJ172" s="496"/>
      <c r="GK172" s="496"/>
      <c r="GL172" s="496"/>
      <c r="GM172" s="496"/>
      <c r="GN172" s="496"/>
      <c r="GO172" s="496"/>
      <c r="GP172" s="496"/>
      <c r="GQ172" s="496"/>
      <c r="GR172" s="496"/>
      <c r="GS172" s="496"/>
      <c r="GT172" s="496"/>
      <c r="GU172" s="496"/>
      <c r="GV172" s="496"/>
      <c r="GW172" s="496"/>
      <c r="GX172" s="496"/>
      <c r="GY172" s="496"/>
      <c r="GZ172" s="496"/>
      <c r="HA172" s="496"/>
      <c r="HB172" s="496"/>
    </row>
    <row r="173" spans="1:210" ht="20.100000000000001" customHeight="1">
      <c r="A173" s="164"/>
      <c r="B173" s="250"/>
      <c r="C173" s="507"/>
      <c r="D173" s="498" t="s">
        <v>638</v>
      </c>
      <c r="E173" s="508"/>
      <c r="F173" s="509"/>
      <c r="G173" s="501" t="s">
        <v>433</v>
      </c>
      <c r="H173" s="383"/>
      <c r="I173" s="310"/>
      <c r="J173" s="311"/>
      <c r="K173" s="315"/>
      <c r="L173" s="310"/>
      <c r="M173" s="310"/>
      <c r="N173" s="310"/>
      <c r="O173" s="250"/>
      <c r="P173" s="251"/>
      <c r="Q173" s="200"/>
      <c r="R173" s="251"/>
      <c r="S173" s="251"/>
      <c r="T173" s="251"/>
      <c r="U173" s="200"/>
      <c r="V173" s="251"/>
      <c r="W173" s="251"/>
      <c r="X173" s="251"/>
      <c r="Y173" s="200"/>
      <c r="Z173" s="251"/>
      <c r="AA173" s="251"/>
      <c r="AB173" s="251"/>
      <c r="AC173" s="200"/>
      <c r="AD173" s="251"/>
      <c r="AE173" s="251"/>
      <c r="AF173" s="251"/>
      <c r="AG173" s="251"/>
      <c r="AH173" s="251"/>
      <c r="AI173" s="251"/>
      <c r="AJ173" s="251"/>
      <c r="AK173" s="251"/>
      <c r="AL173" s="251"/>
      <c r="AM173" s="251"/>
      <c r="AN173" s="251"/>
      <c r="AO173" s="495"/>
      <c r="AP173" s="495"/>
      <c r="AQ173" s="249"/>
      <c r="AR173" s="249"/>
      <c r="AS173" s="249"/>
      <c r="AT173" s="249"/>
      <c r="AU173" s="249"/>
      <c r="AV173" s="249"/>
      <c r="AW173" s="251"/>
      <c r="AX173" s="251"/>
      <c r="AY173" s="251"/>
      <c r="AZ173" s="251"/>
      <c r="BA173" s="251"/>
      <c r="BB173" s="251"/>
      <c r="BC173" s="251"/>
      <c r="BD173" s="251"/>
      <c r="BE173" s="251"/>
      <c r="BF173" s="251"/>
      <c r="BG173" s="251"/>
      <c r="BH173" s="251"/>
      <c r="BI173" s="251"/>
      <c r="BJ173" s="251"/>
      <c r="BK173" s="251"/>
      <c r="BL173" s="251"/>
      <c r="BM173" s="251"/>
      <c r="BN173" s="251"/>
      <c r="BO173" s="251"/>
      <c r="BP173" s="251"/>
      <c r="BQ173" s="249"/>
      <c r="BR173" s="249"/>
      <c r="BS173" s="249"/>
      <c r="BT173" s="249"/>
      <c r="BU173" s="249"/>
      <c r="BV173" s="249"/>
      <c r="BW173" s="496"/>
      <c r="BX173" s="496"/>
      <c r="BY173" s="496"/>
      <c r="BZ173" s="496"/>
      <c r="CA173" s="496"/>
      <c r="CB173" s="496"/>
      <c r="CC173" s="496"/>
      <c r="CD173" s="496"/>
      <c r="CE173" s="496"/>
      <c r="CF173" s="496"/>
      <c r="CG173" s="496"/>
      <c r="CH173" s="496"/>
      <c r="CI173" s="496"/>
      <c r="CJ173" s="496"/>
      <c r="CK173" s="496"/>
      <c r="CL173" s="496"/>
      <c r="CM173" s="496"/>
      <c r="CN173" s="496"/>
      <c r="CO173" s="496"/>
      <c r="CP173" s="496"/>
      <c r="CQ173" s="496"/>
      <c r="CR173" s="496"/>
      <c r="CS173" s="496"/>
      <c r="CT173" s="496"/>
      <c r="CU173" s="496"/>
      <c r="CV173" s="496"/>
      <c r="CW173" s="496"/>
      <c r="CX173" s="496"/>
      <c r="CY173" s="496"/>
      <c r="CZ173" s="496"/>
      <c r="DA173" s="496"/>
      <c r="DB173" s="496"/>
      <c r="DC173" s="496"/>
      <c r="DD173" s="496"/>
      <c r="DE173" s="496"/>
      <c r="DF173" s="496"/>
      <c r="DG173" s="496"/>
      <c r="DH173" s="496"/>
      <c r="DI173" s="496"/>
      <c r="DJ173" s="496"/>
      <c r="DK173" s="496"/>
      <c r="DL173" s="496"/>
      <c r="DM173" s="496"/>
      <c r="DN173" s="496"/>
      <c r="DO173" s="496"/>
      <c r="DP173" s="496"/>
      <c r="DQ173" s="496"/>
      <c r="DR173" s="496"/>
      <c r="DS173" s="496"/>
      <c r="DT173" s="496"/>
      <c r="DU173" s="496"/>
      <c r="DV173" s="496"/>
      <c r="DW173" s="496"/>
      <c r="DX173" s="496"/>
      <c r="DY173" s="496"/>
      <c r="DZ173" s="496"/>
      <c r="EA173" s="496"/>
      <c r="EB173" s="496"/>
      <c r="EC173" s="496"/>
      <c r="ED173" s="496"/>
      <c r="EE173" s="496"/>
      <c r="EF173" s="496"/>
      <c r="EG173" s="496"/>
      <c r="EH173" s="496"/>
      <c r="EI173" s="496"/>
      <c r="EJ173" s="496"/>
      <c r="EK173" s="496"/>
      <c r="EL173" s="496"/>
      <c r="EM173" s="496"/>
      <c r="EN173" s="496"/>
      <c r="EO173" s="496"/>
      <c r="EP173" s="496"/>
      <c r="EQ173" s="496"/>
      <c r="ER173" s="496"/>
      <c r="ES173" s="496"/>
      <c r="ET173" s="496"/>
      <c r="EU173" s="496"/>
      <c r="EV173" s="496"/>
      <c r="EW173" s="496"/>
      <c r="EX173" s="496"/>
      <c r="EY173" s="496"/>
      <c r="EZ173" s="496"/>
      <c r="FA173" s="496"/>
      <c r="FB173" s="496"/>
      <c r="FC173" s="496"/>
      <c r="FD173" s="496"/>
      <c r="FE173" s="496"/>
      <c r="FF173" s="496"/>
      <c r="FG173" s="496"/>
      <c r="FH173" s="496"/>
      <c r="FI173" s="496"/>
      <c r="FJ173" s="496"/>
      <c r="FK173" s="496"/>
      <c r="FL173" s="496"/>
      <c r="FM173" s="496"/>
      <c r="FN173" s="496"/>
      <c r="FO173" s="496"/>
      <c r="FP173" s="496"/>
      <c r="FQ173" s="496"/>
      <c r="FR173" s="496"/>
      <c r="FS173" s="496"/>
      <c r="FT173" s="496"/>
      <c r="FU173" s="496"/>
      <c r="FV173" s="496"/>
      <c r="FW173" s="496"/>
      <c r="FX173" s="496"/>
      <c r="FY173" s="496"/>
      <c r="FZ173" s="496"/>
      <c r="GA173" s="496"/>
      <c r="GB173" s="496"/>
      <c r="GC173" s="496"/>
      <c r="GD173" s="496"/>
      <c r="GE173" s="496"/>
      <c r="GF173" s="496"/>
      <c r="GG173" s="496"/>
      <c r="GH173" s="496"/>
      <c r="GI173" s="496"/>
      <c r="GJ173" s="496"/>
      <c r="GK173" s="496"/>
      <c r="GL173" s="496"/>
      <c r="GM173" s="496"/>
      <c r="GN173" s="496"/>
      <c r="GO173" s="496"/>
      <c r="GP173" s="496"/>
      <c r="GQ173" s="496"/>
      <c r="GR173" s="496"/>
      <c r="GS173" s="496"/>
      <c r="GT173" s="496"/>
      <c r="GU173" s="496"/>
      <c r="GV173" s="496"/>
      <c r="GW173" s="496"/>
      <c r="GX173" s="496"/>
      <c r="GY173" s="496"/>
      <c r="GZ173" s="496"/>
      <c r="HA173" s="496"/>
      <c r="HB173" s="496"/>
    </row>
    <row r="174" spans="1:210" ht="20.100000000000001" customHeight="1" thickBot="1">
      <c r="A174" s="164"/>
      <c r="B174" s="250"/>
      <c r="C174" s="498" t="s">
        <v>1457</v>
      </c>
      <c r="D174" s="499"/>
      <c r="E174" s="510"/>
      <c r="F174" s="511"/>
      <c r="G174" s="501" t="s">
        <v>433</v>
      </c>
      <c r="H174" s="383"/>
      <c r="I174" s="310"/>
      <c r="J174" s="311"/>
      <c r="K174" s="315"/>
      <c r="L174" s="310"/>
      <c r="M174" s="310"/>
      <c r="N174" s="310"/>
      <c r="O174" s="512"/>
      <c r="P174" s="278"/>
      <c r="Q174" s="200"/>
      <c r="R174" s="251"/>
      <c r="S174" s="251"/>
      <c r="T174" s="251"/>
      <c r="U174" s="200"/>
      <c r="V174" s="251"/>
      <c r="W174" s="251"/>
      <c r="X174" s="251"/>
      <c r="Y174" s="200"/>
      <c r="Z174" s="251"/>
      <c r="AA174" s="251"/>
      <c r="AB174" s="251"/>
      <c r="AC174" s="200"/>
      <c r="AD174" s="251"/>
      <c r="AE174" s="251"/>
      <c r="AF174" s="251"/>
      <c r="AG174" s="251"/>
      <c r="AH174" s="251"/>
      <c r="AI174" s="251"/>
      <c r="AJ174" s="251"/>
      <c r="AK174" s="251"/>
      <c r="AL174" s="251"/>
      <c r="AM174" s="251"/>
      <c r="AN174" s="251"/>
      <c r="AO174" s="495"/>
      <c r="AP174" s="495"/>
      <c r="AQ174" s="249"/>
      <c r="AR174" s="249"/>
      <c r="AS174" s="249"/>
      <c r="AT174" s="249"/>
      <c r="AU174" s="249"/>
      <c r="AV174" s="249"/>
      <c r="AW174" s="251"/>
      <c r="AX174" s="251"/>
      <c r="AY174" s="251"/>
      <c r="AZ174" s="251"/>
      <c r="BA174" s="251"/>
      <c r="BB174" s="251"/>
      <c r="BC174" s="251"/>
      <c r="BD174" s="251"/>
      <c r="BE174" s="251"/>
      <c r="BF174" s="251"/>
      <c r="BG174" s="251"/>
      <c r="BH174" s="251"/>
      <c r="BI174" s="251"/>
      <c r="BJ174" s="251"/>
      <c r="BK174" s="251"/>
      <c r="BL174" s="251"/>
      <c r="BM174" s="251"/>
      <c r="BN174" s="251"/>
      <c r="BO174" s="251"/>
      <c r="BP174" s="251"/>
      <c r="BQ174" s="249"/>
      <c r="BR174" s="249"/>
      <c r="BS174" s="249"/>
      <c r="BT174" s="249"/>
      <c r="BU174" s="249"/>
      <c r="BV174" s="249"/>
      <c r="BW174" s="496"/>
      <c r="BX174" s="496"/>
      <c r="BY174" s="496"/>
      <c r="BZ174" s="496"/>
      <c r="CA174" s="496"/>
      <c r="CB174" s="496"/>
      <c r="CC174" s="496"/>
      <c r="CD174" s="496"/>
      <c r="CE174" s="496"/>
      <c r="CF174" s="496"/>
      <c r="CG174" s="496"/>
      <c r="CH174" s="496"/>
      <c r="CI174" s="496"/>
      <c r="CJ174" s="496"/>
      <c r="CK174" s="496"/>
      <c r="CL174" s="496"/>
      <c r="CM174" s="496"/>
      <c r="CN174" s="496"/>
      <c r="CO174" s="496"/>
      <c r="CP174" s="496"/>
      <c r="CQ174" s="496"/>
      <c r="CR174" s="496"/>
      <c r="CS174" s="496"/>
      <c r="CT174" s="496"/>
      <c r="CU174" s="496"/>
      <c r="CV174" s="496"/>
      <c r="CW174" s="496"/>
      <c r="CX174" s="496"/>
      <c r="CY174" s="496"/>
      <c r="CZ174" s="496"/>
      <c r="DA174" s="496"/>
      <c r="DB174" s="496"/>
      <c r="DC174" s="496"/>
      <c r="DD174" s="496"/>
      <c r="DE174" s="496"/>
      <c r="DF174" s="496"/>
      <c r="DG174" s="496"/>
      <c r="DH174" s="496"/>
      <c r="DI174" s="496"/>
      <c r="DJ174" s="496"/>
      <c r="DK174" s="496"/>
      <c r="DL174" s="496"/>
      <c r="DM174" s="496"/>
      <c r="DN174" s="496"/>
      <c r="DO174" s="496"/>
      <c r="DP174" s="496"/>
      <c r="DQ174" s="496"/>
      <c r="DR174" s="496"/>
      <c r="DS174" s="496"/>
      <c r="DT174" s="496"/>
      <c r="DU174" s="496"/>
      <c r="DV174" s="496"/>
      <c r="DW174" s="496"/>
      <c r="DX174" s="496"/>
      <c r="DY174" s="496"/>
      <c r="DZ174" s="496"/>
      <c r="EA174" s="496"/>
      <c r="EB174" s="496"/>
      <c r="EC174" s="496"/>
      <c r="ED174" s="496"/>
      <c r="EE174" s="496"/>
      <c r="EF174" s="496"/>
      <c r="EG174" s="496"/>
      <c r="EH174" s="496"/>
      <c r="EI174" s="496"/>
      <c r="EJ174" s="496"/>
      <c r="EK174" s="496"/>
      <c r="EL174" s="496"/>
      <c r="EM174" s="496"/>
      <c r="EN174" s="496"/>
      <c r="EO174" s="496"/>
      <c r="EP174" s="496"/>
      <c r="EQ174" s="496"/>
      <c r="ER174" s="496"/>
      <c r="ES174" s="496"/>
      <c r="ET174" s="496"/>
      <c r="EU174" s="496"/>
      <c r="EV174" s="496"/>
      <c r="EW174" s="496"/>
      <c r="EX174" s="496"/>
      <c r="EY174" s="496"/>
      <c r="EZ174" s="496"/>
      <c r="FA174" s="496"/>
      <c r="FB174" s="496"/>
      <c r="FC174" s="496"/>
      <c r="FD174" s="496"/>
      <c r="FE174" s="496"/>
      <c r="FF174" s="496"/>
      <c r="FG174" s="496"/>
      <c r="FH174" s="496"/>
      <c r="FI174" s="496"/>
      <c r="FJ174" s="496"/>
      <c r="FK174" s="496"/>
      <c r="FL174" s="496"/>
      <c r="FM174" s="496"/>
      <c r="FN174" s="496"/>
      <c r="FO174" s="496"/>
      <c r="FP174" s="496"/>
      <c r="FQ174" s="496"/>
      <c r="FR174" s="496"/>
      <c r="FS174" s="496"/>
      <c r="FT174" s="496"/>
      <c r="FU174" s="496"/>
      <c r="FV174" s="496"/>
      <c r="FW174" s="496"/>
      <c r="FX174" s="496"/>
      <c r="FY174" s="496"/>
      <c r="FZ174" s="496"/>
      <c r="GA174" s="496"/>
      <c r="GB174" s="496"/>
      <c r="GC174" s="496"/>
      <c r="GD174" s="496"/>
      <c r="GE174" s="496"/>
      <c r="GF174" s="496"/>
      <c r="GG174" s="496"/>
      <c r="GH174" s="496"/>
      <c r="GI174" s="496"/>
      <c r="GJ174" s="496"/>
      <c r="GK174" s="496"/>
      <c r="GL174" s="496"/>
      <c r="GM174" s="496"/>
      <c r="GN174" s="496"/>
      <c r="GO174" s="496"/>
      <c r="GP174" s="496"/>
      <c r="GQ174" s="496"/>
      <c r="GR174" s="496"/>
      <c r="GS174" s="496"/>
      <c r="GT174" s="496"/>
      <c r="GU174" s="496"/>
      <c r="GV174" s="496"/>
      <c r="GW174" s="496"/>
      <c r="GX174" s="496"/>
      <c r="GY174" s="496"/>
      <c r="GZ174" s="496"/>
      <c r="HA174" s="496"/>
      <c r="HB174" s="496"/>
    </row>
    <row r="175" spans="1:210" ht="20.100000000000001" customHeight="1">
      <c r="A175" s="164"/>
      <c r="B175" s="250"/>
      <c r="C175" s="505" t="s">
        <v>639</v>
      </c>
      <c r="D175" s="505" t="s">
        <v>473</v>
      </c>
      <c r="E175" s="513"/>
      <c r="F175" s="500"/>
      <c r="G175" s="501" t="s">
        <v>436</v>
      </c>
      <c r="H175" s="383"/>
      <c r="I175" s="310"/>
      <c r="J175" s="311"/>
      <c r="K175" s="315"/>
      <c r="L175" s="310"/>
      <c r="M175" s="310"/>
      <c r="N175" s="310"/>
      <c r="O175" s="492" t="s">
        <v>640</v>
      </c>
      <c r="P175" s="514"/>
      <c r="Q175" s="200"/>
      <c r="R175" s="251"/>
      <c r="S175" s="251"/>
      <c r="T175" s="251"/>
      <c r="U175" s="200"/>
      <c r="V175" s="251"/>
      <c r="W175" s="251"/>
      <c r="X175" s="251"/>
      <c r="Y175" s="200"/>
      <c r="Z175" s="251"/>
      <c r="AA175" s="251"/>
      <c r="AB175" s="251"/>
      <c r="AC175" s="200"/>
      <c r="AD175" s="251"/>
      <c r="AE175" s="251"/>
      <c r="AF175" s="251"/>
      <c r="AG175" s="251"/>
      <c r="AH175" s="251"/>
      <c r="AI175" s="251"/>
      <c r="AJ175" s="251"/>
      <c r="AK175" s="251"/>
      <c r="AL175" s="251"/>
      <c r="AM175" s="251"/>
      <c r="AN175" s="251"/>
      <c r="AO175" s="495"/>
      <c r="AP175" s="495"/>
      <c r="AQ175" s="249"/>
      <c r="AR175" s="249"/>
      <c r="AS175" s="249"/>
      <c r="AT175" s="249"/>
      <c r="AU175" s="249"/>
      <c r="AV175" s="249"/>
      <c r="AW175" s="251"/>
      <c r="AX175" s="251"/>
      <c r="AY175" s="251"/>
      <c r="AZ175" s="251"/>
      <c r="BA175" s="251"/>
      <c r="BB175" s="251"/>
      <c r="BC175" s="251"/>
      <c r="BD175" s="251"/>
      <c r="BE175" s="251"/>
      <c r="BF175" s="251"/>
      <c r="BG175" s="251"/>
      <c r="BH175" s="251"/>
      <c r="BI175" s="251"/>
      <c r="BJ175" s="251"/>
      <c r="BK175" s="251"/>
      <c r="BL175" s="251"/>
      <c r="BM175" s="251"/>
      <c r="BN175" s="251"/>
      <c r="BO175" s="251"/>
      <c r="BP175" s="251"/>
      <c r="BQ175" s="249"/>
      <c r="BR175" s="249"/>
      <c r="BS175" s="249"/>
      <c r="BT175" s="249"/>
      <c r="BU175" s="249"/>
      <c r="BV175" s="249"/>
      <c r="BW175" s="496"/>
      <c r="BX175" s="496"/>
      <c r="BY175" s="496"/>
      <c r="BZ175" s="496"/>
      <c r="CA175" s="496"/>
      <c r="CB175" s="496"/>
      <c r="CC175" s="496"/>
      <c r="CD175" s="496"/>
      <c r="CE175" s="496"/>
      <c r="CF175" s="496"/>
      <c r="CG175" s="496"/>
      <c r="CH175" s="496"/>
      <c r="CI175" s="496"/>
      <c r="CJ175" s="496"/>
      <c r="CK175" s="496"/>
      <c r="CL175" s="496"/>
      <c r="CM175" s="496"/>
      <c r="CN175" s="496"/>
      <c r="CO175" s="496"/>
      <c r="CP175" s="496"/>
      <c r="CQ175" s="496"/>
      <c r="CR175" s="496"/>
      <c r="CS175" s="496"/>
      <c r="CT175" s="496"/>
      <c r="CU175" s="496"/>
      <c r="CV175" s="496"/>
      <c r="CW175" s="496"/>
      <c r="CX175" s="496"/>
      <c r="CY175" s="496"/>
      <c r="CZ175" s="496"/>
      <c r="DA175" s="496"/>
      <c r="DB175" s="496"/>
      <c r="DC175" s="496"/>
      <c r="DD175" s="496"/>
      <c r="DE175" s="496"/>
      <c r="DF175" s="496"/>
      <c r="DG175" s="496"/>
      <c r="DH175" s="496"/>
      <c r="DI175" s="496"/>
      <c r="DJ175" s="496"/>
      <c r="DK175" s="496"/>
      <c r="DL175" s="496"/>
      <c r="DM175" s="496"/>
      <c r="DN175" s="496"/>
      <c r="DO175" s="496"/>
      <c r="DP175" s="496"/>
      <c r="DQ175" s="496"/>
      <c r="DR175" s="496"/>
      <c r="DS175" s="496"/>
      <c r="DT175" s="496"/>
      <c r="DU175" s="496"/>
      <c r="DV175" s="496"/>
      <c r="DW175" s="496"/>
      <c r="DX175" s="496"/>
      <c r="DY175" s="496"/>
      <c r="DZ175" s="496"/>
      <c r="EA175" s="496"/>
      <c r="EB175" s="496"/>
      <c r="EC175" s="496"/>
      <c r="ED175" s="496"/>
      <c r="EE175" s="496"/>
      <c r="EF175" s="496"/>
      <c r="EG175" s="496"/>
      <c r="EH175" s="496"/>
      <c r="EI175" s="496"/>
      <c r="EJ175" s="496"/>
      <c r="EK175" s="496"/>
      <c r="EL175" s="496"/>
      <c r="EM175" s="496"/>
      <c r="EN175" s="496"/>
      <c r="EO175" s="496"/>
      <c r="EP175" s="496"/>
      <c r="EQ175" s="496"/>
      <c r="ER175" s="496"/>
      <c r="ES175" s="496"/>
      <c r="ET175" s="496"/>
      <c r="EU175" s="496"/>
      <c r="EV175" s="496"/>
      <c r="EW175" s="496"/>
      <c r="EX175" s="496"/>
      <c r="EY175" s="496"/>
      <c r="EZ175" s="496"/>
      <c r="FA175" s="496"/>
      <c r="FB175" s="496"/>
      <c r="FC175" s="496"/>
      <c r="FD175" s="496"/>
      <c r="FE175" s="496"/>
      <c r="FF175" s="496"/>
      <c r="FG175" s="496"/>
      <c r="FH175" s="496"/>
      <c r="FI175" s="496"/>
      <c r="FJ175" s="496"/>
      <c r="FK175" s="496"/>
      <c r="FL175" s="496"/>
      <c r="FM175" s="496"/>
      <c r="FN175" s="496"/>
      <c r="FO175" s="496"/>
      <c r="FP175" s="496"/>
      <c r="FQ175" s="496"/>
      <c r="FR175" s="496"/>
      <c r="FS175" s="496"/>
      <c r="FT175" s="496"/>
      <c r="FU175" s="496"/>
      <c r="FV175" s="496"/>
      <c r="FW175" s="496"/>
      <c r="FX175" s="496"/>
      <c r="FY175" s="496"/>
      <c r="FZ175" s="496"/>
      <c r="GA175" s="496"/>
      <c r="GB175" s="496"/>
      <c r="GC175" s="496"/>
      <c r="GD175" s="496"/>
      <c r="GE175" s="496"/>
      <c r="GF175" s="496"/>
      <c r="GG175" s="496"/>
      <c r="GH175" s="496"/>
      <c r="GI175" s="496"/>
      <c r="GJ175" s="496"/>
      <c r="GK175" s="496"/>
      <c r="GL175" s="496"/>
      <c r="GM175" s="496"/>
      <c r="GN175" s="496"/>
      <c r="GO175" s="496"/>
      <c r="GP175" s="496"/>
      <c r="GQ175" s="496"/>
      <c r="GR175" s="496"/>
      <c r="GS175" s="496"/>
      <c r="GT175" s="496"/>
      <c r="GU175" s="496"/>
      <c r="GV175" s="496"/>
      <c r="GW175" s="496"/>
      <c r="GX175" s="496"/>
      <c r="GY175" s="496"/>
      <c r="GZ175" s="496"/>
      <c r="HA175" s="496"/>
      <c r="HB175" s="496"/>
    </row>
    <row r="176" spans="1:210" ht="20.100000000000001" customHeight="1">
      <c r="A176" s="164"/>
      <c r="B176" s="250"/>
      <c r="C176" s="505"/>
      <c r="D176" s="504" t="s">
        <v>474</v>
      </c>
      <c r="E176" s="515"/>
      <c r="F176" s="383"/>
      <c r="G176" s="501" t="s">
        <v>436</v>
      </c>
      <c r="H176" s="383"/>
      <c r="I176" s="310"/>
      <c r="J176" s="311"/>
      <c r="K176" s="315"/>
      <c r="L176" s="336"/>
      <c r="M176" s="336"/>
      <c r="N176" s="336"/>
      <c r="O176" s="516" t="s">
        <v>1458</v>
      </c>
      <c r="P176" s="517"/>
      <c r="Q176" s="200"/>
      <c r="R176" s="251"/>
      <c r="S176" s="251"/>
      <c r="T176" s="251"/>
      <c r="U176" s="200"/>
      <c r="V176" s="251"/>
      <c r="W176" s="251"/>
      <c r="X176" s="251"/>
      <c r="Y176" s="200"/>
      <c r="Z176" s="251"/>
      <c r="AA176" s="251"/>
      <c r="AB176" s="251"/>
      <c r="AC176" s="200"/>
      <c r="AD176" s="251"/>
      <c r="AE176" s="251"/>
      <c r="AF176" s="251"/>
      <c r="AG176" s="251"/>
      <c r="AH176" s="251"/>
      <c r="AI176" s="251"/>
      <c r="AJ176" s="251"/>
      <c r="AK176" s="251"/>
      <c r="AL176" s="251"/>
      <c r="AM176" s="251"/>
      <c r="AN176" s="251"/>
      <c r="AO176" s="495"/>
      <c r="AP176" s="495"/>
      <c r="AQ176" s="249"/>
      <c r="AR176" s="249"/>
      <c r="AS176" s="249"/>
      <c r="AT176" s="249"/>
      <c r="AU176" s="249"/>
      <c r="AV176" s="249"/>
      <c r="AW176" s="251"/>
      <c r="AX176" s="251"/>
      <c r="AY176" s="251"/>
      <c r="AZ176" s="251"/>
      <c r="BA176" s="251"/>
      <c r="BB176" s="251"/>
      <c r="BC176" s="251"/>
      <c r="BD176" s="251"/>
      <c r="BE176" s="251"/>
      <c r="BF176" s="251"/>
      <c r="BG176" s="251"/>
      <c r="BH176" s="251"/>
      <c r="BI176" s="251"/>
      <c r="BJ176" s="251"/>
      <c r="BK176" s="251"/>
      <c r="BL176" s="251"/>
      <c r="BM176" s="251"/>
      <c r="BN176" s="251"/>
      <c r="BO176" s="251"/>
      <c r="BP176" s="251"/>
      <c r="BQ176" s="249"/>
      <c r="BR176" s="249"/>
      <c r="BS176" s="249"/>
      <c r="BT176" s="249"/>
      <c r="BU176" s="249"/>
      <c r="BV176" s="249"/>
      <c r="BW176" s="496"/>
      <c r="BX176" s="496"/>
      <c r="BY176" s="496"/>
      <c r="BZ176" s="496"/>
      <c r="CA176" s="496"/>
      <c r="CB176" s="496"/>
      <c r="CC176" s="496"/>
      <c r="CD176" s="496"/>
      <c r="CE176" s="496"/>
      <c r="CF176" s="496"/>
      <c r="CG176" s="496"/>
      <c r="CH176" s="496"/>
      <c r="CI176" s="496"/>
      <c r="CJ176" s="496"/>
      <c r="CK176" s="496"/>
      <c r="CL176" s="496"/>
      <c r="CM176" s="496"/>
      <c r="CN176" s="496"/>
      <c r="CO176" s="496"/>
      <c r="CP176" s="496"/>
      <c r="CQ176" s="496"/>
      <c r="CR176" s="496"/>
      <c r="CS176" s="496"/>
      <c r="CT176" s="496"/>
      <c r="CU176" s="496"/>
      <c r="CV176" s="496"/>
      <c r="CW176" s="496"/>
      <c r="CX176" s="496"/>
      <c r="CY176" s="496"/>
      <c r="CZ176" s="496"/>
      <c r="DA176" s="496"/>
      <c r="DB176" s="496"/>
      <c r="DC176" s="496"/>
      <c r="DD176" s="496"/>
      <c r="DE176" s="496"/>
      <c r="DF176" s="496"/>
      <c r="DG176" s="496"/>
      <c r="DH176" s="496"/>
      <c r="DI176" s="496"/>
      <c r="DJ176" s="496"/>
      <c r="DK176" s="496"/>
      <c r="DL176" s="496"/>
      <c r="DM176" s="496"/>
      <c r="DN176" s="496"/>
      <c r="DO176" s="496"/>
      <c r="DP176" s="496"/>
      <c r="DQ176" s="496"/>
      <c r="DR176" s="496"/>
      <c r="DS176" s="496"/>
      <c r="DT176" s="496"/>
      <c r="DU176" s="496"/>
      <c r="DV176" s="496"/>
      <c r="DW176" s="496"/>
      <c r="DX176" s="496"/>
      <c r="DY176" s="496"/>
      <c r="DZ176" s="496"/>
      <c r="EA176" s="496"/>
      <c r="EB176" s="496"/>
      <c r="EC176" s="496"/>
      <c r="ED176" s="496"/>
      <c r="EE176" s="496"/>
      <c r="EF176" s="496"/>
      <c r="EG176" s="496"/>
      <c r="EH176" s="496"/>
      <c r="EI176" s="496"/>
      <c r="EJ176" s="496"/>
      <c r="EK176" s="496"/>
      <c r="EL176" s="496"/>
      <c r="EM176" s="496"/>
      <c r="EN176" s="496"/>
      <c r="EO176" s="496"/>
      <c r="EP176" s="496"/>
      <c r="EQ176" s="496"/>
      <c r="ER176" s="496"/>
      <c r="ES176" s="496"/>
      <c r="ET176" s="496"/>
      <c r="EU176" s="496"/>
      <c r="EV176" s="496"/>
      <c r="EW176" s="496"/>
      <c r="EX176" s="496"/>
      <c r="EY176" s="496"/>
      <c r="EZ176" s="496"/>
      <c r="FA176" s="496"/>
      <c r="FB176" s="496"/>
      <c r="FC176" s="496"/>
      <c r="FD176" s="496"/>
      <c r="FE176" s="496"/>
      <c r="FF176" s="496"/>
      <c r="FG176" s="496"/>
      <c r="FH176" s="496"/>
      <c r="FI176" s="496"/>
      <c r="FJ176" s="496"/>
      <c r="FK176" s="496"/>
      <c r="FL176" s="496"/>
      <c r="FM176" s="496"/>
      <c r="FN176" s="496"/>
      <c r="FO176" s="496"/>
      <c r="FP176" s="496"/>
      <c r="FQ176" s="496"/>
      <c r="FR176" s="496"/>
      <c r="FS176" s="496"/>
      <c r="FT176" s="496"/>
      <c r="FU176" s="496"/>
      <c r="FV176" s="496"/>
      <c r="FW176" s="496"/>
      <c r="FX176" s="496"/>
      <c r="FY176" s="496"/>
      <c r="FZ176" s="496"/>
      <c r="GA176" s="496"/>
      <c r="GB176" s="496"/>
      <c r="GC176" s="496"/>
      <c r="GD176" s="496"/>
      <c r="GE176" s="496"/>
      <c r="GF176" s="496"/>
      <c r="GG176" s="496"/>
      <c r="GH176" s="496"/>
      <c r="GI176" s="496"/>
      <c r="GJ176" s="496"/>
      <c r="GK176" s="496"/>
      <c r="GL176" s="496"/>
      <c r="GM176" s="496"/>
      <c r="GN176" s="496"/>
      <c r="GO176" s="496"/>
      <c r="GP176" s="496"/>
      <c r="GQ176" s="496"/>
      <c r="GR176" s="496"/>
      <c r="GS176" s="496"/>
      <c r="GT176" s="496"/>
      <c r="GU176" s="496"/>
      <c r="GV176" s="496"/>
      <c r="GW176" s="496"/>
      <c r="GX176" s="496"/>
      <c r="GY176" s="496"/>
      <c r="GZ176" s="496"/>
      <c r="HA176" s="496"/>
      <c r="HB176" s="496"/>
    </row>
    <row r="177" spans="1:210" ht="20.100000000000001" customHeight="1" thickBot="1">
      <c r="A177" s="164"/>
      <c r="B177" s="512"/>
      <c r="C177" s="518"/>
      <c r="D177" s="519" t="s">
        <v>475</v>
      </c>
      <c r="E177" s="520"/>
      <c r="F177" s="521"/>
      <c r="G177" s="522" t="s">
        <v>436</v>
      </c>
      <c r="H177" s="383"/>
      <c r="I177" s="366"/>
      <c r="J177" s="368"/>
      <c r="K177" s="365"/>
      <c r="L177" s="336"/>
      <c r="M177" s="336"/>
      <c r="N177" s="336"/>
      <c r="O177" s="523" t="s">
        <v>1459</v>
      </c>
      <c r="P177" s="524"/>
      <c r="Q177" s="525"/>
      <c r="R177" s="278"/>
      <c r="S177" s="278"/>
      <c r="T177" s="278"/>
      <c r="U177" s="525"/>
      <c r="V177" s="278"/>
      <c r="W177" s="278"/>
      <c r="X177" s="278"/>
      <c r="Y177" s="525"/>
      <c r="Z177" s="278"/>
      <c r="AA177" s="278"/>
      <c r="AB177" s="278"/>
      <c r="AC177" s="525"/>
      <c r="AD177" s="278"/>
      <c r="AE177" s="278"/>
      <c r="AF177" s="278"/>
      <c r="AG177" s="251"/>
      <c r="AH177" s="251"/>
      <c r="AI177" s="251"/>
      <c r="AJ177" s="251"/>
      <c r="AK177" s="251"/>
      <c r="AL177" s="251"/>
      <c r="AM177" s="251"/>
      <c r="AN177" s="251"/>
      <c r="AO177" s="495"/>
      <c r="AP177" s="495"/>
      <c r="AQ177" s="249"/>
      <c r="AR177" s="249"/>
      <c r="AS177" s="249"/>
      <c r="AT177" s="249"/>
      <c r="AU177" s="249"/>
      <c r="AV177" s="249"/>
      <c r="AW177" s="251"/>
      <c r="AX177" s="251"/>
      <c r="AY177" s="251"/>
      <c r="AZ177" s="251"/>
      <c r="BA177" s="251"/>
      <c r="BB177" s="251"/>
      <c r="BC177" s="251"/>
      <c r="BD177" s="251"/>
      <c r="BE177" s="251"/>
      <c r="BF177" s="251"/>
      <c r="BG177" s="251"/>
      <c r="BH177" s="251"/>
      <c r="BI177" s="251"/>
      <c r="BJ177" s="251"/>
      <c r="BK177" s="251"/>
      <c r="BL177" s="251"/>
      <c r="BM177" s="251"/>
      <c r="BN177" s="251"/>
      <c r="BO177" s="251"/>
      <c r="BP177" s="251"/>
      <c r="BQ177" s="249"/>
      <c r="BR177" s="249"/>
      <c r="BS177" s="249"/>
      <c r="BT177" s="249"/>
      <c r="BU177" s="249"/>
      <c r="BV177" s="249"/>
      <c r="BW177" s="496"/>
      <c r="BX177" s="496"/>
      <c r="BY177" s="496"/>
      <c r="BZ177" s="496"/>
      <c r="CA177" s="496"/>
      <c r="CB177" s="496"/>
      <c r="CC177" s="496"/>
      <c r="CD177" s="496"/>
      <c r="CE177" s="496"/>
      <c r="CF177" s="496"/>
      <c r="CG177" s="496"/>
      <c r="CH177" s="496"/>
      <c r="CI177" s="496"/>
      <c r="CJ177" s="496"/>
      <c r="CK177" s="496"/>
      <c r="CL177" s="496"/>
      <c r="CM177" s="496"/>
      <c r="CN177" s="496"/>
      <c r="CO177" s="496"/>
      <c r="CP177" s="496"/>
      <c r="CQ177" s="496"/>
      <c r="CR177" s="496"/>
      <c r="CS177" s="496"/>
      <c r="CT177" s="496"/>
      <c r="CU177" s="496"/>
      <c r="CV177" s="496"/>
      <c r="CW177" s="496"/>
      <c r="CX177" s="496"/>
      <c r="CY177" s="496"/>
      <c r="CZ177" s="496"/>
      <c r="DA177" s="496"/>
      <c r="DB177" s="496"/>
      <c r="DC177" s="496"/>
      <c r="DD177" s="496"/>
      <c r="DE177" s="496"/>
      <c r="DF177" s="496"/>
      <c r="DG177" s="496"/>
      <c r="DH177" s="496"/>
      <c r="DI177" s="496"/>
      <c r="DJ177" s="496"/>
      <c r="DK177" s="496"/>
      <c r="DL177" s="496"/>
      <c r="DM177" s="496"/>
      <c r="DN177" s="496"/>
      <c r="DO177" s="496"/>
      <c r="DP177" s="496"/>
      <c r="DQ177" s="496"/>
      <c r="DR177" s="496"/>
      <c r="DS177" s="496"/>
      <c r="DT177" s="496"/>
      <c r="DU177" s="496"/>
      <c r="DV177" s="496"/>
      <c r="DW177" s="496"/>
      <c r="DX177" s="496"/>
      <c r="DY177" s="496"/>
      <c r="DZ177" s="496"/>
      <c r="EA177" s="496"/>
      <c r="EB177" s="496"/>
      <c r="EC177" s="496"/>
      <c r="ED177" s="496"/>
      <c r="EE177" s="496"/>
      <c r="EF177" s="496"/>
      <c r="EG177" s="496"/>
      <c r="EH177" s="496"/>
      <c r="EI177" s="496"/>
      <c r="EJ177" s="496"/>
      <c r="EK177" s="496"/>
      <c r="EL177" s="496"/>
      <c r="EM177" s="496"/>
      <c r="EN177" s="496"/>
      <c r="EO177" s="496"/>
      <c r="EP177" s="496"/>
      <c r="EQ177" s="496"/>
      <c r="ER177" s="496"/>
      <c r="ES177" s="496"/>
      <c r="ET177" s="496"/>
      <c r="EU177" s="496"/>
      <c r="EV177" s="496"/>
      <c r="EW177" s="496"/>
      <c r="EX177" s="496"/>
      <c r="EY177" s="496"/>
      <c r="EZ177" s="496"/>
      <c r="FA177" s="496"/>
      <c r="FB177" s="496"/>
      <c r="FC177" s="496"/>
      <c r="FD177" s="496"/>
      <c r="FE177" s="496"/>
      <c r="FF177" s="496"/>
      <c r="FG177" s="496"/>
      <c r="FH177" s="496"/>
      <c r="FI177" s="496"/>
      <c r="FJ177" s="496"/>
      <c r="FK177" s="496"/>
      <c r="FL177" s="496"/>
      <c r="FM177" s="496"/>
      <c r="FN177" s="496"/>
      <c r="FO177" s="496"/>
      <c r="FP177" s="496"/>
      <c r="FQ177" s="496"/>
      <c r="FR177" s="496"/>
      <c r="FS177" s="496"/>
      <c r="FT177" s="496"/>
      <c r="FU177" s="496"/>
      <c r="FV177" s="496"/>
      <c r="FW177" s="496"/>
      <c r="FX177" s="496"/>
      <c r="FY177" s="496"/>
      <c r="FZ177" s="496"/>
      <c r="GA177" s="496"/>
      <c r="GB177" s="496"/>
      <c r="GC177" s="496"/>
      <c r="GD177" s="496"/>
      <c r="GE177" s="496"/>
      <c r="GF177" s="496"/>
      <c r="GG177" s="496"/>
      <c r="GH177" s="496"/>
      <c r="GI177" s="496"/>
      <c r="GJ177" s="496"/>
      <c r="GK177" s="496"/>
      <c r="GL177" s="496"/>
      <c r="GM177" s="496"/>
      <c r="GN177" s="496"/>
      <c r="GO177" s="496"/>
      <c r="GP177" s="496"/>
      <c r="GQ177" s="496"/>
      <c r="GR177" s="496"/>
      <c r="GS177" s="496"/>
      <c r="GT177" s="496"/>
      <c r="GU177" s="496"/>
      <c r="GV177" s="496"/>
      <c r="GW177" s="496"/>
      <c r="GX177" s="496"/>
      <c r="GY177" s="496"/>
      <c r="GZ177" s="496"/>
      <c r="HA177" s="496"/>
      <c r="HB177" s="496"/>
    </row>
    <row r="178" spans="1:210" ht="20.100000000000001" customHeight="1">
      <c r="A178" s="164"/>
      <c r="B178" s="293" t="s">
        <v>1460</v>
      </c>
      <c r="C178" s="526"/>
      <c r="D178" s="526"/>
      <c r="E178" s="526"/>
      <c r="F178" s="526"/>
      <c r="G178" s="399"/>
      <c r="H178" s="399"/>
      <c r="I178" s="399"/>
      <c r="J178" s="399"/>
      <c r="K178" s="399"/>
      <c r="L178" s="399"/>
      <c r="M178" s="399"/>
      <c r="N178" s="399"/>
      <c r="O178" s="399"/>
      <c r="P178" s="399"/>
      <c r="Q178" s="399"/>
      <c r="R178" s="399"/>
      <c r="S178" s="399"/>
      <c r="T178" s="399"/>
      <c r="U178" s="399"/>
      <c r="V178" s="399"/>
      <c r="W178" s="399"/>
      <c r="X178" s="399"/>
      <c r="Y178" s="399"/>
      <c r="Z178" s="399"/>
      <c r="AA178" s="399"/>
      <c r="AB178" s="399"/>
      <c r="AC178" s="399"/>
      <c r="AD178" s="399"/>
      <c r="AE178" s="399"/>
      <c r="AF178" s="399"/>
      <c r="AG178" s="399"/>
      <c r="AH178" s="399"/>
      <c r="AI178" s="399"/>
      <c r="AJ178" s="399"/>
      <c r="AK178" s="399"/>
      <c r="AL178" s="399"/>
      <c r="AM178" s="399"/>
      <c r="AN178" s="399"/>
      <c r="AO178" s="527"/>
      <c r="AP178" s="527"/>
      <c r="AQ178" s="528"/>
      <c r="AR178" s="528"/>
      <c r="AS178" s="528"/>
      <c r="AT178" s="528"/>
      <c r="AU178" s="528"/>
      <c r="AV178" s="528"/>
      <c r="AW178" s="399"/>
      <c r="AX178" s="399"/>
      <c r="AY178" s="399"/>
      <c r="AZ178" s="399"/>
      <c r="BA178" s="399"/>
      <c r="BB178" s="399"/>
      <c r="BC178" s="399"/>
      <c r="BD178" s="399"/>
      <c r="BE178" s="399"/>
      <c r="BF178" s="399"/>
      <c r="BG178" s="399"/>
      <c r="BH178" s="399"/>
      <c r="BI178" s="399"/>
      <c r="BJ178" s="399"/>
      <c r="BK178" s="399"/>
      <c r="BL178" s="399"/>
      <c r="BM178" s="399"/>
      <c r="BN178" s="399"/>
      <c r="BO178" s="399"/>
      <c r="BP178" s="399"/>
      <c r="BQ178" s="528"/>
      <c r="BR178" s="528"/>
      <c r="BS178" s="528"/>
      <c r="BT178" s="528"/>
      <c r="BU178" s="528"/>
      <c r="BV178" s="528"/>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29"/>
      <c r="GT178" s="529"/>
      <c r="GU178" s="529"/>
      <c r="GV178" s="529"/>
      <c r="GW178" s="529"/>
      <c r="GX178" s="529"/>
      <c r="GY178" s="529"/>
      <c r="GZ178" s="529"/>
      <c r="HA178" s="529"/>
      <c r="HB178" s="530"/>
    </row>
    <row r="179" spans="1:210" ht="20.100000000000001" customHeight="1">
      <c r="A179" s="164"/>
      <c r="B179" s="306" t="s">
        <v>1461</v>
      </c>
      <c r="C179" s="503"/>
      <c r="D179" s="503"/>
      <c r="E179" s="503"/>
      <c r="F179" s="503"/>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6"/>
      <c r="AD179" s="326"/>
      <c r="AE179" s="326"/>
      <c r="AF179" s="326"/>
      <c r="AG179" s="326"/>
      <c r="AH179" s="326"/>
      <c r="AI179" s="326"/>
      <c r="AJ179" s="326"/>
      <c r="AK179" s="326"/>
      <c r="AL179" s="326"/>
      <c r="AM179" s="326"/>
      <c r="AN179" s="326"/>
      <c r="AO179" s="531"/>
      <c r="AP179" s="531"/>
      <c r="AQ179" s="532"/>
      <c r="AR179" s="532"/>
      <c r="AS179" s="532"/>
      <c r="AT179" s="532"/>
      <c r="AU179" s="532"/>
      <c r="AV179" s="532"/>
      <c r="AW179" s="326"/>
      <c r="AX179" s="326"/>
      <c r="AY179" s="326"/>
      <c r="AZ179" s="326"/>
      <c r="BA179" s="326"/>
      <c r="BB179" s="326"/>
      <c r="BC179" s="326"/>
      <c r="BD179" s="326"/>
      <c r="BE179" s="326"/>
      <c r="BF179" s="326"/>
      <c r="BG179" s="326"/>
      <c r="BH179" s="326"/>
      <c r="BI179" s="326"/>
      <c r="BJ179" s="326"/>
      <c r="BK179" s="326"/>
      <c r="BL179" s="326"/>
      <c r="BM179" s="326"/>
      <c r="BN179" s="326"/>
      <c r="BO179" s="326"/>
      <c r="BP179" s="326"/>
      <c r="BQ179" s="532"/>
      <c r="BR179" s="532"/>
      <c r="BS179" s="532"/>
      <c r="BT179" s="532"/>
      <c r="BU179" s="532"/>
      <c r="BV179" s="532"/>
      <c r="BW179" s="533"/>
      <c r="BX179" s="533"/>
      <c r="BY179" s="533"/>
      <c r="BZ179" s="533"/>
      <c r="CA179" s="533"/>
      <c r="CB179" s="533"/>
      <c r="CC179" s="533"/>
      <c r="CD179" s="533"/>
      <c r="CE179" s="533"/>
      <c r="CF179" s="533"/>
      <c r="CG179" s="533"/>
      <c r="CH179" s="533"/>
      <c r="CI179" s="533"/>
      <c r="CJ179" s="533"/>
      <c r="CK179" s="533"/>
      <c r="CL179" s="533"/>
      <c r="CM179" s="533"/>
      <c r="CN179" s="533"/>
      <c r="CO179" s="533"/>
      <c r="CP179" s="533"/>
      <c r="CQ179" s="533"/>
      <c r="CR179" s="533"/>
      <c r="CS179" s="533"/>
      <c r="CT179" s="533"/>
      <c r="CU179" s="533"/>
      <c r="CV179" s="533"/>
      <c r="CW179" s="533"/>
      <c r="CX179" s="533"/>
      <c r="CY179" s="533"/>
      <c r="CZ179" s="533"/>
      <c r="DA179" s="533"/>
      <c r="DB179" s="533"/>
      <c r="DC179" s="533"/>
      <c r="DD179" s="533"/>
      <c r="DE179" s="533"/>
      <c r="DF179" s="533"/>
      <c r="DG179" s="533"/>
      <c r="DH179" s="533"/>
      <c r="DI179" s="533"/>
      <c r="DJ179" s="533"/>
      <c r="DK179" s="533"/>
      <c r="DL179" s="533"/>
      <c r="DM179" s="533"/>
      <c r="DN179" s="533"/>
      <c r="DO179" s="533"/>
      <c r="DP179" s="533"/>
      <c r="DQ179" s="533"/>
      <c r="DR179" s="533"/>
      <c r="DS179" s="533"/>
      <c r="DT179" s="533"/>
      <c r="DU179" s="533"/>
      <c r="DV179" s="533"/>
      <c r="DW179" s="533"/>
      <c r="DX179" s="533"/>
      <c r="DY179" s="533"/>
      <c r="DZ179" s="533"/>
      <c r="EA179" s="533"/>
      <c r="EB179" s="533"/>
      <c r="EC179" s="533"/>
      <c r="ED179" s="533"/>
      <c r="EE179" s="533"/>
      <c r="EF179" s="533"/>
      <c r="EG179" s="533"/>
      <c r="EH179" s="533"/>
      <c r="EI179" s="533"/>
      <c r="EJ179" s="533"/>
      <c r="EK179" s="533"/>
      <c r="EL179" s="533"/>
      <c r="EM179" s="533"/>
      <c r="EN179" s="533"/>
      <c r="EO179" s="533"/>
      <c r="EP179" s="533"/>
      <c r="EQ179" s="533"/>
      <c r="ER179" s="533"/>
      <c r="ES179" s="533"/>
      <c r="ET179" s="533"/>
      <c r="EU179" s="533"/>
      <c r="EV179" s="533"/>
      <c r="EW179" s="533"/>
      <c r="EX179" s="533"/>
      <c r="EY179" s="533"/>
      <c r="EZ179" s="533"/>
      <c r="FA179" s="533"/>
      <c r="FB179" s="533"/>
      <c r="FC179" s="533"/>
      <c r="FD179" s="533"/>
      <c r="FE179" s="533"/>
      <c r="FF179" s="533"/>
      <c r="FG179" s="533"/>
      <c r="FH179" s="533"/>
      <c r="FI179" s="533"/>
      <c r="FJ179" s="533"/>
      <c r="FK179" s="533"/>
      <c r="FL179" s="533"/>
      <c r="FM179" s="533"/>
      <c r="FN179" s="533"/>
      <c r="FO179" s="533"/>
      <c r="FP179" s="533"/>
      <c r="FQ179" s="533"/>
      <c r="FR179" s="533"/>
      <c r="FS179" s="533"/>
      <c r="FT179" s="533"/>
      <c r="FU179" s="533"/>
      <c r="FV179" s="533"/>
      <c r="FW179" s="533"/>
      <c r="FX179" s="533"/>
      <c r="FY179" s="533"/>
      <c r="FZ179" s="533"/>
      <c r="GA179" s="533"/>
      <c r="GB179" s="533"/>
      <c r="GC179" s="533"/>
      <c r="GD179" s="533"/>
      <c r="GE179" s="533"/>
      <c r="GF179" s="533"/>
      <c r="GG179" s="533"/>
      <c r="GH179" s="533"/>
      <c r="GI179" s="533"/>
      <c r="GJ179" s="533"/>
      <c r="GK179" s="533"/>
      <c r="GL179" s="533"/>
      <c r="GM179" s="533"/>
      <c r="GN179" s="533"/>
      <c r="GO179" s="533"/>
      <c r="GP179" s="533"/>
      <c r="GQ179" s="533"/>
      <c r="GR179" s="533"/>
      <c r="GS179" s="533"/>
      <c r="GT179" s="533"/>
      <c r="GU179" s="533"/>
      <c r="GV179" s="533"/>
      <c r="GW179" s="533"/>
      <c r="GX179" s="533"/>
      <c r="GY179" s="533"/>
      <c r="GZ179" s="533"/>
      <c r="HA179" s="533"/>
      <c r="HB179" s="534"/>
    </row>
    <row r="180" spans="1:210" ht="20.100000000000001" customHeight="1">
      <c r="A180" s="164"/>
      <c r="B180" s="306" t="s">
        <v>1462</v>
      </c>
      <c r="C180" s="503"/>
      <c r="D180" s="503"/>
      <c r="E180" s="503"/>
      <c r="F180" s="503"/>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c r="AF180" s="326"/>
      <c r="AG180" s="326"/>
      <c r="AH180" s="326"/>
      <c r="AI180" s="326"/>
      <c r="AJ180" s="326"/>
      <c r="AK180" s="326"/>
      <c r="AL180" s="326"/>
      <c r="AM180" s="326"/>
      <c r="AN180" s="326"/>
      <c r="AO180" s="531"/>
      <c r="AP180" s="531"/>
      <c r="AQ180" s="532"/>
      <c r="AR180" s="532"/>
      <c r="AS180" s="532"/>
      <c r="AT180" s="532"/>
      <c r="AU180" s="532"/>
      <c r="AV180" s="532"/>
      <c r="AW180" s="326"/>
      <c r="AX180" s="326"/>
      <c r="AY180" s="326"/>
      <c r="AZ180" s="326"/>
      <c r="BA180" s="326"/>
      <c r="BB180" s="326"/>
      <c r="BC180" s="326"/>
      <c r="BD180" s="326"/>
      <c r="BE180" s="326"/>
      <c r="BF180" s="326"/>
      <c r="BG180" s="326"/>
      <c r="BH180" s="326"/>
      <c r="BI180" s="326"/>
      <c r="BJ180" s="326"/>
      <c r="BK180" s="326"/>
      <c r="BL180" s="326"/>
      <c r="BM180" s="326"/>
      <c r="BN180" s="326"/>
      <c r="BO180" s="326"/>
      <c r="BP180" s="326"/>
      <c r="BQ180" s="532"/>
      <c r="BR180" s="532"/>
      <c r="BS180" s="532"/>
      <c r="BT180" s="532"/>
      <c r="BU180" s="532"/>
      <c r="BV180" s="532"/>
      <c r="BW180" s="533"/>
      <c r="BX180" s="533"/>
      <c r="BY180" s="533"/>
      <c r="BZ180" s="533"/>
      <c r="CA180" s="533"/>
      <c r="CB180" s="533"/>
      <c r="CC180" s="533"/>
      <c r="CD180" s="533"/>
      <c r="CE180" s="533"/>
      <c r="CF180" s="533"/>
      <c r="CG180" s="533"/>
      <c r="CH180" s="533"/>
      <c r="CI180" s="533"/>
      <c r="CJ180" s="533"/>
      <c r="CK180" s="533"/>
      <c r="CL180" s="533"/>
      <c r="CM180" s="533"/>
      <c r="CN180" s="533"/>
      <c r="CO180" s="533"/>
      <c r="CP180" s="533"/>
      <c r="CQ180" s="533"/>
      <c r="CR180" s="533"/>
      <c r="CS180" s="533"/>
      <c r="CT180" s="533"/>
      <c r="CU180" s="533"/>
      <c r="CV180" s="533"/>
      <c r="CW180" s="533"/>
      <c r="CX180" s="533"/>
      <c r="CY180" s="533"/>
      <c r="CZ180" s="533"/>
      <c r="DA180" s="533"/>
      <c r="DB180" s="533"/>
      <c r="DC180" s="533"/>
      <c r="DD180" s="533"/>
      <c r="DE180" s="533"/>
      <c r="DF180" s="533"/>
      <c r="DG180" s="533"/>
      <c r="DH180" s="533"/>
      <c r="DI180" s="533"/>
      <c r="DJ180" s="533"/>
      <c r="DK180" s="533"/>
      <c r="DL180" s="533"/>
      <c r="DM180" s="533"/>
      <c r="DN180" s="533"/>
      <c r="DO180" s="533"/>
      <c r="DP180" s="533"/>
      <c r="DQ180" s="533"/>
      <c r="DR180" s="533"/>
      <c r="DS180" s="533"/>
      <c r="DT180" s="533"/>
      <c r="DU180" s="533"/>
      <c r="DV180" s="533"/>
      <c r="DW180" s="533"/>
      <c r="DX180" s="533"/>
      <c r="DY180" s="533"/>
      <c r="DZ180" s="533"/>
      <c r="EA180" s="533"/>
      <c r="EB180" s="533"/>
      <c r="EC180" s="533"/>
      <c r="ED180" s="533"/>
      <c r="EE180" s="533"/>
      <c r="EF180" s="533"/>
      <c r="EG180" s="533"/>
      <c r="EH180" s="533"/>
      <c r="EI180" s="533"/>
      <c r="EJ180" s="533"/>
      <c r="EK180" s="533"/>
      <c r="EL180" s="533"/>
      <c r="EM180" s="533"/>
      <c r="EN180" s="533"/>
      <c r="EO180" s="533"/>
      <c r="EP180" s="533"/>
      <c r="EQ180" s="533"/>
      <c r="ER180" s="533"/>
      <c r="ES180" s="533"/>
      <c r="ET180" s="533"/>
      <c r="EU180" s="533"/>
      <c r="EV180" s="533"/>
      <c r="EW180" s="533"/>
      <c r="EX180" s="533"/>
      <c r="EY180" s="533"/>
      <c r="EZ180" s="533"/>
      <c r="FA180" s="533"/>
      <c r="FB180" s="533"/>
      <c r="FC180" s="533"/>
      <c r="FD180" s="533"/>
      <c r="FE180" s="533"/>
      <c r="FF180" s="533"/>
      <c r="FG180" s="533"/>
      <c r="FH180" s="533"/>
      <c r="FI180" s="533"/>
      <c r="FJ180" s="533"/>
      <c r="FK180" s="533"/>
      <c r="FL180" s="533"/>
      <c r="FM180" s="533"/>
      <c r="FN180" s="533"/>
      <c r="FO180" s="533"/>
      <c r="FP180" s="533"/>
      <c r="FQ180" s="533"/>
      <c r="FR180" s="533"/>
      <c r="FS180" s="533"/>
      <c r="FT180" s="533"/>
      <c r="FU180" s="533"/>
      <c r="FV180" s="533"/>
      <c r="FW180" s="533"/>
      <c r="FX180" s="533"/>
      <c r="FY180" s="533"/>
      <c r="FZ180" s="533"/>
      <c r="GA180" s="533"/>
      <c r="GB180" s="533"/>
      <c r="GC180" s="533"/>
      <c r="GD180" s="533"/>
      <c r="GE180" s="533"/>
      <c r="GF180" s="533"/>
      <c r="GG180" s="533"/>
      <c r="GH180" s="533"/>
      <c r="GI180" s="533"/>
      <c r="GJ180" s="533"/>
      <c r="GK180" s="533"/>
      <c r="GL180" s="533"/>
      <c r="GM180" s="533"/>
      <c r="GN180" s="533"/>
      <c r="GO180" s="533"/>
      <c r="GP180" s="533"/>
      <c r="GQ180" s="533"/>
      <c r="GR180" s="533"/>
      <c r="GS180" s="533"/>
      <c r="GT180" s="533"/>
      <c r="GU180" s="533"/>
      <c r="GV180" s="533"/>
      <c r="GW180" s="533"/>
      <c r="GX180" s="533"/>
      <c r="GY180" s="533"/>
      <c r="GZ180" s="533"/>
      <c r="HA180" s="533"/>
      <c r="HB180" s="534"/>
    </row>
    <row r="181" spans="1:210" ht="20.100000000000001" customHeight="1">
      <c r="A181" s="164"/>
      <c r="B181" s="306" t="s">
        <v>1463</v>
      </c>
      <c r="C181" s="503"/>
      <c r="D181" s="503"/>
      <c r="E181" s="503"/>
      <c r="F181" s="503"/>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6"/>
      <c r="AD181" s="326"/>
      <c r="AE181" s="326"/>
      <c r="AF181" s="326"/>
      <c r="AG181" s="326"/>
      <c r="AH181" s="326"/>
      <c r="AI181" s="326"/>
      <c r="AJ181" s="326"/>
      <c r="AK181" s="326"/>
      <c r="AL181" s="326"/>
      <c r="AM181" s="326"/>
      <c r="AN181" s="326"/>
      <c r="AO181" s="531"/>
      <c r="AP181" s="531"/>
      <c r="AQ181" s="532"/>
      <c r="AR181" s="532"/>
      <c r="AS181" s="532"/>
      <c r="AT181" s="532"/>
      <c r="AU181" s="532"/>
      <c r="AV181" s="532"/>
      <c r="AW181" s="326"/>
      <c r="AX181" s="326"/>
      <c r="AY181" s="326"/>
      <c r="AZ181" s="326"/>
      <c r="BA181" s="326"/>
      <c r="BB181" s="326"/>
      <c r="BC181" s="326"/>
      <c r="BD181" s="326"/>
      <c r="BE181" s="326"/>
      <c r="BF181" s="326"/>
      <c r="BG181" s="326"/>
      <c r="BH181" s="326"/>
      <c r="BI181" s="326"/>
      <c r="BJ181" s="326"/>
      <c r="BK181" s="326"/>
      <c r="BL181" s="326"/>
      <c r="BM181" s="326"/>
      <c r="BN181" s="326"/>
      <c r="BO181" s="326"/>
      <c r="BP181" s="326"/>
      <c r="BQ181" s="532"/>
      <c r="BR181" s="532"/>
      <c r="BS181" s="532"/>
      <c r="BT181" s="532"/>
      <c r="BU181" s="532"/>
      <c r="BV181" s="532"/>
      <c r="BW181" s="533"/>
      <c r="BX181" s="533"/>
      <c r="BY181" s="533"/>
      <c r="BZ181" s="533"/>
      <c r="CA181" s="533"/>
      <c r="CB181" s="533"/>
      <c r="CC181" s="533"/>
      <c r="CD181" s="533"/>
      <c r="CE181" s="533"/>
      <c r="CF181" s="533"/>
      <c r="CG181" s="533"/>
      <c r="CH181" s="533"/>
      <c r="CI181" s="533"/>
      <c r="CJ181" s="533"/>
      <c r="CK181" s="533"/>
      <c r="CL181" s="533"/>
      <c r="CM181" s="533"/>
      <c r="CN181" s="533"/>
      <c r="CO181" s="533"/>
      <c r="CP181" s="533"/>
      <c r="CQ181" s="533"/>
      <c r="CR181" s="533"/>
      <c r="CS181" s="533"/>
      <c r="CT181" s="533"/>
      <c r="CU181" s="533"/>
      <c r="CV181" s="533"/>
      <c r="CW181" s="533"/>
      <c r="CX181" s="533"/>
      <c r="CY181" s="533"/>
      <c r="CZ181" s="533"/>
      <c r="DA181" s="533"/>
      <c r="DB181" s="533"/>
      <c r="DC181" s="533"/>
      <c r="DD181" s="533"/>
      <c r="DE181" s="533"/>
      <c r="DF181" s="533"/>
      <c r="DG181" s="533"/>
      <c r="DH181" s="533"/>
      <c r="DI181" s="533"/>
      <c r="DJ181" s="533"/>
      <c r="DK181" s="533"/>
      <c r="DL181" s="533"/>
      <c r="DM181" s="533"/>
      <c r="DN181" s="533"/>
      <c r="DO181" s="533"/>
      <c r="DP181" s="533"/>
      <c r="DQ181" s="533"/>
      <c r="DR181" s="533"/>
      <c r="DS181" s="533"/>
      <c r="DT181" s="533"/>
      <c r="DU181" s="533"/>
      <c r="DV181" s="533"/>
      <c r="DW181" s="533"/>
      <c r="DX181" s="533"/>
      <c r="DY181" s="533"/>
      <c r="DZ181" s="533"/>
      <c r="EA181" s="533"/>
      <c r="EB181" s="533"/>
      <c r="EC181" s="533"/>
      <c r="ED181" s="533"/>
      <c r="EE181" s="533"/>
      <c r="EF181" s="533"/>
      <c r="EG181" s="533"/>
      <c r="EH181" s="533"/>
      <c r="EI181" s="533"/>
      <c r="EJ181" s="533"/>
      <c r="EK181" s="533"/>
      <c r="EL181" s="533"/>
      <c r="EM181" s="533"/>
      <c r="EN181" s="533"/>
      <c r="EO181" s="533"/>
      <c r="EP181" s="533"/>
      <c r="EQ181" s="533"/>
      <c r="ER181" s="533"/>
      <c r="ES181" s="533"/>
      <c r="ET181" s="533"/>
      <c r="EU181" s="533"/>
      <c r="EV181" s="533"/>
      <c r="EW181" s="533"/>
      <c r="EX181" s="533"/>
      <c r="EY181" s="533"/>
      <c r="EZ181" s="533"/>
      <c r="FA181" s="533"/>
      <c r="FB181" s="533"/>
      <c r="FC181" s="533"/>
      <c r="FD181" s="533"/>
      <c r="FE181" s="533"/>
      <c r="FF181" s="533"/>
      <c r="FG181" s="533"/>
      <c r="FH181" s="533"/>
      <c r="FI181" s="533"/>
      <c r="FJ181" s="533"/>
      <c r="FK181" s="533"/>
      <c r="FL181" s="533"/>
      <c r="FM181" s="533"/>
      <c r="FN181" s="533"/>
      <c r="FO181" s="533"/>
      <c r="FP181" s="533"/>
      <c r="FQ181" s="533"/>
      <c r="FR181" s="533"/>
      <c r="FS181" s="533"/>
      <c r="FT181" s="533"/>
      <c r="FU181" s="533"/>
      <c r="FV181" s="533"/>
      <c r="FW181" s="533"/>
      <c r="FX181" s="533"/>
      <c r="FY181" s="533"/>
      <c r="FZ181" s="533"/>
      <c r="GA181" s="533"/>
      <c r="GB181" s="533"/>
      <c r="GC181" s="533"/>
      <c r="GD181" s="533"/>
      <c r="GE181" s="533"/>
      <c r="GF181" s="533"/>
      <c r="GG181" s="533"/>
      <c r="GH181" s="533"/>
      <c r="GI181" s="533"/>
      <c r="GJ181" s="533"/>
      <c r="GK181" s="533"/>
      <c r="GL181" s="533"/>
      <c r="GM181" s="533"/>
      <c r="GN181" s="533"/>
      <c r="GO181" s="533"/>
      <c r="GP181" s="533"/>
      <c r="GQ181" s="533"/>
      <c r="GR181" s="533"/>
      <c r="GS181" s="533"/>
      <c r="GT181" s="533"/>
      <c r="GU181" s="533"/>
      <c r="GV181" s="533"/>
      <c r="GW181" s="533"/>
      <c r="GX181" s="533"/>
      <c r="GY181" s="533"/>
      <c r="GZ181" s="533"/>
      <c r="HA181" s="533"/>
      <c r="HB181" s="534"/>
    </row>
    <row r="182" spans="1:210" ht="20.100000000000001" customHeight="1">
      <c r="A182" s="164"/>
      <c r="B182" s="306" t="s">
        <v>1464</v>
      </c>
      <c r="C182" s="503"/>
      <c r="D182" s="503"/>
      <c r="E182" s="503"/>
      <c r="F182" s="503"/>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6"/>
      <c r="AD182" s="326"/>
      <c r="AE182" s="326"/>
      <c r="AF182" s="326"/>
      <c r="AG182" s="326"/>
      <c r="AH182" s="326"/>
      <c r="AI182" s="326"/>
      <c r="AJ182" s="326"/>
      <c r="AK182" s="326"/>
      <c r="AL182" s="326"/>
      <c r="AM182" s="326"/>
      <c r="AN182" s="326"/>
      <c r="AO182" s="531"/>
      <c r="AP182" s="531"/>
      <c r="AQ182" s="532"/>
      <c r="AR182" s="532"/>
      <c r="AS182" s="532"/>
      <c r="AT182" s="532"/>
      <c r="AU182" s="532"/>
      <c r="AV182" s="532"/>
      <c r="AW182" s="326"/>
      <c r="AX182" s="326"/>
      <c r="AY182" s="326"/>
      <c r="AZ182" s="326"/>
      <c r="BA182" s="326"/>
      <c r="BB182" s="326"/>
      <c r="BC182" s="326"/>
      <c r="BD182" s="326"/>
      <c r="BE182" s="326"/>
      <c r="BF182" s="326"/>
      <c r="BG182" s="326"/>
      <c r="BH182" s="326"/>
      <c r="BI182" s="326"/>
      <c r="BJ182" s="326"/>
      <c r="BK182" s="326"/>
      <c r="BL182" s="326"/>
      <c r="BM182" s="326"/>
      <c r="BN182" s="326"/>
      <c r="BO182" s="326"/>
      <c r="BP182" s="326"/>
      <c r="BQ182" s="532"/>
      <c r="BR182" s="532"/>
      <c r="BS182" s="532"/>
      <c r="BT182" s="532"/>
      <c r="BU182" s="532"/>
      <c r="BV182" s="532"/>
      <c r="BW182" s="533"/>
      <c r="BX182" s="533"/>
      <c r="BY182" s="533"/>
      <c r="BZ182" s="533"/>
      <c r="CA182" s="533"/>
      <c r="CB182" s="533"/>
      <c r="CC182" s="533"/>
      <c r="CD182" s="533"/>
      <c r="CE182" s="533"/>
      <c r="CF182" s="533"/>
      <c r="CG182" s="533"/>
      <c r="CH182" s="533"/>
      <c r="CI182" s="533"/>
      <c r="CJ182" s="533"/>
      <c r="CK182" s="533"/>
      <c r="CL182" s="533"/>
      <c r="CM182" s="533"/>
      <c r="CN182" s="533"/>
      <c r="CO182" s="533"/>
      <c r="CP182" s="533"/>
      <c r="CQ182" s="533"/>
      <c r="CR182" s="533"/>
      <c r="CS182" s="533"/>
      <c r="CT182" s="533"/>
      <c r="CU182" s="533"/>
      <c r="CV182" s="533"/>
      <c r="CW182" s="533"/>
      <c r="CX182" s="533"/>
      <c r="CY182" s="533"/>
      <c r="CZ182" s="533"/>
      <c r="DA182" s="533"/>
      <c r="DB182" s="533"/>
      <c r="DC182" s="533"/>
      <c r="DD182" s="533"/>
      <c r="DE182" s="533"/>
      <c r="DF182" s="533"/>
      <c r="DG182" s="533"/>
      <c r="DH182" s="533"/>
      <c r="DI182" s="533"/>
      <c r="DJ182" s="533"/>
      <c r="DK182" s="533"/>
      <c r="DL182" s="533"/>
      <c r="DM182" s="533"/>
      <c r="DN182" s="533"/>
      <c r="DO182" s="533"/>
      <c r="DP182" s="533"/>
      <c r="DQ182" s="533"/>
      <c r="DR182" s="533"/>
      <c r="DS182" s="533"/>
      <c r="DT182" s="533"/>
      <c r="DU182" s="533"/>
      <c r="DV182" s="533"/>
      <c r="DW182" s="533"/>
      <c r="DX182" s="533"/>
      <c r="DY182" s="533"/>
      <c r="DZ182" s="533"/>
      <c r="EA182" s="533"/>
      <c r="EB182" s="533"/>
      <c r="EC182" s="533"/>
      <c r="ED182" s="533"/>
      <c r="EE182" s="533"/>
      <c r="EF182" s="533"/>
      <c r="EG182" s="533"/>
      <c r="EH182" s="533"/>
      <c r="EI182" s="533"/>
      <c r="EJ182" s="533"/>
      <c r="EK182" s="533"/>
      <c r="EL182" s="533"/>
      <c r="EM182" s="533"/>
      <c r="EN182" s="533"/>
      <c r="EO182" s="533"/>
      <c r="EP182" s="533"/>
      <c r="EQ182" s="533"/>
      <c r="ER182" s="533"/>
      <c r="ES182" s="533"/>
      <c r="ET182" s="533"/>
      <c r="EU182" s="533"/>
      <c r="EV182" s="533"/>
      <c r="EW182" s="533"/>
      <c r="EX182" s="533"/>
      <c r="EY182" s="533"/>
      <c r="EZ182" s="533"/>
      <c r="FA182" s="533"/>
      <c r="FB182" s="533"/>
      <c r="FC182" s="533"/>
      <c r="FD182" s="533"/>
      <c r="FE182" s="533"/>
      <c r="FF182" s="533"/>
      <c r="FG182" s="533"/>
      <c r="FH182" s="533"/>
      <c r="FI182" s="533"/>
      <c r="FJ182" s="533"/>
      <c r="FK182" s="533"/>
      <c r="FL182" s="533"/>
      <c r="FM182" s="533"/>
      <c r="FN182" s="533"/>
      <c r="FO182" s="533"/>
      <c r="FP182" s="533"/>
      <c r="FQ182" s="533"/>
      <c r="FR182" s="533"/>
      <c r="FS182" s="533"/>
      <c r="FT182" s="533"/>
      <c r="FU182" s="533"/>
      <c r="FV182" s="533"/>
      <c r="FW182" s="533"/>
      <c r="FX182" s="533"/>
      <c r="FY182" s="533"/>
      <c r="FZ182" s="533"/>
      <c r="GA182" s="533"/>
      <c r="GB182" s="533"/>
      <c r="GC182" s="533"/>
      <c r="GD182" s="533"/>
      <c r="GE182" s="533"/>
      <c r="GF182" s="533"/>
      <c r="GG182" s="533"/>
      <c r="GH182" s="533"/>
      <c r="GI182" s="533"/>
      <c r="GJ182" s="533"/>
      <c r="GK182" s="533"/>
      <c r="GL182" s="533"/>
      <c r="GM182" s="533"/>
      <c r="GN182" s="533"/>
      <c r="GO182" s="533"/>
      <c r="GP182" s="533"/>
      <c r="GQ182" s="533"/>
      <c r="GR182" s="533"/>
      <c r="GS182" s="533"/>
      <c r="GT182" s="533"/>
      <c r="GU182" s="533"/>
      <c r="GV182" s="533"/>
      <c r="GW182" s="533"/>
      <c r="GX182" s="533"/>
      <c r="GY182" s="533"/>
      <c r="GZ182" s="533"/>
      <c r="HA182" s="533"/>
      <c r="HB182" s="534"/>
    </row>
    <row r="183" spans="1:210" ht="20.100000000000001" customHeight="1">
      <c r="A183" s="164"/>
      <c r="B183" s="306" t="s">
        <v>1465</v>
      </c>
      <c r="C183" s="503"/>
      <c r="D183" s="503"/>
      <c r="E183" s="503"/>
      <c r="F183" s="503"/>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6"/>
      <c r="AD183" s="326"/>
      <c r="AE183" s="326"/>
      <c r="AF183" s="326"/>
      <c r="AG183" s="326"/>
      <c r="AH183" s="326"/>
      <c r="AI183" s="326"/>
      <c r="AJ183" s="326"/>
      <c r="AK183" s="326"/>
      <c r="AL183" s="326"/>
      <c r="AM183" s="326"/>
      <c r="AN183" s="326"/>
      <c r="AO183" s="531"/>
      <c r="AP183" s="531"/>
      <c r="AQ183" s="532"/>
      <c r="AR183" s="532"/>
      <c r="AS183" s="532"/>
      <c r="AT183" s="532"/>
      <c r="AU183" s="532"/>
      <c r="AV183" s="532"/>
      <c r="AW183" s="326"/>
      <c r="AX183" s="326"/>
      <c r="AY183" s="326"/>
      <c r="AZ183" s="326"/>
      <c r="BA183" s="326"/>
      <c r="BB183" s="326"/>
      <c r="BC183" s="326"/>
      <c r="BD183" s="326"/>
      <c r="BE183" s="326"/>
      <c r="BF183" s="326"/>
      <c r="BG183" s="326"/>
      <c r="BH183" s="326"/>
      <c r="BI183" s="326"/>
      <c r="BJ183" s="326"/>
      <c r="BK183" s="326"/>
      <c r="BL183" s="326"/>
      <c r="BM183" s="326"/>
      <c r="BN183" s="326"/>
      <c r="BO183" s="326"/>
      <c r="BP183" s="326"/>
      <c r="BQ183" s="532"/>
      <c r="BR183" s="532"/>
      <c r="BS183" s="532"/>
      <c r="BT183" s="532"/>
      <c r="BU183" s="532"/>
      <c r="BV183" s="532"/>
      <c r="BW183" s="533"/>
      <c r="BX183" s="533"/>
      <c r="BY183" s="533"/>
      <c r="BZ183" s="533"/>
      <c r="CA183" s="533"/>
      <c r="CB183" s="533"/>
      <c r="CC183" s="533"/>
      <c r="CD183" s="533"/>
      <c r="CE183" s="533"/>
      <c r="CF183" s="533"/>
      <c r="CG183" s="533"/>
      <c r="CH183" s="533"/>
      <c r="CI183" s="533"/>
      <c r="CJ183" s="533"/>
      <c r="CK183" s="533"/>
      <c r="CL183" s="533"/>
      <c r="CM183" s="533"/>
      <c r="CN183" s="533"/>
      <c r="CO183" s="533"/>
      <c r="CP183" s="533"/>
      <c r="CQ183" s="533"/>
      <c r="CR183" s="533"/>
      <c r="CS183" s="533"/>
      <c r="CT183" s="533"/>
      <c r="CU183" s="533"/>
      <c r="CV183" s="533"/>
      <c r="CW183" s="533"/>
      <c r="CX183" s="533"/>
      <c r="CY183" s="533"/>
      <c r="CZ183" s="533"/>
      <c r="DA183" s="533"/>
      <c r="DB183" s="533"/>
      <c r="DC183" s="533"/>
      <c r="DD183" s="533"/>
      <c r="DE183" s="533"/>
      <c r="DF183" s="533"/>
      <c r="DG183" s="533"/>
      <c r="DH183" s="533"/>
      <c r="DI183" s="533"/>
      <c r="DJ183" s="533"/>
      <c r="DK183" s="533"/>
      <c r="DL183" s="533"/>
      <c r="DM183" s="533"/>
      <c r="DN183" s="533"/>
      <c r="DO183" s="533"/>
      <c r="DP183" s="533"/>
      <c r="DQ183" s="533"/>
      <c r="DR183" s="533"/>
      <c r="DS183" s="533"/>
      <c r="DT183" s="533"/>
      <c r="DU183" s="533"/>
      <c r="DV183" s="533"/>
      <c r="DW183" s="533"/>
      <c r="DX183" s="533"/>
      <c r="DY183" s="533"/>
      <c r="DZ183" s="533"/>
      <c r="EA183" s="533"/>
      <c r="EB183" s="533"/>
      <c r="EC183" s="533"/>
      <c r="ED183" s="533"/>
      <c r="EE183" s="533"/>
      <c r="EF183" s="533"/>
      <c r="EG183" s="533"/>
      <c r="EH183" s="533"/>
      <c r="EI183" s="533"/>
      <c r="EJ183" s="533"/>
      <c r="EK183" s="533"/>
      <c r="EL183" s="533"/>
      <c r="EM183" s="533"/>
      <c r="EN183" s="533"/>
      <c r="EO183" s="533"/>
      <c r="EP183" s="533"/>
      <c r="EQ183" s="533"/>
      <c r="ER183" s="533"/>
      <c r="ES183" s="533"/>
      <c r="ET183" s="533"/>
      <c r="EU183" s="533"/>
      <c r="EV183" s="533"/>
      <c r="EW183" s="533"/>
      <c r="EX183" s="533"/>
      <c r="EY183" s="533"/>
      <c r="EZ183" s="533"/>
      <c r="FA183" s="533"/>
      <c r="FB183" s="533"/>
      <c r="FC183" s="533"/>
      <c r="FD183" s="533"/>
      <c r="FE183" s="533"/>
      <c r="FF183" s="533"/>
      <c r="FG183" s="533"/>
      <c r="FH183" s="533"/>
      <c r="FI183" s="533"/>
      <c r="FJ183" s="533"/>
      <c r="FK183" s="533"/>
      <c r="FL183" s="533"/>
      <c r="FM183" s="533"/>
      <c r="FN183" s="533"/>
      <c r="FO183" s="533"/>
      <c r="FP183" s="533"/>
      <c r="FQ183" s="533"/>
      <c r="FR183" s="533"/>
      <c r="FS183" s="533"/>
      <c r="FT183" s="533"/>
      <c r="FU183" s="533"/>
      <c r="FV183" s="533"/>
      <c r="FW183" s="533"/>
      <c r="FX183" s="533"/>
      <c r="FY183" s="533"/>
      <c r="FZ183" s="533"/>
      <c r="GA183" s="533"/>
      <c r="GB183" s="533"/>
      <c r="GC183" s="533"/>
      <c r="GD183" s="533"/>
      <c r="GE183" s="533"/>
      <c r="GF183" s="533"/>
      <c r="GG183" s="533"/>
      <c r="GH183" s="533"/>
      <c r="GI183" s="533"/>
      <c r="GJ183" s="533"/>
      <c r="GK183" s="533"/>
      <c r="GL183" s="533"/>
      <c r="GM183" s="533"/>
      <c r="GN183" s="533"/>
      <c r="GO183" s="533"/>
      <c r="GP183" s="533"/>
      <c r="GQ183" s="533"/>
      <c r="GR183" s="533"/>
      <c r="GS183" s="533"/>
      <c r="GT183" s="533"/>
      <c r="GU183" s="533"/>
      <c r="GV183" s="533"/>
      <c r="GW183" s="533"/>
      <c r="GX183" s="533"/>
      <c r="GY183" s="533"/>
      <c r="GZ183" s="533"/>
      <c r="HA183" s="533"/>
      <c r="HB183" s="534"/>
    </row>
    <row r="184" spans="1:210" ht="20.100000000000001" customHeight="1">
      <c r="A184" s="164"/>
      <c r="B184" s="306" t="s">
        <v>1466</v>
      </c>
      <c r="C184" s="503"/>
      <c r="D184" s="503"/>
      <c r="E184" s="503"/>
      <c r="F184" s="503"/>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6"/>
      <c r="AD184" s="326"/>
      <c r="AE184" s="326"/>
      <c r="AF184" s="326"/>
      <c r="AG184" s="326"/>
      <c r="AH184" s="326"/>
      <c r="AI184" s="326"/>
      <c r="AJ184" s="326"/>
      <c r="AK184" s="326"/>
      <c r="AL184" s="326"/>
      <c r="AM184" s="326"/>
      <c r="AN184" s="326"/>
      <c r="AO184" s="531"/>
      <c r="AP184" s="531"/>
      <c r="AQ184" s="532"/>
      <c r="AR184" s="532"/>
      <c r="AS184" s="532"/>
      <c r="AT184" s="532"/>
      <c r="AU184" s="532"/>
      <c r="AV184" s="532"/>
      <c r="AW184" s="326"/>
      <c r="AX184" s="326"/>
      <c r="AY184" s="326"/>
      <c r="AZ184" s="326"/>
      <c r="BA184" s="326"/>
      <c r="BB184" s="326"/>
      <c r="BC184" s="326"/>
      <c r="BD184" s="326"/>
      <c r="BE184" s="326"/>
      <c r="BF184" s="326"/>
      <c r="BG184" s="326"/>
      <c r="BH184" s="326"/>
      <c r="BI184" s="326"/>
      <c r="BJ184" s="326"/>
      <c r="BK184" s="326"/>
      <c r="BL184" s="326"/>
      <c r="BM184" s="326"/>
      <c r="BN184" s="326"/>
      <c r="BO184" s="326"/>
      <c r="BP184" s="326"/>
      <c r="BQ184" s="532"/>
      <c r="BR184" s="532"/>
      <c r="BS184" s="532"/>
      <c r="BT184" s="532"/>
      <c r="BU184" s="532"/>
      <c r="BV184" s="532"/>
      <c r="BW184" s="533"/>
      <c r="BX184" s="533"/>
      <c r="BY184" s="533"/>
      <c r="BZ184" s="533"/>
      <c r="CA184" s="533"/>
      <c r="CB184" s="533"/>
      <c r="CC184" s="533"/>
      <c r="CD184" s="533"/>
      <c r="CE184" s="533"/>
      <c r="CF184" s="533"/>
      <c r="CG184" s="533"/>
      <c r="CH184" s="533"/>
      <c r="CI184" s="533"/>
      <c r="CJ184" s="533"/>
      <c r="CK184" s="533"/>
      <c r="CL184" s="533"/>
      <c r="CM184" s="533"/>
      <c r="CN184" s="533"/>
      <c r="CO184" s="533"/>
      <c r="CP184" s="533"/>
      <c r="CQ184" s="533"/>
      <c r="CR184" s="533"/>
      <c r="CS184" s="533"/>
      <c r="CT184" s="533"/>
      <c r="CU184" s="533"/>
      <c r="CV184" s="533"/>
      <c r="CW184" s="533"/>
      <c r="CX184" s="533"/>
      <c r="CY184" s="533"/>
      <c r="CZ184" s="533"/>
      <c r="DA184" s="533"/>
      <c r="DB184" s="533"/>
      <c r="DC184" s="533"/>
      <c r="DD184" s="533"/>
      <c r="DE184" s="533"/>
      <c r="DF184" s="533"/>
      <c r="DG184" s="533"/>
      <c r="DH184" s="533"/>
      <c r="DI184" s="533"/>
      <c r="DJ184" s="533"/>
      <c r="DK184" s="533"/>
      <c r="DL184" s="533"/>
      <c r="DM184" s="533"/>
      <c r="DN184" s="533"/>
      <c r="DO184" s="533"/>
      <c r="DP184" s="533"/>
      <c r="DQ184" s="533"/>
      <c r="DR184" s="533"/>
      <c r="DS184" s="533"/>
      <c r="DT184" s="533"/>
      <c r="DU184" s="533"/>
      <c r="DV184" s="533"/>
      <c r="DW184" s="533"/>
      <c r="DX184" s="533"/>
      <c r="DY184" s="533"/>
      <c r="DZ184" s="533"/>
      <c r="EA184" s="533"/>
      <c r="EB184" s="533"/>
      <c r="EC184" s="533"/>
      <c r="ED184" s="533"/>
      <c r="EE184" s="533"/>
      <c r="EF184" s="533"/>
      <c r="EG184" s="533"/>
      <c r="EH184" s="533"/>
      <c r="EI184" s="533"/>
      <c r="EJ184" s="533"/>
      <c r="EK184" s="533"/>
      <c r="EL184" s="533"/>
      <c r="EM184" s="533"/>
      <c r="EN184" s="533"/>
      <c r="EO184" s="533"/>
      <c r="EP184" s="533"/>
      <c r="EQ184" s="533"/>
      <c r="ER184" s="533"/>
      <c r="ES184" s="533"/>
      <c r="ET184" s="533"/>
      <c r="EU184" s="533"/>
      <c r="EV184" s="533"/>
      <c r="EW184" s="533"/>
      <c r="EX184" s="533"/>
      <c r="EY184" s="533"/>
      <c r="EZ184" s="533"/>
      <c r="FA184" s="533"/>
      <c r="FB184" s="533"/>
      <c r="FC184" s="533"/>
      <c r="FD184" s="533"/>
      <c r="FE184" s="533"/>
      <c r="FF184" s="533"/>
      <c r="FG184" s="533"/>
      <c r="FH184" s="533"/>
      <c r="FI184" s="533"/>
      <c r="FJ184" s="533"/>
      <c r="FK184" s="533"/>
      <c r="FL184" s="533"/>
      <c r="FM184" s="533"/>
      <c r="FN184" s="533"/>
      <c r="FO184" s="533"/>
      <c r="FP184" s="533"/>
      <c r="FQ184" s="533"/>
      <c r="FR184" s="533"/>
      <c r="FS184" s="533"/>
      <c r="FT184" s="533"/>
      <c r="FU184" s="533"/>
      <c r="FV184" s="533"/>
      <c r="FW184" s="533"/>
      <c r="FX184" s="533"/>
      <c r="FY184" s="533"/>
      <c r="FZ184" s="533"/>
      <c r="GA184" s="533"/>
      <c r="GB184" s="533"/>
      <c r="GC184" s="533"/>
      <c r="GD184" s="533"/>
      <c r="GE184" s="533"/>
      <c r="GF184" s="533"/>
      <c r="GG184" s="533"/>
      <c r="GH184" s="533"/>
      <c r="GI184" s="533"/>
      <c r="GJ184" s="533"/>
      <c r="GK184" s="533"/>
      <c r="GL184" s="533"/>
      <c r="GM184" s="533"/>
      <c r="GN184" s="533"/>
      <c r="GO184" s="533"/>
      <c r="GP184" s="533"/>
      <c r="GQ184" s="533"/>
      <c r="GR184" s="533"/>
      <c r="GS184" s="533"/>
      <c r="GT184" s="533"/>
      <c r="GU184" s="533"/>
      <c r="GV184" s="533"/>
      <c r="GW184" s="533"/>
      <c r="GX184" s="533"/>
      <c r="GY184" s="533"/>
      <c r="GZ184" s="533"/>
      <c r="HA184" s="533"/>
      <c r="HB184" s="534"/>
    </row>
    <row r="185" spans="1:210" ht="20.100000000000001" customHeight="1">
      <c r="A185" s="164"/>
      <c r="B185" s="306" t="s">
        <v>1467</v>
      </c>
      <c r="C185" s="503"/>
      <c r="D185" s="503"/>
      <c r="E185" s="503"/>
      <c r="F185" s="503"/>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c r="AF185" s="326"/>
      <c r="AG185" s="326"/>
      <c r="AH185" s="326"/>
      <c r="AI185" s="326"/>
      <c r="AJ185" s="326"/>
      <c r="AK185" s="326"/>
      <c r="AL185" s="326"/>
      <c r="AM185" s="326"/>
      <c r="AN185" s="326"/>
      <c r="AO185" s="531"/>
      <c r="AP185" s="531"/>
      <c r="AQ185" s="532"/>
      <c r="AR185" s="532"/>
      <c r="AS185" s="532"/>
      <c r="AT185" s="532"/>
      <c r="AU185" s="532"/>
      <c r="AV185" s="532"/>
      <c r="AW185" s="326"/>
      <c r="AX185" s="326"/>
      <c r="AY185" s="326"/>
      <c r="AZ185" s="326"/>
      <c r="BA185" s="326"/>
      <c r="BB185" s="326"/>
      <c r="BC185" s="326"/>
      <c r="BD185" s="326"/>
      <c r="BE185" s="326"/>
      <c r="BF185" s="326"/>
      <c r="BG185" s="326"/>
      <c r="BH185" s="326"/>
      <c r="BI185" s="326"/>
      <c r="BJ185" s="326"/>
      <c r="BK185" s="326"/>
      <c r="BL185" s="326"/>
      <c r="BM185" s="326"/>
      <c r="BN185" s="326"/>
      <c r="BO185" s="326"/>
      <c r="BP185" s="326"/>
      <c r="BQ185" s="532"/>
      <c r="BR185" s="532"/>
      <c r="BS185" s="532"/>
      <c r="BT185" s="532"/>
      <c r="BU185" s="532"/>
      <c r="BV185" s="532"/>
      <c r="BW185" s="533"/>
      <c r="BX185" s="533"/>
      <c r="BY185" s="533"/>
      <c r="BZ185" s="533"/>
      <c r="CA185" s="533"/>
      <c r="CB185" s="533"/>
      <c r="CC185" s="533"/>
      <c r="CD185" s="533"/>
      <c r="CE185" s="533"/>
      <c r="CF185" s="533"/>
      <c r="CG185" s="533"/>
      <c r="CH185" s="533"/>
      <c r="CI185" s="533"/>
      <c r="CJ185" s="533"/>
      <c r="CK185" s="533"/>
      <c r="CL185" s="533"/>
      <c r="CM185" s="533"/>
      <c r="CN185" s="533"/>
      <c r="CO185" s="533"/>
      <c r="CP185" s="533"/>
      <c r="CQ185" s="533"/>
      <c r="CR185" s="533"/>
      <c r="CS185" s="533"/>
      <c r="CT185" s="533"/>
      <c r="CU185" s="533"/>
      <c r="CV185" s="533"/>
      <c r="CW185" s="533"/>
      <c r="CX185" s="533"/>
      <c r="CY185" s="533"/>
      <c r="CZ185" s="533"/>
      <c r="DA185" s="533"/>
      <c r="DB185" s="533"/>
      <c r="DC185" s="533"/>
      <c r="DD185" s="533"/>
      <c r="DE185" s="533"/>
      <c r="DF185" s="533"/>
      <c r="DG185" s="533"/>
      <c r="DH185" s="533"/>
      <c r="DI185" s="533"/>
      <c r="DJ185" s="533"/>
      <c r="DK185" s="533"/>
      <c r="DL185" s="533"/>
      <c r="DM185" s="533"/>
      <c r="DN185" s="533"/>
      <c r="DO185" s="533"/>
      <c r="DP185" s="533"/>
      <c r="DQ185" s="533"/>
      <c r="DR185" s="533"/>
      <c r="DS185" s="533"/>
      <c r="DT185" s="533"/>
      <c r="DU185" s="533"/>
      <c r="DV185" s="533"/>
      <c r="DW185" s="533"/>
      <c r="DX185" s="533"/>
      <c r="DY185" s="533"/>
      <c r="DZ185" s="533"/>
      <c r="EA185" s="533"/>
      <c r="EB185" s="533"/>
      <c r="EC185" s="533"/>
      <c r="ED185" s="533"/>
      <c r="EE185" s="533"/>
      <c r="EF185" s="533"/>
      <c r="EG185" s="533"/>
      <c r="EH185" s="533"/>
      <c r="EI185" s="533"/>
      <c r="EJ185" s="533"/>
      <c r="EK185" s="533"/>
      <c r="EL185" s="533"/>
      <c r="EM185" s="533"/>
      <c r="EN185" s="533"/>
      <c r="EO185" s="533"/>
      <c r="EP185" s="533"/>
      <c r="EQ185" s="533"/>
      <c r="ER185" s="533"/>
      <c r="ES185" s="533"/>
      <c r="ET185" s="533"/>
      <c r="EU185" s="533"/>
      <c r="EV185" s="533"/>
      <c r="EW185" s="533"/>
      <c r="EX185" s="533"/>
      <c r="EY185" s="533"/>
      <c r="EZ185" s="533"/>
      <c r="FA185" s="533"/>
      <c r="FB185" s="533"/>
      <c r="FC185" s="533"/>
      <c r="FD185" s="533"/>
      <c r="FE185" s="533"/>
      <c r="FF185" s="533"/>
      <c r="FG185" s="533"/>
      <c r="FH185" s="533"/>
      <c r="FI185" s="533"/>
      <c r="FJ185" s="533"/>
      <c r="FK185" s="533"/>
      <c r="FL185" s="533"/>
      <c r="FM185" s="533"/>
      <c r="FN185" s="533"/>
      <c r="FO185" s="533"/>
      <c r="FP185" s="533"/>
      <c r="FQ185" s="533"/>
      <c r="FR185" s="533"/>
      <c r="FS185" s="533"/>
      <c r="FT185" s="533"/>
      <c r="FU185" s="533"/>
      <c r="FV185" s="533"/>
      <c r="FW185" s="533"/>
      <c r="FX185" s="533"/>
      <c r="FY185" s="533"/>
      <c r="FZ185" s="533"/>
      <c r="GA185" s="533"/>
      <c r="GB185" s="533"/>
      <c r="GC185" s="533"/>
      <c r="GD185" s="533"/>
      <c r="GE185" s="533"/>
      <c r="GF185" s="533"/>
      <c r="GG185" s="533"/>
      <c r="GH185" s="533"/>
      <c r="GI185" s="533"/>
      <c r="GJ185" s="533"/>
      <c r="GK185" s="533"/>
      <c r="GL185" s="533"/>
      <c r="GM185" s="533"/>
      <c r="GN185" s="533"/>
      <c r="GO185" s="533"/>
      <c r="GP185" s="533"/>
      <c r="GQ185" s="533"/>
      <c r="GR185" s="533"/>
      <c r="GS185" s="533"/>
      <c r="GT185" s="533"/>
      <c r="GU185" s="533"/>
      <c r="GV185" s="533"/>
      <c r="GW185" s="533"/>
      <c r="GX185" s="533"/>
      <c r="GY185" s="533"/>
      <c r="GZ185" s="533"/>
      <c r="HA185" s="533"/>
      <c r="HB185" s="534"/>
    </row>
    <row r="186" spans="1:210" ht="20.100000000000001" customHeight="1">
      <c r="A186" s="164"/>
      <c r="B186" s="306" t="s">
        <v>1468</v>
      </c>
      <c r="C186" s="503"/>
      <c r="D186" s="503"/>
      <c r="E186" s="503"/>
      <c r="F186" s="503"/>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6"/>
      <c r="AM186" s="326"/>
      <c r="AN186" s="326"/>
      <c r="AO186" s="531"/>
      <c r="AP186" s="531"/>
      <c r="AQ186" s="532"/>
      <c r="AR186" s="532"/>
      <c r="AS186" s="532"/>
      <c r="AT186" s="532"/>
      <c r="AU186" s="532"/>
      <c r="AV186" s="532"/>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532"/>
      <c r="BR186" s="532"/>
      <c r="BS186" s="532"/>
      <c r="BT186" s="532"/>
      <c r="BU186" s="532"/>
      <c r="BV186" s="532"/>
      <c r="BW186" s="533"/>
      <c r="BX186" s="533"/>
      <c r="BY186" s="533"/>
      <c r="BZ186" s="533"/>
      <c r="CA186" s="533"/>
      <c r="CB186" s="533"/>
      <c r="CC186" s="533"/>
      <c r="CD186" s="533"/>
      <c r="CE186" s="533"/>
      <c r="CF186" s="533"/>
      <c r="CG186" s="533"/>
      <c r="CH186" s="533"/>
      <c r="CI186" s="533"/>
      <c r="CJ186" s="533"/>
      <c r="CK186" s="533"/>
      <c r="CL186" s="533"/>
      <c r="CM186" s="533"/>
      <c r="CN186" s="533"/>
      <c r="CO186" s="533"/>
      <c r="CP186" s="533"/>
      <c r="CQ186" s="533"/>
      <c r="CR186" s="533"/>
      <c r="CS186" s="533"/>
      <c r="CT186" s="533"/>
      <c r="CU186" s="533"/>
      <c r="CV186" s="533"/>
      <c r="CW186" s="533"/>
      <c r="CX186" s="533"/>
      <c r="CY186" s="533"/>
      <c r="CZ186" s="533"/>
      <c r="DA186" s="533"/>
      <c r="DB186" s="533"/>
      <c r="DC186" s="533"/>
      <c r="DD186" s="533"/>
      <c r="DE186" s="533"/>
      <c r="DF186" s="533"/>
      <c r="DG186" s="533"/>
      <c r="DH186" s="533"/>
      <c r="DI186" s="533"/>
      <c r="DJ186" s="533"/>
      <c r="DK186" s="533"/>
      <c r="DL186" s="533"/>
      <c r="DM186" s="533"/>
      <c r="DN186" s="533"/>
      <c r="DO186" s="533"/>
      <c r="DP186" s="533"/>
      <c r="DQ186" s="533"/>
      <c r="DR186" s="533"/>
      <c r="DS186" s="533"/>
      <c r="DT186" s="533"/>
      <c r="DU186" s="533"/>
      <c r="DV186" s="533"/>
      <c r="DW186" s="533"/>
      <c r="DX186" s="533"/>
      <c r="DY186" s="533"/>
      <c r="DZ186" s="533"/>
      <c r="EA186" s="533"/>
      <c r="EB186" s="533"/>
      <c r="EC186" s="533"/>
      <c r="ED186" s="533"/>
      <c r="EE186" s="533"/>
      <c r="EF186" s="533"/>
      <c r="EG186" s="533"/>
      <c r="EH186" s="533"/>
      <c r="EI186" s="533"/>
      <c r="EJ186" s="533"/>
      <c r="EK186" s="533"/>
      <c r="EL186" s="533"/>
      <c r="EM186" s="533"/>
      <c r="EN186" s="533"/>
      <c r="EO186" s="533"/>
      <c r="EP186" s="533"/>
      <c r="EQ186" s="533"/>
      <c r="ER186" s="533"/>
      <c r="ES186" s="533"/>
      <c r="ET186" s="533"/>
      <c r="EU186" s="533"/>
      <c r="EV186" s="533"/>
      <c r="EW186" s="533"/>
      <c r="EX186" s="533"/>
      <c r="EY186" s="533"/>
      <c r="EZ186" s="533"/>
      <c r="FA186" s="533"/>
      <c r="FB186" s="533"/>
      <c r="FC186" s="533"/>
      <c r="FD186" s="533"/>
      <c r="FE186" s="533"/>
      <c r="FF186" s="533"/>
      <c r="FG186" s="533"/>
      <c r="FH186" s="533"/>
      <c r="FI186" s="533"/>
      <c r="FJ186" s="533"/>
      <c r="FK186" s="533"/>
      <c r="FL186" s="533"/>
      <c r="FM186" s="533"/>
      <c r="FN186" s="533"/>
      <c r="FO186" s="533"/>
      <c r="FP186" s="533"/>
      <c r="FQ186" s="533"/>
      <c r="FR186" s="533"/>
      <c r="FS186" s="533"/>
      <c r="FT186" s="533"/>
      <c r="FU186" s="533"/>
      <c r="FV186" s="533"/>
      <c r="FW186" s="533"/>
      <c r="FX186" s="533"/>
      <c r="FY186" s="533"/>
      <c r="FZ186" s="533"/>
      <c r="GA186" s="533"/>
      <c r="GB186" s="533"/>
      <c r="GC186" s="533"/>
      <c r="GD186" s="533"/>
      <c r="GE186" s="533"/>
      <c r="GF186" s="533"/>
      <c r="GG186" s="533"/>
      <c r="GH186" s="533"/>
      <c r="GI186" s="533"/>
      <c r="GJ186" s="533"/>
      <c r="GK186" s="533"/>
      <c r="GL186" s="533"/>
      <c r="GM186" s="533"/>
      <c r="GN186" s="533"/>
      <c r="GO186" s="533"/>
      <c r="GP186" s="533"/>
      <c r="GQ186" s="533"/>
      <c r="GR186" s="533"/>
      <c r="GS186" s="533"/>
      <c r="GT186" s="533"/>
      <c r="GU186" s="533"/>
      <c r="GV186" s="533"/>
      <c r="GW186" s="533"/>
      <c r="GX186" s="533"/>
      <c r="GY186" s="533"/>
      <c r="GZ186" s="533"/>
      <c r="HA186" s="533"/>
      <c r="HB186" s="534"/>
    </row>
    <row r="187" spans="1:210" ht="20.100000000000001" customHeight="1">
      <c r="A187" s="164"/>
      <c r="B187" s="306" t="s">
        <v>1469</v>
      </c>
      <c r="C187" s="503"/>
      <c r="D187" s="503"/>
      <c r="E187" s="503"/>
      <c r="F187" s="503"/>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6"/>
      <c r="AD187" s="326"/>
      <c r="AE187" s="326"/>
      <c r="AF187" s="326"/>
      <c r="AG187" s="326"/>
      <c r="AH187" s="326"/>
      <c r="AI187" s="326"/>
      <c r="AJ187" s="326"/>
      <c r="AK187" s="326"/>
      <c r="AL187" s="326"/>
      <c r="AM187" s="326"/>
      <c r="AN187" s="326"/>
      <c r="AO187" s="531"/>
      <c r="AP187" s="531"/>
      <c r="AQ187" s="532"/>
      <c r="AR187" s="532"/>
      <c r="AS187" s="532"/>
      <c r="AT187" s="532"/>
      <c r="AU187" s="532"/>
      <c r="AV187" s="532"/>
      <c r="AW187" s="326"/>
      <c r="AX187" s="326"/>
      <c r="AY187" s="326"/>
      <c r="AZ187" s="326"/>
      <c r="BA187" s="326"/>
      <c r="BB187" s="326"/>
      <c r="BC187" s="326"/>
      <c r="BD187" s="326"/>
      <c r="BE187" s="326"/>
      <c r="BF187" s="326"/>
      <c r="BG187" s="326"/>
      <c r="BH187" s="326"/>
      <c r="BI187" s="326"/>
      <c r="BJ187" s="326"/>
      <c r="BK187" s="326"/>
      <c r="BL187" s="326"/>
      <c r="BM187" s="326"/>
      <c r="BN187" s="326"/>
      <c r="BO187" s="326"/>
      <c r="BP187" s="326"/>
      <c r="BQ187" s="532"/>
      <c r="BR187" s="532"/>
      <c r="BS187" s="532"/>
      <c r="BT187" s="532"/>
      <c r="BU187" s="532"/>
      <c r="BV187" s="532"/>
      <c r="BW187" s="533"/>
      <c r="BX187" s="533"/>
      <c r="BY187" s="533"/>
      <c r="BZ187" s="533"/>
      <c r="CA187" s="533"/>
      <c r="CB187" s="533"/>
      <c r="CC187" s="533"/>
      <c r="CD187" s="533"/>
      <c r="CE187" s="533"/>
      <c r="CF187" s="533"/>
      <c r="CG187" s="533"/>
      <c r="CH187" s="533"/>
      <c r="CI187" s="533"/>
      <c r="CJ187" s="533"/>
      <c r="CK187" s="533"/>
      <c r="CL187" s="533"/>
      <c r="CM187" s="533"/>
      <c r="CN187" s="533"/>
      <c r="CO187" s="533"/>
      <c r="CP187" s="533"/>
      <c r="CQ187" s="533"/>
      <c r="CR187" s="533"/>
      <c r="CS187" s="533"/>
      <c r="CT187" s="533"/>
      <c r="CU187" s="533"/>
      <c r="CV187" s="533"/>
      <c r="CW187" s="533"/>
      <c r="CX187" s="533"/>
      <c r="CY187" s="533"/>
      <c r="CZ187" s="533"/>
      <c r="DA187" s="533"/>
      <c r="DB187" s="533"/>
      <c r="DC187" s="533"/>
      <c r="DD187" s="533"/>
      <c r="DE187" s="533"/>
      <c r="DF187" s="533"/>
      <c r="DG187" s="533"/>
      <c r="DH187" s="533"/>
      <c r="DI187" s="533"/>
      <c r="DJ187" s="533"/>
      <c r="DK187" s="533"/>
      <c r="DL187" s="533"/>
      <c r="DM187" s="533"/>
      <c r="DN187" s="533"/>
      <c r="DO187" s="533"/>
      <c r="DP187" s="533"/>
      <c r="DQ187" s="533"/>
      <c r="DR187" s="533"/>
      <c r="DS187" s="533"/>
      <c r="DT187" s="533"/>
      <c r="DU187" s="533"/>
      <c r="DV187" s="533"/>
      <c r="DW187" s="533"/>
      <c r="DX187" s="533"/>
      <c r="DY187" s="533"/>
      <c r="DZ187" s="533"/>
      <c r="EA187" s="533"/>
      <c r="EB187" s="533"/>
      <c r="EC187" s="533"/>
      <c r="ED187" s="533"/>
      <c r="EE187" s="533"/>
      <c r="EF187" s="533"/>
      <c r="EG187" s="533"/>
      <c r="EH187" s="533"/>
      <c r="EI187" s="533"/>
      <c r="EJ187" s="533"/>
      <c r="EK187" s="533"/>
      <c r="EL187" s="533"/>
      <c r="EM187" s="533"/>
      <c r="EN187" s="533"/>
      <c r="EO187" s="533"/>
      <c r="EP187" s="533"/>
      <c r="EQ187" s="533"/>
      <c r="ER187" s="533"/>
      <c r="ES187" s="533"/>
      <c r="ET187" s="533"/>
      <c r="EU187" s="533"/>
      <c r="EV187" s="533"/>
      <c r="EW187" s="533"/>
      <c r="EX187" s="533"/>
      <c r="EY187" s="533"/>
      <c r="EZ187" s="533"/>
      <c r="FA187" s="533"/>
      <c r="FB187" s="533"/>
      <c r="FC187" s="533"/>
      <c r="FD187" s="533"/>
      <c r="FE187" s="533"/>
      <c r="FF187" s="533"/>
      <c r="FG187" s="533"/>
      <c r="FH187" s="533"/>
      <c r="FI187" s="533"/>
      <c r="FJ187" s="533"/>
      <c r="FK187" s="533"/>
      <c r="FL187" s="533"/>
      <c r="FM187" s="533"/>
      <c r="FN187" s="533"/>
      <c r="FO187" s="533"/>
      <c r="FP187" s="533"/>
      <c r="FQ187" s="533"/>
      <c r="FR187" s="533"/>
      <c r="FS187" s="533"/>
      <c r="FT187" s="533"/>
      <c r="FU187" s="533"/>
      <c r="FV187" s="533"/>
      <c r="FW187" s="533"/>
      <c r="FX187" s="533"/>
      <c r="FY187" s="533"/>
      <c r="FZ187" s="533"/>
      <c r="GA187" s="533"/>
      <c r="GB187" s="533"/>
      <c r="GC187" s="533"/>
      <c r="GD187" s="533"/>
      <c r="GE187" s="533"/>
      <c r="GF187" s="533"/>
      <c r="GG187" s="533"/>
      <c r="GH187" s="533"/>
      <c r="GI187" s="533"/>
      <c r="GJ187" s="533"/>
      <c r="GK187" s="533"/>
      <c r="GL187" s="533"/>
      <c r="GM187" s="533"/>
      <c r="GN187" s="533"/>
      <c r="GO187" s="533"/>
      <c r="GP187" s="533"/>
      <c r="GQ187" s="533"/>
      <c r="GR187" s="533"/>
      <c r="GS187" s="533"/>
      <c r="GT187" s="533"/>
      <c r="GU187" s="533"/>
      <c r="GV187" s="533"/>
      <c r="GW187" s="533"/>
      <c r="GX187" s="533"/>
      <c r="GY187" s="533"/>
      <c r="GZ187" s="533"/>
      <c r="HA187" s="533"/>
      <c r="HB187" s="534"/>
    </row>
    <row r="188" spans="1:210" ht="20.100000000000001" customHeight="1">
      <c r="A188" s="164"/>
      <c r="B188" s="306" t="s">
        <v>1470</v>
      </c>
      <c r="C188" s="503"/>
      <c r="D188" s="503"/>
      <c r="E188" s="503"/>
      <c r="F188" s="503"/>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531"/>
      <c r="AP188" s="531"/>
      <c r="AQ188" s="532"/>
      <c r="AR188" s="532"/>
      <c r="AS188" s="532"/>
      <c r="AT188" s="532"/>
      <c r="AU188" s="532"/>
      <c r="AV188" s="532"/>
      <c r="AW188" s="326"/>
      <c r="AX188" s="326"/>
      <c r="AY188" s="326"/>
      <c r="AZ188" s="326"/>
      <c r="BA188" s="326"/>
      <c r="BB188" s="326"/>
      <c r="BC188" s="326"/>
      <c r="BD188" s="326"/>
      <c r="BE188" s="326"/>
      <c r="BF188" s="326"/>
      <c r="BG188" s="326"/>
      <c r="BH188" s="326"/>
      <c r="BI188" s="326"/>
      <c r="BJ188" s="326"/>
      <c r="BK188" s="326"/>
      <c r="BL188" s="326"/>
      <c r="BM188" s="326"/>
      <c r="BN188" s="326"/>
      <c r="BO188" s="326"/>
      <c r="BP188" s="326"/>
      <c r="BQ188" s="532"/>
      <c r="BR188" s="532"/>
      <c r="BS188" s="532"/>
      <c r="BT188" s="532"/>
      <c r="BU188" s="532"/>
      <c r="BV188" s="532"/>
      <c r="BW188" s="533"/>
      <c r="BX188" s="533"/>
      <c r="BY188" s="533"/>
      <c r="BZ188" s="533"/>
      <c r="CA188" s="533"/>
      <c r="CB188" s="533"/>
      <c r="CC188" s="533"/>
      <c r="CD188" s="533"/>
      <c r="CE188" s="533"/>
      <c r="CF188" s="533"/>
      <c r="CG188" s="533"/>
      <c r="CH188" s="533"/>
      <c r="CI188" s="533"/>
      <c r="CJ188" s="533"/>
      <c r="CK188" s="533"/>
      <c r="CL188" s="533"/>
      <c r="CM188" s="533"/>
      <c r="CN188" s="533"/>
      <c r="CO188" s="533"/>
      <c r="CP188" s="533"/>
      <c r="CQ188" s="533"/>
      <c r="CR188" s="533"/>
      <c r="CS188" s="533"/>
      <c r="CT188" s="533"/>
      <c r="CU188" s="533"/>
      <c r="CV188" s="533"/>
      <c r="CW188" s="533"/>
      <c r="CX188" s="533"/>
      <c r="CY188" s="533"/>
      <c r="CZ188" s="533"/>
      <c r="DA188" s="533"/>
      <c r="DB188" s="533"/>
      <c r="DC188" s="533"/>
      <c r="DD188" s="533"/>
      <c r="DE188" s="533"/>
      <c r="DF188" s="533"/>
      <c r="DG188" s="533"/>
      <c r="DH188" s="533"/>
      <c r="DI188" s="533"/>
      <c r="DJ188" s="533"/>
      <c r="DK188" s="533"/>
      <c r="DL188" s="533"/>
      <c r="DM188" s="533"/>
      <c r="DN188" s="533"/>
      <c r="DO188" s="533"/>
      <c r="DP188" s="533"/>
      <c r="DQ188" s="533"/>
      <c r="DR188" s="533"/>
      <c r="DS188" s="533"/>
      <c r="DT188" s="533"/>
      <c r="DU188" s="533"/>
      <c r="DV188" s="533"/>
      <c r="DW188" s="533"/>
      <c r="DX188" s="533"/>
      <c r="DY188" s="533"/>
      <c r="DZ188" s="533"/>
      <c r="EA188" s="533"/>
      <c r="EB188" s="533"/>
      <c r="EC188" s="533"/>
      <c r="ED188" s="533"/>
      <c r="EE188" s="533"/>
      <c r="EF188" s="533"/>
      <c r="EG188" s="533"/>
      <c r="EH188" s="533"/>
      <c r="EI188" s="533"/>
      <c r="EJ188" s="533"/>
      <c r="EK188" s="533"/>
      <c r="EL188" s="533"/>
      <c r="EM188" s="533"/>
      <c r="EN188" s="533"/>
      <c r="EO188" s="533"/>
      <c r="EP188" s="533"/>
      <c r="EQ188" s="533"/>
      <c r="ER188" s="533"/>
      <c r="ES188" s="533"/>
      <c r="ET188" s="533"/>
      <c r="EU188" s="533"/>
      <c r="EV188" s="533"/>
      <c r="EW188" s="533"/>
      <c r="EX188" s="533"/>
      <c r="EY188" s="533"/>
      <c r="EZ188" s="533"/>
      <c r="FA188" s="533"/>
      <c r="FB188" s="533"/>
      <c r="FC188" s="533"/>
      <c r="FD188" s="533"/>
      <c r="FE188" s="533"/>
      <c r="FF188" s="533"/>
      <c r="FG188" s="533"/>
      <c r="FH188" s="533"/>
      <c r="FI188" s="533"/>
      <c r="FJ188" s="533"/>
      <c r="FK188" s="533"/>
      <c r="FL188" s="533"/>
      <c r="FM188" s="533"/>
      <c r="FN188" s="533"/>
      <c r="FO188" s="533"/>
      <c r="FP188" s="533"/>
      <c r="FQ188" s="533"/>
      <c r="FR188" s="533"/>
      <c r="FS188" s="533"/>
      <c r="FT188" s="533"/>
      <c r="FU188" s="533"/>
      <c r="FV188" s="533"/>
      <c r="FW188" s="533"/>
      <c r="FX188" s="533"/>
      <c r="FY188" s="533"/>
      <c r="FZ188" s="533"/>
      <c r="GA188" s="533"/>
      <c r="GB188" s="533"/>
      <c r="GC188" s="533"/>
      <c r="GD188" s="533"/>
      <c r="GE188" s="533"/>
      <c r="GF188" s="533"/>
      <c r="GG188" s="533"/>
      <c r="GH188" s="533"/>
      <c r="GI188" s="533"/>
      <c r="GJ188" s="533"/>
      <c r="GK188" s="533"/>
      <c r="GL188" s="533"/>
      <c r="GM188" s="533"/>
      <c r="GN188" s="533"/>
      <c r="GO188" s="533"/>
      <c r="GP188" s="533"/>
      <c r="GQ188" s="533"/>
      <c r="GR188" s="533"/>
      <c r="GS188" s="533"/>
      <c r="GT188" s="533"/>
      <c r="GU188" s="533"/>
      <c r="GV188" s="533"/>
      <c r="GW188" s="533"/>
      <c r="GX188" s="533"/>
      <c r="GY188" s="533"/>
      <c r="GZ188" s="533"/>
      <c r="HA188" s="533"/>
      <c r="HB188" s="534"/>
    </row>
    <row r="189" spans="1:210" ht="20.100000000000001" customHeight="1">
      <c r="A189" s="164"/>
      <c r="B189" s="306" t="s">
        <v>1471</v>
      </c>
      <c r="C189" s="503"/>
      <c r="D189" s="503"/>
      <c r="E189" s="503"/>
      <c r="F189" s="503"/>
      <c r="G189" s="326"/>
      <c r="H189" s="326"/>
      <c r="I189" s="326"/>
      <c r="J189" s="326"/>
      <c r="K189" s="326"/>
      <c r="L189" s="326"/>
      <c r="M189" s="326"/>
      <c r="N189" s="326"/>
      <c r="O189" s="326"/>
      <c r="P189" s="326"/>
      <c r="Q189" s="326"/>
      <c r="R189" s="326"/>
      <c r="S189" s="326"/>
      <c r="T189" s="326"/>
      <c r="U189" s="326"/>
      <c r="V189" s="326"/>
      <c r="W189" s="326"/>
      <c r="X189" s="326"/>
      <c r="Y189" s="326"/>
      <c r="Z189" s="326"/>
      <c r="AA189" s="326"/>
      <c r="AB189" s="326"/>
      <c r="AC189" s="326"/>
      <c r="AD189" s="326"/>
      <c r="AE189" s="326"/>
      <c r="AF189" s="326"/>
      <c r="AG189" s="326"/>
      <c r="AH189" s="326"/>
      <c r="AI189" s="326"/>
      <c r="AJ189" s="326"/>
      <c r="AK189" s="326"/>
      <c r="AL189" s="326"/>
      <c r="AM189" s="326"/>
      <c r="AN189" s="326"/>
      <c r="AO189" s="531"/>
      <c r="AP189" s="531"/>
      <c r="AQ189" s="532"/>
      <c r="AR189" s="532"/>
      <c r="AS189" s="532"/>
      <c r="AT189" s="532"/>
      <c r="AU189" s="532"/>
      <c r="AV189" s="532"/>
      <c r="AW189" s="326"/>
      <c r="AX189" s="326"/>
      <c r="AY189" s="326"/>
      <c r="AZ189" s="326"/>
      <c r="BA189" s="326"/>
      <c r="BB189" s="326"/>
      <c r="BC189" s="326"/>
      <c r="BD189" s="326"/>
      <c r="BE189" s="326"/>
      <c r="BF189" s="326"/>
      <c r="BG189" s="326"/>
      <c r="BH189" s="326"/>
      <c r="BI189" s="326"/>
      <c r="BJ189" s="326"/>
      <c r="BK189" s="326"/>
      <c r="BL189" s="326"/>
      <c r="BM189" s="326"/>
      <c r="BN189" s="326"/>
      <c r="BO189" s="326"/>
      <c r="BP189" s="326"/>
      <c r="BQ189" s="532"/>
      <c r="BR189" s="532"/>
      <c r="BS189" s="532"/>
      <c r="BT189" s="532"/>
      <c r="BU189" s="532"/>
      <c r="BV189" s="532"/>
      <c r="BW189" s="533"/>
      <c r="BX189" s="533"/>
      <c r="BY189" s="533"/>
      <c r="BZ189" s="533"/>
      <c r="CA189" s="533"/>
      <c r="CB189" s="533"/>
      <c r="CC189" s="533"/>
      <c r="CD189" s="533"/>
      <c r="CE189" s="533"/>
      <c r="CF189" s="533"/>
      <c r="CG189" s="533"/>
      <c r="CH189" s="533"/>
      <c r="CI189" s="533"/>
      <c r="CJ189" s="533"/>
      <c r="CK189" s="533"/>
      <c r="CL189" s="533"/>
      <c r="CM189" s="533"/>
      <c r="CN189" s="533"/>
      <c r="CO189" s="533"/>
      <c r="CP189" s="533"/>
      <c r="CQ189" s="533"/>
      <c r="CR189" s="533"/>
      <c r="CS189" s="533"/>
      <c r="CT189" s="533"/>
      <c r="CU189" s="533"/>
      <c r="CV189" s="533"/>
      <c r="CW189" s="533"/>
      <c r="CX189" s="533"/>
      <c r="CY189" s="533"/>
      <c r="CZ189" s="533"/>
      <c r="DA189" s="533"/>
      <c r="DB189" s="533"/>
      <c r="DC189" s="533"/>
      <c r="DD189" s="533"/>
      <c r="DE189" s="533"/>
      <c r="DF189" s="533"/>
      <c r="DG189" s="533"/>
      <c r="DH189" s="533"/>
      <c r="DI189" s="533"/>
      <c r="DJ189" s="533"/>
      <c r="DK189" s="533"/>
      <c r="DL189" s="533"/>
      <c r="DM189" s="533"/>
      <c r="DN189" s="533"/>
      <c r="DO189" s="533"/>
      <c r="DP189" s="533"/>
      <c r="DQ189" s="533"/>
      <c r="DR189" s="533"/>
      <c r="DS189" s="533"/>
      <c r="DT189" s="533"/>
      <c r="DU189" s="533"/>
      <c r="DV189" s="533"/>
      <c r="DW189" s="533"/>
      <c r="DX189" s="533"/>
      <c r="DY189" s="533"/>
      <c r="DZ189" s="533"/>
      <c r="EA189" s="533"/>
      <c r="EB189" s="533"/>
      <c r="EC189" s="533"/>
      <c r="ED189" s="533"/>
      <c r="EE189" s="533"/>
      <c r="EF189" s="533"/>
      <c r="EG189" s="533"/>
      <c r="EH189" s="533"/>
      <c r="EI189" s="533"/>
      <c r="EJ189" s="533"/>
      <c r="EK189" s="533"/>
      <c r="EL189" s="533"/>
      <c r="EM189" s="533"/>
      <c r="EN189" s="533"/>
      <c r="EO189" s="533"/>
      <c r="EP189" s="533"/>
      <c r="EQ189" s="533"/>
      <c r="ER189" s="533"/>
      <c r="ES189" s="533"/>
      <c r="ET189" s="533"/>
      <c r="EU189" s="533"/>
      <c r="EV189" s="533"/>
      <c r="EW189" s="533"/>
      <c r="EX189" s="533"/>
      <c r="EY189" s="533"/>
      <c r="EZ189" s="533"/>
      <c r="FA189" s="533"/>
      <c r="FB189" s="533"/>
      <c r="FC189" s="533"/>
      <c r="FD189" s="533"/>
      <c r="FE189" s="533"/>
      <c r="FF189" s="533"/>
      <c r="FG189" s="533"/>
      <c r="FH189" s="533"/>
      <c r="FI189" s="533"/>
      <c r="FJ189" s="533"/>
      <c r="FK189" s="533"/>
      <c r="FL189" s="533"/>
      <c r="FM189" s="533"/>
      <c r="FN189" s="533"/>
      <c r="FO189" s="533"/>
      <c r="FP189" s="533"/>
      <c r="FQ189" s="533"/>
      <c r="FR189" s="533"/>
      <c r="FS189" s="533"/>
      <c r="FT189" s="533"/>
      <c r="FU189" s="533"/>
      <c r="FV189" s="533"/>
      <c r="FW189" s="533"/>
      <c r="FX189" s="533"/>
      <c r="FY189" s="533"/>
      <c r="FZ189" s="533"/>
      <c r="GA189" s="533"/>
      <c r="GB189" s="533"/>
      <c r="GC189" s="533"/>
      <c r="GD189" s="533"/>
      <c r="GE189" s="533"/>
      <c r="GF189" s="533"/>
      <c r="GG189" s="533"/>
      <c r="GH189" s="533"/>
      <c r="GI189" s="533"/>
      <c r="GJ189" s="533"/>
      <c r="GK189" s="533"/>
      <c r="GL189" s="533"/>
      <c r="GM189" s="533"/>
      <c r="GN189" s="533"/>
      <c r="GO189" s="533"/>
      <c r="GP189" s="533"/>
      <c r="GQ189" s="533"/>
      <c r="GR189" s="533"/>
      <c r="GS189" s="533"/>
      <c r="GT189" s="533"/>
      <c r="GU189" s="533"/>
      <c r="GV189" s="533"/>
      <c r="GW189" s="533"/>
      <c r="GX189" s="533"/>
      <c r="GY189" s="533"/>
      <c r="GZ189" s="533"/>
      <c r="HA189" s="533"/>
      <c r="HB189" s="534"/>
    </row>
    <row r="190" spans="1:210" ht="20.100000000000001" customHeight="1">
      <c r="A190" s="164"/>
      <c r="B190" s="306" t="s">
        <v>1472</v>
      </c>
      <c r="C190" s="503"/>
      <c r="D190" s="503"/>
      <c r="E190" s="503"/>
      <c r="F190" s="503"/>
      <c r="G190" s="326"/>
      <c r="H190" s="326"/>
      <c r="I190" s="326"/>
      <c r="J190" s="326"/>
      <c r="K190" s="326"/>
      <c r="L190" s="326"/>
      <c r="M190" s="326"/>
      <c r="N190" s="326"/>
      <c r="O190" s="326"/>
      <c r="P190" s="326"/>
      <c r="Q190" s="326"/>
      <c r="R190" s="326"/>
      <c r="S190" s="326"/>
      <c r="T190" s="326"/>
      <c r="U190" s="326"/>
      <c r="V190" s="326"/>
      <c r="W190" s="326"/>
      <c r="X190" s="326"/>
      <c r="Y190" s="326"/>
      <c r="Z190" s="326"/>
      <c r="AA190" s="326"/>
      <c r="AB190" s="326"/>
      <c r="AC190" s="326"/>
      <c r="AD190" s="326"/>
      <c r="AE190" s="326"/>
      <c r="AF190" s="326"/>
      <c r="AG190" s="326"/>
      <c r="AH190" s="326"/>
      <c r="AI190" s="326"/>
      <c r="AJ190" s="326"/>
      <c r="AK190" s="326"/>
      <c r="AL190" s="326"/>
      <c r="AM190" s="326"/>
      <c r="AN190" s="326"/>
      <c r="AO190" s="531"/>
      <c r="AP190" s="531"/>
      <c r="AQ190" s="532"/>
      <c r="AR190" s="532"/>
      <c r="AS190" s="532"/>
      <c r="AT190" s="532"/>
      <c r="AU190" s="532"/>
      <c r="AV190" s="532"/>
      <c r="AW190" s="326"/>
      <c r="AX190" s="326"/>
      <c r="AY190" s="326"/>
      <c r="AZ190" s="326"/>
      <c r="BA190" s="326"/>
      <c r="BB190" s="326"/>
      <c r="BC190" s="326"/>
      <c r="BD190" s="326"/>
      <c r="BE190" s="326"/>
      <c r="BF190" s="326"/>
      <c r="BG190" s="326"/>
      <c r="BH190" s="326"/>
      <c r="BI190" s="326"/>
      <c r="BJ190" s="326"/>
      <c r="BK190" s="326"/>
      <c r="BL190" s="326"/>
      <c r="BM190" s="326"/>
      <c r="BN190" s="326"/>
      <c r="BO190" s="326"/>
      <c r="BP190" s="326"/>
      <c r="BQ190" s="532"/>
      <c r="BR190" s="532"/>
      <c r="BS190" s="532"/>
      <c r="BT190" s="532"/>
      <c r="BU190" s="532"/>
      <c r="BV190" s="532"/>
      <c r="BW190" s="533"/>
      <c r="BX190" s="533"/>
      <c r="BY190" s="533"/>
      <c r="BZ190" s="533"/>
      <c r="CA190" s="533"/>
      <c r="CB190" s="533"/>
      <c r="CC190" s="533"/>
      <c r="CD190" s="533"/>
      <c r="CE190" s="533"/>
      <c r="CF190" s="533"/>
      <c r="CG190" s="533"/>
      <c r="CH190" s="533"/>
      <c r="CI190" s="533"/>
      <c r="CJ190" s="533"/>
      <c r="CK190" s="533"/>
      <c r="CL190" s="533"/>
      <c r="CM190" s="533"/>
      <c r="CN190" s="533"/>
      <c r="CO190" s="533"/>
      <c r="CP190" s="533"/>
      <c r="CQ190" s="533"/>
      <c r="CR190" s="533"/>
      <c r="CS190" s="533"/>
      <c r="CT190" s="533"/>
      <c r="CU190" s="533"/>
      <c r="CV190" s="533"/>
      <c r="CW190" s="533"/>
      <c r="CX190" s="533"/>
      <c r="CY190" s="533"/>
      <c r="CZ190" s="533"/>
      <c r="DA190" s="533"/>
      <c r="DB190" s="533"/>
      <c r="DC190" s="533"/>
      <c r="DD190" s="533"/>
      <c r="DE190" s="533"/>
      <c r="DF190" s="533"/>
      <c r="DG190" s="533"/>
      <c r="DH190" s="533"/>
      <c r="DI190" s="533"/>
      <c r="DJ190" s="533"/>
      <c r="DK190" s="533"/>
      <c r="DL190" s="533"/>
      <c r="DM190" s="533"/>
      <c r="DN190" s="533"/>
      <c r="DO190" s="533"/>
      <c r="DP190" s="533"/>
      <c r="DQ190" s="533"/>
      <c r="DR190" s="533"/>
      <c r="DS190" s="533"/>
      <c r="DT190" s="533"/>
      <c r="DU190" s="533"/>
      <c r="DV190" s="533"/>
      <c r="DW190" s="533"/>
      <c r="DX190" s="533"/>
      <c r="DY190" s="533"/>
      <c r="DZ190" s="533"/>
      <c r="EA190" s="533"/>
      <c r="EB190" s="533"/>
      <c r="EC190" s="533"/>
      <c r="ED190" s="533"/>
      <c r="EE190" s="533"/>
      <c r="EF190" s="533"/>
      <c r="EG190" s="533"/>
      <c r="EH190" s="533"/>
      <c r="EI190" s="533"/>
      <c r="EJ190" s="533"/>
      <c r="EK190" s="533"/>
      <c r="EL190" s="533"/>
      <c r="EM190" s="533"/>
      <c r="EN190" s="533"/>
      <c r="EO190" s="533"/>
      <c r="EP190" s="533"/>
      <c r="EQ190" s="533"/>
      <c r="ER190" s="533"/>
      <c r="ES190" s="533"/>
      <c r="ET190" s="533"/>
      <c r="EU190" s="533"/>
      <c r="EV190" s="533"/>
      <c r="EW190" s="533"/>
      <c r="EX190" s="533"/>
      <c r="EY190" s="533"/>
      <c r="EZ190" s="533"/>
      <c r="FA190" s="533"/>
      <c r="FB190" s="533"/>
      <c r="FC190" s="533"/>
      <c r="FD190" s="533"/>
      <c r="FE190" s="533"/>
      <c r="FF190" s="533"/>
      <c r="FG190" s="533"/>
      <c r="FH190" s="533"/>
      <c r="FI190" s="533"/>
      <c r="FJ190" s="533"/>
      <c r="FK190" s="533"/>
      <c r="FL190" s="533"/>
      <c r="FM190" s="533"/>
      <c r="FN190" s="533"/>
      <c r="FO190" s="533"/>
      <c r="FP190" s="533"/>
      <c r="FQ190" s="533"/>
      <c r="FR190" s="533"/>
      <c r="FS190" s="533"/>
      <c r="FT190" s="533"/>
      <c r="FU190" s="533"/>
      <c r="FV190" s="533"/>
      <c r="FW190" s="533"/>
      <c r="FX190" s="533"/>
      <c r="FY190" s="533"/>
      <c r="FZ190" s="533"/>
      <c r="GA190" s="533"/>
      <c r="GB190" s="533"/>
      <c r="GC190" s="533"/>
      <c r="GD190" s="533"/>
      <c r="GE190" s="533"/>
      <c r="GF190" s="533"/>
      <c r="GG190" s="533"/>
      <c r="GH190" s="533"/>
      <c r="GI190" s="533"/>
      <c r="GJ190" s="533"/>
      <c r="GK190" s="533"/>
      <c r="GL190" s="533"/>
      <c r="GM190" s="533"/>
      <c r="GN190" s="533"/>
      <c r="GO190" s="533"/>
      <c r="GP190" s="533"/>
      <c r="GQ190" s="533"/>
      <c r="GR190" s="533"/>
      <c r="GS190" s="533"/>
      <c r="GT190" s="533"/>
      <c r="GU190" s="533"/>
      <c r="GV190" s="533"/>
      <c r="GW190" s="533"/>
      <c r="GX190" s="533"/>
      <c r="GY190" s="533"/>
      <c r="GZ190" s="533"/>
      <c r="HA190" s="533"/>
      <c r="HB190" s="534"/>
    </row>
    <row r="191" spans="1:210" ht="20.100000000000001" customHeight="1">
      <c r="A191" s="164"/>
      <c r="B191" s="306" t="s">
        <v>1473</v>
      </c>
      <c r="C191" s="503"/>
      <c r="D191" s="503"/>
      <c r="E191" s="503"/>
      <c r="F191" s="503"/>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26"/>
      <c r="AI191" s="326"/>
      <c r="AJ191" s="326"/>
      <c r="AK191" s="326"/>
      <c r="AL191" s="326"/>
      <c r="AM191" s="326"/>
      <c r="AN191" s="326"/>
      <c r="AO191" s="531"/>
      <c r="AP191" s="531"/>
      <c r="AQ191" s="532"/>
      <c r="AR191" s="532"/>
      <c r="AS191" s="532"/>
      <c r="AT191" s="532"/>
      <c r="AU191" s="532"/>
      <c r="AV191" s="532"/>
      <c r="AW191" s="326"/>
      <c r="AX191" s="326"/>
      <c r="AY191" s="326"/>
      <c r="AZ191" s="326"/>
      <c r="BA191" s="326"/>
      <c r="BB191" s="326"/>
      <c r="BC191" s="326"/>
      <c r="BD191" s="326"/>
      <c r="BE191" s="326"/>
      <c r="BF191" s="326"/>
      <c r="BG191" s="326"/>
      <c r="BH191" s="326"/>
      <c r="BI191" s="326"/>
      <c r="BJ191" s="326"/>
      <c r="BK191" s="326"/>
      <c r="BL191" s="326"/>
      <c r="BM191" s="326"/>
      <c r="BN191" s="326"/>
      <c r="BO191" s="326"/>
      <c r="BP191" s="326"/>
      <c r="BQ191" s="532"/>
      <c r="BR191" s="532"/>
      <c r="BS191" s="532"/>
      <c r="BT191" s="532"/>
      <c r="BU191" s="532"/>
      <c r="BV191" s="532"/>
      <c r="BW191" s="533"/>
      <c r="BX191" s="533"/>
      <c r="BY191" s="533"/>
      <c r="BZ191" s="533"/>
      <c r="CA191" s="533"/>
      <c r="CB191" s="533"/>
      <c r="CC191" s="533"/>
      <c r="CD191" s="533"/>
      <c r="CE191" s="533"/>
      <c r="CF191" s="533"/>
      <c r="CG191" s="533"/>
      <c r="CH191" s="533"/>
      <c r="CI191" s="533"/>
      <c r="CJ191" s="533"/>
      <c r="CK191" s="533"/>
      <c r="CL191" s="533"/>
      <c r="CM191" s="533"/>
      <c r="CN191" s="533"/>
      <c r="CO191" s="533"/>
      <c r="CP191" s="533"/>
      <c r="CQ191" s="533"/>
      <c r="CR191" s="533"/>
      <c r="CS191" s="533"/>
      <c r="CT191" s="533"/>
      <c r="CU191" s="533"/>
      <c r="CV191" s="533"/>
      <c r="CW191" s="533"/>
      <c r="CX191" s="533"/>
      <c r="CY191" s="533"/>
      <c r="CZ191" s="533"/>
      <c r="DA191" s="533"/>
      <c r="DB191" s="533"/>
      <c r="DC191" s="533"/>
      <c r="DD191" s="533"/>
      <c r="DE191" s="533"/>
      <c r="DF191" s="533"/>
      <c r="DG191" s="533"/>
      <c r="DH191" s="533"/>
      <c r="DI191" s="533"/>
      <c r="DJ191" s="533"/>
      <c r="DK191" s="533"/>
      <c r="DL191" s="533"/>
      <c r="DM191" s="533"/>
      <c r="DN191" s="533"/>
      <c r="DO191" s="533"/>
      <c r="DP191" s="533"/>
      <c r="DQ191" s="533"/>
      <c r="DR191" s="533"/>
      <c r="DS191" s="533"/>
      <c r="DT191" s="533"/>
      <c r="DU191" s="533"/>
      <c r="DV191" s="533"/>
      <c r="DW191" s="533"/>
      <c r="DX191" s="533"/>
      <c r="DY191" s="533"/>
      <c r="DZ191" s="533"/>
      <c r="EA191" s="533"/>
      <c r="EB191" s="533"/>
      <c r="EC191" s="533"/>
      <c r="ED191" s="533"/>
      <c r="EE191" s="533"/>
      <c r="EF191" s="533"/>
      <c r="EG191" s="533"/>
      <c r="EH191" s="533"/>
      <c r="EI191" s="533"/>
      <c r="EJ191" s="533"/>
      <c r="EK191" s="533"/>
      <c r="EL191" s="533"/>
      <c r="EM191" s="533"/>
      <c r="EN191" s="533"/>
      <c r="EO191" s="533"/>
      <c r="EP191" s="533"/>
      <c r="EQ191" s="533"/>
      <c r="ER191" s="533"/>
      <c r="ES191" s="533"/>
      <c r="ET191" s="533"/>
      <c r="EU191" s="533"/>
      <c r="EV191" s="533"/>
      <c r="EW191" s="533"/>
      <c r="EX191" s="533"/>
      <c r="EY191" s="533"/>
      <c r="EZ191" s="533"/>
      <c r="FA191" s="533"/>
      <c r="FB191" s="533"/>
      <c r="FC191" s="533"/>
      <c r="FD191" s="533"/>
      <c r="FE191" s="533"/>
      <c r="FF191" s="533"/>
      <c r="FG191" s="533"/>
      <c r="FH191" s="533"/>
      <c r="FI191" s="533"/>
      <c r="FJ191" s="533"/>
      <c r="FK191" s="533"/>
      <c r="FL191" s="533"/>
      <c r="FM191" s="533"/>
      <c r="FN191" s="533"/>
      <c r="FO191" s="533"/>
      <c r="FP191" s="533"/>
      <c r="FQ191" s="533"/>
      <c r="FR191" s="533"/>
      <c r="FS191" s="533"/>
      <c r="FT191" s="533"/>
      <c r="FU191" s="533"/>
      <c r="FV191" s="533"/>
      <c r="FW191" s="533"/>
      <c r="FX191" s="533"/>
      <c r="FY191" s="533"/>
      <c r="FZ191" s="533"/>
      <c r="GA191" s="533"/>
      <c r="GB191" s="533"/>
      <c r="GC191" s="533"/>
      <c r="GD191" s="533"/>
      <c r="GE191" s="533"/>
      <c r="GF191" s="533"/>
      <c r="GG191" s="533"/>
      <c r="GH191" s="533"/>
      <c r="GI191" s="533"/>
      <c r="GJ191" s="533"/>
      <c r="GK191" s="533"/>
      <c r="GL191" s="533"/>
      <c r="GM191" s="533"/>
      <c r="GN191" s="533"/>
      <c r="GO191" s="533"/>
      <c r="GP191" s="533"/>
      <c r="GQ191" s="533"/>
      <c r="GR191" s="533"/>
      <c r="GS191" s="533"/>
      <c r="GT191" s="533"/>
      <c r="GU191" s="533"/>
      <c r="GV191" s="533"/>
      <c r="GW191" s="533"/>
      <c r="GX191" s="533"/>
      <c r="GY191" s="533"/>
      <c r="GZ191" s="533"/>
      <c r="HA191" s="533"/>
      <c r="HB191" s="534"/>
    </row>
    <row r="192" spans="1:210" ht="20.100000000000001" customHeight="1">
      <c r="A192" s="164"/>
      <c r="B192" s="306" t="s">
        <v>1474</v>
      </c>
      <c r="C192" s="503"/>
      <c r="D192" s="503"/>
      <c r="E192" s="503"/>
      <c r="F192" s="503"/>
      <c r="G192" s="326"/>
      <c r="H192" s="326"/>
      <c r="I192" s="326"/>
      <c r="J192" s="326"/>
      <c r="K192" s="326"/>
      <c r="L192" s="326"/>
      <c r="M192" s="326"/>
      <c r="N192" s="326"/>
      <c r="O192" s="326"/>
      <c r="P192" s="326"/>
      <c r="Q192" s="326"/>
      <c r="R192" s="326"/>
      <c r="S192" s="326"/>
      <c r="T192" s="326"/>
      <c r="U192" s="326"/>
      <c r="V192" s="326"/>
      <c r="W192" s="326"/>
      <c r="X192" s="326"/>
      <c r="Y192" s="326"/>
      <c r="Z192" s="326"/>
      <c r="AA192" s="326"/>
      <c r="AB192" s="326"/>
      <c r="AC192" s="326"/>
      <c r="AD192" s="326"/>
      <c r="AE192" s="326"/>
      <c r="AF192" s="326"/>
      <c r="AG192" s="326"/>
      <c r="AH192" s="326"/>
      <c r="AI192" s="326"/>
      <c r="AJ192" s="326"/>
      <c r="AK192" s="326"/>
      <c r="AL192" s="326"/>
      <c r="AM192" s="326"/>
      <c r="AN192" s="326"/>
      <c r="AO192" s="531"/>
      <c r="AP192" s="531"/>
      <c r="AQ192" s="532"/>
      <c r="AR192" s="532"/>
      <c r="AS192" s="532"/>
      <c r="AT192" s="532"/>
      <c r="AU192" s="532"/>
      <c r="AV192" s="532"/>
      <c r="AW192" s="326"/>
      <c r="AX192" s="326"/>
      <c r="AY192" s="326"/>
      <c r="AZ192" s="326"/>
      <c r="BA192" s="326"/>
      <c r="BB192" s="326"/>
      <c r="BC192" s="326"/>
      <c r="BD192" s="326"/>
      <c r="BE192" s="326"/>
      <c r="BF192" s="326"/>
      <c r="BG192" s="326"/>
      <c r="BH192" s="326"/>
      <c r="BI192" s="326"/>
      <c r="BJ192" s="326"/>
      <c r="BK192" s="326"/>
      <c r="BL192" s="326"/>
      <c r="BM192" s="326"/>
      <c r="BN192" s="326"/>
      <c r="BO192" s="326"/>
      <c r="BP192" s="326"/>
      <c r="BQ192" s="532"/>
      <c r="BR192" s="532"/>
      <c r="BS192" s="532"/>
      <c r="BT192" s="532"/>
      <c r="BU192" s="532"/>
      <c r="BV192" s="532"/>
      <c r="BW192" s="533"/>
      <c r="BX192" s="533"/>
      <c r="BY192" s="533"/>
      <c r="BZ192" s="533"/>
      <c r="CA192" s="533"/>
      <c r="CB192" s="533"/>
      <c r="CC192" s="533"/>
      <c r="CD192" s="533"/>
      <c r="CE192" s="533"/>
      <c r="CF192" s="533"/>
      <c r="CG192" s="533"/>
      <c r="CH192" s="533"/>
      <c r="CI192" s="533"/>
      <c r="CJ192" s="533"/>
      <c r="CK192" s="533"/>
      <c r="CL192" s="533"/>
      <c r="CM192" s="533"/>
      <c r="CN192" s="533"/>
      <c r="CO192" s="533"/>
      <c r="CP192" s="533"/>
      <c r="CQ192" s="533"/>
      <c r="CR192" s="533"/>
      <c r="CS192" s="533"/>
      <c r="CT192" s="533"/>
      <c r="CU192" s="533"/>
      <c r="CV192" s="533"/>
      <c r="CW192" s="533"/>
      <c r="CX192" s="533"/>
      <c r="CY192" s="533"/>
      <c r="CZ192" s="533"/>
      <c r="DA192" s="533"/>
      <c r="DB192" s="533"/>
      <c r="DC192" s="533"/>
      <c r="DD192" s="533"/>
      <c r="DE192" s="533"/>
      <c r="DF192" s="533"/>
      <c r="DG192" s="533"/>
      <c r="DH192" s="533"/>
      <c r="DI192" s="533"/>
      <c r="DJ192" s="533"/>
      <c r="DK192" s="533"/>
      <c r="DL192" s="533"/>
      <c r="DM192" s="533"/>
      <c r="DN192" s="533"/>
      <c r="DO192" s="533"/>
      <c r="DP192" s="533"/>
      <c r="DQ192" s="533"/>
      <c r="DR192" s="533"/>
      <c r="DS192" s="533"/>
      <c r="DT192" s="533"/>
      <c r="DU192" s="533"/>
      <c r="DV192" s="533"/>
      <c r="DW192" s="533"/>
      <c r="DX192" s="533"/>
      <c r="DY192" s="533"/>
      <c r="DZ192" s="533"/>
      <c r="EA192" s="533"/>
      <c r="EB192" s="533"/>
      <c r="EC192" s="533"/>
      <c r="ED192" s="533"/>
      <c r="EE192" s="533"/>
      <c r="EF192" s="533"/>
      <c r="EG192" s="533"/>
      <c r="EH192" s="533"/>
      <c r="EI192" s="533"/>
      <c r="EJ192" s="533"/>
      <c r="EK192" s="533"/>
      <c r="EL192" s="533"/>
      <c r="EM192" s="533"/>
      <c r="EN192" s="533"/>
      <c r="EO192" s="533"/>
      <c r="EP192" s="533"/>
      <c r="EQ192" s="533"/>
      <c r="ER192" s="533"/>
      <c r="ES192" s="533"/>
      <c r="ET192" s="533"/>
      <c r="EU192" s="533"/>
      <c r="EV192" s="533"/>
      <c r="EW192" s="533"/>
      <c r="EX192" s="533"/>
      <c r="EY192" s="533"/>
      <c r="EZ192" s="533"/>
      <c r="FA192" s="533"/>
      <c r="FB192" s="533"/>
      <c r="FC192" s="533"/>
      <c r="FD192" s="533"/>
      <c r="FE192" s="533"/>
      <c r="FF192" s="533"/>
      <c r="FG192" s="533"/>
      <c r="FH192" s="533"/>
      <c r="FI192" s="533"/>
      <c r="FJ192" s="533"/>
      <c r="FK192" s="533"/>
      <c r="FL192" s="533"/>
      <c r="FM192" s="533"/>
      <c r="FN192" s="533"/>
      <c r="FO192" s="533"/>
      <c r="FP192" s="533"/>
      <c r="FQ192" s="533"/>
      <c r="FR192" s="533"/>
      <c r="FS192" s="533"/>
      <c r="FT192" s="533"/>
      <c r="FU192" s="533"/>
      <c r="FV192" s="533"/>
      <c r="FW192" s="533"/>
      <c r="FX192" s="533"/>
      <c r="FY192" s="533"/>
      <c r="FZ192" s="533"/>
      <c r="GA192" s="533"/>
      <c r="GB192" s="533"/>
      <c r="GC192" s="533"/>
      <c r="GD192" s="533"/>
      <c r="GE192" s="533"/>
      <c r="GF192" s="533"/>
      <c r="GG192" s="533"/>
      <c r="GH192" s="533"/>
      <c r="GI192" s="533"/>
      <c r="GJ192" s="533"/>
      <c r="GK192" s="533"/>
      <c r="GL192" s="533"/>
      <c r="GM192" s="533"/>
      <c r="GN192" s="533"/>
      <c r="GO192" s="533"/>
      <c r="GP192" s="533"/>
      <c r="GQ192" s="533"/>
      <c r="GR192" s="533"/>
      <c r="GS192" s="533"/>
      <c r="GT192" s="533"/>
      <c r="GU192" s="533"/>
      <c r="GV192" s="533"/>
      <c r="GW192" s="533"/>
      <c r="GX192" s="533"/>
      <c r="GY192" s="533"/>
      <c r="GZ192" s="533"/>
      <c r="HA192" s="533"/>
      <c r="HB192" s="534"/>
    </row>
    <row r="193" spans="1:242" ht="20.100000000000001" customHeight="1">
      <c r="A193" s="164"/>
      <c r="B193" s="306" t="s">
        <v>1475</v>
      </c>
      <c r="C193" s="503"/>
      <c r="D193" s="503"/>
      <c r="E193" s="503"/>
      <c r="F193" s="503"/>
      <c r="G193" s="326"/>
      <c r="H193" s="326"/>
      <c r="I193" s="326"/>
      <c r="J193" s="326"/>
      <c r="K193" s="326"/>
      <c r="L193" s="326"/>
      <c r="M193" s="326"/>
      <c r="N193" s="326"/>
      <c r="O193" s="326"/>
      <c r="P193" s="326"/>
      <c r="Q193" s="326"/>
      <c r="R193" s="326"/>
      <c r="S193" s="326"/>
      <c r="T193" s="326"/>
      <c r="U193" s="326"/>
      <c r="V193" s="326"/>
      <c r="W193" s="326"/>
      <c r="X193" s="326"/>
      <c r="Y193" s="326"/>
      <c r="Z193" s="326"/>
      <c r="AA193" s="326"/>
      <c r="AB193" s="326"/>
      <c r="AC193" s="326"/>
      <c r="AD193" s="326"/>
      <c r="AE193" s="326"/>
      <c r="AF193" s="326"/>
      <c r="AG193" s="326"/>
      <c r="AH193" s="326"/>
      <c r="AI193" s="326"/>
      <c r="AJ193" s="326"/>
      <c r="AK193" s="326"/>
      <c r="AL193" s="326"/>
      <c r="AM193" s="326"/>
      <c r="AN193" s="326"/>
      <c r="AO193" s="531"/>
      <c r="AP193" s="531"/>
      <c r="AQ193" s="532"/>
      <c r="AR193" s="532"/>
      <c r="AS193" s="532"/>
      <c r="AT193" s="532"/>
      <c r="AU193" s="532"/>
      <c r="AV193" s="532"/>
      <c r="AW193" s="326"/>
      <c r="AX193" s="326"/>
      <c r="AY193" s="326"/>
      <c r="AZ193" s="326"/>
      <c r="BA193" s="326"/>
      <c r="BB193" s="326"/>
      <c r="BC193" s="326"/>
      <c r="BD193" s="326"/>
      <c r="BE193" s="326"/>
      <c r="BF193" s="326"/>
      <c r="BG193" s="326"/>
      <c r="BH193" s="326"/>
      <c r="BI193" s="326"/>
      <c r="BJ193" s="326"/>
      <c r="BK193" s="326"/>
      <c r="BL193" s="326"/>
      <c r="BM193" s="326"/>
      <c r="BN193" s="326"/>
      <c r="BO193" s="326"/>
      <c r="BP193" s="326"/>
      <c r="BQ193" s="532"/>
      <c r="BR193" s="532"/>
      <c r="BS193" s="532"/>
      <c r="BT193" s="532"/>
      <c r="BU193" s="532"/>
      <c r="BV193" s="532"/>
      <c r="BW193" s="533"/>
      <c r="BX193" s="533"/>
      <c r="BY193" s="533"/>
      <c r="BZ193" s="533"/>
      <c r="CA193" s="533"/>
      <c r="CB193" s="533"/>
      <c r="CC193" s="533"/>
      <c r="CD193" s="533"/>
      <c r="CE193" s="533"/>
      <c r="CF193" s="533"/>
      <c r="CG193" s="533"/>
      <c r="CH193" s="533"/>
      <c r="CI193" s="533"/>
      <c r="CJ193" s="533"/>
      <c r="CK193" s="533"/>
      <c r="CL193" s="533"/>
      <c r="CM193" s="533"/>
      <c r="CN193" s="533"/>
      <c r="CO193" s="533"/>
      <c r="CP193" s="533"/>
      <c r="CQ193" s="533"/>
      <c r="CR193" s="533"/>
      <c r="CS193" s="533"/>
      <c r="CT193" s="533"/>
      <c r="CU193" s="533"/>
      <c r="CV193" s="533"/>
      <c r="CW193" s="533"/>
      <c r="CX193" s="533"/>
      <c r="CY193" s="533"/>
      <c r="CZ193" s="533"/>
      <c r="DA193" s="533"/>
      <c r="DB193" s="533"/>
      <c r="DC193" s="533"/>
      <c r="DD193" s="533"/>
      <c r="DE193" s="533"/>
      <c r="DF193" s="533"/>
      <c r="DG193" s="533"/>
      <c r="DH193" s="533"/>
      <c r="DI193" s="533"/>
      <c r="DJ193" s="533"/>
      <c r="DK193" s="533"/>
      <c r="DL193" s="533"/>
      <c r="DM193" s="533"/>
      <c r="DN193" s="533"/>
      <c r="DO193" s="533"/>
      <c r="DP193" s="533"/>
      <c r="DQ193" s="533"/>
      <c r="DR193" s="533"/>
      <c r="DS193" s="533"/>
      <c r="DT193" s="533"/>
      <c r="DU193" s="533"/>
      <c r="DV193" s="533"/>
      <c r="DW193" s="533"/>
      <c r="DX193" s="533"/>
      <c r="DY193" s="533"/>
      <c r="DZ193" s="533"/>
      <c r="EA193" s="533"/>
      <c r="EB193" s="533"/>
      <c r="EC193" s="533"/>
      <c r="ED193" s="533"/>
      <c r="EE193" s="533"/>
      <c r="EF193" s="533"/>
      <c r="EG193" s="533"/>
      <c r="EH193" s="533"/>
      <c r="EI193" s="533"/>
      <c r="EJ193" s="533"/>
      <c r="EK193" s="533"/>
      <c r="EL193" s="533"/>
      <c r="EM193" s="533"/>
      <c r="EN193" s="533"/>
      <c r="EO193" s="533"/>
      <c r="EP193" s="533"/>
      <c r="EQ193" s="533"/>
      <c r="ER193" s="533"/>
      <c r="ES193" s="533"/>
      <c r="ET193" s="533"/>
      <c r="EU193" s="533"/>
      <c r="EV193" s="533"/>
      <c r="EW193" s="533"/>
      <c r="EX193" s="533"/>
      <c r="EY193" s="533"/>
      <c r="EZ193" s="533"/>
      <c r="FA193" s="533"/>
      <c r="FB193" s="533"/>
      <c r="FC193" s="533"/>
      <c r="FD193" s="533"/>
      <c r="FE193" s="533"/>
      <c r="FF193" s="533"/>
      <c r="FG193" s="533"/>
      <c r="FH193" s="533"/>
      <c r="FI193" s="533"/>
      <c r="FJ193" s="533"/>
      <c r="FK193" s="533"/>
      <c r="FL193" s="533"/>
      <c r="FM193" s="533"/>
      <c r="FN193" s="533"/>
      <c r="FO193" s="533"/>
      <c r="FP193" s="533"/>
      <c r="FQ193" s="533"/>
      <c r="FR193" s="533"/>
      <c r="FS193" s="533"/>
      <c r="FT193" s="533"/>
      <c r="FU193" s="533"/>
      <c r="FV193" s="533"/>
      <c r="FW193" s="533"/>
      <c r="FX193" s="533"/>
      <c r="FY193" s="533"/>
      <c r="FZ193" s="533"/>
      <c r="GA193" s="533"/>
      <c r="GB193" s="533"/>
      <c r="GC193" s="533"/>
      <c r="GD193" s="533"/>
      <c r="GE193" s="533"/>
      <c r="GF193" s="533"/>
      <c r="GG193" s="533"/>
      <c r="GH193" s="533"/>
      <c r="GI193" s="533"/>
      <c r="GJ193" s="533"/>
      <c r="GK193" s="533"/>
      <c r="GL193" s="533"/>
      <c r="GM193" s="533"/>
      <c r="GN193" s="533"/>
      <c r="GO193" s="533"/>
      <c r="GP193" s="533"/>
      <c r="GQ193" s="533"/>
      <c r="GR193" s="533"/>
      <c r="GS193" s="533"/>
      <c r="GT193" s="533"/>
      <c r="GU193" s="533"/>
      <c r="GV193" s="533"/>
      <c r="GW193" s="533"/>
      <c r="GX193" s="533"/>
      <c r="GY193" s="533"/>
      <c r="GZ193" s="533"/>
      <c r="HA193" s="533"/>
      <c r="HB193" s="534"/>
    </row>
    <row r="194" spans="1:242" ht="20.100000000000001" customHeight="1">
      <c r="A194" s="164"/>
      <c r="B194" s="306" t="s">
        <v>1476</v>
      </c>
      <c r="C194" s="503"/>
      <c r="D194" s="503"/>
      <c r="E194" s="503"/>
      <c r="F194" s="503"/>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c r="AF194" s="326"/>
      <c r="AG194" s="326"/>
      <c r="AH194" s="326"/>
      <c r="AI194" s="326"/>
      <c r="AJ194" s="326"/>
      <c r="AK194" s="326"/>
      <c r="AL194" s="326"/>
      <c r="AM194" s="326"/>
      <c r="AN194" s="326"/>
      <c r="AO194" s="531"/>
      <c r="AP194" s="531"/>
      <c r="AQ194" s="532"/>
      <c r="AR194" s="532"/>
      <c r="AS194" s="532"/>
      <c r="AT194" s="532"/>
      <c r="AU194" s="532"/>
      <c r="AV194" s="532"/>
      <c r="AW194" s="326"/>
      <c r="AX194" s="326"/>
      <c r="AY194" s="326"/>
      <c r="AZ194" s="326"/>
      <c r="BA194" s="326"/>
      <c r="BB194" s="326"/>
      <c r="BC194" s="326"/>
      <c r="BD194" s="326"/>
      <c r="BE194" s="326"/>
      <c r="BF194" s="326"/>
      <c r="BG194" s="326"/>
      <c r="BH194" s="326"/>
      <c r="BI194" s="326"/>
      <c r="BJ194" s="326"/>
      <c r="BK194" s="326"/>
      <c r="BL194" s="326"/>
      <c r="BM194" s="326"/>
      <c r="BN194" s="326"/>
      <c r="BO194" s="326"/>
      <c r="BP194" s="326"/>
      <c r="BQ194" s="532"/>
      <c r="BR194" s="532"/>
      <c r="BS194" s="532"/>
      <c r="BT194" s="532"/>
      <c r="BU194" s="532"/>
      <c r="BV194" s="532"/>
      <c r="BW194" s="533"/>
      <c r="BX194" s="533"/>
      <c r="BY194" s="533"/>
      <c r="BZ194" s="533"/>
      <c r="CA194" s="533"/>
      <c r="CB194" s="533"/>
      <c r="CC194" s="533"/>
      <c r="CD194" s="533"/>
      <c r="CE194" s="533"/>
      <c r="CF194" s="533"/>
      <c r="CG194" s="533"/>
      <c r="CH194" s="533"/>
      <c r="CI194" s="533"/>
      <c r="CJ194" s="533"/>
      <c r="CK194" s="533"/>
      <c r="CL194" s="533"/>
      <c r="CM194" s="533"/>
      <c r="CN194" s="533"/>
      <c r="CO194" s="533"/>
      <c r="CP194" s="533"/>
      <c r="CQ194" s="533"/>
      <c r="CR194" s="533"/>
      <c r="CS194" s="533"/>
      <c r="CT194" s="533"/>
      <c r="CU194" s="533"/>
      <c r="CV194" s="533"/>
      <c r="CW194" s="533"/>
      <c r="CX194" s="533"/>
      <c r="CY194" s="533"/>
      <c r="CZ194" s="533"/>
      <c r="DA194" s="533"/>
      <c r="DB194" s="533"/>
      <c r="DC194" s="533"/>
      <c r="DD194" s="533"/>
      <c r="DE194" s="533"/>
      <c r="DF194" s="533"/>
      <c r="DG194" s="533"/>
      <c r="DH194" s="533"/>
      <c r="DI194" s="533"/>
      <c r="DJ194" s="533"/>
      <c r="DK194" s="533"/>
      <c r="DL194" s="533"/>
      <c r="DM194" s="533"/>
      <c r="DN194" s="533"/>
      <c r="DO194" s="533"/>
      <c r="DP194" s="533"/>
      <c r="DQ194" s="533"/>
      <c r="DR194" s="533"/>
      <c r="DS194" s="533"/>
      <c r="DT194" s="533"/>
      <c r="DU194" s="533"/>
      <c r="DV194" s="533"/>
      <c r="DW194" s="533"/>
      <c r="DX194" s="533"/>
      <c r="DY194" s="533"/>
      <c r="DZ194" s="533"/>
      <c r="EA194" s="533"/>
      <c r="EB194" s="533"/>
      <c r="EC194" s="533"/>
      <c r="ED194" s="533"/>
      <c r="EE194" s="533"/>
      <c r="EF194" s="533"/>
      <c r="EG194" s="533"/>
      <c r="EH194" s="533"/>
      <c r="EI194" s="533"/>
      <c r="EJ194" s="533"/>
      <c r="EK194" s="533"/>
      <c r="EL194" s="533"/>
      <c r="EM194" s="533"/>
      <c r="EN194" s="533"/>
      <c r="EO194" s="533"/>
      <c r="EP194" s="533"/>
      <c r="EQ194" s="533"/>
      <c r="ER194" s="533"/>
      <c r="ES194" s="533"/>
      <c r="ET194" s="533"/>
      <c r="EU194" s="533"/>
      <c r="EV194" s="533"/>
      <c r="EW194" s="533"/>
      <c r="EX194" s="533"/>
      <c r="EY194" s="533"/>
      <c r="EZ194" s="533"/>
      <c r="FA194" s="533"/>
      <c r="FB194" s="533"/>
      <c r="FC194" s="533"/>
      <c r="FD194" s="533"/>
      <c r="FE194" s="533"/>
      <c r="FF194" s="533"/>
      <c r="FG194" s="533"/>
      <c r="FH194" s="533"/>
      <c r="FI194" s="533"/>
      <c r="FJ194" s="533"/>
      <c r="FK194" s="533"/>
      <c r="FL194" s="533"/>
      <c r="FM194" s="533"/>
      <c r="FN194" s="533"/>
      <c r="FO194" s="533"/>
      <c r="FP194" s="533"/>
      <c r="FQ194" s="533"/>
      <c r="FR194" s="533"/>
      <c r="FS194" s="533"/>
      <c r="FT194" s="533"/>
      <c r="FU194" s="533"/>
      <c r="FV194" s="533"/>
      <c r="FW194" s="533"/>
      <c r="FX194" s="533"/>
      <c r="FY194" s="533"/>
      <c r="FZ194" s="533"/>
      <c r="GA194" s="533"/>
      <c r="GB194" s="533"/>
      <c r="GC194" s="533"/>
      <c r="GD194" s="533"/>
      <c r="GE194" s="533"/>
      <c r="GF194" s="533"/>
      <c r="GG194" s="533"/>
      <c r="GH194" s="533"/>
      <c r="GI194" s="533"/>
      <c r="GJ194" s="533"/>
      <c r="GK194" s="533"/>
      <c r="GL194" s="533"/>
      <c r="GM194" s="533"/>
      <c r="GN194" s="533"/>
      <c r="GO194" s="533"/>
      <c r="GP194" s="533"/>
      <c r="GQ194" s="533"/>
      <c r="GR194" s="533"/>
      <c r="GS194" s="533"/>
      <c r="GT194" s="533"/>
      <c r="GU194" s="533"/>
      <c r="GV194" s="533"/>
      <c r="GW194" s="533"/>
      <c r="GX194" s="533"/>
      <c r="GY194" s="533"/>
      <c r="GZ194" s="533"/>
      <c r="HA194" s="533"/>
      <c r="HB194" s="534"/>
    </row>
    <row r="195" spans="1:242" ht="20.100000000000001" customHeight="1">
      <c r="A195" s="164"/>
      <c r="B195" s="306" t="s">
        <v>1477</v>
      </c>
      <c r="C195" s="503"/>
      <c r="D195" s="503"/>
      <c r="E195" s="503"/>
      <c r="F195" s="503"/>
      <c r="G195" s="326"/>
      <c r="H195" s="326"/>
      <c r="I195" s="326"/>
      <c r="J195" s="326"/>
      <c r="K195" s="326"/>
      <c r="L195" s="326"/>
      <c r="M195" s="326"/>
      <c r="N195" s="326"/>
      <c r="O195" s="326"/>
      <c r="P195" s="326"/>
      <c r="Q195" s="326"/>
      <c r="R195" s="326"/>
      <c r="S195" s="326"/>
      <c r="T195" s="326"/>
      <c r="U195" s="326"/>
      <c r="V195" s="326"/>
      <c r="W195" s="326"/>
      <c r="X195" s="326"/>
      <c r="Y195" s="326"/>
      <c r="Z195" s="326"/>
      <c r="AA195" s="326"/>
      <c r="AB195" s="326"/>
      <c r="AC195" s="326"/>
      <c r="AD195" s="326"/>
      <c r="AE195" s="326"/>
      <c r="AF195" s="326"/>
      <c r="AG195" s="326"/>
      <c r="AH195" s="326"/>
      <c r="AI195" s="326"/>
      <c r="AJ195" s="326"/>
      <c r="AK195" s="326"/>
      <c r="AL195" s="326"/>
      <c r="AM195" s="326"/>
      <c r="AN195" s="326"/>
      <c r="AO195" s="531"/>
      <c r="AP195" s="531"/>
      <c r="AQ195" s="532"/>
      <c r="AR195" s="532"/>
      <c r="AS195" s="532"/>
      <c r="AT195" s="532"/>
      <c r="AU195" s="532"/>
      <c r="AV195" s="532"/>
      <c r="AW195" s="326"/>
      <c r="AX195" s="326"/>
      <c r="AY195" s="326"/>
      <c r="AZ195" s="326"/>
      <c r="BA195" s="326"/>
      <c r="BB195" s="326"/>
      <c r="BC195" s="326"/>
      <c r="BD195" s="326"/>
      <c r="BE195" s="326"/>
      <c r="BF195" s="326"/>
      <c r="BG195" s="326"/>
      <c r="BH195" s="326"/>
      <c r="BI195" s="326"/>
      <c r="BJ195" s="326"/>
      <c r="BK195" s="326"/>
      <c r="BL195" s="326"/>
      <c r="BM195" s="326"/>
      <c r="BN195" s="326"/>
      <c r="BO195" s="326"/>
      <c r="BP195" s="326"/>
      <c r="BQ195" s="532"/>
      <c r="BR195" s="532"/>
      <c r="BS195" s="532"/>
      <c r="BT195" s="532"/>
      <c r="BU195" s="532"/>
      <c r="BV195" s="532"/>
      <c r="BW195" s="533"/>
      <c r="BX195" s="533"/>
      <c r="BY195" s="533"/>
      <c r="BZ195" s="533"/>
      <c r="CA195" s="533"/>
      <c r="CB195" s="533"/>
      <c r="CC195" s="533"/>
      <c r="CD195" s="533"/>
      <c r="CE195" s="533"/>
      <c r="CF195" s="533"/>
      <c r="CG195" s="533"/>
      <c r="CH195" s="533"/>
      <c r="CI195" s="533"/>
      <c r="CJ195" s="533"/>
      <c r="CK195" s="533"/>
      <c r="CL195" s="533"/>
      <c r="CM195" s="533"/>
      <c r="CN195" s="533"/>
      <c r="CO195" s="533"/>
      <c r="CP195" s="533"/>
      <c r="CQ195" s="533"/>
      <c r="CR195" s="533"/>
      <c r="CS195" s="533"/>
      <c r="CT195" s="533"/>
      <c r="CU195" s="533"/>
      <c r="CV195" s="533"/>
      <c r="CW195" s="533"/>
      <c r="CX195" s="533"/>
      <c r="CY195" s="533"/>
      <c r="CZ195" s="533"/>
      <c r="DA195" s="533"/>
      <c r="DB195" s="533"/>
      <c r="DC195" s="533"/>
      <c r="DD195" s="533"/>
      <c r="DE195" s="533"/>
      <c r="DF195" s="533"/>
      <c r="DG195" s="533"/>
      <c r="DH195" s="533"/>
      <c r="DI195" s="533"/>
      <c r="DJ195" s="533"/>
      <c r="DK195" s="533"/>
      <c r="DL195" s="533"/>
      <c r="DM195" s="533"/>
      <c r="DN195" s="533"/>
      <c r="DO195" s="533"/>
      <c r="DP195" s="533"/>
      <c r="DQ195" s="533"/>
      <c r="DR195" s="533"/>
      <c r="DS195" s="533"/>
      <c r="DT195" s="533"/>
      <c r="DU195" s="533"/>
      <c r="DV195" s="533"/>
      <c r="DW195" s="533"/>
      <c r="DX195" s="533"/>
      <c r="DY195" s="533"/>
      <c r="DZ195" s="533"/>
      <c r="EA195" s="533"/>
      <c r="EB195" s="533"/>
      <c r="EC195" s="533"/>
      <c r="ED195" s="533"/>
      <c r="EE195" s="533"/>
      <c r="EF195" s="533"/>
      <c r="EG195" s="533"/>
      <c r="EH195" s="533"/>
      <c r="EI195" s="533"/>
      <c r="EJ195" s="533"/>
      <c r="EK195" s="533"/>
      <c r="EL195" s="533"/>
      <c r="EM195" s="533"/>
      <c r="EN195" s="533"/>
      <c r="EO195" s="533"/>
      <c r="EP195" s="533"/>
      <c r="EQ195" s="533"/>
      <c r="ER195" s="533"/>
      <c r="ES195" s="533"/>
      <c r="ET195" s="533"/>
      <c r="EU195" s="533"/>
      <c r="EV195" s="533"/>
      <c r="EW195" s="533"/>
      <c r="EX195" s="533"/>
      <c r="EY195" s="533"/>
      <c r="EZ195" s="533"/>
      <c r="FA195" s="533"/>
      <c r="FB195" s="533"/>
      <c r="FC195" s="533"/>
      <c r="FD195" s="533"/>
      <c r="FE195" s="533"/>
      <c r="FF195" s="533"/>
      <c r="FG195" s="533"/>
      <c r="FH195" s="533"/>
      <c r="FI195" s="533"/>
      <c r="FJ195" s="533"/>
      <c r="FK195" s="533"/>
      <c r="FL195" s="533"/>
      <c r="FM195" s="533"/>
      <c r="FN195" s="533"/>
      <c r="FO195" s="533"/>
      <c r="FP195" s="533"/>
      <c r="FQ195" s="533"/>
      <c r="FR195" s="533"/>
      <c r="FS195" s="533"/>
      <c r="FT195" s="533"/>
      <c r="FU195" s="533"/>
      <c r="FV195" s="533"/>
      <c r="FW195" s="533"/>
      <c r="FX195" s="533"/>
      <c r="FY195" s="533"/>
      <c r="FZ195" s="533"/>
      <c r="GA195" s="533"/>
      <c r="GB195" s="533"/>
      <c r="GC195" s="533"/>
      <c r="GD195" s="533"/>
      <c r="GE195" s="533"/>
      <c r="GF195" s="533"/>
      <c r="GG195" s="533"/>
      <c r="GH195" s="533"/>
      <c r="GI195" s="533"/>
      <c r="GJ195" s="533"/>
      <c r="GK195" s="533"/>
      <c r="GL195" s="533"/>
      <c r="GM195" s="533"/>
      <c r="GN195" s="533"/>
      <c r="GO195" s="533"/>
      <c r="GP195" s="533"/>
      <c r="GQ195" s="533"/>
      <c r="GR195" s="533"/>
      <c r="GS195" s="533"/>
      <c r="GT195" s="533"/>
      <c r="GU195" s="533"/>
      <c r="GV195" s="533"/>
      <c r="GW195" s="533"/>
      <c r="GX195" s="533"/>
      <c r="GY195" s="533"/>
      <c r="GZ195" s="533"/>
      <c r="HA195" s="533"/>
      <c r="HB195" s="534"/>
    </row>
    <row r="196" spans="1:242" ht="20.100000000000001" customHeight="1">
      <c r="A196" s="164"/>
      <c r="B196" s="306" t="s">
        <v>1478</v>
      </c>
      <c r="C196" s="503"/>
      <c r="D196" s="503"/>
      <c r="E196" s="503"/>
      <c r="F196" s="503"/>
      <c r="G196" s="326"/>
      <c r="H196" s="326"/>
      <c r="I196" s="326"/>
      <c r="J196" s="326"/>
      <c r="K196" s="326"/>
      <c r="L196" s="326"/>
      <c r="M196" s="326"/>
      <c r="N196" s="326"/>
      <c r="O196" s="326"/>
      <c r="P196" s="326"/>
      <c r="Q196" s="326"/>
      <c r="R196" s="326"/>
      <c r="S196" s="326"/>
      <c r="T196" s="326"/>
      <c r="U196" s="326"/>
      <c r="V196" s="326"/>
      <c r="W196" s="326"/>
      <c r="X196" s="326"/>
      <c r="Y196" s="326"/>
      <c r="Z196" s="326"/>
      <c r="AA196" s="326"/>
      <c r="AB196" s="326"/>
      <c r="AC196" s="326"/>
      <c r="AD196" s="326"/>
      <c r="AE196" s="326"/>
      <c r="AF196" s="326"/>
      <c r="AG196" s="326"/>
      <c r="AH196" s="326"/>
      <c r="AI196" s="326"/>
      <c r="AJ196" s="326"/>
      <c r="AK196" s="326"/>
      <c r="AL196" s="326"/>
      <c r="AM196" s="326"/>
      <c r="AN196" s="326"/>
      <c r="AO196" s="531"/>
      <c r="AP196" s="531"/>
      <c r="AQ196" s="532"/>
      <c r="AR196" s="532"/>
      <c r="AS196" s="532"/>
      <c r="AT196" s="532"/>
      <c r="AU196" s="532"/>
      <c r="AV196" s="532"/>
      <c r="AW196" s="326"/>
      <c r="AX196" s="326"/>
      <c r="AY196" s="326"/>
      <c r="AZ196" s="326"/>
      <c r="BA196" s="326"/>
      <c r="BB196" s="326"/>
      <c r="BC196" s="326"/>
      <c r="BD196" s="326"/>
      <c r="BE196" s="326"/>
      <c r="BF196" s="326"/>
      <c r="BG196" s="326"/>
      <c r="BH196" s="326"/>
      <c r="BI196" s="326"/>
      <c r="BJ196" s="326"/>
      <c r="BK196" s="326"/>
      <c r="BL196" s="326"/>
      <c r="BM196" s="326"/>
      <c r="BN196" s="326"/>
      <c r="BO196" s="326"/>
      <c r="BP196" s="326"/>
      <c r="BQ196" s="532"/>
      <c r="BR196" s="532"/>
      <c r="BS196" s="532"/>
      <c r="BT196" s="532"/>
      <c r="BU196" s="532"/>
      <c r="BV196" s="532"/>
      <c r="BW196" s="533"/>
      <c r="BX196" s="533"/>
      <c r="BY196" s="533"/>
      <c r="BZ196" s="533"/>
      <c r="CA196" s="533"/>
      <c r="CB196" s="533"/>
      <c r="CC196" s="533"/>
      <c r="CD196" s="533"/>
      <c r="CE196" s="533"/>
      <c r="CF196" s="533"/>
      <c r="CG196" s="533"/>
      <c r="CH196" s="533"/>
      <c r="CI196" s="533"/>
      <c r="CJ196" s="533"/>
      <c r="CK196" s="533"/>
      <c r="CL196" s="533"/>
      <c r="CM196" s="533"/>
      <c r="CN196" s="533"/>
      <c r="CO196" s="533"/>
      <c r="CP196" s="533"/>
      <c r="CQ196" s="533"/>
      <c r="CR196" s="533"/>
      <c r="CS196" s="533"/>
      <c r="CT196" s="533"/>
      <c r="CU196" s="533"/>
      <c r="CV196" s="533"/>
      <c r="CW196" s="533"/>
      <c r="CX196" s="533"/>
      <c r="CY196" s="533"/>
      <c r="CZ196" s="533"/>
      <c r="DA196" s="533"/>
      <c r="DB196" s="533"/>
      <c r="DC196" s="533"/>
      <c r="DD196" s="533"/>
      <c r="DE196" s="533"/>
      <c r="DF196" s="533"/>
      <c r="DG196" s="533"/>
      <c r="DH196" s="533"/>
      <c r="DI196" s="533"/>
      <c r="DJ196" s="533"/>
      <c r="DK196" s="533"/>
      <c r="DL196" s="533"/>
      <c r="DM196" s="533"/>
      <c r="DN196" s="533"/>
      <c r="DO196" s="533"/>
      <c r="DP196" s="533"/>
      <c r="DQ196" s="533"/>
      <c r="DR196" s="533"/>
      <c r="DS196" s="533"/>
      <c r="DT196" s="533"/>
      <c r="DU196" s="533"/>
      <c r="DV196" s="533"/>
      <c r="DW196" s="533"/>
      <c r="DX196" s="533"/>
      <c r="DY196" s="533"/>
      <c r="DZ196" s="533"/>
      <c r="EA196" s="533"/>
      <c r="EB196" s="533"/>
      <c r="EC196" s="533"/>
      <c r="ED196" s="533"/>
      <c r="EE196" s="533"/>
      <c r="EF196" s="533"/>
      <c r="EG196" s="533"/>
      <c r="EH196" s="533"/>
      <c r="EI196" s="533"/>
      <c r="EJ196" s="533"/>
      <c r="EK196" s="533"/>
      <c r="EL196" s="533"/>
      <c r="EM196" s="533"/>
      <c r="EN196" s="533"/>
      <c r="EO196" s="533"/>
      <c r="EP196" s="533"/>
      <c r="EQ196" s="533"/>
      <c r="ER196" s="533"/>
      <c r="ES196" s="533"/>
      <c r="ET196" s="533"/>
      <c r="EU196" s="533"/>
      <c r="EV196" s="533"/>
      <c r="EW196" s="533"/>
      <c r="EX196" s="533"/>
      <c r="EY196" s="533"/>
      <c r="EZ196" s="533"/>
      <c r="FA196" s="533"/>
      <c r="FB196" s="533"/>
      <c r="FC196" s="533"/>
      <c r="FD196" s="533"/>
      <c r="FE196" s="533"/>
      <c r="FF196" s="533"/>
      <c r="FG196" s="533"/>
      <c r="FH196" s="533"/>
      <c r="FI196" s="533"/>
      <c r="FJ196" s="533"/>
      <c r="FK196" s="533"/>
      <c r="FL196" s="533"/>
      <c r="FM196" s="533"/>
      <c r="FN196" s="533"/>
      <c r="FO196" s="533"/>
      <c r="FP196" s="533"/>
      <c r="FQ196" s="533"/>
      <c r="FR196" s="533"/>
      <c r="FS196" s="533"/>
      <c r="FT196" s="533"/>
      <c r="FU196" s="533"/>
      <c r="FV196" s="533"/>
      <c r="FW196" s="533"/>
      <c r="FX196" s="533"/>
      <c r="FY196" s="533"/>
      <c r="FZ196" s="533"/>
      <c r="GA196" s="533"/>
      <c r="GB196" s="533"/>
      <c r="GC196" s="533"/>
      <c r="GD196" s="533"/>
      <c r="GE196" s="533"/>
      <c r="GF196" s="533"/>
      <c r="GG196" s="533"/>
      <c r="GH196" s="533"/>
      <c r="GI196" s="533"/>
      <c r="GJ196" s="533"/>
      <c r="GK196" s="533"/>
      <c r="GL196" s="533"/>
      <c r="GM196" s="533"/>
      <c r="GN196" s="533"/>
      <c r="GO196" s="533"/>
      <c r="GP196" s="533"/>
      <c r="GQ196" s="533"/>
      <c r="GR196" s="533"/>
      <c r="GS196" s="533"/>
      <c r="GT196" s="533"/>
      <c r="GU196" s="533"/>
      <c r="GV196" s="533"/>
      <c r="GW196" s="533"/>
      <c r="GX196" s="533"/>
      <c r="GY196" s="533"/>
      <c r="GZ196" s="533"/>
      <c r="HA196" s="533"/>
      <c r="HB196" s="534"/>
    </row>
    <row r="197" spans="1:242" ht="20.100000000000001" customHeight="1">
      <c r="A197" s="164"/>
      <c r="B197" s="306" t="s">
        <v>1479</v>
      </c>
      <c r="C197" s="503"/>
      <c r="D197" s="503"/>
      <c r="E197" s="503"/>
      <c r="F197" s="503"/>
      <c r="G197" s="326"/>
      <c r="H197" s="326"/>
      <c r="I197" s="326"/>
      <c r="J197" s="326"/>
      <c r="K197" s="326"/>
      <c r="L197" s="326"/>
      <c r="M197" s="326"/>
      <c r="N197" s="326"/>
      <c r="O197" s="326"/>
      <c r="P197" s="326"/>
      <c r="Q197" s="326"/>
      <c r="R197" s="326"/>
      <c r="S197" s="326"/>
      <c r="T197" s="326"/>
      <c r="U197" s="326"/>
      <c r="V197" s="326"/>
      <c r="W197" s="326"/>
      <c r="X197" s="326"/>
      <c r="Y197" s="326"/>
      <c r="Z197" s="326"/>
      <c r="AA197" s="326"/>
      <c r="AB197" s="326"/>
      <c r="AC197" s="326"/>
      <c r="AD197" s="326"/>
      <c r="AE197" s="326"/>
      <c r="AF197" s="326"/>
      <c r="AG197" s="326"/>
      <c r="AH197" s="326"/>
      <c r="AI197" s="326"/>
      <c r="AJ197" s="326"/>
      <c r="AK197" s="326"/>
      <c r="AL197" s="326"/>
      <c r="AM197" s="326"/>
      <c r="AN197" s="326"/>
      <c r="AO197" s="531"/>
      <c r="AP197" s="531"/>
      <c r="AQ197" s="532"/>
      <c r="AR197" s="532"/>
      <c r="AS197" s="532"/>
      <c r="AT197" s="532"/>
      <c r="AU197" s="532"/>
      <c r="AV197" s="532"/>
      <c r="AW197" s="326"/>
      <c r="AX197" s="326"/>
      <c r="AY197" s="326"/>
      <c r="AZ197" s="326"/>
      <c r="BA197" s="326"/>
      <c r="BB197" s="326"/>
      <c r="BC197" s="326"/>
      <c r="BD197" s="326"/>
      <c r="BE197" s="326"/>
      <c r="BF197" s="326"/>
      <c r="BG197" s="326"/>
      <c r="BH197" s="326"/>
      <c r="BI197" s="326"/>
      <c r="BJ197" s="326"/>
      <c r="BK197" s="326"/>
      <c r="BL197" s="326"/>
      <c r="BM197" s="326"/>
      <c r="BN197" s="326"/>
      <c r="BO197" s="326"/>
      <c r="BP197" s="326"/>
      <c r="BQ197" s="532"/>
      <c r="BR197" s="532"/>
      <c r="BS197" s="532"/>
      <c r="BT197" s="532"/>
      <c r="BU197" s="532"/>
      <c r="BV197" s="532"/>
      <c r="BW197" s="533"/>
      <c r="BX197" s="533"/>
      <c r="BY197" s="533"/>
      <c r="BZ197" s="533"/>
      <c r="CA197" s="533"/>
      <c r="CB197" s="533"/>
      <c r="CC197" s="533"/>
      <c r="CD197" s="533"/>
      <c r="CE197" s="533"/>
      <c r="CF197" s="533"/>
      <c r="CG197" s="533"/>
      <c r="CH197" s="533"/>
      <c r="CI197" s="533"/>
      <c r="CJ197" s="533"/>
      <c r="CK197" s="533"/>
      <c r="CL197" s="533"/>
      <c r="CM197" s="533"/>
      <c r="CN197" s="533"/>
      <c r="CO197" s="533"/>
      <c r="CP197" s="533"/>
      <c r="CQ197" s="533"/>
      <c r="CR197" s="533"/>
      <c r="CS197" s="533"/>
      <c r="CT197" s="533"/>
      <c r="CU197" s="533"/>
      <c r="CV197" s="533"/>
      <c r="CW197" s="533"/>
      <c r="CX197" s="533"/>
      <c r="CY197" s="533"/>
      <c r="CZ197" s="533"/>
      <c r="DA197" s="533"/>
      <c r="DB197" s="533"/>
      <c r="DC197" s="533"/>
      <c r="DD197" s="533"/>
      <c r="DE197" s="533"/>
      <c r="DF197" s="533"/>
      <c r="DG197" s="533"/>
      <c r="DH197" s="533"/>
      <c r="DI197" s="533"/>
      <c r="DJ197" s="533"/>
      <c r="DK197" s="533"/>
      <c r="DL197" s="533"/>
      <c r="DM197" s="533"/>
      <c r="DN197" s="533"/>
      <c r="DO197" s="533"/>
      <c r="DP197" s="533"/>
      <c r="DQ197" s="533"/>
      <c r="DR197" s="533"/>
      <c r="DS197" s="533"/>
      <c r="DT197" s="533"/>
      <c r="DU197" s="533"/>
      <c r="DV197" s="533"/>
      <c r="DW197" s="533"/>
      <c r="DX197" s="533"/>
      <c r="DY197" s="533"/>
      <c r="DZ197" s="533"/>
      <c r="EA197" s="533"/>
      <c r="EB197" s="533"/>
      <c r="EC197" s="533"/>
      <c r="ED197" s="533"/>
      <c r="EE197" s="533"/>
      <c r="EF197" s="533"/>
      <c r="EG197" s="533"/>
      <c r="EH197" s="533"/>
      <c r="EI197" s="533"/>
      <c r="EJ197" s="533"/>
      <c r="EK197" s="533"/>
      <c r="EL197" s="533"/>
      <c r="EM197" s="533"/>
      <c r="EN197" s="533"/>
      <c r="EO197" s="533"/>
      <c r="EP197" s="533"/>
      <c r="EQ197" s="533"/>
      <c r="ER197" s="533"/>
      <c r="ES197" s="533"/>
      <c r="ET197" s="533"/>
      <c r="EU197" s="533"/>
      <c r="EV197" s="533"/>
      <c r="EW197" s="533"/>
      <c r="EX197" s="533"/>
      <c r="EY197" s="533"/>
      <c r="EZ197" s="533"/>
      <c r="FA197" s="533"/>
      <c r="FB197" s="533"/>
      <c r="FC197" s="533"/>
      <c r="FD197" s="533"/>
      <c r="FE197" s="533"/>
      <c r="FF197" s="533"/>
      <c r="FG197" s="533"/>
      <c r="FH197" s="533"/>
      <c r="FI197" s="533"/>
      <c r="FJ197" s="533"/>
      <c r="FK197" s="533"/>
      <c r="FL197" s="533"/>
      <c r="FM197" s="533"/>
      <c r="FN197" s="533"/>
      <c r="FO197" s="533"/>
      <c r="FP197" s="533"/>
      <c r="FQ197" s="533"/>
      <c r="FR197" s="533"/>
      <c r="FS197" s="533"/>
      <c r="FT197" s="533"/>
      <c r="FU197" s="533"/>
      <c r="FV197" s="533"/>
      <c r="FW197" s="533"/>
      <c r="FX197" s="533"/>
      <c r="FY197" s="533"/>
      <c r="FZ197" s="533"/>
      <c r="GA197" s="533"/>
      <c r="GB197" s="533"/>
      <c r="GC197" s="533"/>
      <c r="GD197" s="533"/>
      <c r="GE197" s="533"/>
      <c r="GF197" s="533"/>
      <c r="GG197" s="533"/>
      <c r="GH197" s="533"/>
      <c r="GI197" s="533"/>
      <c r="GJ197" s="533"/>
      <c r="GK197" s="533"/>
      <c r="GL197" s="533"/>
      <c r="GM197" s="533"/>
      <c r="GN197" s="533"/>
      <c r="GO197" s="533"/>
      <c r="GP197" s="533"/>
      <c r="GQ197" s="533"/>
      <c r="GR197" s="533"/>
      <c r="GS197" s="533"/>
      <c r="GT197" s="533"/>
      <c r="GU197" s="533"/>
      <c r="GV197" s="533"/>
      <c r="GW197" s="533"/>
      <c r="GX197" s="533"/>
      <c r="GY197" s="533"/>
      <c r="GZ197" s="533"/>
      <c r="HA197" s="533"/>
      <c r="HB197" s="534"/>
    </row>
    <row r="198" spans="1:242" ht="20.100000000000001" customHeight="1">
      <c r="A198" s="164"/>
      <c r="B198" s="306" t="s">
        <v>1480</v>
      </c>
      <c r="C198" s="503"/>
      <c r="D198" s="503"/>
      <c r="E198" s="503"/>
      <c r="F198" s="503"/>
      <c r="G198" s="326"/>
      <c r="H198" s="326"/>
      <c r="I198" s="326"/>
      <c r="J198" s="326"/>
      <c r="K198" s="326"/>
      <c r="L198" s="326"/>
      <c r="M198" s="326"/>
      <c r="N198" s="326"/>
      <c r="O198" s="326"/>
      <c r="P198" s="326"/>
      <c r="Q198" s="326"/>
      <c r="R198" s="326"/>
      <c r="S198" s="326"/>
      <c r="T198" s="326"/>
      <c r="U198" s="326"/>
      <c r="V198" s="326"/>
      <c r="W198" s="326"/>
      <c r="X198" s="326"/>
      <c r="Y198" s="326"/>
      <c r="Z198" s="326"/>
      <c r="AA198" s="326"/>
      <c r="AB198" s="326"/>
      <c r="AC198" s="326"/>
      <c r="AD198" s="326"/>
      <c r="AE198" s="326"/>
      <c r="AF198" s="326"/>
      <c r="AG198" s="326"/>
      <c r="AH198" s="326"/>
      <c r="AI198" s="326"/>
      <c r="AJ198" s="326"/>
      <c r="AK198" s="326"/>
      <c r="AL198" s="326"/>
      <c r="AM198" s="326"/>
      <c r="AN198" s="326"/>
      <c r="AO198" s="531"/>
      <c r="AP198" s="531"/>
      <c r="AQ198" s="532"/>
      <c r="AR198" s="532"/>
      <c r="AS198" s="532"/>
      <c r="AT198" s="532"/>
      <c r="AU198" s="532"/>
      <c r="AV198" s="532"/>
      <c r="AW198" s="326"/>
      <c r="AX198" s="326"/>
      <c r="AY198" s="326"/>
      <c r="AZ198" s="326"/>
      <c r="BA198" s="326"/>
      <c r="BB198" s="326"/>
      <c r="BC198" s="326"/>
      <c r="BD198" s="326"/>
      <c r="BE198" s="326"/>
      <c r="BF198" s="326"/>
      <c r="BG198" s="326"/>
      <c r="BH198" s="326"/>
      <c r="BI198" s="326"/>
      <c r="BJ198" s="326"/>
      <c r="BK198" s="326"/>
      <c r="BL198" s="326"/>
      <c r="BM198" s="326"/>
      <c r="BN198" s="326"/>
      <c r="BO198" s="326"/>
      <c r="BP198" s="326"/>
      <c r="BQ198" s="532"/>
      <c r="BR198" s="532"/>
      <c r="BS198" s="532"/>
      <c r="BT198" s="532"/>
      <c r="BU198" s="532"/>
      <c r="BV198" s="532"/>
      <c r="BW198" s="533"/>
      <c r="BX198" s="533"/>
      <c r="BY198" s="533"/>
      <c r="BZ198" s="533"/>
      <c r="CA198" s="533"/>
      <c r="CB198" s="533"/>
      <c r="CC198" s="533"/>
      <c r="CD198" s="533"/>
      <c r="CE198" s="533"/>
      <c r="CF198" s="533"/>
      <c r="CG198" s="533"/>
      <c r="CH198" s="533"/>
      <c r="CI198" s="533"/>
      <c r="CJ198" s="533"/>
      <c r="CK198" s="533"/>
      <c r="CL198" s="533"/>
      <c r="CM198" s="533"/>
      <c r="CN198" s="533"/>
      <c r="CO198" s="533"/>
      <c r="CP198" s="533"/>
      <c r="CQ198" s="533"/>
      <c r="CR198" s="533"/>
      <c r="CS198" s="533"/>
      <c r="CT198" s="533"/>
      <c r="CU198" s="533"/>
      <c r="CV198" s="533"/>
      <c r="CW198" s="533"/>
      <c r="CX198" s="533"/>
      <c r="CY198" s="533"/>
      <c r="CZ198" s="533"/>
      <c r="DA198" s="533"/>
      <c r="DB198" s="533"/>
      <c r="DC198" s="533"/>
      <c r="DD198" s="533"/>
      <c r="DE198" s="533"/>
      <c r="DF198" s="533"/>
      <c r="DG198" s="533"/>
      <c r="DH198" s="533"/>
      <c r="DI198" s="533"/>
      <c r="DJ198" s="533"/>
      <c r="DK198" s="533"/>
      <c r="DL198" s="533"/>
      <c r="DM198" s="533"/>
      <c r="DN198" s="533"/>
      <c r="DO198" s="533"/>
      <c r="DP198" s="533"/>
      <c r="DQ198" s="533"/>
      <c r="DR198" s="533"/>
      <c r="DS198" s="533"/>
      <c r="DT198" s="533"/>
      <c r="DU198" s="533"/>
      <c r="DV198" s="533"/>
      <c r="DW198" s="533"/>
      <c r="DX198" s="533"/>
      <c r="DY198" s="533"/>
      <c r="DZ198" s="533"/>
      <c r="EA198" s="533"/>
      <c r="EB198" s="533"/>
      <c r="EC198" s="533"/>
      <c r="ED198" s="533"/>
      <c r="EE198" s="533"/>
      <c r="EF198" s="533"/>
      <c r="EG198" s="533"/>
      <c r="EH198" s="533"/>
      <c r="EI198" s="533"/>
      <c r="EJ198" s="533"/>
      <c r="EK198" s="533"/>
      <c r="EL198" s="533"/>
      <c r="EM198" s="533"/>
      <c r="EN198" s="533"/>
      <c r="EO198" s="533"/>
      <c r="EP198" s="533"/>
      <c r="EQ198" s="533"/>
      <c r="ER198" s="533"/>
      <c r="ES198" s="533"/>
      <c r="ET198" s="533"/>
      <c r="EU198" s="533"/>
      <c r="EV198" s="533"/>
      <c r="EW198" s="533"/>
      <c r="EX198" s="533"/>
      <c r="EY198" s="533"/>
      <c r="EZ198" s="533"/>
      <c r="FA198" s="533"/>
      <c r="FB198" s="533"/>
      <c r="FC198" s="533"/>
      <c r="FD198" s="533"/>
      <c r="FE198" s="533"/>
      <c r="FF198" s="533"/>
      <c r="FG198" s="533"/>
      <c r="FH198" s="533"/>
      <c r="FI198" s="533"/>
      <c r="FJ198" s="533"/>
      <c r="FK198" s="533"/>
      <c r="FL198" s="533"/>
      <c r="FM198" s="533"/>
      <c r="FN198" s="533"/>
      <c r="FO198" s="533"/>
      <c r="FP198" s="533"/>
      <c r="FQ198" s="533"/>
      <c r="FR198" s="533"/>
      <c r="FS198" s="533"/>
      <c r="FT198" s="533"/>
      <c r="FU198" s="533"/>
      <c r="FV198" s="533"/>
      <c r="FW198" s="533"/>
      <c r="FX198" s="533"/>
      <c r="FY198" s="533"/>
      <c r="FZ198" s="533"/>
      <c r="GA198" s="533"/>
      <c r="GB198" s="533"/>
      <c r="GC198" s="533"/>
      <c r="GD198" s="533"/>
      <c r="GE198" s="533"/>
      <c r="GF198" s="533"/>
      <c r="GG198" s="533"/>
      <c r="GH198" s="533"/>
      <c r="GI198" s="533"/>
      <c r="GJ198" s="533"/>
      <c r="GK198" s="533"/>
      <c r="GL198" s="533"/>
      <c r="GM198" s="533"/>
      <c r="GN198" s="533"/>
      <c r="GO198" s="533"/>
      <c r="GP198" s="533"/>
      <c r="GQ198" s="533"/>
      <c r="GR198" s="533"/>
      <c r="GS198" s="533"/>
      <c r="GT198" s="533"/>
      <c r="GU198" s="533"/>
      <c r="GV198" s="533"/>
      <c r="GW198" s="533"/>
      <c r="GX198" s="533"/>
      <c r="GY198" s="533"/>
      <c r="GZ198" s="533"/>
      <c r="HA198" s="533"/>
      <c r="HB198" s="534"/>
    </row>
    <row r="199" spans="1:242" ht="20.100000000000001" customHeight="1">
      <c r="A199" s="164"/>
      <c r="B199" s="306" t="s">
        <v>1481</v>
      </c>
      <c r="C199" s="503"/>
      <c r="D199" s="503"/>
      <c r="E199" s="503"/>
      <c r="F199" s="503"/>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26"/>
      <c r="AG199" s="326"/>
      <c r="AH199" s="326"/>
      <c r="AI199" s="326"/>
      <c r="AJ199" s="326"/>
      <c r="AK199" s="326"/>
      <c r="AL199" s="326"/>
      <c r="AM199" s="326"/>
      <c r="AN199" s="326"/>
      <c r="AO199" s="531"/>
      <c r="AP199" s="531"/>
      <c r="AQ199" s="532"/>
      <c r="AR199" s="532"/>
      <c r="AS199" s="532"/>
      <c r="AT199" s="532"/>
      <c r="AU199" s="532"/>
      <c r="AV199" s="532"/>
      <c r="AW199" s="326"/>
      <c r="AX199" s="326"/>
      <c r="AY199" s="326"/>
      <c r="AZ199" s="326"/>
      <c r="BA199" s="326"/>
      <c r="BB199" s="326"/>
      <c r="BC199" s="326"/>
      <c r="BD199" s="326"/>
      <c r="BE199" s="326"/>
      <c r="BF199" s="326"/>
      <c r="BG199" s="326"/>
      <c r="BH199" s="326"/>
      <c r="BI199" s="326"/>
      <c r="BJ199" s="326"/>
      <c r="BK199" s="326"/>
      <c r="BL199" s="326"/>
      <c r="BM199" s="326"/>
      <c r="BN199" s="326"/>
      <c r="BO199" s="326"/>
      <c r="BP199" s="326"/>
      <c r="BQ199" s="532"/>
      <c r="BR199" s="532"/>
      <c r="BS199" s="532"/>
      <c r="BT199" s="532"/>
      <c r="BU199" s="532"/>
      <c r="BV199" s="532"/>
      <c r="BW199" s="533"/>
      <c r="BX199" s="533"/>
      <c r="BY199" s="533"/>
      <c r="BZ199" s="533"/>
      <c r="CA199" s="533"/>
      <c r="CB199" s="533"/>
      <c r="CC199" s="533"/>
      <c r="CD199" s="533"/>
      <c r="CE199" s="533"/>
      <c r="CF199" s="533"/>
      <c r="CG199" s="533"/>
      <c r="CH199" s="533"/>
      <c r="CI199" s="533"/>
      <c r="CJ199" s="533"/>
      <c r="CK199" s="533"/>
      <c r="CL199" s="533"/>
      <c r="CM199" s="533"/>
      <c r="CN199" s="533"/>
      <c r="CO199" s="533"/>
      <c r="CP199" s="533"/>
      <c r="CQ199" s="533"/>
      <c r="CR199" s="533"/>
      <c r="CS199" s="533"/>
      <c r="CT199" s="533"/>
      <c r="CU199" s="533"/>
      <c r="CV199" s="533"/>
      <c r="CW199" s="533"/>
      <c r="CX199" s="533"/>
      <c r="CY199" s="533"/>
      <c r="CZ199" s="533"/>
      <c r="DA199" s="533"/>
      <c r="DB199" s="533"/>
      <c r="DC199" s="533"/>
      <c r="DD199" s="533"/>
      <c r="DE199" s="533"/>
      <c r="DF199" s="533"/>
      <c r="DG199" s="533"/>
      <c r="DH199" s="533"/>
      <c r="DI199" s="533"/>
      <c r="DJ199" s="533"/>
      <c r="DK199" s="533"/>
      <c r="DL199" s="533"/>
      <c r="DM199" s="533"/>
      <c r="DN199" s="533"/>
      <c r="DO199" s="533"/>
      <c r="DP199" s="533"/>
      <c r="DQ199" s="533"/>
      <c r="DR199" s="533"/>
      <c r="DS199" s="533"/>
      <c r="DT199" s="533"/>
      <c r="DU199" s="533"/>
      <c r="DV199" s="533"/>
      <c r="DW199" s="533"/>
      <c r="DX199" s="533"/>
      <c r="DY199" s="533"/>
      <c r="DZ199" s="533"/>
      <c r="EA199" s="533"/>
      <c r="EB199" s="533"/>
      <c r="EC199" s="533"/>
      <c r="ED199" s="533"/>
      <c r="EE199" s="533"/>
      <c r="EF199" s="533"/>
      <c r="EG199" s="533"/>
      <c r="EH199" s="533"/>
      <c r="EI199" s="533"/>
      <c r="EJ199" s="533"/>
      <c r="EK199" s="533"/>
      <c r="EL199" s="533"/>
      <c r="EM199" s="533"/>
      <c r="EN199" s="533"/>
      <c r="EO199" s="533"/>
      <c r="EP199" s="533"/>
      <c r="EQ199" s="533"/>
      <c r="ER199" s="533"/>
      <c r="ES199" s="533"/>
      <c r="ET199" s="533"/>
      <c r="EU199" s="533"/>
      <c r="EV199" s="533"/>
      <c r="EW199" s="533"/>
      <c r="EX199" s="533"/>
      <c r="EY199" s="533"/>
      <c r="EZ199" s="533"/>
      <c r="FA199" s="533"/>
      <c r="FB199" s="533"/>
      <c r="FC199" s="533"/>
      <c r="FD199" s="533"/>
      <c r="FE199" s="533"/>
      <c r="FF199" s="533"/>
      <c r="FG199" s="533"/>
      <c r="FH199" s="533"/>
      <c r="FI199" s="533"/>
      <c r="FJ199" s="533"/>
      <c r="FK199" s="533"/>
      <c r="FL199" s="533"/>
      <c r="FM199" s="533"/>
      <c r="FN199" s="533"/>
      <c r="FO199" s="533"/>
      <c r="FP199" s="533"/>
      <c r="FQ199" s="533"/>
      <c r="FR199" s="533"/>
      <c r="FS199" s="533"/>
      <c r="FT199" s="533"/>
      <c r="FU199" s="533"/>
      <c r="FV199" s="533"/>
      <c r="FW199" s="533"/>
      <c r="FX199" s="533"/>
      <c r="FY199" s="533"/>
      <c r="FZ199" s="533"/>
      <c r="GA199" s="533"/>
      <c r="GB199" s="533"/>
      <c r="GC199" s="533"/>
      <c r="GD199" s="533"/>
      <c r="GE199" s="533"/>
      <c r="GF199" s="533"/>
      <c r="GG199" s="533"/>
      <c r="GH199" s="533"/>
      <c r="GI199" s="533"/>
      <c r="GJ199" s="533"/>
      <c r="GK199" s="533"/>
      <c r="GL199" s="533"/>
      <c r="GM199" s="533"/>
      <c r="GN199" s="533"/>
      <c r="GO199" s="533"/>
      <c r="GP199" s="533"/>
      <c r="GQ199" s="533"/>
      <c r="GR199" s="533"/>
      <c r="GS199" s="533"/>
      <c r="GT199" s="533"/>
      <c r="GU199" s="533"/>
      <c r="GV199" s="533"/>
      <c r="GW199" s="533"/>
      <c r="GX199" s="533"/>
      <c r="GY199" s="533"/>
      <c r="GZ199" s="533"/>
      <c r="HA199" s="533"/>
      <c r="HB199" s="534"/>
    </row>
    <row r="200" spans="1:242" ht="20.100000000000001" customHeight="1">
      <c r="A200" s="164"/>
      <c r="B200" s="306" t="s">
        <v>1482</v>
      </c>
      <c r="C200" s="503"/>
      <c r="D200" s="503"/>
      <c r="E200" s="503"/>
      <c r="F200" s="503"/>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531"/>
      <c r="AP200" s="531"/>
      <c r="AQ200" s="532"/>
      <c r="AR200" s="532"/>
      <c r="AS200" s="532"/>
      <c r="AT200" s="532"/>
      <c r="AU200" s="532"/>
      <c r="AV200" s="532"/>
      <c r="AW200" s="326"/>
      <c r="AX200" s="326"/>
      <c r="AY200" s="326"/>
      <c r="AZ200" s="326"/>
      <c r="BA200" s="326"/>
      <c r="BB200" s="326"/>
      <c r="BC200" s="326"/>
      <c r="BD200" s="326"/>
      <c r="BE200" s="326"/>
      <c r="BF200" s="326"/>
      <c r="BG200" s="326"/>
      <c r="BH200" s="326"/>
      <c r="BI200" s="326"/>
      <c r="BJ200" s="326"/>
      <c r="BK200" s="326"/>
      <c r="BL200" s="326"/>
      <c r="BM200" s="326"/>
      <c r="BN200" s="326"/>
      <c r="BO200" s="326"/>
      <c r="BP200" s="326"/>
      <c r="BQ200" s="532"/>
      <c r="BR200" s="532"/>
      <c r="BS200" s="532"/>
      <c r="BT200" s="532"/>
      <c r="BU200" s="532"/>
      <c r="BV200" s="532"/>
      <c r="BW200" s="533"/>
      <c r="BX200" s="533"/>
      <c r="BY200" s="533"/>
      <c r="BZ200" s="533"/>
      <c r="CA200" s="533"/>
      <c r="CB200" s="533"/>
      <c r="CC200" s="533"/>
      <c r="CD200" s="533"/>
      <c r="CE200" s="533"/>
      <c r="CF200" s="533"/>
      <c r="CG200" s="533"/>
      <c r="CH200" s="533"/>
      <c r="CI200" s="533"/>
      <c r="CJ200" s="533"/>
      <c r="CK200" s="533"/>
      <c r="CL200" s="533"/>
      <c r="CM200" s="533"/>
      <c r="CN200" s="533"/>
      <c r="CO200" s="533"/>
      <c r="CP200" s="533"/>
      <c r="CQ200" s="533"/>
      <c r="CR200" s="533"/>
      <c r="CS200" s="533"/>
      <c r="CT200" s="533"/>
      <c r="CU200" s="533"/>
      <c r="CV200" s="533"/>
      <c r="CW200" s="533"/>
      <c r="CX200" s="533"/>
      <c r="CY200" s="533"/>
      <c r="CZ200" s="533"/>
      <c r="DA200" s="533"/>
      <c r="DB200" s="533"/>
      <c r="DC200" s="533"/>
      <c r="DD200" s="533"/>
      <c r="DE200" s="533"/>
      <c r="DF200" s="533"/>
      <c r="DG200" s="533"/>
      <c r="DH200" s="533"/>
      <c r="DI200" s="533"/>
      <c r="DJ200" s="533"/>
      <c r="DK200" s="533"/>
      <c r="DL200" s="533"/>
      <c r="DM200" s="533"/>
      <c r="DN200" s="533"/>
      <c r="DO200" s="533"/>
      <c r="DP200" s="533"/>
      <c r="DQ200" s="533"/>
      <c r="DR200" s="533"/>
      <c r="DS200" s="533"/>
      <c r="DT200" s="533"/>
      <c r="DU200" s="533"/>
      <c r="DV200" s="533"/>
      <c r="DW200" s="533"/>
      <c r="DX200" s="533"/>
      <c r="DY200" s="533"/>
      <c r="DZ200" s="533"/>
      <c r="EA200" s="533"/>
      <c r="EB200" s="533"/>
      <c r="EC200" s="533"/>
      <c r="ED200" s="533"/>
      <c r="EE200" s="533"/>
      <c r="EF200" s="533"/>
      <c r="EG200" s="533"/>
      <c r="EH200" s="533"/>
      <c r="EI200" s="533"/>
      <c r="EJ200" s="533"/>
      <c r="EK200" s="533"/>
      <c r="EL200" s="533"/>
      <c r="EM200" s="533"/>
      <c r="EN200" s="533"/>
      <c r="EO200" s="533"/>
      <c r="EP200" s="533"/>
      <c r="EQ200" s="533"/>
      <c r="ER200" s="533"/>
      <c r="ES200" s="533"/>
      <c r="ET200" s="533"/>
      <c r="EU200" s="533"/>
      <c r="EV200" s="533"/>
      <c r="EW200" s="533"/>
      <c r="EX200" s="533"/>
      <c r="EY200" s="533"/>
      <c r="EZ200" s="533"/>
      <c r="FA200" s="533"/>
      <c r="FB200" s="533"/>
      <c r="FC200" s="533"/>
      <c r="FD200" s="533"/>
      <c r="FE200" s="533"/>
      <c r="FF200" s="533"/>
      <c r="FG200" s="533"/>
      <c r="FH200" s="533"/>
      <c r="FI200" s="533"/>
      <c r="FJ200" s="533"/>
      <c r="FK200" s="533"/>
      <c r="FL200" s="533"/>
      <c r="FM200" s="533"/>
      <c r="FN200" s="533"/>
      <c r="FO200" s="533"/>
      <c r="FP200" s="533"/>
      <c r="FQ200" s="533"/>
      <c r="FR200" s="533"/>
      <c r="FS200" s="533"/>
      <c r="FT200" s="533"/>
      <c r="FU200" s="533"/>
      <c r="FV200" s="533"/>
      <c r="FW200" s="533"/>
      <c r="FX200" s="533"/>
      <c r="FY200" s="533"/>
      <c r="FZ200" s="533"/>
      <c r="GA200" s="533"/>
      <c r="GB200" s="533"/>
      <c r="GC200" s="533"/>
      <c r="GD200" s="533"/>
      <c r="GE200" s="533"/>
      <c r="GF200" s="533"/>
      <c r="GG200" s="533"/>
      <c r="GH200" s="533"/>
      <c r="GI200" s="533"/>
      <c r="GJ200" s="533"/>
      <c r="GK200" s="533"/>
      <c r="GL200" s="533"/>
      <c r="GM200" s="533"/>
      <c r="GN200" s="533"/>
      <c r="GO200" s="533"/>
      <c r="GP200" s="533"/>
      <c r="GQ200" s="533"/>
      <c r="GR200" s="533"/>
      <c r="GS200" s="533"/>
      <c r="GT200" s="533"/>
      <c r="GU200" s="533"/>
      <c r="GV200" s="533"/>
      <c r="GW200" s="533"/>
      <c r="GX200" s="533"/>
      <c r="GY200" s="533"/>
      <c r="GZ200" s="533"/>
      <c r="HA200" s="533"/>
      <c r="HB200" s="534"/>
    </row>
    <row r="201" spans="1:242" ht="20.100000000000001" customHeight="1">
      <c r="A201" s="164"/>
      <c r="B201" s="306" t="s">
        <v>1483</v>
      </c>
      <c r="C201" s="503"/>
      <c r="D201" s="503"/>
      <c r="E201" s="503"/>
      <c r="F201" s="503"/>
      <c r="G201" s="326"/>
      <c r="H201" s="326"/>
      <c r="I201" s="326"/>
      <c r="J201" s="326"/>
      <c r="K201" s="326"/>
      <c r="L201" s="326"/>
      <c r="M201" s="326"/>
      <c r="N201" s="326"/>
      <c r="O201" s="326"/>
      <c r="P201" s="326"/>
      <c r="Q201" s="326"/>
      <c r="R201" s="326"/>
      <c r="S201" s="326"/>
      <c r="T201" s="326"/>
      <c r="U201" s="326"/>
      <c r="V201" s="326"/>
      <c r="W201" s="326"/>
      <c r="X201" s="326"/>
      <c r="Y201" s="326"/>
      <c r="Z201" s="326"/>
      <c r="AA201" s="326"/>
      <c r="AB201" s="326"/>
      <c r="AC201" s="326"/>
      <c r="AD201" s="326"/>
      <c r="AE201" s="326"/>
      <c r="AF201" s="326"/>
      <c r="AG201" s="326"/>
      <c r="AH201" s="326"/>
      <c r="AI201" s="326"/>
      <c r="AJ201" s="326"/>
      <c r="AK201" s="326"/>
      <c r="AL201" s="326"/>
      <c r="AM201" s="326"/>
      <c r="AN201" s="326"/>
      <c r="AO201" s="531"/>
      <c r="AP201" s="531"/>
      <c r="AQ201" s="532"/>
      <c r="AR201" s="532"/>
      <c r="AS201" s="532"/>
      <c r="AT201" s="532"/>
      <c r="AU201" s="532"/>
      <c r="AV201" s="532"/>
      <c r="AW201" s="326"/>
      <c r="AX201" s="326"/>
      <c r="AY201" s="326"/>
      <c r="AZ201" s="326"/>
      <c r="BA201" s="326"/>
      <c r="BB201" s="326"/>
      <c r="BC201" s="326"/>
      <c r="BD201" s="326"/>
      <c r="BE201" s="326"/>
      <c r="BF201" s="326"/>
      <c r="BG201" s="326"/>
      <c r="BH201" s="326"/>
      <c r="BI201" s="326"/>
      <c r="BJ201" s="326"/>
      <c r="BK201" s="326"/>
      <c r="BL201" s="326"/>
      <c r="BM201" s="326"/>
      <c r="BN201" s="326"/>
      <c r="BO201" s="326"/>
      <c r="BP201" s="326"/>
      <c r="BQ201" s="532"/>
      <c r="BR201" s="532"/>
      <c r="BS201" s="532"/>
      <c r="BT201" s="532"/>
      <c r="BU201" s="532"/>
      <c r="BV201" s="532"/>
      <c r="BW201" s="533"/>
      <c r="BX201" s="533"/>
      <c r="BY201" s="533"/>
      <c r="BZ201" s="533"/>
      <c r="CA201" s="533"/>
      <c r="CB201" s="533"/>
      <c r="CC201" s="533"/>
      <c r="CD201" s="533"/>
      <c r="CE201" s="533"/>
      <c r="CF201" s="533"/>
      <c r="CG201" s="533"/>
      <c r="CH201" s="533"/>
      <c r="CI201" s="533"/>
      <c r="CJ201" s="533"/>
      <c r="CK201" s="533"/>
      <c r="CL201" s="533"/>
      <c r="CM201" s="533"/>
      <c r="CN201" s="533"/>
      <c r="CO201" s="533"/>
      <c r="CP201" s="533"/>
      <c r="CQ201" s="533"/>
      <c r="CR201" s="533"/>
      <c r="CS201" s="533"/>
      <c r="CT201" s="533"/>
      <c r="CU201" s="533"/>
      <c r="CV201" s="533"/>
      <c r="CW201" s="533"/>
      <c r="CX201" s="533"/>
      <c r="CY201" s="533"/>
      <c r="CZ201" s="533"/>
      <c r="DA201" s="533"/>
      <c r="DB201" s="533"/>
      <c r="DC201" s="533"/>
      <c r="DD201" s="533"/>
      <c r="DE201" s="533"/>
      <c r="DF201" s="533"/>
      <c r="DG201" s="533"/>
      <c r="DH201" s="533"/>
      <c r="DI201" s="533"/>
      <c r="DJ201" s="533"/>
      <c r="DK201" s="533"/>
      <c r="DL201" s="533"/>
      <c r="DM201" s="533"/>
      <c r="DN201" s="533"/>
      <c r="DO201" s="533"/>
      <c r="DP201" s="533"/>
      <c r="DQ201" s="533"/>
      <c r="DR201" s="533"/>
      <c r="DS201" s="533"/>
      <c r="DT201" s="533"/>
      <c r="DU201" s="533"/>
      <c r="DV201" s="533"/>
      <c r="DW201" s="533"/>
      <c r="DX201" s="533"/>
      <c r="DY201" s="533"/>
      <c r="DZ201" s="533"/>
      <c r="EA201" s="533"/>
      <c r="EB201" s="533"/>
      <c r="EC201" s="533"/>
      <c r="ED201" s="533"/>
      <c r="EE201" s="533"/>
      <c r="EF201" s="533"/>
      <c r="EG201" s="533"/>
      <c r="EH201" s="533"/>
      <c r="EI201" s="533"/>
      <c r="EJ201" s="533"/>
      <c r="EK201" s="533"/>
      <c r="EL201" s="533"/>
      <c r="EM201" s="533"/>
      <c r="EN201" s="533"/>
      <c r="EO201" s="533"/>
      <c r="EP201" s="533"/>
      <c r="EQ201" s="533"/>
      <c r="ER201" s="533"/>
      <c r="ES201" s="533"/>
      <c r="ET201" s="533"/>
      <c r="EU201" s="533"/>
      <c r="EV201" s="533"/>
      <c r="EW201" s="533"/>
      <c r="EX201" s="533"/>
      <c r="EY201" s="533"/>
      <c r="EZ201" s="533"/>
      <c r="FA201" s="533"/>
      <c r="FB201" s="533"/>
      <c r="FC201" s="533"/>
      <c r="FD201" s="533"/>
      <c r="FE201" s="533"/>
      <c r="FF201" s="533"/>
      <c r="FG201" s="533"/>
      <c r="FH201" s="533"/>
      <c r="FI201" s="533"/>
      <c r="FJ201" s="533"/>
      <c r="FK201" s="533"/>
      <c r="FL201" s="533"/>
      <c r="FM201" s="533"/>
      <c r="FN201" s="533"/>
      <c r="FO201" s="533"/>
      <c r="FP201" s="533"/>
      <c r="FQ201" s="533"/>
      <c r="FR201" s="533"/>
      <c r="FS201" s="533"/>
      <c r="FT201" s="533"/>
      <c r="FU201" s="533"/>
      <c r="FV201" s="533"/>
      <c r="FW201" s="533"/>
      <c r="FX201" s="533"/>
      <c r="FY201" s="533"/>
      <c r="FZ201" s="533"/>
      <c r="GA201" s="533"/>
      <c r="GB201" s="533"/>
      <c r="GC201" s="533"/>
      <c r="GD201" s="533"/>
      <c r="GE201" s="533"/>
      <c r="GF201" s="533"/>
      <c r="GG201" s="533"/>
      <c r="GH201" s="533"/>
      <c r="GI201" s="533"/>
      <c r="GJ201" s="533"/>
      <c r="GK201" s="533"/>
      <c r="GL201" s="533"/>
      <c r="GM201" s="533"/>
      <c r="GN201" s="533"/>
      <c r="GO201" s="533"/>
      <c r="GP201" s="533"/>
      <c r="GQ201" s="533"/>
      <c r="GR201" s="533"/>
      <c r="GS201" s="533"/>
      <c r="GT201" s="533"/>
      <c r="GU201" s="533"/>
      <c r="GV201" s="533"/>
      <c r="GW201" s="533"/>
      <c r="GX201" s="533"/>
      <c r="GY201" s="533"/>
      <c r="GZ201" s="533"/>
      <c r="HA201" s="533"/>
      <c r="HB201" s="534"/>
    </row>
    <row r="202" spans="1:242" ht="20.100000000000001" customHeight="1">
      <c r="A202" s="164"/>
      <c r="B202" s="306" t="s">
        <v>1484</v>
      </c>
      <c r="C202" s="503"/>
      <c r="D202" s="503"/>
      <c r="E202" s="503"/>
      <c r="F202" s="503"/>
      <c r="G202" s="326"/>
      <c r="H202" s="326"/>
      <c r="I202" s="326"/>
      <c r="J202" s="326"/>
      <c r="K202" s="326"/>
      <c r="L202" s="326"/>
      <c r="M202" s="326"/>
      <c r="N202" s="326"/>
      <c r="O202" s="326"/>
      <c r="P202" s="326"/>
      <c r="Q202" s="326"/>
      <c r="R202" s="326"/>
      <c r="S202" s="326"/>
      <c r="T202" s="326"/>
      <c r="U202" s="326"/>
      <c r="V202" s="326"/>
      <c r="W202" s="326"/>
      <c r="X202" s="326"/>
      <c r="Y202" s="326"/>
      <c r="Z202" s="326"/>
      <c r="AA202" s="326"/>
      <c r="AB202" s="326"/>
      <c r="AC202" s="326"/>
      <c r="AD202" s="326"/>
      <c r="AE202" s="326"/>
      <c r="AF202" s="326"/>
      <c r="AG202" s="326"/>
      <c r="AH202" s="326"/>
      <c r="AI202" s="326"/>
      <c r="AJ202" s="326"/>
      <c r="AK202" s="326"/>
      <c r="AL202" s="326"/>
      <c r="AM202" s="326"/>
      <c r="AN202" s="326"/>
      <c r="AO202" s="531"/>
      <c r="AP202" s="531"/>
      <c r="AQ202" s="532"/>
      <c r="AR202" s="532"/>
      <c r="AS202" s="532"/>
      <c r="AT202" s="532"/>
      <c r="AU202" s="532"/>
      <c r="AV202" s="532"/>
      <c r="AW202" s="326"/>
      <c r="AX202" s="326"/>
      <c r="AY202" s="326"/>
      <c r="AZ202" s="326"/>
      <c r="BA202" s="326"/>
      <c r="BB202" s="326"/>
      <c r="BC202" s="326"/>
      <c r="BD202" s="326"/>
      <c r="BE202" s="326"/>
      <c r="BF202" s="326"/>
      <c r="BG202" s="326"/>
      <c r="BH202" s="326"/>
      <c r="BI202" s="326"/>
      <c r="BJ202" s="326"/>
      <c r="BK202" s="326"/>
      <c r="BL202" s="326"/>
      <c r="BM202" s="326"/>
      <c r="BN202" s="326"/>
      <c r="BO202" s="326"/>
      <c r="BP202" s="326"/>
      <c r="BQ202" s="532"/>
      <c r="BR202" s="532"/>
      <c r="BS202" s="532"/>
      <c r="BT202" s="532"/>
      <c r="BU202" s="532"/>
      <c r="BV202" s="532"/>
      <c r="BW202" s="533"/>
      <c r="BX202" s="533"/>
      <c r="BY202" s="533"/>
      <c r="BZ202" s="533"/>
      <c r="CA202" s="533"/>
      <c r="CB202" s="533"/>
      <c r="CC202" s="533"/>
      <c r="CD202" s="533"/>
      <c r="CE202" s="533"/>
      <c r="CF202" s="533"/>
      <c r="CG202" s="533"/>
      <c r="CH202" s="533"/>
      <c r="CI202" s="533"/>
      <c r="CJ202" s="533"/>
      <c r="CK202" s="533"/>
      <c r="CL202" s="533"/>
      <c r="CM202" s="533"/>
      <c r="CN202" s="533"/>
      <c r="CO202" s="533"/>
      <c r="CP202" s="533"/>
      <c r="CQ202" s="533"/>
      <c r="CR202" s="533"/>
      <c r="CS202" s="533"/>
      <c r="CT202" s="533"/>
      <c r="CU202" s="533"/>
      <c r="CV202" s="533"/>
      <c r="CW202" s="533"/>
      <c r="CX202" s="533"/>
      <c r="CY202" s="533"/>
      <c r="CZ202" s="533"/>
      <c r="DA202" s="533"/>
      <c r="DB202" s="533"/>
      <c r="DC202" s="533"/>
      <c r="DD202" s="533"/>
      <c r="DE202" s="533"/>
      <c r="DF202" s="533"/>
      <c r="DG202" s="533"/>
      <c r="DH202" s="533"/>
      <c r="DI202" s="533"/>
      <c r="DJ202" s="533"/>
      <c r="DK202" s="533"/>
      <c r="DL202" s="533"/>
      <c r="DM202" s="533"/>
      <c r="DN202" s="533"/>
      <c r="DO202" s="533"/>
      <c r="DP202" s="533"/>
      <c r="DQ202" s="533"/>
      <c r="DR202" s="533"/>
      <c r="DS202" s="533"/>
      <c r="DT202" s="533"/>
      <c r="DU202" s="533"/>
      <c r="DV202" s="533"/>
      <c r="DW202" s="533"/>
      <c r="DX202" s="533"/>
      <c r="DY202" s="533"/>
      <c r="DZ202" s="533"/>
      <c r="EA202" s="533"/>
      <c r="EB202" s="533"/>
      <c r="EC202" s="533"/>
      <c r="ED202" s="533"/>
      <c r="EE202" s="533"/>
      <c r="EF202" s="533"/>
      <c r="EG202" s="533"/>
      <c r="EH202" s="533"/>
      <c r="EI202" s="533"/>
      <c r="EJ202" s="533"/>
      <c r="EK202" s="533"/>
      <c r="EL202" s="533"/>
      <c r="EM202" s="533"/>
      <c r="EN202" s="533"/>
      <c r="EO202" s="533"/>
      <c r="EP202" s="533"/>
      <c r="EQ202" s="533"/>
      <c r="ER202" s="533"/>
      <c r="ES202" s="533"/>
      <c r="ET202" s="533"/>
      <c r="EU202" s="533"/>
      <c r="EV202" s="533"/>
      <c r="EW202" s="533"/>
      <c r="EX202" s="533"/>
      <c r="EY202" s="533"/>
      <c r="EZ202" s="533"/>
      <c r="FA202" s="533"/>
      <c r="FB202" s="533"/>
      <c r="FC202" s="533"/>
      <c r="FD202" s="533"/>
      <c r="FE202" s="533"/>
      <c r="FF202" s="533"/>
      <c r="FG202" s="533"/>
      <c r="FH202" s="533"/>
      <c r="FI202" s="533"/>
      <c r="FJ202" s="533"/>
      <c r="FK202" s="533"/>
      <c r="FL202" s="533"/>
      <c r="FM202" s="533"/>
      <c r="FN202" s="533"/>
      <c r="FO202" s="533"/>
      <c r="FP202" s="533"/>
      <c r="FQ202" s="533"/>
      <c r="FR202" s="533"/>
      <c r="FS202" s="533"/>
      <c r="FT202" s="533"/>
      <c r="FU202" s="533"/>
      <c r="FV202" s="533"/>
      <c r="FW202" s="533"/>
      <c r="FX202" s="533"/>
      <c r="FY202" s="533"/>
      <c r="FZ202" s="533"/>
      <c r="GA202" s="533"/>
      <c r="GB202" s="533"/>
      <c r="GC202" s="533"/>
      <c r="GD202" s="533"/>
      <c r="GE202" s="533"/>
      <c r="GF202" s="533"/>
      <c r="GG202" s="533"/>
      <c r="GH202" s="533"/>
      <c r="GI202" s="533"/>
      <c r="GJ202" s="533"/>
      <c r="GK202" s="533"/>
      <c r="GL202" s="533"/>
      <c r="GM202" s="533"/>
      <c r="GN202" s="533"/>
      <c r="GO202" s="533"/>
      <c r="GP202" s="533"/>
      <c r="GQ202" s="533"/>
      <c r="GR202" s="533"/>
      <c r="GS202" s="533"/>
      <c r="GT202" s="533"/>
      <c r="GU202" s="533"/>
      <c r="GV202" s="533"/>
      <c r="GW202" s="533"/>
      <c r="GX202" s="533"/>
      <c r="GY202" s="533"/>
      <c r="GZ202" s="533"/>
      <c r="HA202" s="533"/>
      <c r="HB202" s="534"/>
    </row>
    <row r="203" spans="1:242" ht="20.100000000000001" customHeight="1">
      <c r="A203" s="164"/>
      <c r="B203" s="306" t="s">
        <v>1485</v>
      </c>
      <c r="C203" s="503"/>
      <c r="D203" s="503"/>
      <c r="E203" s="503"/>
      <c r="F203" s="503"/>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26"/>
      <c r="AC203" s="326"/>
      <c r="AD203" s="326"/>
      <c r="AE203" s="326"/>
      <c r="AF203" s="326"/>
      <c r="AG203" s="326"/>
      <c r="AH203" s="326"/>
      <c r="AI203" s="326"/>
      <c r="AJ203" s="326"/>
      <c r="AK203" s="326"/>
      <c r="AL203" s="326"/>
      <c r="AM203" s="326"/>
      <c r="AN203" s="326"/>
      <c r="AO203" s="531"/>
      <c r="AP203" s="531"/>
      <c r="AQ203" s="532"/>
      <c r="AR203" s="532"/>
      <c r="AS203" s="532"/>
      <c r="AT203" s="532"/>
      <c r="AU203" s="532"/>
      <c r="AV203" s="532"/>
      <c r="AW203" s="326"/>
      <c r="AX203" s="326"/>
      <c r="AY203" s="326"/>
      <c r="AZ203" s="326"/>
      <c r="BA203" s="326"/>
      <c r="BB203" s="326"/>
      <c r="BC203" s="326"/>
      <c r="BD203" s="326"/>
      <c r="BE203" s="326"/>
      <c r="BF203" s="326"/>
      <c r="BG203" s="326"/>
      <c r="BH203" s="326"/>
      <c r="BI203" s="326"/>
      <c r="BJ203" s="326"/>
      <c r="BK203" s="326"/>
      <c r="BL203" s="326"/>
      <c r="BM203" s="326"/>
      <c r="BN203" s="326"/>
      <c r="BO203" s="326"/>
      <c r="BP203" s="326"/>
      <c r="BQ203" s="532"/>
      <c r="BR203" s="532"/>
      <c r="BS203" s="532"/>
      <c r="BT203" s="532"/>
      <c r="BU203" s="532"/>
      <c r="BV203" s="532"/>
      <c r="BW203" s="533"/>
      <c r="BX203" s="533"/>
      <c r="BY203" s="533"/>
      <c r="BZ203" s="533"/>
      <c r="CA203" s="533"/>
      <c r="CB203" s="533"/>
      <c r="CC203" s="533"/>
      <c r="CD203" s="533"/>
      <c r="CE203" s="533"/>
      <c r="CF203" s="533"/>
      <c r="CG203" s="533"/>
      <c r="CH203" s="533"/>
      <c r="CI203" s="533"/>
      <c r="CJ203" s="533"/>
      <c r="CK203" s="533"/>
      <c r="CL203" s="533"/>
      <c r="CM203" s="533"/>
      <c r="CN203" s="533"/>
      <c r="CO203" s="533"/>
      <c r="CP203" s="533"/>
      <c r="CQ203" s="533"/>
      <c r="CR203" s="533"/>
      <c r="CS203" s="533"/>
      <c r="CT203" s="533"/>
      <c r="CU203" s="533"/>
      <c r="CV203" s="533"/>
      <c r="CW203" s="533"/>
      <c r="CX203" s="533"/>
      <c r="CY203" s="533"/>
      <c r="CZ203" s="533"/>
      <c r="DA203" s="533"/>
      <c r="DB203" s="533"/>
      <c r="DC203" s="533"/>
      <c r="DD203" s="533"/>
      <c r="DE203" s="533"/>
      <c r="DF203" s="533"/>
      <c r="DG203" s="533"/>
      <c r="DH203" s="533"/>
      <c r="DI203" s="533"/>
      <c r="DJ203" s="533"/>
      <c r="DK203" s="533"/>
      <c r="DL203" s="533"/>
      <c r="DM203" s="533"/>
      <c r="DN203" s="533"/>
      <c r="DO203" s="533"/>
      <c r="DP203" s="533"/>
      <c r="DQ203" s="533"/>
      <c r="DR203" s="533"/>
      <c r="DS203" s="533"/>
      <c r="DT203" s="533"/>
      <c r="DU203" s="533"/>
      <c r="DV203" s="533"/>
      <c r="DW203" s="533"/>
      <c r="DX203" s="533"/>
      <c r="DY203" s="533"/>
      <c r="DZ203" s="533"/>
      <c r="EA203" s="533"/>
      <c r="EB203" s="533"/>
      <c r="EC203" s="533"/>
      <c r="ED203" s="533"/>
      <c r="EE203" s="533"/>
      <c r="EF203" s="533"/>
      <c r="EG203" s="533"/>
      <c r="EH203" s="533"/>
      <c r="EI203" s="533"/>
      <c r="EJ203" s="533"/>
      <c r="EK203" s="533"/>
      <c r="EL203" s="533"/>
      <c r="EM203" s="533"/>
      <c r="EN203" s="533"/>
      <c r="EO203" s="533"/>
      <c r="EP203" s="533"/>
      <c r="EQ203" s="533"/>
      <c r="ER203" s="533"/>
      <c r="ES203" s="533"/>
      <c r="ET203" s="533"/>
      <c r="EU203" s="533"/>
      <c r="EV203" s="533"/>
      <c r="EW203" s="533"/>
      <c r="EX203" s="533"/>
      <c r="EY203" s="533"/>
      <c r="EZ203" s="533"/>
      <c r="FA203" s="533"/>
      <c r="FB203" s="533"/>
      <c r="FC203" s="533"/>
      <c r="FD203" s="533"/>
      <c r="FE203" s="533"/>
      <c r="FF203" s="533"/>
      <c r="FG203" s="533"/>
      <c r="FH203" s="533"/>
      <c r="FI203" s="533"/>
      <c r="FJ203" s="533"/>
      <c r="FK203" s="533"/>
      <c r="FL203" s="533"/>
      <c r="FM203" s="533"/>
      <c r="FN203" s="533"/>
      <c r="FO203" s="533"/>
      <c r="FP203" s="533"/>
      <c r="FQ203" s="533"/>
      <c r="FR203" s="533"/>
      <c r="FS203" s="533"/>
      <c r="FT203" s="533"/>
      <c r="FU203" s="533"/>
      <c r="FV203" s="533"/>
      <c r="FW203" s="533"/>
      <c r="FX203" s="533"/>
      <c r="FY203" s="533"/>
      <c r="FZ203" s="533"/>
      <c r="GA203" s="533"/>
      <c r="GB203" s="533"/>
      <c r="GC203" s="533"/>
      <c r="GD203" s="533"/>
      <c r="GE203" s="533"/>
      <c r="GF203" s="533"/>
      <c r="GG203" s="533"/>
      <c r="GH203" s="533"/>
      <c r="GI203" s="533"/>
      <c r="GJ203" s="533"/>
      <c r="GK203" s="533"/>
      <c r="GL203" s="533"/>
      <c r="GM203" s="533"/>
      <c r="GN203" s="533"/>
      <c r="GO203" s="533"/>
      <c r="GP203" s="533"/>
      <c r="GQ203" s="533"/>
      <c r="GR203" s="533"/>
      <c r="GS203" s="533"/>
      <c r="GT203" s="533"/>
      <c r="GU203" s="533"/>
      <c r="GV203" s="533"/>
      <c r="GW203" s="533"/>
      <c r="GX203" s="533"/>
      <c r="GY203" s="533"/>
      <c r="GZ203" s="533"/>
      <c r="HA203" s="533"/>
      <c r="HB203" s="534"/>
    </row>
    <row r="204" spans="1:242" ht="20.100000000000001" customHeight="1">
      <c r="A204" s="164"/>
      <c r="B204" s="306" t="s">
        <v>1486</v>
      </c>
      <c r="C204" s="503"/>
      <c r="D204" s="503"/>
      <c r="E204" s="503"/>
      <c r="F204" s="503"/>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26"/>
      <c r="AC204" s="326"/>
      <c r="AD204" s="326"/>
      <c r="AE204" s="326"/>
      <c r="AF204" s="326"/>
      <c r="AG204" s="326"/>
      <c r="AH204" s="326"/>
      <c r="AI204" s="326"/>
      <c r="AJ204" s="326"/>
      <c r="AK204" s="326"/>
      <c r="AL204" s="326"/>
      <c r="AM204" s="326"/>
      <c r="AN204" s="326"/>
      <c r="AO204" s="531"/>
      <c r="AP204" s="531"/>
      <c r="AQ204" s="532"/>
      <c r="AR204" s="532"/>
      <c r="AS204" s="532"/>
      <c r="AT204" s="532"/>
      <c r="AU204" s="532"/>
      <c r="AV204" s="532"/>
      <c r="AW204" s="326"/>
      <c r="AX204" s="326"/>
      <c r="AY204" s="326"/>
      <c r="AZ204" s="326"/>
      <c r="BA204" s="326"/>
      <c r="BB204" s="326"/>
      <c r="BC204" s="326"/>
      <c r="BD204" s="326"/>
      <c r="BE204" s="326"/>
      <c r="BF204" s="326"/>
      <c r="BG204" s="326"/>
      <c r="BH204" s="326"/>
      <c r="BI204" s="326"/>
      <c r="BJ204" s="326"/>
      <c r="BK204" s="326"/>
      <c r="BL204" s="326"/>
      <c r="BM204" s="326"/>
      <c r="BN204" s="326"/>
      <c r="BO204" s="326"/>
      <c r="BP204" s="326"/>
      <c r="BQ204" s="532"/>
      <c r="BR204" s="532"/>
      <c r="BS204" s="532"/>
      <c r="BT204" s="532"/>
      <c r="BU204" s="532"/>
      <c r="BV204" s="532"/>
      <c r="BW204" s="533"/>
      <c r="BX204" s="533"/>
      <c r="BY204" s="533"/>
      <c r="BZ204" s="533"/>
      <c r="CA204" s="533"/>
      <c r="CB204" s="533"/>
      <c r="CC204" s="533"/>
      <c r="CD204" s="533"/>
      <c r="CE204" s="533"/>
      <c r="CF204" s="533"/>
      <c r="CG204" s="533"/>
      <c r="CH204" s="533"/>
      <c r="CI204" s="533"/>
      <c r="CJ204" s="533"/>
      <c r="CK204" s="533"/>
      <c r="CL204" s="533"/>
      <c r="CM204" s="533"/>
      <c r="CN204" s="533"/>
      <c r="CO204" s="533"/>
      <c r="CP204" s="533"/>
      <c r="CQ204" s="533"/>
      <c r="CR204" s="533"/>
      <c r="CS204" s="533"/>
      <c r="CT204" s="533"/>
      <c r="CU204" s="533"/>
      <c r="CV204" s="533"/>
      <c r="CW204" s="533"/>
      <c r="CX204" s="533"/>
      <c r="CY204" s="533"/>
      <c r="CZ204" s="533"/>
      <c r="DA204" s="533"/>
      <c r="DB204" s="533"/>
      <c r="DC204" s="533"/>
      <c r="DD204" s="533"/>
      <c r="DE204" s="533"/>
      <c r="DF204" s="533"/>
      <c r="DG204" s="533"/>
      <c r="DH204" s="533"/>
      <c r="DI204" s="533"/>
      <c r="DJ204" s="533"/>
      <c r="DK204" s="533"/>
      <c r="DL204" s="533"/>
      <c r="DM204" s="533"/>
      <c r="DN204" s="533"/>
      <c r="DO204" s="533"/>
      <c r="DP204" s="533"/>
      <c r="DQ204" s="533"/>
      <c r="DR204" s="533"/>
      <c r="DS204" s="533"/>
      <c r="DT204" s="533"/>
      <c r="DU204" s="533"/>
      <c r="DV204" s="533"/>
      <c r="DW204" s="533"/>
      <c r="DX204" s="533"/>
      <c r="DY204" s="533"/>
      <c r="DZ204" s="533"/>
      <c r="EA204" s="533"/>
      <c r="EB204" s="533"/>
      <c r="EC204" s="533"/>
      <c r="ED204" s="533"/>
      <c r="EE204" s="533"/>
      <c r="EF204" s="533"/>
      <c r="EG204" s="533"/>
      <c r="EH204" s="533"/>
      <c r="EI204" s="533"/>
      <c r="EJ204" s="533"/>
      <c r="EK204" s="533"/>
      <c r="EL204" s="533"/>
      <c r="EM204" s="533"/>
      <c r="EN204" s="533"/>
      <c r="EO204" s="533"/>
      <c r="EP204" s="533"/>
      <c r="EQ204" s="533"/>
      <c r="ER204" s="533"/>
      <c r="ES204" s="533"/>
      <c r="ET204" s="533"/>
      <c r="EU204" s="533"/>
      <c r="EV204" s="533"/>
      <c r="EW204" s="533"/>
      <c r="EX204" s="533"/>
      <c r="EY204" s="533"/>
      <c r="EZ204" s="533"/>
      <c r="FA204" s="533"/>
      <c r="FB204" s="533"/>
      <c r="FC204" s="533"/>
      <c r="FD204" s="533"/>
      <c r="FE204" s="533"/>
      <c r="FF204" s="533"/>
      <c r="FG204" s="533"/>
      <c r="FH204" s="533"/>
      <c r="FI204" s="533"/>
      <c r="FJ204" s="533"/>
      <c r="FK204" s="533"/>
      <c r="FL204" s="533"/>
      <c r="FM204" s="533"/>
      <c r="FN204" s="533"/>
      <c r="FO204" s="533"/>
      <c r="FP204" s="533"/>
      <c r="FQ204" s="533"/>
      <c r="FR204" s="533"/>
      <c r="FS204" s="533"/>
      <c r="FT204" s="533"/>
      <c r="FU204" s="533"/>
      <c r="FV204" s="533"/>
      <c r="FW204" s="533"/>
      <c r="FX204" s="533"/>
      <c r="FY204" s="533"/>
      <c r="FZ204" s="533"/>
      <c r="GA204" s="533"/>
      <c r="GB204" s="533"/>
      <c r="GC204" s="533"/>
      <c r="GD204" s="533"/>
      <c r="GE204" s="533"/>
      <c r="GF204" s="533"/>
      <c r="GG204" s="533"/>
      <c r="GH204" s="533"/>
      <c r="GI204" s="533"/>
      <c r="GJ204" s="533"/>
      <c r="GK204" s="533"/>
      <c r="GL204" s="533"/>
      <c r="GM204" s="533"/>
      <c r="GN204" s="533"/>
      <c r="GO204" s="533"/>
      <c r="GP204" s="533"/>
      <c r="GQ204" s="533"/>
      <c r="GR204" s="533"/>
      <c r="GS204" s="533"/>
      <c r="GT204" s="533"/>
      <c r="GU204" s="533"/>
      <c r="GV204" s="533"/>
      <c r="GW204" s="533"/>
      <c r="GX204" s="533"/>
      <c r="GY204" s="533"/>
      <c r="GZ204" s="533"/>
      <c r="HA204" s="533"/>
      <c r="HB204" s="534"/>
    </row>
    <row r="205" spans="1:242" ht="20.100000000000001" customHeight="1">
      <c r="A205" s="164"/>
      <c r="B205" s="306" t="s">
        <v>1487</v>
      </c>
      <c r="C205" s="503"/>
      <c r="D205" s="503"/>
      <c r="E205" s="503"/>
      <c r="F205" s="503"/>
      <c r="G205" s="326"/>
      <c r="H205" s="326"/>
      <c r="I205" s="326"/>
      <c r="J205" s="326"/>
      <c r="K205" s="326"/>
      <c r="L205" s="326"/>
      <c r="M205" s="326"/>
      <c r="N205" s="326"/>
      <c r="O205" s="326"/>
      <c r="P205" s="326"/>
      <c r="Q205" s="326"/>
      <c r="R205" s="326"/>
      <c r="S205" s="326"/>
      <c r="T205" s="326"/>
      <c r="U205" s="326"/>
      <c r="V205" s="326"/>
      <c r="W205" s="326"/>
      <c r="X205" s="326"/>
      <c r="Y205" s="326"/>
      <c r="Z205" s="326"/>
      <c r="AA205" s="326"/>
      <c r="AB205" s="326"/>
      <c r="AC205" s="326"/>
      <c r="AD205" s="326"/>
      <c r="AE205" s="326"/>
      <c r="AF205" s="326"/>
      <c r="AG205" s="326"/>
      <c r="AH205" s="326"/>
      <c r="AI205" s="326"/>
      <c r="AJ205" s="326"/>
      <c r="AK205" s="326"/>
      <c r="AL205" s="326"/>
      <c r="AM205" s="326"/>
      <c r="AN205" s="326"/>
      <c r="AO205" s="531"/>
      <c r="AP205" s="531"/>
      <c r="AQ205" s="532"/>
      <c r="AR205" s="532"/>
      <c r="AS205" s="532"/>
      <c r="AT205" s="532"/>
      <c r="AU205" s="532"/>
      <c r="AV205" s="532"/>
      <c r="AW205" s="326"/>
      <c r="AX205" s="326"/>
      <c r="AY205" s="326"/>
      <c r="AZ205" s="326"/>
      <c r="BA205" s="326"/>
      <c r="BB205" s="326"/>
      <c r="BC205" s="326"/>
      <c r="BD205" s="326"/>
      <c r="BE205" s="326"/>
      <c r="BF205" s="326"/>
      <c r="BG205" s="326"/>
      <c r="BH205" s="326"/>
      <c r="BI205" s="326"/>
      <c r="BJ205" s="326"/>
      <c r="BK205" s="326"/>
      <c r="BL205" s="326"/>
      <c r="BM205" s="326"/>
      <c r="BN205" s="326"/>
      <c r="BO205" s="326"/>
      <c r="BP205" s="326"/>
      <c r="BQ205" s="532"/>
      <c r="BR205" s="532"/>
      <c r="BS205" s="532"/>
      <c r="BT205" s="532"/>
      <c r="BU205" s="532"/>
      <c r="BV205" s="532"/>
      <c r="BW205" s="533"/>
      <c r="BX205" s="533"/>
      <c r="BY205" s="533"/>
      <c r="BZ205" s="533"/>
      <c r="CA205" s="533"/>
      <c r="CB205" s="533"/>
      <c r="CC205" s="533"/>
      <c r="CD205" s="533"/>
      <c r="CE205" s="533"/>
      <c r="CF205" s="533"/>
      <c r="CG205" s="533"/>
      <c r="CH205" s="533"/>
      <c r="CI205" s="533"/>
      <c r="CJ205" s="533"/>
      <c r="CK205" s="533"/>
      <c r="CL205" s="533"/>
      <c r="CM205" s="533"/>
      <c r="CN205" s="533"/>
      <c r="CO205" s="533"/>
      <c r="CP205" s="533"/>
      <c r="CQ205" s="533"/>
      <c r="CR205" s="533"/>
      <c r="CS205" s="533"/>
      <c r="CT205" s="533"/>
      <c r="CU205" s="533"/>
      <c r="CV205" s="533"/>
      <c r="CW205" s="533"/>
      <c r="CX205" s="533"/>
      <c r="CY205" s="533"/>
      <c r="CZ205" s="533"/>
      <c r="DA205" s="533"/>
      <c r="DB205" s="533"/>
      <c r="DC205" s="533"/>
      <c r="DD205" s="533"/>
      <c r="DE205" s="533"/>
      <c r="DF205" s="533"/>
      <c r="DG205" s="533"/>
      <c r="DH205" s="533"/>
      <c r="DI205" s="533"/>
      <c r="DJ205" s="533"/>
      <c r="DK205" s="533"/>
      <c r="DL205" s="533"/>
      <c r="DM205" s="533"/>
      <c r="DN205" s="533"/>
      <c r="DO205" s="533"/>
      <c r="DP205" s="533"/>
      <c r="DQ205" s="533"/>
      <c r="DR205" s="533"/>
      <c r="DS205" s="533"/>
      <c r="DT205" s="533"/>
      <c r="DU205" s="533"/>
      <c r="DV205" s="533"/>
      <c r="DW205" s="533"/>
      <c r="DX205" s="533"/>
      <c r="DY205" s="533"/>
      <c r="DZ205" s="533"/>
      <c r="EA205" s="533"/>
      <c r="EB205" s="533"/>
      <c r="EC205" s="533"/>
      <c r="ED205" s="533"/>
      <c r="EE205" s="533"/>
      <c r="EF205" s="533"/>
      <c r="EG205" s="533"/>
      <c r="EH205" s="533"/>
      <c r="EI205" s="533"/>
      <c r="EJ205" s="533"/>
      <c r="EK205" s="533"/>
      <c r="EL205" s="533"/>
      <c r="EM205" s="533"/>
      <c r="EN205" s="533"/>
      <c r="EO205" s="533"/>
      <c r="EP205" s="533"/>
      <c r="EQ205" s="533"/>
      <c r="ER205" s="533"/>
      <c r="ES205" s="533"/>
      <c r="ET205" s="533"/>
      <c r="EU205" s="533"/>
      <c r="EV205" s="533"/>
      <c r="EW205" s="533"/>
      <c r="EX205" s="533"/>
      <c r="EY205" s="533"/>
      <c r="EZ205" s="533"/>
      <c r="FA205" s="533"/>
      <c r="FB205" s="533"/>
      <c r="FC205" s="533"/>
      <c r="FD205" s="533"/>
      <c r="FE205" s="533"/>
      <c r="FF205" s="533"/>
      <c r="FG205" s="533"/>
      <c r="FH205" s="533"/>
      <c r="FI205" s="533"/>
      <c r="FJ205" s="533"/>
      <c r="FK205" s="533"/>
      <c r="FL205" s="533"/>
      <c r="FM205" s="533"/>
      <c r="FN205" s="533"/>
      <c r="FO205" s="533"/>
      <c r="FP205" s="533"/>
      <c r="FQ205" s="533"/>
      <c r="FR205" s="533"/>
      <c r="FS205" s="533"/>
      <c r="FT205" s="533"/>
      <c r="FU205" s="533"/>
      <c r="FV205" s="533"/>
      <c r="FW205" s="533"/>
      <c r="FX205" s="533"/>
      <c r="FY205" s="533"/>
      <c r="FZ205" s="533"/>
      <c r="GA205" s="533"/>
      <c r="GB205" s="533"/>
      <c r="GC205" s="533"/>
      <c r="GD205" s="533"/>
      <c r="GE205" s="533"/>
      <c r="GF205" s="533"/>
      <c r="GG205" s="533"/>
      <c r="GH205" s="533"/>
      <c r="GI205" s="533"/>
      <c r="GJ205" s="533"/>
      <c r="GK205" s="533"/>
      <c r="GL205" s="533"/>
      <c r="GM205" s="533"/>
      <c r="GN205" s="533"/>
      <c r="GO205" s="533"/>
      <c r="GP205" s="533"/>
      <c r="GQ205" s="533"/>
      <c r="GR205" s="533"/>
      <c r="GS205" s="533"/>
      <c r="GT205" s="533"/>
      <c r="GU205" s="533"/>
      <c r="GV205" s="533"/>
      <c r="GW205" s="533"/>
      <c r="GX205" s="533"/>
      <c r="GY205" s="533"/>
      <c r="GZ205" s="533"/>
      <c r="HA205" s="533"/>
      <c r="HB205" s="534"/>
    </row>
    <row r="206" spans="1:242" ht="20.100000000000001" customHeight="1">
      <c r="A206" s="164"/>
      <c r="B206" s="306" t="s">
        <v>1488</v>
      </c>
      <c r="C206" s="503"/>
      <c r="D206" s="503"/>
      <c r="E206" s="503"/>
      <c r="F206" s="503"/>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26"/>
      <c r="AI206" s="326"/>
      <c r="AJ206" s="326"/>
      <c r="AK206" s="326"/>
      <c r="AL206" s="326"/>
      <c r="AM206" s="326"/>
      <c r="AN206" s="326"/>
      <c r="AO206" s="531"/>
      <c r="AP206" s="531"/>
      <c r="AQ206" s="532"/>
      <c r="AR206" s="532"/>
      <c r="AS206" s="532"/>
      <c r="AT206" s="532"/>
      <c r="AU206" s="532"/>
      <c r="AV206" s="532"/>
      <c r="AW206" s="326"/>
      <c r="AX206" s="326"/>
      <c r="AY206" s="326"/>
      <c r="AZ206" s="326"/>
      <c r="BA206" s="326"/>
      <c r="BB206" s="326"/>
      <c r="BC206" s="326"/>
      <c r="BD206" s="326"/>
      <c r="BE206" s="326"/>
      <c r="BF206" s="326"/>
      <c r="BG206" s="326"/>
      <c r="BH206" s="326"/>
      <c r="BI206" s="326"/>
      <c r="BJ206" s="326"/>
      <c r="BK206" s="326"/>
      <c r="BL206" s="326"/>
      <c r="BM206" s="326"/>
      <c r="BN206" s="326"/>
      <c r="BO206" s="326"/>
      <c r="BP206" s="326"/>
      <c r="BQ206" s="532"/>
      <c r="BR206" s="532"/>
      <c r="BS206" s="532"/>
      <c r="BT206" s="532"/>
      <c r="BU206" s="532"/>
      <c r="BV206" s="532"/>
      <c r="BW206" s="533"/>
      <c r="BX206" s="533"/>
      <c r="BY206" s="533"/>
      <c r="BZ206" s="533"/>
      <c r="CA206" s="533"/>
      <c r="CB206" s="533"/>
      <c r="CC206" s="533"/>
      <c r="CD206" s="533"/>
      <c r="CE206" s="533"/>
      <c r="CF206" s="533"/>
      <c r="CG206" s="533"/>
      <c r="CH206" s="533"/>
      <c r="CI206" s="533"/>
      <c r="CJ206" s="533"/>
      <c r="CK206" s="533"/>
      <c r="CL206" s="533"/>
      <c r="CM206" s="533"/>
      <c r="CN206" s="533"/>
      <c r="CO206" s="533"/>
      <c r="CP206" s="533"/>
      <c r="CQ206" s="533"/>
      <c r="CR206" s="533"/>
      <c r="CS206" s="533"/>
      <c r="CT206" s="533"/>
      <c r="CU206" s="533"/>
      <c r="CV206" s="533"/>
      <c r="CW206" s="533"/>
      <c r="CX206" s="533"/>
      <c r="CY206" s="533"/>
      <c r="CZ206" s="533"/>
      <c r="DA206" s="533"/>
      <c r="DB206" s="533"/>
      <c r="DC206" s="533"/>
      <c r="DD206" s="533"/>
      <c r="DE206" s="533"/>
      <c r="DF206" s="533"/>
      <c r="DG206" s="533"/>
      <c r="DH206" s="533"/>
      <c r="DI206" s="533"/>
      <c r="DJ206" s="533"/>
      <c r="DK206" s="533"/>
      <c r="DL206" s="533"/>
      <c r="DM206" s="533"/>
      <c r="DN206" s="533"/>
      <c r="DO206" s="533"/>
      <c r="DP206" s="533"/>
      <c r="DQ206" s="533"/>
      <c r="DR206" s="533"/>
      <c r="DS206" s="533"/>
      <c r="DT206" s="533"/>
      <c r="DU206" s="533"/>
      <c r="DV206" s="533"/>
      <c r="DW206" s="533"/>
      <c r="DX206" s="533"/>
      <c r="DY206" s="533"/>
      <c r="DZ206" s="533"/>
      <c r="EA206" s="533"/>
      <c r="EB206" s="533"/>
      <c r="EC206" s="533"/>
      <c r="ED206" s="533"/>
      <c r="EE206" s="533"/>
      <c r="EF206" s="533"/>
      <c r="EG206" s="533"/>
      <c r="EH206" s="533"/>
      <c r="EI206" s="533"/>
      <c r="EJ206" s="533"/>
      <c r="EK206" s="533"/>
      <c r="EL206" s="533"/>
      <c r="EM206" s="533"/>
      <c r="EN206" s="533"/>
      <c r="EO206" s="533"/>
      <c r="EP206" s="533"/>
      <c r="EQ206" s="533"/>
      <c r="ER206" s="533"/>
      <c r="ES206" s="533"/>
      <c r="ET206" s="533"/>
      <c r="EU206" s="533"/>
      <c r="EV206" s="533"/>
      <c r="EW206" s="533"/>
      <c r="EX206" s="533"/>
      <c r="EY206" s="533"/>
      <c r="EZ206" s="533"/>
      <c r="FA206" s="533"/>
      <c r="FB206" s="533"/>
      <c r="FC206" s="533"/>
      <c r="FD206" s="533"/>
      <c r="FE206" s="533"/>
      <c r="FF206" s="533"/>
      <c r="FG206" s="533"/>
      <c r="FH206" s="533"/>
      <c r="FI206" s="533"/>
      <c r="FJ206" s="533"/>
      <c r="FK206" s="533"/>
      <c r="FL206" s="533"/>
      <c r="FM206" s="533"/>
      <c r="FN206" s="533"/>
      <c r="FO206" s="533"/>
      <c r="FP206" s="533"/>
      <c r="FQ206" s="533"/>
      <c r="FR206" s="533"/>
      <c r="FS206" s="533"/>
      <c r="FT206" s="533"/>
      <c r="FU206" s="533"/>
      <c r="FV206" s="533"/>
      <c r="FW206" s="533"/>
      <c r="FX206" s="533"/>
      <c r="FY206" s="533"/>
      <c r="FZ206" s="533"/>
      <c r="GA206" s="533"/>
      <c r="GB206" s="533"/>
      <c r="GC206" s="533"/>
      <c r="GD206" s="533"/>
      <c r="GE206" s="533"/>
      <c r="GF206" s="533"/>
      <c r="GG206" s="533"/>
      <c r="GH206" s="533"/>
      <c r="GI206" s="533"/>
      <c r="GJ206" s="533"/>
      <c r="GK206" s="533"/>
      <c r="GL206" s="533"/>
      <c r="GM206" s="533"/>
      <c r="GN206" s="533"/>
      <c r="GO206" s="533"/>
      <c r="GP206" s="533"/>
      <c r="GQ206" s="533"/>
      <c r="GR206" s="533"/>
      <c r="GS206" s="533"/>
      <c r="GT206" s="533"/>
      <c r="GU206" s="533"/>
      <c r="GV206" s="533"/>
      <c r="GW206" s="533"/>
      <c r="GX206" s="533"/>
      <c r="GY206" s="533"/>
      <c r="GZ206" s="533"/>
      <c r="HA206" s="533"/>
      <c r="HB206" s="534"/>
    </row>
    <row r="207" spans="1:242" ht="20.399999999999999" thickBot="1">
      <c r="A207" s="164"/>
      <c r="B207" s="364" t="s">
        <v>1489</v>
      </c>
      <c r="C207" s="535"/>
      <c r="D207" s="535"/>
      <c r="E207" s="535"/>
      <c r="F207" s="535"/>
      <c r="G207" s="536"/>
      <c r="H207" s="536"/>
      <c r="I207" s="536"/>
      <c r="J207" s="536"/>
      <c r="K207" s="536"/>
      <c r="L207" s="536"/>
      <c r="M207" s="536"/>
      <c r="N207" s="536"/>
      <c r="O207" s="536"/>
      <c r="P207" s="536"/>
      <c r="Q207" s="536"/>
      <c r="R207" s="536"/>
      <c r="S207" s="536"/>
      <c r="T207" s="536"/>
      <c r="U207" s="536"/>
      <c r="V207" s="536"/>
      <c r="W207" s="536"/>
      <c r="X207" s="536"/>
      <c r="Y207" s="536"/>
      <c r="Z207" s="536"/>
      <c r="AA207" s="536"/>
      <c r="AB207" s="536"/>
      <c r="AC207" s="536"/>
      <c r="AD207" s="536"/>
      <c r="AE207" s="536"/>
      <c r="AF207" s="536"/>
      <c r="AG207" s="536"/>
      <c r="AH207" s="536"/>
      <c r="AI207" s="536"/>
      <c r="AJ207" s="536"/>
      <c r="AK207" s="536"/>
      <c r="AL207" s="536"/>
      <c r="AM207" s="536"/>
      <c r="AN207" s="536"/>
      <c r="AO207" s="537"/>
      <c r="AP207" s="537"/>
      <c r="AQ207" s="538"/>
      <c r="AR207" s="538"/>
      <c r="AS207" s="538"/>
      <c r="AT207" s="538"/>
      <c r="AU207" s="538"/>
      <c r="AV207" s="538"/>
      <c r="AW207" s="536"/>
      <c r="AX207" s="536"/>
      <c r="AY207" s="536"/>
      <c r="AZ207" s="536"/>
      <c r="BA207" s="536"/>
      <c r="BB207" s="536"/>
      <c r="BC207" s="536"/>
      <c r="BD207" s="536"/>
      <c r="BE207" s="536"/>
      <c r="BF207" s="536"/>
      <c r="BG207" s="536"/>
      <c r="BH207" s="536"/>
      <c r="BI207" s="536"/>
      <c r="BJ207" s="536"/>
      <c r="BK207" s="536"/>
      <c r="BL207" s="536"/>
      <c r="BM207" s="536"/>
      <c r="BN207" s="536"/>
      <c r="BO207" s="536"/>
      <c r="BP207" s="536"/>
      <c r="BQ207" s="538"/>
      <c r="BR207" s="538"/>
      <c r="BS207" s="538"/>
      <c r="BT207" s="538"/>
      <c r="BU207" s="538"/>
      <c r="BV207" s="538"/>
      <c r="BW207" s="539"/>
      <c r="BX207" s="539"/>
      <c r="BY207" s="539"/>
      <c r="BZ207" s="539"/>
      <c r="CA207" s="539"/>
      <c r="CB207" s="539"/>
      <c r="CC207" s="539"/>
      <c r="CD207" s="539"/>
      <c r="CE207" s="539"/>
      <c r="CF207" s="539"/>
      <c r="CG207" s="539"/>
      <c r="CH207" s="539"/>
      <c r="CI207" s="539"/>
      <c r="CJ207" s="539"/>
      <c r="CK207" s="539"/>
      <c r="CL207" s="539"/>
      <c r="CM207" s="539"/>
      <c r="CN207" s="539"/>
      <c r="CO207" s="539"/>
      <c r="CP207" s="539"/>
      <c r="CQ207" s="539"/>
      <c r="CR207" s="539"/>
      <c r="CS207" s="539"/>
      <c r="CT207" s="539"/>
      <c r="CU207" s="539"/>
      <c r="CV207" s="539"/>
      <c r="CW207" s="539"/>
      <c r="CX207" s="539"/>
      <c r="CY207" s="539"/>
      <c r="CZ207" s="539"/>
      <c r="DA207" s="539"/>
      <c r="DB207" s="539"/>
      <c r="DC207" s="539"/>
      <c r="DD207" s="539"/>
      <c r="DE207" s="539"/>
      <c r="DF207" s="539"/>
      <c r="DG207" s="539"/>
      <c r="DH207" s="539"/>
      <c r="DI207" s="539"/>
      <c r="DJ207" s="539"/>
      <c r="DK207" s="539"/>
      <c r="DL207" s="539"/>
      <c r="DM207" s="539"/>
      <c r="DN207" s="539"/>
      <c r="DO207" s="539"/>
      <c r="DP207" s="539"/>
      <c r="DQ207" s="539"/>
      <c r="DR207" s="539"/>
      <c r="DS207" s="539"/>
      <c r="DT207" s="539"/>
      <c r="DU207" s="539"/>
      <c r="DV207" s="539"/>
      <c r="DW207" s="539"/>
      <c r="DX207" s="539"/>
      <c r="DY207" s="539"/>
      <c r="DZ207" s="539"/>
      <c r="EA207" s="539"/>
      <c r="EB207" s="539"/>
      <c r="EC207" s="539"/>
      <c r="ED207" s="539"/>
      <c r="EE207" s="539"/>
      <c r="EF207" s="539"/>
      <c r="EG207" s="539"/>
      <c r="EH207" s="539"/>
      <c r="EI207" s="539"/>
      <c r="EJ207" s="539"/>
      <c r="EK207" s="539"/>
      <c r="EL207" s="539"/>
      <c r="EM207" s="539"/>
      <c r="EN207" s="539"/>
      <c r="EO207" s="539"/>
      <c r="EP207" s="539"/>
      <c r="EQ207" s="539"/>
      <c r="ER207" s="539"/>
      <c r="ES207" s="539"/>
      <c r="ET207" s="539"/>
      <c r="EU207" s="539"/>
      <c r="EV207" s="539"/>
      <c r="EW207" s="539"/>
      <c r="EX207" s="539"/>
      <c r="EY207" s="539"/>
      <c r="EZ207" s="539"/>
      <c r="FA207" s="539"/>
      <c r="FB207" s="539"/>
      <c r="FC207" s="539"/>
      <c r="FD207" s="539"/>
      <c r="FE207" s="539"/>
      <c r="FF207" s="539"/>
      <c r="FG207" s="539"/>
      <c r="FH207" s="539"/>
      <c r="FI207" s="539"/>
      <c r="FJ207" s="539"/>
      <c r="FK207" s="539"/>
      <c r="FL207" s="539"/>
      <c r="FM207" s="539"/>
      <c r="FN207" s="539"/>
      <c r="FO207" s="539"/>
      <c r="FP207" s="539"/>
      <c r="FQ207" s="539"/>
      <c r="FR207" s="539"/>
      <c r="FS207" s="539"/>
      <c r="FT207" s="539"/>
      <c r="FU207" s="539"/>
      <c r="FV207" s="539"/>
      <c r="FW207" s="539"/>
      <c r="FX207" s="539"/>
      <c r="FY207" s="539"/>
      <c r="FZ207" s="539"/>
      <c r="GA207" s="539"/>
      <c r="GB207" s="539"/>
      <c r="GC207" s="539"/>
      <c r="GD207" s="539"/>
      <c r="GE207" s="539"/>
      <c r="GF207" s="539"/>
      <c r="GG207" s="539"/>
      <c r="GH207" s="539"/>
      <c r="GI207" s="539"/>
      <c r="GJ207" s="539"/>
      <c r="GK207" s="539"/>
      <c r="GL207" s="539"/>
      <c r="GM207" s="539"/>
      <c r="GN207" s="539"/>
      <c r="GO207" s="539"/>
      <c r="GP207" s="539"/>
      <c r="GQ207" s="539"/>
      <c r="GR207" s="539"/>
      <c r="GS207" s="539"/>
      <c r="GT207" s="539"/>
      <c r="GU207" s="539"/>
      <c r="GV207" s="539"/>
      <c r="GW207" s="539"/>
      <c r="GX207" s="539"/>
      <c r="GY207" s="539"/>
      <c r="GZ207" s="539"/>
      <c r="HA207" s="539"/>
      <c r="HB207" s="540"/>
    </row>
    <row r="208" spans="1:242" s="164" customFormat="1" ht="20.100000000000001" customHeight="1">
      <c r="B208" s="541" t="s">
        <v>1490</v>
      </c>
      <c r="C208" s="318" t="s">
        <v>628</v>
      </c>
      <c r="D208" s="318" t="s">
        <v>464</v>
      </c>
      <c r="E208" s="318" t="s">
        <v>1391</v>
      </c>
      <c r="F208" s="332" t="s">
        <v>1392</v>
      </c>
      <c r="G208" s="542" t="s">
        <v>465</v>
      </c>
      <c r="H208" s="543" t="s">
        <v>629</v>
      </c>
      <c r="I208" s="544" t="s">
        <v>641</v>
      </c>
      <c r="J208" s="545" t="s">
        <v>642</v>
      </c>
      <c r="K208" s="546" t="s">
        <v>1491</v>
      </c>
      <c r="L208" s="547" t="s">
        <v>1492</v>
      </c>
      <c r="M208" s="548" t="s">
        <v>1493</v>
      </c>
      <c r="N208" s="546" t="s">
        <v>1494</v>
      </c>
      <c r="O208" s="547" t="s">
        <v>1495</v>
      </c>
      <c r="P208" s="318" t="s">
        <v>1496</v>
      </c>
      <c r="Q208" s="547" t="s">
        <v>1497</v>
      </c>
      <c r="R208" s="318" t="s">
        <v>1498</v>
      </c>
      <c r="S208" s="318" t="s">
        <v>1499</v>
      </c>
      <c r="T208" s="318" t="s">
        <v>1492</v>
      </c>
      <c r="U208" s="494" t="s">
        <v>1493</v>
      </c>
      <c r="V208" s="200"/>
      <c r="W208" s="200"/>
      <c r="X208" s="251"/>
      <c r="Y208" s="251"/>
      <c r="Z208" s="251"/>
      <c r="AA208" s="251"/>
      <c r="AB208" s="251"/>
      <c r="AC208" s="251"/>
      <c r="AD208" s="251"/>
      <c r="AE208" s="251"/>
      <c r="AF208" s="251"/>
      <c r="AG208" s="251"/>
      <c r="AH208" s="251"/>
      <c r="AI208" s="251"/>
      <c r="AJ208" s="251"/>
      <c r="AK208" s="251"/>
      <c r="AL208" s="251"/>
      <c r="AM208" s="251"/>
      <c r="AN208" s="251"/>
      <c r="AO208" s="495"/>
      <c r="AP208" s="495"/>
      <c r="AQ208" s="249"/>
      <c r="AR208" s="249"/>
      <c r="AS208" s="249"/>
      <c r="AT208" s="249"/>
      <c r="AU208" s="249"/>
      <c r="AV208" s="249"/>
      <c r="AW208" s="251"/>
      <c r="AX208" s="251"/>
      <c r="AY208" s="251"/>
      <c r="AZ208" s="251"/>
      <c r="BA208" s="251"/>
      <c r="BB208" s="251"/>
      <c r="BC208" s="251"/>
      <c r="BD208" s="251"/>
      <c r="BE208" s="251"/>
      <c r="BF208" s="251"/>
      <c r="BG208" s="251"/>
      <c r="BH208" s="251"/>
      <c r="BI208" s="251"/>
      <c r="BJ208" s="251"/>
      <c r="BK208" s="251"/>
      <c r="BL208" s="251"/>
      <c r="BM208" s="251"/>
      <c r="BN208" s="251"/>
      <c r="BO208" s="251"/>
      <c r="BP208" s="251"/>
      <c r="BQ208" s="249"/>
      <c r="BR208" s="249"/>
      <c r="BS208" s="249"/>
      <c r="BT208" s="249"/>
      <c r="BU208" s="249"/>
      <c r="BV208" s="249"/>
      <c r="BW208" s="496"/>
      <c r="BX208" s="496"/>
      <c r="BY208" s="496"/>
      <c r="BZ208" s="496"/>
      <c r="CA208" s="496"/>
      <c r="CB208" s="496"/>
      <c r="CC208" s="496"/>
      <c r="CD208" s="496"/>
      <c r="CE208" s="496"/>
      <c r="CF208" s="496"/>
      <c r="CG208" s="496"/>
      <c r="CH208" s="496"/>
      <c r="CI208" s="496"/>
      <c r="CJ208" s="496"/>
      <c r="CK208" s="496"/>
      <c r="CL208" s="496"/>
      <c r="CM208" s="496"/>
      <c r="CN208" s="496"/>
      <c r="CO208" s="496"/>
      <c r="CP208" s="496"/>
      <c r="CQ208" s="496"/>
      <c r="CR208" s="496"/>
      <c r="CS208" s="496"/>
      <c r="CT208" s="496"/>
      <c r="CU208" s="496"/>
      <c r="CV208" s="496"/>
      <c r="CW208" s="496"/>
      <c r="CX208" s="496"/>
      <c r="CY208" s="496"/>
      <c r="CZ208" s="496"/>
      <c r="DA208" s="496"/>
      <c r="DB208" s="496"/>
      <c r="DC208" s="496"/>
      <c r="DD208" s="496"/>
      <c r="DE208" s="496"/>
      <c r="DF208" s="496"/>
      <c r="DG208" s="496"/>
      <c r="DH208" s="496"/>
      <c r="DI208" s="496"/>
      <c r="DJ208" s="496"/>
      <c r="DK208" s="496"/>
      <c r="DL208" s="496"/>
      <c r="DM208" s="496"/>
      <c r="DN208" s="496"/>
      <c r="DO208" s="496"/>
      <c r="DP208" s="496"/>
      <c r="DQ208" s="496"/>
      <c r="DR208" s="496"/>
      <c r="DS208" s="496"/>
      <c r="DT208" s="496"/>
      <c r="DU208" s="496"/>
      <c r="DV208" s="496"/>
      <c r="DW208" s="496"/>
      <c r="DX208" s="496"/>
      <c r="DY208" s="496"/>
      <c r="DZ208" s="496"/>
      <c r="EA208" s="496"/>
      <c r="EB208" s="496"/>
      <c r="EC208" s="496"/>
      <c r="ED208" s="496"/>
      <c r="EE208" s="496"/>
      <c r="EF208" s="496"/>
      <c r="EG208" s="496"/>
      <c r="EH208" s="496"/>
      <c r="EI208" s="496"/>
      <c r="EJ208" s="496"/>
      <c r="EK208" s="496"/>
      <c r="EL208" s="496"/>
      <c r="EM208" s="496"/>
      <c r="EN208" s="496"/>
      <c r="EO208" s="496"/>
      <c r="EP208" s="496"/>
      <c r="EQ208" s="496"/>
      <c r="ER208" s="496"/>
      <c r="ES208" s="496"/>
      <c r="ET208" s="496"/>
      <c r="EU208" s="496"/>
      <c r="EV208" s="496"/>
      <c r="EW208" s="496"/>
      <c r="EX208" s="496"/>
      <c r="EY208" s="496"/>
      <c r="EZ208" s="496"/>
      <c r="FA208" s="496"/>
      <c r="FB208" s="496"/>
      <c r="FC208" s="496"/>
      <c r="FD208" s="496"/>
      <c r="FE208" s="496"/>
      <c r="FF208" s="496"/>
      <c r="FG208" s="496"/>
      <c r="FH208" s="496"/>
      <c r="FI208" s="496"/>
      <c r="FJ208" s="496"/>
      <c r="FK208" s="496"/>
      <c r="FL208" s="496"/>
      <c r="FM208" s="496"/>
      <c r="FN208" s="496"/>
      <c r="FO208" s="496"/>
      <c r="FP208" s="496"/>
      <c r="FQ208" s="496"/>
      <c r="FR208" s="496"/>
      <c r="FS208" s="496"/>
      <c r="FT208" s="496"/>
      <c r="FU208" s="496"/>
      <c r="FV208" s="496"/>
      <c r="FW208" s="496"/>
      <c r="FX208" s="496"/>
      <c r="FY208" s="496"/>
      <c r="FZ208" s="496"/>
      <c r="GA208" s="496"/>
      <c r="GB208" s="496"/>
      <c r="GC208" s="496"/>
      <c r="GD208" s="496"/>
      <c r="GE208" s="496"/>
      <c r="GF208" s="496"/>
      <c r="GG208" s="496"/>
      <c r="GH208" s="496"/>
      <c r="GI208" s="496"/>
      <c r="GJ208" s="496"/>
      <c r="GK208" s="496"/>
      <c r="GL208" s="496"/>
      <c r="GM208" s="496"/>
      <c r="GN208" s="496"/>
      <c r="GO208" s="496"/>
      <c r="GP208" s="496"/>
      <c r="GQ208" s="496"/>
      <c r="GR208" s="496"/>
      <c r="GS208" s="496"/>
      <c r="GT208" s="496"/>
      <c r="GU208" s="496"/>
      <c r="GV208" s="496"/>
      <c r="GW208" s="496"/>
      <c r="GX208" s="496"/>
      <c r="GY208" s="496"/>
      <c r="GZ208" s="496"/>
      <c r="HA208" s="496"/>
      <c r="HB208" s="496"/>
      <c r="IE208" s="579"/>
      <c r="IF208" s="579"/>
      <c r="IG208" s="579"/>
      <c r="IH208" s="579"/>
    </row>
    <row r="209" spans="1:242" s="164" customFormat="1" ht="20.100000000000001" customHeight="1">
      <c r="B209" s="410" t="s">
        <v>1500</v>
      </c>
      <c r="C209" s="411"/>
      <c r="D209" s="411"/>
      <c r="E209" s="411"/>
      <c r="F209" s="411"/>
      <c r="G209" s="412"/>
      <c r="H209" s="549"/>
      <c r="I209" s="412"/>
      <c r="J209" s="413"/>
      <c r="K209" s="550" t="s">
        <v>1501</v>
      </c>
      <c r="L209" s="551"/>
      <c r="M209" s="552"/>
      <c r="N209" s="306" t="s">
        <v>376</v>
      </c>
      <c r="O209" s="551"/>
      <c r="P209" s="311"/>
      <c r="Q209" s="551"/>
      <c r="R209" s="311"/>
      <c r="S209" s="311"/>
      <c r="T209" s="311"/>
      <c r="U209" s="315"/>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c r="BZ209" s="200"/>
      <c r="CA209" s="200"/>
      <c r="CB209" s="200"/>
      <c r="CC209" s="200"/>
      <c r="CD209" s="200"/>
      <c r="CE209" s="200"/>
      <c r="CF209" s="200"/>
      <c r="CG209" s="200"/>
      <c r="CH209" s="200"/>
      <c r="CI209" s="200"/>
      <c r="CJ209" s="200"/>
      <c r="CK209" s="200"/>
      <c r="CL209" s="200"/>
      <c r="CM209" s="200"/>
      <c r="CN209" s="200"/>
      <c r="CO209" s="200"/>
      <c r="CP209" s="200"/>
      <c r="CQ209" s="200"/>
      <c r="CR209" s="200"/>
      <c r="CS209" s="200"/>
      <c r="CT209" s="200"/>
      <c r="CU209" s="200"/>
      <c r="CV209" s="200"/>
      <c r="CW209" s="200"/>
      <c r="CX209" s="200"/>
      <c r="CY209" s="200"/>
      <c r="CZ209" s="200"/>
      <c r="DA209" s="200"/>
      <c r="DB209" s="200"/>
      <c r="DC209" s="200"/>
      <c r="DD209" s="200"/>
      <c r="DE209" s="200"/>
      <c r="DF209" s="200"/>
      <c r="DG209" s="200"/>
      <c r="DH209" s="200"/>
      <c r="DI209" s="200"/>
      <c r="DJ209" s="200"/>
      <c r="DK209" s="200"/>
      <c r="DL209" s="200"/>
      <c r="DM209" s="200"/>
      <c r="DN209" s="200"/>
      <c r="DO209" s="200"/>
      <c r="DP209" s="200"/>
      <c r="DQ209" s="200"/>
      <c r="DR209" s="200"/>
      <c r="DS209" s="200"/>
      <c r="DT209" s="200"/>
      <c r="DU209" s="200"/>
      <c r="DV209" s="200"/>
      <c r="DW209" s="200"/>
      <c r="DX209" s="200"/>
      <c r="DY209" s="200"/>
      <c r="DZ209" s="200"/>
      <c r="EA209" s="200"/>
      <c r="EB209" s="200"/>
      <c r="EC209" s="200"/>
      <c r="ED209" s="200"/>
      <c r="EE209" s="200"/>
      <c r="EF209" s="200"/>
      <c r="EG209" s="200"/>
      <c r="EH209" s="200"/>
      <c r="EI209" s="200"/>
      <c r="EJ209" s="200"/>
      <c r="EK209" s="200"/>
      <c r="EL209" s="200"/>
      <c r="EM209" s="200"/>
      <c r="EN209" s="200"/>
      <c r="EO209" s="200"/>
      <c r="EP209" s="200"/>
      <c r="EQ209" s="200"/>
      <c r="ER209" s="200"/>
      <c r="ES209" s="200"/>
      <c r="ET209" s="200"/>
      <c r="EU209" s="200"/>
      <c r="EV209" s="200"/>
      <c r="EW209" s="200"/>
      <c r="EX209" s="200"/>
      <c r="EY209" s="200"/>
      <c r="EZ209" s="200"/>
      <c r="FA209" s="200"/>
      <c r="FB209" s="200"/>
      <c r="FC209" s="200"/>
      <c r="FD209" s="200"/>
      <c r="FE209" s="200"/>
      <c r="FF209" s="200"/>
      <c r="FG209" s="200"/>
      <c r="FH209" s="200"/>
      <c r="FI209" s="200"/>
      <c r="FJ209" s="200"/>
      <c r="FK209" s="200"/>
      <c r="FL209" s="200"/>
      <c r="FM209" s="200"/>
      <c r="FN209" s="200"/>
      <c r="FO209" s="200"/>
      <c r="FP209" s="200"/>
      <c r="FQ209" s="200"/>
      <c r="FR209" s="200"/>
      <c r="FS209" s="200"/>
      <c r="FT209" s="200"/>
      <c r="FU209" s="200"/>
      <c r="FV209" s="200"/>
      <c r="FW209" s="200"/>
      <c r="FX209" s="200"/>
      <c r="FY209" s="200"/>
      <c r="FZ209" s="200"/>
      <c r="GA209" s="200"/>
      <c r="GB209" s="200"/>
      <c r="GC209" s="200"/>
      <c r="GD209" s="200"/>
      <c r="GE209" s="200"/>
      <c r="GF209" s="200"/>
      <c r="GG209" s="200"/>
      <c r="GH209" s="200"/>
      <c r="GI209" s="200"/>
      <c r="GJ209" s="200"/>
      <c r="GK209" s="200"/>
      <c r="GL209" s="200"/>
      <c r="GM209" s="200"/>
      <c r="GN209" s="200"/>
      <c r="GO209" s="200"/>
      <c r="GP209" s="200"/>
      <c r="GQ209" s="200"/>
      <c r="GR209" s="200"/>
      <c r="GS209" s="200"/>
      <c r="GT209" s="200"/>
      <c r="GU209" s="200"/>
      <c r="GV209" s="200"/>
      <c r="GW209" s="200"/>
      <c r="GX209" s="200"/>
      <c r="GY209" s="200"/>
      <c r="GZ209" s="200"/>
      <c r="HA209" s="200"/>
      <c r="HB209" s="200"/>
      <c r="IE209" s="579"/>
      <c r="IF209" s="579"/>
      <c r="IG209" s="579"/>
      <c r="IH209" s="579"/>
    </row>
    <row r="210" spans="1:242" s="164" customFormat="1" ht="20.100000000000001" customHeight="1">
      <c r="B210" s="421" t="s">
        <v>1502</v>
      </c>
      <c r="C210" s="422"/>
      <c r="D210" s="422"/>
      <c r="E210" s="422"/>
      <c r="F210" s="422"/>
      <c r="G210" s="423"/>
      <c r="H210" s="553"/>
      <c r="I210" s="423"/>
      <c r="J210" s="424"/>
      <c r="K210" s="554" t="s">
        <v>1503</v>
      </c>
      <c r="L210" s="551"/>
      <c r="M210" s="552"/>
      <c r="N210" s="550" t="s">
        <v>395</v>
      </c>
      <c r="O210" s="551"/>
      <c r="P210" s="311"/>
      <c r="Q210" s="551"/>
      <c r="R210" s="311"/>
      <c r="S210" s="311"/>
      <c r="T210" s="311"/>
      <c r="U210" s="315"/>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c r="BZ210" s="200"/>
      <c r="CA210" s="200"/>
      <c r="CB210" s="200"/>
      <c r="CC210" s="200"/>
      <c r="CD210" s="200"/>
      <c r="CE210" s="200"/>
      <c r="CF210" s="200"/>
      <c r="CG210" s="200"/>
      <c r="CH210" s="200"/>
      <c r="CI210" s="200"/>
      <c r="CJ210" s="200"/>
      <c r="CK210" s="200"/>
      <c r="CL210" s="200"/>
      <c r="CM210" s="200"/>
      <c r="CN210" s="200"/>
      <c r="CO210" s="200"/>
      <c r="CP210" s="200"/>
      <c r="CQ210" s="200"/>
      <c r="CR210" s="200"/>
      <c r="CS210" s="200"/>
      <c r="CT210" s="200"/>
      <c r="CU210" s="200"/>
      <c r="CV210" s="200"/>
      <c r="CW210" s="200"/>
      <c r="CX210" s="200"/>
      <c r="CY210" s="200"/>
      <c r="CZ210" s="200"/>
      <c r="DA210" s="200"/>
      <c r="DB210" s="200"/>
      <c r="DC210" s="200"/>
      <c r="DD210" s="200"/>
      <c r="DE210" s="200"/>
      <c r="DF210" s="200"/>
      <c r="DG210" s="200"/>
      <c r="DH210" s="200"/>
      <c r="DI210" s="200"/>
      <c r="DJ210" s="200"/>
      <c r="DK210" s="200"/>
      <c r="DL210" s="200"/>
      <c r="DM210" s="200"/>
      <c r="DN210" s="200"/>
      <c r="DO210" s="200"/>
      <c r="DP210" s="200"/>
      <c r="DQ210" s="200"/>
      <c r="DR210" s="200"/>
      <c r="DS210" s="200"/>
      <c r="DT210" s="200"/>
      <c r="DU210" s="200"/>
      <c r="DV210" s="200"/>
      <c r="DW210" s="200"/>
      <c r="DX210" s="200"/>
      <c r="DY210" s="200"/>
      <c r="DZ210" s="200"/>
      <c r="EA210" s="200"/>
      <c r="EB210" s="200"/>
      <c r="EC210" s="200"/>
      <c r="ED210" s="200"/>
      <c r="EE210" s="200"/>
      <c r="EF210" s="200"/>
      <c r="EG210" s="200"/>
      <c r="EH210" s="200"/>
      <c r="EI210" s="200"/>
      <c r="EJ210" s="200"/>
      <c r="EK210" s="200"/>
      <c r="EL210" s="200"/>
      <c r="EM210" s="200"/>
      <c r="EN210" s="200"/>
      <c r="EO210" s="200"/>
      <c r="EP210" s="200"/>
      <c r="EQ210" s="200"/>
      <c r="ER210" s="200"/>
      <c r="ES210" s="200"/>
      <c r="ET210" s="200"/>
      <c r="EU210" s="200"/>
      <c r="EV210" s="200"/>
      <c r="EW210" s="200"/>
      <c r="EX210" s="200"/>
      <c r="EY210" s="200"/>
      <c r="EZ210" s="200"/>
      <c r="FA210" s="200"/>
      <c r="FB210" s="200"/>
      <c r="FC210" s="200"/>
      <c r="FD210" s="200"/>
      <c r="FE210" s="200"/>
      <c r="FF210" s="200"/>
      <c r="FG210" s="200"/>
      <c r="FH210" s="200"/>
      <c r="FI210" s="200"/>
      <c r="FJ210" s="200"/>
      <c r="FK210" s="200"/>
      <c r="FL210" s="200"/>
      <c r="FM210" s="200"/>
      <c r="FN210" s="200"/>
      <c r="FO210" s="200"/>
      <c r="FP210" s="200"/>
      <c r="FQ210" s="200"/>
      <c r="FR210" s="200"/>
      <c r="FS210" s="200"/>
      <c r="FT210" s="200"/>
      <c r="FU210" s="200"/>
      <c r="FV210" s="200"/>
      <c r="FW210" s="200"/>
      <c r="FX210" s="200"/>
      <c r="FY210" s="200"/>
      <c r="FZ210" s="200"/>
      <c r="GA210" s="200"/>
      <c r="GB210" s="200"/>
      <c r="GC210" s="200"/>
      <c r="GD210" s="200"/>
      <c r="GE210" s="200"/>
      <c r="GF210" s="200"/>
      <c r="GG210" s="200"/>
      <c r="GH210" s="200"/>
      <c r="GI210" s="200"/>
      <c r="GJ210" s="200"/>
      <c r="GK210" s="200"/>
      <c r="GL210" s="200"/>
      <c r="GM210" s="200"/>
      <c r="GN210" s="200"/>
      <c r="GO210" s="200"/>
      <c r="GP210" s="200"/>
      <c r="GQ210" s="200"/>
      <c r="GR210" s="200"/>
      <c r="GS210" s="200"/>
      <c r="GT210" s="200"/>
      <c r="GU210" s="200"/>
      <c r="GV210" s="200"/>
      <c r="GW210" s="200"/>
      <c r="GX210" s="200"/>
      <c r="GY210" s="200"/>
      <c r="GZ210" s="200"/>
      <c r="HA210" s="200"/>
      <c r="HB210" s="200"/>
      <c r="IE210" s="579"/>
      <c r="IF210" s="579"/>
      <c r="IG210" s="579"/>
      <c r="IH210" s="579"/>
    </row>
    <row r="211" spans="1:242" s="164" customFormat="1" ht="20.100000000000001" customHeight="1">
      <c r="B211" s="421" t="s">
        <v>1504</v>
      </c>
      <c r="C211" s="422"/>
      <c r="D211" s="422"/>
      <c r="E211" s="422"/>
      <c r="F211" s="422"/>
      <c r="G211" s="423"/>
      <c r="H211" s="553"/>
      <c r="I211" s="423"/>
      <c r="J211" s="424"/>
      <c r="K211" s="550" t="s">
        <v>1505</v>
      </c>
      <c r="L211" s="551"/>
      <c r="M211" s="552"/>
      <c r="N211" s="550" t="s">
        <v>409</v>
      </c>
      <c r="O211" s="551"/>
      <c r="P211" s="551"/>
      <c r="Q211" s="311"/>
      <c r="R211" s="311"/>
      <c r="S211" s="311"/>
      <c r="T211" s="311"/>
      <c r="U211" s="315"/>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c r="IE211" s="579"/>
      <c r="IF211" s="579"/>
      <c r="IG211" s="579"/>
      <c r="IH211" s="579"/>
    </row>
    <row r="212" spans="1:242" s="164" customFormat="1" ht="20.100000000000001" customHeight="1">
      <c r="B212" s="421" t="s">
        <v>1506</v>
      </c>
      <c r="C212" s="422"/>
      <c r="D212" s="422"/>
      <c r="E212" s="422"/>
      <c r="F212" s="422"/>
      <c r="G212" s="423"/>
      <c r="H212" s="553"/>
      <c r="I212" s="423"/>
      <c r="J212" s="424"/>
      <c r="K212" s="554" t="s">
        <v>1503</v>
      </c>
      <c r="L212" s="551"/>
      <c r="M212" s="552"/>
      <c r="N212" s="550" t="s">
        <v>410</v>
      </c>
      <c r="O212" s="551"/>
      <c r="P212" s="551"/>
      <c r="Q212" s="311"/>
      <c r="R212" s="311"/>
      <c r="S212" s="311"/>
      <c r="T212" s="311"/>
      <c r="U212" s="315"/>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c r="CD212" s="200"/>
      <c r="CE212" s="200"/>
      <c r="CF212" s="200"/>
      <c r="CG212" s="200"/>
      <c r="CH212" s="200"/>
      <c r="CI212" s="200"/>
      <c r="CJ212" s="200"/>
      <c r="CK212" s="200"/>
      <c r="CL212" s="200"/>
      <c r="CM212" s="200"/>
      <c r="CN212" s="200"/>
      <c r="CO212" s="200"/>
      <c r="CP212" s="200"/>
      <c r="CQ212" s="200"/>
      <c r="CR212" s="200"/>
      <c r="CS212" s="200"/>
      <c r="CT212" s="200"/>
      <c r="CU212" s="200"/>
      <c r="CV212" s="200"/>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200"/>
      <c r="DS212" s="200"/>
      <c r="DT212" s="200"/>
      <c r="DU212" s="200"/>
      <c r="DV212" s="200"/>
      <c r="DW212" s="200"/>
      <c r="DX212" s="200"/>
      <c r="DY212" s="200"/>
      <c r="DZ212" s="200"/>
      <c r="EA212" s="200"/>
      <c r="EB212" s="200"/>
      <c r="EC212" s="200"/>
      <c r="ED212" s="200"/>
      <c r="EE212" s="200"/>
      <c r="EF212" s="200"/>
      <c r="EG212" s="200"/>
      <c r="EH212" s="200"/>
      <c r="EI212" s="200"/>
      <c r="EJ212" s="200"/>
      <c r="EK212" s="200"/>
      <c r="EL212" s="200"/>
      <c r="EM212" s="200"/>
      <c r="EN212" s="200"/>
      <c r="EO212" s="200"/>
      <c r="EP212" s="200"/>
      <c r="EQ212" s="200"/>
      <c r="ER212" s="200"/>
      <c r="ES212" s="200"/>
      <c r="ET212" s="200"/>
      <c r="EU212" s="200"/>
      <c r="EV212" s="200"/>
      <c r="EW212" s="200"/>
      <c r="EX212" s="200"/>
      <c r="EY212" s="200"/>
      <c r="EZ212" s="200"/>
      <c r="FA212" s="200"/>
      <c r="FB212" s="200"/>
      <c r="FC212" s="200"/>
      <c r="FD212" s="200"/>
      <c r="FE212" s="200"/>
      <c r="FF212" s="200"/>
      <c r="FG212" s="200"/>
      <c r="FH212" s="200"/>
      <c r="FI212" s="200"/>
      <c r="FJ212" s="200"/>
      <c r="FK212" s="200"/>
      <c r="FL212" s="200"/>
      <c r="FM212" s="200"/>
      <c r="FN212" s="200"/>
      <c r="FO212" s="200"/>
      <c r="FP212" s="200"/>
      <c r="FQ212" s="200"/>
      <c r="FR212" s="200"/>
      <c r="FS212" s="200"/>
      <c r="FT212" s="200"/>
      <c r="FU212" s="200"/>
      <c r="FV212" s="200"/>
      <c r="FW212" s="200"/>
      <c r="FX212" s="200"/>
      <c r="FY212" s="200"/>
      <c r="FZ212" s="200"/>
      <c r="GA212" s="200"/>
      <c r="GB212" s="200"/>
      <c r="GC212" s="200"/>
      <c r="GD212" s="200"/>
      <c r="GE212" s="200"/>
      <c r="GF212" s="200"/>
      <c r="GG212" s="200"/>
      <c r="GH212" s="200"/>
      <c r="GI212" s="200"/>
      <c r="GJ212" s="200"/>
      <c r="GK212" s="200"/>
      <c r="GL212" s="200"/>
      <c r="GM212" s="200"/>
      <c r="GN212" s="200"/>
      <c r="GO212" s="200"/>
      <c r="GP212" s="200"/>
      <c r="GQ212" s="200"/>
      <c r="GR212" s="200"/>
      <c r="GS212" s="200"/>
      <c r="GT212" s="200"/>
      <c r="GU212" s="200"/>
      <c r="GV212" s="200"/>
      <c r="GW212" s="200"/>
      <c r="GX212" s="200"/>
      <c r="GY212" s="200"/>
      <c r="GZ212" s="200"/>
      <c r="HA212" s="200"/>
      <c r="HB212" s="200"/>
      <c r="IE212" s="579"/>
      <c r="IF212" s="579"/>
      <c r="IG212" s="579"/>
      <c r="IH212" s="579"/>
    </row>
    <row r="213" spans="1:242" ht="20.100000000000001" customHeight="1">
      <c r="A213" s="164"/>
      <c r="B213" s="421" t="s">
        <v>1507</v>
      </c>
      <c r="C213" s="422"/>
      <c r="D213" s="422"/>
      <c r="E213" s="422"/>
      <c r="F213" s="422"/>
      <c r="G213" s="423"/>
      <c r="H213" s="553"/>
      <c r="I213" s="445"/>
      <c r="J213" s="555"/>
      <c r="K213" s="550" t="s">
        <v>1508</v>
      </c>
      <c r="L213" s="551"/>
      <c r="M213" s="552"/>
      <c r="N213" s="550" t="s">
        <v>643</v>
      </c>
      <c r="O213" s="551"/>
      <c r="P213" s="551"/>
      <c r="Q213" s="311"/>
      <c r="R213" s="311"/>
      <c r="S213" s="311"/>
      <c r="T213" s="311"/>
      <c r="U213" s="315"/>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00"/>
      <c r="CA213" s="200"/>
      <c r="CB213" s="200"/>
      <c r="CC213" s="200"/>
      <c r="CD213" s="200"/>
      <c r="CE213" s="200"/>
      <c r="CF213" s="200"/>
      <c r="CG213" s="200"/>
      <c r="CH213" s="200"/>
      <c r="CI213" s="200"/>
      <c r="CJ213" s="200"/>
      <c r="CK213" s="200"/>
      <c r="CL213" s="200"/>
      <c r="CM213" s="200"/>
      <c r="CN213" s="200"/>
      <c r="CO213" s="200"/>
      <c r="CP213" s="200"/>
      <c r="CQ213" s="200"/>
      <c r="CR213" s="200"/>
      <c r="CS213" s="200"/>
      <c r="CT213" s="200"/>
      <c r="CU213" s="200"/>
      <c r="CV213" s="200"/>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200"/>
      <c r="DS213" s="200"/>
      <c r="DT213" s="200"/>
      <c r="DU213" s="200"/>
      <c r="DV213" s="200"/>
      <c r="DW213" s="200"/>
      <c r="DX213" s="200"/>
      <c r="DY213" s="200"/>
      <c r="DZ213" s="200"/>
      <c r="EA213" s="200"/>
      <c r="EB213" s="200"/>
      <c r="EC213" s="200"/>
      <c r="ED213" s="200"/>
      <c r="EE213" s="200"/>
      <c r="EF213" s="200"/>
      <c r="EG213" s="200"/>
      <c r="EH213" s="200"/>
      <c r="EI213" s="200"/>
      <c r="EJ213" s="200"/>
      <c r="EK213" s="200"/>
      <c r="EL213" s="200"/>
      <c r="EM213" s="200"/>
      <c r="EN213" s="200"/>
      <c r="EO213" s="200"/>
      <c r="EP213" s="200"/>
      <c r="EQ213" s="200"/>
      <c r="ER213" s="200"/>
      <c r="ES213" s="200"/>
      <c r="ET213" s="200"/>
      <c r="EU213" s="200"/>
      <c r="EV213" s="200"/>
      <c r="EW213" s="200"/>
      <c r="EX213" s="200"/>
      <c r="EY213" s="200"/>
      <c r="EZ213" s="200"/>
      <c r="FA213" s="200"/>
      <c r="FB213" s="200"/>
      <c r="FC213" s="200"/>
      <c r="FD213" s="200"/>
      <c r="FE213" s="200"/>
      <c r="FF213" s="200"/>
      <c r="FG213" s="200"/>
      <c r="FH213" s="200"/>
      <c r="FI213" s="200"/>
      <c r="FJ213" s="200"/>
      <c r="FK213" s="200"/>
      <c r="FL213" s="200"/>
      <c r="FM213" s="200"/>
      <c r="FN213" s="200"/>
      <c r="FO213" s="200"/>
      <c r="FP213" s="200"/>
      <c r="FQ213" s="200"/>
      <c r="FR213" s="200"/>
      <c r="FS213" s="200"/>
      <c r="FT213" s="200"/>
      <c r="FU213" s="200"/>
      <c r="FV213" s="200"/>
      <c r="FW213" s="200"/>
      <c r="FX213" s="200"/>
      <c r="FY213" s="200"/>
      <c r="FZ213" s="200"/>
      <c r="GA213" s="200"/>
      <c r="GB213" s="200"/>
      <c r="GC213" s="200"/>
      <c r="GD213" s="200"/>
      <c r="GE213" s="200"/>
      <c r="GF213" s="200"/>
      <c r="GG213" s="200"/>
      <c r="GH213" s="200"/>
      <c r="GI213" s="200"/>
      <c r="GJ213" s="200"/>
      <c r="GK213" s="200"/>
      <c r="GL213" s="200"/>
      <c r="GM213" s="200"/>
      <c r="GN213" s="200"/>
      <c r="GO213" s="200"/>
      <c r="GP213" s="200"/>
      <c r="GQ213" s="200"/>
      <c r="GR213" s="200"/>
      <c r="GS213" s="200"/>
      <c r="GT213" s="200"/>
      <c r="GU213" s="200"/>
      <c r="GV213" s="200"/>
      <c r="GW213" s="200"/>
      <c r="GX213" s="200"/>
      <c r="GY213" s="200"/>
      <c r="GZ213" s="200"/>
      <c r="HA213" s="200"/>
      <c r="HB213" s="200"/>
    </row>
    <row r="214" spans="1:242" ht="20.100000000000001" customHeight="1">
      <c r="A214" s="164"/>
      <c r="B214" s="410" t="s">
        <v>1509</v>
      </c>
      <c r="C214" s="411"/>
      <c r="D214" s="411"/>
      <c r="E214" s="411"/>
      <c r="F214" s="411"/>
      <c r="G214" s="411"/>
      <c r="H214" s="556"/>
      <c r="I214" s="412"/>
      <c r="J214" s="413"/>
      <c r="K214" s="550" t="s">
        <v>1510</v>
      </c>
      <c r="L214" s="551"/>
      <c r="M214" s="552"/>
      <c r="N214" s="550" t="s">
        <v>643</v>
      </c>
      <c r="O214" s="551"/>
      <c r="P214" s="551"/>
      <c r="Q214" s="311"/>
      <c r="R214" s="311"/>
      <c r="S214" s="311"/>
      <c r="T214" s="311"/>
      <c r="U214" s="315"/>
      <c r="V214" s="200"/>
      <c r="W214" s="200"/>
      <c r="X214" s="496"/>
      <c r="Y214" s="496"/>
      <c r="Z214" s="496"/>
      <c r="AA214" s="496"/>
      <c r="AB214" s="496"/>
      <c r="AC214" s="496"/>
      <c r="AD214" s="496"/>
      <c r="AE214" s="496"/>
      <c r="AF214" s="496"/>
      <c r="AG214" s="496"/>
      <c r="AH214" s="496"/>
      <c r="AI214" s="496"/>
      <c r="AJ214" s="496"/>
      <c r="AK214" s="496"/>
      <c r="AL214" s="496"/>
      <c r="AM214" s="496"/>
      <c r="AN214" s="496"/>
      <c r="AO214" s="496"/>
      <c r="AP214" s="496"/>
      <c r="AQ214" s="496"/>
      <c r="AR214" s="496"/>
      <c r="AS214" s="496"/>
      <c r="AT214" s="496"/>
      <c r="AU214" s="496"/>
      <c r="AV214" s="496"/>
      <c r="AW214" s="496"/>
      <c r="AX214" s="496"/>
      <c r="AY214" s="496"/>
      <c r="AZ214" s="496"/>
      <c r="BA214" s="496"/>
      <c r="BB214" s="496"/>
      <c r="BC214" s="496"/>
      <c r="BD214" s="496"/>
      <c r="BE214" s="496"/>
      <c r="BF214" s="496"/>
      <c r="BG214" s="496"/>
      <c r="BH214" s="496"/>
      <c r="BI214" s="496"/>
      <c r="BJ214" s="496"/>
      <c r="BK214" s="496"/>
      <c r="BL214" s="496"/>
      <c r="BM214" s="496"/>
      <c r="BN214" s="496"/>
      <c r="BO214" s="496"/>
      <c r="BP214" s="496"/>
      <c r="BQ214" s="496"/>
      <c r="BR214" s="496"/>
      <c r="BS214" s="496"/>
      <c r="BT214" s="496"/>
      <c r="BU214" s="496"/>
      <c r="BV214" s="496"/>
      <c r="BW214" s="496"/>
      <c r="BX214" s="496"/>
      <c r="BY214" s="496"/>
      <c r="BZ214" s="496"/>
      <c r="CA214" s="496"/>
      <c r="CB214" s="496"/>
      <c r="CC214" s="496"/>
      <c r="CD214" s="496"/>
      <c r="CE214" s="496"/>
      <c r="CF214" s="496"/>
      <c r="CG214" s="496"/>
      <c r="CH214" s="496"/>
      <c r="CI214" s="496"/>
      <c r="CJ214" s="496"/>
      <c r="CK214" s="496"/>
      <c r="CL214" s="496"/>
      <c r="CM214" s="496"/>
      <c r="CN214" s="496"/>
      <c r="CO214" s="496"/>
      <c r="CP214" s="496"/>
      <c r="CQ214" s="496"/>
      <c r="CR214" s="496"/>
      <c r="CS214" s="496"/>
      <c r="CT214" s="496"/>
      <c r="CU214" s="496"/>
      <c r="CV214" s="496"/>
      <c r="CW214" s="496"/>
      <c r="CX214" s="496"/>
      <c r="CY214" s="496"/>
      <c r="CZ214" s="496"/>
      <c r="DA214" s="496"/>
      <c r="DB214" s="496"/>
      <c r="DC214" s="496"/>
      <c r="DD214" s="496"/>
      <c r="DE214" s="496"/>
      <c r="DF214" s="496"/>
      <c r="DG214" s="496"/>
      <c r="DH214" s="496"/>
      <c r="DI214" s="496"/>
      <c r="DJ214" s="496"/>
      <c r="DK214" s="496"/>
      <c r="DL214" s="496"/>
      <c r="DM214" s="496"/>
      <c r="DN214" s="496"/>
      <c r="DO214" s="496"/>
      <c r="DP214" s="496"/>
      <c r="DQ214" s="496"/>
      <c r="DR214" s="496"/>
      <c r="DS214" s="496"/>
      <c r="DT214" s="496"/>
      <c r="DU214" s="496"/>
      <c r="DV214" s="496"/>
      <c r="DW214" s="496"/>
      <c r="DX214" s="496"/>
      <c r="DY214" s="496"/>
      <c r="DZ214" s="496"/>
      <c r="EA214" s="496"/>
      <c r="EB214" s="496"/>
      <c r="EC214" s="496"/>
      <c r="ED214" s="496"/>
      <c r="EE214" s="496"/>
      <c r="EF214" s="496"/>
      <c r="EG214" s="496"/>
      <c r="EH214" s="496"/>
      <c r="EI214" s="496"/>
      <c r="EJ214" s="496"/>
      <c r="EK214" s="496"/>
      <c r="EL214" s="496"/>
      <c r="EM214" s="496"/>
      <c r="EN214" s="496"/>
      <c r="EO214" s="496"/>
      <c r="EP214" s="496"/>
      <c r="EQ214" s="496"/>
      <c r="ER214" s="496"/>
      <c r="ES214" s="496"/>
      <c r="ET214" s="496"/>
      <c r="EU214" s="496"/>
      <c r="EV214" s="496"/>
      <c r="EW214" s="496"/>
      <c r="EX214" s="496"/>
      <c r="EY214" s="496"/>
      <c r="EZ214" s="496"/>
      <c r="FA214" s="496"/>
      <c r="FB214" s="496"/>
      <c r="FC214" s="496"/>
      <c r="FD214" s="496"/>
      <c r="FE214" s="496"/>
      <c r="FF214" s="496"/>
      <c r="FG214" s="496"/>
      <c r="FH214" s="496"/>
      <c r="FI214" s="496"/>
      <c r="FJ214" s="496"/>
      <c r="FK214" s="496"/>
      <c r="FL214" s="496"/>
      <c r="FM214" s="496"/>
      <c r="FN214" s="496"/>
      <c r="FO214" s="496"/>
      <c r="FP214" s="496"/>
      <c r="FQ214" s="496"/>
      <c r="FR214" s="496"/>
      <c r="FS214" s="496"/>
      <c r="FT214" s="496"/>
      <c r="FU214" s="496"/>
      <c r="FV214" s="496"/>
      <c r="FW214" s="496"/>
      <c r="FX214" s="496"/>
      <c r="FY214" s="496"/>
      <c r="FZ214" s="496"/>
      <c r="GA214" s="496"/>
      <c r="GB214" s="496"/>
      <c r="GC214" s="496"/>
      <c r="GD214" s="496"/>
      <c r="GE214" s="496"/>
      <c r="GF214" s="496"/>
      <c r="GG214" s="496"/>
      <c r="GH214" s="496"/>
      <c r="GI214" s="496"/>
      <c r="GJ214" s="496"/>
      <c r="GK214" s="496"/>
      <c r="GL214" s="496"/>
      <c r="GM214" s="496"/>
      <c r="GN214" s="496"/>
      <c r="GO214" s="496"/>
      <c r="GP214" s="496"/>
      <c r="GQ214" s="496"/>
      <c r="GR214" s="496"/>
      <c r="GS214" s="496"/>
      <c r="GT214" s="496"/>
      <c r="GU214" s="496"/>
      <c r="GV214" s="496"/>
      <c r="GW214" s="496"/>
      <c r="GX214" s="496"/>
      <c r="GY214" s="496"/>
      <c r="GZ214" s="496"/>
      <c r="HA214" s="496"/>
      <c r="HB214" s="496"/>
    </row>
    <row r="215" spans="1:242" ht="20.100000000000001" customHeight="1">
      <c r="A215" s="164"/>
      <c r="B215" s="421" t="s">
        <v>1511</v>
      </c>
      <c r="C215" s="422"/>
      <c r="D215" s="422"/>
      <c r="E215" s="422"/>
      <c r="F215" s="422"/>
      <c r="G215" s="422"/>
      <c r="H215" s="557"/>
      <c r="I215" s="423"/>
      <c r="J215" s="424"/>
      <c r="K215" s="550" t="s">
        <v>1512</v>
      </c>
      <c r="L215" s="551"/>
      <c r="M215" s="552"/>
      <c r="N215" s="550" t="s">
        <v>477</v>
      </c>
      <c r="O215" s="551"/>
      <c r="P215" s="551"/>
      <c r="Q215" s="311"/>
      <c r="R215" s="311"/>
      <c r="S215" s="311"/>
      <c r="T215" s="311"/>
      <c r="U215" s="315"/>
      <c r="V215" s="200"/>
      <c r="W215" s="200"/>
      <c r="X215" s="496"/>
      <c r="Y215" s="496"/>
      <c r="Z215" s="496"/>
      <c r="AA215" s="496"/>
      <c r="AB215" s="496"/>
      <c r="AC215" s="496"/>
      <c r="AD215" s="496"/>
      <c r="AE215" s="496"/>
      <c r="AF215" s="496"/>
      <c r="AG215" s="496"/>
      <c r="AH215" s="496"/>
      <c r="AI215" s="496"/>
      <c r="AJ215" s="496"/>
      <c r="AK215" s="496"/>
      <c r="AL215" s="496"/>
      <c r="AM215" s="496"/>
      <c r="AN215" s="496"/>
      <c r="AO215" s="496"/>
      <c r="AP215" s="496"/>
      <c r="AQ215" s="496"/>
      <c r="AR215" s="496"/>
      <c r="AS215" s="496"/>
      <c r="AT215" s="496"/>
      <c r="AU215" s="496"/>
      <c r="AV215" s="496"/>
      <c r="AW215" s="496"/>
      <c r="AX215" s="496"/>
      <c r="AY215" s="496"/>
      <c r="AZ215" s="496"/>
      <c r="BA215" s="496"/>
      <c r="BB215" s="496"/>
      <c r="BC215" s="496"/>
      <c r="BD215" s="496"/>
      <c r="BE215" s="496"/>
      <c r="BF215" s="496"/>
      <c r="BG215" s="496"/>
      <c r="BH215" s="496"/>
      <c r="BI215" s="496"/>
      <c r="BJ215" s="496"/>
      <c r="BK215" s="496"/>
      <c r="BL215" s="496"/>
      <c r="BM215" s="496"/>
      <c r="BN215" s="496"/>
      <c r="BO215" s="496"/>
      <c r="BP215" s="496"/>
      <c r="BQ215" s="496"/>
      <c r="BR215" s="496"/>
      <c r="BS215" s="496"/>
      <c r="BT215" s="496"/>
      <c r="BU215" s="496"/>
      <c r="BV215" s="496"/>
      <c r="BW215" s="496"/>
      <c r="BX215" s="496"/>
      <c r="BY215" s="496"/>
      <c r="BZ215" s="496"/>
      <c r="CA215" s="496"/>
      <c r="CB215" s="496"/>
      <c r="CC215" s="496"/>
      <c r="CD215" s="496"/>
      <c r="CE215" s="496"/>
      <c r="CF215" s="496"/>
      <c r="CG215" s="496"/>
      <c r="CH215" s="496"/>
      <c r="CI215" s="496"/>
      <c r="CJ215" s="496"/>
      <c r="CK215" s="496"/>
      <c r="CL215" s="496"/>
      <c r="CM215" s="496"/>
      <c r="CN215" s="496"/>
      <c r="CO215" s="496"/>
      <c r="CP215" s="496"/>
      <c r="CQ215" s="496"/>
      <c r="CR215" s="496"/>
      <c r="CS215" s="496"/>
      <c r="CT215" s="496"/>
      <c r="CU215" s="496"/>
      <c r="CV215" s="496"/>
      <c r="CW215" s="496"/>
      <c r="CX215" s="496"/>
      <c r="CY215" s="496"/>
      <c r="CZ215" s="496"/>
      <c r="DA215" s="496"/>
      <c r="DB215" s="496"/>
      <c r="DC215" s="496"/>
      <c r="DD215" s="496"/>
      <c r="DE215" s="496"/>
      <c r="DF215" s="496"/>
      <c r="DG215" s="496"/>
      <c r="DH215" s="496"/>
      <c r="DI215" s="496"/>
      <c r="DJ215" s="496"/>
      <c r="DK215" s="496"/>
      <c r="DL215" s="496"/>
      <c r="DM215" s="496"/>
      <c r="DN215" s="496"/>
      <c r="DO215" s="496"/>
      <c r="DP215" s="496"/>
      <c r="DQ215" s="496"/>
      <c r="DR215" s="496"/>
      <c r="DS215" s="496"/>
      <c r="DT215" s="496"/>
      <c r="DU215" s="496"/>
      <c r="DV215" s="496"/>
      <c r="DW215" s="496"/>
      <c r="DX215" s="496"/>
      <c r="DY215" s="496"/>
      <c r="DZ215" s="496"/>
      <c r="EA215" s="496"/>
      <c r="EB215" s="496"/>
      <c r="EC215" s="496"/>
      <c r="ED215" s="496"/>
      <c r="EE215" s="496"/>
      <c r="EF215" s="496"/>
      <c r="EG215" s="496"/>
      <c r="EH215" s="496"/>
      <c r="EI215" s="496"/>
      <c r="EJ215" s="496"/>
      <c r="EK215" s="496"/>
      <c r="EL215" s="496"/>
      <c r="EM215" s="496"/>
      <c r="EN215" s="496"/>
      <c r="EO215" s="496"/>
      <c r="EP215" s="496"/>
      <c r="EQ215" s="496"/>
      <c r="ER215" s="496"/>
      <c r="ES215" s="496"/>
      <c r="ET215" s="496"/>
      <c r="EU215" s="496"/>
      <c r="EV215" s="496"/>
      <c r="EW215" s="496"/>
      <c r="EX215" s="496"/>
      <c r="EY215" s="496"/>
      <c r="EZ215" s="496"/>
      <c r="FA215" s="496"/>
      <c r="FB215" s="496"/>
      <c r="FC215" s="496"/>
      <c r="FD215" s="496"/>
      <c r="FE215" s="496"/>
      <c r="FF215" s="496"/>
      <c r="FG215" s="496"/>
      <c r="FH215" s="496"/>
      <c r="FI215" s="496"/>
      <c r="FJ215" s="496"/>
      <c r="FK215" s="496"/>
      <c r="FL215" s="496"/>
      <c r="FM215" s="496"/>
      <c r="FN215" s="496"/>
      <c r="FO215" s="496"/>
      <c r="FP215" s="496"/>
      <c r="FQ215" s="496"/>
      <c r="FR215" s="496"/>
      <c r="FS215" s="496"/>
      <c r="FT215" s="496"/>
      <c r="FU215" s="496"/>
      <c r="FV215" s="496"/>
      <c r="FW215" s="496"/>
      <c r="FX215" s="496"/>
      <c r="FY215" s="496"/>
      <c r="FZ215" s="496"/>
      <c r="GA215" s="496"/>
      <c r="GB215" s="496"/>
      <c r="GC215" s="496"/>
      <c r="GD215" s="496"/>
      <c r="GE215" s="496"/>
      <c r="GF215" s="496"/>
      <c r="GG215" s="496"/>
      <c r="GH215" s="496"/>
      <c r="GI215" s="496"/>
      <c r="GJ215" s="496"/>
      <c r="GK215" s="496"/>
      <c r="GL215" s="496"/>
      <c r="GM215" s="496"/>
      <c r="GN215" s="496"/>
      <c r="GO215" s="496"/>
      <c r="GP215" s="496"/>
      <c r="GQ215" s="496"/>
      <c r="GR215" s="496"/>
      <c r="GS215" s="496"/>
      <c r="GT215" s="496"/>
      <c r="GU215" s="496"/>
      <c r="GV215" s="496"/>
      <c r="GW215" s="496"/>
      <c r="GX215" s="496"/>
      <c r="GY215" s="496"/>
      <c r="GZ215" s="496"/>
      <c r="HA215" s="496"/>
      <c r="HB215" s="496"/>
    </row>
    <row r="216" spans="1:242" ht="20.100000000000001" customHeight="1">
      <c r="A216" s="164"/>
      <c r="B216" s="421" t="s">
        <v>1513</v>
      </c>
      <c r="C216" s="422"/>
      <c r="D216" s="422"/>
      <c r="E216" s="422"/>
      <c r="F216" s="422"/>
      <c r="G216" s="422"/>
      <c r="H216" s="557"/>
      <c r="I216" s="423"/>
      <c r="J216" s="424"/>
      <c r="K216" s="550" t="s">
        <v>1514</v>
      </c>
      <c r="L216" s="551"/>
      <c r="M216" s="552"/>
      <c r="N216" s="550" t="s">
        <v>477</v>
      </c>
      <c r="O216" s="551"/>
      <c r="P216" s="551"/>
      <c r="Q216" s="311"/>
      <c r="R216" s="311"/>
      <c r="S216" s="311"/>
      <c r="T216" s="311"/>
      <c r="U216" s="315"/>
      <c r="V216" s="200"/>
      <c r="W216" s="200"/>
      <c r="X216" s="496"/>
      <c r="Y216" s="496"/>
      <c r="Z216" s="496"/>
      <c r="AA216" s="496"/>
      <c r="AB216" s="496"/>
      <c r="AC216" s="496"/>
      <c r="AD216" s="496"/>
      <c r="AE216" s="496"/>
      <c r="AF216" s="496"/>
      <c r="AG216" s="496"/>
      <c r="AH216" s="496"/>
      <c r="AI216" s="496"/>
      <c r="AJ216" s="496"/>
      <c r="AK216" s="496"/>
      <c r="AL216" s="496"/>
      <c r="AM216" s="496"/>
      <c r="AN216" s="496"/>
      <c r="AO216" s="496"/>
      <c r="AP216" s="496"/>
      <c r="AQ216" s="496"/>
      <c r="AR216" s="496"/>
      <c r="AS216" s="496"/>
      <c r="AT216" s="496"/>
      <c r="AU216" s="496"/>
      <c r="AV216" s="496"/>
      <c r="AW216" s="496"/>
      <c r="AX216" s="496"/>
      <c r="AY216" s="496"/>
      <c r="AZ216" s="496"/>
      <c r="BA216" s="496"/>
      <c r="BB216" s="496"/>
      <c r="BC216" s="496"/>
      <c r="BD216" s="496"/>
      <c r="BE216" s="496"/>
      <c r="BF216" s="496"/>
      <c r="BG216" s="496"/>
      <c r="BH216" s="496"/>
      <c r="BI216" s="496"/>
      <c r="BJ216" s="496"/>
      <c r="BK216" s="496"/>
      <c r="BL216" s="496"/>
      <c r="BM216" s="496"/>
      <c r="BN216" s="496"/>
      <c r="BO216" s="496"/>
      <c r="BP216" s="496"/>
      <c r="BQ216" s="496"/>
      <c r="BR216" s="496"/>
      <c r="BS216" s="496"/>
      <c r="BT216" s="496"/>
      <c r="BU216" s="496"/>
      <c r="BV216" s="496"/>
      <c r="BW216" s="496"/>
      <c r="BX216" s="496"/>
      <c r="BY216" s="496"/>
      <c r="BZ216" s="496"/>
      <c r="CA216" s="496"/>
      <c r="CB216" s="496"/>
      <c r="CC216" s="496"/>
      <c r="CD216" s="496"/>
      <c r="CE216" s="496"/>
      <c r="CF216" s="496"/>
      <c r="CG216" s="496"/>
      <c r="CH216" s="496"/>
      <c r="CI216" s="496"/>
      <c r="CJ216" s="496"/>
      <c r="CK216" s="496"/>
      <c r="CL216" s="496"/>
      <c r="CM216" s="496"/>
      <c r="CN216" s="496"/>
      <c r="CO216" s="496"/>
      <c r="CP216" s="496"/>
      <c r="CQ216" s="496"/>
      <c r="CR216" s="496"/>
      <c r="CS216" s="496"/>
      <c r="CT216" s="496"/>
      <c r="CU216" s="496"/>
      <c r="CV216" s="496"/>
      <c r="CW216" s="496"/>
      <c r="CX216" s="496"/>
      <c r="CY216" s="496"/>
      <c r="CZ216" s="496"/>
      <c r="DA216" s="496"/>
      <c r="DB216" s="496"/>
      <c r="DC216" s="496"/>
      <c r="DD216" s="496"/>
      <c r="DE216" s="496"/>
      <c r="DF216" s="496"/>
      <c r="DG216" s="496"/>
      <c r="DH216" s="496"/>
      <c r="DI216" s="496"/>
      <c r="DJ216" s="496"/>
      <c r="DK216" s="496"/>
      <c r="DL216" s="496"/>
      <c r="DM216" s="496"/>
      <c r="DN216" s="496"/>
      <c r="DO216" s="496"/>
      <c r="DP216" s="496"/>
      <c r="DQ216" s="496"/>
      <c r="DR216" s="496"/>
      <c r="DS216" s="496"/>
      <c r="DT216" s="496"/>
      <c r="DU216" s="496"/>
      <c r="DV216" s="496"/>
      <c r="DW216" s="496"/>
      <c r="DX216" s="496"/>
      <c r="DY216" s="496"/>
      <c r="DZ216" s="496"/>
      <c r="EA216" s="496"/>
      <c r="EB216" s="496"/>
      <c r="EC216" s="496"/>
      <c r="ED216" s="496"/>
      <c r="EE216" s="496"/>
      <c r="EF216" s="496"/>
      <c r="EG216" s="496"/>
      <c r="EH216" s="496"/>
      <c r="EI216" s="496"/>
      <c r="EJ216" s="496"/>
      <c r="EK216" s="496"/>
      <c r="EL216" s="496"/>
      <c r="EM216" s="496"/>
      <c r="EN216" s="496"/>
      <c r="EO216" s="496"/>
      <c r="EP216" s="496"/>
      <c r="EQ216" s="496"/>
      <c r="ER216" s="496"/>
      <c r="ES216" s="496"/>
      <c r="ET216" s="496"/>
      <c r="EU216" s="496"/>
      <c r="EV216" s="496"/>
      <c r="EW216" s="496"/>
      <c r="EX216" s="496"/>
      <c r="EY216" s="496"/>
      <c r="EZ216" s="496"/>
      <c r="FA216" s="496"/>
      <c r="FB216" s="496"/>
      <c r="FC216" s="496"/>
      <c r="FD216" s="496"/>
      <c r="FE216" s="496"/>
      <c r="FF216" s="496"/>
      <c r="FG216" s="496"/>
      <c r="FH216" s="496"/>
      <c r="FI216" s="496"/>
      <c r="FJ216" s="496"/>
      <c r="FK216" s="496"/>
      <c r="FL216" s="496"/>
      <c r="FM216" s="496"/>
      <c r="FN216" s="496"/>
      <c r="FO216" s="496"/>
      <c r="FP216" s="496"/>
      <c r="FQ216" s="496"/>
      <c r="FR216" s="496"/>
      <c r="FS216" s="496"/>
      <c r="FT216" s="496"/>
      <c r="FU216" s="496"/>
      <c r="FV216" s="496"/>
      <c r="FW216" s="496"/>
      <c r="FX216" s="496"/>
      <c r="FY216" s="496"/>
      <c r="FZ216" s="496"/>
      <c r="GA216" s="496"/>
      <c r="GB216" s="496"/>
      <c r="GC216" s="496"/>
      <c r="GD216" s="496"/>
      <c r="GE216" s="496"/>
      <c r="GF216" s="496"/>
      <c r="GG216" s="496"/>
      <c r="GH216" s="496"/>
      <c r="GI216" s="496"/>
      <c r="GJ216" s="496"/>
      <c r="GK216" s="496"/>
      <c r="GL216" s="496"/>
      <c r="GM216" s="496"/>
      <c r="GN216" s="496"/>
      <c r="GO216" s="496"/>
      <c r="GP216" s="496"/>
      <c r="GQ216" s="496"/>
      <c r="GR216" s="496"/>
      <c r="GS216" s="496"/>
      <c r="GT216" s="496"/>
      <c r="GU216" s="496"/>
      <c r="GV216" s="496"/>
      <c r="GW216" s="496"/>
      <c r="GX216" s="496"/>
      <c r="GY216" s="496"/>
      <c r="GZ216" s="496"/>
      <c r="HA216" s="496"/>
      <c r="HB216" s="496"/>
    </row>
    <row r="217" spans="1:242" ht="20.100000000000001" customHeight="1">
      <c r="A217" s="164"/>
      <c r="B217" s="421" t="s">
        <v>1515</v>
      </c>
      <c r="C217" s="422"/>
      <c r="D217" s="422"/>
      <c r="E217" s="422"/>
      <c r="F217" s="422"/>
      <c r="G217" s="422"/>
      <c r="H217" s="557"/>
      <c r="I217" s="423"/>
      <c r="J217" s="424"/>
      <c r="K217" s="550" t="s">
        <v>1516</v>
      </c>
      <c r="L217" s="551"/>
      <c r="M217" s="552"/>
      <c r="N217" s="550" t="s">
        <v>412</v>
      </c>
      <c r="O217" s="551"/>
      <c r="P217" s="551"/>
      <c r="Q217" s="311"/>
      <c r="R217" s="311"/>
      <c r="S217" s="311"/>
      <c r="T217" s="311"/>
      <c r="U217" s="315"/>
      <c r="V217" s="200"/>
      <c r="W217" s="200"/>
      <c r="X217" s="496"/>
      <c r="Y217" s="496"/>
      <c r="Z217" s="496"/>
      <c r="AA217" s="496"/>
      <c r="AB217" s="496"/>
      <c r="AC217" s="496"/>
      <c r="AD217" s="496"/>
      <c r="AE217" s="496"/>
      <c r="AF217" s="496"/>
      <c r="AG217" s="496"/>
      <c r="AH217" s="496"/>
      <c r="AI217" s="496"/>
      <c r="AJ217" s="496"/>
      <c r="AK217" s="496"/>
      <c r="AL217" s="496"/>
      <c r="AM217" s="496"/>
      <c r="AN217" s="496"/>
      <c r="AO217" s="496"/>
      <c r="AP217" s="496"/>
      <c r="AQ217" s="496"/>
      <c r="AR217" s="496"/>
      <c r="AS217" s="496"/>
      <c r="AT217" s="496"/>
      <c r="AU217" s="496"/>
      <c r="AV217" s="496"/>
      <c r="AW217" s="496"/>
      <c r="AX217" s="496"/>
      <c r="AY217" s="496"/>
      <c r="AZ217" s="496"/>
      <c r="BA217" s="496"/>
      <c r="BB217" s="496"/>
      <c r="BC217" s="496"/>
      <c r="BD217" s="496"/>
      <c r="BE217" s="496"/>
      <c r="BF217" s="496"/>
      <c r="BG217" s="496"/>
      <c r="BH217" s="496"/>
      <c r="BI217" s="496"/>
      <c r="BJ217" s="496"/>
      <c r="BK217" s="496"/>
      <c r="BL217" s="496"/>
      <c r="BM217" s="496"/>
      <c r="BN217" s="496"/>
      <c r="BO217" s="496"/>
      <c r="BP217" s="496"/>
      <c r="BQ217" s="496"/>
      <c r="BR217" s="496"/>
      <c r="BS217" s="496"/>
      <c r="BT217" s="496"/>
      <c r="BU217" s="496"/>
      <c r="BV217" s="496"/>
      <c r="BW217" s="496"/>
      <c r="BX217" s="496"/>
      <c r="BY217" s="496"/>
      <c r="BZ217" s="496"/>
      <c r="CA217" s="496"/>
      <c r="CB217" s="496"/>
      <c r="CC217" s="496"/>
      <c r="CD217" s="496"/>
      <c r="CE217" s="496"/>
      <c r="CF217" s="496"/>
      <c r="CG217" s="496"/>
      <c r="CH217" s="496"/>
      <c r="CI217" s="496"/>
      <c r="CJ217" s="496"/>
      <c r="CK217" s="496"/>
      <c r="CL217" s="496"/>
      <c r="CM217" s="496"/>
      <c r="CN217" s="496"/>
      <c r="CO217" s="496"/>
      <c r="CP217" s="496"/>
      <c r="CQ217" s="496"/>
      <c r="CR217" s="496"/>
      <c r="CS217" s="496"/>
      <c r="CT217" s="496"/>
      <c r="CU217" s="496"/>
      <c r="CV217" s="496"/>
      <c r="CW217" s="496"/>
      <c r="CX217" s="496"/>
      <c r="CY217" s="496"/>
      <c r="CZ217" s="496"/>
      <c r="DA217" s="496"/>
      <c r="DB217" s="496"/>
      <c r="DC217" s="496"/>
      <c r="DD217" s="496"/>
      <c r="DE217" s="496"/>
      <c r="DF217" s="496"/>
      <c r="DG217" s="496"/>
      <c r="DH217" s="496"/>
      <c r="DI217" s="496"/>
      <c r="DJ217" s="496"/>
      <c r="DK217" s="496"/>
      <c r="DL217" s="496"/>
      <c r="DM217" s="496"/>
      <c r="DN217" s="496"/>
      <c r="DO217" s="496"/>
      <c r="DP217" s="496"/>
      <c r="DQ217" s="496"/>
      <c r="DR217" s="496"/>
      <c r="DS217" s="496"/>
      <c r="DT217" s="496"/>
      <c r="DU217" s="496"/>
      <c r="DV217" s="496"/>
      <c r="DW217" s="496"/>
      <c r="DX217" s="496"/>
      <c r="DY217" s="496"/>
      <c r="DZ217" s="496"/>
      <c r="EA217" s="496"/>
      <c r="EB217" s="496"/>
      <c r="EC217" s="496"/>
      <c r="ED217" s="496"/>
      <c r="EE217" s="496"/>
      <c r="EF217" s="496"/>
      <c r="EG217" s="496"/>
      <c r="EH217" s="496"/>
      <c r="EI217" s="496"/>
      <c r="EJ217" s="496"/>
      <c r="EK217" s="496"/>
      <c r="EL217" s="496"/>
      <c r="EM217" s="496"/>
      <c r="EN217" s="496"/>
      <c r="EO217" s="496"/>
      <c r="EP217" s="496"/>
      <c r="EQ217" s="496"/>
      <c r="ER217" s="496"/>
      <c r="ES217" s="496"/>
      <c r="ET217" s="496"/>
      <c r="EU217" s="496"/>
      <c r="EV217" s="496"/>
      <c r="EW217" s="496"/>
      <c r="EX217" s="496"/>
      <c r="EY217" s="496"/>
      <c r="EZ217" s="496"/>
      <c r="FA217" s="496"/>
      <c r="FB217" s="496"/>
      <c r="FC217" s="496"/>
      <c r="FD217" s="496"/>
      <c r="FE217" s="496"/>
      <c r="FF217" s="496"/>
      <c r="FG217" s="496"/>
      <c r="FH217" s="496"/>
      <c r="FI217" s="496"/>
      <c r="FJ217" s="496"/>
      <c r="FK217" s="496"/>
      <c r="FL217" s="496"/>
      <c r="FM217" s="496"/>
      <c r="FN217" s="496"/>
      <c r="FO217" s="496"/>
      <c r="FP217" s="496"/>
      <c r="FQ217" s="496"/>
      <c r="FR217" s="496"/>
      <c r="FS217" s="496"/>
      <c r="FT217" s="496"/>
      <c r="FU217" s="496"/>
      <c r="FV217" s="496"/>
      <c r="FW217" s="496"/>
      <c r="FX217" s="496"/>
      <c r="FY217" s="496"/>
      <c r="FZ217" s="496"/>
      <c r="GA217" s="496"/>
      <c r="GB217" s="496"/>
      <c r="GC217" s="496"/>
      <c r="GD217" s="496"/>
      <c r="GE217" s="496"/>
      <c r="GF217" s="496"/>
      <c r="GG217" s="496"/>
      <c r="GH217" s="496"/>
      <c r="GI217" s="496"/>
      <c r="GJ217" s="496"/>
      <c r="GK217" s="496"/>
      <c r="GL217" s="496"/>
      <c r="GM217" s="496"/>
      <c r="GN217" s="496"/>
      <c r="GO217" s="496"/>
      <c r="GP217" s="496"/>
      <c r="GQ217" s="496"/>
      <c r="GR217" s="496"/>
      <c r="GS217" s="496"/>
      <c r="GT217" s="496"/>
      <c r="GU217" s="496"/>
      <c r="GV217" s="496"/>
      <c r="GW217" s="496"/>
      <c r="GX217" s="496"/>
      <c r="GY217" s="496"/>
      <c r="GZ217" s="496"/>
      <c r="HA217" s="496"/>
      <c r="HB217" s="496"/>
    </row>
    <row r="218" spans="1:242" ht="20.100000000000001" customHeight="1">
      <c r="A218" s="164"/>
      <c r="B218" s="421" t="s">
        <v>1517</v>
      </c>
      <c r="C218" s="422"/>
      <c r="D218" s="422"/>
      <c r="E218" s="422"/>
      <c r="F218" s="422"/>
      <c r="G218" s="422"/>
      <c r="H218" s="557"/>
      <c r="I218" s="423"/>
      <c r="J218" s="424"/>
      <c r="K218" s="550" t="s">
        <v>1518</v>
      </c>
      <c r="L218" s="551"/>
      <c r="M218" s="552"/>
      <c r="N218" s="550" t="s">
        <v>414</v>
      </c>
      <c r="O218" s="551"/>
      <c r="P218" s="551"/>
      <c r="Q218" s="311"/>
      <c r="R218" s="311"/>
      <c r="S218" s="311"/>
      <c r="T218" s="311"/>
      <c r="U218" s="315"/>
      <c r="V218" s="200"/>
      <c r="W218" s="200"/>
      <c r="X218" s="496"/>
      <c r="Y218" s="496"/>
      <c r="Z218" s="496"/>
      <c r="AA218" s="496"/>
      <c r="AB218" s="496"/>
      <c r="AC218" s="496"/>
      <c r="AD218" s="496"/>
      <c r="AE218" s="496"/>
      <c r="AF218" s="496"/>
      <c r="AG218" s="496"/>
      <c r="AH218" s="496"/>
      <c r="AI218" s="496"/>
      <c r="AJ218" s="496"/>
      <c r="AK218" s="496"/>
      <c r="AL218" s="496"/>
      <c r="AM218" s="496"/>
      <c r="AN218" s="496"/>
      <c r="AO218" s="496"/>
      <c r="AP218" s="496"/>
      <c r="AQ218" s="496"/>
      <c r="AR218" s="496"/>
      <c r="AS218" s="496"/>
      <c r="AT218" s="496"/>
      <c r="AU218" s="496"/>
      <c r="AV218" s="496"/>
      <c r="AW218" s="496"/>
      <c r="AX218" s="496"/>
      <c r="AY218" s="496"/>
      <c r="AZ218" s="496"/>
      <c r="BA218" s="496"/>
      <c r="BB218" s="496"/>
      <c r="BC218" s="496"/>
      <c r="BD218" s="496"/>
      <c r="BE218" s="496"/>
      <c r="BF218" s="496"/>
      <c r="BG218" s="496"/>
      <c r="BH218" s="496"/>
      <c r="BI218" s="496"/>
      <c r="BJ218" s="496"/>
      <c r="BK218" s="496"/>
      <c r="BL218" s="496"/>
      <c r="BM218" s="496"/>
      <c r="BN218" s="496"/>
      <c r="BO218" s="496"/>
      <c r="BP218" s="496"/>
      <c r="BQ218" s="496"/>
      <c r="BR218" s="496"/>
      <c r="BS218" s="496"/>
      <c r="BT218" s="496"/>
      <c r="BU218" s="496"/>
      <c r="BV218" s="496"/>
      <c r="BW218" s="496"/>
      <c r="BX218" s="496"/>
      <c r="BY218" s="496"/>
      <c r="BZ218" s="496"/>
      <c r="CA218" s="496"/>
      <c r="CB218" s="496"/>
      <c r="CC218" s="496"/>
      <c r="CD218" s="496"/>
      <c r="CE218" s="496"/>
      <c r="CF218" s="496"/>
      <c r="CG218" s="496"/>
      <c r="CH218" s="496"/>
      <c r="CI218" s="496"/>
      <c r="CJ218" s="496"/>
      <c r="CK218" s="496"/>
      <c r="CL218" s="496"/>
      <c r="CM218" s="496"/>
      <c r="CN218" s="496"/>
      <c r="CO218" s="496"/>
      <c r="CP218" s="496"/>
      <c r="CQ218" s="496"/>
      <c r="CR218" s="496"/>
      <c r="CS218" s="496"/>
      <c r="CT218" s="496"/>
      <c r="CU218" s="496"/>
      <c r="CV218" s="496"/>
      <c r="CW218" s="496"/>
      <c r="CX218" s="496"/>
      <c r="CY218" s="496"/>
      <c r="CZ218" s="496"/>
      <c r="DA218" s="496"/>
      <c r="DB218" s="496"/>
      <c r="DC218" s="496"/>
      <c r="DD218" s="496"/>
      <c r="DE218" s="496"/>
      <c r="DF218" s="496"/>
      <c r="DG218" s="496"/>
      <c r="DH218" s="496"/>
      <c r="DI218" s="496"/>
      <c r="DJ218" s="496"/>
      <c r="DK218" s="496"/>
      <c r="DL218" s="496"/>
      <c r="DM218" s="496"/>
      <c r="DN218" s="496"/>
      <c r="DO218" s="496"/>
      <c r="DP218" s="496"/>
      <c r="DQ218" s="496"/>
      <c r="DR218" s="496"/>
      <c r="DS218" s="496"/>
      <c r="DT218" s="496"/>
      <c r="DU218" s="496"/>
      <c r="DV218" s="496"/>
      <c r="DW218" s="496"/>
      <c r="DX218" s="496"/>
      <c r="DY218" s="496"/>
      <c r="DZ218" s="496"/>
      <c r="EA218" s="496"/>
      <c r="EB218" s="496"/>
      <c r="EC218" s="496"/>
      <c r="ED218" s="496"/>
      <c r="EE218" s="496"/>
      <c r="EF218" s="496"/>
      <c r="EG218" s="496"/>
      <c r="EH218" s="496"/>
      <c r="EI218" s="496"/>
      <c r="EJ218" s="496"/>
      <c r="EK218" s="496"/>
      <c r="EL218" s="496"/>
      <c r="EM218" s="496"/>
      <c r="EN218" s="496"/>
      <c r="EO218" s="496"/>
      <c r="EP218" s="496"/>
      <c r="EQ218" s="496"/>
      <c r="ER218" s="496"/>
      <c r="ES218" s="496"/>
      <c r="ET218" s="496"/>
      <c r="EU218" s="496"/>
      <c r="EV218" s="496"/>
      <c r="EW218" s="496"/>
      <c r="EX218" s="496"/>
      <c r="EY218" s="496"/>
      <c r="EZ218" s="496"/>
      <c r="FA218" s="496"/>
      <c r="FB218" s="496"/>
      <c r="FC218" s="496"/>
      <c r="FD218" s="496"/>
      <c r="FE218" s="496"/>
      <c r="FF218" s="496"/>
      <c r="FG218" s="496"/>
      <c r="FH218" s="496"/>
      <c r="FI218" s="496"/>
      <c r="FJ218" s="496"/>
      <c r="FK218" s="496"/>
      <c r="FL218" s="496"/>
      <c r="FM218" s="496"/>
      <c r="FN218" s="496"/>
      <c r="FO218" s="496"/>
      <c r="FP218" s="496"/>
      <c r="FQ218" s="496"/>
      <c r="FR218" s="496"/>
      <c r="FS218" s="496"/>
      <c r="FT218" s="496"/>
      <c r="FU218" s="496"/>
      <c r="FV218" s="496"/>
      <c r="FW218" s="496"/>
      <c r="FX218" s="496"/>
      <c r="FY218" s="496"/>
      <c r="FZ218" s="496"/>
      <c r="GA218" s="496"/>
      <c r="GB218" s="496"/>
      <c r="GC218" s="496"/>
      <c r="GD218" s="496"/>
      <c r="GE218" s="496"/>
      <c r="GF218" s="496"/>
      <c r="GG218" s="496"/>
      <c r="GH218" s="496"/>
      <c r="GI218" s="496"/>
      <c r="GJ218" s="496"/>
      <c r="GK218" s="496"/>
      <c r="GL218" s="496"/>
      <c r="GM218" s="496"/>
      <c r="GN218" s="496"/>
      <c r="GO218" s="496"/>
      <c r="GP218" s="496"/>
      <c r="GQ218" s="496"/>
      <c r="GR218" s="496"/>
      <c r="GS218" s="496"/>
      <c r="GT218" s="496"/>
      <c r="GU218" s="496"/>
      <c r="GV218" s="496"/>
      <c r="GW218" s="496"/>
      <c r="GX218" s="496"/>
      <c r="GY218" s="496"/>
      <c r="GZ218" s="496"/>
      <c r="HA218" s="496"/>
      <c r="HB218" s="496"/>
    </row>
    <row r="219" spans="1:242" ht="20.100000000000001" customHeight="1">
      <c r="A219" s="164"/>
      <c r="B219" s="421" t="s">
        <v>1519</v>
      </c>
      <c r="C219" s="422"/>
      <c r="D219" s="422"/>
      <c r="E219" s="422"/>
      <c r="F219" s="422"/>
      <c r="G219" s="422"/>
      <c r="H219" s="557"/>
      <c r="I219" s="423"/>
      <c r="J219" s="424"/>
      <c r="K219" s="550" t="s">
        <v>1520</v>
      </c>
      <c r="L219" s="551"/>
      <c r="M219" s="552"/>
      <c r="N219" s="550" t="s">
        <v>416</v>
      </c>
      <c r="O219" s="551"/>
      <c r="P219" s="551"/>
      <c r="Q219" s="311"/>
      <c r="R219" s="311"/>
      <c r="S219" s="311"/>
      <c r="T219" s="311"/>
      <c r="U219" s="315"/>
      <c r="V219" s="200"/>
      <c r="W219" s="200"/>
      <c r="X219" s="496"/>
      <c r="Y219" s="496"/>
      <c r="Z219" s="496"/>
      <c r="AA219" s="496"/>
      <c r="AB219" s="496"/>
      <c r="AC219" s="496"/>
      <c r="AD219" s="496"/>
      <c r="AE219" s="496"/>
      <c r="AF219" s="496"/>
      <c r="AG219" s="496"/>
      <c r="AH219" s="496"/>
      <c r="AI219" s="496"/>
      <c r="AJ219" s="496"/>
      <c r="AK219" s="496"/>
      <c r="AL219" s="496"/>
      <c r="AM219" s="496"/>
      <c r="AN219" s="496"/>
      <c r="AO219" s="496"/>
      <c r="AP219" s="496"/>
      <c r="AQ219" s="496"/>
      <c r="AR219" s="496"/>
      <c r="AS219" s="496"/>
      <c r="AT219" s="496"/>
      <c r="AU219" s="496"/>
      <c r="AV219" s="496"/>
      <c r="AW219" s="496"/>
      <c r="AX219" s="496"/>
      <c r="AY219" s="496"/>
      <c r="AZ219" s="496"/>
      <c r="BA219" s="496"/>
      <c r="BB219" s="496"/>
      <c r="BC219" s="496"/>
      <c r="BD219" s="496"/>
      <c r="BE219" s="496"/>
      <c r="BF219" s="496"/>
      <c r="BG219" s="496"/>
      <c r="BH219" s="496"/>
      <c r="BI219" s="496"/>
      <c r="BJ219" s="496"/>
      <c r="BK219" s="496"/>
      <c r="BL219" s="496"/>
      <c r="BM219" s="496"/>
      <c r="BN219" s="496"/>
      <c r="BO219" s="496"/>
      <c r="BP219" s="496"/>
      <c r="BQ219" s="496"/>
      <c r="BR219" s="496"/>
      <c r="BS219" s="496"/>
      <c r="BT219" s="496"/>
      <c r="BU219" s="496"/>
      <c r="BV219" s="496"/>
      <c r="BW219" s="496"/>
      <c r="BX219" s="496"/>
      <c r="BY219" s="496"/>
      <c r="BZ219" s="496"/>
      <c r="CA219" s="496"/>
      <c r="CB219" s="496"/>
      <c r="CC219" s="496"/>
      <c r="CD219" s="496"/>
      <c r="CE219" s="496"/>
      <c r="CF219" s="496"/>
      <c r="CG219" s="496"/>
      <c r="CH219" s="496"/>
      <c r="CI219" s="496"/>
      <c r="CJ219" s="496"/>
      <c r="CK219" s="496"/>
      <c r="CL219" s="496"/>
      <c r="CM219" s="496"/>
      <c r="CN219" s="496"/>
      <c r="CO219" s="496"/>
      <c r="CP219" s="496"/>
      <c r="CQ219" s="496"/>
      <c r="CR219" s="496"/>
      <c r="CS219" s="496"/>
      <c r="CT219" s="496"/>
      <c r="CU219" s="496"/>
      <c r="CV219" s="496"/>
      <c r="CW219" s="496"/>
      <c r="CX219" s="496"/>
      <c r="CY219" s="496"/>
      <c r="CZ219" s="496"/>
      <c r="DA219" s="496"/>
      <c r="DB219" s="496"/>
      <c r="DC219" s="496"/>
      <c r="DD219" s="496"/>
      <c r="DE219" s="496"/>
      <c r="DF219" s="496"/>
      <c r="DG219" s="496"/>
      <c r="DH219" s="496"/>
      <c r="DI219" s="496"/>
      <c r="DJ219" s="496"/>
      <c r="DK219" s="496"/>
      <c r="DL219" s="496"/>
      <c r="DM219" s="496"/>
      <c r="DN219" s="496"/>
      <c r="DO219" s="496"/>
      <c r="DP219" s="496"/>
      <c r="DQ219" s="496"/>
      <c r="DR219" s="496"/>
      <c r="DS219" s="496"/>
      <c r="DT219" s="496"/>
      <c r="DU219" s="496"/>
      <c r="DV219" s="496"/>
      <c r="DW219" s="496"/>
      <c r="DX219" s="496"/>
      <c r="DY219" s="496"/>
      <c r="DZ219" s="496"/>
      <c r="EA219" s="496"/>
      <c r="EB219" s="496"/>
      <c r="EC219" s="496"/>
      <c r="ED219" s="496"/>
      <c r="EE219" s="496"/>
      <c r="EF219" s="496"/>
      <c r="EG219" s="496"/>
      <c r="EH219" s="496"/>
      <c r="EI219" s="496"/>
      <c r="EJ219" s="496"/>
      <c r="EK219" s="496"/>
      <c r="EL219" s="496"/>
      <c r="EM219" s="496"/>
      <c r="EN219" s="496"/>
      <c r="EO219" s="496"/>
      <c r="EP219" s="496"/>
      <c r="EQ219" s="496"/>
      <c r="ER219" s="496"/>
      <c r="ES219" s="496"/>
      <c r="ET219" s="496"/>
      <c r="EU219" s="496"/>
      <c r="EV219" s="496"/>
      <c r="EW219" s="496"/>
      <c r="EX219" s="496"/>
      <c r="EY219" s="496"/>
      <c r="EZ219" s="496"/>
      <c r="FA219" s="496"/>
      <c r="FB219" s="496"/>
      <c r="FC219" s="496"/>
      <c r="FD219" s="496"/>
      <c r="FE219" s="496"/>
      <c r="FF219" s="496"/>
      <c r="FG219" s="496"/>
      <c r="FH219" s="496"/>
      <c r="FI219" s="496"/>
      <c r="FJ219" s="496"/>
      <c r="FK219" s="496"/>
      <c r="FL219" s="496"/>
      <c r="FM219" s="496"/>
      <c r="FN219" s="496"/>
      <c r="FO219" s="496"/>
      <c r="FP219" s="496"/>
      <c r="FQ219" s="496"/>
      <c r="FR219" s="496"/>
      <c r="FS219" s="496"/>
      <c r="FT219" s="496"/>
      <c r="FU219" s="496"/>
      <c r="FV219" s="496"/>
      <c r="FW219" s="496"/>
      <c r="FX219" s="496"/>
      <c r="FY219" s="496"/>
      <c r="FZ219" s="496"/>
      <c r="GA219" s="496"/>
      <c r="GB219" s="496"/>
      <c r="GC219" s="496"/>
      <c r="GD219" s="496"/>
      <c r="GE219" s="496"/>
      <c r="GF219" s="496"/>
      <c r="GG219" s="496"/>
      <c r="GH219" s="496"/>
      <c r="GI219" s="496"/>
      <c r="GJ219" s="496"/>
      <c r="GK219" s="496"/>
      <c r="GL219" s="496"/>
      <c r="GM219" s="496"/>
      <c r="GN219" s="496"/>
      <c r="GO219" s="496"/>
      <c r="GP219" s="496"/>
      <c r="GQ219" s="496"/>
      <c r="GR219" s="496"/>
      <c r="GS219" s="496"/>
      <c r="GT219" s="496"/>
      <c r="GU219" s="496"/>
      <c r="GV219" s="496"/>
      <c r="GW219" s="496"/>
      <c r="GX219" s="496"/>
      <c r="GY219" s="496"/>
      <c r="GZ219" s="496"/>
      <c r="HA219" s="496"/>
      <c r="HB219" s="496"/>
    </row>
    <row r="220" spans="1:242" ht="20.100000000000001" customHeight="1" thickBot="1">
      <c r="A220" s="164"/>
      <c r="B220" s="421" t="s">
        <v>1521</v>
      </c>
      <c r="C220" s="422"/>
      <c r="D220" s="422"/>
      <c r="E220" s="422"/>
      <c r="F220" s="422"/>
      <c r="G220" s="422"/>
      <c r="H220" s="557"/>
      <c r="I220" s="423"/>
      <c r="J220" s="424"/>
      <c r="K220" s="550" t="s">
        <v>1522</v>
      </c>
      <c r="L220" s="551"/>
      <c r="M220" s="552"/>
      <c r="N220" s="558" t="s">
        <v>418</v>
      </c>
      <c r="O220" s="559"/>
      <c r="P220" s="559"/>
      <c r="Q220" s="368"/>
      <c r="R220" s="368"/>
      <c r="S220" s="368"/>
      <c r="T220" s="368"/>
      <c r="U220" s="365"/>
      <c r="V220" s="200"/>
      <c r="W220" s="200"/>
      <c r="X220" s="496"/>
      <c r="Y220" s="496"/>
      <c r="Z220" s="496"/>
      <c r="AA220" s="496"/>
      <c r="AB220" s="496"/>
      <c r="AC220" s="496"/>
      <c r="AD220" s="496"/>
      <c r="AE220" s="496"/>
      <c r="AF220" s="496"/>
      <c r="AG220" s="496"/>
      <c r="AH220" s="496"/>
      <c r="AI220" s="496"/>
      <c r="AJ220" s="496"/>
      <c r="AK220" s="496"/>
      <c r="AL220" s="496"/>
      <c r="AM220" s="496"/>
      <c r="AN220" s="496"/>
      <c r="AO220" s="496"/>
      <c r="AP220" s="496"/>
      <c r="AQ220" s="496"/>
      <c r="AR220" s="496"/>
      <c r="AS220" s="496"/>
      <c r="AT220" s="496"/>
      <c r="AU220" s="496"/>
      <c r="AV220" s="496"/>
      <c r="AW220" s="496"/>
      <c r="AX220" s="496"/>
      <c r="AY220" s="496"/>
      <c r="AZ220" s="496"/>
      <c r="BA220" s="496"/>
      <c r="BB220" s="496"/>
      <c r="BC220" s="496"/>
      <c r="BD220" s="496"/>
      <c r="BE220" s="496"/>
      <c r="BF220" s="496"/>
      <c r="BG220" s="496"/>
      <c r="BH220" s="496"/>
      <c r="BI220" s="496"/>
      <c r="BJ220" s="496"/>
      <c r="BK220" s="496"/>
      <c r="BL220" s="496"/>
      <c r="BM220" s="496"/>
      <c r="BN220" s="496"/>
      <c r="BO220" s="496"/>
      <c r="BP220" s="496"/>
      <c r="BQ220" s="496"/>
      <c r="BR220" s="496"/>
      <c r="BS220" s="496"/>
      <c r="BT220" s="496"/>
      <c r="BU220" s="496"/>
      <c r="BV220" s="496"/>
      <c r="BW220" s="496"/>
      <c r="BX220" s="496"/>
      <c r="BY220" s="496"/>
      <c r="BZ220" s="496"/>
      <c r="CA220" s="496"/>
      <c r="CB220" s="496"/>
      <c r="CC220" s="496"/>
      <c r="CD220" s="496"/>
      <c r="CE220" s="496"/>
      <c r="CF220" s="496"/>
      <c r="CG220" s="496"/>
      <c r="CH220" s="496"/>
      <c r="CI220" s="496"/>
      <c r="CJ220" s="496"/>
      <c r="CK220" s="496"/>
      <c r="CL220" s="496"/>
      <c r="CM220" s="496"/>
      <c r="CN220" s="496"/>
      <c r="CO220" s="496"/>
      <c r="CP220" s="496"/>
      <c r="CQ220" s="496"/>
      <c r="CR220" s="496"/>
      <c r="CS220" s="496"/>
      <c r="CT220" s="496"/>
      <c r="CU220" s="496"/>
      <c r="CV220" s="496"/>
      <c r="CW220" s="496"/>
      <c r="CX220" s="496"/>
      <c r="CY220" s="496"/>
      <c r="CZ220" s="496"/>
      <c r="DA220" s="496"/>
      <c r="DB220" s="496"/>
      <c r="DC220" s="496"/>
      <c r="DD220" s="496"/>
      <c r="DE220" s="496"/>
      <c r="DF220" s="496"/>
      <c r="DG220" s="496"/>
      <c r="DH220" s="496"/>
      <c r="DI220" s="496"/>
      <c r="DJ220" s="496"/>
      <c r="DK220" s="496"/>
      <c r="DL220" s="496"/>
      <c r="DM220" s="496"/>
      <c r="DN220" s="496"/>
      <c r="DO220" s="496"/>
      <c r="DP220" s="496"/>
      <c r="DQ220" s="496"/>
      <c r="DR220" s="496"/>
      <c r="DS220" s="496"/>
      <c r="DT220" s="496"/>
      <c r="DU220" s="496"/>
      <c r="DV220" s="496"/>
      <c r="DW220" s="496"/>
      <c r="DX220" s="496"/>
      <c r="DY220" s="496"/>
      <c r="DZ220" s="496"/>
      <c r="EA220" s="496"/>
      <c r="EB220" s="496"/>
      <c r="EC220" s="496"/>
      <c r="ED220" s="496"/>
      <c r="EE220" s="496"/>
      <c r="EF220" s="496"/>
      <c r="EG220" s="496"/>
      <c r="EH220" s="496"/>
      <c r="EI220" s="496"/>
      <c r="EJ220" s="496"/>
      <c r="EK220" s="496"/>
      <c r="EL220" s="496"/>
      <c r="EM220" s="496"/>
      <c r="EN220" s="496"/>
      <c r="EO220" s="496"/>
      <c r="EP220" s="496"/>
      <c r="EQ220" s="496"/>
      <c r="ER220" s="496"/>
      <c r="ES220" s="496"/>
      <c r="ET220" s="496"/>
      <c r="EU220" s="496"/>
      <c r="EV220" s="496"/>
      <c r="EW220" s="496"/>
      <c r="EX220" s="496"/>
      <c r="EY220" s="496"/>
      <c r="EZ220" s="496"/>
      <c r="FA220" s="496"/>
      <c r="FB220" s="496"/>
      <c r="FC220" s="496"/>
      <c r="FD220" s="496"/>
      <c r="FE220" s="496"/>
      <c r="FF220" s="496"/>
      <c r="FG220" s="496"/>
      <c r="FH220" s="496"/>
      <c r="FI220" s="496"/>
      <c r="FJ220" s="496"/>
      <c r="FK220" s="496"/>
      <c r="FL220" s="496"/>
      <c r="FM220" s="496"/>
      <c r="FN220" s="496"/>
      <c r="FO220" s="496"/>
      <c r="FP220" s="496"/>
      <c r="FQ220" s="496"/>
      <c r="FR220" s="496"/>
      <c r="FS220" s="496"/>
      <c r="FT220" s="496"/>
      <c r="FU220" s="496"/>
      <c r="FV220" s="496"/>
      <c r="FW220" s="496"/>
      <c r="FX220" s="496"/>
      <c r="FY220" s="496"/>
      <c r="FZ220" s="496"/>
      <c r="GA220" s="496"/>
      <c r="GB220" s="496"/>
      <c r="GC220" s="496"/>
      <c r="GD220" s="496"/>
      <c r="GE220" s="496"/>
      <c r="GF220" s="496"/>
      <c r="GG220" s="496"/>
      <c r="GH220" s="496"/>
      <c r="GI220" s="496"/>
      <c r="GJ220" s="496"/>
      <c r="GK220" s="496"/>
      <c r="GL220" s="496"/>
      <c r="GM220" s="496"/>
      <c r="GN220" s="496"/>
      <c r="GO220" s="496"/>
      <c r="GP220" s="496"/>
      <c r="GQ220" s="496"/>
      <c r="GR220" s="496"/>
      <c r="GS220" s="496"/>
      <c r="GT220" s="496"/>
      <c r="GU220" s="496"/>
      <c r="GV220" s="496"/>
      <c r="GW220" s="496"/>
      <c r="GX220" s="496"/>
      <c r="GY220" s="496"/>
      <c r="GZ220" s="496"/>
      <c r="HA220" s="496"/>
      <c r="HB220" s="496"/>
    </row>
    <row r="221" spans="1:242" ht="20.100000000000001" customHeight="1">
      <c r="A221" s="164"/>
      <c r="B221" s="421" t="s">
        <v>1523</v>
      </c>
      <c r="C221" s="422"/>
      <c r="D221" s="422"/>
      <c r="E221" s="422"/>
      <c r="F221" s="422"/>
      <c r="G221" s="422"/>
      <c r="H221" s="557"/>
      <c r="I221" s="423"/>
      <c r="J221" s="424"/>
      <c r="K221" s="550" t="s">
        <v>1524</v>
      </c>
      <c r="L221" s="551"/>
      <c r="M221" s="552"/>
      <c r="N221" s="560"/>
      <c r="O221" s="560"/>
      <c r="P221" s="560"/>
      <c r="Q221" s="251"/>
      <c r="R221" s="251"/>
      <c r="S221" s="251"/>
      <c r="T221" s="251"/>
      <c r="U221" s="251"/>
      <c r="V221" s="200"/>
      <c r="W221" s="200"/>
      <c r="X221" s="496"/>
      <c r="Y221" s="496"/>
      <c r="Z221" s="496"/>
      <c r="AA221" s="496"/>
      <c r="AB221" s="496"/>
      <c r="AC221" s="496"/>
      <c r="AD221" s="496"/>
      <c r="AE221" s="496"/>
      <c r="AF221" s="496"/>
      <c r="AG221" s="496"/>
      <c r="AH221" s="496"/>
      <c r="AI221" s="496"/>
      <c r="AJ221" s="496"/>
      <c r="AK221" s="496"/>
      <c r="AL221" s="496"/>
      <c r="AM221" s="496"/>
      <c r="AN221" s="496"/>
      <c r="AO221" s="496"/>
      <c r="AP221" s="496"/>
      <c r="AQ221" s="496"/>
      <c r="AR221" s="496"/>
      <c r="AS221" s="496"/>
      <c r="AT221" s="496"/>
      <c r="AU221" s="496"/>
      <c r="AV221" s="496"/>
      <c r="AW221" s="496"/>
      <c r="AX221" s="496"/>
      <c r="AY221" s="496"/>
      <c r="AZ221" s="496"/>
      <c r="BA221" s="496"/>
      <c r="BB221" s="496"/>
      <c r="BC221" s="496"/>
      <c r="BD221" s="496"/>
      <c r="BE221" s="496"/>
      <c r="BF221" s="496"/>
      <c r="BG221" s="496"/>
      <c r="BH221" s="496"/>
      <c r="BI221" s="496"/>
      <c r="BJ221" s="496"/>
      <c r="BK221" s="496"/>
      <c r="BL221" s="496"/>
      <c r="BM221" s="496"/>
      <c r="BN221" s="496"/>
      <c r="BO221" s="496"/>
      <c r="BP221" s="496"/>
      <c r="BQ221" s="496"/>
      <c r="BR221" s="496"/>
      <c r="BS221" s="496"/>
      <c r="BT221" s="496"/>
      <c r="BU221" s="496"/>
      <c r="BV221" s="496"/>
      <c r="BW221" s="496"/>
      <c r="BX221" s="496"/>
      <c r="BY221" s="496"/>
      <c r="BZ221" s="496"/>
      <c r="CA221" s="496"/>
      <c r="CB221" s="496"/>
      <c r="CC221" s="496"/>
      <c r="CD221" s="496"/>
      <c r="CE221" s="496"/>
      <c r="CF221" s="496"/>
      <c r="CG221" s="496"/>
      <c r="CH221" s="496"/>
      <c r="CI221" s="496"/>
      <c r="CJ221" s="496"/>
      <c r="CK221" s="496"/>
      <c r="CL221" s="496"/>
      <c r="CM221" s="496"/>
      <c r="CN221" s="496"/>
      <c r="CO221" s="496"/>
      <c r="CP221" s="496"/>
      <c r="CQ221" s="496"/>
      <c r="CR221" s="496"/>
      <c r="CS221" s="496"/>
      <c r="CT221" s="496"/>
      <c r="CU221" s="496"/>
      <c r="CV221" s="496"/>
      <c r="CW221" s="496"/>
      <c r="CX221" s="496"/>
      <c r="CY221" s="496"/>
      <c r="CZ221" s="496"/>
      <c r="DA221" s="496"/>
      <c r="DB221" s="496"/>
      <c r="DC221" s="496"/>
      <c r="DD221" s="496"/>
      <c r="DE221" s="496"/>
      <c r="DF221" s="496"/>
      <c r="DG221" s="496"/>
      <c r="DH221" s="496"/>
      <c r="DI221" s="496"/>
      <c r="DJ221" s="496"/>
      <c r="DK221" s="496"/>
      <c r="DL221" s="496"/>
      <c r="DM221" s="496"/>
      <c r="DN221" s="496"/>
      <c r="DO221" s="496"/>
      <c r="DP221" s="496"/>
      <c r="DQ221" s="496"/>
      <c r="DR221" s="496"/>
      <c r="DS221" s="496"/>
      <c r="DT221" s="496"/>
      <c r="DU221" s="496"/>
      <c r="DV221" s="496"/>
      <c r="DW221" s="496"/>
      <c r="DX221" s="496"/>
      <c r="DY221" s="496"/>
      <c r="DZ221" s="496"/>
      <c r="EA221" s="496"/>
      <c r="EB221" s="496"/>
      <c r="EC221" s="496"/>
      <c r="ED221" s="496"/>
      <c r="EE221" s="496"/>
      <c r="EF221" s="496"/>
      <c r="EG221" s="496"/>
      <c r="EH221" s="496"/>
      <c r="EI221" s="496"/>
      <c r="EJ221" s="496"/>
      <c r="EK221" s="496"/>
      <c r="EL221" s="496"/>
      <c r="EM221" s="496"/>
      <c r="EN221" s="496"/>
      <c r="EO221" s="496"/>
      <c r="EP221" s="496"/>
      <c r="EQ221" s="496"/>
      <c r="ER221" s="496"/>
      <c r="ES221" s="496"/>
      <c r="ET221" s="496"/>
      <c r="EU221" s="496"/>
      <c r="EV221" s="496"/>
      <c r="EW221" s="496"/>
      <c r="EX221" s="496"/>
      <c r="EY221" s="496"/>
      <c r="EZ221" s="496"/>
      <c r="FA221" s="496"/>
      <c r="FB221" s="496"/>
      <c r="FC221" s="496"/>
      <c r="FD221" s="496"/>
      <c r="FE221" s="496"/>
      <c r="FF221" s="496"/>
      <c r="FG221" s="496"/>
      <c r="FH221" s="496"/>
      <c r="FI221" s="496"/>
      <c r="FJ221" s="496"/>
      <c r="FK221" s="496"/>
      <c r="FL221" s="496"/>
      <c r="FM221" s="496"/>
      <c r="FN221" s="496"/>
      <c r="FO221" s="496"/>
      <c r="FP221" s="496"/>
      <c r="FQ221" s="496"/>
      <c r="FR221" s="496"/>
      <c r="FS221" s="496"/>
      <c r="FT221" s="496"/>
      <c r="FU221" s="496"/>
      <c r="FV221" s="496"/>
      <c r="FW221" s="496"/>
      <c r="FX221" s="496"/>
      <c r="FY221" s="496"/>
      <c r="FZ221" s="496"/>
      <c r="GA221" s="496"/>
      <c r="GB221" s="496"/>
      <c r="GC221" s="496"/>
      <c r="GD221" s="496"/>
      <c r="GE221" s="496"/>
      <c r="GF221" s="496"/>
      <c r="GG221" s="496"/>
      <c r="GH221" s="496"/>
      <c r="GI221" s="496"/>
      <c r="GJ221" s="496"/>
      <c r="GK221" s="496"/>
      <c r="GL221" s="496"/>
      <c r="GM221" s="496"/>
      <c r="GN221" s="496"/>
      <c r="GO221" s="496"/>
      <c r="GP221" s="496"/>
      <c r="GQ221" s="496"/>
      <c r="GR221" s="496"/>
      <c r="GS221" s="496"/>
      <c r="GT221" s="496"/>
      <c r="GU221" s="496"/>
      <c r="GV221" s="496"/>
      <c r="GW221" s="496"/>
      <c r="GX221" s="496"/>
      <c r="GY221" s="496"/>
      <c r="GZ221" s="496"/>
      <c r="HA221" s="496"/>
      <c r="HB221" s="496"/>
    </row>
    <row r="222" spans="1:242" ht="20.100000000000001" customHeight="1">
      <c r="A222" s="164"/>
      <c r="B222" s="421" t="s">
        <v>1525</v>
      </c>
      <c r="C222" s="422"/>
      <c r="D222" s="422"/>
      <c r="E222" s="422"/>
      <c r="F222" s="422"/>
      <c r="G222" s="422"/>
      <c r="H222" s="557"/>
      <c r="I222" s="423"/>
      <c r="J222" s="424"/>
      <c r="K222" s="550" t="s">
        <v>1526</v>
      </c>
      <c r="L222" s="551"/>
      <c r="M222" s="552"/>
      <c r="N222" s="560"/>
      <c r="O222" s="560"/>
      <c r="P222" s="560"/>
      <c r="Q222" s="251"/>
      <c r="R222" s="251"/>
      <c r="S222" s="251"/>
      <c r="T222" s="251"/>
      <c r="U222" s="251"/>
      <c r="V222" s="200"/>
      <c r="W222" s="200"/>
      <c r="X222" s="496"/>
      <c r="Y222" s="496"/>
      <c r="Z222" s="496"/>
      <c r="AA222" s="496"/>
      <c r="AB222" s="496"/>
      <c r="AC222" s="496"/>
      <c r="AD222" s="496"/>
      <c r="AE222" s="496"/>
      <c r="AF222" s="496"/>
      <c r="AG222" s="496"/>
      <c r="AH222" s="496"/>
      <c r="AI222" s="496"/>
      <c r="AJ222" s="496"/>
      <c r="AK222" s="496"/>
      <c r="AL222" s="496"/>
      <c r="AM222" s="496"/>
      <c r="AN222" s="496"/>
      <c r="AO222" s="496"/>
      <c r="AP222" s="496"/>
      <c r="AQ222" s="496"/>
      <c r="AR222" s="496"/>
      <c r="AS222" s="496"/>
      <c r="AT222" s="496"/>
      <c r="AU222" s="496"/>
      <c r="AV222" s="496"/>
      <c r="AW222" s="496"/>
      <c r="AX222" s="496"/>
      <c r="AY222" s="496"/>
      <c r="AZ222" s="496"/>
      <c r="BA222" s="496"/>
      <c r="BB222" s="496"/>
      <c r="BC222" s="496"/>
      <c r="BD222" s="496"/>
      <c r="BE222" s="496"/>
      <c r="BF222" s="496"/>
      <c r="BG222" s="496"/>
      <c r="BH222" s="496"/>
      <c r="BI222" s="496"/>
      <c r="BJ222" s="496"/>
      <c r="BK222" s="496"/>
      <c r="BL222" s="496"/>
      <c r="BM222" s="496"/>
      <c r="BN222" s="496"/>
      <c r="BO222" s="496"/>
      <c r="BP222" s="496"/>
      <c r="BQ222" s="496"/>
      <c r="BR222" s="496"/>
      <c r="BS222" s="496"/>
      <c r="BT222" s="496"/>
      <c r="BU222" s="496"/>
      <c r="BV222" s="496"/>
      <c r="BW222" s="496"/>
      <c r="BX222" s="496"/>
      <c r="BY222" s="496"/>
      <c r="BZ222" s="496"/>
      <c r="CA222" s="496"/>
      <c r="CB222" s="496"/>
      <c r="CC222" s="496"/>
      <c r="CD222" s="496"/>
      <c r="CE222" s="496"/>
      <c r="CF222" s="496"/>
      <c r="CG222" s="496"/>
      <c r="CH222" s="496"/>
      <c r="CI222" s="496"/>
      <c r="CJ222" s="496"/>
      <c r="CK222" s="496"/>
      <c r="CL222" s="496"/>
      <c r="CM222" s="496"/>
      <c r="CN222" s="496"/>
      <c r="CO222" s="496"/>
      <c r="CP222" s="496"/>
      <c r="CQ222" s="496"/>
      <c r="CR222" s="496"/>
      <c r="CS222" s="496"/>
      <c r="CT222" s="496"/>
      <c r="CU222" s="496"/>
      <c r="CV222" s="496"/>
      <c r="CW222" s="496"/>
      <c r="CX222" s="496"/>
      <c r="CY222" s="496"/>
      <c r="CZ222" s="496"/>
      <c r="DA222" s="496"/>
      <c r="DB222" s="496"/>
      <c r="DC222" s="496"/>
      <c r="DD222" s="496"/>
      <c r="DE222" s="496"/>
      <c r="DF222" s="496"/>
      <c r="DG222" s="496"/>
      <c r="DH222" s="496"/>
      <c r="DI222" s="496"/>
      <c r="DJ222" s="496"/>
      <c r="DK222" s="496"/>
      <c r="DL222" s="496"/>
      <c r="DM222" s="496"/>
      <c r="DN222" s="496"/>
      <c r="DO222" s="496"/>
      <c r="DP222" s="496"/>
      <c r="DQ222" s="496"/>
      <c r="DR222" s="496"/>
      <c r="DS222" s="496"/>
      <c r="DT222" s="496"/>
      <c r="DU222" s="496"/>
      <c r="DV222" s="496"/>
      <c r="DW222" s="496"/>
      <c r="DX222" s="496"/>
      <c r="DY222" s="496"/>
      <c r="DZ222" s="496"/>
      <c r="EA222" s="496"/>
      <c r="EB222" s="496"/>
      <c r="EC222" s="496"/>
      <c r="ED222" s="496"/>
      <c r="EE222" s="496"/>
      <c r="EF222" s="496"/>
      <c r="EG222" s="496"/>
      <c r="EH222" s="496"/>
      <c r="EI222" s="496"/>
      <c r="EJ222" s="496"/>
      <c r="EK222" s="496"/>
      <c r="EL222" s="496"/>
      <c r="EM222" s="496"/>
      <c r="EN222" s="496"/>
      <c r="EO222" s="496"/>
      <c r="EP222" s="496"/>
      <c r="EQ222" s="496"/>
      <c r="ER222" s="496"/>
      <c r="ES222" s="496"/>
      <c r="ET222" s="496"/>
      <c r="EU222" s="496"/>
      <c r="EV222" s="496"/>
      <c r="EW222" s="496"/>
      <c r="EX222" s="496"/>
      <c r="EY222" s="496"/>
      <c r="EZ222" s="496"/>
      <c r="FA222" s="496"/>
      <c r="FB222" s="496"/>
      <c r="FC222" s="496"/>
      <c r="FD222" s="496"/>
      <c r="FE222" s="496"/>
      <c r="FF222" s="496"/>
      <c r="FG222" s="496"/>
      <c r="FH222" s="496"/>
      <c r="FI222" s="496"/>
      <c r="FJ222" s="496"/>
      <c r="FK222" s="496"/>
      <c r="FL222" s="496"/>
      <c r="FM222" s="496"/>
      <c r="FN222" s="496"/>
      <c r="FO222" s="496"/>
      <c r="FP222" s="496"/>
      <c r="FQ222" s="496"/>
      <c r="FR222" s="496"/>
      <c r="FS222" s="496"/>
      <c r="FT222" s="496"/>
      <c r="FU222" s="496"/>
      <c r="FV222" s="496"/>
      <c r="FW222" s="496"/>
      <c r="FX222" s="496"/>
      <c r="FY222" s="496"/>
      <c r="FZ222" s="496"/>
      <c r="GA222" s="496"/>
      <c r="GB222" s="496"/>
      <c r="GC222" s="496"/>
      <c r="GD222" s="496"/>
      <c r="GE222" s="496"/>
      <c r="GF222" s="496"/>
      <c r="GG222" s="496"/>
      <c r="GH222" s="496"/>
      <c r="GI222" s="496"/>
      <c r="GJ222" s="496"/>
      <c r="GK222" s="496"/>
      <c r="GL222" s="496"/>
      <c r="GM222" s="496"/>
      <c r="GN222" s="496"/>
      <c r="GO222" s="496"/>
      <c r="GP222" s="496"/>
      <c r="GQ222" s="496"/>
      <c r="GR222" s="496"/>
      <c r="GS222" s="496"/>
      <c r="GT222" s="496"/>
      <c r="GU222" s="496"/>
      <c r="GV222" s="496"/>
      <c r="GW222" s="496"/>
      <c r="GX222" s="496"/>
      <c r="GY222" s="496"/>
      <c r="GZ222" s="496"/>
      <c r="HA222" s="496"/>
      <c r="HB222" s="496"/>
    </row>
    <row r="223" spans="1:242" ht="20.100000000000001" customHeight="1" thickBot="1">
      <c r="A223" s="164"/>
      <c r="B223" s="561" t="s">
        <v>1527</v>
      </c>
      <c r="C223" s="562"/>
      <c r="D223" s="562"/>
      <c r="E223" s="562"/>
      <c r="F223" s="562"/>
      <c r="G223" s="562"/>
      <c r="H223" s="563"/>
      <c r="I223" s="564"/>
      <c r="J223" s="565"/>
      <c r="K223" s="558" t="s">
        <v>1528</v>
      </c>
      <c r="L223" s="559"/>
      <c r="M223" s="566"/>
      <c r="N223" s="560"/>
      <c r="O223" s="560"/>
      <c r="P223" s="560"/>
      <c r="Q223" s="251"/>
      <c r="R223" s="251"/>
      <c r="S223" s="251"/>
      <c r="T223" s="251"/>
      <c r="U223" s="251"/>
      <c r="V223" s="200"/>
      <c r="W223" s="200"/>
      <c r="X223" s="496"/>
      <c r="Y223" s="496"/>
      <c r="Z223" s="496"/>
      <c r="AA223" s="496"/>
      <c r="AB223" s="496"/>
      <c r="AC223" s="496"/>
      <c r="AD223" s="496"/>
      <c r="AE223" s="496"/>
      <c r="AF223" s="496"/>
      <c r="AG223" s="496"/>
      <c r="AH223" s="496"/>
      <c r="AI223" s="496"/>
      <c r="AJ223" s="496"/>
      <c r="AK223" s="496"/>
      <c r="AL223" s="496"/>
      <c r="AM223" s="496"/>
      <c r="AN223" s="496"/>
      <c r="AO223" s="496"/>
      <c r="AP223" s="496"/>
      <c r="AQ223" s="496"/>
      <c r="AR223" s="496"/>
      <c r="AS223" s="496"/>
      <c r="AT223" s="496"/>
      <c r="AU223" s="496"/>
      <c r="AV223" s="496"/>
      <c r="AW223" s="496"/>
      <c r="AX223" s="496"/>
      <c r="AY223" s="496"/>
      <c r="AZ223" s="496"/>
      <c r="BA223" s="496"/>
      <c r="BB223" s="496"/>
      <c r="BC223" s="496"/>
      <c r="BD223" s="496"/>
      <c r="BE223" s="496"/>
      <c r="BF223" s="496"/>
      <c r="BG223" s="496"/>
      <c r="BH223" s="496"/>
      <c r="BI223" s="496"/>
      <c r="BJ223" s="496"/>
      <c r="BK223" s="496"/>
      <c r="BL223" s="496"/>
      <c r="BM223" s="496"/>
      <c r="BN223" s="496"/>
      <c r="BO223" s="496"/>
      <c r="BP223" s="496"/>
      <c r="BQ223" s="496"/>
      <c r="BR223" s="496"/>
      <c r="BS223" s="496"/>
      <c r="BT223" s="496"/>
      <c r="BU223" s="496"/>
      <c r="BV223" s="496"/>
      <c r="BW223" s="496"/>
      <c r="BX223" s="496"/>
      <c r="BY223" s="496"/>
      <c r="BZ223" s="496"/>
      <c r="CA223" s="496"/>
      <c r="CB223" s="496"/>
      <c r="CC223" s="496"/>
      <c r="CD223" s="496"/>
      <c r="CE223" s="496"/>
      <c r="CF223" s="496"/>
      <c r="CG223" s="496"/>
      <c r="CH223" s="496"/>
      <c r="CI223" s="496"/>
      <c r="CJ223" s="496"/>
      <c r="CK223" s="496"/>
      <c r="CL223" s="496"/>
      <c r="CM223" s="496"/>
      <c r="CN223" s="496"/>
      <c r="CO223" s="496"/>
      <c r="CP223" s="496"/>
      <c r="CQ223" s="496"/>
      <c r="CR223" s="496"/>
      <c r="CS223" s="496"/>
      <c r="CT223" s="496"/>
      <c r="CU223" s="496"/>
      <c r="CV223" s="496"/>
      <c r="CW223" s="496"/>
      <c r="CX223" s="496"/>
      <c r="CY223" s="496"/>
      <c r="CZ223" s="496"/>
      <c r="DA223" s="496"/>
      <c r="DB223" s="496"/>
      <c r="DC223" s="496"/>
      <c r="DD223" s="496"/>
      <c r="DE223" s="496"/>
      <c r="DF223" s="496"/>
      <c r="DG223" s="496"/>
      <c r="DH223" s="496"/>
      <c r="DI223" s="496"/>
      <c r="DJ223" s="496"/>
      <c r="DK223" s="496"/>
      <c r="DL223" s="496"/>
      <c r="DM223" s="496"/>
      <c r="DN223" s="496"/>
      <c r="DO223" s="496"/>
      <c r="DP223" s="496"/>
      <c r="DQ223" s="496"/>
      <c r="DR223" s="496"/>
      <c r="DS223" s="496"/>
      <c r="DT223" s="496"/>
      <c r="DU223" s="496"/>
      <c r="DV223" s="496"/>
      <c r="DW223" s="496"/>
      <c r="DX223" s="496"/>
      <c r="DY223" s="496"/>
      <c r="DZ223" s="496"/>
      <c r="EA223" s="496"/>
      <c r="EB223" s="496"/>
      <c r="EC223" s="496"/>
      <c r="ED223" s="496"/>
      <c r="EE223" s="496"/>
      <c r="EF223" s="496"/>
      <c r="EG223" s="496"/>
      <c r="EH223" s="496"/>
      <c r="EI223" s="496"/>
      <c r="EJ223" s="496"/>
      <c r="EK223" s="496"/>
      <c r="EL223" s="496"/>
      <c r="EM223" s="496"/>
      <c r="EN223" s="496"/>
      <c r="EO223" s="496"/>
      <c r="EP223" s="496"/>
      <c r="EQ223" s="496"/>
      <c r="ER223" s="496"/>
      <c r="ES223" s="496"/>
      <c r="ET223" s="496"/>
      <c r="EU223" s="496"/>
      <c r="EV223" s="496"/>
      <c r="EW223" s="496"/>
      <c r="EX223" s="496"/>
      <c r="EY223" s="496"/>
      <c r="EZ223" s="496"/>
      <c r="FA223" s="496"/>
      <c r="FB223" s="496"/>
      <c r="FC223" s="496"/>
      <c r="FD223" s="496"/>
      <c r="FE223" s="496"/>
      <c r="FF223" s="496"/>
      <c r="FG223" s="496"/>
      <c r="FH223" s="496"/>
      <c r="FI223" s="496"/>
      <c r="FJ223" s="496"/>
      <c r="FK223" s="496"/>
      <c r="FL223" s="496"/>
      <c r="FM223" s="496"/>
      <c r="FN223" s="496"/>
      <c r="FO223" s="496"/>
      <c r="FP223" s="496"/>
      <c r="FQ223" s="496"/>
      <c r="FR223" s="496"/>
      <c r="FS223" s="496"/>
      <c r="FT223" s="496"/>
      <c r="FU223" s="496"/>
      <c r="FV223" s="496"/>
      <c r="FW223" s="496"/>
      <c r="FX223" s="496"/>
      <c r="FY223" s="496"/>
      <c r="FZ223" s="496"/>
      <c r="GA223" s="496"/>
      <c r="GB223" s="496"/>
      <c r="GC223" s="496"/>
      <c r="GD223" s="496"/>
      <c r="GE223" s="496"/>
      <c r="GF223" s="496"/>
      <c r="GG223" s="496"/>
      <c r="GH223" s="496"/>
      <c r="GI223" s="496"/>
      <c r="GJ223" s="496"/>
      <c r="GK223" s="496"/>
      <c r="GL223" s="496"/>
      <c r="GM223" s="496"/>
      <c r="GN223" s="496"/>
      <c r="GO223" s="496"/>
      <c r="GP223" s="496"/>
      <c r="GQ223" s="496"/>
      <c r="GR223" s="496"/>
      <c r="GS223" s="496"/>
      <c r="GT223" s="496"/>
      <c r="GU223" s="496"/>
      <c r="GV223" s="496"/>
      <c r="GW223" s="496"/>
      <c r="GX223" s="496"/>
      <c r="GY223" s="496"/>
      <c r="GZ223" s="496"/>
      <c r="HA223" s="496"/>
      <c r="HB223" s="496"/>
    </row>
    <row r="225" spans="1:242" s="154" customFormat="1" ht="20.100000000000001" hidden="1" customHeight="1">
      <c r="A225" s="173" t="s">
        <v>708</v>
      </c>
      <c r="B225" s="173"/>
      <c r="C225" s="179"/>
      <c r="D225" s="180"/>
      <c r="E225" s="181"/>
      <c r="F225" s="180"/>
      <c r="G225" s="180"/>
      <c r="H225" s="181"/>
      <c r="I225" s="180"/>
      <c r="J225" s="180"/>
      <c r="K225" s="181"/>
      <c r="L225" s="180"/>
      <c r="M225" s="180"/>
      <c r="N225" s="181"/>
      <c r="O225" s="180"/>
      <c r="P225" s="180"/>
      <c r="Q225" s="181"/>
      <c r="R225" s="180"/>
      <c r="S225" s="180"/>
      <c r="T225" s="181"/>
      <c r="U225" s="180"/>
      <c r="V225" s="180"/>
      <c r="W225" s="181"/>
      <c r="X225" s="180"/>
      <c r="Y225" s="180"/>
      <c r="Z225" s="181"/>
      <c r="AA225" s="180"/>
      <c r="AB225" s="180"/>
      <c r="AC225" s="181"/>
      <c r="AD225" s="180"/>
      <c r="AE225" s="180"/>
      <c r="AF225" s="181"/>
      <c r="AG225" s="180"/>
      <c r="AH225" s="180"/>
      <c r="AI225" s="181"/>
      <c r="AJ225" s="180"/>
      <c r="AK225" s="180"/>
      <c r="AL225" s="181"/>
      <c r="AM225" s="180"/>
      <c r="AN225" s="180"/>
      <c r="IE225" s="571"/>
      <c r="IF225" s="571"/>
      <c r="IG225" s="571"/>
      <c r="IH225" s="571"/>
    </row>
    <row r="226" spans="1:242" s="164" customFormat="1" ht="20.100000000000001" hidden="1" customHeight="1">
      <c r="A226" s="572">
        <v>0</v>
      </c>
      <c r="B226" s="573" t="s">
        <v>709</v>
      </c>
      <c r="E226" s="156"/>
      <c r="F226" s="1046" t="s">
        <v>646</v>
      </c>
      <c r="G226" s="1047" t="s">
        <v>647</v>
      </c>
      <c r="H226" s="1047"/>
      <c r="I226" s="574" t="s">
        <v>648</v>
      </c>
      <c r="J226" s="575"/>
      <c r="K226" s="576" t="str">
        <f ca="1">OFFSET(貼付け_2026実績,4,SUM(COLUMN()-COLUMN(貼付け_2026実績)))</f>
        <v>横浜1</v>
      </c>
      <c r="L226" s="577"/>
      <c r="M226" s="577"/>
      <c r="N226" s="578"/>
      <c r="O226" s="576" t="str">
        <f ca="1">OFFSET(貼付け_2026実績,4,SUM(COLUMN()-COLUMN(貼付け_2026実績)))</f>
        <v>横浜2</v>
      </c>
      <c r="P226" s="577"/>
      <c r="Q226" s="577"/>
      <c r="R226" s="578"/>
      <c r="S226" s="576" t="str">
        <f ca="1">OFFSET(貼付け_2026実績,4,SUM(COLUMN()-COLUMN(貼付け_2026実績)))</f>
        <v>横浜3</v>
      </c>
      <c r="T226" s="577"/>
      <c r="U226" s="577"/>
      <c r="V226" s="578"/>
      <c r="W226" s="576" t="str">
        <f ca="1">OFFSET(貼付け_2026実績,4,SUM(COLUMN()-COLUMN(貼付け_2026実績)))</f>
        <v>県域1</v>
      </c>
      <c r="X226" s="577"/>
      <c r="Y226" s="577"/>
      <c r="Z226" s="578"/>
      <c r="AA226" s="576" t="str">
        <f ca="1">OFFSET(貼付け_2026実績,4,SUM(COLUMN()-COLUMN(貼付け_2026実績)))</f>
        <v>県域2</v>
      </c>
      <c r="AB226" s="577"/>
      <c r="AC226" s="577"/>
      <c r="AD226" s="578"/>
      <c r="AE226" s="576" t="str">
        <f ca="1">OFFSET(貼付け_2026実績,4,SUM(COLUMN()-COLUMN(貼付け_2026実績)))</f>
        <v>県域3</v>
      </c>
      <c r="AF226" s="577"/>
      <c r="AG226" s="577"/>
      <c r="AH226" s="578"/>
      <c r="AI226" s="576" t="str">
        <f ca="1">OFFSET(貼付け_2026実績,4,SUM(COLUMN()-COLUMN(貼付け_2026実績)))</f>
        <v>エネルギー管理指定工場等1</v>
      </c>
      <c r="AJ226" s="577"/>
      <c r="AK226" s="577"/>
      <c r="AL226" s="578"/>
      <c r="AM226" s="576" t="str">
        <f ca="1">OFFSET(貼付け_2026実績,4,SUM(COLUMN()-COLUMN(貼付け_2026実績)))</f>
        <v>エネルギー管理指定工場等2</v>
      </c>
      <c r="AN226" s="577"/>
      <c r="AO226" s="577"/>
      <c r="AP226" s="578"/>
      <c r="AQ226" s="576" t="str">
        <f ca="1">OFFSET(貼付け_2026実績,4,SUM(COLUMN()-COLUMN(貼付け_2026実績)))</f>
        <v>エネルギー管理指定工場等3</v>
      </c>
      <c r="AR226" s="577"/>
      <c r="AS226" s="577"/>
      <c r="AT226" s="578"/>
      <c r="AU226" s="576" t="str">
        <f ca="1">OFFSET(貼付け_2026実績,4,SUM(COLUMN()-COLUMN(貼付け_2026実績)))</f>
        <v>エネルギー管理指定工場等4</v>
      </c>
      <c r="AV226" s="577"/>
      <c r="AW226" s="577"/>
      <c r="AX226" s="578"/>
      <c r="AY226" s="576" t="str">
        <f ca="1">OFFSET(貼付け_2026実績,4,SUM(COLUMN()-COLUMN(貼付け_2026実績)))</f>
        <v>エネルギー管理指定工場等5</v>
      </c>
      <c r="AZ226" s="577"/>
      <c r="BA226" s="577"/>
      <c r="BB226" s="578"/>
      <c r="BC226" s="576" t="str">
        <f ca="1">OFFSET(貼付け_2026実績,4,SUM(COLUMN()-COLUMN(貼付け_2026実績)))</f>
        <v>エネルギー管理指定工場等6</v>
      </c>
      <c r="BD226" s="577"/>
      <c r="BE226" s="577"/>
      <c r="BF226" s="578"/>
      <c r="BG226" s="576" t="str">
        <f ca="1">OFFSET(貼付け_2026実績,4,SUM(COLUMN()-COLUMN(貼付け_2026実績)))</f>
        <v>エネルギー管理指定工場等7</v>
      </c>
      <c r="BH226" s="577"/>
      <c r="BI226" s="577"/>
      <c r="BJ226" s="578"/>
      <c r="BK226" s="576" t="str">
        <f ca="1">OFFSET(貼付け_2026実績,4,SUM(COLUMN()-COLUMN(貼付け_2026実績)))</f>
        <v>エネルギー管理指定工場等8</v>
      </c>
      <c r="BL226" s="577"/>
      <c r="BM226" s="577"/>
      <c r="BN226" s="578"/>
      <c r="BO226" s="576" t="str">
        <f ca="1">OFFSET(貼付け_2026実績,4,SUM(COLUMN()-COLUMN(貼付け_2026実績)))</f>
        <v>エネルギー管理指定工場等9</v>
      </c>
      <c r="BP226" s="577"/>
      <c r="BQ226" s="577"/>
      <c r="BR226" s="578"/>
      <c r="BS226" s="576" t="str">
        <f ca="1">OFFSET(貼付け_2026実績,4,SUM(COLUMN()-COLUMN(貼付け_2026実績)))</f>
        <v>エネルギー管理指定工場等10</v>
      </c>
      <c r="BT226" s="577"/>
      <c r="BU226" s="577"/>
      <c r="BV226" s="578"/>
      <c r="BW226" s="576">
        <f ca="1">OFFSET(貼付け_2026実績,4,SUM(COLUMN()-COLUMN(貼付け_2026実績)))</f>
        <v>0</v>
      </c>
      <c r="BX226" s="577"/>
      <c r="BY226" s="577"/>
      <c r="BZ226" s="578"/>
      <c r="CA226" s="576" t="str">
        <f ca="1">OFFSET(貼付け_2026実績,4,SUM(COLUMN()-COLUMN(貼付け_2026実績)))</f>
        <v>県域4</v>
      </c>
      <c r="CB226" s="577"/>
      <c r="CC226" s="577"/>
      <c r="CD226" s="578"/>
      <c r="CE226" s="576" t="str">
        <f ca="1">OFFSET(貼付け_2026実績,4,SUM(COLUMN()-COLUMN(貼付け_2026実績)))</f>
        <v>県域5</v>
      </c>
      <c r="CF226" s="577"/>
      <c r="CG226" s="577"/>
      <c r="CH226" s="578"/>
      <c r="CI226" s="576" t="str">
        <f ca="1">OFFSET(貼付け_2026実績,4,SUM(COLUMN()-COLUMN(貼付け_2026実績)))</f>
        <v>県域6</v>
      </c>
      <c r="CJ226" s="577"/>
      <c r="CK226" s="577"/>
      <c r="CL226" s="578"/>
      <c r="CM226" s="576" t="str">
        <f ca="1">OFFSET(貼付け_2026実績,4,SUM(COLUMN()-COLUMN(貼付け_2026実績)))</f>
        <v>県域7</v>
      </c>
      <c r="CN226" s="577"/>
      <c r="CO226" s="577"/>
      <c r="CP226" s="578"/>
      <c r="CQ226" s="576" t="str">
        <f ca="1">OFFSET(貼付け_2026実績,4,SUM(COLUMN()-COLUMN(貼付け_2026実績)))</f>
        <v>県域8</v>
      </c>
      <c r="CR226" s="577"/>
      <c r="CS226" s="577"/>
      <c r="CT226" s="578"/>
      <c r="CU226" s="576" t="str">
        <f ca="1">OFFSET(貼付け_2026実績,4,SUM(COLUMN()-COLUMN(貼付け_2026実績)))</f>
        <v>県域9</v>
      </c>
      <c r="CV226" s="577"/>
      <c r="CW226" s="577"/>
      <c r="CX226" s="578"/>
      <c r="CY226" s="576" t="str">
        <f ca="1">OFFSET(貼付け_2026実績,4,SUM(COLUMN()-COLUMN(貼付け_2026実績)))</f>
        <v>県域10</v>
      </c>
      <c r="CZ226" s="577"/>
      <c r="DA226" s="577"/>
      <c r="DB226" s="578"/>
      <c r="DC226" s="576" t="str">
        <f ca="1">OFFSET(貼付け_2026実績,4,SUM(COLUMN()-COLUMN(貼付け_2026実績)))</f>
        <v>横浜3</v>
      </c>
      <c r="DD226" s="577"/>
      <c r="DE226" s="577"/>
      <c r="DF226" s="578"/>
      <c r="DG226" s="576" t="str">
        <f ca="1">OFFSET(貼付け_2026実績,4,SUM(COLUMN()-COLUMN(貼付け_2026実績)))</f>
        <v>横浜4</v>
      </c>
      <c r="DH226" s="577"/>
      <c r="DI226" s="577"/>
      <c r="DJ226" s="578"/>
      <c r="DK226" s="576" t="str">
        <f ca="1">OFFSET(貼付け_2026実績,4,SUM(COLUMN()-COLUMN(貼付け_2026実績)))</f>
        <v>横浜5</v>
      </c>
      <c r="DL226" s="577"/>
      <c r="DM226" s="577"/>
      <c r="DN226" s="578"/>
      <c r="DO226" s="576" t="str">
        <f ca="1">OFFSET(貼付け_2026実績,4,SUM(COLUMN()-COLUMN(貼付け_2026実績)))</f>
        <v>横浜6</v>
      </c>
      <c r="DP226" s="577"/>
      <c r="DQ226" s="577"/>
      <c r="DR226" s="578"/>
      <c r="DS226" s="576" t="str">
        <f ca="1">OFFSET(貼付け_2026実績,4,SUM(COLUMN()-COLUMN(貼付け_2026実績)))</f>
        <v>横浜7</v>
      </c>
      <c r="DT226" s="577"/>
      <c r="DU226" s="577"/>
      <c r="DV226" s="578"/>
      <c r="DW226" s="576" t="str">
        <f ca="1">OFFSET(貼付け_2026実績,4,SUM(COLUMN()-COLUMN(貼付け_2026実績)))</f>
        <v>横浜8</v>
      </c>
      <c r="DX226" s="577"/>
      <c r="DY226" s="577"/>
      <c r="DZ226" s="578"/>
      <c r="EA226" s="576" t="str">
        <f ca="1">OFFSET(貼付け_2026実績,4,SUM(COLUMN()-COLUMN(貼付け_2026実績)))</f>
        <v>横浜9</v>
      </c>
      <c r="EB226" s="577"/>
      <c r="EC226" s="577"/>
      <c r="ED226" s="578"/>
      <c r="EE226" s="576" t="str">
        <f ca="1">OFFSET(貼付け_2026実績,4,SUM(COLUMN()-COLUMN(貼付け_2026実績)))</f>
        <v>横浜10</v>
      </c>
      <c r="EF226" s="577"/>
      <c r="EG226" s="577"/>
      <c r="EH226" s="578"/>
      <c r="EI226" s="576" t="str">
        <f ca="1">OFFSET(貼付け_2026実績,4,SUM(COLUMN()-COLUMN(貼付け_2026実績)))</f>
        <v>川崎1</v>
      </c>
      <c r="EJ226" s="577"/>
      <c r="EK226" s="577"/>
      <c r="EL226" s="578"/>
      <c r="EM226" s="576" t="str">
        <f ca="1">OFFSET(貼付け_2026実績,4,SUM(COLUMN()-COLUMN(貼付け_2026実績)))</f>
        <v>川崎2</v>
      </c>
      <c r="EN226" s="577"/>
      <c r="EO226" s="577"/>
      <c r="EP226" s="578"/>
      <c r="EQ226" s="576" t="str">
        <f ca="1">OFFSET(貼付け_2026実績,4,SUM(COLUMN()-COLUMN(貼付け_2026実績)))</f>
        <v>川崎3</v>
      </c>
      <c r="ER226" s="577"/>
      <c r="ES226" s="577"/>
      <c r="ET226" s="578"/>
      <c r="EU226" s="576" t="str">
        <f ca="1">OFFSET(貼付け_2026実績,4,SUM(COLUMN()-COLUMN(貼付け_2026実績)))</f>
        <v>川崎6</v>
      </c>
      <c r="EV226" s="577"/>
      <c r="EW226" s="577"/>
      <c r="EX226" s="578"/>
      <c r="EY226" s="576" t="str">
        <f ca="1">OFFSET(貼付け_2026実績,4,SUM(COLUMN()-COLUMN(貼付け_2026実績)))</f>
        <v>川崎7</v>
      </c>
      <c r="EZ226" s="577"/>
      <c r="FA226" s="577"/>
      <c r="FB226" s="578"/>
      <c r="FC226" s="576" t="str">
        <f ca="1">OFFSET(貼付け_2026実績,4,SUM(COLUMN()-COLUMN(貼付け_2026実績)))</f>
        <v>川崎8</v>
      </c>
      <c r="FD226" s="577"/>
      <c r="FE226" s="577"/>
      <c r="FF226" s="578"/>
      <c r="FG226" s="576" t="str">
        <f ca="1">OFFSET(貼付け_2026実績,4,SUM(COLUMN()-COLUMN(貼付け_2026実績)))</f>
        <v>川崎9</v>
      </c>
      <c r="FH226" s="577"/>
      <c r="FI226" s="577"/>
      <c r="FJ226" s="578"/>
      <c r="FK226" s="576" t="str">
        <f ca="1">OFFSET(貼付け_2026実績,4,SUM(COLUMN()-COLUMN(貼付け_2026実績)))</f>
        <v>川崎10</v>
      </c>
      <c r="FL226" s="577"/>
      <c r="FM226" s="577"/>
      <c r="FN226" s="578"/>
      <c r="FO226" s="576" t="str">
        <f ca="1">OFFSET(貼付け_2026実績,4,SUM(COLUMN()-COLUMN(貼付け_2026実績)))</f>
        <v>川崎11</v>
      </c>
      <c r="FP226" s="577"/>
      <c r="FQ226" s="577"/>
      <c r="FR226" s="578"/>
      <c r="FS226" s="576" t="str">
        <f ca="1">OFFSET(貼付け_2026実績,4,SUM(COLUMN()-COLUMN(貼付け_2026実績)))</f>
        <v>川崎12</v>
      </c>
      <c r="FT226" s="577"/>
      <c r="FU226" s="577"/>
      <c r="FV226" s="578"/>
      <c r="FW226" s="576" t="str">
        <f ca="1">OFFSET(貼付け_2026実績,4,SUM(COLUMN()-COLUMN(貼付け_2026実績)))</f>
        <v>川崎13</v>
      </c>
      <c r="FX226" s="577"/>
      <c r="FY226" s="577"/>
      <c r="FZ226" s="578"/>
      <c r="GA226" s="576" t="str">
        <f ca="1">OFFSET(貼付け_2026実績,4,SUM(COLUMN()-COLUMN(貼付け_2026実績)))</f>
        <v>川崎14</v>
      </c>
      <c r="GB226" s="577"/>
      <c r="GC226" s="577"/>
      <c r="GD226" s="578"/>
      <c r="GE226" s="576" t="str">
        <f ca="1">OFFSET(貼付け_2026実績,4,SUM(COLUMN()-COLUMN(貼付け_2026実績)))</f>
        <v>川崎15</v>
      </c>
      <c r="GF226" s="577"/>
      <c r="GG226" s="577"/>
      <c r="GH226" s="578"/>
      <c r="GI226" s="576" t="str">
        <f ca="1">OFFSET(貼付け_2026実績,4,SUM(COLUMN()-COLUMN(貼付け_2026実績)))</f>
        <v>川崎16</v>
      </c>
      <c r="GJ226" s="577"/>
      <c r="GK226" s="577"/>
      <c r="GL226" s="578"/>
      <c r="GM226" s="576" t="str">
        <f ca="1">OFFSET(貼付け_2026実績,4,SUM(COLUMN()-COLUMN(貼付け_2026実績)))</f>
        <v>川崎17</v>
      </c>
      <c r="GN226" s="577"/>
      <c r="GO226" s="577"/>
      <c r="GP226" s="578"/>
      <c r="GQ226" s="576" t="str">
        <f ca="1">OFFSET(貼付け_2026実績,4,SUM(COLUMN()-COLUMN(貼付け_2026実績)))</f>
        <v>川崎18</v>
      </c>
      <c r="GR226" s="577"/>
      <c r="GS226" s="577"/>
      <c r="GT226" s="578"/>
      <c r="GU226" s="576" t="str">
        <f ca="1">OFFSET(貼付け_2026実績,4,SUM(COLUMN()-COLUMN(貼付け_2026実績)))</f>
        <v>川崎19</v>
      </c>
      <c r="GV226" s="577"/>
      <c r="GW226" s="577"/>
      <c r="GX226" s="578"/>
      <c r="GY226" s="576" t="str">
        <f ca="1">OFFSET(貼付け_2026実績,4,SUM(COLUMN()-COLUMN(貼付け_2026実績)))</f>
        <v>川崎20</v>
      </c>
      <c r="GZ226" s="577"/>
      <c r="HA226" s="577"/>
      <c r="HB226" s="578"/>
      <c r="IE226" s="579"/>
      <c r="IF226" s="579"/>
      <c r="IG226" s="579"/>
      <c r="IH226" s="579"/>
    </row>
    <row r="227" spans="1:242" s="164" customFormat="1" ht="19.8" hidden="1">
      <c r="A227" s="572">
        <v>1</v>
      </c>
      <c r="C227" s="156"/>
      <c r="D227" s="156"/>
      <c r="E227" s="156"/>
      <c r="F227" s="1046"/>
      <c r="G227" s="580" t="s">
        <v>649</v>
      </c>
      <c r="H227" s="580" t="s">
        <v>650</v>
      </c>
      <c r="I227" s="581" t="s">
        <v>651</v>
      </c>
      <c r="J227" s="581" t="s">
        <v>652</v>
      </c>
      <c r="K227" s="582" t="s">
        <v>449</v>
      </c>
      <c r="L227" s="583" t="s">
        <v>450</v>
      </c>
      <c r="M227" s="583" t="s">
        <v>451</v>
      </c>
      <c r="N227" s="583" t="s">
        <v>452</v>
      </c>
      <c r="O227" s="582" t="s">
        <v>449</v>
      </c>
      <c r="P227" s="583" t="s">
        <v>450</v>
      </c>
      <c r="Q227" s="583" t="s">
        <v>451</v>
      </c>
      <c r="R227" s="583" t="s">
        <v>452</v>
      </c>
      <c r="S227" s="582" t="s">
        <v>449</v>
      </c>
      <c r="T227" s="583" t="s">
        <v>450</v>
      </c>
      <c r="U227" s="583" t="s">
        <v>451</v>
      </c>
      <c r="V227" s="583" t="s">
        <v>452</v>
      </c>
      <c r="W227" s="582" t="s">
        <v>449</v>
      </c>
      <c r="X227" s="583" t="s">
        <v>450</v>
      </c>
      <c r="Y227" s="583" t="s">
        <v>451</v>
      </c>
      <c r="Z227" s="583" t="s">
        <v>452</v>
      </c>
      <c r="AA227" s="582" t="s">
        <v>449</v>
      </c>
      <c r="AB227" s="583" t="s">
        <v>450</v>
      </c>
      <c r="AC227" s="583" t="s">
        <v>451</v>
      </c>
      <c r="AD227" s="583" t="s">
        <v>452</v>
      </c>
      <c r="AE227" s="582" t="s">
        <v>449</v>
      </c>
      <c r="AF227" s="583" t="s">
        <v>450</v>
      </c>
      <c r="AG227" s="583" t="s">
        <v>451</v>
      </c>
      <c r="AH227" s="583" t="s">
        <v>452</v>
      </c>
      <c r="AI227" s="582" t="s">
        <v>449</v>
      </c>
      <c r="AJ227" s="583" t="s">
        <v>450</v>
      </c>
      <c r="AK227" s="583" t="s">
        <v>451</v>
      </c>
      <c r="AL227" s="583" t="s">
        <v>452</v>
      </c>
      <c r="AM227" s="582" t="s">
        <v>449</v>
      </c>
      <c r="AN227" s="583" t="s">
        <v>450</v>
      </c>
      <c r="AO227" s="583" t="s">
        <v>451</v>
      </c>
      <c r="AP227" s="583" t="s">
        <v>452</v>
      </c>
      <c r="AQ227" s="582" t="s">
        <v>449</v>
      </c>
      <c r="AR227" s="583" t="s">
        <v>450</v>
      </c>
      <c r="AS227" s="583" t="s">
        <v>451</v>
      </c>
      <c r="AT227" s="583" t="s">
        <v>452</v>
      </c>
      <c r="AU227" s="582" t="s">
        <v>449</v>
      </c>
      <c r="AV227" s="583" t="s">
        <v>450</v>
      </c>
      <c r="AW227" s="583" t="s">
        <v>451</v>
      </c>
      <c r="AX227" s="583" t="s">
        <v>452</v>
      </c>
      <c r="AY227" s="582" t="s">
        <v>449</v>
      </c>
      <c r="AZ227" s="583" t="s">
        <v>450</v>
      </c>
      <c r="BA227" s="583" t="s">
        <v>451</v>
      </c>
      <c r="BB227" s="583" t="s">
        <v>452</v>
      </c>
      <c r="BC227" s="582" t="s">
        <v>449</v>
      </c>
      <c r="BD227" s="583" t="s">
        <v>450</v>
      </c>
      <c r="BE227" s="583" t="s">
        <v>451</v>
      </c>
      <c r="BF227" s="583" t="s">
        <v>452</v>
      </c>
      <c r="BG227" s="582" t="s">
        <v>449</v>
      </c>
      <c r="BH227" s="583" t="s">
        <v>450</v>
      </c>
      <c r="BI227" s="583" t="s">
        <v>451</v>
      </c>
      <c r="BJ227" s="583" t="s">
        <v>452</v>
      </c>
      <c r="BK227" s="582" t="s">
        <v>449</v>
      </c>
      <c r="BL227" s="583" t="s">
        <v>450</v>
      </c>
      <c r="BM227" s="583" t="s">
        <v>451</v>
      </c>
      <c r="BN227" s="583" t="s">
        <v>452</v>
      </c>
      <c r="BO227" s="582" t="s">
        <v>449</v>
      </c>
      <c r="BP227" s="583" t="s">
        <v>450</v>
      </c>
      <c r="BQ227" s="583" t="s">
        <v>451</v>
      </c>
      <c r="BR227" s="583" t="s">
        <v>452</v>
      </c>
      <c r="BS227" s="582" t="s">
        <v>449</v>
      </c>
      <c r="BT227" s="583" t="s">
        <v>450</v>
      </c>
      <c r="BU227" s="583" t="s">
        <v>451</v>
      </c>
      <c r="BV227" s="583" t="s">
        <v>452</v>
      </c>
      <c r="BW227" s="582" t="s">
        <v>449</v>
      </c>
      <c r="BX227" s="583" t="s">
        <v>450</v>
      </c>
      <c r="BY227" s="583" t="s">
        <v>451</v>
      </c>
      <c r="BZ227" s="583" t="s">
        <v>452</v>
      </c>
      <c r="CA227" s="582" t="s">
        <v>449</v>
      </c>
      <c r="CB227" s="583" t="s">
        <v>450</v>
      </c>
      <c r="CC227" s="583" t="s">
        <v>451</v>
      </c>
      <c r="CD227" s="583" t="s">
        <v>452</v>
      </c>
      <c r="CE227" s="582" t="s">
        <v>449</v>
      </c>
      <c r="CF227" s="583" t="s">
        <v>450</v>
      </c>
      <c r="CG227" s="583" t="s">
        <v>451</v>
      </c>
      <c r="CH227" s="583" t="s">
        <v>452</v>
      </c>
      <c r="CI227" s="582" t="s">
        <v>449</v>
      </c>
      <c r="CJ227" s="583" t="s">
        <v>450</v>
      </c>
      <c r="CK227" s="583" t="s">
        <v>451</v>
      </c>
      <c r="CL227" s="583" t="s">
        <v>452</v>
      </c>
      <c r="CM227" s="582" t="s">
        <v>449</v>
      </c>
      <c r="CN227" s="583" t="s">
        <v>450</v>
      </c>
      <c r="CO227" s="583" t="s">
        <v>451</v>
      </c>
      <c r="CP227" s="583" t="s">
        <v>452</v>
      </c>
      <c r="CQ227" s="582" t="s">
        <v>449</v>
      </c>
      <c r="CR227" s="583" t="s">
        <v>450</v>
      </c>
      <c r="CS227" s="583" t="s">
        <v>451</v>
      </c>
      <c r="CT227" s="583" t="s">
        <v>452</v>
      </c>
      <c r="CU227" s="582" t="s">
        <v>449</v>
      </c>
      <c r="CV227" s="583" t="s">
        <v>450</v>
      </c>
      <c r="CW227" s="583" t="s">
        <v>451</v>
      </c>
      <c r="CX227" s="583" t="s">
        <v>452</v>
      </c>
      <c r="CY227" s="582" t="s">
        <v>449</v>
      </c>
      <c r="CZ227" s="583" t="s">
        <v>450</v>
      </c>
      <c r="DA227" s="583" t="s">
        <v>451</v>
      </c>
      <c r="DB227" s="583" t="s">
        <v>452</v>
      </c>
      <c r="DC227" s="582" t="s">
        <v>449</v>
      </c>
      <c r="DD227" s="583" t="s">
        <v>450</v>
      </c>
      <c r="DE227" s="583" t="s">
        <v>451</v>
      </c>
      <c r="DF227" s="583" t="s">
        <v>452</v>
      </c>
      <c r="DG227" s="582" t="s">
        <v>449</v>
      </c>
      <c r="DH227" s="583" t="s">
        <v>450</v>
      </c>
      <c r="DI227" s="583" t="s">
        <v>451</v>
      </c>
      <c r="DJ227" s="583" t="s">
        <v>452</v>
      </c>
      <c r="DK227" s="582" t="s">
        <v>449</v>
      </c>
      <c r="DL227" s="583" t="s">
        <v>450</v>
      </c>
      <c r="DM227" s="583" t="s">
        <v>451</v>
      </c>
      <c r="DN227" s="583" t="s">
        <v>452</v>
      </c>
      <c r="DO227" s="582" t="s">
        <v>449</v>
      </c>
      <c r="DP227" s="583" t="s">
        <v>450</v>
      </c>
      <c r="DQ227" s="583" t="s">
        <v>451</v>
      </c>
      <c r="DR227" s="583" t="s">
        <v>452</v>
      </c>
      <c r="DS227" s="582" t="s">
        <v>449</v>
      </c>
      <c r="DT227" s="583" t="s">
        <v>450</v>
      </c>
      <c r="DU227" s="583" t="s">
        <v>451</v>
      </c>
      <c r="DV227" s="583" t="s">
        <v>452</v>
      </c>
      <c r="DW227" s="582" t="s">
        <v>449</v>
      </c>
      <c r="DX227" s="583" t="s">
        <v>450</v>
      </c>
      <c r="DY227" s="583" t="s">
        <v>451</v>
      </c>
      <c r="DZ227" s="583" t="s">
        <v>452</v>
      </c>
      <c r="EA227" s="582" t="s">
        <v>449</v>
      </c>
      <c r="EB227" s="583" t="s">
        <v>450</v>
      </c>
      <c r="EC227" s="583" t="s">
        <v>451</v>
      </c>
      <c r="ED227" s="583" t="s">
        <v>452</v>
      </c>
      <c r="EE227" s="582" t="s">
        <v>449</v>
      </c>
      <c r="EF227" s="583" t="s">
        <v>450</v>
      </c>
      <c r="EG227" s="583" t="s">
        <v>451</v>
      </c>
      <c r="EH227" s="583" t="s">
        <v>452</v>
      </c>
      <c r="EI227" s="582" t="s">
        <v>449</v>
      </c>
      <c r="EJ227" s="583" t="s">
        <v>450</v>
      </c>
      <c r="EK227" s="583" t="s">
        <v>451</v>
      </c>
      <c r="EL227" s="583" t="s">
        <v>452</v>
      </c>
      <c r="EM227" s="582" t="s">
        <v>449</v>
      </c>
      <c r="EN227" s="583" t="s">
        <v>450</v>
      </c>
      <c r="EO227" s="583" t="s">
        <v>451</v>
      </c>
      <c r="EP227" s="583" t="s">
        <v>452</v>
      </c>
      <c r="EQ227" s="582" t="s">
        <v>449</v>
      </c>
      <c r="ER227" s="583" t="s">
        <v>450</v>
      </c>
      <c r="ES227" s="583" t="s">
        <v>451</v>
      </c>
      <c r="ET227" s="583" t="s">
        <v>452</v>
      </c>
      <c r="EU227" s="582" t="s">
        <v>449</v>
      </c>
      <c r="EV227" s="583" t="s">
        <v>450</v>
      </c>
      <c r="EW227" s="583" t="s">
        <v>451</v>
      </c>
      <c r="EX227" s="583" t="s">
        <v>452</v>
      </c>
      <c r="EY227" s="582" t="s">
        <v>449</v>
      </c>
      <c r="EZ227" s="583" t="s">
        <v>450</v>
      </c>
      <c r="FA227" s="583" t="s">
        <v>451</v>
      </c>
      <c r="FB227" s="583" t="s">
        <v>452</v>
      </c>
      <c r="FC227" s="582" t="s">
        <v>449</v>
      </c>
      <c r="FD227" s="583" t="s">
        <v>450</v>
      </c>
      <c r="FE227" s="583" t="s">
        <v>451</v>
      </c>
      <c r="FF227" s="583" t="s">
        <v>452</v>
      </c>
      <c r="FG227" s="582" t="s">
        <v>449</v>
      </c>
      <c r="FH227" s="583" t="s">
        <v>450</v>
      </c>
      <c r="FI227" s="583" t="s">
        <v>451</v>
      </c>
      <c r="FJ227" s="583" t="s">
        <v>452</v>
      </c>
      <c r="FK227" s="582" t="s">
        <v>449</v>
      </c>
      <c r="FL227" s="583" t="s">
        <v>450</v>
      </c>
      <c r="FM227" s="583" t="s">
        <v>451</v>
      </c>
      <c r="FN227" s="583" t="s">
        <v>452</v>
      </c>
      <c r="FO227" s="582" t="s">
        <v>449</v>
      </c>
      <c r="FP227" s="583" t="s">
        <v>450</v>
      </c>
      <c r="FQ227" s="583" t="s">
        <v>451</v>
      </c>
      <c r="FR227" s="583" t="s">
        <v>452</v>
      </c>
      <c r="FS227" s="582" t="s">
        <v>449</v>
      </c>
      <c r="FT227" s="583" t="s">
        <v>450</v>
      </c>
      <c r="FU227" s="583" t="s">
        <v>451</v>
      </c>
      <c r="FV227" s="583" t="s">
        <v>452</v>
      </c>
      <c r="FW227" s="582" t="s">
        <v>449</v>
      </c>
      <c r="FX227" s="583" t="s">
        <v>450</v>
      </c>
      <c r="FY227" s="583" t="s">
        <v>451</v>
      </c>
      <c r="FZ227" s="583" t="s">
        <v>452</v>
      </c>
      <c r="GA227" s="582" t="s">
        <v>449</v>
      </c>
      <c r="GB227" s="583" t="s">
        <v>450</v>
      </c>
      <c r="GC227" s="583" t="s">
        <v>451</v>
      </c>
      <c r="GD227" s="583" t="s">
        <v>452</v>
      </c>
      <c r="GE227" s="582" t="s">
        <v>449</v>
      </c>
      <c r="GF227" s="583" t="s">
        <v>450</v>
      </c>
      <c r="GG227" s="583" t="s">
        <v>451</v>
      </c>
      <c r="GH227" s="583" t="s">
        <v>452</v>
      </c>
      <c r="GI227" s="582" t="s">
        <v>449</v>
      </c>
      <c r="GJ227" s="583" t="s">
        <v>450</v>
      </c>
      <c r="GK227" s="583" t="s">
        <v>451</v>
      </c>
      <c r="GL227" s="583" t="s">
        <v>452</v>
      </c>
      <c r="GM227" s="582" t="s">
        <v>449</v>
      </c>
      <c r="GN227" s="583" t="s">
        <v>450</v>
      </c>
      <c r="GO227" s="583" t="s">
        <v>451</v>
      </c>
      <c r="GP227" s="583" t="s">
        <v>452</v>
      </c>
      <c r="GQ227" s="582" t="s">
        <v>449</v>
      </c>
      <c r="GR227" s="583" t="s">
        <v>450</v>
      </c>
      <c r="GS227" s="583" t="s">
        <v>451</v>
      </c>
      <c r="GT227" s="583" t="s">
        <v>452</v>
      </c>
      <c r="GU227" s="582" t="s">
        <v>449</v>
      </c>
      <c r="GV227" s="583" t="s">
        <v>450</v>
      </c>
      <c r="GW227" s="583" t="s">
        <v>451</v>
      </c>
      <c r="GX227" s="583" t="s">
        <v>452</v>
      </c>
      <c r="GY227" s="582" t="s">
        <v>449</v>
      </c>
      <c r="GZ227" s="583" t="s">
        <v>450</v>
      </c>
      <c r="HA227" s="583" t="s">
        <v>451</v>
      </c>
      <c r="HB227" s="583" t="s">
        <v>452</v>
      </c>
      <c r="IE227" s="579"/>
      <c r="IF227" s="579"/>
      <c r="IG227" s="579"/>
      <c r="IH227" s="579"/>
    </row>
    <row r="228" spans="1:242" s="164" customFormat="1" ht="19.8" hidden="1">
      <c r="A228" s="572">
        <v>2</v>
      </c>
      <c r="C228" s="584" t="s">
        <v>653</v>
      </c>
      <c r="D228" s="585"/>
      <c r="E228" s="586"/>
      <c r="F228" s="587">
        <v>200</v>
      </c>
      <c r="G228" s="587">
        <v>103</v>
      </c>
      <c r="H228" s="587">
        <v>169</v>
      </c>
      <c r="I228" s="587">
        <f ca="1">SUMPRODUCT(OFFSET(貼付け_2026実績,$F228,6,5,1),OFFSET(貼付け_2026実績,$F228,SUM(COLUMN()-COLUMN(貼付け_2026実績)),5,1))</f>
        <v>0</v>
      </c>
      <c r="J228" s="587">
        <f ca="1">SUMPRODUCT(OFFSET(貼付け_2026実績,$F228,6,5,1),OFFSET(貼付け_2026実績,$F228,SUM(COLUMN()-COLUMN(貼付け_2026実績)),5,1))</f>
        <v>0</v>
      </c>
      <c r="K228" s="587">
        <f t="shared" ref="K228:AP228" ca="1" si="85">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L228" s="587">
        <f t="shared" ca="1" si="85"/>
        <v>0</v>
      </c>
      <c r="M228" s="587">
        <f t="shared" ca="1" si="85"/>
        <v>0</v>
      </c>
      <c r="N228" s="587">
        <f t="shared" ca="1" si="85"/>
        <v>0</v>
      </c>
      <c r="O228" s="587">
        <f ca="1">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P228" s="587">
        <f t="shared" ca="1" si="85"/>
        <v>0</v>
      </c>
      <c r="Q228" s="587">
        <f t="shared" ca="1" si="85"/>
        <v>0</v>
      </c>
      <c r="R228" s="587">
        <f t="shared" ca="1" si="85"/>
        <v>0</v>
      </c>
      <c r="S228" s="587">
        <f t="shared" ca="1" si="85"/>
        <v>0</v>
      </c>
      <c r="T228" s="587">
        <f t="shared" ca="1" si="85"/>
        <v>0</v>
      </c>
      <c r="U228" s="587">
        <f t="shared" ca="1" si="85"/>
        <v>0</v>
      </c>
      <c r="V228" s="587">
        <f t="shared" ca="1" si="85"/>
        <v>0</v>
      </c>
      <c r="W228" s="587">
        <f t="shared" ca="1" si="85"/>
        <v>0</v>
      </c>
      <c r="X228" s="587">
        <f t="shared" ca="1" si="85"/>
        <v>0</v>
      </c>
      <c r="Y228" s="587">
        <f t="shared" ca="1" si="85"/>
        <v>0</v>
      </c>
      <c r="Z228" s="587">
        <f t="shared" ca="1" si="85"/>
        <v>0</v>
      </c>
      <c r="AA228" s="587">
        <f t="shared" ca="1" si="85"/>
        <v>0</v>
      </c>
      <c r="AB228" s="587">
        <f t="shared" ca="1" si="85"/>
        <v>0</v>
      </c>
      <c r="AC228" s="587">
        <f t="shared" ca="1" si="85"/>
        <v>0</v>
      </c>
      <c r="AD228" s="587">
        <f t="shared" ca="1" si="85"/>
        <v>0</v>
      </c>
      <c r="AE228" s="587">
        <f t="shared" ca="1" si="85"/>
        <v>0</v>
      </c>
      <c r="AF228" s="587">
        <f t="shared" ca="1" si="85"/>
        <v>0</v>
      </c>
      <c r="AG228" s="587">
        <f t="shared" ca="1" si="85"/>
        <v>0</v>
      </c>
      <c r="AH228" s="587">
        <f t="shared" ca="1" si="85"/>
        <v>0</v>
      </c>
      <c r="AI228" s="587">
        <f t="shared" ca="1" si="85"/>
        <v>0</v>
      </c>
      <c r="AJ228" s="587">
        <f t="shared" ca="1" si="85"/>
        <v>0</v>
      </c>
      <c r="AK228" s="587">
        <f t="shared" ca="1" si="85"/>
        <v>0</v>
      </c>
      <c r="AL228" s="587">
        <f t="shared" ca="1" si="85"/>
        <v>0</v>
      </c>
      <c r="AM228" s="587">
        <f t="shared" ca="1" si="85"/>
        <v>0</v>
      </c>
      <c r="AN228" s="587">
        <f t="shared" ca="1" si="85"/>
        <v>0</v>
      </c>
      <c r="AO228" s="587">
        <f t="shared" ca="1" si="85"/>
        <v>0</v>
      </c>
      <c r="AP228" s="587">
        <f t="shared" ca="1" si="85"/>
        <v>0</v>
      </c>
      <c r="AQ228" s="587">
        <f t="shared" ref="AQ228:BV228" ca="1" si="86">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AR228" s="587">
        <f t="shared" ca="1" si="86"/>
        <v>0</v>
      </c>
      <c r="AS228" s="587">
        <f t="shared" ca="1" si="86"/>
        <v>0</v>
      </c>
      <c r="AT228" s="587">
        <f t="shared" ca="1" si="86"/>
        <v>0</v>
      </c>
      <c r="AU228" s="587">
        <f t="shared" ca="1" si="86"/>
        <v>0</v>
      </c>
      <c r="AV228" s="587">
        <f t="shared" ca="1" si="86"/>
        <v>0</v>
      </c>
      <c r="AW228" s="587">
        <f t="shared" ca="1" si="86"/>
        <v>0</v>
      </c>
      <c r="AX228" s="587">
        <f t="shared" ca="1" si="86"/>
        <v>0</v>
      </c>
      <c r="AY228" s="587">
        <f t="shared" ca="1" si="86"/>
        <v>0</v>
      </c>
      <c r="AZ228" s="587">
        <f t="shared" ca="1" si="86"/>
        <v>0</v>
      </c>
      <c r="BA228" s="587">
        <f t="shared" ca="1" si="86"/>
        <v>0</v>
      </c>
      <c r="BB228" s="587">
        <f t="shared" ca="1" si="86"/>
        <v>0</v>
      </c>
      <c r="BC228" s="587">
        <f t="shared" ca="1" si="86"/>
        <v>0</v>
      </c>
      <c r="BD228" s="587">
        <f t="shared" ca="1" si="86"/>
        <v>0</v>
      </c>
      <c r="BE228" s="587">
        <f t="shared" ca="1" si="86"/>
        <v>0</v>
      </c>
      <c r="BF228" s="587">
        <f t="shared" ca="1" si="86"/>
        <v>0</v>
      </c>
      <c r="BG228" s="587">
        <f t="shared" ca="1" si="86"/>
        <v>0</v>
      </c>
      <c r="BH228" s="587">
        <f t="shared" ca="1" si="86"/>
        <v>0</v>
      </c>
      <c r="BI228" s="587">
        <f t="shared" ca="1" si="86"/>
        <v>0</v>
      </c>
      <c r="BJ228" s="587">
        <f t="shared" ca="1" si="86"/>
        <v>0</v>
      </c>
      <c r="BK228" s="587">
        <f t="shared" ca="1" si="86"/>
        <v>0</v>
      </c>
      <c r="BL228" s="587">
        <f t="shared" ca="1" si="86"/>
        <v>0</v>
      </c>
      <c r="BM228" s="587">
        <f t="shared" ca="1" si="86"/>
        <v>0</v>
      </c>
      <c r="BN228" s="587">
        <f t="shared" ca="1" si="86"/>
        <v>0</v>
      </c>
      <c r="BO228" s="587">
        <f t="shared" ca="1" si="86"/>
        <v>0</v>
      </c>
      <c r="BP228" s="587">
        <f t="shared" ca="1" si="86"/>
        <v>0</v>
      </c>
      <c r="BQ228" s="587">
        <f t="shared" ca="1" si="86"/>
        <v>0</v>
      </c>
      <c r="BR228" s="587">
        <f t="shared" ca="1" si="86"/>
        <v>0</v>
      </c>
      <c r="BS228" s="587">
        <f t="shared" ca="1" si="86"/>
        <v>0</v>
      </c>
      <c r="BT228" s="587">
        <f t="shared" ca="1" si="86"/>
        <v>0</v>
      </c>
      <c r="BU228" s="587">
        <f t="shared" ca="1" si="86"/>
        <v>0</v>
      </c>
      <c r="BV228" s="587">
        <f t="shared" ca="1" si="86"/>
        <v>0</v>
      </c>
      <c r="BW228" s="587">
        <f t="shared" ref="BW228:DB228" ca="1" si="87">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BX228" s="587">
        <f t="shared" ca="1" si="87"/>
        <v>0</v>
      </c>
      <c r="BY228" s="587">
        <f t="shared" ca="1" si="87"/>
        <v>0</v>
      </c>
      <c r="BZ228" s="587">
        <f t="shared" ca="1" si="87"/>
        <v>0</v>
      </c>
      <c r="CA228" s="587">
        <f t="shared" ca="1" si="87"/>
        <v>0</v>
      </c>
      <c r="CB228" s="587">
        <f t="shared" ca="1" si="87"/>
        <v>0</v>
      </c>
      <c r="CC228" s="587">
        <f t="shared" ca="1" si="87"/>
        <v>0</v>
      </c>
      <c r="CD228" s="587">
        <f t="shared" ca="1" si="87"/>
        <v>0</v>
      </c>
      <c r="CE228" s="587">
        <f t="shared" ca="1" si="87"/>
        <v>0</v>
      </c>
      <c r="CF228" s="587">
        <f t="shared" ca="1" si="87"/>
        <v>0</v>
      </c>
      <c r="CG228" s="587">
        <f t="shared" ca="1" si="87"/>
        <v>0</v>
      </c>
      <c r="CH228" s="587">
        <f t="shared" ca="1" si="87"/>
        <v>0</v>
      </c>
      <c r="CI228" s="587">
        <f t="shared" ca="1" si="87"/>
        <v>0</v>
      </c>
      <c r="CJ228" s="587">
        <f t="shared" ca="1" si="87"/>
        <v>0</v>
      </c>
      <c r="CK228" s="587">
        <f t="shared" ca="1" si="87"/>
        <v>0</v>
      </c>
      <c r="CL228" s="587">
        <f t="shared" ca="1" si="87"/>
        <v>0</v>
      </c>
      <c r="CM228" s="587">
        <f t="shared" ca="1" si="87"/>
        <v>0</v>
      </c>
      <c r="CN228" s="587">
        <f t="shared" ca="1" si="87"/>
        <v>0</v>
      </c>
      <c r="CO228" s="587">
        <f t="shared" ca="1" si="87"/>
        <v>0</v>
      </c>
      <c r="CP228" s="587">
        <f t="shared" ca="1" si="87"/>
        <v>0</v>
      </c>
      <c r="CQ228" s="587">
        <f t="shared" ca="1" si="87"/>
        <v>0</v>
      </c>
      <c r="CR228" s="587">
        <f t="shared" ca="1" si="87"/>
        <v>0</v>
      </c>
      <c r="CS228" s="587">
        <f t="shared" ca="1" si="87"/>
        <v>0</v>
      </c>
      <c r="CT228" s="587">
        <f t="shared" ca="1" si="87"/>
        <v>0</v>
      </c>
      <c r="CU228" s="587">
        <f t="shared" ca="1" si="87"/>
        <v>0</v>
      </c>
      <c r="CV228" s="587">
        <f t="shared" ca="1" si="87"/>
        <v>0</v>
      </c>
      <c r="CW228" s="587">
        <f t="shared" ca="1" si="87"/>
        <v>0</v>
      </c>
      <c r="CX228" s="587">
        <f t="shared" ca="1" si="87"/>
        <v>0</v>
      </c>
      <c r="CY228" s="587">
        <f t="shared" ca="1" si="87"/>
        <v>0</v>
      </c>
      <c r="CZ228" s="587">
        <f t="shared" ca="1" si="87"/>
        <v>0</v>
      </c>
      <c r="DA228" s="587">
        <f t="shared" ca="1" si="87"/>
        <v>0</v>
      </c>
      <c r="DB228" s="587">
        <f t="shared" ca="1" si="87"/>
        <v>0</v>
      </c>
      <c r="DC228" s="587">
        <f t="shared" ref="DC228:EH228" ca="1" si="88">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DD228" s="587">
        <f t="shared" ca="1" si="88"/>
        <v>0</v>
      </c>
      <c r="DE228" s="587">
        <f t="shared" ca="1" si="88"/>
        <v>0</v>
      </c>
      <c r="DF228" s="587">
        <f t="shared" ca="1" si="88"/>
        <v>0</v>
      </c>
      <c r="DG228" s="587">
        <f t="shared" ca="1" si="88"/>
        <v>0</v>
      </c>
      <c r="DH228" s="587">
        <f t="shared" ca="1" si="88"/>
        <v>0</v>
      </c>
      <c r="DI228" s="587">
        <f t="shared" ca="1" si="88"/>
        <v>0</v>
      </c>
      <c r="DJ228" s="587">
        <f t="shared" ca="1" si="88"/>
        <v>0</v>
      </c>
      <c r="DK228" s="587">
        <f t="shared" ca="1" si="88"/>
        <v>0</v>
      </c>
      <c r="DL228" s="587">
        <f t="shared" ca="1" si="88"/>
        <v>0</v>
      </c>
      <c r="DM228" s="587">
        <f t="shared" ca="1" si="88"/>
        <v>0</v>
      </c>
      <c r="DN228" s="587">
        <f t="shared" ca="1" si="88"/>
        <v>0</v>
      </c>
      <c r="DO228" s="587">
        <f t="shared" ca="1" si="88"/>
        <v>0</v>
      </c>
      <c r="DP228" s="587">
        <f t="shared" ca="1" si="88"/>
        <v>0</v>
      </c>
      <c r="DQ228" s="587">
        <f t="shared" ca="1" si="88"/>
        <v>0</v>
      </c>
      <c r="DR228" s="587">
        <f t="shared" ca="1" si="88"/>
        <v>0</v>
      </c>
      <c r="DS228" s="587">
        <f t="shared" ca="1" si="88"/>
        <v>0</v>
      </c>
      <c r="DT228" s="587">
        <f t="shared" ca="1" si="88"/>
        <v>0</v>
      </c>
      <c r="DU228" s="587">
        <f t="shared" ca="1" si="88"/>
        <v>0</v>
      </c>
      <c r="DV228" s="587">
        <f t="shared" ca="1" si="88"/>
        <v>0</v>
      </c>
      <c r="DW228" s="587">
        <f t="shared" ca="1" si="88"/>
        <v>0</v>
      </c>
      <c r="DX228" s="587">
        <f t="shared" ca="1" si="88"/>
        <v>0</v>
      </c>
      <c r="DY228" s="587">
        <f t="shared" ca="1" si="88"/>
        <v>0</v>
      </c>
      <c r="DZ228" s="587">
        <f t="shared" ca="1" si="88"/>
        <v>0</v>
      </c>
      <c r="EA228" s="587">
        <f t="shared" ca="1" si="88"/>
        <v>0</v>
      </c>
      <c r="EB228" s="587">
        <f t="shared" ca="1" si="88"/>
        <v>0</v>
      </c>
      <c r="EC228" s="587">
        <f t="shared" ca="1" si="88"/>
        <v>0</v>
      </c>
      <c r="ED228" s="587">
        <f t="shared" ca="1" si="88"/>
        <v>0</v>
      </c>
      <c r="EE228" s="587">
        <f t="shared" ca="1" si="88"/>
        <v>0</v>
      </c>
      <c r="EF228" s="587">
        <f t="shared" ca="1" si="88"/>
        <v>0</v>
      </c>
      <c r="EG228" s="587">
        <f t="shared" ca="1" si="88"/>
        <v>0</v>
      </c>
      <c r="EH228" s="587">
        <f t="shared" ca="1" si="88"/>
        <v>0</v>
      </c>
      <c r="EI228" s="587">
        <f t="shared" ref="EI228:FN228" ca="1" si="89">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EJ228" s="587">
        <f t="shared" ca="1" si="89"/>
        <v>0</v>
      </c>
      <c r="EK228" s="587">
        <f t="shared" ca="1" si="89"/>
        <v>0</v>
      </c>
      <c r="EL228" s="587">
        <f t="shared" ca="1" si="89"/>
        <v>0</v>
      </c>
      <c r="EM228" s="587">
        <f t="shared" ca="1" si="89"/>
        <v>0</v>
      </c>
      <c r="EN228" s="587">
        <f t="shared" ca="1" si="89"/>
        <v>0</v>
      </c>
      <c r="EO228" s="587">
        <f t="shared" ca="1" si="89"/>
        <v>0</v>
      </c>
      <c r="EP228" s="587">
        <f t="shared" ca="1" si="89"/>
        <v>0</v>
      </c>
      <c r="EQ228" s="587">
        <f t="shared" ca="1" si="89"/>
        <v>0</v>
      </c>
      <c r="ER228" s="587">
        <f t="shared" ca="1" si="89"/>
        <v>0</v>
      </c>
      <c r="ES228" s="587">
        <f t="shared" ca="1" si="89"/>
        <v>0</v>
      </c>
      <c r="ET228" s="587">
        <f t="shared" ca="1" si="89"/>
        <v>0</v>
      </c>
      <c r="EU228" s="587">
        <f t="shared" ca="1" si="89"/>
        <v>0</v>
      </c>
      <c r="EV228" s="587">
        <f t="shared" ca="1" si="89"/>
        <v>0</v>
      </c>
      <c r="EW228" s="587">
        <f t="shared" ca="1" si="89"/>
        <v>0</v>
      </c>
      <c r="EX228" s="587">
        <f t="shared" ca="1" si="89"/>
        <v>0</v>
      </c>
      <c r="EY228" s="587">
        <f t="shared" ca="1" si="89"/>
        <v>0</v>
      </c>
      <c r="EZ228" s="587">
        <f t="shared" ca="1" si="89"/>
        <v>0</v>
      </c>
      <c r="FA228" s="587">
        <f t="shared" ca="1" si="89"/>
        <v>0</v>
      </c>
      <c r="FB228" s="587">
        <f t="shared" ca="1" si="89"/>
        <v>0</v>
      </c>
      <c r="FC228" s="587">
        <f t="shared" ca="1" si="89"/>
        <v>0</v>
      </c>
      <c r="FD228" s="587">
        <f t="shared" ca="1" si="89"/>
        <v>0</v>
      </c>
      <c r="FE228" s="587">
        <f t="shared" ca="1" si="89"/>
        <v>0</v>
      </c>
      <c r="FF228" s="587">
        <f t="shared" ca="1" si="89"/>
        <v>0</v>
      </c>
      <c r="FG228" s="587">
        <f t="shared" ca="1" si="89"/>
        <v>0</v>
      </c>
      <c r="FH228" s="587">
        <f t="shared" ca="1" si="89"/>
        <v>0</v>
      </c>
      <c r="FI228" s="587">
        <f t="shared" ca="1" si="89"/>
        <v>0</v>
      </c>
      <c r="FJ228" s="587">
        <f t="shared" ca="1" si="89"/>
        <v>0</v>
      </c>
      <c r="FK228" s="587">
        <f t="shared" ca="1" si="89"/>
        <v>0</v>
      </c>
      <c r="FL228" s="587">
        <f t="shared" ca="1" si="89"/>
        <v>0</v>
      </c>
      <c r="FM228" s="587">
        <f t="shared" ca="1" si="89"/>
        <v>0</v>
      </c>
      <c r="FN228" s="587">
        <f t="shared" ca="1" si="89"/>
        <v>0</v>
      </c>
      <c r="FO228" s="587">
        <f t="shared" ref="FO228:GT228" ca="1" si="90">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FP228" s="587">
        <f t="shared" ca="1" si="90"/>
        <v>0</v>
      </c>
      <c r="FQ228" s="587">
        <f t="shared" ca="1" si="90"/>
        <v>0</v>
      </c>
      <c r="FR228" s="587">
        <f t="shared" ca="1" si="90"/>
        <v>0</v>
      </c>
      <c r="FS228" s="587">
        <f t="shared" ca="1" si="90"/>
        <v>0</v>
      </c>
      <c r="FT228" s="587">
        <f t="shared" ca="1" si="90"/>
        <v>0</v>
      </c>
      <c r="FU228" s="587">
        <f t="shared" ca="1" si="90"/>
        <v>0</v>
      </c>
      <c r="FV228" s="587">
        <f t="shared" ca="1" si="90"/>
        <v>0</v>
      </c>
      <c r="FW228" s="587">
        <f t="shared" ca="1" si="90"/>
        <v>0</v>
      </c>
      <c r="FX228" s="587">
        <f t="shared" ca="1" si="90"/>
        <v>0</v>
      </c>
      <c r="FY228" s="587">
        <f t="shared" ca="1" si="90"/>
        <v>0</v>
      </c>
      <c r="FZ228" s="587">
        <f t="shared" ca="1" si="90"/>
        <v>0</v>
      </c>
      <c r="GA228" s="587">
        <f t="shared" ca="1" si="90"/>
        <v>0</v>
      </c>
      <c r="GB228" s="587">
        <f t="shared" ca="1" si="90"/>
        <v>0</v>
      </c>
      <c r="GC228" s="587">
        <f t="shared" ca="1" si="90"/>
        <v>0</v>
      </c>
      <c r="GD228" s="587">
        <f t="shared" ca="1" si="90"/>
        <v>0</v>
      </c>
      <c r="GE228" s="587">
        <f t="shared" ca="1" si="90"/>
        <v>0</v>
      </c>
      <c r="GF228" s="587">
        <f t="shared" ca="1" si="90"/>
        <v>0</v>
      </c>
      <c r="GG228" s="587">
        <f t="shared" ca="1" si="90"/>
        <v>0</v>
      </c>
      <c r="GH228" s="587">
        <f t="shared" ca="1" si="90"/>
        <v>0</v>
      </c>
      <c r="GI228" s="587">
        <f t="shared" ca="1" si="90"/>
        <v>0</v>
      </c>
      <c r="GJ228" s="587">
        <f t="shared" ca="1" si="90"/>
        <v>0</v>
      </c>
      <c r="GK228" s="587">
        <f t="shared" ca="1" si="90"/>
        <v>0</v>
      </c>
      <c r="GL228" s="587">
        <f t="shared" ca="1" si="90"/>
        <v>0</v>
      </c>
      <c r="GM228" s="587">
        <f t="shared" ca="1" si="90"/>
        <v>0</v>
      </c>
      <c r="GN228" s="587">
        <f t="shared" ca="1" si="90"/>
        <v>0</v>
      </c>
      <c r="GO228" s="587">
        <f t="shared" ca="1" si="90"/>
        <v>0</v>
      </c>
      <c r="GP228" s="587">
        <f t="shared" ca="1" si="90"/>
        <v>0</v>
      </c>
      <c r="GQ228" s="587">
        <f t="shared" ca="1" si="90"/>
        <v>0</v>
      </c>
      <c r="GR228" s="587">
        <f t="shared" ca="1" si="90"/>
        <v>0</v>
      </c>
      <c r="GS228" s="587">
        <f t="shared" ca="1" si="90"/>
        <v>0</v>
      </c>
      <c r="GT228" s="587">
        <f t="shared" ca="1" si="90"/>
        <v>0</v>
      </c>
      <c r="GU228" s="587">
        <f t="shared" ref="GU228:HB228" ca="1" si="91">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GV228" s="587">
        <f t="shared" ca="1" si="91"/>
        <v>0</v>
      </c>
      <c r="GW228" s="587">
        <f t="shared" ca="1" si="91"/>
        <v>0</v>
      </c>
      <c r="GX228" s="587">
        <f t="shared" ca="1" si="91"/>
        <v>0</v>
      </c>
      <c r="GY228" s="587">
        <f t="shared" ca="1" si="91"/>
        <v>0</v>
      </c>
      <c r="GZ228" s="587">
        <f t="shared" ca="1" si="91"/>
        <v>0</v>
      </c>
      <c r="HA228" s="587">
        <f t="shared" ca="1" si="91"/>
        <v>0</v>
      </c>
      <c r="HB228" s="587">
        <f t="shared" ca="1" si="91"/>
        <v>0</v>
      </c>
      <c r="IE228" s="579"/>
      <c r="IF228" s="579"/>
      <c r="IG228" s="579"/>
      <c r="IH228" s="579"/>
    </row>
    <row r="229" spans="1:242" s="164" customFormat="1" ht="19.8" hidden="1">
      <c r="A229" s="572">
        <v>3</v>
      </c>
      <c r="C229" s="584" t="s">
        <v>654</v>
      </c>
      <c r="D229" s="586"/>
      <c r="E229" s="586"/>
      <c r="F229" s="587"/>
      <c r="G229" s="587">
        <v>8</v>
      </c>
      <c r="H229" s="587">
        <v>98</v>
      </c>
      <c r="I229" s="587"/>
      <c r="J229" s="587"/>
      <c r="K229" s="587">
        <f ca="1">(SUMPRODUCT($G$17:$G$65,K17:K65)+$G$67*K67+$G$69*K69+$G$71*K71+$G$73*K73+SUMPRODUCT($G$75:$G$81,K75:K81)+$G$83*K83+$G$85*K85+$G$86*K86+$G$89*K89+SUMPRODUCT($G$92:$G$103,K92:K103)+K228)*0.0258</f>
        <v>0</v>
      </c>
      <c r="L229" s="587">
        <f t="shared" ref="L229:BW229" ca="1" si="92">(SUMPRODUCT($G$17:$G$65,L17:L65)+$G$67*L67+$G$69*L69+$G$71*L71+$G$73*L73+SUMPRODUCT($G$75:$G$81,L75:L81)+$G$83*L83+$G$85*L85+$G$86*L86+$G$89*L89+SUMPRODUCT($G$92:$G$103,L92:L103)+L228)*0.0258</f>
        <v>0</v>
      </c>
      <c r="M229" s="587">
        <f t="shared" ca="1" si="92"/>
        <v>0</v>
      </c>
      <c r="N229" s="587">
        <f t="shared" ca="1" si="92"/>
        <v>0</v>
      </c>
      <c r="O229" s="587">
        <f t="shared" ca="1" si="92"/>
        <v>0</v>
      </c>
      <c r="P229" s="587">
        <f t="shared" ca="1" si="92"/>
        <v>0</v>
      </c>
      <c r="Q229" s="587">
        <f t="shared" ca="1" si="92"/>
        <v>0</v>
      </c>
      <c r="R229" s="587">
        <f t="shared" ca="1" si="92"/>
        <v>0</v>
      </c>
      <c r="S229" s="587">
        <f t="shared" ca="1" si="92"/>
        <v>0</v>
      </c>
      <c r="T229" s="587">
        <f t="shared" ca="1" si="92"/>
        <v>0</v>
      </c>
      <c r="U229" s="587">
        <f t="shared" ca="1" si="92"/>
        <v>0</v>
      </c>
      <c r="V229" s="587">
        <f t="shared" ca="1" si="92"/>
        <v>0</v>
      </c>
      <c r="W229" s="587">
        <f t="shared" ca="1" si="92"/>
        <v>0</v>
      </c>
      <c r="X229" s="587">
        <f t="shared" ca="1" si="92"/>
        <v>0</v>
      </c>
      <c r="Y229" s="587">
        <f t="shared" ca="1" si="92"/>
        <v>0</v>
      </c>
      <c r="Z229" s="587">
        <f t="shared" ca="1" si="92"/>
        <v>0</v>
      </c>
      <c r="AA229" s="587">
        <f t="shared" ca="1" si="92"/>
        <v>0</v>
      </c>
      <c r="AB229" s="587">
        <f t="shared" ca="1" si="92"/>
        <v>0</v>
      </c>
      <c r="AC229" s="587">
        <f t="shared" ca="1" si="92"/>
        <v>0</v>
      </c>
      <c r="AD229" s="587">
        <f t="shared" ca="1" si="92"/>
        <v>0</v>
      </c>
      <c r="AE229" s="587">
        <f t="shared" ca="1" si="92"/>
        <v>0</v>
      </c>
      <c r="AF229" s="587">
        <f t="shared" ca="1" si="92"/>
        <v>0</v>
      </c>
      <c r="AG229" s="587">
        <f t="shared" ca="1" si="92"/>
        <v>0</v>
      </c>
      <c r="AH229" s="587">
        <f t="shared" ca="1" si="92"/>
        <v>0</v>
      </c>
      <c r="AI229" s="587">
        <f t="shared" ca="1" si="92"/>
        <v>0</v>
      </c>
      <c r="AJ229" s="587">
        <f t="shared" ca="1" si="92"/>
        <v>0</v>
      </c>
      <c r="AK229" s="587">
        <f t="shared" ca="1" si="92"/>
        <v>0</v>
      </c>
      <c r="AL229" s="587">
        <f t="shared" ca="1" si="92"/>
        <v>0</v>
      </c>
      <c r="AM229" s="587">
        <f t="shared" ca="1" si="92"/>
        <v>0</v>
      </c>
      <c r="AN229" s="587">
        <f t="shared" ca="1" si="92"/>
        <v>0</v>
      </c>
      <c r="AO229" s="587">
        <f t="shared" ca="1" si="92"/>
        <v>0</v>
      </c>
      <c r="AP229" s="587">
        <f t="shared" ca="1" si="92"/>
        <v>0</v>
      </c>
      <c r="AQ229" s="587">
        <f t="shared" ca="1" si="92"/>
        <v>0</v>
      </c>
      <c r="AR229" s="587">
        <f t="shared" ca="1" si="92"/>
        <v>0</v>
      </c>
      <c r="AS229" s="587">
        <f t="shared" ca="1" si="92"/>
        <v>0</v>
      </c>
      <c r="AT229" s="587">
        <f t="shared" ca="1" si="92"/>
        <v>0</v>
      </c>
      <c r="AU229" s="587">
        <f t="shared" ca="1" si="92"/>
        <v>0</v>
      </c>
      <c r="AV229" s="587">
        <f t="shared" ca="1" si="92"/>
        <v>0</v>
      </c>
      <c r="AW229" s="587">
        <f t="shared" ca="1" si="92"/>
        <v>0</v>
      </c>
      <c r="AX229" s="587">
        <f t="shared" ca="1" si="92"/>
        <v>0</v>
      </c>
      <c r="AY229" s="587">
        <f t="shared" ca="1" si="92"/>
        <v>0</v>
      </c>
      <c r="AZ229" s="587">
        <f t="shared" ca="1" si="92"/>
        <v>0</v>
      </c>
      <c r="BA229" s="587">
        <f t="shared" ca="1" si="92"/>
        <v>0</v>
      </c>
      <c r="BB229" s="587">
        <f t="shared" ca="1" si="92"/>
        <v>0</v>
      </c>
      <c r="BC229" s="587">
        <f t="shared" ca="1" si="92"/>
        <v>0</v>
      </c>
      <c r="BD229" s="587">
        <f t="shared" ca="1" si="92"/>
        <v>0</v>
      </c>
      <c r="BE229" s="587">
        <f t="shared" ca="1" si="92"/>
        <v>0</v>
      </c>
      <c r="BF229" s="587">
        <f t="shared" ca="1" si="92"/>
        <v>0</v>
      </c>
      <c r="BG229" s="587">
        <f t="shared" ca="1" si="92"/>
        <v>0</v>
      </c>
      <c r="BH229" s="587">
        <f t="shared" ca="1" si="92"/>
        <v>0</v>
      </c>
      <c r="BI229" s="587">
        <f t="shared" ca="1" si="92"/>
        <v>0</v>
      </c>
      <c r="BJ229" s="587">
        <f t="shared" ca="1" si="92"/>
        <v>0</v>
      </c>
      <c r="BK229" s="587">
        <f t="shared" ca="1" si="92"/>
        <v>0</v>
      </c>
      <c r="BL229" s="587">
        <f t="shared" ca="1" si="92"/>
        <v>0</v>
      </c>
      <c r="BM229" s="587">
        <f t="shared" ca="1" si="92"/>
        <v>0</v>
      </c>
      <c r="BN229" s="587">
        <f t="shared" ca="1" si="92"/>
        <v>0</v>
      </c>
      <c r="BO229" s="587">
        <f t="shared" ca="1" si="92"/>
        <v>0</v>
      </c>
      <c r="BP229" s="587">
        <f t="shared" ca="1" si="92"/>
        <v>0</v>
      </c>
      <c r="BQ229" s="587">
        <f t="shared" ca="1" si="92"/>
        <v>0</v>
      </c>
      <c r="BR229" s="587">
        <f t="shared" ca="1" si="92"/>
        <v>0</v>
      </c>
      <c r="BS229" s="587">
        <f t="shared" ca="1" si="92"/>
        <v>0</v>
      </c>
      <c r="BT229" s="587">
        <f t="shared" ca="1" si="92"/>
        <v>0</v>
      </c>
      <c r="BU229" s="587">
        <f t="shared" ca="1" si="92"/>
        <v>0</v>
      </c>
      <c r="BV229" s="587">
        <f t="shared" ca="1" si="92"/>
        <v>0</v>
      </c>
      <c r="BW229" s="587">
        <f t="shared" ca="1" si="92"/>
        <v>0</v>
      </c>
      <c r="BX229" s="587">
        <f t="shared" ref="BX229:EI229" ca="1" si="93">(SUMPRODUCT($G$17:$G$65,BX17:BX65)+$G$67*BX67+$G$69*BX69+$G$71*BX71+$G$73*BX73+SUMPRODUCT($G$75:$G$81,BX75:BX81)+$G$83*BX83+$G$85*BX85+$G$86*BX86+$G$89*BX89+SUMPRODUCT($G$92:$G$103,BX92:BX103)+BX228)*0.0258</f>
        <v>0</v>
      </c>
      <c r="BY229" s="587">
        <f t="shared" ca="1" si="93"/>
        <v>0</v>
      </c>
      <c r="BZ229" s="587">
        <f t="shared" ca="1" si="93"/>
        <v>0</v>
      </c>
      <c r="CA229" s="587">
        <f t="shared" ca="1" si="93"/>
        <v>0</v>
      </c>
      <c r="CB229" s="587">
        <f t="shared" ca="1" si="93"/>
        <v>0</v>
      </c>
      <c r="CC229" s="587">
        <f t="shared" ca="1" si="93"/>
        <v>0</v>
      </c>
      <c r="CD229" s="587">
        <f t="shared" ca="1" si="93"/>
        <v>0</v>
      </c>
      <c r="CE229" s="587">
        <f t="shared" ca="1" si="93"/>
        <v>0</v>
      </c>
      <c r="CF229" s="587">
        <f t="shared" ca="1" si="93"/>
        <v>0</v>
      </c>
      <c r="CG229" s="587">
        <f t="shared" ca="1" si="93"/>
        <v>0</v>
      </c>
      <c r="CH229" s="587">
        <f t="shared" ca="1" si="93"/>
        <v>0</v>
      </c>
      <c r="CI229" s="587">
        <f t="shared" ca="1" si="93"/>
        <v>0</v>
      </c>
      <c r="CJ229" s="587">
        <f t="shared" ca="1" si="93"/>
        <v>0</v>
      </c>
      <c r="CK229" s="587">
        <f t="shared" ca="1" si="93"/>
        <v>0</v>
      </c>
      <c r="CL229" s="587">
        <f t="shared" ca="1" si="93"/>
        <v>0</v>
      </c>
      <c r="CM229" s="587">
        <f t="shared" ca="1" si="93"/>
        <v>0</v>
      </c>
      <c r="CN229" s="587">
        <f t="shared" ca="1" si="93"/>
        <v>0</v>
      </c>
      <c r="CO229" s="587">
        <f t="shared" ca="1" si="93"/>
        <v>0</v>
      </c>
      <c r="CP229" s="587">
        <f t="shared" ca="1" si="93"/>
        <v>0</v>
      </c>
      <c r="CQ229" s="587">
        <f t="shared" ca="1" si="93"/>
        <v>0</v>
      </c>
      <c r="CR229" s="587">
        <f t="shared" ca="1" si="93"/>
        <v>0</v>
      </c>
      <c r="CS229" s="587">
        <f t="shared" ca="1" si="93"/>
        <v>0</v>
      </c>
      <c r="CT229" s="587">
        <f t="shared" ca="1" si="93"/>
        <v>0</v>
      </c>
      <c r="CU229" s="587">
        <f t="shared" ca="1" si="93"/>
        <v>0</v>
      </c>
      <c r="CV229" s="587">
        <f t="shared" ca="1" si="93"/>
        <v>0</v>
      </c>
      <c r="CW229" s="587">
        <f t="shared" ca="1" si="93"/>
        <v>0</v>
      </c>
      <c r="CX229" s="587">
        <f t="shared" ca="1" si="93"/>
        <v>0</v>
      </c>
      <c r="CY229" s="587">
        <f t="shared" ca="1" si="93"/>
        <v>0</v>
      </c>
      <c r="CZ229" s="587">
        <f t="shared" ca="1" si="93"/>
        <v>0</v>
      </c>
      <c r="DA229" s="587">
        <f t="shared" ca="1" si="93"/>
        <v>0</v>
      </c>
      <c r="DB229" s="587">
        <f t="shared" ca="1" si="93"/>
        <v>0</v>
      </c>
      <c r="DC229" s="587">
        <f t="shared" ca="1" si="93"/>
        <v>0</v>
      </c>
      <c r="DD229" s="587">
        <f t="shared" ca="1" si="93"/>
        <v>0</v>
      </c>
      <c r="DE229" s="587">
        <f t="shared" ca="1" si="93"/>
        <v>0</v>
      </c>
      <c r="DF229" s="587">
        <f t="shared" ca="1" si="93"/>
        <v>0</v>
      </c>
      <c r="DG229" s="587">
        <f t="shared" ca="1" si="93"/>
        <v>0</v>
      </c>
      <c r="DH229" s="587">
        <f t="shared" ca="1" si="93"/>
        <v>0</v>
      </c>
      <c r="DI229" s="587">
        <f t="shared" ca="1" si="93"/>
        <v>0</v>
      </c>
      <c r="DJ229" s="587">
        <f t="shared" ca="1" si="93"/>
        <v>0</v>
      </c>
      <c r="DK229" s="587">
        <f t="shared" ca="1" si="93"/>
        <v>0</v>
      </c>
      <c r="DL229" s="587">
        <f t="shared" ca="1" si="93"/>
        <v>0</v>
      </c>
      <c r="DM229" s="587">
        <f t="shared" ca="1" si="93"/>
        <v>0</v>
      </c>
      <c r="DN229" s="587">
        <f t="shared" ca="1" si="93"/>
        <v>0</v>
      </c>
      <c r="DO229" s="587">
        <f t="shared" ca="1" si="93"/>
        <v>0</v>
      </c>
      <c r="DP229" s="587">
        <f t="shared" ca="1" si="93"/>
        <v>0</v>
      </c>
      <c r="DQ229" s="587">
        <f t="shared" ca="1" si="93"/>
        <v>0</v>
      </c>
      <c r="DR229" s="587">
        <f t="shared" ca="1" si="93"/>
        <v>0</v>
      </c>
      <c r="DS229" s="587">
        <f t="shared" ca="1" si="93"/>
        <v>0</v>
      </c>
      <c r="DT229" s="587">
        <f t="shared" ca="1" si="93"/>
        <v>0</v>
      </c>
      <c r="DU229" s="587">
        <f t="shared" ca="1" si="93"/>
        <v>0</v>
      </c>
      <c r="DV229" s="587">
        <f t="shared" ca="1" si="93"/>
        <v>0</v>
      </c>
      <c r="DW229" s="587">
        <f t="shared" ca="1" si="93"/>
        <v>0</v>
      </c>
      <c r="DX229" s="587">
        <f t="shared" ca="1" si="93"/>
        <v>0</v>
      </c>
      <c r="DY229" s="587">
        <f t="shared" ca="1" si="93"/>
        <v>0</v>
      </c>
      <c r="DZ229" s="587">
        <f t="shared" ca="1" si="93"/>
        <v>0</v>
      </c>
      <c r="EA229" s="587">
        <f t="shared" ca="1" si="93"/>
        <v>0</v>
      </c>
      <c r="EB229" s="587">
        <f t="shared" ca="1" si="93"/>
        <v>0</v>
      </c>
      <c r="EC229" s="587">
        <f t="shared" ca="1" si="93"/>
        <v>0</v>
      </c>
      <c r="ED229" s="587">
        <f t="shared" ca="1" si="93"/>
        <v>0</v>
      </c>
      <c r="EE229" s="587">
        <f t="shared" ca="1" si="93"/>
        <v>0</v>
      </c>
      <c r="EF229" s="587">
        <f t="shared" ca="1" si="93"/>
        <v>0</v>
      </c>
      <c r="EG229" s="587">
        <f t="shared" ca="1" si="93"/>
        <v>0</v>
      </c>
      <c r="EH229" s="587">
        <f t="shared" ca="1" si="93"/>
        <v>0</v>
      </c>
      <c r="EI229" s="587">
        <f t="shared" ca="1" si="93"/>
        <v>0</v>
      </c>
      <c r="EJ229" s="587">
        <f t="shared" ref="EJ229:GU229" ca="1" si="94">(SUMPRODUCT($G$17:$G$65,EJ17:EJ65)+$G$67*EJ67+$G$69*EJ69+$G$71*EJ71+$G$73*EJ73+SUMPRODUCT($G$75:$G$81,EJ75:EJ81)+$G$83*EJ83+$G$85*EJ85+$G$86*EJ86+$G$89*EJ89+SUMPRODUCT($G$92:$G$103,EJ92:EJ103)+EJ228)*0.0258</f>
        <v>0</v>
      </c>
      <c r="EK229" s="587">
        <f t="shared" ca="1" si="94"/>
        <v>0</v>
      </c>
      <c r="EL229" s="587">
        <f t="shared" ca="1" si="94"/>
        <v>0</v>
      </c>
      <c r="EM229" s="587">
        <f t="shared" ca="1" si="94"/>
        <v>0</v>
      </c>
      <c r="EN229" s="587">
        <f t="shared" ca="1" si="94"/>
        <v>0</v>
      </c>
      <c r="EO229" s="587">
        <f t="shared" ca="1" si="94"/>
        <v>0</v>
      </c>
      <c r="EP229" s="587">
        <f t="shared" ca="1" si="94"/>
        <v>0</v>
      </c>
      <c r="EQ229" s="587">
        <f t="shared" ca="1" si="94"/>
        <v>0</v>
      </c>
      <c r="ER229" s="587">
        <f t="shared" ca="1" si="94"/>
        <v>0</v>
      </c>
      <c r="ES229" s="587">
        <f t="shared" ca="1" si="94"/>
        <v>0</v>
      </c>
      <c r="ET229" s="587">
        <f t="shared" ca="1" si="94"/>
        <v>0</v>
      </c>
      <c r="EU229" s="587">
        <f t="shared" ca="1" si="94"/>
        <v>0</v>
      </c>
      <c r="EV229" s="587">
        <f t="shared" ca="1" si="94"/>
        <v>0</v>
      </c>
      <c r="EW229" s="587">
        <f t="shared" ca="1" si="94"/>
        <v>0</v>
      </c>
      <c r="EX229" s="587">
        <f t="shared" ca="1" si="94"/>
        <v>0</v>
      </c>
      <c r="EY229" s="587">
        <f t="shared" ca="1" si="94"/>
        <v>0</v>
      </c>
      <c r="EZ229" s="587">
        <f t="shared" ca="1" si="94"/>
        <v>0</v>
      </c>
      <c r="FA229" s="587">
        <f t="shared" ca="1" si="94"/>
        <v>0</v>
      </c>
      <c r="FB229" s="587">
        <f t="shared" ca="1" si="94"/>
        <v>0</v>
      </c>
      <c r="FC229" s="587">
        <f t="shared" ca="1" si="94"/>
        <v>0</v>
      </c>
      <c r="FD229" s="587">
        <f t="shared" ca="1" si="94"/>
        <v>0</v>
      </c>
      <c r="FE229" s="587">
        <f t="shared" ca="1" si="94"/>
        <v>0</v>
      </c>
      <c r="FF229" s="587">
        <f t="shared" ca="1" si="94"/>
        <v>0</v>
      </c>
      <c r="FG229" s="587">
        <f t="shared" ca="1" si="94"/>
        <v>0</v>
      </c>
      <c r="FH229" s="587">
        <f t="shared" ca="1" si="94"/>
        <v>0</v>
      </c>
      <c r="FI229" s="587">
        <f t="shared" ca="1" si="94"/>
        <v>0</v>
      </c>
      <c r="FJ229" s="587">
        <f t="shared" ca="1" si="94"/>
        <v>0</v>
      </c>
      <c r="FK229" s="587">
        <f t="shared" ca="1" si="94"/>
        <v>0</v>
      </c>
      <c r="FL229" s="587">
        <f t="shared" ca="1" si="94"/>
        <v>0</v>
      </c>
      <c r="FM229" s="587">
        <f t="shared" ca="1" si="94"/>
        <v>0</v>
      </c>
      <c r="FN229" s="587">
        <f t="shared" ca="1" si="94"/>
        <v>0</v>
      </c>
      <c r="FO229" s="587">
        <f t="shared" ca="1" si="94"/>
        <v>0</v>
      </c>
      <c r="FP229" s="587">
        <f t="shared" ca="1" si="94"/>
        <v>0</v>
      </c>
      <c r="FQ229" s="587">
        <f t="shared" ca="1" si="94"/>
        <v>0</v>
      </c>
      <c r="FR229" s="587">
        <f t="shared" ca="1" si="94"/>
        <v>0</v>
      </c>
      <c r="FS229" s="587">
        <f t="shared" ca="1" si="94"/>
        <v>0</v>
      </c>
      <c r="FT229" s="587">
        <f t="shared" ca="1" si="94"/>
        <v>0</v>
      </c>
      <c r="FU229" s="587">
        <f t="shared" ca="1" si="94"/>
        <v>0</v>
      </c>
      <c r="FV229" s="587">
        <f t="shared" ca="1" si="94"/>
        <v>0</v>
      </c>
      <c r="FW229" s="587">
        <f t="shared" ca="1" si="94"/>
        <v>0</v>
      </c>
      <c r="FX229" s="587">
        <f t="shared" ca="1" si="94"/>
        <v>0</v>
      </c>
      <c r="FY229" s="587">
        <f t="shared" ca="1" si="94"/>
        <v>0</v>
      </c>
      <c r="FZ229" s="587">
        <f t="shared" ca="1" si="94"/>
        <v>0</v>
      </c>
      <c r="GA229" s="587">
        <f t="shared" ca="1" si="94"/>
        <v>0</v>
      </c>
      <c r="GB229" s="587">
        <f t="shared" ca="1" si="94"/>
        <v>0</v>
      </c>
      <c r="GC229" s="587">
        <f t="shared" ca="1" si="94"/>
        <v>0</v>
      </c>
      <c r="GD229" s="587">
        <f t="shared" ca="1" si="94"/>
        <v>0</v>
      </c>
      <c r="GE229" s="587">
        <f t="shared" ca="1" si="94"/>
        <v>0</v>
      </c>
      <c r="GF229" s="587">
        <f t="shared" ca="1" si="94"/>
        <v>0</v>
      </c>
      <c r="GG229" s="587">
        <f t="shared" ca="1" si="94"/>
        <v>0</v>
      </c>
      <c r="GH229" s="587">
        <f t="shared" ca="1" si="94"/>
        <v>0</v>
      </c>
      <c r="GI229" s="587">
        <f t="shared" ca="1" si="94"/>
        <v>0</v>
      </c>
      <c r="GJ229" s="587">
        <f t="shared" ca="1" si="94"/>
        <v>0</v>
      </c>
      <c r="GK229" s="587">
        <f t="shared" ca="1" si="94"/>
        <v>0</v>
      </c>
      <c r="GL229" s="587">
        <f t="shared" ca="1" si="94"/>
        <v>0</v>
      </c>
      <c r="GM229" s="587">
        <f t="shared" ca="1" si="94"/>
        <v>0</v>
      </c>
      <c r="GN229" s="587">
        <f t="shared" ca="1" si="94"/>
        <v>0</v>
      </c>
      <c r="GO229" s="587">
        <f t="shared" ca="1" si="94"/>
        <v>0</v>
      </c>
      <c r="GP229" s="587">
        <f t="shared" ca="1" si="94"/>
        <v>0</v>
      </c>
      <c r="GQ229" s="587">
        <f t="shared" ca="1" si="94"/>
        <v>0</v>
      </c>
      <c r="GR229" s="587">
        <f t="shared" ca="1" si="94"/>
        <v>0</v>
      </c>
      <c r="GS229" s="587">
        <f t="shared" ca="1" si="94"/>
        <v>0</v>
      </c>
      <c r="GT229" s="587">
        <f t="shared" ca="1" si="94"/>
        <v>0</v>
      </c>
      <c r="GU229" s="587">
        <f t="shared" ca="1" si="94"/>
        <v>0</v>
      </c>
      <c r="GV229" s="587">
        <f t="shared" ref="GV229:HB229" ca="1" si="95">(SUMPRODUCT($G$17:$G$65,GV17:GV65)+$G$67*GV67+$G$69*GV69+$G$71*GV71+$G$73*GV73+SUMPRODUCT($G$75:$G$81,GV75:GV81)+$G$83*GV83+$G$85*GV85+$G$86*GV86+$G$89*GV89+SUMPRODUCT($G$92:$G$103,GV92:GV103)+GV228)*0.0258</f>
        <v>0</v>
      </c>
      <c r="GW229" s="587">
        <f t="shared" ca="1" si="95"/>
        <v>0</v>
      </c>
      <c r="GX229" s="587">
        <f t="shared" ca="1" si="95"/>
        <v>0</v>
      </c>
      <c r="GY229" s="587">
        <f t="shared" ca="1" si="95"/>
        <v>0</v>
      </c>
      <c r="GZ229" s="587">
        <f t="shared" ca="1" si="95"/>
        <v>0</v>
      </c>
      <c r="HA229" s="587">
        <f t="shared" ca="1" si="95"/>
        <v>0</v>
      </c>
      <c r="HB229" s="587">
        <f t="shared" ca="1" si="95"/>
        <v>0</v>
      </c>
      <c r="IE229" s="579"/>
      <c r="IF229" s="579"/>
      <c r="IG229" s="579"/>
      <c r="IH229" s="579"/>
    </row>
    <row r="230" spans="1:242" s="164" customFormat="1" ht="19.8" hidden="1">
      <c r="A230" s="572">
        <v>4</v>
      </c>
      <c r="C230" s="584" t="s">
        <v>655</v>
      </c>
      <c r="D230" s="586"/>
      <c r="E230" s="586"/>
      <c r="F230" s="587"/>
      <c r="G230" s="587">
        <v>37</v>
      </c>
      <c r="H230" s="587">
        <v>55</v>
      </c>
      <c r="I230" s="587"/>
      <c r="J230" s="587"/>
      <c r="K230" s="587">
        <f ca="1">SUMPRODUCT(OFFSET(貼付け_2026実績,$G230,5,($H230-$G230+1),1),OFFSET(貼付け_2026実績,$G230,SUM(COLUMN()-COLUMN(貼付け_2026実績)),($H230-$G230+1),1))*0.0258</f>
        <v>0</v>
      </c>
      <c r="L230" s="588"/>
      <c r="M230" s="588"/>
      <c r="N230" s="588"/>
      <c r="O230" s="587">
        <f ca="1">SUMPRODUCT(OFFSET(貼付け_2026実績,$G230,5,($H230-$G230+1),1),OFFSET(貼付け_2026実績,$G230,SUM(COLUMN()-COLUMN(貼付け_2026実績)),($H230-$G230+1),1))*0.0258</f>
        <v>0</v>
      </c>
      <c r="P230" s="588"/>
      <c r="Q230" s="588"/>
      <c r="R230" s="588"/>
      <c r="S230" s="587">
        <f ca="1">SUMPRODUCT(OFFSET(貼付け_2026実績,$G230,5,($H230-$G230+1),1),OFFSET(貼付け_2026実績,$G230,SUM(COLUMN()-COLUMN(貼付け_2026実績)),($H230-$G230+1),1))*0.0258</f>
        <v>0</v>
      </c>
      <c r="T230" s="588"/>
      <c r="U230" s="588"/>
      <c r="V230" s="588"/>
      <c r="W230" s="587">
        <f ca="1">SUMPRODUCT(OFFSET(貼付け_2026実績,$G230,5,($H230-$G230+1),1),OFFSET(貼付け_2026実績,$G230,SUM(COLUMN()-COLUMN(貼付け_2026実績)),($H230-$G230+1),1))*0.0258</f>
        <v>0</v>
      </c>
      <c r="X230" s="588"/>
      <c r="Y230" s="588"/>
      <c r="Z230" s="588"/>
      <c r="AA230" s="587">
        <f ca="1">SUMPRODUCT(OFFSET(貼付け_2026実績,$G230,5,($H230-$G230+1),1),OFFSET(貼付け_2026実績,$G230,SUM(COLUMN()-COLUMN(貼付け_2026実績)),($H230-$G230+1),1))*0.0258</f>
        <v>0</v>
      </c>
      <c r="AB230" s="588"/>
      <c r="AC230" s="588"/>
      <c r="AD230" s="588"/>
      <c r="AE230" s="587">
        <f ca="1">SUMPRODUCT(OFFSET(貼付け_2026実績,$G230,5,($H230-$G230+1),1),OFFSET(貼付け_2026実績,$G230,SUM(COLUMN()-COLUMN(貼付け_2026実績)),($H230-$G230+1),1))*0.0258</f>
        <v>0</v>
      </c>
      <c r="AF230" s="588"/>
      <c r="AG230" s="588"/>
      <c r="AH230" s="588"/>
      <c r="AI230" s="587">
        <f ca="1">SUMPRODUCT(OFFSET(貼付け_2026実績,$G230,5,($H230-$G230+1),1),OFFSET(貼付け_2026実績,$G230,SUM(COLUMN()-COLUMN(貼付け_2026実績)),($H230-$G230+1),1))*0.0258</f>
        <v>0</v>
      </c>
      <c r="AJ230" s="588"/>
      <c r="AK230" s="588"/>
      <c r="AL230" s="588"/>
      <c r="AM230" s="587">
        <f ca="1">SUMPRODUCT(OFFSET(貼付け_2026実績,$G230,5,($H230-$G230+1),1),OFFSET(貼付け_2026実績,$G230,SUM(COLUMN()-COLUMN(貼付け_2026実績)),($H230-$G230+1),1))*0.0258</f>
        <v>0</v>
      </c>
      <c r="AN230" s="588"/>
      <c r="AO230" s="588"/>
      <c r="AP230" s="588"/>
      <c r="AQ230" s="587">
        <f ca="1">SUMPRODUCT(OFFSET(貼付け_2026実績,$G230,5,($H230-$G230+1),1),OFFSET(貼付け_2026実績,$G230,SUM(COLUMN()-COLUMN(貼付け_2026実績)),($H230-$G230+1),1))*0.0258</f>
        <v>0</v>
      </c>
      <c r="AR230" s="588"/>
      <c r="AS230" s="588"/>
      <c r="AT230" s="588"/>
      <c r="AU230" s="587">
        <f ca="1">SUMPRODUCT(OFFSET(貼付け_2026実績,$G230,5,($H230-$G230+1),1),OFFSET(貼付け_2026実績,$G230,SUM(COLUMN()-COLUMN(貼付け_2026実績)),($H230-$G230+1),1))*0.0258</f>
        <v>0</v>
      </c>
      <c r="AV230" s="588"/>
      <c r="AW230" s="588"/>
      <c r="AX230" s="588"/>
      <c r="AY230" s="587">
        <f ca="1">SUMPRODUCT(OFFSET(貼付け_2026実績,$G230,5,($H230-$G230+1),1),OFFSET(貼付け_2026実績,$G230,SUM(COLUMN()-COLUMN(貼付け_2026実績)),($H230-$G230+1),1))*0.0258</f>
        <v>0</v>
      </c>
      <c r="AZ230" s="588"/>
      <c r="BA230" s="588"/>
      <c r="BB230" s="588"/>
      <c r="BC230" s="587">
        <f ca="1">SUMPRODUCT(OFFSET(貼付け_2026実績,$G230,5,($H230-$G230+1),1),OFFSET(貼付け_2026実績,$G230,SUM(COLUMN()-COLUMN(貼付け_2026実績)),($H230-$G230+1),1))*0.0258</f>
        <v>0</v>
      </c>
      <c r="BD230" s="588"/>
      <c r="BE230" s="588"/>
      <c r="BF230" s="588"/>
      <c r="BG230" s="587">
        <f ca="1">SUMPRODUCT(OFFSET(貼付け_2026実績,$G230,5,($H230-$G230+1),1),OFFSET(貼付け_2026実績,$G230,SUM(COLUMN()-COLUMN(貼付け_2026実績)),($H230-$G230+1),1))*0.0258</f>
        <v>0</v>
      </c>
      <c r="BH230" s="588"/>
      <c r="BI230" s="588"/>
      <c r="BJ230" s="588"/>
      <c r="BK230" s="587">
        <f ca="1">SUMPRODUCT(OFFSET(貼付け_2026実績,$G230,5,($H230-$G230+1),1),OFFSET(貼付け_2026実績,$G230,SUM(COLUMN()-COLUMN(貼付け_2026実績)),($H230-$G230+1),1))*0.0258</f>
        <v>0</v>
      </c>
      <c r="BL230" s="588"/>
      <c r="BM230" s="588"/>
      <c r="BN230" s="588"/>
      <c r="BO230" s="587">
        <f ca="1">SUMPRODUCT(OFFSET(貼付け_2026実績,$G230,5,($H230-$G230+1),1),OFFSET(貼付け_2026実績,$G230,SUM(COLUMN()-COLUMN(貼付け_2026実績)),($H230-$G230+1),1))*0.0258</f>
        <v>0</v>
      </c>
      <c r="BP230" s="588"/>
      <c r="BQ230" s="588"/>
      <c r="BR230" s="588"/>
      <c r="BS230" s="587">
        <f ca="1">SUMPRODUCT(OFFSET(貼付け_2026実績,$G230,5,($H230-$G230+1),1),OFFSET(貼付け_2026実績,$G230,SUM(COLUMN()-COLUMN(貼付け_2026実績)),($H230-$G230+1),1))*0.0258</f>
        <v>0</v>
      </c>
      <c r="BT230" s="588"/>
      <c r="BU230" s="588"/>
      <c r="BV230" s="588"/>
      <c r="BW230" s="587">
        <f ca="1">SUMPRODUCT(OFFSET(貼付け_2026実績,$G230,5,($H230-$G230+1),1),OFFSET(貼付け_2026実績,$G230,SUM(COLUMN()-COLUMN(貼付け_2026実績)),($H230-$G230+1),1))*0.0258</f>
        <v>0</v>
      </c>
      <c r="BX230" s="588"/>
      <c r="BY230" s="588"/>
      <c r="BZ230" s="588"/>
      <c r="CA230" s="587">
        <f ca="1">SUMPRODUCT(OFFSET(貼付け_2026実績,$G230,5,($H230-$G230+1),1),OFFSET(貼付け_2026実績,$G230,SUM(COLUMN()-COLUMN(貼付け_2026実績)),($H230-$G230+1),1))*0.0258</f>
        <v>0</v>
      </c>
      <c r="CB230" s="588"/>
      <c r="CC230" s="588"/>
      <c r="CD230" s="588"/>
      <c r="CE230" s="587">
        <f ca="1">SUMPRODUCT(OFFSET(貼付け_2026実績,$G230,5,($H230-$G230+1),1),OFFSET(貼付け_2026実績,$G230,SUM(COLUMN()-COLUMN(貼付け_2026実績)),($H230-$G230+1),1))*0.0258</f>
        <v>0</v>
      </c>
      <c r="CF230" s="588"/>
      <c r="CG230" s="588"/>
      <c r="CH230" s="588"/>
      <c r="CI230" s="587">
        <f ca="1">SUMPRODUCT(OFFSET(貼付け_2026実績,$G230,5,($H230-$G230+1),1),OFFSET(貼付け_2026実績,$G230,SUM(COLUMN()-COLUMN(貼付け_2026実績)),($H230-$G230+1),1))*0.0258</f>
        <v>0</v>
      </c>
      <c r="CJ230" s="588"/>
      <c r="CK230" s="588"/>
      <c r="CL230" s="588"/>
      <c r="CM230" s="587">
        <f ca="1">SUMPRODUCT(OFFSET(貼付け_2026実績,$G230,5,($H230-$G230+1),1),OFFSET(貼付け_2026実績,$G230,SUM(COLUMN()-COLUMN(貼付け_2026実績)),($H230-$G230+1),1))*0.0258</f>
        <v>0</v>
      </c>
      <c r="CN230" s="588"/>
      <c r="CO230" s="588"/>
      <c r="CP230" s="588"/>
      <c r="CQ230" s="587">
        <f ca="1">SUMPRODUCT(OFFSET(貼付け_2026実績,$G230,5,($H230-$G230+1),1),OFFSET(貼付け_2026実績,$G230,SUM(COLUMN()-COLUMN(貼付け_2026実績)),($H230-$G230+1),1))*0.0258</f>
        <v>0</v>
      </c>
      <c r="CR230" s="588"/>
      <c r="CS230" s="588"/>
      <c r="CT230" s="588"/>
      <c r="CU230" s="587">
        <f ca="1">SUMPRODUCT(OFFSET(貼付け_2026実績,$G230,5,($H230-$G230+1),1),OFFSET(貼付け_2026実績,$G230,SUM(COLUMN()-COLUMN(貼付け_2026実績)),($H230-$G230+1),1))*0.0258</f>
        <v>0</v>
      </c>
      <c r="CV230" s="588"/>
      <c r="CW230" s="588"/>
      <c r="CX230" s="588"/>
      <c r="CY230" s="587">
        <f ca="1">SUMPRODUCT(OFFSET(貼付け_2026実績,$G230,5,($H230-$G230+1),1),OFFSET(貼付け_2026実績,$G230,SUM(COLUMN()-COLUMN(貼付け_2026実績)),($H230-$G230+1),1))*0.0258</f>
        <v>0</v>
      </c>
      <c r="CZ230" s="588"/>
      <c r="DA230" s="588"/>
      <c r="DB230" s="588"/>
      <c r="DC230" s="587">
        <f ca="1">SUMPRODUCT(OFFSET(貼付け_2026実績,$G230,5,($H230-$G230+1),1),OFFSET(貼付け_2026実績,$G230,SUM(COLUMN()-COLUMN(貼付け_2026実績)),($H230-$G230+1),1))*0.0258</f>
        <v>0</v>
      </c>
      <c r="DD230" s="588"/>
      <c r="DE230" s="588"/>
      <c r="DF230" s="588"/>
      <c r="DG230" s="587">
        <f ca="1">SUMPRODUCT(OFFSET(貼付け_2026実績,$G230,5,($H230-$G230+1),1),OFFSET(貼付け_2026実績,$G230,SUM(COLUMN()-COLUMN(貼付け_2026実績)),($H230-$G230+1),1))*0.0258</f>
        <v>0</v>
      </c>
      <c r="DH230" s="588"/>
      <c r="DI230" s="588"/>
      <c r="DJ230" s="588"/>
      <c r="DK230" s="587">
        <f ca="1">SUMPRODUCT(OFFSET(貼付け_2026実績,$G230,5,($H230-$G230+1),1),OFFSET(貼付け_2026実績,$G230,SUM(COLUMN()-COLUMN(貼付け_2026実績)),($H230-$G230+1),1))*0.0258</f>
        <v>0</v>
      </c>
      <c r="DL230" s="588"/>
      <c r="DM230" s="588"/>
      <c r="DN230" s="588"/>
      <c r="DO230" s="587">
        <f ca="1">SUMPRODUCT(OFFSET(貼付け_2026実績,$G230,5,($H230-$G230+1),1),OFFSET(貼付け_2026実績,$G230,SUM(COLUMN()-COLUMN(貼付け_2026実績)),($H230-$G230+1),1))*0.0258</f>
        <v>0</v>
      </c>
      <c r="DP230" s="588"/>
      <c r="DQ230" s="588"/>
      <c r="DR230" s="588"/>
      <c r="DS230" s="587">
        <f ca="1">SUMPRODUCT(OFFSET(貼付け_2026実績,$G230,5,($H230-$G230+1),1),OFFSET(貼付け_2026実績,$G230,SUM(COLUMN()-COLUMN(貼付け_2026実績)),($H230-$G230+1),1))*0.0258</f>
        <v>0</v>
      </c>
      <c r="DT230" s="588"/>
      <c r="DU230" s="588"/>
      <c r="DV230" s="588"/>
      <c r="DW230" s="587">
        <f ca="1">SUMPRODUCT(OFFSET(貼付け_2026実績,$G230,5,($H230-$G230+1),1),OFFSET(貼付け_2026実績,$G230,SUM(COLUMN()-COLUMN(貼付け_2026実績)),($H230-$G230+1),1))*0.0258</f>
        <v>0</v>
      </c>
      <c r="DX230" s="588"/>
      <c r="DY230" s="588"/>
      <c r="DZ230" s="588"/>
      <c r="EA230" s="587">
        <f ca="1">SUMPRODUCT(OFFSET(貼付け_2026実績,$G230,5,($H230-$G230+1),1),OFFSET(貼付け_2026実績,$G230,SUM(COLUMN()-COLUMN(貼付け_2026実績)),($H230-$G230+1),1))*0.0258</f>
        <v>0</v>
      </c>
      <c r="EB230" s="588"/>
      <c r="EC230" s="588"/>
      <c r="ED230" s="588"/>
      <c r="EE230" s="587">
        <f ca="1">SUMPRODUCT(OFFSET(貼付け_2026実績,$G230,5,($H230-$G230+1),1),OFFSET(貼付け_2026実績,$G230,SUM(COLUMN()-COLUMN(貼付け_2026実績)),($H230-$G230+1),1))*0.0258</f>
        <v>0</v>
      </c>
      <c r="EF230" s="588"/>
      <c r="EG230" s="588"/>
      <c r="EH230" s="588"/>
      <c r="EI230" s="587">
        <f ca="1">SUMPRODUCT(OFFSET(貼付け_2026実績,$G230,5,($H230-$G230+1),1),OFFSET(貼付け_2026実績,$G230,SUM(COLUMN()-COLUMN(貼付け_2026実績)),($H230-$G230+1),1))*0.0258</f>
        <v>0</v>
      </c>
      <c r="EJ230" s="588"/>
      <c r="EK230" s="588"/>
      <c r="EL230" s="588"/>
      <c r="EM230" s="587">
        <f ca="1">SUMPRODUCT(OFFSET(貼付け_2026実績,$G230,5,($H230-$G230+1),1),OFFSET(貼付け_2026実績,$G230,SUM(COLUMN()-COLUMN(貼付け_2026実績)),($H230-$G230+1),1))*0.0258</f>
        <v>0</v>
      </c>
      <c r="EN230" s="588"/>
      <c r="EO230" s="588"/>
      <c r="EP230" s="588"/>
      <c r="EQ230" s="587">
        <f ca="1">SUMPRODUCT(OFFSET(貼付け_2026実績,$G230,5,($H230-$G230+1),1),OFFSET(貼付け_2026実績,$G230,SUM(COLUMN()-COLUMN(貼付け_2026実績)),($H230-$G230+1),1))*0.0258</f>
        <v>0</v>
      </c>
      <c r="ER230" s="588"/>
      <c r="ES230" s="588"/>
      <c r="ET230" s="588"/>
      <c r="EU230" s="587">
        <f ca="1">SUMPRODUCT(OFFSET(貼付け_2026実績,$G230,5,($H230-$G230+1),1),OFFSET(貼付け_2026実績,$G230,SUM(COLUMN()-COLUMN(貼付け_2026実績)),($H230-$G230+1),1))*0.0258</f>
        <v>0</v>
      </c>
      <c r="EV230" s="588"/>
      <c r="EW230" s="588"/>
      <c r="EX230" s="588"/>
      <c r="EY230" s="587">
        <f ca="1">SUMPRODUCT(OFFSET(貼付け_2026実績,$G230,5,($H230-$G230+1),1),OFFSET(貼付け_2026実績,$G230,SUM(COLUMN()-COLUMN(貼付け_2026実績)),($H230-$G230+1),1))*0.0258</f>
        <v>0</v>
      </c>
      <c r="EZ230" s="588"/>
      <c r="FA230" s="588"/>
      <c r="FB230" s="588"/>
      <c r="FC230" s="587">
        <f ca="1">SUMPRODUCT(OFFSET(貼付け_2026実績,$G230,5,($H230-$G230+1),1),OFFSET(貼付け_2026実績,$G230,SUM(COLUMN()-COLUMN(貼付け_2026実績)),($H230-$G230+1),1))*0.0258</f>
        <v>0</v>
      </c>
      <c r="FD230" s="588"/>
      <c r="FE230" s="588"/>
      <c r="FF230" s="588"/>
      <c r="FG230" s="587">
        <f ca="1">SUMPRODUCT(OFFSET(貼付け_2026実績,$G230,5,($H230-$G230+1),1),OFFSET(貼付け_2026実績,$G230,SUM(COLUMN()-COLUMN(貼付け_2026実績)),($H230-$G230+1),1))*0.0258</f>
        <v>0</v>
      </c>
      <c r="FH230" s="588"/>
      <c r="FI230" s="588"/>
      <c r="FJ230" s="588"/>
      <c r="FK230" s="587">
        <f ca="1">SUMPRODUCT(OFFSET(貼付け_2026実績,$G230,5,($H230-$G230+1),1),OFFSET(貼付け_2026実績,$G230,SUM(COLUMN()-COLUMN(貼付け_2026実績)),($H230-$G230+1),1))*0.0258</f>
        <v>0</v>
      </c>
      <c r="FL230" s="588"/>
      <c r="FM230" s="588"/>
      <c r="FN230" s="588"/>
      <c r="FO230" s="587">
        <f ca="1">SUMPRODUCT(OFFSET(貼付け_2026実績,$G230,5,($H230-$G230+1),1),OFFSET(貼付け_2026実績,$G230,SUM(COLUMN()-COLUMN(貼付け_2026実績)),($H230-$G230+1),1))*0.0258</f>
        <v>0</v>
      </c>
      <c r="FP230" s="588"/>
      <c r="FQ230" s="588"/>
      <c r="FR230" s="588"/>
      <c r="FS230" s="587">
        <f ca="1">SUMPRODUCT(OFFSET(貼付け_2026実績,$G230,5,($H230-$G230+1),1),OFFSET(貼付け_2026実績,$G230,SUM(COLUMN()-COLUMN(貼付け_2026実績)),($H230-$G230+1),1))*0.0258</f>
        <v>0</v>
      </c>
      <c r="FT230" s="588"/>
      <c r="FU230" s="588"/>
      <c r="FV230" s="588"/>
      <c r="FW230" s="587">
        <f ca="1">SUMPRODUCT(OFFSET(貼付け_2026実績,$G230,5,($H230-$G230+1),1),OFFSET(貼付け_2026実績,$G230,SUM(COLUMN()-COLUMN(貼付け_2026実績)),($H230-$G230+1),1))*0.0258</f>
        <v>0</v>
      </c>
      <c r="FX230" s="588"/>
      <c r="FY230" s="588"/>
      <c r="FZ230" s="588"/>
      <c r="GA230" s="587">
        <f ca="1">SUMPRODUCT(OFFSET(貼付け_2026実績,$G230,5,($H230-$G230+1),1),OFFSET(貼付け_2026実績,$G230,SUM(COLUMN()-COLUMN(貼付け_2026実績)),($H230-$G230+1),1))*0.0258</f>
        <v>0</v>
      </c>
      <c r="GB230" s="588"/>
      <c r="GC230" s="588"/>
      <c r="GD230" s="588"/>
      <c r="GE230" s="587">
        <f ca="1">SUMPRODUCT(OFFSET(貼付け_2026実績,$G230,5,($H230-$G230+1),1),OFFSET(貼付け_2026実績,$G230,SUM(COLUMN()-COLUMN(貼付け_2026実績)),($H230-$G230+1),1))*0.0258</f>
        <v>0</v>
      </c>
      <c r="GF230" s="588"/>
      <c r="GG230" s="588"/>
      <c r="GH230" s="588"/>
      <c r="GI230" s="587">
        <f ca="1">SUMPRODUCT(OFFSET(貼付け_2026実績,$G230,5,($H230-$G230+1),1),OFFSET(貼付け_2026実績,$G230,SUM(COLUMN()-COLUMN(貼付け_2026実績)),($H230-$G230+1),1))*0.0258</f>
        <v>0</v>
      </c>
      <c r="GJ230" s="588"/>
      <c r="GK230" s="588"/>
      <c r="GL230" s="588"/>
      <c r="GM230" s="587">
        <f ca="1">SUMPRODUCT(OFFSET(貼付け_2026実績,$G230,5,($H230-$G230+1),1),OFFSET(貼付け_2026実績,$G230,SUM(COLUMN()-COLUMN(貼付け_2026実績)),($H230-$G230+1),1))*0.0258</f>
        <v>0</v>
      </c>
      <c r="GN230" s="588"/>
      <c r="GO230" s="588"/>
      <c r="GP230" s="588"/>
      <c r="GQ230" s="587">
        <f ca="1">SUMPRODUCT(OFFSET(貼付け_2026実績,$G230,5,($H230-$G230+1),1),OFFSET(貼付け_2026実績,$G230,SUM(COLUMN()-COLUMN(貼付け_2026実績)),($H230-$G230+1),1))*0.0258</f>
        <v>0</v>
      </c>
      <c r="GR230" s="588"/>
      <c r="GS230" s="588"/>
      <c r="GT230" s="588"/>
      <c r="GU230" s="587">
        <f ca="1">SUMPRODUCT(OFFSET(貼付け_2026実績,$G230,5,($H230-$G230+1),1),OFFSET(貼付け_2026実績,$G230,SUM(COLUMN()-COLUMN(貼付け_2026実績)),($H230-$G230+1),1))*0.0258</f>
        <v>0</v>
      </c>
      <c r="GV230" s="588"/>
      <c r="GW230" s="588"/>
      <c r="GX230" s="588"/>
      <c r="GY230" s="587">
        <f ca="1">SUMPRODUCT(OFFSET(貼付け_2026実績,$G230,5,($H230-$G230+1),1),OFFSET(貼付け_2026実績,$G230,SUM(COLUMN()-COLUMN(貼付け_2026実績)),($H230-$G230+1),1))*0.0258</f>
        <v>0</v>
      </c>
      <c r="GZ230" s="588"/>
      <c r="HA230" s="588"/>
      <c r="HB230" s="588"/>
      <c r="IE230" s="579"/>
      <c r="IF230" s="579"/>
      <c r="IG230" s="579"/>
      <c r="IH230" s="579"/>
    </row>
    <row r="231" spans="1:242" s="164" customFormat="1" ht="19.8" hidden="1">
      <c r="A231" s="572">
        <v>5</v>
      </c>
      <c r="C231" s="584" t="s">
        <v>656</v>
      </c>
      <c r="D231" s="586"/>
      <c r="E231" s="586"/>
      <c r="F231" s="587"/>
      <c r="G231" s="587"/>
      <c r="H231" s="587"/>
      <c r="I231" s="587"/>
      <c r="J231" s="587"/>
      <c r="K231" s="587">
        <f ca="1">(K229-K230*0.2)</f>
        <v>0</v>
      </c>
      <c r="L231" s="588"/>
      <c r="M231" s="588"/>
      <c r="N231" s="588"/>
      <c r="O231" s="587">
        <f ca="1">(O229-O230*0.2)</f>
        <v>0</v>
      </c>
      <c r="P231" s="588"/>
      <c r="Q231" s="588"/>
      <c r="R231" s="588"/>
      <c r="S231" s="587">
        <f ca="1">(S229-S230*0.2)</f>
        <v>0</v>
      </c>
      <c r="T231" s="588"/>
      <c r="U231" s="588"/>
      <c r="V231" s="588"/>
      <c r="W231" s="587">
        <f ca="1">(W229-W230*0.2)</f>
        <v>0</v>
      </c>
      <c r="X231" s="588"/>
      <c r="Y231" s="588"/>
      <c r="Z231" s="588"/>
      <c r="AA231" s="587">
        <f ca="1">(AA229-AA230*0.2)</f>
        <v>0</v>
      </c>
      <c r="AB231" s="588"/>
      <c r="AC231" s="588"/>
      <c r="AD231" s="588"/>
      <c r="AE231" s="587">
        <f ca="1">(AE229-AE230*0.2)</f>
        <v>0</v>
      </c>
      <c r="AF231" s="588"/>
      <c r="AG231" s="588"/>
      <c r="AH231" s="588"/>
      <c r="AI231" s="587">
        <f ca="1">(AI229-AI230*0.2)</f>
        <v>0</v>
      </c>
      <c r="AJ231" s="588"/>
      <c r="AK231" s="588"/>
      <c r="AL231" s="588"/>
      <c r="AM231" s="587">
        <f ca="1">(AM229-AM230*0.2)</f>
        <v>0</v>
      </c>
      <c r="AN231" s="588"/>
      <c r="AO231" s="588"/>
      <c r="AP231" s="588"/>
      <c r="AQ231" s="587">
        <f ca="1">(AQ229-AQ230*0.2)</f>
        <v>0</v>
      </c>
      <c r="AR231" s="588"/>
      <c r="AS231" s="588"/>
      <c r="AT231" s="588"/>
      <c r="AU231" s="587">
        <f ca="1">(AU229-AU230*0.2)</f>
        <v>0</v>
      </c>
      <c r="AV231" s="588"/>
      <c r="AW231" s="588"/>
      <c r="AX231" s="588"/>
      <c r="AY231" s="587">
        <f ca="1">(AY229-AY230*0.2)</f>
        <v>0</v>
      </c>
      <c r="AZ231" s="588"/>
      <c r="BA231" s="588"/>
      <c r="BB231" s="588"/>
      <c r="BC231" s="587">
        <f ca="1">(BC229-BC230*0.2)</f>
        <v>0</v>
      </c>
      <c r="BD231" s="588"/>
      <c r="BE231" s="588"/>
      <c r="BF231" s="588"/>
      <c r="BG231" s="587">
        <f ca="1">(BG229-BG230*0.2)</f>
        <v>0</v>
      </c>
      <c r="BH231" s="588"/>
      <c r="BI231" s="588"/>
      <c r="BJ231" s="588"/>
      <c r="BK231" s="587">
        <f ca="1">(BK229-BK230*0.2)</f>
        <v>0</v>
      </c>
      <c r="BL231" s="588"/>
      <c r="BM231" s="588"/>
      <c r="BN231" s="588"/>
      <c r="BO231" s="587">
        <f ca="1">(BO229-BO230*0.2)</f>
        <v>0</v>
      </c>
      <c r="BP231" s="588"/>
      <c r="BQ231" s="588"/>
      <c r="BR231" s="588"/>
      <c r="BS231" s="587">
        <f ca="1">(BS229-BS230*0.2)</f>
        <v>0</v>
      </c>
      <c r="BT231" s="588"/>
      <c r="BU231" s="588"/>
      <c r="BV231" s="588"/>
      <c r="BW231" s="587">
        <f ca="1">(BW229-BW230*0.2)</f>
        <v>0</v>
      </c>
      <c r="BX231" s="588"/>
      <c r="BY231" s="588"/>
      <c r="BZ231" s="588"/>
      <c r="CA231" s="587">
        <f ca="1">(CA229-CA230*0.2)</f>
        <v>0</v>
      </c>
      <c r="CB231" s="588"/>
      <c r="CC231" s="588"/>
      <c r="CD231" s="588"/>
      <c r="CE231" s="587">
        <f ca="1">(CE229-CE230*0.2)</f>
        <v>0</v>
      </c>
      <c r="CF231" s="588"/>
      <c r="CG231" s="588"/>
      <c r="CH231" s="588"/>
      <c r="CI231" s="587">
        <f ca="1">(CI229-CI230*0.2)</f>
        <v>0</v>
      </c>
      <c r="CJ231" s="588"/>
      <c r="CK231" s="588"/>
      <c r="CL231" s="588"/>
      <c r="CM231" s="587">
        <f ca="1">(CM229-CM230*0.2)</f>
        <v>0</v>
      </c>
      <c r="CN231" s="588"/>
      <c r="CO231" s="588"/>
      <c r="CP231" s="588"/>
      <c r="CQ231" s="587">
        <f ca="1">(CQ229-CQ230*0.2)</f>
        <v>0</v>
      </c>
      <c r="CR231" s="588"/>
      <c r="CS231" s="588"/>
      <c r="CT231" s="588"/>
      <c r="CU231" s="587">
        <f ca="1">(CU229-CU230*0.2)</f>
        <v>0</v>
      </c>
      <c r="CV231" s="588"/>
      <c r="CW231" s="588"/>
      <c r="CX231" s="588"/>
      <c r="CY231" s="587">
        <f ca="1">(CY229-CY230*0.2)</f>
        <v>0</v>
      </c>
      <c r="CZ231" s="588"/>
      <c r="DA231" s="588"/>
      <c r="DB231" s="588"/>
      <c r="DC231" s="587">
        <f ca="1">(DC229-DC230*0.2)</f>
        <v>0</v>
      </c>
      <c r="DD231" s="588"/>
      <c r="DE231" s="588"/>
      <c r="DF231" s="588"/>
      <c r="DG231" s="587">
        <f ca="1">(DG229-DG230*0.2)</f>
        <v>0</v>
      </c>
      <c r="DH231" s="588"/>
      <c r="DI231" s="588"/>
      <c r="DJ231" s="588"/>
      <c r="DK231" s="587">
        <f ca="1">(DK229-DK230*0.2)</f>
        <v>0</v>
      </c>
      <c r="DL231" s="588"/>
      <c r="DM231" s="588"/>
      <c r="DN231" s="588"/>
      <c r="DO231" s="587">
        <f ca="1">(DO229-DO230*0.2)</f>
        <v>0</v>
      </c>
      <c r="DP231" s="588"/>
      <c r="DQ231" s="588"/>
      <c r="DR231" s="588"/>
      <c r="DS231" s="587">
        <f ca="1">(DS229-DS230*0.2)</f>
        <v>0</v>
      </c>
      <c r="DT231" s="588"/>
      <c r="DU231" s="588"/>
      <c r="DV231" s="588"/>
      <c r="DW231" s="587">
        <f ca="1">(DW229-DW230*0.2)</f>
        <v>0</v>
      </c>
      <c r="DX231" s="588"/>
      <c r="DY231" s="588"/>
      <c r="DZ231" s="588"/>
      <c r="EA231" s="587">
        <f ca="1">(EA229-EA230*0.2)</f>
        <v>0</v>
      </c>
      <c r="EB231" s="588"/>
      <c r="EC231" s="588"/>
      <c r="ED231" s="588"/>
      <c r="EE231" s="587">
        <f ca="1">(EE229-EE230*0.2)</f>
        <v>0</v>
      </c>
      <c r="EF231" s="588"/>
      <c r="EG231" s="588"/>
      <c r="EH231" s="588"/>
      <c r="EI231" s="587">
        <f ca="1">(EI229-EI230*0.2)</f>
        <v>0</v>
      </c>
      <c r="EJ231" s="588"/>
      <c r="EK231" s="588"/>
      <c r="EL231" s="588"/>
      <c r="EM231" s="587">
        <f ca="1">(EM229-EM230*0.2)</f>
        <v>0</v>
      </c>
      <c r="EN231" s="588"/>
      <c r="EO231" s="588"/>
      <c r="EP231" s="588"/>
      <c r="EQ231" s="587">
        <f ca="1">(EQ229-EQ230*0.2)</f>
        <v>0</v>
      </c>
      <c r="ER231" s="588"/>
      <c r="ES231" s="588"/>
      <c r="ET231" s="588"/>
      <c r="EU231" s="587">
        <f ca="1">(EU229-EU230*0.2)</f>
        <v>0</v>
      </c>
      <c r="EV231" s="588"/>
      <c r="EW231" s="588"/>
      <c r="EX231" s="588"/>
      <c r="EY231" s="587">
        <f ca="1">(EY229-EY230*0.2)</f>
        <v>0</v>
      </c>
      <c r="EZ231" s="588"/>
      <c r="FA231" s="588"/>
      <c r="FB231" s="588"/>
      <c r="FC231" s="587">
        <f ca="1">(FC229-FC230*0.2)</f>
        <v>0</v>
      </c>
      <c r="FD231" s="588"/>
      <c r="FE231" s="588"/>
      <c r="FF231" s="588"/>
      <c r="FG231" s="587">
        <f ca="1">(FG229-FG230*0.2)</f>
        <v>0</v>
      </c>
      <c r="FH231" s="588"/>
      <c r="FI231" s="588"/>
      <c r="FJ231" s="588"/>
      <c r="FK231" s="587">
        <f ca="1">(FK229-FK230*0.2)</f>
        <v>0</v>
      </c>
      <c r="FL231" s="588"/>
      <c r="FM231" s="588"/>
      <c r="FN231" s="588"/>
      <c r="FO231" s="587">
        <f ca="1">(FO229-FO230*0.2)</f>
        <v>0</v>
      </c>
      <c r="FP231" s="588"/>
      <c r="FQ231" s="588"/>
      <c r="FR231" s="588"/>
      <c r="FS231" s="587">
        <f ca="1">(FS229-FS230*0.2)</f>
        <v>0</v>
      </c>
      <c r="FT231" s="588"/>
      <c r="FU231" s="588"/>
      <c r="FV231" s="588"/>
      <c r="FW231" s="587">
        <f ca="1">(FW229-FW230*0.2)</f>
        <v>0</v>
      </c>
      <c r="FX231" s="588"/>
      <c r="FY231" s="588"/>
      <c r="FZ231" s="588"/>
      <c r="GA231" s="587">
        <f ca="1">(GA229-GA230*0.2)</f>
        <v>0</v>
      </c>
      <c r="GB231" s="588"/>
      <c r="GC231" s="588"/>
      <c r="GD231" s="588"/>
      <c r="GE231" s="587">
        <f ca="1">(GE229-GE230*0.2)</f>
        <v>0</v>
      </c>
      <c r="GF231" s="588"/>
      <c r="GG231" s="588"/>
      <c r="GH231" s="588"/>
      <c r="GI231" s="587">
        <f ca="1">(GI229-GI230*0.2)</f>
        <v>0</v>
      </c>
      <c r="GJ231" s="588"/>
      <c r="GK231" s="588"/>
      <c r="GL231" s="588"/>
      <c r="GM231" s="587">
        <f ca="1">(GM229-GM230*0.2)</f>
        <v>0</v>
      </c>
      <c r="GN231" s="588"/>
      <c r="GO231" s="588"/>
      <c r="GP231" s="588"/>
      <c r="GQ231" s="587">
        <f ca="1">(GQ229-GQ230*0.2)</f>
        <v>0</v>
      </c>
      <c r="GR231" s="588"/>
      <c r="GS231" s="588"/>
      <c r="GT231" s="588"/>
      <c r="GU231" s="587">
        <f ca="1">(GU229-GU230*0.2)</f>
        <v>0</v>
      </c>
      <c r="GV231" s="588"/>
      <c r="GW231" s="588"/>
      <c r="GX231" s="588"/>
      <c r="GY231" s="587">
        <f ca="1">(GY229-GY230*0.2)</f>
        <v>0</v>
      </c>
      <c r="GZ231" s="588"/>
      <c r="HA231" s="588"/>
      <c r="HB231" s="588"/>
      <c r="IE231" s="579"/>
      <c r="IF231" s="579"/>
      <c r="IG231" s="579"/>
      <c r="IH231" s="579"/>
    </row>
    <row r="232" spans="1:242" s="164" customFormat="1" ht="19.8" hidden="1">
      <c r="A232" s="572">
        <v>6</v>
      </c>
      <c r="C232" s="584" t="s">
        <v>657</v>
      </c>
      <c r="D232" s="586"/>
      <c r="E232" s="586"/>
      <c r="F232" s="587"/>
      <c r="G232" s="587">
        <v>101</v>
      </c>
      <c r="H232" s="587"/>
      <c r="I232" s="587"/>
      <c r="J232" s="587"/>
      <c r="K232" s="587">
        <f ca="1">K231-M229-N229</f>
        <v>0</v>
      </c>
      <c r="L232" s="587">
        <f ca="1">OFFSET(貼付け_2026実績,$G232,SUM(COLUMN()-COLUMN(貼付け_2026実績))-1)</f>
        <v>0</v>
      </c>
      <c r="M232" s="587" t="str">
        <f ca="1">IFERROR(K232/L232,"")</f>
        <v/>
      </c>
      <c r="N232" s="589"/>
      <c r="O232" s="587">
        <f ca="1">O231-Q229-R229</f>
        <v>0</v>
      </c>
      <c r="P232" s="587">
        <f ca="1">OFFSET(貼付け_2026実績,$G232,SUM(COLUMN()-COLUMN(貼付け_2026実績))-1)</f>
        <v>0</v>
      </c>
      <c r="Q232" s="587" t="str">
        <f ca="1">IFERROR(O232/P232,"")</f>
        <v/>
      </c>
      <c r="R232" s="589"/>
      <c r="S232" s="587">
        <f ca="1">S231-U229-V229</f>
        <v>0</v>
      </c>
      <c r="T232" s="587">
        <f ca="1">OFFSET(貼付け_2026実績,$G232,SUM(COLUMN()-COLUMN(貼付け_2026実績))-1)</f>
        <v>0</v>
      </c>
      <c r="U232" s="587" t="str">
        <f ca="1">IFERROR(S232/T232,"")</f>
        <v/>
      </c>
      <c r="V232" s="589"/>
      <c r="W232" s="587">
        <f ca="1">W231-Y229-Z229</f>
        <v>0</v>
      </c>
      <c r="X232" s="587">
        <f ca="1">OFFSET(貼付け_2026実績,$G232,SUM(COLUMN()-COLUMN(貼付け_2026実績))-1)</f>
        <v>0</v>
      </c>
      <c r="Y232" s="587" t="str">
        <f ca="1">IFERROR(W232/X232,"")</f>
        <v/>
      </c>
      <c r="Z232" s="589"/>
      <c r="AA232" s="587">
        <f ca="1">AA231-AC229-AD229</f>
        <v>0</v>
      </c>
      <c r="AB232" s="587">
        <f ca="1">OFFSET(貼付け_2026実績,$G232,SUM(COLUMN()-COLUMN(貼付け_2026実績))-1)</f>
        <v>0</v>
      </c>
      <c r="AC232" s="587" t="str">
        <f ca="1">IFERROR(AA232/AB232,"")</f>
        <v/>
      </c>
      <c r="AD232" s="589"/>
      <c r="AE232" s="587">
        <f ca="1">AE231-AG229-AH229</f>
        <v>0</v>
      </c>
      <c r="AF232" s="587">
        <f ca="1">OFFSET(貼付け_2026実績,$G232,SUM(COLUMN()-COLUMN(貼付け_2026実績))-1)</f>
        <v>0</v>
      </c>
      <c r="AG232" s="587" t="str">
        <f ca="1">IFERROR(AE232/AF232,"")</f>
        <v/>
      </c>
      <c r="AH232" s="589"/>
      <c r="AI232" s="587">
        <f ca="1">AI231-AK229-AL229</f>
        <v>0</v>
      </c>
      <c r="AJ232" s="587">
        <f ca="1">OFFSET(貼付け_2026実績,$G232,SUM(COLUMN()-COLUMN(貼付け_2026実績))-1)</f>
        <v>0</v>
      </c>
      <c r="AK232" s="587" t="str">
        <f ca="1">IFERROR(AI232/AJ232,"")</f>
        <v/>
      </c>
      <c r="AL232" s="589"/>
      <c r="AM232" s="587">
        <f ca="1">AM231-AO229-AP229</f>
        <v>0</v>
      </c>
      <c r="AN232" s="587">
        <f ca="1">OFFSET(貼付け_2026実績,$G232,SUM(COLUMN()-COLUMN(貼付け_2026実績))-1)</f>
        <v>0</v>
      </c>
      <c r="AO232" s="587" t="str">
        <f ca="1">IFERROR(AM232/AN232,"")</f>
        <v/>
      </c>
      <c r="AP232" s="589"/>
      <c r="AQ232" s="587">
        <f ca="1">AQ231-AS229-AT229</f>
        <v>0</v>
      </c>
      <c r="AR232" s="587">
        <f ca="1">OFFSET(貼付け_2026実績,$G232,SUM(COLUMN()-COLUMN(貼付け_2026実績))-1)</f>
        <v>0</v>
      </c>
      <c r="AS232" s="587" t="str">
        <f ca="1">IFERROR(AQ232/AR232,"")</f>
        <v/>
      </c>
      <c r="AT232" s="589"/>
      <c r="AU232" s="587">
        <f ca="1">AU231-AW229-AX229</f>
        <v>0</v>
      </c>
      <c r="AV232" s="587">
        <f ca="1">OFFSET(貼付け_2026実績,$G232,SUM(COLUMN()-COLUMN(貼付け_2026実績))-1)</f>
        <v>0</v>
      </c>
      <c r="AW232" s="587" t="str">
        <f ca="1">IFERROR(AU232/AV232,"")</f>
        <v/>
      </c>
      <c r="AX232" s="589"/>
      <c r="AY232" s="587">
        <f ca="1">AY231-BA229-BB229</f>
        <v>0</v>
      </c>
      <c r="AZ232" s="587">
        <f ca="1">OFFSET(貼付け_2026実績,$G232,SUM(COLUMN()-COLUMN(貼付け_2026実績))-1)</f>
        <v>0</v>
      </c>
      <c r="BA232" s="587" t="str">
        <f ca="1">IFERROR(AY232/AZ232,"")</f>
        <v/>
      </c>
      <c r="BB232" s="589"/>
      <c r="BC232" s="587">
        <f ca="1">BC231-BE229-BF229</f>
        <v>0</v>
      </c>
      <c r="BD232" s="587">
        <f ca="1">OFFSET(貼付け_2026実績,$G232,SUM(COLUMN()-COLUMN(貼付け_2026実績))-1)</f>
        <v>0</v>
      </c>
      <c r="BE232" s="587" t="str">
        <f ca="1">IFERROR(BC232/BD232,"")</f>
        <v/>
      </c>
      <c r="BF232" s="589"/>
      <c r="BG232" s="587">
        <f ca="1">BG231-BI229-BJ229</f>
        <v>0</v>
      </c>
      <c r="BH232" s="587">
        <f ca="1">OFFSET(貼付け_2026実績,$G232,SUM(COLUMN()-COLUMN(貼付け_2026実績))-1)</f>
        <v>0</v>
      </c>
      <c r="BI232" s="587" t="str">
        <f ca="1">IFERROR(BG232/BH232,"")</f>
        <v/>
      </c>
      <c r="BJ232" s="589"/>
      <c r="BK232" s="587">
        <f ca="1">BK231-BM229-BN229</f>
        <v>0</v>
      </c>
      <c r="BL232" s="587">
        <f ca="1">OFFSET(貼付け_2026実績,$G232,SUM(COLUMN()-COLUMN(貼付け_2026実績))-1)</f>
        <v>0</v>
      </c>
      <c r="BM232" s="587" t="str">
        <f ca="1">IFERROR(BK232/BL232,"")</f>
        <v/>
      </c>
      <c r="BN232" s="589"/>
      <c r="BO232" s="587">
        <f ca="1">BO231-BQ229-BR229</f>
        <v>0</v>
      </c>
      <c r="BP232" s="587">
        <f ca="1">OFFSET(貼付け_2026実績,$G232,SUM(COLUMN()-COLUMN(貼付け_2026実績))-1)</f>
        <v>0</v>
      </c>
      <c r="BQ232" s="587" t="str">
        <f ca="1">IFERROR(BO232/BP232,"")</f>
        <v/>
      </c>
      <c r="BR232" s="589"/>
      <c r="BS232" s="587">
        <f ca="1">BS231-BU229-BV229</f>
        <v>0</v>
      </c>
      <c r="BT232" s="587">
        <f ca="1">OFFSET(貼付け_2026実績,$G232,SUM(COLUMN()-COLUMN(貼付け_2026実績))-1)</f>
        <v>0</v>
      </c>
      <c r="BU232" s="587" t="str">
        <f ca="1">IFERROR(BS232/BT232,"")</f>
        <v/>
      </c>
      <c r="BV232" s="589"/>
      <c r="BW232" s="587">
        <f ca="1">BW231-BY229-BZ229</f>
        <v>0</v>
      </c>
      <c r="BX232" s="587">
        <f ca="1">OFFSET(貼付け_2026実績,$G232,SUM(COLUMN()-COLUMN(貼付け_2026実績))-1)</f>
        <v>0</v>
      </c>
      <c r="BY232" s="587" t="str">
        <f ca="1">IFERROR(BW232/BX232,"")</f>
        <v/>
      </c>
      <c r="BZ232" s="589"/>
      <c r="CA232" s="587">
        <f ca="1">CA231-CC229-CD229</f>
        <v>0</v>
      </c>
      <c r="CB232" s="587">
        <f ca="1">OFFSET(貼付け_2026実績,$G232,SUM(COLUMN()-COLUMN(貼付け_2026実績))-1)</f>
        <v>0</v>
      </c>
      <c r="CC232" s="587" t="str">
        <f ca="1">IFERROR(CA232/CB232,"")</f>
        <v/>
      </c>
      <c r="CD232" s="589"/>
      <c r="CE232" s="587">
        <f ca="1">CE231-CG229-CH229</f>
        <v>0</v>
      </c>
      <c r="CF232" s="587">
        <f ca="1">OFFSET(貼付け_2026実績,$G232,SUM(COLUMN()-COLUMN(貼付け_2026実績))-1)</f>
        <v>0</v>
      </c>
      <c r="CG232" s="587" t="str">
        <f ca="1">IFERROR(CE232/CF232,"")</f>
        <v/>
      </c>
      <c r="CH232" s="589"/>
      <c r="CI232" s="587">
        <f ca="1">CI231-CK229-CL229</f>
        <v>0</v>
      </c>
      <c r="CJ232" s="587">
        <f ca="1">OFFSET(貼付け_2026実績,$G232,SUM(COLUMN()-COLUMN(貼付け_2026実績))-1)</f>
        <v>0</v>
      </c>
      <c r="CK232" s="587" t="str">
        <f ca="1">IFERROR(CI232/CJ232,"")</f>
        <v/>
      </c>
      <c r="CL232" s="589"/>
      <c r="CM232" s="587">
        <f ca="1">CM231-CO229-CP229</f>
        <v>0</v>
      </c>
      <c r="CN232" s="587">
        <f ca="1">OFFSET(貼付け_2026実績,$G232,SUM(COLUMN()-COLUMN(貼付け_2026実績))-1)</f>
        <v>0</v>
      </c>
      <c r="CO232" s="587" t="str">
        <f ca="1">IFERROR(CM232/CN232,"")</f>
        <v/>
      </c>
      <c r="CP232" s="589"/>
      <c r="CQ232" s="587">
        <f ca="1">CQ231-CS229-CT229</f>
        <v>0</v>
      </c>
      <c r="CR232" s="587">
        <f ca="1">OFFSET(貼付け_2026実績,$G232,SUM(COLUMN()-COLUMN(貼付け_2026実績))-1)</f>
        <v>0</v>
      </c>
      <c r="CS232" s="587" t="str">
        <f ca="1">IFERROR(CQ232/CR232,"")</f>
        <v/>
      </c>
      <c r="CT232" s="589"/>
      <c r="CU232" s="587">
        <f ca="1">CU231-CW229-CX229</f>
        <v>0</v>
      </c>
      <c r="CV232" s="587">
        <f ca="1">OFFSET(貼付け_2026実績,$G232,SUM(COLUMN()-COLUMN(貼付け_2026実績))-1)</f>
        <v>0</v>
      </c>
      <c r="CW232" s="587" t="str">
        <f ca="1">IFERROR(CU232/CV232,"")</f>
        <v/>
      </c>
      <c r="CX232" s="589"/>
      <c r="CY232" s="587">
        <f ca="1">CY231-DA229-DB229</f>
        <v>0</v>
      </c>
      <c r="CZ232" s="587">
        <f ca="1">OFFSET(貼付け_2026実績,$G232,SUM(COLUMN()-COLUMN(貼付け_2026実績))-1)</f>
        <v>0</v>
      </c>
      <c r="DA232" s="587" t="str">
        <f ca="1">IFERROR(CY232/CZ232,"")</f>
        <v/>
      </c>
      <c r="DB232" s="589"/>
      <c r="DC232" s="587">
        <f ca="1">DC231-DE229-DF229</f>
        <v>0</v>
      </c>
      <c r="DD232" s="587">
        <f ca="1">OFFSET(貼付け_2026実績,$G232,SUM(COLUMN()-COLUMN(貼付け_2026実績))-1)</f>
        <v>0</v>
      </c>
      <c r="DE232" s="587" t="str">
        <f ca="1">IFERROR(DC232/DD232,"")</f>
        <v/>
      </c>
      <c r="DF232" s="589"/>
      <c r="DG232" s="587">
        <f ca="1">DG231-DI229-DJ229</f>
        <v>0</v>
      </c>
      <c r="DH232" s="587">
        <f ca="1">OFFSET(貼付け_2026実績,$G232,SUM(COLUMN()-COLUMN(貼付け_2026実績))-1)</f>
        <v>0</v>
      </c>
      <c r="DI232" s="587" t="str">
        <f ca="1">IFERROR(DG232/DH232,"")</f>
        <v/>
      </c>
      <c r="DJ232" s="589"/>
      <c r="DK232" s="587">
        <f ca="1">DK231-DM229-DN229</f>
        <v>0</v>
      </c>
      <c r="DL232" s="587">
        <f ca="1">OFFSET(貼付け_2026実績,$G232,SUM(COLUMN()-COLUMN(貼付け_2026実績))-1)</f>
        <v>0</v>
      </c>
      <c r="DM232" s="587" t="str">
        <f ca="1">IFERROR(DK232/DL232,"")</f>
        <v/>
      </c>
      <c r="DN232" s="589"/>
      <c r="DO232" s="587">
        <f ca="1">DO231-DQ229-DR229</f>
        <v>0</v>
      </c>
      <c r="DP232" s="587">
        <f ca="1">OFFSET(貼付け_2026実績,$G232,SUM(COLUMN()-COLUMN(貼付け_2026実績))-1)</f>
        <v>0</v>
      </c>
      <c r="DQ232" s="587" t="str">
        <f ca="1">IFERROR(DO232/DP232,"")</f>
        <v/>
      </c>
      <c r="DR232" s="589"/>
      <c r="DS232" s="587">
        <f ca="1">DS231-DU229-DV229</f>
        <v>0</v>
      </c>
      <c r="DT232" s="587">
        <f ca="1">OFFSET(貼付け_2026実績,$G232,SUM(COLUMN()-COLUMN(貼付け_2026実績))-1)</f>
        <v>0</v>
      </c>
      <c r="DU232" s="587" t="str">
        <f ca="1">IFERROR(DS232/DT232,"")</f>
        <v/>
      </c>
      <c r="DV232" s="589"/>
      <c r="DW232" s="587">
        <f ca="1">DW231-DY229-DZ229</f>
        <v>0</v>
      </c>
      <c r="DX232" s="587">
        <f ca="1">OFFSET(貼付け_2026実績,$G232,SUM(COLUMN()-COLUMN(貼付け_2026実績))-1)</f>
        <v>0</v>
      </c>
      <c r="DY232" s="587" t="str">
        <f ca="1">IFERROR(DW232/DX232,"")</f>
        <v/>
      </c>
      <c r="DZ232" s="589"/>
      <c r="EA232" s="587">
        <f ca="1">EA231-EC229-ED229</f>
        <v>0</v>
      </c>
      <c r="EB232" s="587">
        <f ca="1">OFFSET(貼付け_2026実績,$G232,SUM(COLUMN()-COLUMN(貼付け_2026実績))-1)</f>
        <v>0</v>
      </c>
      <c r="EC232" s="587" t="str">
        <f ca="1">IFERROR(EA232/EB232,"")</f>
        <v/>
      </c>
      <c r="ED232" s="589"/>
      <c r="EE232" s="587">
        <f ca="1">EE231-EG229-EH229</f>
        <v>0</v>
      </c>
      <c r="EF232" s="587">
        <f ca="1">OFFSET(貼付け_2026実績,$G232,SUM(COLUMN()-COLUMN(貼付け_2026実績))-1)</f>
        <v>0</v>
      </c>
      <c r="EG232" s="587" t="str">
        <f ca="1">IFERROR(EE232/EF232,"")</f>
        <v/>
      </c>
      <c r="EH232" s="589"/>
      <c r="EI232" s="587">
        <f ca="1">EI231-EK229-EL229</f>
        <v>0</v>
      </c>
      <c r="EJ232" s="587">
        <f ca="1">OFFSET(貼付け_2026実績,$G232,SUM(COLUMN()-COLUMN(貼付け_2026実績))-1)</f>
        <v>0</v>
      </c>
      <c r="EK232" s="587" t="str">
        <f ca="1">IFERROR(EI232/EJ232,"")</f>
        <v/>
      </c>
      <c r="EL232" s="589"/>
      <c r="EM232" s="587">
        <f ca="1">EM231-EO229-EP229</f>
        <v>0</v>
      </c>
      <c r="EN232" s="587">
        <f ca="1">OFFSET(貼付け_2026実績,$G232,SUM(COLUMN()-COLUMN(貼付け_2026実績))-1)</f>
        <v>0</v>
      </c>
      <c r="EO232" s="587" t="str">
        <f ca="1">IFERROR(EM232/EN232,"")</f>
        <v/>
      </c>
      <c r="EP232" s="589"/>
      <c r="EQ232" s="587">
        <f ca="1">EQ231-ES229-ET229</f>
        <v>0</v>
      </c>
      <c r="ER232" s="587">
        <f ca="1">OFFSET(貼付け_2026実績,$G232,SUM(COLUMN()-COLUMN(貼付け_2026実績))-1)</f>
        <v>0</v>
      </c>
      <c r="ES232" s="587" t="str">
        <f ca="1">IFERROR(EQ232/ER232,"")</f>
        <v/>
      </c>
      <c r="ET232" s="589"/>
      <c r="EU232" s="587">
        <f ca="1">EU231-EW229-EX229</f>
        <v>0</v>
      </c>
      <c r="EV232" s="587">
        <f ca="1">OFFSET(貼付け_2026実績,$G232,SUM(COLUMN()-COLUMN(貼付け_2026実績))-1)</f>
        <v>0</v>
      </c>
      <c r="EW232" s="587" t="str">
        <f ca="1">IFERROR(EU232/EV232,"")</f>
        <v/>
      </c>
      <c r="EX232" s="589"/>
      <c r="EY232" s="587">
        <f ca="1">EY231-FA229-FB229</f>
        <v>0</v>
      </c>
      <c r="EZ232" s="587">
        <f ca="1">OFFSET(貼付け_2026実績,$G232,SUM(COLUMN()-COLUMN(貼付け_2026実績))-1)</f>
        <v>0</v>
      </c>
      <c r="FA232" s="587" t="str">
        <f ca="1">IFERROR(EY232/EZ232,"")</f>
        <v/>
      </c>
      <c r="FB232" s="589"/>
      <c r="FC232" s="587">
        <f ca="1">FC231-FE229-FF229</f>
        <v>0</v>
      </c>
      <c r="FD232" s="587">
        <f ca="1">OFFSET(貼付け_2026実績,$G232,SUM(COLUMN()-COLUMN(貼付け_2026実績))-1)</f>
        <v>0</v>
      </c>
      <c r="FE232" s="587" t="str">
        <f ca="1">IFERROR(FC232/FD232,"")</f>
        <v/>
      </c>
      <c r="FF232" s="589"/>
      <c r="FG232" s="587">
        <f ca="1">FG231-FI229-FJ229</f>
        <v>0</v>
      </c>
      <c r="FH232" s="587">
        <f ca="1">OFFSET(貼付け_2026実績,$G232,SUM(COLUMN()-COLUMN(貼付け_2026実績))-1)</f>
        <v>0</v>
      </c>
      <c r="FI232" s="587" t="str">
        <f ca="1">IFERROR(FG232/FH232,"")</f>
        <v/>
      </c>
      <c r="FJ232" s="589"/>
      <c r="FK232" s="587">
        <f ca="1">FK231-FM229-FN229</f>
        <v>0</v>
      </c>
      <c r="FL232" s="587">
        <f ca="1">OFFSET(貼付け_2026実績,$G232,SUM(COLUMN()-COLUMN(貼付け_2026実績))-1)</f>
        <v>0</v>
      </c>
      <c r="FM232" s="587" t="str">
        <f ca="1">IFERROR(FK232/FL232,"")</f>
        <v/>
      </c>
      <c r="FN232" s="589"/>
      <c r="FO232" s="587">
        <f ca="1">FO231-FQ229-FR229</f>
        <v>0</v>
      </c>
      <c r="FP232" s="587">
        <f ca="1">OFFSET(貼付け_2026実績,$G232,SUM(COLUMN()-COLUMN(貼付け_2026実績))-1)</f>
        <v>0</v>
      </c>
      <c r="FQ232" s="587" t="str">
        <f ca="1">IFERROR(FO232/FP232,"")</f>
        <v/>
      </c>
      <c r="FR232" s="589"/>
      <c r="FS232" s="587">
        <f ca="1">FS231-FU229-FV229</f>
        <v>0</v>
      </c>
      <c r="FT232" s="587">
        <f ca="1">OFFSET(貼付け_2026実績,$G232,SUM(COLUMN()-COLUMN(貼付け_2026実績))-1)</f>
        <v>0</v>
      </c>
      <c r="FU232" s="587" t="str">
        <f ca="1">IFERROR(FS232/FT232,"")</f>
        <v/>
      </c>
      <c r="FV232" s="589"/>
      <c r="FW232" s="587">
        <f ca="1">FW231-FY229-FZ229</f>
        <v>0</v>
      </c>
      <c r="FX232" s="587">
        <f ca="1">OFFSET(貼付け_2026実績,$G232,SUM(COLUMN()-COLUMN(貼付け_2026実績))-1)</f>
        <v>0</v>
      </c>
      <c r="FY232" s="587" t="str">
        <f ca="1">IFERROR(FW232/FX232,"")</f>
        <v/>
      </c>
      <c r="FZ232" s="589"/>
      <c r="GA232" s="587">
        <f ca="1">GA231-GC229-GD229</f>
        <v>0</v>
      </c>
      <c r="GB232" s="587">
        <f ca="1">OFFSET(貼付け_2026実績,$G232,SUM(COLUMN()-COLUMN(貼付け_2026実績))-1)</f>
        <v>0</v>
      </c>
      <c r="GC232" s="587" t="str">
        <f ca="1">IFERROR(GA232/GB232,"")</f>
        <v/>
      </c>
      <c r="GD232" s="589"/>
      <c r="GE232" s="587">
        <f ca="1">GE231-GG229-GH229</f>
        <v>0</v>
      </c>
      <c r="GF232" s="587">
        <f ca="1">OFFSET(貼付け_2026実績,$G232,SUM(COLUMN()-COLUMN(貼付け_2026実績))-1)</f>
        <v>0</v>
      </c>
      <c r="GG232" s="587" t="str">
        <f ca="1">IFERROR(GE232/GF232,"")</f>
        <v/>
      </c>
      <c r="GH232" s="589"/>
      <c r="GI232" s="587">
        <f ca="1">GI231-GK229-GL229</f>
        <v>0</v>
      </c>
      <c r="GJ232" s="587">
        <f ca="1">OFFSET(貼付け_2026実績,$G232,SUM(COLUMN()-COLUMN(貼付け_2026実績))-1)</f>
        <v>0</v>
      </c>
      <c r="GK232" s="587" t="str">
        <f ca="1">IFERROR(GI232/GJ232,"")</f>
        <v/>
      </c>
      <c r="GL232" s="589"/>
      <c r="GM232" s="587">
        <f ca="1">GM231-GO229-GP229</f>
        <v>0</v>
      </c>
      <c r="GN232" s="587">
        <f ca="1">OFFSET(貼付け_2026実績,$G232,SUM(COLUMN()-COLUMN(貼付け_2026実績))-1)</f>
        <v>0</v>
      </c>
      <c r="GO232" s="587" t="str">
        <f ca="1">IFERROR(GM232/GN232,"")</f>
        <v/>
      </c>
      <c r="GP232" s="589"/>
      <c r="GQ232" s="587">
        <f ca="1">GQ231-GS229-GT229</f>
        <v>0</v>
      </c>
      <c r="GR232" s="587">
        <f ca="1">OFFSET(貼付け_2026実績,$G232,SUM(COLUMN()-COLUMN(貼付け_2026実績))-1)</f>
        <v>0</v>
      </c>
      <c r="GS232" s="587" t="str">
        <f ca="1">IFERROR(GQ232/GR232,"")</f>
        <v/>
      </c>
      <c r="GT232" s="589"/>
      <c r="GU232" s="587">
        <f ca="1">GU231-GW229-GX229</f>
        <v>0</v>
      </c>
      <c r="GV232" s="587">
        <f ca="1">OFFSET(貼付け_2026実績,$G232,SUM(COLUMN()-COLUMN(貼付け_2026実績))-1)</f>
        <v>0</v>
      </c>
      <c r="GW232" s="587" t="str">
        <f ca="1">IFERROR(GU232/GV232,"")</f>
        <v/>
      </c>
      <c r="GX232" s="589"/>
      <c r="GY232" s="587">
        <f ca="1">GY231-HA229-HB229</f>
        <v>0</v>
      </c>
      <c r="GZ232" s="587">
        <f ca="1">OFFSET(貼付け_2026実績,$G232,SUM(COLUMN()-COLUMN(貼付け_2026実績))-1)</f>
        <v>0</v>
      </c>
      <c r="HA232" s="587" t="str">
        <f ca="1">IFERROR(GY232/GZ232,"")</f>
        <v/>
      </c>
      <c r="HB232" s="589"/>
      <c r="IE232" s="579"/>
      <c r="IF232" s="579"/>
      <c r="IG232" s="579"/>
      <c r="IH232" s="579"/>
    </row>
    <row r="233" spans="1:242" s="164" customFormat="1" ht="19.8" hidden="1">
      <c r="A233" s="572">
        <v>7</v>
      </c>
      <c r="C233" s="584" t="s">
        <v>658</v>
      </c>
      <c r="D233" s="586"/>
      <c r="E233" s="586"/>
      <c r="F233" s="587">
        <v>200</v>
      </c>
      <c r="G233" s="587">
        <v>103</v>
      </c>
      <c r="H233" s="587">
        <v>169</v>
      </c>
      <c r="I233" s="587">
        <f ca="1">SUMPRODUCT(OFFSET(貼付け_2026実績,$F233,4,5,1),OFFSET(貼付け_2026実績,$F233,SUM(COLUMN()-COLUMN(貼付け_2026実績)),5,1))</f>
        <v>0</v>
      </c>
      <c r="J233" s="587">
        <f ca="1">SUMPRODUCT(OFFSET(貼付け_2026実績,$F233,4,5,1),OFFSET(貼付け_2026実績,$F233,SUM(COLUMN()-COLUMN(貼付け_2026実績)),5,1))</f>
        <v>0</v>
      </c>
      <c r="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L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N233" s="589"/>
      <c r="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P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R233" s="589"/>
      <c r="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T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V233" s="589"/>
      <c r="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X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Z233" s="589"/>
      <c r="A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B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C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D233" s="589"/>
      <c r="AE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F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G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H233" s="589"/>
      <c r="AI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J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L233" s="589"/>
      <c r="A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N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P233" s="589"/>
      <c r="A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R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T233" s="589"/>
      <c r="A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V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X233" s="589"/>
      <c r="A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Z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B233" s="589"/>
      <c r="BC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D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E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F233" s="589"/>
      <c r="BG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H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I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J233" s="589"/>
      <c r="B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L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N233" s="589"/>
      <c r="B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P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R233" s="589"/>
      <c r="B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T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V233" s="589"/>
      <c r="B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X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Z233" s="589"/>
      <c r="C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B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C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D233" s="589"/>
      <c r="CE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F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G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H233" s="589"/>
      <c r="CI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J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L233" s="589"/>
      <c r="C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N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P233" s="589"/>
      <c r="C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R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T233" s="589"/>
      <c r="C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V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X233" s="589"/>
      <c r="C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Z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B233" s="589"/>
      <c r="DC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D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E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F233" s="589"/>
      <c r="DG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H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I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J233" s="589"/>
      <c r="D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L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N233" s="589"/>
      <c r="D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P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R233" s="589"/>
      <c r="D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T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V233" s="589"/>
      <c r="D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X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Z233" s="589"/>
      <c r="E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B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C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D233" s="589"/>
      <c r="EE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F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G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H233" s="589"/>
      <c r="EI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J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L233" s="589"/>
      <c r="E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N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P233" s="589"/>
      <c r="E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R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T233" s="589"/>
      <c r="E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V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X233" s="589"/>
      <c r="E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Z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B233" s="589"/>
      <c r="FC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D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E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F233" s="589"/>
      <c r="FG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H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I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J233" s="589"/>
      <c r="F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L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N233" s="589"/>
      <c r="F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P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R233" s="589"/>
      <c r="F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T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V233" s="589"/>
      <c r="F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X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Z233" s="589"/>
      <c r="G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B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C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D233" s="589"/>
      <c r="GE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F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G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H233" s="589"/>
      <c r="GI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J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K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L233" s="589"/>
      <c r="GM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N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O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P233" s="589"/>
      <c r="GQ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R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S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T233" s="589"/>
      <c r="GU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V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W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X233" s="589"/>
      <c r="GY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Z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HA233" s="587">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HB233" s="589"/>
      <c r="IE233" s="579"/>
      <c r="IF233" s="579"/>
      <c r="IG233" s="579"/>
      <c r="IH233" s="579"/>
    </row>
    <row r="234" spans="1:242" s="164" customFormat="1" ht="19.8" hidden="1">
      <c r="A234" s="572">
        <v>8</v>
      </c>
      <c r="C234" s="584" t="s">
        <v>659</v>
      </c>
      <c r="D234" s="586"/>
      <c r="E234" s="586"/>
      <c r="F234" s="587">
        <v>200</v>
      </c>
      <c r="G234" s="587">
        <v>103</v>
      </c>
      <c r="H234" s="587">
        <v>169</v>
      </c>
      <c r="I234" s="587">
        <f ca="1">SUMPRODUCT(OFFSET(貼付け_2026実績,$F234,5,5,1),OFFSET(貼付け_2026実績,$F234,SUM(COLUMN()-COLUMN(貼付け_2026実績)),5,1))</f>
        <v>0</v>
      </c>
      <c r="J234" s="587">
        <f ca="1">SUMPRODUCT(OFFSET(貼付け_2026実績,$F234,5,5,1),OFFSET(貼付け_2026実績,$F234,SUM(COLUMN()-COLUMN(貼付け_2026実績)),5,1))</f>
        <v>0</v>
      </c>
      <c r="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L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N234" s="589"/>
      <c r="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P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R234" s="589"/>
      <c r="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T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V234" s="589"/>
      <c r="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X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Z234" s="589"/>
      <c r="A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B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C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D234" s="589"/>
      <c r="AE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F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G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H234" s="589"/>
      <c r="AI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J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L234" s="589"/>
      <c r="A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N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P234" s="589"/>
      <c r="A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R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T234" s="589"/>
      <c r="A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V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X234" s="589"/>
      <c r="A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Z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B234" s="589"/>
      <c r="BC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D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E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F234" s="589"/>
      <c r="BG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H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I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J234" s="589"/>
      <c r="B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L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N234" s="589"/>
      <c r="B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P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R234" s="589"/>
      <c r="B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T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V234" s="589"/>
      <c r="B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X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Z234" s="589"/>
      <c r="C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B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C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D234" s="589"/>
      <c r="CE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F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G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H234" s="589"/>
      <c r="CI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J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L234" s="589"/>
      <c r="C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N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P234" s="589"/>
      <c r="C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R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T234" s="589"/>
      <c r="C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V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X234" s="589"/>
      <c r="C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Z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B234" s="589"/>
      <c r="DC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D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E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F234" s="589"/>
      <c r="DG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H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I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J234" s="589"/>
      <c r="D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L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N234" s="589"/>
      <c r="D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P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R234" s="589"/>
      <c r="D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T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V234" s="589"/>
      <c r="D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X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Z234" s="589"/>
      <c r="E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B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C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D234" s="589"/>
      <c r="EE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F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G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H234" s="589"/>
      <c r="EI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J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L234" s="589"/>
      <c r="E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N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P234" s="589"/>
      <c r="E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R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T234" s="589"/>
      <c r="E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V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X234" s="589"/>
      <c r="E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Z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B234" s="589"/>
      <c r="FC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D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E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F234" s="589"/>
      <c r="FG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H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I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J234" s="589"/>
      <c r="F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L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N234" s="589"/>
      <c r="F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P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R234" s="589"/>
      <c r="F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T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V234" s="589"/>
      <c r="F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X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Z234" s="589"/>
      <c r="G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B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C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D234" s="589"/>
      <c r="GE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F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G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H234" s="589"/>
      <c r="GI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J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K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L234" s="589"/>
      <c r="GM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N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O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P234" s="589"/>
      <c r="GQ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R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S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T234" s="589"/>
      <c r="GU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V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W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X234" s="589"/>
      <c r="GY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Z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HA234" s="587">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HB234" s="589"/>
      <c r="IE234" s="579"/>
      <c r="IF234" s="579"/>
      <c r="IG234" s="579"/>
      <c r="IH234" s="579"/>
    </row>
    <row r="235" spans="1:242" s="164" customFormat="1" ht="19.8" hidden="1">
      <c r="A235" s="572">
        <v>9</v>
      </c>
      <c r="C235" s="584" t="s">
        <v>660</v>
      </c>
      <c r="D235" s="586"/>
      <c r="E235" s="586"/>
      <c r="F235" s="587"/>
      <c r="G235" s="587">
        <v>113</v>
      </c>
      <c r="H235" s="587">
        <v>169</v>
      </c>
      <c r="I235" s="589"/>
      <c r="J235" s="589"/>
      <c r="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L235" s="589"/>
      <c r="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N235" s="589"/>
      <c r="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P235" s="589"/>
      <c r="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R235" s="589"/>
      <c r="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T235" s="589"/>
      <c r="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V235" s="589"/>
      <c r="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X235" s="589"/>
      <c r="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Z235" s="589"/>
      <c r="A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B235" s="589"/>
      <c r="AC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D235" s="589"/>
      <c r="AE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F235" s="589"/>
      <c r="AG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H235" s="589"/>
      <c r="AI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J235" s="589"/>
      <c r="A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L235" s="589"/>
      <c r="A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N235" s="589"/>
      <c r="A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P235" s="589"/>
      <c r="A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R235" s="589"/>
      <c r="A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T235" s="589"/>
      <c r="A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V235" s="589"/>
      <c r="A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X235" s="589"/>
      <c r="A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Z235" s="589"/>
      <c r="B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B235" s="589"/>
      <c r="BC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D235" s="589"/>
      <c r="BE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F235" s="589"/>
      <c r="BG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H235" s="589"/>
      <c r="BI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J235" s="589"/>
      <c r="B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L235" s="589"/>
      <c r="B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N235" s="589"/>
      <c r="B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P235" s="589"/>
      <c r="B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R235" s="589"/>
      <c r="B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T235" s="589"/>
      <c r="B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V235" s="589"/>
      <c r="B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X235" s="589"/>
      <c r="B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Z235" s="589"/>
      <c r="C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B235" s="589"/>
      <c r="CC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D235" s="589"/>
      <c r="CE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F235" s="589"/>
      <c r="CG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H235" s="589"/>
      <c r="CI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J235" s="589"/>
      <c r="C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L235" s="589"/>
      <c r="C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N235" s="589"/>
      <c r="C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P235" s="589"/>
      <c r="C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R235" s="589"/>
      <c r="C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T235" s="589"/>
      <c r="C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V235" s="589"/>
      <c r="C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X235" s="589"/>
      <c r="C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Z235" s="589"/>
      <c r="D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B235" s="589"/>
      <c r="DC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D235" s="589"/>
      <c r="DE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F235" s="589"/>
      <c r="DG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H235" s="589"/>
      <c r="DI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J235" s="589"/>
      <c r="D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L235" s="589"/>
      <c r="D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N235" s="589"/>
      <c r="D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P235" s="589"/>
      <c r="D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R235" s="589"/>
      <c r="D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T235" s="589"/>
      <c r="D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V235" s="589"/>
      <c r="D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X235" s="589"/>
      <c r="D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Z235" s="589"/>
      <c r="E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B235" s="589"/>
      <c r="EC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D235" s="589"/>
      <c r="EE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F235" s="589"/>
      <c r="EG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H235" s="589"/>
      <c r="EI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J235" s="589"/>
      <c r="E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L235" s="589"/>
      <c r="E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N235" s="589"/>
      <c r="E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P235" s="589"/>
      <c r="E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R235" s="589"/>
      <c r="E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T235" s="589"/>
      <c r="E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V235" s="589"/>
      <c r="E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X235" s="589"/>
      <c r="E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Z235" s="589"/>
      <c r="F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B235" s="589"/>
      <c r="FC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D235" s="589"/>
      <c r="FE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F235" s="589"/>
      <c r="FG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H235" s="589"/>
      <c r="FI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J235" s="589"/>
      <c r="F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L235" s="589"/>
      <c r="F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N235" s="589"/>
      <c r="F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P235" s="589"/>
      <c r="F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R235" s="589"/>
      <c r="F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T235" s="589"/>
      <c r="F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V235" s="589"/>
      <c r="F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X235" s="589"/>
      <c r="F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Z235" s="589"/>
      <c r="G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B235" s="589"/>
      <c r="GC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D235" s="589"/>
      <c r="GE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F235" s="589"/>
      <c r="GG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H235" s="589"/>
      <c r="GI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J235" s="589"/>
      <c r="GK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L235" s="589"/>
      <c r="GM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N235" s="589"/>
      <c r="GO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P235" s="589"/>
      <c r="GQ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R235" s="589"/>
      <c r="GS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T235" s="589"/>
      <c r="GU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V235" s="589"/>
      <c r="GW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X235" s="589"/>
      <c r="GY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Z235" s="589"/>
      <c r="HA235" s="587">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HB235" s="589"/>
      <c r="IE235" s="579"/>
      <c r="IF235" s="579"/>
      <c r="IG235" s="579"/>
      <c r="IH235" s="579"/>
    </row>
    <row r="236" spans="1:242" s="164" customFormat="1" ht="19.8" hidden="1">
      <c r="A236" s="572">
        <v>10</v>
      </c>
      <c r="C236" s="584" t="s">
        <v>661</v>
      </c>
      <c r="D236" s="586"/>
      <c r="E236" s="586"/>
      <c r="F236" s="587"/>
      <c r="G236" s="587">
        <v>113</v>
      </c>
      <c r="H236" s="587">
        <v>169</v>
      </c>
      <c r="I236" s="589"/>
      <c r="J236" s="589"/>
      <c r="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L236" s="589"/>
      <c r="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N236" s="589"/>
      <c r="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P236" s="589"/>
      <c r="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R236" s="589"/>
      <c r="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T236" s="589"/>
      <c r="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V236" s="589"/>
      <c r="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X236" s="589"/>
      <c r="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Z236" s="589"/>
      <c r="A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B236" s="589"/>
      <c r="AC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D236" s="589"/>
      <c r="AE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F236" s="589"/>
      <c r="AG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H236" s="589"/>
      <c r="AI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J236" s="589"/>
      <c r="A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L236" s="589"/>
      <c r="A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N236" s="589"/>
      <c r="A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P236" s="589"/>
      <c r="A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R236" s="589"/>
      <c r="A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T236" s="589"/>
      <c r="A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V236" s="589"/>
      <c r="A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X236" s="589"/>
      <c r="A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Z236" s="589"/>
      <c r="B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B236" s="589"/>
      <c r="BC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D236" s="589"/>
      <c r="BE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F236" s="589"/>
      <c r="BG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H236" s="589"/>
      <c r="BI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J236" s="589"/>
      <c r="B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L236" s="589"/>
      <c r="B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N236" s="589"/>
      <c r="B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P236" s="589"/>
      <c r="B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R236" s="589"/>
      <c r="B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T236" s="589"/>
      <c r="B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V236" s="589"/>
      <c r="B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X236" s="589"/>
      <c r="B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Z236" s="589"/>
      <c r="C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B236" s="589"/>
      <c r="CC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D236" s="589"/>
      <c r="CE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F236" s="589"/>
      <c r="CG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H236" s="589"/>
      <c r="CI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J236" s="589"/>
      <c r="C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L236" s="589"/>
      <c r="C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N236" s="589"/>
      <c r="C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P236" s="589"/>
      <c r="C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R236" s="589"/>
      <c r="C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T236" s="589"/>
      <c r="C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V236" s="589"/>
      <c r="C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X236" s="589"/>
      <c r="C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Z236" s="589"/>
      <c r="D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B236" s="589"/>
      <c r="DC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D236" s="589"/>
      <c r="DE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F236" s="589"/>
      <c r="DG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H236" s="589"/>
      <c r="DI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J236" s="589"/>
      <c r="D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L236" s="589"/>
      <c r="D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N236" s="589"/>
      <c r="D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P236" s="589"/>
      <c r="D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R236" s="589"/>
      <c r="D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T236" s="589"/>
      <c r="D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V236" s="589"/>
      <c r="D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X236" s="589"/>
      <c r="D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Z236" s="589"/>
      <c r="E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B236" s="589"/>
      <c r="EC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D236" s="589"/>
      <c r="EE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F236" s="589"/>
      <c r="EG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H236" s="589"/>
      <c r="EI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J236" s="589"/>
      <c r="E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L236" s="589"/>
      <c r="E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N236" s="589"/>
      <c r="E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P236" s="589"/>
      <c r="E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R236" s="589"/>
      <c r="E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T236" s="589"/>
      <c r="E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V236" s="589"/>
      <c r="E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X236" s="589"/>
      <c r="E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Z236" s="589"/>
      <c r="F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B236" s="589"/>
      <c r="FC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D236" s="589"/>
      <c r="FE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F236" s="589"/>
      <c r="FG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H236" s="589"/>
      <c r="FI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J236" s="589"/>
      <c r="F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L236" s="589"/>
      <c r="F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N236" s="589"/>
      <c r="F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P236" s="589"/>
      <c r="F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R236" s="589"/>
      <c r="F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T236" s="589"/>
      <c r="F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V236" s="589"/>
      <c r="F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X236" s="589"/>
      <c r="F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Z236" s="589"/>
      <c r="G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B236" s="589"/>
      <c r="GC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D236" s="589"/>
      <c r="GE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F236" s="589"/>
      <c r="GG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H236" s="589"/>
      <c r="GI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J236" s="589"/>
      <c r="GK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L236" s="589"/>
      <c r="GM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N236" s="589"/>
      <c r="GO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P236" s="589"/>
      <c r="GQ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R236" s="589"/>
      <c r="GS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T236" s="589"/>
      <c r="GU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V236" s="589"/>
      <c r="GW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X236" s="589"/>
      <c r="GY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Z236" s="589"/>
      <c r="HA236" s="587">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HB236" s="589"/>
      <c r="IE236" s="579"/>
      <c r="IF236" s="579"/>
      <c r="IG236" s="579"/>
      <c r="IH236" s="579"/>
    </row>
    <row r="237" spans="1:242" s="164" customFormat="1" ht="19.8" hidden="1">
      <c r="A237" s="572">
        <v>11</v>
      </c>
      <c r="C237" s="584" t="s">
        <v>662</v>
      </c>
      <c r="D237" s="586"/>
      <c r="E237" s="586"/>
      <c r="F237" s="587"/>
      <c r="G237" s="587">
        <v>116</v>
      </c>
      <c r="H237" s="587">
        <v>169</v>
      </c>
      <c r="I237" s="589"/>
      <c r="J237" s="589"/>
      <c r="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L237" s="589"/>
      <c r="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N237" s="589"/>
      <c r="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P237" s="589"/>
      <c r="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R237" s="589"/>
      <c r="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T237" s="589"/>
      <c r="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V237" s="589"/>
      <c r="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X237" s="589"/>
      <c r="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Z237" s="589"/>
      <c r="A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B237" s="589"/>
      <c r="AC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D237" s="589"/>
      <c r="AE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F237" s="589"/>
      <c r="AG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H237" s="589"/>
      <c r="AI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J237" s="589"/>
      <c r="A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L237" s="589"/>
      <c r="A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N237" s="589"/>
      <c r="A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P237" s="589"/>
      <c r="A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R237" s="589"/>
      <c r="A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T237" s="589"/>
      <c r="A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V237" s="589"/>
      <c r="A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X237" s="589"/>
      <c r="A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Z237" s="589"/>
      <c r="B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B237" s="589"/>
      <c r="BC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D237" s="589"/>
      <c r="BE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F237" s="589"/>
      <c r="BG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H237" s="589"/>
      <c r="BI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J237" s="589"/>
      <c r="B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L237" s="589"/>
      <c r="B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N237" s="589"/>
      <c r="B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P237" s="589"/>
      <c r="B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R237" s="589"/>
      <c r="B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T237" s="589"/>
      <c r="B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V237" s="589"/>
      <c r="B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X237" s="589"/>
      <c r="B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Z237" s="589"/>
      <c r="C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B237" s="589"/>
      <c r="CC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D237" s="589"/>
      <c r="CE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F237" s="589"/>
      <c r="CG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H237" s="589"/>
      <c r="CI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J237" s="589"/>
      <c r="C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L237" s="589"/>
      <c r="C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N237" s="589"/>
      <c r="C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P237" s="589"/>
      <c r="C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R237" s="589"/>
      <c r="C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T237" s="589"/>
      <c r="C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V237" s="589"/>
      <c r="C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X237" s="589"/>
      <c r="C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Z237" s="589"/>
      <c r="D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B237" s="589"/>
      <c r="DC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D237" s="589"/>
      <c r="DE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F237" s="589"/>
      <c r="DG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H237" s="589"/>
      <c r="DI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J237" s="589"/>
      <c r="D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L237" s="589"/>
      <c r="D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N237" s="589"/>
      <c r="D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P237" s="589"/>
      <c r="D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R237" s="589"/>
      <c r="D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T237" s="589"/>
      <c r="D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V237" s="589"/>
      <c r="D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X237" s="589"/>
      <c r="D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Z237" s="589"/>
      <c r="E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B237" s="589"/>
      <c r="EC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D237" s="589"/>
      <c r="EE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F237" s="589"/>
      <c r="EG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H237" s="589"/>
      <c r="EI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J237" s="589"/>
      <c r="E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L237" s="589"/>
      <c r="E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N237" s="589"/>
      <c r="E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P237" s="589"/>
      <c r="E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R237" s="589"/>
      <c r="E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T237" s="589"/>
      <c r="E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V237" s="589"/>
      <c r="E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X237" s="589"/>
      <c r="E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Z237" s="589"/>
      <c r="F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B237" s="589"/>
      <c r="FC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D237" s="589"/>
      <c r="FE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F237" s="589"/>
      <c r="FG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H237" s="589"/>
      <c r="FI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J237" s="589"/>
      <c r="F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L237" s="589"/>
      <c r="F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N237" s="589"/>
      <c r="F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P237" s="589"/>
      <c r="F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R237" s="589"/>
      <c r="F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T237" s="589"/>
      <c r="F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V237" s="589"/>
      <c r="F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X237" s="589"/>
      <c r="F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Z237" s="589"/>
      <c r="G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B237" s="589"/>
      <c r="GC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D237" s="589"/>
      <c r="GE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F237" s="589"/>
      <c r="GG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H237" s="589"/>
      <c r="GI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J237" s="589"/>
      <c r="GK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L237" s="589"/>
      <c r="GM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N237" s="589"/>
      <c r="GO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P237" s="589"/>
      <c r="GQ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R237" s="589"/>
      <c r="GS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T237" s="589"/>
      <c r="GU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V237" s="589"/>
      <c r="GW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X237" s="589"/>
      <c r="GY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Z237" s="589"/>
      <c r="HA237" s="587">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HB237" s="589"/>
      <c r="IE237" s="579"/>
      <c r="IF237" s="579"/>
      <c r="IG237" s="579"/>
      <c r="IH237" s="579"/>
    </row>
    <row r="238" spans="1:242" s="164" customFormat="1" ht="19.8" hidden="1">
      <c r="A238" s="572">
        <v>12</v>
      </c>
      <c r="C238" s="584" t="s">
        <v>663</v>
      </c>
      <c r="D238" s="586"/>
      <c r="E238" s="586"/>
      <c r="F238" s="587"/>
      <c r="G238" s="587">
        <v>116</v>
      </c>
      <c r="H238" s="587">
        <v>169</v>
      </c>
      <c r="I238" s="589"/>
      <c r="J238" s="589"/>
      <c r="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L238" s="589"/>
      <c r="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N238" s="589"/>
      <c r="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P238" s="589"/>
      <c r="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R238" s="589"/>
      <c r="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T238" s="589"/>
      <c r="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V238" s="589"/>
      <c r="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X238" s="589"/>
      <c r="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Z238" s="589"/>
      <c r="A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B238" s="589"/>
      <c r="AC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D238" s="589"/>
      <c r="AE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F238" s="589"/>
      <c r="AG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H238" s="589"/>
      <c r="AI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J238" s="589"/>
      <c r="A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L238" s="589"/>
      <c r="A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N238" s="589"/>
      <c r="A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P238" s="589"/>
      <c r="A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R238" s="589"/>
      <c r="A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T238" s="589"/>
      <c r="A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V238" s="589"/>
      <c r="A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X238" s="589"/>
      <c r="A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Z238" s="589"/>
      <c r="B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B238" s="589"/>
      <c r="BC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D238" s="589"/>
      <c r="BE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F238" s="589"/>
      <c r="BG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H238" s="589"/>
      <c r="BI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J238" s="589"/>
      <c r="B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L238" s="589"/>
      <c r="B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N238" s="589"/>
      <c r="B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P238" s="589"/>
      <c r="B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R238" s="589"/>
      <c r="B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T238" s="589"/>
      <c r="B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V238" s="589"/>
      <c r="B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X238" s="589"/>
      <c r="B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Z238" s="589"/>
      <c r="C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B238" s="589"/>
      <c r="CC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D238" s="589"/>
      <c r="CE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F238" s="589"/>
      <c r="CG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H238" s="589"/>
      <c r="CI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J238" s="589"/>
      <c r="C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L238" s="589"/>
      <c r="C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N238" s="589"/>
      <c r="C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P238" s="589"/>
      <c r="C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R238" s="589"/>
      <c r="C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T238" s="589"/>
      <c r="C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V238" s="589"/>
      <c r="C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X238" s="589"/>
      <c r="C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Z238" s="589"/>
      <c r="D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B238" s="589"/>
      <c r="DC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D238" s="589"/>
      <c r="DE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F238" s="589"/>
      <c r="DG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H238" s="589"/>
      <c r="DI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J238" s="589"/>
      <c r="D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L238" s="589"/>
      <c r="D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N238" s="589"/>
      <c r="D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P238" s="589"/>
      <c r="D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R238" s="589"/>
      <c r="D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T238" s="589"/>
      <c r="D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V238" s="589"/>
      <c r="D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X238" s="589"/>
      <c r="D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Z238" s="589"/>
      <c r="E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B238" s="589"/>
      <c r="EC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D238" s="589"/>
      <c r="EE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F238" s="589"/>
      <c r="EG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H238" s="589"/>
      <c r="EI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J238" s="589"/>
      <c r="E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L238" s="589"/>
      <c r="E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N238" s="589"/>
      <c r="E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P238" s="589"/>
      <c r="E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R238" s="589"/>
      <c r="E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T238" s="589"/>
      <c r="E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V238" s="589"/>
      <c r="E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X238" s="589"/>
      <c r="E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Z238" s="589"/>
      <c r="F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B238" s="589"/>
      <c r="FC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D238" s="589"/>
      <c r="FE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F238" s="589"/>
      <c r="FG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H238" s="589"/>
      <c r="FI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J238" s="589"/>
      <c r="F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L238" s="589"/>
      <c r="F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N238" s="589"/>
      <c r="F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P238" s="589"/>
      <c r="F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R238" s="589"/>
      <c r="F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T238" s="589"/>
      <c r="F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V238" s="589"/>
      <c r="F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X238" s="589"/>
      <c r="F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Z238" s="589"/>
      <c r="G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B238" s="589"/>
      <c r="GC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D238" s="589"/>
      <c r="GE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F238" s="589"/>
      <c r="GG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H238" s="589"/>
      <c r="GI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J238" s="589"/>
      <c r="GK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L238" s="589"/>
      <c r="GM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N238" s="589"/>
      <c r="GO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P238" s="589"/>
      <c r="GQ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R238" s="589"/>
      <c r="GS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T238" s="589"/>
      <c r="GU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V238" s="589"/>
      <c r="GW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X238" s="589"/>
      <c r="GY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Z238" s="589"/>
      <c r="HA238" s="587">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HB238" s="589"/>
      <c r="IE238" s="579"/>
      <c r="IF238" s="579"/>
      <c r="IG238" s="579"/>
      <c r="IH238" s="579"/>
    </row>
    <row r="239" spans="1:242" s="164" customFormat="1" ht="19.8" hidden="1">
      <c r="A239" s="572">
        <v>13</v>
      </c>
      <c r="C239" s="584" t="s">
        <v>664</v>
      </c>
      <c r="D239" s="586"/>
      <c r="E239" s="586"/>
      <c r="F239" s="587"/>
      <c r="G239" s="587">
        <v>119</v>
      </c>
      <c r="H239" s="587">
        <v>169</v>
      </c>
      <c r="I239" s="589"/>
      <c r="J239" s="589"/>
      <c r="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L239" s="589"/>
      <c r="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N239" s="589"/>
      <c r="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P239" s="589"/>
      <c r="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R239" s="589"/>
      <c r="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T239" s="589"/>
      <c r="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V239" s="589"/>
      <c r="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X239" s="589"/>
      <c r="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Z239" s="589"/>
      <c r="A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B239" s="589"/>
      <c r="AC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D239" s="589"/>
      <c r="AE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F239" s="589"/>
      <c r="AG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H239" s="589"/>
      <c r="AI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J239" s="589"/>
      <c r="A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L239" s="589"/>
      <c r="A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N239" s="589"/>
      <c r="A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P239" s="589"/>
      <c r="A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R239" s="589"/>
      <c r="A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T239" s="589"/>
      <c r="A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V239" s="589"/>
      <c r="A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X239" s="589"/>
      <c r="A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Z239" s="589"/>
      <c r="B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B239" s="589"/>
      <c r="BC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D239" s="589"/>
      <c r="BE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F239" s="589"/>
      <c r="BG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H239" s="589"/>
      <c r="BI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J239" s="589"/>
      <c r="B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L239" s="589"/>
      <c r="B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N239" s="589"/>
      <c r="B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P239" s="589"/>
      <c r="B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R239" s="589"/>
      <c r="B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T239" s="589"/>
      <c r="B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V239" s="589"/>
      <c r="B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X239" s="589"/>
      <c r="B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Z239" s="589"/>
      <c r="C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B239" s="589"/>
      <c r="CC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D239" s="589"/>
      <c r="CE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F239" s="589"/>
      <c r="CG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H239" s="589"/>
      <c r="CI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J239" s="589"/>
      <c r="C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L239" s="589"/>
      <c r="C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N239" s="589"/>
      <c r="C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P239" s="589"/>
      <c r="C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R239" s="589"/>
      <c r="C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T239" s="589"/>
      <c r="C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V239" s="589"/>
      <c r="C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X239" s="589"/>
      <c r="C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Z239" s="589"/>
      <c r="D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B239" s="589"/>
      <c r="DC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D239" s="589"/>
      <c r="DE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F239" s="589"/>
      <c r="DG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H239" s="589"/>
      <c r="DI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J239" s="589"/>
      <c r="D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L239" s="589"/>
      <c r="D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N239" s="589"/>
      <c r="D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P239" s="589"/>
      <c r="D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R239" s="589"/>
      <c r="D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T239" s="589"/>
      <c r="D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V239" s="589"/>
      <c r="D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X239" s="589"/>
      <c r="D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Z239" s="589"/>
      <c r="E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B239" s="589"/>
      <c r="EC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D239" s="589"/>
      <c r="EE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F239" s="589"/>
      <c r="EG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H239" s="589"/>
      <c r="EI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J239" s="589"/>
      <c r="E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L239" s="589"/>
      <c r="E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N239" s="589"/>
      <c r="E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P239" s="589"/>
      <c r="E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R239" s="589"/>
      <c r="E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T239" s="589"/>
      <c r="E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V239" s="589"/>
      <c r="E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X239" s="589"/>
      <c r="E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Z239" s="589"/>
      <c r="F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B239" s="589"/>
      <c r="FC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D239" s="589"/>
      <c r="FE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F239" s="589"/>
      <c r="FG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H239" s="589"/>
      <c r="FI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J239" s="589"/>
      <c r="F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L239" s="589"/>
      <c r="F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N239" s="589"/>
      <c r="F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P239" s="589"/>
      <c r="F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R239" s="589"/>
      <c r="F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T239" s="589"/>
      <c r="F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V239" s="589"/>
      <c r="F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X239" s="589"/>
      <c r="F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Z239" s="589"/>
      <c r="G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B239" s="589"/>
      <c r="GC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D239" s="589"/>
      <c r="GE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F239" s="589"/>
      <c r="GG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H239" s="589"/>
      <c r="GI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J239" s="589"/>
      <c r="GK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L239" s="589"/>
      <c r="GM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N239" s="589"/>
      <c r="GO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P239" s="589"/>
      <c r="GQ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R239" s="589"/>
      <c r="GS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T239" s="589"/>
      <c r="GU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V239" s="589"/>
      <c r="GW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X239" s="589"/>
      <c r="GY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Z239" s="589"/>
      <c r="HA239" s="587">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HB239" s="589"/>
      <c r="IE239" s="579"/>
      <c r="IF239" s="579"/>
      <c r="IG239" s="579"/>
      <c r="IH239" s="579"/>
    </row>
    <row r="240" spans="1:242" s="164" customFormat="1" ht="19.8" hidden="1">
      <c r="A240" s="572">
        <v>14</v>
      </c>
      <c r="C240" s="584" t="s">
        <v>665</v>
      </c>
      <c r="D240" s="586"/>
      <c r="E240" s="586"/>
      <c r="F240" s="587"/>
      <c r="G240" s="587">
        <v>119</v>
      </c>
      <c r="H240" s="587">
        <v>169</v>
      </c>
      <c r="I240" s="589"/>
      <c r="J240" s="589"/>
      <c r="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L240" s="589"/>
      <c r="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N240" s="589"/>
      <c r="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P240" s="589"/>
      <c r="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R240" s="589"/>
      <c r="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T240" s="589"/>
      <c r="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V240" s="589"/>
      <c r="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X240" s="589"/>
      <c r="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Z240" s="589"/>
      <c r="A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B240" s="589"/>
      <c r="AC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D240" s="589"/>
      <c r="AE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F240" s="589"/>
      <c r="AG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H240" s="589"/>
      <c r="AI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J240" s="589"/>
      <c r="A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L240" s="589"/>
      <c r="A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N240" s="589"/>
      <c r="A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P240" s="589"/>
      <c r="A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R240" s="589"/>
      <c r="A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T240" s="589"/>
      <c r="A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V240" s="589"/>
      <c r="A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X240" s="589"/>
      <c r="A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Z240" s="589"/>
      <c r="B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B240" s="589"/>
      <c r="BC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D240" s="589"/>
      <c r="BE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F240" s="589"/>
      <c r="BG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H240" s="589"/>
      <c r="BI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J240" s="589"/>
      <c r="B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L240" s="589"/>
      <c r="B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N240" s="589"/>
      <c r="B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P240" s="589"/>
      <c r="B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R240" s="589"/>
      <c r="B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T240" s="589"/>
      <c r="B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V240" s="589"/>
      <c r="B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X240" s="589"/>
      <c r="B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Z240" s="589"/>
      <c r="C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B240" s="589"/>
      <c r="CC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D240" s="589"/>
      <c r="CE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F240" s="589"/>
      <c r="CG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H240" s="589"/>
      <c r="CI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J240" s="589"/>
      <c r="C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L240" s="589"/>
      <c r="C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N240" s="589"/>
      <c r="C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P240" s="589"/>
      <c r="C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R240" s="589"/>
      <c r="C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T240" s="589"/>
      <c r="C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V240" s="589"/>
      <c r="C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X240" s="589"/>
      <c r="C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Z240" s="589"/>
      <c r="D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B240" s="589"/>
      <c r="DC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D240" s="589"/>
      <c r="DE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F240" s="589"/>
      <c r="DG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H240" s="589"/>
      <c r="DI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J240" s="589"/>
      <c r="D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L240" s="589"/>
      <c r="D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N240" s="589"/>
      <c r="D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P240" s="589"/>
      <c r="D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R240" s="589"/>
      <c r="D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T240" s="589"/>
      <c r="D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V240" s="589"/>
      <c r="D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X240" s="589"/>
      <c r="D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Z240" s="589"/>
      <c r="E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B240" s="589"/>
      <c r="EC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D240" s="589"/>
      <c r="EE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F240" s="589"/>
      <c r="EG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H240" s="589"/>
      <c r="EI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J240" s="589"/>
      <c r="E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L240" s="589"/>
      <c r="E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N240" s="589"/>
      <c r="E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P240" s="589"/>
      <c r="E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R240" s="589"/>
      <c r="E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T240" s="589"/>
      <c r="E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V240" s="589"/>
      <c r="E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X240" s="589"/>
      <c r="E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Z240" s="589"/>
      <c r="F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B240" s="589"/>
      <c r="FC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D240" s="589"/>
      <c r="FE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F240" s="589"/>
      <c r="FG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H240" s="589"/>
      <c r="FI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J240" s="589"/>
      <c r="F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L240" s="589"/>
      <c r="F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N240" s="589"/>
      <c r="F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P240" s="589"/>
      <c r="F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R240" s="589"/>
      <c r="F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T240" s="589"/>
      <c r="F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V240" s="589"/>
      <c r="F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X240" s="589"/>
      <c r="F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Z240" s="589"/>
      <c r="G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B240" s="589"/>
      <c r="GC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D240" s="589"/>
      <c r="GE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F240" s="589"/>
      <c r="GG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H240" s="589"/>
      <c r="GI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J240" s="589"/>
      <c r="GK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L240" s="589"/>
      <c r="GM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N240" s="589"/>
      <c r="GO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P240" s="589"/>
      <c r="GQ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R240" s="589"/>
      <c r="GS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T240" s="589"/>
      <c r="GU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V240" s="589"/>
      <c r="GW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X240" s="589"/>
      <c r="GY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Z240" s="589"/>
      <c r="HA240" s="587">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HB240" s="589"/>
      <c r="IE240" s="579"/>
      <c r="IF240" s="579"/>
      <c r="IG240" s="579"/>
      <c r="IH240" s="579"/>
    </row>
    <row r="241" spans="1:242" s="164" customFormat="1" ht="19.8" hidden="1">
      <c r="A241" s="572">
        <v>15</v>
      </c>
      <c r="C241" s="584" t="s">
        <v>666</v>
      </c>
      <c r="D241" s="586"/>
      <c r="E241" s="586"/>
      <c r="F241" s="587">
        <v>205</v>
      </c>
      <c r="G241" s="587">
        <v>122</v>
      </c>
      <c r="H241" s="587">
        <v>169</v>
      </c>
      <c r="I241" s="587">
        <f ca="1">SUMPRODUCT(OFFSET(貼付け_2026実績,$F241,4,10,1),OFFSET(貼付け_2026実績,$F241,SUM(COLUMN()-COLUMN(貼付け_2026実績)),10,1))*1000</f>
        <v>0</v>
      </c>
      <c r="J241" s="587">
        <f ca="1">SUMPRODUCT(OFFSET(貼付け_2026実績,$F241,4,10,1),OFFSET(貼付け_2026実績,$F241,SUM(COLUMN()-COLUMN(貼付け_2026実績)),10,1))*1000</f>
        <v>0</v>
      </c>
      <c r="K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L241" s="589"/>
      <c r="M241" s="589"/>
      <c r="N241" s="589"/>
      <c r="O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P241" s="589"/>
      <c r="Q241" s="589"/>
      <c r="R241" s="589"/>
      <c r="S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T241" s="589"/>
      <c r="U241" s="589"/>
      <c r="V241" s="589"/>
      <c r="W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X241" s="589"/>
      <c r="Y241" s="589"/>
      <c r="Z241" s="589"/>
      <c r="AA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B241" s="589"/>
      <c r="AC241" s="589"/>
      <c r="AD241" s="589"/>
      <c r="AE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F241" s="589"/>
      <c r="AG241" s="589"/>
      <c r="AH241" s="589"/>
      <c r="AI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J241" s="589"/>
      <c r="AK241" s="589"/>
      <c r="AL241" s="589"/>
      <c r="AM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N241" s="589"/>
      <c r="AO241" s="589"/>
      <c r="AP241" s="589"/>
      <c r="AQ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R241" s="589"/>
      <c r="AS241" s="589"/>
      <c r="AT241" s="589"/>
      <c r="AU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V241" s="589"/>
      <c r="AW241" s="589"/>
      <c r="AX241" s="589"/>
      <c r="AY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Z241" s="589"/>
      <c r="BA241" s="589"/>
      <c r="BB241" s="589"/>
      <c r="BC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D241" s="589"/>
      <c r="BE241" s="589"/>
      <c r="BF241" s="589"/>
      <c r="BG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H241" s="589"/>
      <c r="BI241" s="589"/>
      <c r="BJ241" s="589"/>
      <c r="BK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L241" s="589"/>
      <c r="BM241" s="589"/>
      <c r="BN241" s="589"/>
      <c r="BO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P241" s="589"/>
      <c r="BQ241" s="589"/>
      <c r="BR241" s="589"/>
      <c r="BS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T241" s="589"/>
      <c r="BU241" s="589"/>
      <c r="BV241" s="589"/>
      <c r="BW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X241" s="589"/>
      <c r="BY241" s="589"/>
      <c r="BZ241" s="589"/>
      <c r="CA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B241" s="589"/>
      <c r="CC241" s="589"/>
      <c r="CD241" s="589"/>
      <c r="CE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F241" s="589"/>
      <c r="CG241" s="589"/>
      <c r="CH241" s="589"/>
      <c r="CI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J241" s="589"/>
      <c r="CK241" s="589"/>
      <c r="CL241" s="589"/>
      <c r="CM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N241" s="589"/>
      <c r="CO241" s="589"/>
      <c r="CP241" s="589"/>
      <c r="CQ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R241" s="589"/>
      <c r="CS241" s="589"/>
      <c r="CT241" s="589"/>
      <c r="CU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V241" s="589"/>
      <c r="CW241" s="589"/>
      <c r="CX241" s="589"/>
      <c r="CY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Z241" s="589"/>
      <c r="DA241" s="589"/>
      <c r="DB241" s="589"/>
      <c r="DC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D241" s="589"/>
      <c r="DE241" s="589"/>
      <c r="DF241" s="589"/>
      <c r="DG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H241" s="589"/>
      <c r="DI241" s="589"/>
      <c r="DJ241" s="589"/>
      <c r="DK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L241" s="589"/>
      <c r="DM241" s="589"/>
      <c r="DN241" s="589"/>
      <c r="DO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P241" s="589"/>
      <c r="DQ241" s="589"/>
      <c r="DR241" s="589"/>
      <c r="DS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T241" s="589"/>
      <c r="DU241" s="589"/>
      <c r="DV241" s="589"/>
      <c r="DW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X241" s="589"/>
      <c r="DY241" s="589"/>
      <c r="DZ241" s="589"/>
      <c r="EA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B241" s="589"/>
      <c r="EC241" s="589"/>
      <c r="ED241" s="589"/>
      <c r="EE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F241" s="589"/>
      <c r="EG241" s="589"/>
      <c r="EH241" s="589"/>
      <c r="EI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J241" s="589"/>
      <c r="EK241" s="589"/>
      <c r="EL241" s="589"/>
      <c r="EM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N241" s="589"/>
      <c r="EO241" s="589"/>
      <c r="EP241" s="589"/>
      <c r="EQ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R241" s="589"/>
      <c r="ES241" s="589"/>
      <c r="ET241" s="589"/>
      <c r="EU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V241" s="589"/>
      <c r="EW241" s="589"/>
      <c r="EX241" s="589"/>
      <c r="EY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Z241" s="589"/>
      <c r="FA241" s="589"/>
      <c r="FB241" s="589"/>
      <c r="FC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D241" s="589"/>
      <c r="FE241" s="589"/>
      <c r="FF241" s="589"/>
      <c r="FG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H241" s="589"/>
      <c r="FI241" s="589"/>
      <c r="FJ241" s="589"/>
      <c r="FK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L241" s="589"/>
      <c r="FM241" s="589"/>
      <c r="FN241" s="589"/>
      <c r="FO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P241" s="589"/>
      <c r="FQ241" s="589"/>
      <c r="FR241" s="589"/>
      <c r="FS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T241" s="589"/>
      <c r="FU241" s="589"/>
      <c r="FV241" s="589"/>
      <c r="FW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X241" s="589"/>
      <c r="FY241" s="589"/>
      <c r="FZ241" s="589"/>
      <c r="GA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B241" s="589"/>
      <c r="GC241" s="589"/>
      <c r="GD241" s="589"/>
      <c r="GE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F241" s="589"/>
      <c r="GG241" s="589"/>
      <c r="GH241" s="589"/>
      <c r="GI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J241" s="589"/>
      <c r="GK241" s="589"/>
      <c r="GL241" s="589"/>
      <c r="GM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N241" s="589"/>
      <c r="GO241" s="589"/>
      <c r="GP241" s="589"/>
      <c r="GQ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R241" s="589"/>
      <c r="GS241" s="589"/>
      <c r="GT241" s="589"/>
      <c r="GU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V241" s="589"/>
      <c r="GW241" s="589"/>
      <c r="GX241" s="589"/>
      <c r="GY241" s="587">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Z241" s="589"/>
      <c r="HA241" s="589"/>
      <c r="HB241" s="589"/>
      <c r="IE241" s="579"/>
      <c r="IF241" s="579"/>
      <c r="IG241" s="579"/>
      <c r="IH241" s="579"/>
    </row>
    <row r="242" spans="1:242" s="164" customFormat="1" ht="19.8" hidden="1">
      <c r="A242" s="572">
        <v>16</v>
      </c>
      <c r="C242" s="584" t="s">
        <v>667</v>
      </c>
      <c r="D242" s="586"/>
      <c r="E242" s="586"/>
      <c r="F242" s="587">
        <v>205</v>
      </c>
      <c r="G242" s="587">
        <v>122</v>
      </c>
      <c r="H242" s="587">
        <v>169</v>
      </c>
      <c r="I242" s="587">
        <f ca="1">SUMPRODUCT(OFFSET(貼付け_2026実績,$F242,5,10,1),OFFSET(貼付け_2026実績,$F242,SUM(COLUMN()-COLUMN(貼付け_2026実績)),10,1))*1000</f>
        <v>0</v>
      </c>
      <c r="J242" s="587">
        <f ca="1">SUMPRODUCT(OFFSET(貼付け_2026実績,$F242,5,10,1),OFFSET(貼付け_2026実績,$F242,SUM(COLUMN()-COLUMN(貼付け_2026実績)),10,1))*1000</f>
        <v>0</v>
      </c>
      <c r="K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L242" s="589"/>
      <c r="M242" s="589"/>
      <c r="N242" s="589"/>
      <c r="O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P242" s="589"/>
      <c r="Q242" s="589"/>
      <c r="R242" s="589"/>
      <c r="S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T242" s="589"/>
      <c r="U242" s="589"/>
      <c r="V242" s="589"/>
      <c r="W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X242" s="589"/>
      <c r="Y242" s="589"/>
      <c r="Z242" s="589"/>
      <c r="AA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B242" s="589"/>
      <c r="AC242" s="589"/>
      <c r="AD242" s="589"/>
      <c r="AE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F242" s="589"/>
      <c r="AG242" s="589"/>
      <c r="AH242" s="589"/>
      <c r="AI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J242" s="589"/>
      <c r="AK242" s="589"/>
      <c r="AL242" s="589"/>
      <c r="AM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N242" s="589"/>
      <c r="AO242" s="589"/>
      <c r="AP242" s="589"/>
      <c r="AQ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R242" s="589"/>
      <c r="AS242" s="589"/>
      <c r="AT242" s="589"/>
      <c r="AU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V242" s="589"/>
      <c r="AW242" s="589"/>
      <c r="AX242" s="589"/>
      <c r="AY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Z242" s="589"/>
      <c r="BA242" s="589"/>
      <c r="BB242" s="589"/>
      <c r="BC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D242" s="589"/>
      <c r="BE242" s="589"/>
      <c r="BF242" s="589"/>
      <c r="BG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H242" s="589"/>
      <c r="BI242" s="589"/>
      <c r="BJ242" s="589"/>
      <c r="BK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L242" s="589"/>
      <c r="BM242" s="589"/>
      <c r="BN242" s="589"/>
      <c r="BO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P242" s="589"/>
      <c r="BQ242" s="589"/>
      <c r="BR242" s="589"/>
      <c r="BS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T242" s="589"/>
      <c r="BU242" s="589"/>
      <c r="BV242" s="589"/>
      <c r="BW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X242" s="589"/>
      <c r="BY242" s="589"/>
      <c r="BZ242" s="589"/>
      <c r="CA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B242" s="589"/>
      <c r="CC242" s="589"/>
      <c r="CD242" s="589"/>
      <c r="CE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F242" s="589"/>
      <c r="CG242" s="589"/>
      <c r="CH242" s="589"/>
      <c r="CI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J242" s="589"/>
      <c r="CK242" s="589"/>
      <c r="CL242" s="589"/>
      <c r="CM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N242" s="589"/>
      <c r="CO242" s="589"/>
      <c r="CP242" s="589"/>
      <c r="CQ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R242" s="589"/>
      <c r="CS242" s="589"/>
      <c r="CT242" s="589"/>
      <c r="CU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V242" s="589"/>
      <c r="CW242" s="589"/>
      <c r="CX242" s="589"/>
      <c r="CY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Z242" s="589"/>
      <c r="DA242" s="589"/>
      <c r="DB242" s="589"/>
      <c r="DC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D242" s="589"/>
      <c r="DE242" s="589"/>
      <c r="DF242" s="589"/>
      <c r="DG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H242" s="589"/>
      <c r="DI242" s="589"/>
      <c r="DJ242" s="589"/>
      <c r="DK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L242" s="589"/>
      <c r="DM242" s="589"/>
      <c r="DN242" s="589"/>
      <c r="DO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P242" s="589"/>
      <c r="DQ242" s="589"/>
      <c r="DR242" s="589"/>
      <c r="DS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T242" s="589"/>
      <c r="DU242" s="589"/>
      <c r="DV242" s="589"/>
      <c r="DW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X242" s="589"/>
      <c r="DY242" s="589"/>
      <c r="DZ242" s="589"/>
      <c r="EA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B242" s="589"/>
      <c r="EC242" s="589"/>
      <c r="ED242" s="589"/>
      <c r="EE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F242" s="589"/>
      <c r="EG242" s="589"/>
      <c r="EH242" s="589"/>
      <c r="EI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J242" s="589"/>
      <c r="EK242" s="589"/>
      <c r="EL242" s="589"/>
      <c r="EM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N242" s="589"/>
      <c r="EO242" s="589"/>
      <c r="EP242" s="589"/>
      <c r="EQ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R242" s="589"/>
      <c r="ES242" s="589"/>
      <c r="ET242" s="589"/>
      <c r="EU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V242" s="589"/>
      <c r="EW242" s="589"/>
      <c r="EX242" s="589"/>
      <c r="EY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Z242" s="589"/>
      <c r="FA242" s="589"/>
      <c r="FB242" s="589"/>
      <c r="FC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D242" s="589"/>
      <c r="FE242" s="589"/>
      <c r="FF242" s="589"/>
      <c r="FG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H242" s="589"/>
      <c r="FI242" s="589"/>
      <c r="FJ242" s="589"/>
      <c r="FK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L242" s="589"/>
      <c r="FM242" s="589"/>
      <c r="FN242" s="589"/>
      <c r="FO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P242" s="589"/>
      <c r="FQ242" s="589"/>
      <c r="FR242" s="589"/>
      <c r="FS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T242" s="589"/>
      <c r="FU242" s="589"/>
      <c r="FV242" s="589"/>
      <c r="FW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X242" s="589"/>
      <c r="FY242" s="589"/>
      <c r="FZ242" s="589"/>
      <c r="GA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B242" s="589"/>
      <c r="GC242" s="589"/>
      <c r="GD242" s="589"/>
      <c r="GE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F242" s="589"/>
      <c r="GG242" s="589"/>
      <c r="GH242" s="589"/>
      <c r="GI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J242" s="589"/>
      <c r="GK242" s="589"/>
      <c r="GL242" s="589"/>
      <c r="GM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N242" s="589"/>
      <c r="GO242" s="589"/>
      <c r="GP242" s="589"/>
      <c r="GQ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R242" s="589"/>
      <c r="GS242" s="589"/>
      <c r="GT242" s="589"/>
      <c r="GU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V242" s="589"/>
      <c r="GW242" s="589"/>
      <c r="GX242" s="589"/>
      <c r="GY242" s="587">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Z242" s="589"/>
      <c r="HA242" s="589"/>
      <c r="HB242" s="589"/>
      <c r="IE242" s="579"/>
      <c r="IF242" s="579"/>
      <c r="IG242" s="579"/>
      <c r="IH242" s="579"/>
    </row>
    <row r="243" spans="1:242" s="164" customFormat="1" ht="19.8" hidden="1">
      <c r="A243" s="572">
        <v>17</v>
      </c>
      <c r="C243" s="584" t="s">
        <v>668</v>
      </c>
      <c r="D243" s="586"/>
      <c r="E243" s="586"/>
      <c r="F243" s="587"/>
      <c r="G243" s="587">
        <v>122</v>
      </c>
      <c r="H243" s="587">
        <v>169</v>
      </c>
      <c r="I243" s="589"/>
      <c r="J243" s="589"/>
      <c r="K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L243" s="589"/>
      <c r="M243" s="589"/>
      <c r="N243" s="589"/>
      <c r="O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P243" s="589"/>
      <c r="Q243" s="589"/>
      <c r="R243" s="589"/>
      <c r="S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T243" s="589"/>
      <c r="U243" s="589"/>
      <c r="V243" s="589"/>
      <c r="W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X243" s="589"/>
      <c r="Y243" s="589"/>
      <c r="Z243" s="589"/>
      <c r="AA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B243" s="589"/>
      <c r="AC243" s="589"/>
      <c r="AD243" s="589"/>
      <c r="AE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F243" s="589"/>
      <c r="AG243" s="589"/>
      <c r="AH243" s="589"/>
      <c r="AI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J243" s="589"/>
      <c r="AK243" s="589"/>
      <c r="AL243" s="589"/>
      <c r="AM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N243" s="589"/>
      <c r="AO243" s="589"/>
      <c r="AP243" s="589"/>
      <c r="AQ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R243" s="589"/>
      <c r="AS243" s="589"/>
      <c r="AT243" s="589"/>
      <c r="AU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V243" s="589"/>
      <c r="AW243" s="589"/>
      <c r="AX243" s="589"/>
      <c r="AY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Z243" s="589"/>
      <c r="BA243" s="589"/>
      <c r="BB243" s="589"/>
      <c r="BC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D243" s="589"/>
      <c r="BE243" s="589"/>
      <c r="BF243" s="589"/>
      <c r="BG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H243" s="589"/>
      <c r="BI243" s="589"/>
      <c r="BJ243" s="589"/>
      <c r="BK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L243" s="589"/>
      <c r="BM243" s="589"/>
      <c r="BN243" s="589"/>
      <c r="BO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P243" s="589"/>
      <c r="BQ243" s="589"/>
      <c r="BR243" s="589"/>
      <c r="BS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T243" s="589"/>
      <c r="BU243" s="589"/>
      <c r="BV243" s="589"/>
      <c r="BW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X243" s="589"/>
      <c r="BY243" s="589"/>
      <c r="BZ243" s="589"/>
      <c r="CA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B243" s="589"/>
      <c r="CC243" s="589"/>
      <c r="CD243" s="589"/>
      <c r="CE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F243" s="589"/>
      <c r="CG243" s="589"/>
      <c r="CH243" s="589"/>
      <c r="CI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J243" s="589"/>
      <c r="CK243" s="589"/>
      <c r="CL243" s="589"/>
      <c r="CM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N243" s="589"/>
      <c r="CO243" s="589"/>
      <c r="CP243" s="589"/>
      <c r="CQ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R243" s="589"/>
      <c r="CS243" s="589"/>
      <c r="CT243" s="589"/>
      <c r="CU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V243" s="589"/>
      <c r="CW243" s="589"/>
      <c r="CX243" s="589"/>
      <c r="CY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Z243" s="589"/>
      <c r="DA243" s="589"/>
      <c r="DB243" s="589"/>
      <c r="DC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D243" s="589"/>
      <c r="DE243" s="589"/>
      <c r="DF243" s="589"/>
      <c r="DG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H243" s="589"/>
      <c r="DI243" s="589"/>
      <c r="DJ243" s="589"/>
      <c r="DK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L243" s="589"/>
      <c r="DM243" s="589"/>
      <c r="DN243" s="589"/>
      <c r="DO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P243" s="589"/>
      <c r="DQ243" s="589"/>
      <c r="DR243" s="589"/>
      <c r="DS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T243" s="589"/>
      <c r="DU243" s="589"/>
      <c r="DV243" s="589"/>
      <c r="DW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X243" s="589"/>
      <c r="DY243" s="589"/>
      <c r="DZ243" s="589"/>
      <c r="EA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B243" s="589"/>
      <c r="EC243" s="589"/>
      <c r="ED243" s="589"/>
      <c r="EE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F243" s="589"/>
      <c r="EG243" s="589"/>
      <c r="EH243" s="589"/>
      <c r="EI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J243" s="589"/>
      <c r="EK243" s="589"/>
      <c r="EL243" s="589"/>
      <c r="EM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N243" s="589"/>
      <c r="EO243" s="589"/>
      <c r="EP243" s="589"/>
      <c r="EQ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R243" s="589"/>
      <c r="ES243" s="589"/>
      <c r="ET243" s="589"/>
      <c r="EU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V243" s="589"/>
      <c r="EW243" s="589"/>
      <c r="EX243" s="589"/>
      <c r="EY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Z243" s="589"/>
      <c r="FA243" s="589"/>
      <c r="FB243" s="589"/>
      <c r="FC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D243" s="589"/>
      <c r="FE243" s="589"/>
      <c r="FF243" s="589"/>
      <c r="FG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H243" s="589"/>
      <c r="FI243" s="589"/>
      <c r="FJ243" s="589"/>
      <c r="FK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L243" s="589"/>
      <c r="FM243" s="589"/>
      <c r="FN243" s="589"/>
      <c r="FO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P243" s="589"/>
      <c r="FQ243" s="589"/>
      <c r="FR243" s="589"/>
      <c r="FS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T243" s="589"/>
      <c r="FU243" s="589"/>
      <c r="FV243" s="589"/>
      <c r="FW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X243" s="589"/>
      <c r="FY243" s="589"/>
      <c r="FZ243" s="589"/>
      <c r="GA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B243" s="589"/>
      <c r="GC243" s="589"/>
      <c r="GD243" s="589"/>
      <c r="GE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F243" s="589"/>
      <c r="GG243" s="589"/>
      <c r="GH243" s="589"/>
      <c r="GI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J243" s="589"/>
      <c r="GK243" s="589"/>
      <c r="GL243" s="589"/>
      <c r="GM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N243" s="589"/>
      <c r="GO243" s="589"/>
      <c r="GP243" s="589"/>
      <c r="GQ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R243" s="589"/>
      <c r="GS243" s="589"/>
      <c r="GT243" s="589"/>
      <c r="GU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V243" s="589"/>
      <c r="GW243" s="589"/>
      <c r="GX243" s="589"/>
      <c r="GY243" s="587">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Z243" s="589"/>
      <c r="HA243" s="589"/>
      <c r="HB243" s="589"/>
      <c r="IE243" s="579"/>
      <c r="IF243" s="579"/>
      <c r="IG243" s="579"/>
      <c r="IH243" s="579"/>
    </row>
    <row r="244" spans="1:242" hidden="1"/>
    <row r="245" spans="1:242" s="154" customFormat="1" ht="20.100000000000001" hidden="1" customHeight="1">
      <c r="A245" s="173" t="s">
        <v>710</v>
      </c>
      <c r="B245" s="173"/>
      <c r="C245" s="179"/>
      <c r="D245" s="180"/>
      <c r="E245" s="181"/>
      <c r="F245" s="180"/>
      <c r="G245" s="180"/>
      <c r="H245" s="181"/>
      <c r="I245" s="180"/>
      <c r="J245" s="180"/>
      <c r="K245" s="181"/>
      <c r="L245" s="180"/>
      <c r="M245" s="180"/>
      <c r="N245" s="181"/>
      <c r="O245" s="180"/>
      <c r="P245" s="180"/>
      <c r="Q245" s="181"/>
      <c r="R245" s="180"/>
      <c r="S245" s="180"/>
      <c r="T245" s="181"/>
      <c r="U245" s="180"/>
      <c r="V245" s="180"/>
      <c r="W245" s="181"/>
      <c r="X245" s="180"/>
      <c r="Y245" s="180"/>
      <c r="Z245" s="181"/>
      <c r="AA245" s="180"/>
      <c r="AB245" s="180"/>
      <c r="AC245" s="181"/>
      <c r="AD245" s="180"/>
      <c r="AE245" s="180"/>
      <c r="AF245" s="181"/>
      <c r="AG245" s="180"/>
      <c r="AH245" s="180"/>
      <c r="AI245" s="181"/>
      <c r="AJ245" s="180"/>
      <c r="AK245" s="180"/>
      <c r="AL245" s="181"/>
      <c r="AM245" s="180"/>
      <c r="AN245" s="180"/>
      <c r="IE245" s="571"/>
      <c r="IF245" s="571"/>
      <c r="IG245" s="571"/>
      <c r="IH245" s="571"/>
    </row>
    <row r="246" spans="1:242" ht="20.100000000000001" hidden="1" customHeight="1" thickBot="1">
      <c r="B246" s="590" t="s">
        <v>711</v>
      </c>
      <c r="C246" s="591">
        <v>1</v>
      </c>
      <c r="D246" s="592">
        <v>2</v>
      </c>
      <c r="E246" s="591">
        <v>3</v>
      </c>
      <c r="F246" s="592">
        <v>4</v>
      </c>
      <c r="G246" s="591">
        <v>5</v>
      </c>
      <c r="H246" s="592">
        <v>6</v>
      </c>
      <c r="I246" s="591">
        <v>7</v>
      </c>
      <c r="J246" s="592">
        <v>8</v>
      </c>
      <c r="K246" s="591">
        <v>9</v>
      </c>
      <c r="L246" s="592">
        <v>10</v>
      </c>
      <c r="M246" s="591">
        <v>11</v>
      </c>
      <c r="N246" s="592">
        <v>12</v>
      </c>
      <c r="O246" s="591">
        <v>13</v>
      </c>
      <c r="P246" s="592">
        <v>14</v>
      </c>
      <c r="Q246" s="591">
        <v>15</v>
      </c>
      <c r="R246" s="592">
        <v>16</v>
      </c>
      <c r="S246" s="591">
        <v>17</v>
      </c>
      <c r="T246" s="592">
        <v>18</v>
      </c>
      <c r="U246" s="591">
        <v>19</v>
      </c>
      <c r="V246" s="592">
        <v>20</v>
      </c>
      <c r="W246" s="591">
        <v>21</v>
      </c>
      <c r="X246" s="592">
        <v>22</v>
      </c>
      <c r="Y246" s="591">
        <v>23</v>
      </c>
      <c r="Z246" s="592">
        <v>24</v>
      </c>
      <c r="AA246" s="591">
        <v>25</v>
      </c>
      <c r="AB246" s="592">
        <v>26</v>
      </c>
      <c r="AC246" s="591">
        <v>27</v>
      </c>
      <c r="AD246" s="592">
        <v>28</v>
      </c>
      <c r="AE246" s="591">
        <v>29</v>
      </c>
      <c r="AF246" s="592">
        <v>30</v>
      </c>
      <c r="AG246" s="591">
        <v>31</v>
      </c>
      <c r="AH246" s="592">
        <v>32</v>
      </c>
      <c r="AI246" s="591">
        <v>33</v>
      </c>
      <c r="AJ246" s="592">
        <v>34</v>
      </c>
      <c r="AK246" s="591">
        <v>35</v>
      </c>
      <c r="AL246" s="592">
        <v>36</v>
      </c>
      <c r="AM246" s="591">
        <v>37</v>
      </c>
      <c r="AN246" s="592">
        <v>38</v>
      </c>
      <c r="AO246" s="591">
        <v>39</v>
      </c>
      <c r="AP246" s="592">
        <v>40</v>
      </c>
      <c r="AQ246" s="591">
        <v>41</v>
      </c>
      <c r="AR246" s="592">
        <v>42</v>
      </c>
    </row>
    <row r="247" spans="1:242" ht="19.5" hidden="1" customHeight="1" thickBot="1">
      <c r="A247" s="156">
        <v>1</v>
      </c>
      <c r="B247" s="1048" t="s">
        <v>671</v>
      </c>
      <c r="C247" s="1049"/>
      <c r="D247" s="1050"/>
      <c r="E247" s="593">
        <v>1</v>
      </c>
      <c r="F247" s="594">
        <v>2</v>
      </c>
      <c r="G247" s="594">
        <v>3</v>
      </c>
      <c r="H247" s="594">
        <v>4</v>
      </c>
      <c r="I247" s="594">
        <v>5</v>
      </c>
      <c r="J247" s="594">
        <v>6</v>
      </c>
      <c r="K247" s="594">
        <v>7</v>
      </c>
      <c r="L247" s="594">
        <v>8</v>
      </c>
      <c r="M247" s="594">
        <v>9</v>
      </c>
      <c r="N247" s="594">
        <v>10</v>
      </c>
      <c r="O247" s="594">
        <v>11</v>
      </c>
      <c r="P247" s="594">
        <v>12</v>
      </c>
      <c r="Q247" s="594">
        <v>13</v>
      </c>
      <c r="R247" s="593">
        <v>14</v>
      </c>
      <c r="S247" s="594">
        <v>15</v>
      </c>
      <c r="T247" s="594">
        <v>16</v>
      </c>
      <c r="U247" s="594">
        <v>17</v>
      </c>
      <c r="V247" s="594">
        <v>18</v>
      </c>
      <c r="W247" s="594">
        <v>19</v>
      </c>
      <c r="X247" s="594">
        <v>20</v>
      </c>
      <c r="Y247" s="594">
        <v>21</v>
      </c>
      <c r="Z247" s="594">
        <v>22</v>
      </c>
      <c r="AA247" s="594">
        <v>23</v>
      </c>
      <c r="AB247" s="594">
        <v>24</v>
      </c>
      <c r="AC247" s="594">
        <v>25</v>
      </c>
      <c r="AD247" s="594">
        <v>26</v>
      </c>
      <c r="AE247" s="593">
        <v>27</v>
      </c>
      <c r="AF247" s="594">
        <v>28</v>
      </c>
      <c r="AG247" s="594">
        <v>29</v>
      </c>
      <c r="AH247" s="594">
        <v>30</v>
      </c>
      <c r="AI247" s="594">
        <v>31</v>
      </c>
      <c r="AJ247" s="594">
        <v>32</v>
      </c>
      <c r="AK247" s="594">
        <v>33</v>
      </c>
      <c r="AL247" s="594">
        <v>34</v>
      </c>
      <c r="AM247" s="594">
        <v>35</v>
      </c>
      <c r="AN247" s="594">
        <v>36</v>
      </c>
      <c r="AO247" s="594">
        <v>37</v>
      </c>
      <c r="AP247" s="594">
        <v>38</v>
      </c>
      <c r="AQ247" s="594">
        <v>39</v>
      </c>
      <c r="AR247" s="594">
        <v>40</v>
      </c>
      <c r="AS247" s="594">
        <v>41</v>
      </c>
      <c r="AT247" s="594">
        <v>42</v>
      </c>
      <c r="AU247" s="594">
        <v>43</v>
      </c>
      <c r="AV247" s="594">
        <v>44</v>
      </c>
      <c r="AW247" s="594">
        <v>45</v>
      </c>
      <c r="AX247" s="594">
        <v>46</v>
      </c>
      <c r="AY247" s="594">
        <v>47</v>
      </c>
      <c r="AZ247" s="594">
        <v>48</v>
      </c>
      <c r="BA247" s="594">
        <v>49</v>
      </c>
      <c r="BB247" s="595">
        <v>50</v>
      </c>
      <c r="BC247" s="592"/>
    </row>
    <row r="248" spans="1:242" s="569" customFormat="1" ht="18.75" hidden="1" customHeight="1">
      <c r="A248" s="156">
        <v>2</v>
      </c>
      <c r="B248" s="1051" t="s">
        <v>672</v>
      </c>
      <c r="C248" s="596" t="s">
        <v>673</v>
      </c>
      <c r="D248" s="597">
        <v>2026</v>
      </c>
      <c r="E248" s="733">
        <f t="shared" ref="E248:BB248" ca="1" si="96">IFERROR(MATCH($B248&amp;E$247,OFFSET(INDIRECT("貼付け_"&amp;$D248&amp;"実績"),4,0,1,205),0)-1,"")</f>
        <v>33</v>
      </c>
      <c r="F248" s="598">
        <f t="shared" ca="1" si="96"/>
        <v>37</v>
      </c>
      <c r="G248" s="598">
        <f t="shared" ca="1" si="96"/>
        <v>41</v>
      </c>
      <c r="H248" s="598">
        <f t="shared" ca="1" si="96"/>
        <v>45</v>
      </c>
      <c r="I248" s="598">
        <f t="shared" ca="1" si="96"/>
        <v>49</v>
      </c>
      <c r="J248" s="598">
        <f t="shared" ca="1" si="96"/>
        <v>53</v>
      </c>
      <c r="K248" s="598">
        <f t="shared" ca="1" si="96"/>
        <v>57</v>
      </c>
      <c r="L248" s="598">
        <f t="shared" ca="1" si="96"/>
        <v>61</v>
      </c>
      <c r="M248" s="598">
        <f t="shared" ca="1" si="96"/>
        <v>65</v>
      </c>
      <c r="N248" s="598">
        <f t="shared" ca="1" si="96"/>
        <v>69</v>
      </c>
      <c r="O248" s="598" t="str">
        <f ca="1">IFERROR(MATCH($B248&amp;O$247,OFFSET(INDIRECT("貼付け_"&amp;$D248&amp;"実績"),4,0,1,205),0)-1,"")</f>
        <v/>
      </c>
      <c r="P248" s="598" t="str">
        <f t="shared" ca="1" si="96"/>
        <v/>
      </c>
      <c r="Q248" s="598" t="str">
        <f t="shared" ca="1" si="96"/>
        <v/>
      </c>
      <c r="R248" s="598" t="str">
        <f t="shared" ca="1" si="96"/>
        <v/>
      </c>
      <c r="S248" s="598" t="str">
        <f t="shared" ca="1" si="96"/>
        <v/>
      </c>
      <c r="T248" s="598" t="str">
        <f t="shared" ca="1" si="96"/>
        <v/>
      </c>
      <c r="U248" s="598" t="str">
        <f t="shared" ca="1" si="96"/>
        <v/>
      </c>
      <c r="V248" s="598" t="str">
        <f t="shared" ca="1" si="96"/>
        <v/>
      </c>
      <c r="W248" s="598" t="str">
        <f t="shared" ca="1" si="96"/>
        <v/>
      </c>
      <c r="X248" s="598" t="str">
        <f t="shared" ca="1" si="96"/>
        <v/>
      </c>
      <c r="Y248" s="598" t="str">
        <f t="shared" ca="1" si="96"/>
        <v/>
      </c>
      <c r="Z248" s="598" t="str">
        <f t="shared" ca="1" si="96"/>
        <v/>
      </c>
      <c r="AA248" s="598" t="str">
        <f t="shared" ca="1" si="96"/>
        <v/>
      </c>
      <c r="AB248" s="598" t="str">
        <f t="shared" ca="1" si="96"/>
        <v/>
      </c>
      <c r="AC248" s="598" t="str">
        <f t="shared" ca="1" si="96"/>
        <v/>
      </c>
      <c r="AD248" s="598" t="str">
        <f t="shared" ca="1" si="96"/>
        <v/>
      </c>
      <c r="AE248" s="598" t="str">
        <f t="shared" ca="1" si="96"/>
        <v/>
      </c>
      <c r="AF248" s="598" t="str">
        <f t="shared" ca="1" si="96"/>
        <v/>
      </c>
      <c r="AG248" s="598" t="str">
        <f t="shared" ca="1" si="96"/>
        <v/>
      </c>
      <c r="AH248" s="598" t="str">
        <f t="shared" ca="1" si="96"/>
        <v/>
      </c>
      <c r="AI248" s="598" t="str">
        <f t="shared" ca="1" si="96"/>
        <v/>
      </c>
      <c r="AJ248" s="598" t="str">
        <f t="shared" ca="1" si="96"/>
        <v/>
      </c>
      <c r="AK248" s="598" t="str">
        <f t="shared" ca="1" si="96"/>
        <v/>
      </c>
      <c r="AL248" s="598" t="str">
        <f t="shared" ca="1" si="96"/>
        <v/>
      </c>
      <c r="AM248" s="598" t="str">
        <f t="shared" ca="1" si="96"/>
        <v/>
      </c>
      <c r="AN248" s="598" t="str">
        <f t="shared" ca="1" si="96"/>
        <v/>
      </c>
      <c r="AO248" s="598" t="str">
        <f t="shared" ca="1" si="96"/>
        <v/>
      </c>
      <c r="AP248" s="598" t="str">
        <f t="shared" ca="1" si="96"/>
        <v/>
      </c>
      <c r="AQ248" s="598" t="str">
        <f t="shared" ca="1" si="96"/>
        <v/>
      </c>
      <c r="AR248" s="598" t="str">
        <f t="shared" ca="1" si="96"/>
        <v/>
      </c>
      <c r="AS248" s="598" t="str">
        <f t="shared" ca="1" si="96"/>
        <v/>
      </c>
      <c r="AT248" s="598" t="str">
        <f t="shared" ca="1" si="96"/>
        <v/>
      </c>
      <c r="AU248" s="598" t="str">
        <f t="shared" ca="1" si="96"/>
        <v/>
      </c>
      <c r="AV248" s="598" t="str">
        <f t="shared" ca="1" si="96"/>
        <v/>
      </c>
      <c r="AW248" s="598" t="str">
        <f t="shared" ca="1" si="96"/>
        <v/>
      </c>
      <c r="AX248" s="598" t="str">
        <f t="shared" ca="1" si="96"/>
        <v/>
      </c>
      <c r="AY248" s="598" t="str">
        <f t="shared" ca="1" si="96"/>
        <v/>
      </c>
      <c r="AZ248" s="598" t="str">
        <f t="shared" ca="1" si="96"/>
        <v/>
      </c>
      <c r="BA248" s="598" t="str">
        <f t="shared" ca="1" si="96"/>
        <v/>
      </c>
      <c r="BB248" s="649" t="str">
        <f t="shared" ca="1" si="96"/>
        <v/>
      </c>
      <c r="BC248" s="156" t="str">
        <f>D248&amp;"年度"</f>
        <v>2026年度</v>
      </c>
      <c r="BD248" s="156">
        <v>1</v>
      </c>
      <c r="BE248" s="156">
        <v>2</v>
      </c>
      <c r="BF248" s="156">
        <v>3</v>
      </c>
      <c r="BG248" s="156">
        <v>4</v>
      </c>
      <c r="BH248" s="156">
        <v>5</v>
      </c>
      <c r="BI248" s="156">
        <v>6</v>
      </c>
      <c r="BJ248" s="156">
        <v>7</v>
      </c>
      <c r="BK248" s="156">
        <v>8</v>
      </c>
      <c r="BL248" s="156">
        <v>9</v>
      </c>
      <c r="BM248" s="156">
        <v>10</v>
      </c>
      <c r="BN248" s="156">
        <v>11</v>
      </c>
      <c r="BO248" s="156">
        <v>12</v>
      </c>
      <c r="BP248" s="156">
        <v>13</v>
      </c>
      <c r="BQ248" s="156">
        <v>14</v>
      </c>
      <c r="BR248" s="156">
        <v>15</v>
      </c>
      <c r="BS248" s="156">
        <v>16</v>
      </c>
      <c r="BT248" s="156">
        <v>17</v>
      </c>
      <c r="BU248" s="156">
        <v>18</v>
      </c>
      <c r="BV248" s="156">
        <v>19</v>
      </c>
      <c r="BW248" s="156">
        <v>20</v>
      </c>
      <c r="BX248" s="156">
        <v>21</v>
      </c>
      <c r="BY248" s="156">
        <v>22</v>
      </c>
      <c r="BZ248" s="156">
        <v>23</v>
      </c>
      <c r="CA248" s="156">
        <v>24</v>
      </c>
      <c r="CB248" s="156">
        <v>25</v>
      </c>
      <c r="CC248" s="156">
        <v>26</v>
      </c>
      <c r="CD248" s="156">
        <v>27</v>
      </c>
      <c r="CE248" s="156">
        <v>28</v>
      </c>
      <c r="CF248" s="156">
        <v>29</v>
      </c>
      <c r="CG248" s="156">
        <v>30</v>
      </c>
      <c r="CH248" s="156">
        <v>31</v>
      </c>
      <c r="CI248" s="156">
        <v>32</v>
      </c>
      <c r="CJ248" s="156">
        <v>33</v>
      </c>
      <c r="CK248" s="156">
        <v>34</v>
      </c>
      <c r="CL248" s="156">
        <v>35</v>
      </c>
      <c r="CM248" s="156">
        <v>36</v>
      </c>
      <c r="CN248" s="156">
        <v>37</v>
      </c>
      <c r="CO248" s="156">
        <v>38</v>
      </c>
      <c r="CP248" s="156">
        <v>39</v>
      </c>
      <c r="CQ248" s="156">
        <v>40</v>
      </c>
      <c r="CR248" s="156">
        <v>41</v>
      </c>
      <c r="CS248" s="156">
        <v>42</v>
      </c>
      <c r="CT248" s="156">
        <v>43</v>
      </c>
      <c r="CU248" s="156">
        <v>44</v>
      </c>
      <c r="CV248" s="156">
        <v>45</v>
      </c>
      <c r="CW248" s="156">
        <v>46</v>
      </c>
      <c r="CX248" s="156">
        <v>47</v>
      </c>
      <c r="CY248" s="156">
        <v>48</v>
      </c>
      <c r="CZ248" s="156">
        <v>49</v>
      </c>
      <c r="DA248" s="156">
        <v>50</v>
      </c>
      <c r="DB248" s="156"/>
      <c r="DC248" s="156"/>
      <c r="DD248" s="156"/>
      <c r="DE248" s="156"/>
      <c r="DF248" s="156"/>
      <c r="DG248" s="156"/>
      <c r="DH248" s="156"/>
      <c r="DI248" s="156"/>
      <c r="DJ248" s="156"/>
      <c r="DK248" s="156"/>
      <c r="DL248" s="156"/>
      <c r="DM248" s="156"/>
      <c r="DN248" s="156"/>
      <c r="DO248" s="156"/>
      <c r="DP248" s="156"/>
      <c r="DQ248" s="156"/>
      <c r="DR248" s="156"/>
      <c r="DS248" s="156"/>
      <c r="DT248" s="156"/>
      <c r="DU248" s="156"/>
      <c r="DV248" s="156"/>
      <c r="DW248" s="156"/>
      <c r="DX248" s="156"/>
      <c r="DY248" s="156"/>
      <c r="DZ248" s="156"/>
      <c r="EA248" s="156"/>
      <c r="EB248" s="156"/>
      <c r="EC248" s="156"/>
      <c r="ED248" s="156"/>
      <c r="EE248" s="156"/>
      <c r="EF248" s="156"/>
      <c r="EG248" s="156"/>
      <c r="EH248" s="156"/>
      <c r="EI248" s="156"/>
      <c r="EJ248" s="156"/>
      <c r="EK248" s="156"/>
      <c r="EL248" s="156"/>
      <c r="EM248" s="156"/>
      <c r="EN248" s="156"/>
      <c r="EO248" s="156"/>
      <c r="EP248" s="156"/>
      <c r="EQ248" s="156"/>
      <c r="ER248" s="156"/>
      <c r="ES248" s="156"/>
      <c r="ET248" s="156"/>
      <c r="EU248" s="156"/>
      <c r="EV248" s="156"/>
      <c r="EW248" s="156"/>
      <c r="EX248" s="156"/>
      <c r="EY248" s="156"/>
      <c r="EZ248" s="156"/>
      <c r="FA248" s="156"/>
      <c r="FB248" s="156"/>
      <c r="FC248" s="156"/>
      <c r="FD248" s="156"/>
      <c r="FE248" s="156"/>
      <c r="FF248" s="156"/>
      <c r="FG248" s="156"/>
      <c r="FH248" s="156"/>
      <c r="FI248" s="156"/>
      <c r="FJ248" s="156"/>
      <c r="FK248" s="156"/>
      <c r="FL248" s="156"/>
      <c r="FM248" s="156"/>
      <c r="FN248" s="156"/>
      <c r="FO248" s="156"/>
      <c r="FP248" s="156"/>
      <c r="FQ248" s="156"/>
      <c r="FR248" s="156"/>
      <c r="FS248" s="156"/>
      <c r="FT248" s="156"/>
      <c r="FU248" s="156"/>
      <c r="FV248" s="156"/>
      <c r="FW248" s="156"/>
      <c r="FX248" s="156"/>
      <c r="FY248" s="156"/>
      <c r="FZ248" s="156"/>
      <c r="GA248" s="156"/>
      <c r="GB248" s="156"/>
      <c r="GC248" s="156"/>
      <c r="GD248" s="156"/>
      <c r="GE248" s="156"/>
      <c r="GF248" s="156"/>
      <c r="GG248" s="156"/>
      <c r="GH248" s="156"/>
      <c r="GI248" s="156"/>
      <c r="GJ248" s="156"/>
      <c r="GK248" s="156"/>
      <c r="GL248" s="156"/>
      <c r="GM248" s="156"/>
      <c r="GN248" s="156"/>
      <c r="GO248" s="156"/>
      <c r="GP248" s="156"/>
      <c r="GQ248" s="156"/>
      <c r="GR248" s="156"/>
      <c r="GS248" s="156"/>
      <c r="GT248" s="156"/>
      <c r="GU248" s="156"/>
      <c r="GV248" s="156"/>
      <c r="GW248" s="156"/>
      <c r="GX248" s="156"/>
      <c r="GY248" s="156"/>
      <c r="GZ248" s="156"/>
      <c r="HA248" s="156"/>
      <c r="HB248" s="156"/>
      <c r="HC248" s="156"/>
      <c r="HD248" s="156"/>
      <c r="HE248" s="156"/>
      <c r="HF248" s="156"/>
      <c r="HG248" s="156"/>
      <c r="HH248" s="156"/>
      <c r="HI248" s="156"/>
      <c r="HJ248" s="156"/>
      <c r="HK248" s="156"/>
      <c r="IE248" s="603"/>
      <c r="IF248" s="603"/>
      <c r="IG248" s="603"/>
      <c r="IH248" s="603"/>
    </row>
    <row r="249" spans="1:242" s="569" customFormat="1" ht="19.5" hidden="1" customHeight="1">
      <c r="A249" s="569">
        <v>3</v>
      </c>
      <c r="B249" s="1052"/>
      <c r="C249" s="599" t="str">
        <f>"~"&amp;D248-1&amp;"/"&amp;D248</f>
        <v>~2025/2026</v>
      </c>
      <c r="D249" s="600" t="str">
        <f>""</f>
        <v/>
      </c>
      <c r="E249" s="734" t="str">
        <f t="shared" ref="E249:AJ249" ca="1" si="97">IF(OFFSET(A1_原単位2025,6,E$247+2)="",OFFSET(A1_原単位2025,3,E$247+2),OFFSET(A1_原単位2025,6,E$247+2))</f>
        <v/>
      </c>
      <c r="F249" s="601" t="str">
        <f t="shared" ca="1" si="97"/>
        <v/>
      </c>
      <c r="G249" s="601" t="str">
        <f t="shared" ca="1" si="97"/>
        <v/>
      </c>
      <c r="H249" s="601" t="str">
        <f t="shared" ca="1" si="97"/>
        <v/>
      </c>
      <c r="I249" s="601" t="str">
        <f t="shared" ca="1" si="97"/>
        <v/>
      </c>
      <c r="J249" s="601" t="str">
        <f t="shared" ca="1" si="97"/>
        <v/>
      </c>
      <c r="K249" s="601" t="str">
        <f t="shared" ca="1" si="97"/>
        <v/>
      </c>
      <c r="L249" s="601" t="str">
        <f t="shared" ca="1" si="97"/>
        <v/>
      </c>
      <c r="M249" s="601" t="str">
        <f t="shared" ca="1" si="97"/>
        <v/>
      </c>
      <c r="N249" s="601" t="str">
        <f t="shared" ca="1" si="97"/>
        <v/>
      </c>
      <c r="O249" s="601" t="str">
        <f ca="1">IF(OFFSET(A1_原単位2025,6,O$247+2)="",OFFSET(A1_原単位2025,3,O$247+2),OFFSET(A1_原単位2025,6,O$247+2))</f>
        <v/>
      </c>
      <c r="P249" s="601" t="str">
        <f t="shared" ca="1" si="97"/>
        <v/>
      </c>
      <c r="Q249" s="601" t="str">
        <f t="shared" ca="1" si="97"/>
        <v/>
      </c>
      <c r="R249" s="601" t="str">
        <f t="shared" ca="1" si="97"/>
        <v/>
      </c>
      <c r="S249" s="601" t="str">
        <f t="shared" ca="1" si="97"/>
        <v/>
      </c>
      <c r="T249" s="601" t="str">
        <f t="shared" ca="1" si="97"/>
        <v/>
      </c>
      <c r="U249" s="601" t="str">
        <f t="shared" ca="1" si="97"/>
        <v/>
      </c>
      <c r="V249" s="601" t="str">
        <f t="shared" ca="1" si="97"/>
        <v/>
      </c>
      <c r="W249" s="601" t="str">
        <f t="shared" ca="1" si="97"/>
        <v/>
      </c>
      <c r="X249" s="601" t="str">
        <f t="shared" ca="1" si="97"/>
        <v/>
      </c>
      <c r="Y249" s="601" t="str">
        <f t="shared" ca="1" si="97"/>
        <v/>
      </c>
      <c r="Z249" s="601" t="str">
        <f t="shared" ca="1" si="97"/>
        <v/>
      </c>
      <c r="AA249" s="601" t="str">
        <f t="shared" ca="1" si="97"/>
        <v/>
      </c>
      <c r="AB249" s="601" t="str">
        <f t="shared" ca="1" si="97"/>
        <v/>
      </c>
      <c r="AC249" s="601" t="str">
        <f t="shared" ca="1" si="97"/>
        <v/>
      </c>
      <c r="AD249" s="601" t="str">
        <f t="shared" ca="1" si="97"/>
        <v/>
      </c>
      <c r="AE249" s="601" t="str">
        <f t="shared" ca="1" si="97"/>
        <v/>
      </c>
      <c r="AF249" s="601" t="str">
        <f t="shared" ca="1" si="97"/>
        <v/>
      </c>
      <c r="AG249" s="601" t="str">
        <f t="shared" ca="1" si="97"/>
        <v/>
      </c>
      <c r="AH249" s="601" t="str">
        <f t="shared" ca="1" si="97"/>
        <v/>
      </c>
      <c r="AI249" s="601" t="str">
        <f t="shared" ca="1" si="97"/>
        <v/>
      </c>
      <c r="AJ249" s="601" t="str">
        <f t="shared" ca="1" si="97"/>
        <v/>
      </c>
      <c r="AK249" s="601" t="str">
        <f t="shared" ref="AK249:BB249" ca="1" si="98">IF(OFFSET(A1_原単位2025,6,AK$247+2)="",OFFSET(A1_原単位2025,3,AK$247+2),OFFSET(A1_原単位2025,6,AK$247+2))</f>
        <v/>
      </c>
      <c r="AL249" s="601" t="str">
        <f t="shared" ca="1" si="98"/>
        <v/>
      </c>
      <c r="AM249" s="601" t="str">
        <f t="shared" ca="1" si="98"/>
        <v/>
      </c>
      <c r="AN249" s="601" t="str">
        <f t="shared" ca="1" si="98"/>
        <v/>
      </c>
      <c r="AO249" s="601" t="str">
        <f t="shared" ca="1" si="98"/>
        <v/>
      </c>
      <c r="AP249" s="601" t="str">
        <f t="shared" ca="1" si="98"/>
        <v/>
      </c>
      <c r="AQ249" s="601" t="str">
        <f t="shared" ca="1" si="98"/>
        <v/>
      </c>
      <c r="AR249" s="601" t="str">
        <f t="shared" ca="1" si="98"/>
        <v/>
      </c>
      <c r="AS249" s="601" t="str">
        <f t="shared" ca="1" si="98"/>
        <v/>
      </c>
      <c r="AT249" s="601" t="str">
        <f t="shared" ca="1" si="98"/>
        <v/>
      </c>
      <c r="AU249" s="601" t="str">
        <f t="shared" ca="1" si="98"/>
        <v/>
      </c>
      <c r="AV249" s="601" t="str">
        <f t="shared" ca="1" si="98"/>
        <v/>
      </c>
      <c r="AW249" s="601" t="str">
        <f t="shared" ca="1" si="98"/>
        <v/>
      </c>
      <c r="AX249" s="601" t="str">
        <f t="shared" ca="1" si="98"/>
        <v/>
      </c>
      <c r="AY249" s="601" t="str">
        <f t="shared" ca="1" si="98"/>
        <v/>
      </c>
      <c r="AZ249" s="601" t="str">
        <f t="shared" ca="1" si="98"/>
        <v/>
      </c>
      <c r="BA249" s="601" t="str">
        <f t="shared" ca="1" si="98"/>
        <v/>
      </c>
      <c r="BB249" s="650" t="str">
        <f t="shared" ca="1" si="98"/>
        <v/>
      </c>
      <c r="BC249" s="601" t="str">
        <f>""</f>
        <v/>
      </c>
      <c r="BD249" s="601" t="str">
        <f t="shared" ref="BD249:CI249" ca="1" si="99">IFERROR(OFFSET(貼付け_2026実績,5,E248+1),"")&amp;""</f>
        <v/>
      </c>
      <c r="BE249" s="601" t="str">
        <f t="shared" ca="1" si="99"/>
        <v/>
      </c>
      <c r="BF249" s="601" t="str">
        <f t="shared" ca="1" si="99"/>
        <v/>
      </c>
      <c r="BG249" s="601" t="str">
        <f t="shared" ca="1" si="99"/>
        <v/>
      </c>
      <c r="BH249" s="601" t="str">
        <f t="shared" ca="1" si="99"/>
        <v/>
      </c>
      <c r="BI249" s="601" t="str">
        <f t="shared" ca="1" si="99"/>
        <v/>
      </c>
      <c r="BJ249" s="601" t="str">
        <f t="shared" ca="1" si="99"/>
        <v/>
      </c>
      <c r="BK249" s="601" t="str">
        <f t="shared" ca="1" si="99"/>
        <v/>
      </c>
      <c r="BL249" s="601" t="str">
        <f t="shared" ca="1" si="99"/>
        <v/>
      </c>
      <c r="BM249" s="601" t="str">
        <f t="shared" ca="1" si="99"/>
        <v/>
      </c>
      <c r="BN249" s="601" t="str">
        <f ca="1">IFERROR(OFFSET(貼付け_2026実績,5,O248+1),"")&amp;""</f>
        <v/>
      </c>
      <c r="BO249" s="601" t="str">
        <f t="shared" ca="1" si="99"/>
        <v/>
      </c>
      <c r="BP249" s="601" t="str">
        <f t="shared" ca="1" si="99"/>
        <v/>
      </c>
      <c r="BQ249" s="601" t="str">
        <f t="shared" ca="1" si="99"/>
        <v/>
      </c>
      <c r="BR249" s="601" t="str">
        <f t="shared" ca="1" si="99"/>
        <v/>
      </c>
      <c r="BS249" s="601" t="str">
        <f t="shared" ca="1" si="99"/>
        <v/>
      </c>
      <c r="BT249" s="601" t="str">
        <f t="shared" ca="1" si="99"/>
        <v/>
      </c>
      <c r="BU249" s="601" t="str">
        <f t="shared" ca="1" si="99"/>
        <v/>
      </c>
      <c r="BV249" s="601" t="str">
        <f t="shared" ca="1" si="99"/>
        <v/>
      </c>
      <c r="BW249" s="601" t="str">
        <f t="shared" ca="1" si="99"/>
        <v/>
      </c>
      <c r="BX249" s="601" t="str">
        <f t="shared" ca="1" si="99"/>
        <v/>
      </c>
      <c r="BY249" s="601" t="str">
        <f t="shared" ca="1" si="99"/>
        <v/>
      </c>
      <c r="BZ249" s="601" t="str">
        <f t="shared" ca="1" si="99"/>
        <v/>
      </c>
      <c r="CA249" s="601" t="str">
        <f t="shared" ca="1" si="99"/>
        <v/>
      </c>
      <c r="CB249" s="601" t="str">
        <f t="shared" ca="1" si="99"/>
        <v/>
      </c>
      <c r="CC249" s="601" t="str">
        <f t="shared" ca="1" si="99"/>
        <v/>
      </c>
      <c r="CD249" s="601" t="str">
        <f t="shared" ca="1" si="99"/>
        <v/>
      </c>
      <c r="CE249" s="601" t="str">
        <f t="shared" ca="1" si="99"/>
        <v/>
      </c>
      <c r="CF249" s="601" t="str">
        <f t="shared" ca="1" si="99"/>
        <v/>
      </c>
      <c r="CG249" s="601" t="str">
        <f t="shared" ca="1" si="99"/>
        <v/>
      </c>
      <c r="CH249" s="601" t="str">
        <f t="shared" ca="1" si="99"/>
        <v/>
      </c>
      <c r="CI249" s="601" t="str">
        <f t="shared" ca="1" si="99"/>
        <v/>
      </c>
      <c r="CJ249" s="601" t="str">
        <f t="shared" ref="CJ249:DA249" ca="1" si="100">IFERROR(OFFSET(貼付け_2026実績,5,AK248+1),"")&amp;""</f>
        <v/>
      </c>
      <c r="CK249" s="601" t="str">
        <f t="shared" ca="1" si="100"/>
        <v/>
      </c>
      <c r="CL249" s="601" t="str">
        <f t="shared" ca="1" si="100"/>
        <v/>
      </c>
      <c r="CM249" s="601" t="str">
        <f t="shared" ca="1" si="100"/>
        <v/>
      </c>
      <c r="CN249" s="601" t="str">
        <f t="shared" ca="1" si="100"/>
        <v/>
      </c>
      <c r="CO249" s="601" t="str">
        <f t="shared" ca="1" si="100"/>
        <v/>
      </c>
      <c r="CP249" s="601" t="str">
        <f t="shared" ca="1" si="100"/>
        <v/>
      </c>
      <c r="CQ249" s="601" t="str">
        <f t="shared" ca="1" si="100"/>
        <v/>
      </c>
      <c r="CR249" s="601" t="str">
        <f t="shared" ca="1" si="100"/>
        <v/>
      </c>
      <c r="CS249" s="601" t="str">
        <f t="shared" ca="1" si="100"/>
        <v/>
      </c>
      <c r="CT249" s="601" t="str">
        <f t="shared" ca="1" si="100"/>
        <v/>
      </c>
      <c r="CU249" s="601" t="str">
        <f t="shared" ca="1" si="100"/>
        <v/>
      </c>
      <c r="CV249" s="601" t="str">
        <f t="shared" ca="1" si="100"/>
        <v/>
      </c>
      <c r="CW249" s="601" t="str">
        <f t="shared" ca="1" si="100"/>
        <v/>
      </c>
      <c r="CX249" s="601" t="str">
        <f t="shared" ca="1" si="100"/>
        <v/>
      </c>
      <c r="CY249" s="601" t="str">
        <f t="shared" ca="1" si="100"/>
        <v/>
      </c>
      <c r="CZ249" s="601" t="str">
        <f t="shared" ca="1" si="100"/>
        <v/>
      </c>
      <c r="DA249" s="601" t="str">
        <f t="shared" ca="1" si="100"/>
        <v/>
      </c>
      <c r="IE249" s="603"/>
      <c r="IF249" s="603"/>
      <c r="IG249" s="603"/>
      <c r="IH249" s="603"/>
    </row>
    <row r="250" spans="1:242" s="569" customFormat="1" hidden="1">
      <c r="A250" s="569">
        <v>4</v>
      </c>
      <c r="B250" s="1052"/>
      <c r="C250" s="599" t="str">
        <f>"~"&amp;D248-1&amp;"&amp;"&amp;D248</f>
        <v>~2025&amp;2026</v>
      </c>
      <c r="D250" s="600" t="str">
        <f>""</f>
        <v/>
      </c>
      <c r="E250" s="734" t="str">
        <f t="array" aca="1" ref="E250" ca="1">IFERROR(INDEX($E249:$DA249,MATCH(0,COUNTIF($D250:D250,$E249:$DA249),0)),"")</f>
        <v/>
      </c>
      <c r="F250" s="601" t="str">
        <f t="array" aca="1" ref="F250" ca="1">IFERROR(INDEX($E249:$DA249,MATCH(0,COUNTIF($D250:E250,$E249:$DA249),0)),"")</f>
        <v/>
      </c>
      <c r="G250" s="601" t="str">
        <f t="array" aca="1" ref="G250" ca="1">IFERROR(INDEX($E249:$DA249,MATCH(0,COUNTIF($D250:F250,$E249:$DA249),0)),"")</f>
        <v/>
      </c>
      <c r="H250" s="601" t="str">
        <f t="array" aca="1" ref="H250" ca="1">IFERROR(INDEX($E249:$DA249,MATCH(0,COUNTIF($D250:G250,$E249:$DA249),0)),"")</f>
        <v/>
      </c>
      <c r="I250" s="601" t="str">
        <f t="array" aca="1" ref="I250" ca="1">IFERROR(INDEX($E249:$DA249,MATCH(0,COUNTIF($D250:H250,$E249:$DA249),0)),"")</f>
        <v/>
      </c>
      <c r="J250" s="601" t="str">
        <f t="array" aca="1" ref="J250" ca="1">IFERROR(INDEX($E249:$DA249,MATCH(0,COUNTIF($D250:I250,$E249:$DA249),0)),"")</f>
        <v/>
      </c>
      <c r="K250" s="601" t="str">
        <f t="array" aca="1" ref="K250" ca="1">IFERROR(INDEX($E249:$DA249,MATCH(0,COUNTIF($D250:J250,$E249:$DA249),0)),"")</f>
        <v/>
      </c>
      <c r="L250" s="601" t="str">
        <f t="array" aca="1" ref="L250" ca="1">IFERROR(INDEX($E249:$DA249,MATCH(0,COUNTIF($D250:K250,$E249:$DA249),0)),"")</f>
        <v/>
      </c>
      <c r="M250" s="601" t="str">
        <f t="array" aca="1" ref="M250" ca="1">IFERROR(INDEX($E249:$DA249,MATCH(0,COUNTIF($D250:L250,$E249:$DA249),0)),"")</f>
        <v/>
      </c>
      <c r="N250" s="601" t="str">
        <f t="array" aca="1" ref="N250" ca="1">IFERROR(INDEX($E249:$DA249,MATCH(0,COUNTIF($D250:M250,$E249:$DA249),0)),"")</f>
        <v/>
      </c>
      <c r="O250" s="601" t="str">
        <f t="array" aca="1" ref="O250" ca="1">IFERROR(INDEX($E249:$DA249,MATCH(0,COUNTIF($D250:N250,$E249:$DA249),0)),"")</f>
        <v/>
      </c>
      <c r="P250" s="601" t="str">
        <f t="array" aca="1" ref="P250" ca="1">IFERROR(INDEX($E249:$DA249,MATCH(0,COUNTIF($D250:O250,$E249:$DA249),0)),"")</f>
        <v/>
      </c>
      <c r="Q250" s="601" t="str">
        <f t="array" aca="1" ref="Q250" ca="1">IFERROR(INDEX($E249:$DA249,MATCH(0,COUNTIF($D250:P250,$E249:$DA249),0)),"")</f>
        <v/>
      </c>
      <c r="R250" s="601" t="str">
        <f t="array" aca="1" ref="R250" ca="1">IFERROR(INDEX($E249:$DA249,MATCH(0,COUNTIF($D250:Q250,$E249:$DA249),0)),"")</f>
        <v/>
      </c>
      <c r="S250" s="601" t="str">
        <f t="array" aca="1" ref="S250" ca="1">IFERROR(INDEX($E249:$DA249,MATCH(0,COUNTIF($D250:R250,$E249:$DA249),0)),"")</f>
        <v/>
      </c>
      <c r="T250" s="601" t="str">
        <f t="array" aca="1" ref="T250" ca="1">IFERROR(INDEX($E249:$DA249,MATCH(0,COUNTIF($D250:S250,$E249:$DA249),0)),"")</f>
        <v/>
      </c>
      <c r="U250" s="601" t="str">
        <f t="array" aca="1" ref="U250" ca="1">IFERROR(INDEX($E249:$DA249,MATCH(0,COUNTIF($D250:T250,$E249:$DA249),0)),"")</f>
        <v/>
      </c>
      <c r="V250" s="601" t="str">
        <f t="array" aca="1" ref="V250" ca="1">IFERROR(INDEX($E249:$DA249,MATCH(0,COUNTIF($D250:U250,$E249:$DA249),0)),"")</f>
        <v/>
      </c>
      <c r="W250" s="601" t="str">
        <f t="array" aca="1" ref="W250" ca="1">IFERROR(INDEX($E249:$DA249,MATCH(0,COUNTIF($D250:V250,$E249:$DA249),0)),"")</f>
        <v/>
      </c>
      <c r="X250" s="601" t="str">
        <f t="array" aca="1" ref="X250" ca="1">IFERROR(INDEX($E249:$DA249,MATCH(0,COUNTIF($D250:W250,$E249:$DA249),0)),"")</f>
        <v/>
      </c>
      <c r="Y250" s="601" t="str">
        <f t="array" aca="1" ref="Y250" ca="1">IFERROR(INDEX($E249:$DA249,MATCH(0,COUNTIF($D250:X250,$E249:$DA249),0)),"")</f>
        <v/>
      </c>
      <c r="Z250" s="601" t="str">
        <f t="array" aca="1" ref="Z250" ca="1">IFERROR(INDEX($E249:$DA249,MATCH(0,COUNTIF($D250:Y250,$E249:$DA249),0)),"")</f>
        <v/>
      </c>
      <c r="AA250" s="601" t="str">
        <f t="array" aca="1" ref="AA250" ca="1">IFERROR(INDEX($E249:$DA249,MATCH(0,COUNTIF($D250:Z250,$E249:$DA249),0)),"")</f>
        <v/>
      </c>
      <c r="AB250" s="601" t="str">
        <f t="array" aca="1" ref="AB250" ca="1">IFERROR(INDEX($E249:$DA249,MATCH(0,COUNTIF($D250:AA250,$E249:$DA249),0)),"")</f>
        <v/>
      </c>
      <c r="AC250" s="601" t="str">
        <f t="array" aca="1" ref="AC250" ca="1">IFERROR(INDEX($E249:$DA249,MATCH(0,COUNTIF($D250:AB250,$E249:$DA249),0)),"")</f>
        <v/>
      </c>
      <c r="AD250" s="601" t="str">
        <f t="array" aca="1" ref="AD250" ca="1">IFERROR(INDEX($E249:$DA249,MATCH(0,COUNTIF($D250:AC250,$E249:$DA249),0)),"")</f>
        <v/>
      </c>
      <c r="AE250" s="601" t="str">
        <f t="array" aca="1" ref="AE250" ca="1">IFERROR(INDEX($E249:$DA249,MATCH(0,COUNTIF($D250:AD250,$E249:$DA249),0)),"")</f>
        <v/>
      </c>
      <c r="AF250" s="601" t="str">
        <f t="array" aca="1" ref="AF250" ca="1">IFERROR(INDEX($E249:$DA249,MATCH(0,COUNTIF($D250:AE250,$E249:$DA249),0)),"")</f>
        <v/>
      </c>
      <c r="AG250" s="601" t="str">
        <f t="array" aca="1" ref="AG250" ca="1">IFERROR(INDEX($E249:$DA249,MATCH(0,COUNTIF($D250:AF250,$E249:$DA249),0)),"")</f>
        <v/>
      </c>
      <c r="AH250" s="601" t="str">
        <f t="array" aca="1" ref="AH250" ca="1">IFERROR(INDEX($E249:$DA249,MATCH(0,COUNTIF($D250:AG250,$E249:$DA249),0)),"")</f>
        <v/>
      </c>
      <c r="AI250" s="601" t="str">
        <f t="array" aca="1" ref="AI250" ca="1">IFERROR(INDEX($E249:$DA249,MATCH(0,COUNTIF($D250:AH250,$E249:$DA249),0)),"")</f>
        <v/>
      </c>
      <c r="AJ250" s="601" t="str">
        <f t="array" aca="1" ref="AJ250" ca="1">IFERROR(INDEX($E249:$DA249,MATCH(0,COUNTIF($D250:AI250,$E249:$DA249),0)),"")</f>
        <v/>
      </c>
      <c r="AK250" s="601" t="str">
        <f t="array" aca="1" ref="AK250" ca="1">IFERROR(INDEX($E249:$DA249,MATCH(0,COUNTIF($D250:AJ250,$E249:$DA249),0)),"")</f>
        <v/>
      </c>
      <c r="AL250" s="601" t="str">
        <f t="array" aca="1" ref="AL250" ca="1">IFERROR(INDEX($E249:$DA249,MATCH(0,COUNTIF($D250:AK250,$E249:$DA249),0)),"")</f>
        <v/>
      </c>
      <c r="AM250" s="601" t="str">
        <f t="array" aca="1" ref="AM250" ca="1">IFERROR(INDEX($E249:$DA249,MATCH(0,COUNTIF($D250:AL250,$E249:$DA249),0)),"")</f>
        <v/>
      </c>
      <c r="AN250" s="601" t="str">
        <f t="array" aca="1" ref="AN250" ca="1">IFERROR(INDEX($E249:$DA249,MATCH(0,COUNTIF($D250:AM250,$E249:$DA249),0)),"")</f>
        <v/>
      </c>
      <c r="AO250" s="601" t="str">
        <f t="array" aca="1" ref="AO250" ca="1">IFERROR(INDEX($E249:$DA249,MATCH(0,COUNTIF($D250:AN250,$E249:$DA249),0)),"")</f>
        <v/>
      </c>
      <c r="AP250" s="601" t="str">
        <f t="array" aca="1" ref="AP250" ca="1">IFERROR(INDEX($E249:$DA249,MATCH(0,COUNTIF($D250:AO250,$E249:$DA249),0)),"")</f>
        <v/>
      </c>
      <c r="AQ250" s="601" t="str">
        <f t="array" aca="1" ref="AQ250" ca="1">IFERROR(INDEX($E249:$DA249,MATCH(0,COUNTIF($D250:AP250,$E249:$DA249),0)),"")</f>
        <v/>
      </c>
      <c r="AR250" s="601" t="str">
        <f t="array" aca="1" ref="AR250" ca="1">IFERROR(INDEX($E249:$DA249,MATCH(0,COUNTIF($D250:AQ250,$E249:$DA249),0)),"")</f>
        <v/>
      </c>
      <c r="AS250" s="601" t="str">
        <f t="array" aca="1" ref="AS250" ca="1">IFERROR(INDEX($E249:$DA249,MATCH(0,COUNTIF($D250:AR250,$E249:$DA249),0)),"")</f>
        <v/>
      </c>
      <c r="AT250" s="601" t="str">
        <f t="array" aca="1" ref="AT250" ca="1">IFERROR(INDEX($E249:$DA249,MATCH(0,COUNTIF($D250:AS250,$E249:$DA249),0)),"")</f>
        <v/>
      </c>
      <c r="AU250" s="601" t="str">
        <f t="array" aca="1" ref="AU250" ca="1">IFERROR(INDEX($E249:$DA249,MATCH(0,COUNTIF($D250:AT250,$E249:$DA249),0)),"")</f>
        <v/>
      </c>
      <c r="AV250" s="601" t="str">
        <f t="array" aca="1" ref="AV250" ca="1">IFERROR(INDEX($E249:$DA249,MATCH(0,COUNTIF($D250:AU250,$E249:$DA249),0)),"")</f>
        <v/>
      </c>
      <c r="AW250" s="601" t="str">
        <f t="array" aca="1" ref="AW250" ca="1">IFERROR(INDEX($E249:$DA249,MATCH(0,COUNTIF($D250:AV250,$E249:$DA249),0)),"")</f>
        <v/>
      </c>
      <c r="AX250" s="601" t="str">
        <f t="array" aca="1" ref="AX250" ca="1">IFERROR(INDEX($E249:$DA249,MATCH(0,COUNTIF($D250:AW250,$E249:$DA249),0)),"")</f>
        <v/>
      </c>
      <c r="AY250" s="601" t="str">
        <f t="array" aca="1" ref="AY250" ca="1">IFERROR(INDEX($E249:$DA249,MATCH(0,COUNTIF($D250:AX250,$E249:$DA249),0)),"")</f>
        <v/>
      </c>
      <c r="AZ250" s="601" t="str">
        <f t="array" aca="1" ref="AZ250" ca="1">IFERROR(INDEX($E249:$DA249,MATCH(0,COUNTIF($D250:AY250,$E249:$DA249),0)),"")</f>
        <v/>
      </c>
      <c r="BA250" s="602" t="str">
        <f t="array" aca="1" ref="BA250" ca="1">IFERROR(INDEX($E249:$DA249,MATCH(0,COUNTIF($D250:AZ250,$E249:$DA249),0)),"")</f>
        <v/>
      </c>
      <c r="BB250" s="650" t="str">
        <f t="array" aca="1" ref="BB250" ca="1">IFERROR(INDEX($E249:$DA249,MATCH(0,COUNTIF($D250:BA250,$E249:$DA249),0)),"")</f>
        <v/>
      </c>
      <c r="BC250" s="604"/>
      <c r="BD250" s="604" t="str">
        <f>""</f>
        <v/>
      </c>
      <c r="BE250" s="604"/>
      <c r="BF250" s="604"/>
      <c r="BG250" s="604"/>
      <c r="BH250" s="604"/>
      <c r="BI250" s="604"/>
      <c r="BJ250" s="604"/>
      <c r="BK250" s="604"/>
      <c r="BL250" s="604"/>
      <c r="BM250" s="604"/>
      <c r="BN250" s="604"/>
      <c r="BO250" s="604"/>
      <c r="BP250" s="604"/>
      <c r="BQ250" s="604"/>
      <c r="BR250" s="604"/>
      <c r="BS250" s="604"/>
      <c r="BT250" s="604"/>
      <c r="BU250" s="604"/>
      <c r="BV250" s="604"/>
      <c r="BW250" s="604"/>
      <c r="IE250" s="603"/>
      <c r="IF250" s="603"/>
      <c r="IG250" s="603"/>
      <c r="IH250" s="603"/>
    </row>
    <row r="251" spans="1:242" s="569" customFormat="1" hidden="1">
      <c r="A251" s="569">
        <v>5</v>
      </c>
      <c r="B251" s="1052"/>
      <c r="C251" s="599" t="s">
        <v>674</v>
      </c>
      <c r="D251" s="600" t="str">
        <f>""</f>
        <v/>
      </c>
      <c r="E251" s="734" t="str">
        <f t="shared" ref="E251:AJ251" ca="1" si="101">IF(OFFSET(貼付け_2026実績,2,12)="■",BD249,IFERROR(INDEX($BD249:$DA249,MATCH(E250,$BD249:$DA249,0)),""))</f>
        <v/>
      </c>
      <c r="F251" s="601" t="str">
        <f t="shared" ca="1" si="101"/>
        <v/>
      </c>
      <c r="G251" s="601" t="str">
        <f t="shared" ca="1" si="101"/>
        <v/>
      </c>
      <c r="H251" s="601" t="str">
        <f t="shared" ca="1" si="101"/>
        <v/>
      </c>
      <c r="I251" s="601" t="str">
        <f t="shared" ca="1" si="101"/>
        <v/>
      </c>
      <c r="J251" s="601" t="str">
        <f t="shared" ca="1" si="101"/>
        <v/>
      </c>
      <c r="K251" s="601" t="str">
        <f t="shared" ca="1" si="101"/>
        <v/>
      </c>
      <c r="L251" s="601" t="str">
        <f t="shared" ca="1" si="101"/>
        <v/>
      </c>
      <c r="M251" s="601" t="str">
        <f t="shared" ca="1" si="101"/>
        <v/>
      </c>
      <c r="N251" s="601" t="str">
        <f t="shared" ca="1" si="101"/>
        <v/>
      </c>
      <c r="O251" s="601" t="str">
        <f ca="1">IF(OFFSET(貼付け_2026実績,2,12)="■",BN249,IFERROR(INDEX($BD249:$DA249,MATCH(O250,$BD249:$DA249,0)),""))</f>
        <v/>
      </c>
      <c r="P251" s="601" t="str">
        <f t="shared" ca="1" si="101"/>
        <v/>
      </c>
      <c r="Q251" s="601" t="str">
        <f t="shared" ca="1" si="101"/>
        <v/>
      </c>
      <c r="R251" s="601" t="str">
        <f t="shared" ca="1" si="101"/>
        <v/>
      </c>
      <c r="S251" s="601" t="str">
        <f t="shared" ca="1" si="101"/>
        <v/>
      </c>
      <c r="T251" s="601" t="str">
        <f t="shared" ca="1" si="101"/>
        <v/>
      </c>
      <c r="U251" s="601" t="str">
        <f t="shared" ca="1" si="101"/>
        <v/>
      </c>
      <c r="V251" s="601" t="str">
        <f t="shared" ca="1" si="101"/>
        <v/>
      </c>
      <c r="W251" s="601" t="str">
        <f t="shared" ca="1" si="101"/>
        <v/>
      </c>
      <c r="X251" s="601" t="str">
        <f t="shared" ca="1" si="101"/>
        <v/>
      </c>
      <c r="Y251" s="601" t="str">
        <f t="shared" ca="1" si="101"/>
        <v/>
      </c>
      <c r="Z251" s="601" t="str">
        <f t="shared" ca="1" si="101"/>
        <v/>
      </c>
      <c r="AA251" s="601" t="str">
        <f t="shared" ca="1" si="101"/>
        <v/>
      </c>
      <c r="AB251" s="601" t="str">
        <f t="shared" ca="1" si="101"/>
        <v/>
      </c>
      <c r="AC251" s="601" t="str">
        <f t="shared" ca="1" si="101"/>
        <v/>
      </c>
      <c r="AD251" s="601" t="str">
        <f t="shared" ca="1" si="101"/>
        <v/>
      </c>
      <c r="AE251" s="601" t="str">
        <f t="shared" ca="1" si="101"/>
        <v/>
      </c>
      <c r="AF251" s="601" t="str">
        <f t="shared" ca="1" si="101"/>
        <v/>
      </c>
      <c r="AG251" s="601" t="str">
        <f t="shared" ca="1" si="101"/>
        <v/>
      </c>
      <c r="AH251" s="601" t="str">
        <f t="shared" ca="1" si="101"/>
        <v/>
      </c>
      <c r="AI251" s="601" t="str">
        <f t="shared" ca="1" si="101"/>
        <v/>
      </c>
      <c r="AJ251" s="601" t="str">
        <f t="shared" ca="1" si="101"/>
        <v/>
      </c>
      <c r="AK251" s="601" t="str">
        <f t="shared" ref="AK251:BB251" ca="1" si="102">IF(OFFSET(貼付け_2026実績,2,12)="■",CJ249,IFERROR(INDEX($BD249:$DA249,MATCH(AK250,$BD249:$DA249,0)),""))</f>
        <v/>
      </c>
      <c r="AL251" s="601" t="str">
        <f t="shared" ca="1" si="102"/>
        <v/>
      </c>
      <c r="AM251" s="601" t="str">
        <f t="shared" ca="1" si="102"/>
        <v/>
      </c>
      <c r="AN251" s="601" t="str">
        <f t="shared" ca="1" si="102"/>
        <v/>
      </c>
      <c r="AO251" s="601" t="str">
        <f t="shared" ca="1" si="102"/>
        <v/>
      </c>
      <c r="AP251" s="601" t="str">
        <f t="shared" ca="1" si="102"/>
        <v/>
      </c>
      <c r="AQ251" s="601" t="str">
        <f t="shared" ca="1" si="102"/>
        <v/>
      </c>
      <c r="AR251" s="601" t="str">
        <f t="shared" ca="1" si="102"/>
        <v/>
      </c>
      <c r="AS251" s="601" t="str">
        <f t="shared" ca="1" si="102"/>
        <v/>
      </c>
      <c r="AT251" s="601" t="str">
        <f t="shared" ca="1" si="102"/>
        <v/>
      </c>
      <c r="AU251" s="601" t="str">
        <f t="shared" ca="1" si="102"/>
        <v/>
      </c>
      <c r="AV251" s="601" t="str">
        <f t="shared" ca="1" si="102"/>
        <v/>
      </c>
      <c r="AW251" s="601" t="str">
        <f t="shared" ca="1" si="102"/>
        <v/>
      </c>
      <c r="AX251" s="601" t="str">
        <f t="shared" ca="1" si="102"/>
        <v/>
      </c>
      <c r="AY251" s="601" t="str">
        <f t="shared" ca="1" si="102"/>
        <v/>
      </c>
      <c r="AZ251" s="601" t="str">
        <f t="shared" ca="1" si="102"/>
        <v/>
      </c>
      <c r="BA251" s="602" t="str">
        <f t="shared" ca="1" si="102"/>
        <v/>
      </c>
      <c r="BB251" s="650" t="str">
        <f t="shared" ca="1" si="102"/>
        <v/>
      </c>
      <c r="BD251" s="569" t="str">
        <f>""</f>
        <v/>
      </c>
      <c r="IE251" s="603"/>
      <c r="IF251" s="603"/>
      <c r="IG251" s="603"/>
      <c r="IH251" s="603"/>
    </row>
    <row r="252" spans="1:242" s="569" customFormat="1" hidden="1">
      <c r="A252" s="569">
        <v>6</v>
      </c>
      <c r="B252" s="1052"/>
      <c r="C252" s="605" t="s">
        <v>675</v>
      </c>
      <c r="D252" s="606">
        <v>2</v>
      </c>
      <c r="E252" s="735" t="str">
        <f t="shared" ref="E252:AJ252" ca="1" si="103">OFFSET(A1_名称2026,E$247+2,$D252)&amp;""</f>
        <v/>
      </c>
      <c r="F252" s="607" t="str">
        <f t="shared" ca="1" si="103"/>
        <v/>
      </c>
      <c r="G252" s="607" t="str">
        <f t="shared" ca="1" si="103"/>
        <v/>
      </c>
      <c r="H252" s="607" t="str">
        <f t="shared" ca="1" si="103"/>
        <v/>
      </c>
      <c r="I252" s="607" t="str">
        <f t="shared" ca="1" si="103"/>
        <v/>
      </c>
      <c r="J252" s="607" t="str">
        <f t="shared" ca="1" si="103"/>
        <v/>
      </c>
      <c r="K252" s="607" t="str">
        <f t="shared" ca="1" si="103"/>
        <v/>
      </c>
      <c r="L252" s="607" t="str">
        <f t="shared" ca="1" si="103"/>
        <v/>
      </c>
      <c r="M252" s="607" t="str">
        <f t="shared" ca="1" si="103"/>
        <v/>
      </c>
      <c r="N252" s="607" t="str">
        <f t="shared" ca="1" si="103"/>
        <v/>
      </c>
      <c r="O252" s="607" t="str">
        <f ca="1">OFFSET(A1_名称2026,O$247+2,$D252)&amp;""</f>
        <v/>
      </c>
      <c r="P252" s="607" t="str">
        <f t="shared" ca="1" si="103"/>
        <v/>
      </c>
      <c r="Q252" s="607" t="str">
        <f t="shared" ca="1" si="103"/>
        <v/>
      </c>
      <c r="R252" s="607" t="str">
        <f t="shared" ca="1" si="103"/>
        <v/>
      </c>
      <c r="S252" s="607" t="str">
        <f t="shared" ca="1" si="103"/>
        <v/>
      </c>
      <c r="T252" s="607" t="str">
        <f t="shared" ca="1" si="103"/>
        <v/>
      </c>
      <c r="U252" s="607" t="str">
        <f t="shared" ca="1" si="103"/>
        <v/>
      </c>
      <c r="V252" s="607" t="str">
        <f t="shared" ca="1" si="103"/>
        <v/>
      </c>
      <c r="W252" s="607" t="str">
        <f t="shared" ca="1" si="103"/>
        <v/>
      </c>
      <c r="X252" s="607" t="str">
        <f t="shared" ca="1" si="103"/>
        <v/>
      </c>
      <c r="Y252" s="607" t="str">
        <f t="shared" ca="1" si="103"/>
        <v/>
      </c>
      <c r="Z252" s="607" t="str">
        <f t="shared" ca="1" si="103"/>
        <v/>
      </c>
      <c r="AA252" s="607" t="str">
        <f t="shared" ca="1" si="103"/>
        <v/>
      </c>
      <c r="AB252" s="607" t="str">
        <f t="shared" ca="1" si="103"/>
        <v/>
      </c>
      <c r="AC252" s="607" t="str">
        <f t="shared" ca="1" si="103"/>
        <v/>
      </c>
      <c r="AD252" s="607" t="str">
        <f t="shared" ca="1" si="103"/>
        <v/>
      </c>
      <c r="AE252" s="607" t="str">
        <f t="shared" ca="1" si="103"/>
        <v/>
      </c>
      <c r="AF252" s="607" t="str">
        <f t="shared" ca="1" si="103"/>
        <v/>
      </c>
      <c r="AG252" s="607" t="str">
        <f t="shared" ca="1" si="103"/>
        <v/>
      </c>
      <c r="AH252" s="607" t="str">
        <f t="shared" ca="1" si="103"/>
        <v/>
      </c>
      <c r="AI252" s="607" t="str">
        <f t="shared" ca="1" si="103"/>
        <v/>
      </c>
      <c r="AJ252" s="607" t="str">
        <f t="shared" ca="1" si="103"/>
        <v/>
      </c>
      <c r="AK252" s="607" t="str">
        <f t="shared" ref="AK252:BB252" ca="1" si="104">OFFSET(A1_名称2026,AK$247+2,$D252)&amp;""</f>
        <v/>
      </c>
      <c r="AL252" s="607" t="str">
        <f t="shared" ca="1" si="104"/>
        <v/>
      </c>
      <c r="AM252" s="607" t="str">
        <f t="shared" ca="1" si="104"/>
        <v/>
      </c>
      <c r="AN252" s="607" t="str">
        <f t="shared" ca="1" si="104"/>
        <v/>
      </c>
      <c r="AO252" s="607" t="str">
        <f t="shared" ca="1" si="104"/>
        <v/>
      </c>
      <c r="AP252" s="607" t="str">
        <f t="shared" ca="1" si="104"/>
        <v/>
      </c>
      <c r="AQ252" s="607" t="str">
        <f t="shared" ca="1" si="104"/>
        <v/>
      </c>
      <c r="AR252" s="607" t="str">
        <f t="shared" ca="1" si="104"/>
        <v/>
      </c>
      <c r="AS252" s="607" t="str">
        <f t="shared" ca="1" si="104"/>
        <v/>
      </c>
      <c r="AT252" s="607" t="str">
        <f t="shared" ca="1" si="104"/>
        <v/>
      </c>
      <c r="AU252" s="607" t="str">
        <f t="shared" ca="1" si="104"/>
        <v/>
      </c>
      <c r="AV252" s="607" t="str">
        <f t="shared" ca="1" si="104"/>
        <v/>
      </c>
      <c r="AW252" s="607" t="str">
        <f t="shared" ca="1" si="104"/>
        <v/>
      </c>
      <c r="AX252" s="607" t="str">
        <f t="shared" ca="1" si="104"/>
        <v/>
      </c>
      <c r="AY252" s="607" t="str">
        <f t="shared" ca="1" si="104"/>
        <v/>
      </c>
      <c r="AZ252" s="607" t="str">
        <f t="shared" ca="1" si="104"/>
        <v/>
      </c>
      <c r="BA252" s="608" t="str">
        <f t="shared" ca="1" si="104"/>
        <v/>
      </c>
      <c r="BB252" s="651" t="str">
        <f t="shared" ca="1" si="104"/>
        <v/>
      </c>
      <c r="IE252" s="603"/>
      <c r="IF252" s="603"/>
      <c r="IG252" s="603"/>
      <c r="IH252" s="603"/>
    </row>
    <row r="253" spans="1:242" s="164" customFormat="1" ht="19.8" hidden="1">
      <c r="A253" s="569">
        <v>7</v>
      </c>
      <c r="B253" s="1052"/>
      <c r="C253" s="599" t="s">
        <v>676</v>
      </c>
      <c r="D253" s="600"/>
      <c r="E253" s="734" t="str">
        <f ca="1">IF(E252="","",IFERROR(INDEX($E248:$BB248,MATCH(E252,$BD249:$DA249,0)),""))</f>
        <v/>
      </c>
      <c r="F253" s="601" t="str">
        <f t="shared" ref="F253:BB253" ca="1" si="105">IF(F252="","",IFERROR(INDEX($E248:$BB248,MATCH(F252,$BD249:$DA249,0)),""))</f>
        <v/>
      </c>
      <c r="G253" s="601" t="str">
        <f t="shared" ca="1" si="105"/>
        <v/>
      </c>
      <c r="H253" s="601" t="str">
        <f t="shared" ca="1" si="105"/>
        <v/>
      </c>
      <c r="I253" s="601" t="str">
        <f t="shared" ca="1" si="105"/>
        <v/>
      </c>
      <c r="J253" s="601" t="str">
        <f t="shared" ca="1" si="105"/>
        <v/>
      </c>
      <c r="K253" s="601" t="str">
        <f t="shared" ca="1" si="105"/>
        <v/>
      </c>
      <c r="L253" s="601" t="str">
        <f t="shared" ca="1" si="105"/>
        <v/>
      </c>
      <c r="M253" s="601" t="str">
        <f t="shared" ca="1" si="105"/>
        <v/>
      </c>
      <c r="N253" s="601" t="str">
        <f t="shared" ca="1" si="105"/>
        <v/>
      </c>
      <c r="O253" s="601" t="str">
        <f ca="1">IF(O252="","",IFERROR(INDEX($E248:$BB248,MATCH(O252,$BD249:$DA249,0)),""))</f>
        <v/>
      </c>
      <c r="P253" s="601" t="str">
        <f t="shared" ca="1" si="105"/>
        <v/>
      </c>
      <c r="Q253" s="601" t="str">
        <f t="shared" ca="1" si="105"/>
        <v/>
      </c>
      <c r="R253" s="601" t="str">
        <f t="shared" ca="1" si="105"/>
        <v/>
      </c>
      <c r="S253" s="601" t="str">
        <f t="shared" ca="1" si="105"/>
        <v/>
      </c>
      <c r="T253" s="601" t="str">
        <f t="shared" ca="1" si="105"/>
        <v/>
      </c>
      <c r="U253" s="601" t="str">
        <f t="shared" ca="1" si="105"/>
        <v/>
      </c>
      <c r="V253" s="601" t="str">
        <f t="shared" ca="1" si="105"/>
        <v/>
      </c>
      <c r="W253" s="601" t="str">
        <f t="shared" ca="1" si="105"/>
        <v/>
      </c>
      <c r="X253" s="601" t="str">
        <f t="shared" ca="1" si="105"/>
        <v/>
      </c>
      <c r="Y253" s="601" t="str">
        <f t="shared" ca="1" si="105"/>
        <v/>
      </c>
      <c r="Z253" s="601" t="str">
        <f t="shared" ca="1" si="105"/>
        <v/>
      </c>
      <c r="AA253" s="601" t="str">
        <f t="shared" ca="1" si="105"/>
        <v/>
      </c>
      <c r="AB253" s="601" t="str">
        <f t="shared" ca="1" si="105"/>
        <v/>
      </c>
      <c r="AC253" s="601" t="str">
        <f t="shared" ca="1" si="105"/>
        <v/>
      </c>
      <c r="AD253" s="601" t="str">
        <f t="shared" ca="1" si="105"/>
        <v/>
      </c>
      <c r="AE253" s="601" t="str">
        <f t="shared" ca="1" si="105"/>
        <v/>
      </c>
      <c r="AF253" s="601" t="str">
        <f t="shared" ca="1" si="105"/>
        <v/>
      </c>
      <c r="AG253" s="601" t="str">
        <f t="shared" ca="1" si="105"/>
        <v/>
      </c>
      <c r="AH253" s="601" t="str">
        <f t="shared" ca="1" si="105"/>
        <v/>
      </c>
      <c r="AI253" s="601" t="str">
        <f t="shared" ca="1" si="105"/>
        <v/>
      </c>
      <c r="AJ253" s="601" t="str">
        <f t="shared" ca="1" si="105"/>
        <v/>
      </c>
      <c r="AK253" s="601" t="str">
        <f t="shared" ca="1" si="105"/>
        <v/>
      </c>
      <c r="AL253" s="601" t="str">
        <f t="shared" ca="1" si="105"/>
        <v/>
      </c>
      <c r="AM253" s="601" t="str">
        <f t="shared" ca="1" si="105"/>
        <v/>
      </c>
      <c r="AN253" s="601" t="str">
        <f t="shared" ca="1" si="105"/>
        <v/>
      </c>
      <c r="AO253" s="601" t="str">
        <f t="shared" ca="1" si="105"/>
        <v/>
      </c>
      <c r="AP253" s="601" t="str">
        <f t="shared" ca="1" si="105"/>
        <v/>
      </c>
      <c r="AQ253" s="601" t="str">
        <f t="shared" ca="1" si="105"/>
        <v/>
      </c>
      <c r="AR253" s="601" t="str">
        <f t="shared" ca="1" si="105"/>
        <v/>
      </c>
      <c r="AS253" s="601" t="str">
        <f t="shared" ca="1" si="105"/>
        <v/>
      </c>
      <c r="AT253" s="601" t="str">
        <f t="shared" ca="1" si="105"/>
        <v/>
      </c>
      <c r="AU253" s="601" t="str">
        <f t="shared" ca="1" si="105"/>
        <v/>
      </c>
      <c r="AV253" s="601" t="str">
        <f t="shared" ca="1" si="105"/>
        <v/>
      </c>
      <c r="AW253" s="601" t="str">
        <f t="shared" ca="1" si="105"/>
        <v/>
      </c>
      <c r="AX253" s="601" t="str">
        <f t="shared" ca="1" si="105"/>
        <v/>
      </c>
      <c r="AY253" s="601" t="str">
        <f t="shared" ca="1" si="105"/>
        <v/>
      </c>
      <c r="AZ253" s="601" t="str">
        <f t="shared" ca="1" si="105"/>
        <v/>
      </c>
      <c r="BA253" s="602" t="str">
        <f t="shared" ca="1" si="105"/>
        <v/>
      </c>
      <c r="BB253" s="650" t="str">
        <f t="shared" ca="1" si="105"/>
        <v/>
      </c>
      <c r="BC253" s="569"/>
      <c r="BD253" s="569"/>
      <c r="BE253" s="569"/>
      <c r="BF253" s="569"/>
      <c r="BG253" s="569"/>
      <c r="BH253" s="569"/>
      <c r="BI253" s="569"/>
      <c r="BJ253" s="569"/>
      <c r="BK253" s="569"/>
      <c r="BL253" s="569"/>
      <c r="BM253" s="569"/>
      <c r="BN253" s="569"/>
      <c r="BO253" s="569"/>
      <c r="BP253" s="569"/>
      <c r="BQ253" s="569"/>
      <c r="BR253" s="569"/>
      <c r="BS253" s="569"/>
      <c r="BT253" s="569"/>
      <c r="BU253" s="569"/>
      <c r="BV253" s="569"/>
      <c r="BW253" s="569"/>
      <c r="BX253" s="569"/>
      <c r="BY253" s="569"/>
      <c r="BZ253" s="569"/>
      <c r="CA253" s="569"/>
      <c r="CB253" s="569"/>
      <c r="CC253" s="569"/>
      <c r="CD253" s="569"/>
      <c r="CE253" s="569"/>
      <c r="CF253" s="569"/>
      <c r="CG253" s="569"/>
      <c r="CH253" s="569"/>
      <c r="CI253" s="569"/>
      <c r="CJ253" s="569"/>
      <c r="CK253" s="569"/>
      <c r="CL253" s="569"/>
      <c r="CM253" s="569"/>
      <c r="CN253" s="569"/>
      <c r="CO253" s="569"/>
      <c r="CP253" s="569"/>
      <c r="CQ253" s="569"/>
      <c r="CR253" s="569"/>
      <c r="CS253" s="569"/>
      <c r="CT253" s="569"/>
      <c r="CU253" s="569"/>
      <c r="CV253" s="569"/>
      <c r="CW253" s="569"/>
      <c r="CX253" s="569"/>
      <c r="CY253" s="569"/>
      <c r="CZ253" s="569"/>
      <c r="DA253" s="569"/>
      <c r="DB253" s="569"/>
      <c r="DC253" s="569"/>
      <c r="DD253" s="569"/>
      <c r="DE253" s="569"/>
      <c r="DF253" s="569"/>
      <c r="DG253" s="569"/>
      <c r="DH253" s="569"/>
      <c r="DI253" s="569"/>
      <c r="DJ253" s="569"/>
      <c r="DK253" s="569"/>
      <c r="DL253" s="569"/>
      <c r="DM253" s="569"/>
      <c r="DN253" s="569"/>
      <c r="DO253" s="569"/>
      <c r="DP253" s="569"/>
      <c r="DQ253" s="569"/>
      <c r="DR253" s="569"/>
      <c r="DS253" s="569"/>
      <c r="DT253" s="569"/>
      <c r="DU253" s="569"/>
      <c r="DV253" s="569"/>
      <c r="DW253" s="569"/>
      <c r="DX253" s="569"/>
      <c r="DY253" s="569"/>
      <c r="DZ253" s="569"/>
      <c r="EA253" s="569"/>
      <c r="EB253" s="569"/>
      <c r="EC253" s="569"/>
      <c r="ED253" s="569"/>
      <c r="EE253" s="569"/>
      <c r="EF253" s="569"/>
      <c r="EG253" s="569"/>
      <c r="EH253" s="569"/>
      <c r="EI253" s="569"/>
      <c r="EJ253" s="569"/>
      <c r="EK253" s="569"/>
      <c r="EL253" s="569"/>
      <c r="EM253" s="569"/>
      <c r="EN253" s="569"/>
      <c r="EO253" s="569"/>
      <c r="EP253" s="569"/>
      <c r="EQ253" s="569"/>
      <c r="ER253" s="569"/>
      <c r="ES253" s="569"/>
      <c r="ET253" s="569"/>
      <c r="EU253" s="569"/>
      <c r="EV253" s="569"/>
      <c r="EW253" s="569"/>
      <c r="EX253" s="569"/>
      <c r="EY253" s="569"/>
      <c r="EZ253" s="569"/>
      <c r="FA253" s="569"/>
      <c r="FB253" s="569"/>
      <c r="FC253" s="569"/>
      <c r="FD253" s="569"/>
      <c r="FE253" s="569"/>
      <c r="FF253" s="569"/>
      <c r="FG253" s="569"/>
      <c r="FH253" s="569"/>
      <c r="FI253" s="569"/>
      <c r="FJ253" s="569"/>
      <c r="FK253" s="569"/>
      <c r="FL253" s="569"/>
      <c r="FM253" s="569"/>
      <c r="FN253" s="569"/>
      <c r="FO253" s="569"/>
      <c r="FP253" s="569"/>
      <c r="FQ253" s="569"/>
      <c r="FR253" s="569"/>
      <c r="FS253" s="569"/>
      <c r="FT253" s="569"/>
      <c r="FU253" s="569"/>
      <c r="FV253" s="569"/>
      <c r="FW253" s="569"/>
      <c r="FX253" s="569"/>
      <c r="FY253" s="569"/>
      <c r="FZ253" s="569"/>
      <c r="GA253" s="569"/>
      <c r="GB253" s="569"/>
      <c r="GC253" s="569"/>
      <c r="GD253" s="569"/>
      <c r="GE253" s="569"/>
      <c r="GF253" s="569"/>
      <c r="GG253" s="569"/>
      <c r="GH253" s="569"/>
      <c r="GI253" s="569"/>
      <c r="GJ253" s="569"/>
      <c r="GK253" s="569"/>
      <c r="GL253" s="569"/>
      <c r="GM253" s="569"/>
      <c r="GN253" s="569"/>
      <c r="GO253" s="569"/>
      <c r="GP253" s="569"/>
      <c r="GQ253" s="569"/>
      <c r="GR253" s="569"/>
      <c r="GS253" s="569"/>
      <c r="GT253" s="569"/>
      <c r="GU253" s="569"/>
      <c r="GV253" s="569"/>
      <c r="GW253" s="569"/>
      <c r="GX253" s="569"/>
      <c r="GY253" s="569"/>
      <c r="GZ253" s="569"/>
      <c r="HA253" s="569"/>
      <c r="HB253" s="569"/>
      <c r="HC253" s="569"/>
      <c r="HD253" s="569"/>
      <c r="HE253" s="569"/>
      <c r="HF253" s="569"/>
      <c r="HG253" s="569"/>
      <c r="HH253" s="569"/>
      <c r="HI253" s="569"/>
      <c r="HJ253" s="569"/>
      <c r="HK253" s="569"/>
      <c r="IE253" s="579"/>
      <c r="IF253" s="579"/>
      <c r="IG253" s="579"/>
      <c r="IH253" s="579"/>
    </row>
    <row r="254" spans="1:242" s="164" customFormat="1" ht="20.100000000000001" hidden="1" customHeight="1">
      <c r="A254" s="569">
        <v>8</v>
      </c>
      <c r="B254" s="1052"/>
      <c r="C254" s="609" t="s">
        <v>677</v>
      </c>
      <c r="D254" s="610">
        <v>6</v>
      </c>
      <c r="E254" s="736" t="str">
        <f t="shared" ref="E254:AJ254" ca="1" si="106">IFERROR(OFFSET(貼付け_2026実績,$D254,E253+1)&amp;"","")</f>
        <v/>
      </c>
      <c r="F254" s="611" t="str">
        <f t="shared" ca="1" si="106"/>
        <v/>
      </c>
      <c r="G254" s="611" t="str">
        <f t="shared" ca="1" si="106"/>
        <v/>
      </c>
      <c r="H254" s="611" t="str">
        <f t="shared" ca="1" si="106"/>
        <v/>
      </c>
      <c r="I254" s="611" t="str">
        <f t="shared" ca="1" si="106"/>
        <v/>
      </c>
      <c r="J254" s="611" t="str">
        <f t="shared" ca="1" si="106"/>
        <v/>
      </c>
      <c r="K254" s="611" t="str">
        <f t="shared" ca="1" si="106"/>
        <v/>
      </c>
      <c r="L254" s="611" t="str">
        <f t="shared" ca="1" si="106"/>
        <v/>
      </c>
      <c r="M254" s="611" t="str">
        <f t="shared" ca="1" si="106"/>
        <v/>
      </c>
      <c r="N254" s="611" t="str">
        <f t="shared" ca="1" si="106"/>
        <v/>
      </c>
      <c r="O254" s="611" t="str">
        <f ca="1">IFERROR(OFFSET(貼付け_2026実績,$D254,O253+1)&amp;"","")</f>
        <v/>
      </c>
      <c r="P254" s="611" t="str">
        <f t="shared" ca="1" si="106"/>
        <v/>
      </c>
      <c r="Q254" s="611" t="str">
        <f t="shared" ca="1" si="106"/>
        <v/>
      </c>
      <c r="R254" s="611" t="str">
        <f t="shared" ca="1" si="106"/>
        <v/>
      </c>
      <c r="S254" s="611" t="str">
        <f t="shared" ca="1" si="106"/>
        <v/>
      </c>
      <c r="T254" s="611" t="str">
        <f t="shared" ca="1" si="106"/>
        <v/>
      </c>
      <c r="U254" s="611" t="str">
        <f t="shared" ca="1" si="106"/>
        <v/>
      </c>
      <c r="V254" s="611" t="str">
        <f t="shared" ca="1" si="106"/>
        <v/>
      </c>
      <c r="W254" s="611" t="str">
        <f t="shared" ca="1" si="106"/>
        <v/>
      </c>
      <c r="X254" s="611" t="str">
        <f t="shared" ca="1" si="106"/>
        <v/>
      </c>
      <c r="Y254" s="611" t="str">
        <f t="shared" ca="1" si="106"/>
        <v/>
      </c>
      <c r="Z254" s="611" t="str">
        <f t="shared" ca="1" si="106"/>
        <v/>
      </c>
      <c r="AA254" s="611" t="str">
        <f t="shared" ca="1" si="106"/>
        <v/>
      </c>
      <c r="AB254" s="611" t="str">
        <f t="shared" ca="1" si="106"/>
        <v/>
      </c>
      <c r="AC254" s="611" t="str">
        <f t="shared" ca="1" si="106"/>
        <v/>
      </c>
      <c r="AD254" s="611" t="str">
        <f t="shared" ca="1" si="106"/>
        <v/>
      </c>
      <c r="AE254" s="611" t="str">
        <f t="shared" ca="1" si="106"/>
        <v/>
      </c>
      <c r="AF254" s="611" t="str">
        <f t="shared" ca="1" si="106"/>
        <v/>
      </c>
      <c r="AG254" s="611" t="str">
        <f t="shared" ca="1" si="106"/>
        <v/>
      </c>
      <c r="AH254" s="611" t="str">
        <f t="shared" ca="1" si="106"/>
        <v/>
      </c>
      <c r="AI254" s="611" t="str">
        <f t="shared" ca="1" si="106"/>
        <v/>
      </c>
      <c r="AJ254" s="611" t="str">
        <f t="shared" ca="1" si="106"/>
        <v/>
      </c>
      <c r="AK254" s="611" t="str">
        <f t="shared" ref="AK254:BB254" ca="1" si="107">IFERROR(OFFSET(貼付け_2026実績,$D254,AK253+1)&amp;"","")</f>
        <v/>
      </c>
      <c r="AL254" s="611" t="str">
        <f t="shared" ca="1" si="107"/>
        <v/>
      </c>
      <c r="AM254" s="611" t="str">
        <f t="shared" ca="1" si="107"/>
        <v/>
      </c>
      <c r="AN254" s="611" t="str">
        <f t="shared" ca="1" si="107"/>
        <v/>
      </c>
      <c r="AO254" s="611" t="str">
        <f t="shared" ca="1" si="107"/>
        <v/>
      </c>
      <c r="AP254" s="611" t="str">
        <f t="shared" ca="1" si="107"/>
        <v/>
      </c>
      <c r="AQ254" s="611" t="str">
        <f t="shared" ca="1" si="107"/>
        <v/>
      </c>
      <c r="AR254" s="611" t="str">
        <f t="shared" ca="1" si="107"/>
        <v/>
      </c>
      <c r="AS254" s="611" t="str">
        <f t="shared" ca="1" si="107"/>
        <v/>
      </c>
      <c r="AT254" s="611" t="str">
        <f t="shared" ca="1" si="107"/>
        <v/>
      </c>
      <c r="AU254" s="611" t="str">
        <f t="shared" ca="1" si="107"/>
        <v/>
      </c>
      <c r="AV254" s="611" t="str">
        <f t="shared" ca="1" si="107"/>
        <v/>
      </c>
      <c r="AW254" s="611" t="str">
        <f t="shared" ca="1" si="107"/>
        <v/>
      </c>
      <c r="AX254" s="611" t="str">
        <f t="shared" ca="1" si="107"/>
        <v/>
      </c>
      <c r="AY254" s="611" t="str">
        <f t="shared" ca="1" si="107"/>
        <v/>
      </c>
      <c r="AZ254" s="611" t="str">
        <f t="shared" ca="1" si="107"/>
        <v/>
      </c>
      <c r="BA254" s="612" t="str">
        <f t="shared" ca="1" si="107"/>
        <v/>
      </c>
      <c r="BB254" s="652" t="str">
        <f t="shared" ca="1" si="107"/>
        <v/>
      </c>
      <c r="BC254" s="613"/>
      <c r="IE254" s="579"/>
      <c r="IF254" s="579"/>
      <c r="IG254" s="579"/>
      <c r="IH254" s="579"/>
    </row>
    <row r="255" spans="1:242" s="164" customFormat="1" ht="20.100000000000001" hidden="1" customHeight="1">
      <c r="A255" s="569">
        <v>9</v>
      </c>
      <c r="B255" s="1052"/>
      <c r="C255" s="614" t="s">
        <v>678</v>
      </c>
      <c r="D255" s="615">
        <v>99</v>
      </c>
      <c r="E255" s="737" t="str">
        <f t="shared" ref="E255:AJ255" ca="1" si="108">IFERROR(OFFSET(貼付け_2026実績,$D255,E253),"")</f>
        <v/>
      </c>
      <c r="F255" s="616" t="str">
        <f t="shared" ca="1" si="108"/>
        <v/>
      </c>
      <c r="G255" s="616" t="str">
        <f t="shared" ca="1" si="108"/>
        <v/>
      </c>
      <c r="H255" s="616" t="str">
        <f t="shared" ca="1" si="108"/>
        <v/>
      </c>
      <c r="I255" s="616" t="str">
        <f t="shared" ca="1" si="108"/>
        <v/>
      </c>
      <c r="J255" s="616" t="str">
        <f t="shared" ca="1" si="108"/>
        <v/>
      </c>
      <c r="K255" s="616" t="str">
        <f t="shared" ca="1" si="108"/>
        <v/>
      </c>
      <c r="L255" s="616" t="str">
        <f t="shared" ca="1" si="108"/>
        <v/>
      </c>
      <c r="M255" s="616" t="str">
        <f t="shared" ca="1" si="108"/>
        <v/>
      </c>
      <c r="N255" s="616" t="str">
        <f t="shared" ca="1" si="108"/>
        <v/>
      </c>
      <c r="O255" s="616" t="str">
        <f ca="1">IFERROR(OFFSET(貼付け_2026実績,$D255,O253),"")</f>
        <v/>
      </c>
      <c r="P255" s="616" t="str">
        <f t="shared" ca="1" si="108"/>
        <v/>
      </c>
      <c r="Q255" s="616" t="str">
        <f t="shared" ca="1" si="108"/>
        <v/>
      </c>
      <c r="R255" s="616" t="str">
        <f t="shared" ca="1" si="108"/>
        <v/>
      </c>
      <c r="S255" s="616" t="str">
        <f t="shared" ca="1" si="108"/>
        <v/>
      </c>
      <c r="T255" s="616" t="str">
        <f t="shared" ca="1" si="108"/>
        <v/>
      </c>
      <c r="U255" s="616" t="str">
        <f t="shared" ca="1" si="108"/>
        <v/>
      </c>
      <c r="V255" s="616" t="str">
        <f t="shared" ca="1" si="108"/>
        <v/>
      </c>
      <c r="W255" s="616" t="str">
        <f t="shared" ca="1" si="108"/>
        <v/>
      </c>
      <c r="X255" s="616" t="str">
        <f t="shared" ca="1" si="108"/>
        <v/>
      </c>
      <c r="Y255" s="616" t="str">
        <f t="shared" ca="1" si="108"/>
        <v/>
      </c>
      <c r="Z255" s="616" t="str">
        <f t="shared" ca="1" si="108"/>
        <v/>
      </c>
      <c r="AA255" s="616" t="str">
        <f t="shared" ca="1" si="108"/>
        <v/>
      </c>
      <c r="AB255" s="616" t="str">
        <f t="shared" ca="1" si="108"/>
        <v/>
      </c>
      <c r="AC255" s="616" t="str">
        <f t="shared" ca="1" si="108"/>
        <v/>
      </c>
      <c r="AD255" s="616" t="str">
        <f t="shared" ca="1" si="108"/>
        <v/>
      </c>
      <c r="AE255" s="616" t="str">
        <f t="shared" ca="1" si="108"/>
        <v/>
      </c>
      <c r="AF255" s="616" t="str">
        <f t="shared" ca="1" si="108"/>
        <v/>
      </c>
      <c r="AG255" s="616" t="str">
        <f t="shared" ca="1" si="108"/>
        <v/>
      </c>
      <c r="AH255" s="616" t="str">
        <f t="shared" ca="1" si="108"/>
        <v/>
      </c>
      <c r="AI255" s="616" t="str">
        <f t="shared" ca="1" si="108"/>
        <v/>
      </c>
      <c r="AJ255" s="616" t="str">
        <f t="shared" ca="1" si="108"/>
        <v/>
      </c>
      <c r="AK255" s="616" t="str">
        <f t="shared" ref="AK255:BB255" ca="1" si="109">IFERROR(OFFSET(貼付け_2026実績,$D255,AK253),"")</f>
        <v/>
      </c>
      <c r="AL255" s="616" t="str">
        <f t="shared" ca="1" si="109"/>
        <v/>
      </c>
      <c r="AM255" s="616" t="str">
        <f t="shared" ca="1" si="109"/>
        <v/>
      </c>
      <c r="AN255" s="616" t="str">
        <f t="shared" ca="1" si="109"/>
        <v/>
      </c>
      <c r="AO255" s="616" t="str">
        <f t="shared" ca="1" si="109"/>
        <v/>
      </c>
      <c r="AP255" s="616" t="str">
        <f t="shared" ca="1" si="109"/>
        <v/>
      </c>
      <c r="AQ255" s="616" t="str">
        <f t="shared" ca="1" si="109"/>
        <v/>
      </c>
      <c r="AR255" s="616" t="str">
        <f t="shared" ca="1" si="109"/>
        <v/>
      </c>
      <c r="AS255" s="616" t="str">
        <f t="shared" ca="1" si="109"/>
        <v/>
      </c>
      <c r="AT255" s="616" t="str">
        <f t="shared" ca="1" si="109"/>
        <v/>
      </c>
      <c r="AU255" s="616" t="str">
        <f t="shared" ca="1" si="109"/>
        <v/>
      </c>
      <c r="AV255" s="616" t="str">
        <f t="shared" ca="1" si="109"/>
        <v/>
      </c>
      <c r="AW255" s="616" t="str">
        <f t="shared" ca="1" si="109"/>
        <v/>
      </c>
      <c r="AX255" s="616" t="str">
        <f t="shared" ca="1" si="109"/>
        <v/>
      </c>
      <c r="AY255" s="616" t="str">
        <f t="shared" ca="1" si="109"/>
        <v/>
      </c>
      <c r="AZ255" s="616" t="str">
        <f t="shared" ca="1" si="109"/>
        <v/>
      </c>
      <c r="BA255" s="587" t="str">
        <f t="shared" ca="1" si="109"/>
        <v/>
      </c>
      <c r="BB255" s="653" t="str">
        <f t="shared" ca="1" si="109"/>
        <v/>
      </c>
      <c r="IE255" s="579"/>
      <c r="IF255" s="579"/>
      <c r="IG255" s="579"/>
      <c r="IH255" s="579"/>
    </row>
    <row r="256" spans="1:242" s="164" customFormat="1" ht="20.100000000000001" hidden="1" customHeight="1">
      <c r="A256" s="569">
        <v>10</v>
      </c>
      <c r="B256" s="1052"/>
      <c r="C256" s="614" t="s">
        <v>679</v>
      </c>
      <c r="D256" s="615">
        <v>6</v>
      </c>
      <c r="E256" s="737" t="str">
        <f t="shared" ref="E256:AJ256" ca="1" si="110">IFERROR(OFFSET(A1_集計2026,$D256,E253),"")</f>
        <v/>
      </c>
      <c r="F256" s="616" t="str">
        <f t="shared" ca="1" si="110"/>
        <v/>
      </c>
      <c r="G256" s="616" t="str">
        <f t="shared" ca="1" si="110"/>
        <v/>
      </c>
      <c r="H256" s="616" t="str">
        <f t="shared" ca="1" si="110"/>
        <v/>
      </c>
      <c r="I256" s="616" t="str">
        <f t="shared" ca="1" si="110"/>
        <v/>
      </c>
      <c r="J256" s="616" t="str">
        <f t="shared" ca="1" si="110"/>
        <v/>
      </c>
      <c r="K256" s="616" t="str">
        <f t="shared" ca="1" si="110"/>
        <v/>
      </c>
      <c r="L256" s="616" t="str">
        <f t="shared" ca="1" si="110"/>
        <v/>
      </c>
      <c r="M256" s="616" t="str">
        <f t="shared" ca="1" si="110"/>
        <v/>
      </c>
      <c r="N256" s="616" t="str">
        <f t="shared" ca="1" si="110"/>
        <v/>
      </c>
      <c r="O256" s="616" t="str">
        <f ca="1">IFERROR(OFFSET(A1_集計2026,$D256,O253),"")</f>
        <v/>
      </c>
      <c r="P256" s="616" t="str">
        <f t="shared" ca="1" si="110"/>
        <v/>
      </c>
      <c r="Q256" s="616" t="str">
        <f t="shared" ca="1" si="110"/>
        <v/>
      </c>
      <c r="R256" s="616" t="str">
        <f t="shared" ca="1" si="110"/>
        <v/>
      </c>
      <c r="S256" s="616" t="str">
        <f t="shared" ca="1" si="110"/>
        <v/>
      </c>
      <c r="T256" s="616" t="str">
        <f t="shared" ca="1" si="110"/>
        <v/>
      </c>
      <c r="U256" s="616" t="str">
        <f t="shared" ca="1" si="110"/>
        <v/>
      </c>
      <c r="V256" s="616" t="str">
        <f t="shared" ca="1" si="110"/>
        <v/>
      </c>
      <c r="W256" s="616" t="str">
        <f t="shared" ca="1" si="110"/>
        <v/>
      </c>
      <c r="X256" s="616" t="str">
        <f t="shared" ca="1" si="110"/>
        <v/>
      </c>
      <c r="Y256" s="616" t="str">
        <f t="shared" ca="1" si="110"/>
        <v/>
      </c>
      <c r="Z256" s="616" t="str">
        <f t="shared" ca="1" si="110"/>
        <v/>
      </c>
      <c r="AA256" s="616" t="str">
        <f t="shared" ca="1" si="110"/>
        <v/>
      </c>
      <c r="AB256" s="616" t="str">
        <f t="shared" ca="1" si="110"/>
        <v/>
      </c>
      <c r="AC256" s="616" t="str">
        <f t="shared" ca="1" si="110"/>
        <v/>
      </c>
      <c r="AD256" s="616" t="str">
        <f t="shared" ca="1" si="110"/>
        <v/>
      </c>
      <c r="AE256" s="616" t="str">
        <f t="shared" ca="1" si="110"/>
        <v/>
      </c>
      <c r="AF256" s="616" t="str">
        <f t="shared" ca="1" si="110"/>
        <v/>
      </c>
      <c r="AG256" s="616" t="str">
        <f t="shared" ca="1" si="110"/>
        <v/>
      </c>
      <c r="AH256" s="616" t="str">
        <f t="shared" ca="1" si="110"/>
        <v/>
      </c>
      <c r="AI256" s="616" t="str">
        <f t="shared" ca="1" si="110"/>
        <v/>
      </c>
      <c r="AJ256" s="616" t="str">
        <f t="shared" ca="1" si="110"/>
        <v/>
      </c>
      <c r="AK256" s="616" t="str">
        <f t="shared" ref="AK256:BB256" ca="1" si="111">IFERROR(OFFSET(A1_集計2026,$D256,AK253),"")</f>
        <v/>
      </c>
      <c r="AL256" s="616" t="str">
        <f t="shared" ca="1" si="111"/>
        <v/>
      </c>
      <c r="AM256" s="616" t="str">
        <f t="shared" ca="1" si="111"/>
        <v/>
      </c>
      <c r="AN256" s="616" t="str">
        <f t="shared" ca="1" si="111"/>
        <v/>
      </c>
      <c r="AO256" s="616" t="str">
        <f t="shared" ca="1" si="111"/>
        <v/>
      </c>
      <c r="AP256" s="616" t="str">
        <f t="shared" ca="1" si="111"/>
        <v/>
      </c>
      <c r="AQ256" s="616" t="str">
        <f t="shared" ca="1" si="111"/>
        <v/>
      </c>
      <c r="AR256" s="616" t="str">
        <f t="shared" ca="1" si="111"/>
        <v/>
      </c>
      <c r="AS256" s="616" t="str">
        <f t="shared" ca="1" si="111"/>
        <v/>
      </c>
      <c r="AT256" s="616" t="str">
        <f t="shared" ca="1" si="111"/>
        <v/>
      </c>
      <c r="AU256" s="616" t="str">
        <f t="shared" ca="1" si="111"/>
        <v/>
      </c>
      <c r="AV256" s="616" t="str">
        <f t="shared" ca="1" si="111"/>
        <v/>
      </c>
      <c r="AW256" s="616" t="str">
        <f t="shared" ca="1" si="111"/>
        <v/>
      </c>
      <c r="AX256" s="616" t="str">
        <f t="shared" ca="1" si="111"/>
        <v/>
      </c>
      <c r="AY256" s="616" t="str">
        <f t="shared" ca="1" si="111"/>
        <v/>
      </c>
      <c r="AZ256" s="616" t="str">
        <f t="shared" ca="1" si="111"/>
        <v/>
      </c>
      <c r="BA256" s="587" t="str">
        <f t="shared" ca="1" si="111"/>
        <v/>
      </c>
      <c r="BB256" s="653" t="str">
        <f t="shared" ca="1" si="111"/>
        <v/>
      </c>
      <c r="IE256" s="579"/>
      <c r="IF256" s="579"/>
      <c r="IG256" s="579"/>
      <c r="IH256" s="579"/>
    </row>
    <row r="257" spans="1:242" s="164" customFormat="1" ht="20.100000000000001" hidden="1" customHeight="1">
      <c r="A257" s="569">
        <v>11</v>
      </c>
      <c r="B257" s="1052"/>
      <c r="C257" s="614" t="s">
        <v>680</v>
      </c>
      <c r="D257" s="615">
        <v>101</v>
      </c>
      <c r="E257" s="737" t="str">
        <f t="shared" ref="E257:AJ257" ca="1" si="112">IFERROR(OFFSET(貼付け_2026実績,$D257,E253),"")</f>
        <v/>
      </c>
      <c r="F257" s="616" t="str">
        <f t="shared" ca="1" si="112"/>
        <v/>
      </c>
      <c r="G257" s="616" t="str">
        <f t="shared" ca="1" si="112"/>
        <v/>
      </c>
      <c r="H257" s="616" t="str">
        <f t="shared" ca="1" si="112"/>
        <v/>
      </c>
      <c r="I257" s="616" t="str">
        <f t="shared" ca="1" si="112"/>
        <v/>
      </c>
      <c r="J257" s="616" t="str">
        <f t="shared" ca="1" si="112"/>
        <v/>
      </c>
      <c r="K257" s="616" t="str">
        <f t="shared" ca="1" si="112"/>
        <v/>
      </c>
      <c r="L257" s="616" t="str">
        <f t="shared" ca="1" si="112"/>
        <v/>
      </c>
      <c r="M257" s="616" t="str">
        <f t="shared" ca="1" si="112"/>
        <v/>
      </c>
      <c r="N257" s="616" t="str">
        <f t="shared" ca="1" si="112"/>
        <v/>
      </c>
      <c r="O257" s="616" t="str">
        <f ca="1">IFERROR(OFFSET(貼付け_2026実績,$D257,O253),"")</f>
        <v/>
      </c>
      <c r="P257" s="616" t="str">
        <f t="shared" ca="1" si="112"/>
        <v/>
      </c>
      <c r="Q257" s="616" t="str">
        <f t="shared" ca="1" si="112"/>
        <v/>
      </c>
      <c r="R257" s="616" t="str">
        <f t="shared" ca="1" si="112"/>
        <v/>
      </c>
      <c r="S257" s="616" t="str">
        <f t="shared" ca="1" si="112"/>
        <v/>
      </c>
      <c r="T257" s="616" t="str">
        <f t="shared" ca="1" si="112"/>
        <v/>
      </c>
      <c r="U257" s="616" t="str">
        <f t="shared" ca="1" si="112"/>
        <v/>
      </c>
      <c r="V257" s="616" t="str">
        <f t="shared" ca="1" si="112"/>
        <v/>
      </c>
      <c r="W257" s="616" t="str">
        <f t="shared" ca="1" si="112"/>
        <v/>
      </c>
      <c r="X257" s="616" t="str">
        <f t="shared" ca="1" si="112"/>
        <v/>
      </c>
      <c r="Y257" s="616" t="str">
        <f t="shared" ca="1" si="112"/>
        <v/>
      </c>
      <c r="Z257" s="616" t="str">
        <f t="shared" ca="1" si="112"/>
        <v/>
      </c>
      <c r="AA257" s="616" t="str">
        <f t="shared" ca="1" si="112"/>
        <v/>
      </c>
      <c r="AB257" s="616" t="str">
        <f t="shared" ca="1" si="112"/>
        <v/>
      </c>
      <c r="AC257" s="616" t="str">
        <f t="shared" ca="1" si="112"/>
        <v/>
      </c>
      <c r="AD257" s="616" t="str">
        <f t="shared" ca="1" si="112"/>
        <v/>
      </c>
      <c r="AE257" s="616" t="str">
        <f t="shared" ca="1" si="112"/>
        <v/>
      </c>
      <c r="AF257" s="616" t="str">
        <f t="shared" ca="1" si="112"/>
        <v/>
      </c>
      <c r="AG257" s="616" t="str">
        <f t="shared" ca="1" si="112"/>
        <v/>
      </c>
      <c r="AH257" s="616" t="str">
        <f t="shared" ca="1" si="112"/>
        <v/>
      </c>
      <c r="AI257" s="616" t="str">
        <f t="shared" ca="1" si="112"/>
        <v/>
      </c>
      <c r="AJ257" s="616" t="str">
        <f t="shared" ca="1" si="112"/>
        <v/>
      </c>
      <c r="AK257" s="616" t="str">
        <f t="shared" ref="AK257:BB257" ca="1" si="113">IFERROR(OFFSET(貼付け_2026実績,$D257,AK253),"")</f>
        <v/>
      </c>
      <c r="AL257" s="616" t="str">
        <f t="shared" ca="1" si="113"/>
        <v/>
      </c>
      <c r="AM257" s="616" t="str">
        <f t="shared" ca="1" si="113"/>
        <v/>
      </c>
      <c r="AN257" s="616" t="str">
        <f t="shared" ca="1" si="113"/>
        <v/>
      </c>
      <c r="AO257" s="616" t="str">
        <f t="shared" ca="1" si="113"/>
        <v/>
      </c>
      <c r="AP257" s="616" t="str">
        <f t="shared" ca="1" si="113"/>
        <v/>
      </c>
      <c r="AQ257" s="616" t="str">
        <f t="shared" ca="1" si="113"/>
        <v/>
      </c>
      <c r="AR257" s="616" t="str">
        <f t="shared" ca="1" si="113"/>
        <v/>
      </c>
      <c r="AS257" s="616" t="str">
        <f t="shared" ca="1" si="113"/>
        <v/>
      </c>
      <c r="AT257" s="616" t="str">
        <f t="shared" ca="1" si="113"/>
        <v/>
      </c>
      <c r="AU257" s="616" t="str">
        <f t="shared" ca="1" si="113"/>
        <v/>
      </c>
      <c r="AV257" s="616" t="str">
        <f t="shared" ca="1" si="113"/>
        <v/>
      </c>
      <c r="AW257" s="616" t="str">
        <f t="shared" ca="1" si="113"/>
        <v/>
      </c>
      <c r="AX257" s="616" t="str">
        <f t="shared" ca="1" si="113"/>
        <v/>
      </c>
      <c r="AY257" s="616" t="str">
        <f t="shared" ca="1" si="113"/>
        <v/>
      </c>
      <c r="AZ257" s="616" t="str">
        <f t="shared" ca="1" si="113"/>
        <v/>
      </c>
      <c r="BA257" s="587" t="str">
        <f t="shared" ca="1" si="113"/>
        <v/>
      </c>
      <c r="BB257" s="653" t="str">
        <f t="shared" ca="1" si="113"/>
        <v/>
      </c>
      <c r="IE257" s="579"/>
      <c r="IF257" s="579"/>
      <c r="IG257" s="579"/>
      <c r="IH257" s="579"/>
    </row>
    <row r="258" spans="1:242" s="164" customFormat="1" ht="20.100000000000001" hidden="1" customHeight="1">
      <c r="A258" s="569">
        <v>12</v>
      </c>
      <c r="B258" s="1052"/>
      <c r="C258" s="614" t="s">
        <v>681</v>
      </c>
      <c r="D258" s="615"/>
      <c r="E258" s="737" t="str">
        <f ca="1">IFERROR(E256/E257,"")</f>
        <v/>
      </c>
      <c r="F258" s="616" t="str">
        <f t="shared" ref="F258:BB258" ca="1" si="114">IFERROR(F256/F257,"")</f>
        <v/>
      </c>
      <c r="G258" s="616" t="str">
        <f t="shared" ca="1" si="114"/>
        <v/>
      </c>
      <c r="H258" s="616" t="str">
        <f t="shared" ca="1" si="114"/>
        <v/>
      </c>
      <c r="I258" s="616" t="str">
        <f t="shared" ca="1" si="114"/>
        <v/>
      </c>
      <c r="J258" s="616" t="str">
        <f t="shared" ca="1" si="114"/>
        <v/>
      </c>
      <c r="K258" s="616" t="str">
        <f t="shared" ca="1" si="114"/>
        <v/>
      </c>
      <c r="L258" s="616" t="str">
        <f t="shared" ca="1" si="114"/>
        <v/>
      </c>
      <c r="M258" s="616" t="str">
        <f t="shared" ca="1" si="114"/>
        <v/>
      </c>
      <c r="N258" s="616" t="str">
        <f t="shared" ca="1" si="114"/>
        <v/>
      </c>
      <c r="O258" s="616" t="str">
        <f t="shared" ca="1" si="114"/>
        <v/>
      </c>
      <c r="P258" s="616" t="str">
        <f t="shared" ca="1" si="114"/>
        <v/>
      </c>
      <c r="Q258" s="616" t="str">
        <f t="shared" ca="1" si="114"/>
        <v/>
      </c>
      <c r="R258" s="616" t="str">
        <f t="shared" ca="1" si="114"/>
        <v/>
      </c>
      <c r="S258" s="616" t="str">
        <f t="shared" ca="1" si="114"/>
        <v/>
      </c>
      <c r="T258" s="616" t="str">
        <f t="shared" ca="1" si="114"/>
        <v/>
      </c>
      <c r="U258" s="616" t="str">
        <f t="shared" ca="1" si="114"/>
        <v/>
      </c>
      <c r="V258" s="616" t="str">
        <f t="shared" ca="1" si="114"/>
        <v/>
      </c>
      <c r="W258" s="616" t="str">
        <f t="shared" ca="1" si="114"/>
        <v/>
      </c>
      <c r="X258" s="616" t="str">
        <f t="shared" ca="1" si="114"/>
        <v/>
      </c>
      <c r="Y258" s="616" t="str">
        <f t="shared" ca="1" si="114"/>
        <v/>
      </c>
      <c r="Z258" s="616" t="str">
        <f t="shared" ca="1" si="114"/>
        <v/>
      </c>
      <c r="AA258" s="616" t="str">
        <f t="shared" ca="1" si="114"/>
        <v/>
      </c>
      <c r="AB258" s="616" t="str">
        <f t="shared" ca="1" si="114"/>
        <v/>
      </c>
      <c r="AC258" s="616" t="str">
        <f t="shared" ca="1" si="114"/>
        <v/>
      </c>
      <c r="AD258" s="616" t="str">
        <f t="shared" ca="1" si="114"/>
        <v/>
      </c>
      <c r="AE258" s="616" t="str">
        <f t="shared" ca="1" si="114"/>
        <v/>
      </c>
      <c r="AF258" s="616" t="str">
        <f t="shared" ca="1" si="114"/>
        <v/>
      </c>
      <c r="AG258" s="616" t="str">
        <f t="shared" ca="1" si="114"/>
        <v/>
      </c>
      <c r="AH258" s="616" t="str">
        <f t="shared" ca="1" si="114"/>
        <v/>
      </c>
      <c r="AI258" s="616" t="str">
        <f t="shared" ca="1" si="114"/>
        <v/>
      </c>
      <c r="AJ258" s="616" t="str">
        <f t="shared" ca="1" si="114"/>
        <v/>
      </c>
      <c r="AK258" s="616" t="str">
        <f t="shared" ca="1" si="114"/>
        <v/>
      </c>
      <c r="AL258" s="616" t="str">
        <f t="shared" ca="1" si="114"/>
        <v/>
      </c>
      <c r="AM258" s="616" t="str">
        <f t="shared" ca="1" si="114"/>
        <v/>
      </c>
      <c r="AN258" s="616" t="str">
        <f t="shared" ca="1" si="114"/>
        <v/>
      </c>
      <c r="AO258" s="616" t="str">
        <f t="shared" ca="1" si="114"/>
        <v/>
      </c>
      <c r="AP258" s="616" t="str">
        <f t="shared" ca="1" si="114"/>
        <v/>
      </c>
      <c r="AQ258" s="616" t="str">
        <f t="shared" ca="1" si="114"/>
        <v/>
      </c>
      <c r="AR258" s="616" t="str">
        <f t="shared" ca="1" si="114"/>
        <v/>
      </c>
      <c r="AS258" s="616" t="str">
        <f t="shared" ca="1" si="114"/>
        <v/>
      </c>
      <c r="AT258" s="616" t="str">
        <f t="shared" ca="1" si="114"/>
        <v/>
      </c>
      <c r="AU258" s="616" t="str">
        <f t="shared" ca="1" si="114"/>
        <v/>
      </c>
      <c r="AV258" s="616" t="str">
        <f t="shared" ca="1" si="114"/>
        <v/>
      </c>
      <c r="AW258" s="616" t="str">
        <f t="shared" ca="1" si="114"/>
        <v/>
      </c>
      <c r="AX258" s="616" t="str">
        <f t="shared" ca="1" si="114"/>
        <v/>
      </c>
      <c r="AY258" s="616" t="str">
        <f t="shared" ca="1" si="114"/>
        <v/>
      </c>
      <c r="AZ258" s="616" t="str">
        <f t="shared" ca="1" si="114"/>
        <v/>
      </c>
      <c r="BA258" s="587" t="str">
        <f t="shared" ca="1" si="114"/>
        <v/>
      </c>
      <c r="BB258" s="653" t="str">
        <f t="shared" ca="1" si="114"/>
        <v/>
      </c>
      <c r="IE258" s="579"/>
      <c r="IF258" s="579"/>
      <c r="IG258" s="579"/>
      <c r="IH258" s="579"/>
    </row>
    <row r="259" spans="1:242" ht="19.5" hidden="1" customHeight="1" thickBot="1">
      <c r="A259" s="569">
        <v>13</v>
      </c>
      <c r="B259" s="1053"/>
      <c r="C259" s="617" t="s">
        <v>682</v>
      </c>
      <c r="D259" s="618">
        <v>12</v>
      </c>
      <c r="E259" s="738" t="str">
        <f t="shared" ref="E259:AJ259" ca="1" si="115">IFERROR(1-(E258/OFFSET(A1_原単位2025,$D259,E$247+2)),"")</f>
        <v/>
      </c>
      <c r="F259" s="619" t="str">
        <f t="shared" ca="1" si="115"/>
        <v/>
      </c>
      <c r="G259" s="619" t="str">
        <f t="shared" ca="1" si="115"/>
        <v/>
      </c>
      <c r="H259" s="619" t="str">
        <f t="shared" ca="1" si="115"/>
        <v/>
      </c>
      <c r="I259" s="619" t="str">
        <f t="shared" ca="1" si="115"/>
        <v/>
      </c>
      <c r="J259" s="619" t="str">
        <f t="shared" ca="1" si="115"/>
        <v/>
      </c>
      <c r="K259" s="619" t="str">
        <f t="shared" ca="1" si="115"/>
        <v/>
      </c>
      <c r="L259" s="619" t="str">
        <f t="shared" ca="1" si="115"/>
        <v/>
      </c>
      <c r="M259" s="619" t="str">
        <f t="shared" ca="1" si="115"/>
        <v/>
      </c>
      <c r="N259" s="619" t="str">
        <f t="shared" ca="1" si="115"/>
        <v/>
      </c>
      <c r="O259" s="619" t="str">
        <f t="shared" ca="1" si="115"/>
        <v/>
      </c>
      <c r="P259" s="619" t="str">
        <f t="shared" ca="1" si="115"/>
        <v/>
      </c>
      <c r="Q259" s="619" t="str">
        <f t="shared" ca="1" si="115"/>
        <v/>
      </c>
      <c r="R259" s="619" t="str">
        <f t="shared" ca="1" si="115"/>
        <v/>
      </c>
      <c r="S259" s="619" t="str">
        <f t="shared" ca="1" si="115"/>
        <v/>
      </c>
      <c r="T259" s="619" t="str">
        <f t="shared" ca="1" si="115"/>
        <v/>
      </c>
      <c r="U259" s="619" t="str">
        <f t="shared" ca="1" si="115"/>
        <v/>
      </c>
      <c r="V259" s="619" t="str">
        <f t="shared" ca="1" si="115"/>
        <v/>
      </c>
      <c r="W259" s="619" t="str">
        <f t="shared" ca="1" si="115"/>
        <v/>
      </c>
      <c r="X259" s="619" t="str">
        <f t="shared" ca="1" si="115"/>
        <v/>
      </c>
      <c r="Y259" s="619" t="str">
        <f t="shared" ca="1" si="115"/>
        <v/>
      </c>
      <c r="Z259" s="619" t="str">
        <f t="shared" ca="1" si="115"/>
        <v/>
      </c>
      <c r="AA259" s="619" t="str">
        <f t="shared" ca="1" si="115"/>
        <v/>
      </c>
      <c r="AB259" s="619" t="str">
        <f t="shared" ca="1" si="115"/>
        <v/>
      </c>
      <c r="AC259" s="619" t="str">
        <f t="shared" ca="1" si="115"/>
        <v/>
      </c>
      <c r="AD259" s="619" t="str">
        <f t="shared" ca="1" si="115"/>
        <v/>
      </c>
      <c r="AE259" s="619" t="str">
        <f t="shared" ca="1" si="115"/>
        <v/>
      </c>
      <c r="AF259" s="619" t="str">
        <f t="shared" ca="1" si="115"/>
        <v/>
      </c>
      <c r="AG259" s="619" t="str">
        <f t="shared" ca="1" si="115"/>
        <v/>
      </c>
      <c r="AH259" s="619" t="str">
        <f t="shared" ca="1" si="115"/>
        <v/>
      </c>
      <c r="AI259" s="619" t="str">
        <f t="shared" ca="1" si="115"/>
        <v/>
      </c>
      <c r="AJ259" s="619" t="str">
        <f t="shared" ca="1" si="115"/>
        <v/>
      </c>
      <c r="AK259" s="619" t="str">
        <f t="shared" ref="AK259:BB259" ca="1" si="116">IFERROR(1-(AK258/OFFSET(A1_原単位2025,$D259,AK$247+2)),"")</f>
        <v/>
      </c>
      <c r="AL259" s="619" t="str">
        <f t="shared" ca="1" si="116"/>
        <v/>
      </c>
      <c r="AM259" s="619" t="str">
        <f t="shared" ca="1" si="116"/>
        <v/>
      </c>
      <c r="AN259" s="619" t="str">
        <f t="shared" ca="1" si="116"/>
        <v/>
      </c>
      <c r="AO259" s="619" t="str">
        <f t="shared" ca="1" si="116"/>
        <v/>
      </c>
      <c r="AP259" s="619" t="str">
        <f t="shared" ca="1" si="116"/>
        <v/>
      </c>
      <c r="AQ259" s="619" t="str">
        <f t="shared" ca="1" si="116"/>
        <v/>
      </c>
      <c r="AR259" s="619" t="str">
        <f t="shared" ca="1" si="116"/>
        <v/>
      </c>
      <c r="AS259" s="619" t="str">
        <f t="shared" ca="1" si="116"/>
        <v/>
      </c>
      <c r="AT259" s="619" t="str">
        <f t="shared" ca="1" si="116"/>
        <v/>
      </c>
      <c r="AU259" s="619" t="str">
        <f t="shared" ca="1" si="116"/>
        <v/>
      </c>
      <c r="AV259" s="619" t="str">
        <f t="shared" ca="1" si="116"/>
        <v/>
      </c>
      <c r="AW259" s="619" t="str">
        <f t="shared" ca="1" si="116"/>
        <v/>
      </c>
      <c r="AX259" s="619" t="str">
        <f t="shared" ca="1" si="116"/>
        <v/>
      </c>
      <c r="AY259" s="619" t="str">
        <f t="shared" ca="1" si="116"/>
        <v/>
      </c>
      <c r="AZ259" s="619" t="str">
        <f t="shared" ca="1" si="116"/>
        <v/>
      </c>
      <c r="BA259" s="619" t="str">
        <f t="shared" ca="1" si="116"/>
        <v/>
      </c>
      <c r="BB259" s="739" t="str">
        <f t="shared" ca="1" si="116"/>
        <v/>
      </c>
      <c r="BC259" s="164"/>
      <c r="BD259" s="164"/>
      <c r="BE259" s="164"/>
      <c r="BF259" s="164"/>
      <c r="BG259" s="164"/>
      <c r="BH259" s="164"/>
      <c r="BI259" s="164"/>
      <c r="BJ259" s="164"/>
      <c r="BK259" s="164"/>
      <c r="BL259" s="164"/>
      <c r="BM259" s="164"/>
      <c r="BN259" s="164"/>
      <c r="BO259" s="164"/>
      <c r="BP259" s="164"/>
      <c r="BQ259" s="164"/>
      <c r="BR259" s="164"/>
      <c r="BS259" s="164"/>
      <c r="BT259" s="164"/>
      <c r="BU259" s="164"/>
      <c r="BV259" s="164"/>
      <c r="BW259" s="164"/>
      <c r="BX259" s="164"/>
      <c r="BY259" s="164"/>
      <c r="BZ259" s="164"/>
      <c r="CA259" s="164"/>
      <c r="CB259" s="164"/>
      <c r="CC259" s="164"/>
      <c r="CD259" s="164"/>
      <c r="CE259" s="164"/>
      <c r="CF259" s="164"/>
      <c r="CG259" s="164"/>
      <c r="CH259" s="164"/>
      <c r="CI259" s="164"/>
      <c r="CJ259" s="164"/>
      <c r="CK259" s="164"/>
      <c r="CL259" s="164"/>
      <c r="CM259" s="164"/>
      <c r="CN259" s="164"/>
      <c r="CO259" s="164"/>
      <c r="CP259" s="164"/>
      <c r="CQ259" s="164"/>
      <c r="CR259" s="164"/>
      <c r="CS259" s="164"/>
      <c r="CT259" s="164"/>
      <c r="CU259" s="164"/>
      <c r="CV259" s="164"/>
      <c r="CW259" s="164"/>
      <c r="CX259" s="164"/>
      <c r="CY259" s="164"/>
      <c r="CZ259" s="164"/>
      <c r="DA259" s="164"/>
      <c r="DB259" s="164"/>
      <c r="DC259" s="164"/>
      <c r="DD259" s="164"/>
      <c r="DE259" s="164"/>
      <c r="DF259" s="164"/>
      <c r="DG259" s="164"/>
      <c r="DH259" s="164"/>
      <c r="DI259" s="164"/>
      <c r="DJ259" s="164"/>
      <c r="DK259" s="164"/>
      <c r="DL259" s="164"/>
      <c r="DM259" s="164"/>
      <c r="DN259" s="164"/>
      <c r="DO259" s="164"/>
      <c r="DP259" s="164"/>
      <c r="DQ259" s="164"/>
      <c r="DR259" s="164"/>
      <c r="DS259" s="164"/>
      <c r="DT259" s="164"/>
      <c r="DU259" s="164"/>
      <c r="DV259" s="164"/>
      <c r="DW259" s="164"/>
      <c r="DX259" s="164"/>
      <c r="DY259" s="164"/>
      <c r="DZ259" s="164"/>
      <c r="EA259" s="164"/>
      <c r="EB259" s="164"/>
      <c r="EC259" s="164"/>
      <c r="ED259" s="164"/>
      <c r="EE259" s="164"/>
      <c r="EF259" s="164"/>
      <c r="EG259" s="164"/>
      <c r="EH259" s="164"/>
      <c r="EI259" s="164"/>
      <c r="EJ259" s="164"/>
      <c r="EK259" s="164"/>
      <c r="EL259" s="164"/>
      <c r="EM259" s="164"/>
      <c r="EN259" s="164"/>
      <c r="EO259" s="164"/>
      <c r="EP259" s="164"/>
      <c r="EQ259" s="164"/>
      <c r="ER259" s="164"/>
      <c r="ES259" s="164"/>
      <c r="ET259" s="164"/>
      <c r="EU259" s="164"/>
      <c r="EV259" s="164"/>
      <c r="EW259" s="164"/>
      <c r="EX259" s="164"/>
      <c r="EY259" s="164"/>
      <c r="EZ259" s="164"/>
      <c r="FA259" s="164"/>
      <c r="FB259" s="164"/>
      <c r="FC259" s="164"/>
      <c r="FD259" s="164"/>
      <c r="FE259" s="164"/>
      <c r="FF259" s="164"/>
      <c r="FG259" s="164"/>
      <c r="FH259" s="164"/>
      <c r="FI259" s="164"/>
      <c r="FJ259" s="164"/>
      <c r="FK259" s="164"/>
      <c r="FL259" s="164"/>
      <c r="FM259" s="164"/>
      <c r="FN259" s="164"/>
      <c r="FO259" s="164"/>
      <c r="FP259" s="164"/>
      <c r="FQ259" s="164"/>
      <c r="FR259" s="164"/>
      <c r="FS259" s="164"/>
      <c r="FT259" s="164"/>
      <c r="FU259" s="164"/>
      <c r="FV259" s="164"/>
      <c r="FW259" s="164"/>
      <c r="FX259" s="164"/>
      <c r="FY259" s="164"/>
      <c r="FZ259" s="164"/>
      <c r="GA259" s="164"/>
      <c r="GB259" s="164"/>
      <c r="GC259" s="164"/>
      <c r="GD259" s="164"/>
      <c r="GE259" s="164"/>
      <c r="GF259" s="164"/>
      <c r="GG259" s="164"/>
      <c r="GH259" s="164"/>
      <c r="GI259" s="164"/>
      <c r="GJ259" s="164"/>
      <c r="GK259" s="164"/>
      <c r="GL259" s="164"/>
      <c r="GM259" s="164"/>
      <c r="GN259" s="164"/>
      <c r="GO259" s="164"/>
      <c r="GP259" s="164"/>
      <c r="GQ259" s="164"/>
      <c r="GR259" s="164"/>
      <c r="GS259" s="164"/>
      <c r="GT259" s="164"/>
      <c r="GU259" s="164"/>
      <c r="GV259" s="164"/>
      <c r="GW259" s="164"/>
      <c r="GX259" s="164"/>
      <c r="GY259" s="164"/>
      <c r="GZ259" s="164"/>
      <c r="HA259" s="164"/>
      <c r="HB259" s="164"/>
      <c r="HC259" s="164"/>
      <c r="HD259" s="164"/>
      <c r="HE259" s="164"/>
      <c r="HF259" s="164"/>
      <c r="HG259" s="164"/>
      <c r="HH259" s="164"/>
      <c r="HI259" s="164"/>
      <c r="HJ259" s="164"/>
      <c r="HK259" s="164"/>
    </row>
    <row r="260" spans="1:242" s="569" customFormat="1" ht="18.75" hidden="1" customHeight="1">
      <c r="A260" s="569">
        <v>14</v>
      </c>
      <c r="B260" s="1051" t="s">
        <v>652</v>
      </c>
      <c r="C260" s="596" t="s">
        <v>673</v>
      </c>
      <c r="D260" s="597">
        <v>2026</v>
      </c>
      <c r="E260" s="733">
        <f t="shared" ref="E260:BB260" ca="1" si="117">IFERROR(MATCH($B260&amp;E$247,OFFSET(INDIRECT("貼付け_"&amp;$D260&amp;"実績"),4,0,1,205),0)-1,"")</f>
        <v>21</v>
      </c>
      <c r="F260" s="598">
        <f t="shared" ca="1" si="117"/>
        <v>25</v>
      </c>
      <c r="G260" s="598">
        <f t="shared" ca="1" si="117"/>
        <v>29</v>
      </c>
      <c r="H260" s="598">
        <f t="shared" ca="1" si="117"/>
        <v>77</v>
      </c>
      <c r="I260" s="598">
        <f t="shared" ca="1" si="117"/>
        <v>81</v>
      </c>
      <c r="J260" s="598">
        <f t="shared" ca="1" si="117"/>
        <v>85</v>
      </c>
      <c r="K260" s="598">
        <f t="shared" ca="1" si="117"/>
        <v>89</v>
      </c>
      <c r="L260" s="598">
        <f t="shared" ca="1" si="117"/>
        <v>93</v>
      </c>
      <c r="M260" s="598">
        <f t="shared" ca="1" si="117"/>
        <v>97</v>
      </c>
      <c r="N260" s="598">
        <f t="shared" ca="1" si="117"/>
        <v>101</v>
      </c>
      <c r="O260" s="598" t="str">
        <f ca="1">IFERROR(MATCH($B260&amp;O$247,OFFSET(INDIRECT("貼付け_"&amp;$D260&amp;"実績"),4,0,1,205),0)-1,"")</f>
        <v/>
      </c>
      <c r="P260" s="598" t="str">
        <f t="shared" ca="1" si="117"/>
        <v/>
      </c>
      <c r="Q260" s="598" t="str">
        <f t="shared" ca="1" si="117"/>
        <v/>
      </c>
      <c r="R260" s="598" t="str">
        <f t="shared" ca="1" si="117"/>
        <v/>
      </c>
      <c r="S260" s="598" t="str">
        <f t="shared" ca="1" si="117"/>
        <v/>
      </c>
      <c r="T260" s="598" t="str">
        <f t="shared" ca="1" si="117"/>
        <v/>
      </c>
      <c r="U260" s="598" t="str">
        <f t="shared" ca="1" si="117"/>
        <v/>
      </c>
      <c r="V260" s="598" t="str">
        <f t="shared" ca="1" si="117"/>
        <v/>
      </c>
      <c r="W260" s="598" t="str">
        <f t="shared" ca="1" si="117"/>
        <v/>
      </c>
      <c r="X260" s="598" t="str">
        <f t="shared" ca="1" si="117"/>
        <v/>
      </c>
      <c r="Y260" s="598" t="str">
        <f t="shared" ca="1" si="117"/>
        <v/>
      </c>
      <c r="Z260" s="598" t="str">
        <f t="shared" ca="1" si="117"/>
        <v/>
      </c>
      <c r="AA260" s="598" t="str">
        <f t="shared" ca="1" si="117"/>
        <v/>
      </c>
      <c r="AB260" s="598" t="str">
        <f t="shared" ca="1" si="117"/>
        <v/>
      </c>
      <c r="AC260" s="598" t="str">
        <f t="shared" ca="1" si="117"/>
        <v/>
      </c>
      <c r="AD260" s="598" t="str">
        <f t="shared" ca="1" si="117"/>
        <v/>
      </c>
      <c r="AE260" s="598" t="str">
        <f t="shared" ca="1" si="117"/>
        <v/>
      </c>
      <c r="AF260" s="598" t="str">
        <f t="shared" ca="1" si="117"/>
        <v/>
      </c>
      <c r="AG260" s="598" t="str">
        <f t="shared" ca="1" si="117"/>
        <v/>
      </c>
      <c r="AH260" s="598" t="str">
        <f t="shared" ca="1" si="117"/>
        <v/>
      </c>
      <c r="AI260" s="598" t="str">
        <f t="shared" ca="1" si="117"/>
        <v/>
      </c>
      <c r="AJ260" s="598" t="str">
        <f t="shared" ca="1" si="117"/>
        <v/>
      </c>
      <c r="AK260" s="598" t="str">
        <f t="shared" ca="1" si="117"/>
        <v/>
      </c>
      <c r="AL260" s="598" t="str">
        <f t="shared" ca="1" si="117"/>
        <v/>
      </c>
      <c r="AM260" s="598" t="str">
        <f t="shared" ca="1" si="117"/>
        <v/>
      </c>
      <c r="AN260" s="598" t="str">
        <f t="shared" ca="1" si="117"/>
        <v/>
      </c>
      <c r="AO260" s="598" t="str">
        <f t="shared" ca="1" si="117"/>
        <v/>
      </c>
      <c r="AP260" s="598" t="str">
        <f t="shared" ca="1" si="117"/>
        <v/>
      </c>
      <c r="AQ260" s="598" t="str">
        <f t="shared" ca="1" si="117"/>
        <v/>
      </c>
      <c r="AR260" s="598" t="str">
        <f t="shared" ca="1" si="117"/>
        <v/>
      </c>
      <c r="AS260" s="598" t="str">
        <f t="shared" ca="1" si="117"/>
        <v/>
      </c>
      <c r="AT260" s="598" t="str">
        <f t="shared" ca="1" si="117"/>
        <v/>
      </c>
      <c r="AU260" s="598" t="str">
        <f t="shared" ca="1" si="117"/>
        <v/>
      </c>
      <c r="AV260" s="598" t="str">
        <f t="shared" ca="1" si="117"/>
        <v/>
      </c>
      <c r="AW260" s="598" t="str">
        <f t="shared" ca="1" si="117"/>
        <v/>
      </c>
      <c r="AX260" s="598" t="str">
        <f t="shared" ca="1" si="117"/>
        <v/>
      </c>
      <c r="AY260" s="598" t="str">
        <f t="shared" ca="1" si="117"/>
        <v/>
      </c>
      <c r="AZ260" s="598" t="str">
        <f t="shared" ca="1" si="117"/>
        <v/>
      </c>
      <c r="BA260" s="598" t="str">
        <f t="shared" ca="1" si="117"/>
        <v/>
      </c>
      <c r="BB260" s="649" t="str">
        <f t="shared" ca="1" si="117"/>
        <v/>
      </c>
      <c r="BC260" s="156" t="str">
        <f>D260&amp;"年度"</f>
        <v>2026年度</v>
      </c>
      <c r="BD260" s="156">
        <v>1</v>
      </c>
      <c r="BE260" s="156">
        <v>2</v>
      </c>
      <c r="BF260" s="156">
        <v>3</v>
      </c>
      <c r="BG260" s="156">
        <v>4</v>
      </c>
      <c r="BH260" s="156">
        <v>5</v>
      </c>
      <c r="BI260" s="156">
        <v>6</v>
      </c>
      <c r="BJ260" s="156">
        <v>7</v>
      </c>
      <c r="BK260" s="156">
        <v>8</v>
      </c>
      <c r="BL260" s="156">
        <v>9</v>
      </c>
      <c r="BM260" s="156">
        <v>10</v>
      </c>
      <c r="BN260" s="156">
        <v>11</v>
      </c>
      <c r="BO260" s="156">
        <v>12</v>
      </c>
      <c r="BP260" s="156">
        <v>13</v>
      </c>
      <c r="BQ260" s="156">
        <v>14</v>
      </c>
      <c r="BR260" s="156">
        <v>15</v>
      </c>
      <c r="BS260" s="156">
        <v>16</v>
      </c>
      <c r="BT260" s="156">
        <v>17</v>
      </c>
      <c r="BU260" s="156">
        <v>18</v>
      </c>
      <c r="BV260" s="156">
        <v>19</v>
      </c>
      <c r="BW260" s="156">
        <v>20</v>
      </c>
      <c r="BX260" s="156">
        <v>21</v>
      </c>
      <c r="BY260" s="156">
        <v>22</v>
      </c>
      <c r="BZ260" s="156">
        <v>23</v>
      </c>
      <c r="CA260" s="156">
        <v>24</v>
      </c>
      <c r="CB260" s="156">
        <v>25</v>
      </c>
      <c r="CC260" s="156">
        <v>26</v>
      </c>
      <c r="CD260" s="156">
        <v>27</v>
      </c>
      <c r="CE260" s="156">
        <v>28</v>
      </c>
      <c r="CF260" s="156">
        <v>29</v>
      </c>
      <c r="CG260" s="156">
        <v>30</v>
      </c>
      <c r="CH260" s="156">
        <v>31</v>
      </c>
      <c r="CI260" s="156">
        <v>32</v>
      </c>
      <c r="CJ260" s="156">
        <v>33</v>
      </c>
      <c r="CK260" s="156">
        <v>34</v>
      </c>
      <c r="CL260" s="156">
        <v>35</v>
      </c>
      <c r="CM260" s="156">
        <v>36</v>
      </c>
      <c r="CN260" s="156">
        <v>37</v>
      </c>
      <c r="CO260" s="156">
        <v>38</v>
      </c>
      <c r="CP260" s="156">
        <v>39</v>
      </c>
      <c r="CQ260" s="156">
        <v>40</v>
      </c>
      <c r="CR260" s="156">
        <v>41</v>
      </c>
      <c r="CS260" s="156">
        <v>42</v>
      </c>
      <c r="CT260" s="156">
        <v>43</v>
      </c>
      <c r="CU260" s="156">
        <v>44</v>
      </c>
      <c r="CV260" s="156">
        <v>45</v>
      </c>
      <c r="CW260" s="156">
        <v>46</v>
      </c>
      <c r="CX260" s="156">
        <v>47</v>
      </c>
      <c r="CY260" s="156">
        <v>48</v>
      </c>
      <c r="CZ260" s="156">
        <v>49</v>
      </c>
      <c r="DA260" s="156">
        <v>50</v>
      </c>
      <c r="DB260" s="156"/>
      <c r="DC260" s="156"/>
      <c r="DD260" s="156"/>
      <c r="DE260" s="156"/>
      <c r="DF260" s="156"/>
      <c r="DG260" s="156"/>
      <c r="DH260" s="156"/>
      <c r="DI260" s="156"/>
      <c r="DJ260" s="156"/>
      <c r="DK260" s="156"/>
      <c r="DL260" s="156"/>
      <c r="DM260" s="156"/>
      <c r="DN260" s="156"/>
      <c r="DO260" s="156"/>
      <c r="DP260" s="156"/>
      <c r="DQ260" s="156"/>
      <c r="DR260" s="156"/>
      <c r="DS260" s="156"/>
      <c r="DT260" s="156"/>
      <c r="DU260" s="156"/>
      <c r="DV260" s="156"/>
      <c r="DW260" s="156"/>
      <c r="DX260" s="156"/>
      <c r="DY260" s="156"/>
      <c r="DZ260" s="156"/>
      <c r="EA260" s="156"/>
      <c r="EB260" s="156"/>
      <c r="EC260" s="156"/>
      <c r="ED260" s="156"/>
      <c r="EE260" s="156"/>
      <c r="EF260" s="156"/>
      <c r="EG260" s="156"/>
      <c r="EH260" s="156"/>
      <c r="EI260" s="156"/>
      <c r="EJ260" s="156"/>
      <c r="EK260" s="156"/>
      <c r="EL260" s="156"/>
      <c r="EM260" s="156"/>
      <c r="EN260" s="156"/>
      <c r="EO260" s="156"/>
      <c r="EP260" s="156"/>
      <c r="EQ260" s="156"/>
      <c r="ER260" s="156"/>
      <c r="ES260" s="156"/>
      <c r="ET260" s="156"/>
      <c r="EU260" s="156"/>
      <c r="EV260" s="156"/>
      <c r="EW260" s="156"/>
      <c r="EX260" s="156"/>
      <c r="EY260" s="156"/>
      <c r="EZ260" s="156"/>
      <c r="FA260" s="156"/>
      <c r="FB260" s="156"/>
      <c r="FC260" s="156"/>
      <c r="FD260" s="156"/>
      <c r="FE260" s="156"/>
      <c r="FF260" s="156"/>
      <c r="FG260" s="156"/>
      <c r="FH260" s="156"/>
      <c r="FI260" s="156"/>
      <c r="FJ260" s="156"/>
      <c r="FK260" s="156"/>
      <c r="FL260" s="156"/>
      <c r="FM260" s="156"/>
      <c r="FN260" s="156"/>
      <c r="FO260" s="156"/>
      <c r="FP260" s="156"/>
      <c r="FQ260" s="156"/>
      <c r="FR260" s="156"/>
      <c r="FS260" s="156"/>
      <c r="FT260" s="156"/>
      <c r="FU260" s="156"/>
      <c r="FV260" s="156"/>
      <c r="FW260" s="156"/>
      <c r="FX260" s="156"/>
      <c r="FY260" s="156"/>
      <c r="FZ260" s="156"/>
      <c r="GA260" s="156"/>
      <c r="GB260" s="156"/>
      <c r="GC260" s="156"/>
      <c r="GD260" s="156"/>
      <c r="GE260" s="156"/>
      <c r="GF260" s="156"/>
      <c r="GG260" s="156"/>
      <c r="GH260" s="156"/>
      <c r="GI260" s="156"/>
      <c r="GJ260" s="156"/>
      <c r="GK260" s="156"/>
      <c r="GL260" s="156"/>
      <c r="GM260" s="156"/>
      <c r="GN260" s="156"/>
      <c r="GO260" s="156"/>
      <c r="GP260" s="156"/>
      <c r="GQ260" s="156"/>
      <c r="GR260" s="156"/>
      <c r="GS260" s="156"/>
      <c r="GT260" s="156"/>
      <c r="GU260" s="156"/>
      <c r="GV260" s="156"/>
      <c r="GW260" s="156"/>
      <c r="GX260" s="156"/>
      <c r="GY260" s="156"/>
      <c r="GZ260" s="156"/>
      <c r="HA260" s="156"/>
      <c r="HB260" s="156"/>
      <c r="HC260" s="156"/>
      <c r="HD260" s="156"/>
      <c r="HE260" s="156"/>
      <c r="HF260" s="156"/>
      <c r="HG260" s="156"/>
      <c r="HH260" s="156"/>
      <c r="HI260" s="156"/>
      <c r="HJ260" s="156"/>
      <c r="HK260" s="156"/>
      <c r="IE260" s="603"/>
      <c r="IF260" s="603"/>
      <c r="IG260" s="603"/>
      <c r="IH260" s="603"/>
    </row>
    <row r="261" spans="1:242" s="569" customFormat="1" ht="19.5" hidden="1" customHeight="1">
      <c r="A261" s="569">
        <v>15</v>
      </c>
      <c r="B261" s="1052"/>
      <c r="C261" s="599" t="str">
        <f>"~"&amp;D260-1&amp;"/"&amp;D260</f>
        <v>~2025/2026</v>
      </c>
      <c r="D261" s="600" t="str">
        <f>""</f>
        <v/>
      </c>
      <c r="E261" s="734" t="str">
        <f t="shared" ref="E261:AJ261" ca="1" si="118">IF(OFFSET(A1_原単位2025,18,E$247+2)="",OFFSET(A1_原単位2025,15,E$247+2),OFFSET(A1_原単位2025,18,E$247+2))</f>
        <v/>
      </c>
      <c r="F261" s="601" t="str">
        <f t="shared" ca="1" si="118"/>
        <v/>
      </c>
      <c r="G261" s="601" t="str">
        <f t="shared" ca="1" si="118"/>
        <v/>
      </c>
      <c r="H261" s="601" t="str">
        <f t="shared" ca="1" si="118"/>
        <v/>
      </c>
      <c r="I261" s="601" t="str">
        <f t="shared" ca="1" si="118"/>
        <v/>
      </c>
      <c r="J261" s="601" t="str">
        <f t="shared" ca="1" si="118"/>
        <v/>
      </c>
      <c r="K261" s="601" t="str">
        <f t="shared" ca="1" si="118"/>
        <v/>
      </c>
      <c r="L261" s="601" t="str">
        <f t="shared" ca="1" si="118"/>
        <v/>
      </c>
      <c r="M261" s="601" t="str">
        <f t="shared" ca="1" si="118"/>
        <v/>
      </c>
      <c r="N261" s="601" t="str">
        <f t="shared" ca="1" si="118"/>
        <v/>
      </c>
      <c r="O261" s="601" t="str">
        <f ca="1">IF(OFFSET(A1_原単位2025,18,O$247+2)="",OFFSET(A1_原単位2025,15,O$247+2),OFFSET(A1_原単位2025,18,O$247+2))</f>
        <v/>
      </c>
      <c r="P261" s="601" t="str">
        <f t="shared" ca="1" si="118"/>
        <v/>
      </c>
      <c r="Q261" s="601" t="str">
        <f t="shared" ca="1" si="118"/>
        <v/>
      </c>
      <c r="R261" s="601" t="str">
        <f t="shared" ca="1" si="118"/>
        <v/>
      </c>
      <c r="S261" s="601" t="str">
        <f t="shared" ca="1" si="118"/>
        <v/>
      </c>
      <c r="T261" s="601" t="str">
        <f t="shared" ca="1" si="118"/>
        <v/>
      </c>
      <c r="U261" s="601" t="str">
        <f t="shared" ca="1" si="118"/>
        <v/>
      </c>
      <c r="V261" s="601" t="str">
        <f t="shared" ca="1" si="118"/>
        <v/>
      </c>
      <c r="W261" s="601" t="str">
        <f t="shared" ca="1" si="118"/>
        <v/>
      </c>
      <c r="X261" s="601" t="str">
        <f t="shared" ca="1" si="118"/>
        <v/>
      </c>
      <c r="Y261" s="601" t="str">
        <f t="shared" ca="1" si="118"/>
        <v/>
      </c>
      <c r="Z261" s="601" t="str">
        <f t="shared" ca="1" si="118"/>
        <v/>
      </c>
      <c r="AA261" s="601" t="str">
        <f t="shared" ca="1" si="118"/>
        <v/>
      </c>
      <c r="AB261" s="601" t="str">
        <f t="shared" ca="1" si="118"/>
        <v/>
      </c>
      <c r="AC261" s="601" t="str">
        <f t="shared" ca="1" si="118"/>
        <v/>
      </c>
      <c r="AD261" s="601" t="str">
        <f t="shared" ca="1" si="118"/>
        <v/>
      </c>
      <c r="AE261" s="601" t="str">
        <f t="shared" ca="1" si="118"/>
        <v/>
      </c>
      <c r="AF261" s="601" t="str">
        <f t="shared" ca="1" si="118"/>
        <v/>
      </c>
      <c r="AG261" s="601" t="str">
        <f t="shared" ca="1" si="118"/>
        <v/>
      </c>
      <c r="AH261" s="601" t="str">
        <f t="shared" ca="1" si="118"/>
        <v/>
      </c>
      <c r="AI261" s="601" t="str">
        <f t="shared" ca="1" si="118"/>
        <v/>
      </c>
      <c r="AJ261" s="601" t="str">
        <f t="shared" ca="1" si="118"/>
        <v/>
      </c>
      <c r="AK261" s="601" t="str">
        <f t="shared" ref="AK261:BB261" ca="1" si="119">IF(OFFSET(A1_原単位2025,18,AK$247+2)="",OFFSET(A1_原単位2025,15,AK$247+2),OFFSET(A1_原単位2025,18,AK$247+2))</f>
        <v/>
      </c>
      <c r="AL261" s="601" t="str">
        <f t="shared" ca="1" si="119"/>
        <v/>
      </c>
      <c r="AM261" s="601" t="str">
        <f t="shared" ca="1" si="119"/>
        <v/>
      </c>
      <c r="AN261" s="601" t="str">
        <f t="shared" ca="1" si="119"/>
        <v/>
      </c>
      <c r="AO261" s="601" t="str">
        <f t="shared" ca="1" si="119"/>
        <v/>
      </c>
      <c r="AP261" s="601" t="str">
        <f t="shared" ca="1" si="119"/>
        <v/>
      </c>
      <c r="AQ261" s="601" t="str">
        <f t="shared" ca="1" si="119"/>
        <v/>
      </c>
      <c r="AR261" s="601" t="str">
        <f t="shared" ca="1" si="119"/>
        <v/>
      </c>
      <c r="AS261" s="601" t="str">
        <f t="shared" ca="1" si="119"/>
        <v/>
      </c>
      <c r="AT261" s="601" t="str">
        <f t="shared" ca="1" si="119"/>
        <v/>
      </c>
      <c r="AU261" s="601" t="str">
        <f t="shared" ca="1" si="119"/>
        <v/>
      </c>
      <c r="AV261" s="601" t="str">
        <f t="shared" ca="1" si="119"/>
        <v/>
      </c>
      <c r="AW261" s="601" t="str">
        <f t="shared" ca="1" si="119"/>
        <v/>
      </c>
      <c r="AX261" s="601" t="str">
        <f t="shared" ca="1" si="119"/>
        <v/>
      </c>
      <c r="AY261" s="601" t="str">
        <f t="shared" ca="1" si="119"/>
        <v/>
      </c>
      <c r="AZ261" s="601" t="str">
        <f t="shared" ca="1" si="119"/>
        <v/>
      </c>
      <c r="BA261" s="601" t="str">
        <f t="shared" ca="1" si="119"/>
        <v/>
      </c>
      <c r="BB261" s="650" t="str">
        <f t="shared" ca="1" si="119"/>
        <v/>
      </c>
      <c r="BC261" s="601" t="str">
        <f>""</f>
        <v/>
      </c>
      <c r="BD261" s="601" t="str">
        <f t="shared" ref="BD261:CI261" ca="1" si="120">IFERROR(OFFSET(貼付け_2026実績,5,E260+1),"")&amp;""</f>
        <v/>
      </c>
      <c r="BE261" s="601" t="str">
        <f t="shared" ca="1" si="120"/>
        <v/>
      </c>
      <c r="BF261" s="601" t="str">
        <f t="shared" ca="1" si="120"/>
        <v/>
      </c>
      <c r="BG261" s="601" t="str">
        <f t="shared" ca="1" si="120"/>
        <v/>
      </c>
      <c r="BH261" s="601" t="str">
        <f t="shared" ca="1" si="120"/>
        <v/>
      </c>
      <c r="BI261" s="601" t="str">
        <f t="shared" ca="1" si="120"/>
        <v/>
      </c>
      <c r="BJ261" s="601" t="str">
        <f t="shared" ca="1" si="120"/>
        <v/>
      </c>
      <c r="BK261" s="601" t="str">
        <f t="shared" ca="1" si="120"/>
        <v/>
      </c>
      <c r="BL261" s="601" t="str">
        <f t="shared" ca="1" si="120"/>
        <v/>
      </c>
      <c r="BM261" s="601" t="str">
        <f t="shared" ca="1" si="120"/>
        <v/>
      </c>
      <c r="BN261" s="601" t="str">
        <f ca="1">IFERROR(OFFSET(貼付け_2026実績,5,O260+1),"")&amp;""</f>
        <v/>
      </c>
      <c r="BO261" s="601" t="str">
        <f t="shared" ca="1" si="120"/>
        <v/>
      </c>
      <c r="BP261" s="601" t="str">
        <f t="shared" ca="1" si="120"/>
        <v/>
      </c>
      <c r="BQ261" s="601" t="str">
        <f t="shared" ca="1" si="120"/>
        <v/>
      </c>
      <c r="BR261" s="601" t="str">
        <f t="shared" ca="1" si="120"/>
        <v/>
      </c>
      <c r="BS261" s="601" t="str">
        <f t="shared" ca="1" si="120"/>
        <v/>
      </c>
      <c r="BT261" s="601" t="str">
        <f t="shared" ca="1" si="120"/>
        <v/>
      </c>
      <c r="BU261" s="601" t="str">
        <f t="shared" ca="1" si="120"/>
        <v/>
      </c>
      <c r="BV261" s="601" t="str">
        <f t="shared" ca="1" si="120"/>
        <v/>
      </c>
      <c r="BW261" s="601" t="str">
        <f t="shared" ca="1" si="120"/>
        <v/>
      </c>
      <c r="BX261" s="601" t="str">
        <f t="shared" ca="1" si="120"/>
        <v/>
      </c>
      <c r="BY261" s="601" t="str">
        <f t="shared" ca="1" si="120"/>
        <v/>
      </c>
      <c r="BZ261" s="601" t="str">
        <f t="shared" ca="1" si="120"/>
        <v/>
      </c>
      <c r="CA261" s="601" t="str">
        <f t="shared" ca="1" si="120"/>
        <v/>
      </c>
      <c r="CB261" s="601" t="str">
        <f t="shared" ca="1" si="120"/>
        <v/>
      </c>
      <c r="CC261" s="601" t="str">
        <f t="shared" ca="1" si="120"/>
        <v/>
      </c>
      <c r="CD261" s="601" t="str">
        <f t="shared" ca="1" si="120"/>
        <v/>
      </c>
      <c r="CE261" s="601" t="str">
        <f t="shared" ca="1" si="120"/>
        <v/>
      </c>
      <c r="CF261" s="601" t="str">
        <f t="shared" ca="1" si="120"/>
        <v/>
      </c>
      <c r="CG261" s="601" t="str">
        <f t="shared" ca="1" si="120"/>
        <v/>
      </c>
      <c r="CH261" s="601" t="str">
        <f t="shared" ca="1" si="120"/>
        <v/>
      </c>
      <c r="CI261" s="601" t="str">
        <f t="shared" ca="1" si="120"/>
        <v/>
      </c>
      <c r="CJ261" s="601" t="str">
        <f t="shared" ref="CJ261:DA261" ca="1" si="121">IFERROR(OFFSET(貼付け_2026実績,5,AK260+1),"")&amp;""</f>
        <v/>
      </c>
      <c r="CK261" s="601" t="str">
        <f t="shared" ca="1" si="121"/>
        <v/>
      </c>
      <c r="CL261" s="601" t="str">
        <f t="shared" ca="1" si="121"/>
        <v/>
      </c>
      <c r="CM261" s="601" t="str">
        <f t="shared" ca="1" si="121"/>
        <v/>
      </c>
      <c r="CN261" s="601" t="str">
        <f t="shared" ca="1" si="121"/>
        <v/>
      </c>
      <c r="CO261" s="601" t="str">
        <f t="shared" ca="1" si="121"/>
        <v/>
      </c>
      <c r="CP261" s="601" t="str">
        <f t="shared" ca="1" si="121"/>
        <v/>
      </c>
      <c r="CQ261" s="601" t="str">
        <f t="shared" ca="1" si="121"/>
        <v/>
      </c>
      <c r="CR261" s="601" t="str">
        <f t="shared" ca="1" si="121"/>
        <v/>
      </c>
      <c r="CS261" s="601" t="str">
        <f t="shared" ca="1" si="121"/>
        <v/>
      </c>
      <c r="CT261" s="601" t="str">
        <f t="shared" ca="1" si="121"/>
        <v/>
      </c>
      <c r="CU261" s="601" t="str">
        <f t="shared" ca="1" si="121"/>
        <v/>
      </c>
      <c r="CV261" s="601" t="str">
        <f t="shared" ca="1" si="121"/>
        <v/>
      </c>
      <c r="CW261" s="601" t="str">
        <f t="shared" ca="1" si="121"/>
        <v/>
      </c>
      <c r="CX261" s="601" t="str">
        <f t="shared" ca="1" si="121"/>
        <v/>
      </c>
      <c r="CY261" s="601" t="str">
        <f t="shared" ca="1" si="121"/>
        <v/>
      </c>
      <c r="CZ261" s="601" t="str">
        <f t="shared" ca="1" si="121"/>
        <v/>
      </c>
      <c r="DA261" s="601" t="str">
        <f t="shared" ca="1" si="121"/>
        <v/>
      </c>
      <c r="IE261" s="603"/>
      <c r="IF261" s="603"/>
      <c r="IG261" s="603"/>
      <c r="IH261" s="603"/>
    </row>
    <row r="262" spans="1:242" s="569" customFormat="1" hidden="1">
      <c r="A262" s="569">
        <v>16</v>
      </c>
      <c r="B262" s="1052"/>
      <c r="C262" s="599" t="str">
        <f>"~"&amp;D260-1&amp;"&amp;"&amp;D260</f>
        <v>~2025&amp;2026</v>
      </c>
      <c r="D262" s="600" t="str">
        <f>""</f>
        <v/>
      </c>
      <c r="E262" s="734" t="str">
        <f t="array" aca="1" ref="E262" ca="1">IFERROR(INDEX($E261:$DA261,MATCH(0,COUNTIF($D262:D262,$E261:$DA261),0)),"")</f>
        <v/>
      </c>
      <c r="F262" s="601" t="str">
        <f t="array" aca="1" ref="F262" ca="1">IFERROR(INDEX($E261:$DA261,MATCH(0,COUNTIF($D262:E262,$E261:$DA261),0)),"")</f>
        <v/>
      </c>
      <c r="G262" s="601" t="str">
        <f t="array" aca="1" ref="G262" ca="1">IFERROR(INDEX($E261:$DA261,MATCH(0,COUNTIF($D262:F262,$E261:$DA261),0)),"")</f>
        <v/>
      </c>
      <c r="H262" s="601" t="str">
        <f t="array" aca="1" ref="H262" ca="1">IFERROR(INDEX($E261:$DA261,MATCH(0,COUNTIF($D262:G262,$E261:$DA261),0)),"")</f>
        <v/>
      </c>
      <c r="I262" s="601" t="str">
        <f t="array" aca="1" ref="I262" ca="1">IFERROR(INDEX($E261:$DA261,MATCH(0,COUNTIF($D262:H262,$E261:$DA261),0)),"")</f>
        <v/>
      </c>
      <c r="J262" s="601" t="str">
        <f t="array" aca="1" ref="J262" ca="1">IFERROR(INDEX($E261:$DA261,MATCH(0,COUNTIF($D262:I262,$E261:$DA261),0)),"")</f>
        <v/>
      </c>
      <c r="K262" s="601" t="str">
        <f t="array" aca="1" ref="K262" ca="1">IFERROR(INDEX($E261:$DA261,MATCH(0,COUNTIF($D262:J262,$E261:$DA261),0)),"")</f>
        <v/>
      </c>
      <c r="L262" s="601" t="str">
        <f t="array" aca="1" ref="L262" ca="1">IFERROR(INDEX($E261:$DA261,MATCH(0,COUNTIF($D262:K262,$E261:$DA261),0)),"")</f>
        <v/>
      </c>
      <c r="M262" s="601" t="str">
        <f t="array" aca="1" ref="M262" ca="1">IFERROR(INDEX($E261:$DA261,MATCH(0,COUNTIF($D262:L262,$E261:$DA261),0)),"")</f>
        <v/>
      </c>
      <c r="N262" s="601" t="str">
        <f t="array" aca="1" ref="N262" ca="1">IFERROR(INDEX($E261:$DA261,MATCH(0,COUNTIF($D262:M262,$E261:$DA261),0)),"")</f>
        <v/>
      </c>
      <c r="O262" s="601" t="str">
        <f t="array" aca="1" ref="O262" ca="1">IFERROR(INDEX($E261:$DA261,MATCH(0,COUNTIF($D262:N262,$E261:$DA261),0)),"")</f>
        <v/>
      </c>
      <c r="P262" s="601" t="str">
        <f t="array" aca="1" ref="P262" ca="1">IFERROR(INDEX($E261:$DA261,MATCH(0,COUNTIF($D262:O262,$E261:$DA261),0)),"")</f>
        <v/>
      </c>
      <c r="Q262" s="601" t="str">
        <f t="array" aca="1" ref="Q262" ca="1">IFERROR(INDEX($E261:$DA261,MATCH(0,COUNTIF($D262:P262,$E261:$DA261),0)),"")</f>
        <v/>
      </c>
      <c r="R262" s="601" t="str">
        <f t="array" aca="1" ref="R262" ca="1">IFERROR(INDEX($E261:$DA261,MATCH(0,COUNTIF($D262:Q262,$E261:$DA261),0)),"")</f>
        <v/>
      </c>
      <c r="S262" s="601" t="str">
        <f t="array" aca="1" ref="S262" ca="1">IFERROR(INDEX($E261:$DA261,MATCH(0,COUNTIF($D262:R262,$E261:$DA261),0)),"")</f>
        <v/>
      </c>
      <c r="T262" s="601" t="str">
        <f t="array" aca="1" ref="T262" ca="1">IFERROR(INDEX($E261:$DA261,MATCH(0,COUNTIF($D262:S262,$E261:$DA261),0)),"")</f>
        <v/>
      </c>
      <c r="U262" s="601" t="str">
        <f t="array" aca="1" ref="U262" ca="1">IFERROR(INDEX($E261:$DA261,MATCH(0,COUNTIF($D262:T262,$E261:$DA261),0)),"")</f>
        <v/>
      </c>
      <c r="V262" s="601" t="str">
        <f t="array" aca="1" ref="V262" ca="1">IFERROR(INDEX($E261:$DA261,MATCH(0,COUNTIF($D262:U262,$E261:$DA261),0)),"")</f>
        <v/>
      </c>
      <c r="W262" s="601" t="str">
        <f t="array" aca="1" ref="W262" ca="1">IFERROR(INDEX($E261:$DA261,MATCH(0,COUNTIF($D262:V262,$E261:$DA261),0)),"")</f>
        <v/>
      </c>
      <c r="X262" s="601" t="str">
        <f t="array" aca="1" ref="X262" ca="1">IFERROR(INDEX($E261:$DA261,MATCH(0,COUNTIF($D262:W262,$E261:$DA261),0)),"")</f>
        <v/>
      </c>
      <c r="Y262" s="601" t="str">
        <f t="array" aca="1" ref="Y262" ca="1">IFERROR(INDEX($E261:$DA261,MATCH(0,COUNTIF($D262:X262,$E261:$DA261),0)),"")</f>
        <v/>
      </c>
      <c r="Z262" s="601" t="str">
        <f t="array" aca="1" ref="Z262" ca="1">IFERROR(INDEX($E261:$DA261,MATCH(0,COUNTIF($D262:Y262,$E261:$DA261),0)),"")</f>
        <v/>
      </c>
      <c r="AA262" s="601" t="str">
        <f t="array" aca="1" ref="AA262" ca="1">IFERROR(INDEX($E261:$DA261,MATCH(0,COUNTIF($D262:Z262,$E261:$DA261),0)),"")</f>
        <v/>
      </c>
      <c r="AB262" s="601" t="str">
        <f t="array" aca="1" ref="AB262" ca="1">IFERROR(INDEX($E261:$DA261,MATCH(0,COUNTIF($D262:AA262,$E261:$DA261),0)),"")</f>
        <v/>
      </c>
      <c r="AC262" s="601" t="str">
        <f t="array" aca="1" ref="AC262" ca="1">IFERROR(INDEX($E261:$DA261,MATCH(0,COUNTIF($D262:AB262,$E261:$DA261),0)),"")</f>
        <v/>
      </c>
      <c r="AD262" s="601" t="str">
        <f t="array" aca="1" ref="AD262" ca="1">IFERROR(INDEX($E261:$DA261,MATCH(0,COUNTIF($D262:AC262,$E261:$DA261),0)),"")</f>
        <v/>
      </c>
      <c r="AE262" s="601" t="str">
        <f t="array" aca="1" ref="AE262" ca="1">IFERROR(INDEX($E261:$DA261,MATCH(0,COUNTIF($D262:AD262,$E261:$DA261),0)),"")</f>
        <v/>
      </c>
      <c r="AF262" s="601" t="str">
        <f t="array" aca="1" ref="AF262" ca="1">IFERROR(INDEX($E261:$DA261,MATCH(0,COUNTIF($D262:AE262,$E261:$DA261),0)),"")</f>
        <v/>
      </c>
      <c r="AG262" s="601" t="str">
        <f t="array" aca="1" ref="AG262" ca="1">IFERROR(INDEX($E261:$DA261,MATCH(0,COUNTIF($D262:AF262,$E261:$DA261),0)),"")</f>
        <v/>
      </c>
      <c r="AH262" s="601" t="str">
        <f t="array" aca="1" ref="AH262" ca="1">IFERROR(INDEX($E261:$DA261,MATCH(0,COUNTIF($D262:AG262,$E261:$DA261),0)),"")</f>
        <v/>
      </c>
      <c r="AI262" s="601" t="str">
        <f t="array" aca="1" ref="AI262" ca="1">IFERROR(INDEX($E261:$DA261,MATCH(0,COUNTIF($D262:AH262,$E261:$DA261),0)),"")</f>
        <v/>
      </c>
      <c r="AJ262" s="601" t="str">
        <f t="array" aca="1" ref="AJ262" ca="1">IFERROR(INDEX($E261:$DA261,MATCH(0,COUNTIF($D262:AI262,$E261:$DA261),0)),"")</f>
        <v/>
      </c>
      <c r="AK262" s="601" t="str">
        <f t="array" aca="1" ref="AK262" ca="1">IFERROR(INDEX($E261:$DA261,MATCH(0,COUNTIF($D262:AJ262,$E261:$DA261),0)),"")</f>
        <v/>
      </c>
      <c r="AL262" s="601" t="str">
        <f t="array" aca="1" ref="AL262" ca="1">IFERROR(INDEX($E261:$DA261,MATCH(0,COUNTIF($D262:AK262,$E261:$DA261),0)),"")</f>
        <v/>
      </c>
      <c r="AM262" s="601" t="str">
        <f t="array" aca="1" ref="AM262" ca="1">IFERROR(INDEX($E261:$DA261,MATCH(0,COUNTIF($D262:AL262,$E261:$DA261),0)),"")</f>
        <v/>
      </c>
      <c r="AN262" s="601" t="str">
        <f t="array" aca="1" ref="AN262" ca="1">IFERROR(INDEX($E261:$DA261,MATCH(0,COUNTIF($D262:AM262,$E261:$DA261),0)),"")</f>
        <v/>
      </c>
      <c r="AO262" s="601" t="str">
        <f t="array" aca="1" ref="AO262" ca="1">IFERROR(INDEX($E261:$DA261,MATCH(0,COUNTIF($D262:AN262,$E261:$DA261),0)),"")</f>
        <v/>
      </c>
      <c r="AP262" s="601" t="str">
        <f t="array" aca="1" ref="AP262" ca="1">IFERROR(INDEX($E261:$DA261,MATCH(0,COUNTIF($D262:AO262,$E261:$DA261),0)),"")</f>
        <v/>
      </c>
      <c r="AQ262" s="601" t="str">
        <f t="array" aca="1" ref="AQ262" ca="1">IFERROR(INDEX($E261:$DA261,MATCH(0,COUNTIF($D262:AP262,$E261:$DA261),0)),"")</f>
        <v/>
      </c>
      <c r="AR262" s="601" t="str">
        <f t="array" aca="1" ref="AR262" ca="1">IFERROR(INDEX($E261:$DA261,MATCH(0,COUNTIF($D262:AQ262,$E261:$DA261),0)),"")</f>
        <v/>
      </c>
      <c r="AS262" s="601" t="str">
        <f t="array" aca="1" ref="AS262" ca="1">IFERROR(INDEX($E261:$DA261,MATCH(0,COUNTIF($D262:AR262,$E261:$DA261),0)),"")</f>
        <v/>
      </c>
      <c r="AT262" s="601" t="str">
        <f t="array" aca="1" ref="AT262" ca="1">IFERROR(INDEX($E261:$DA261,MATCH(0,COUNTIF($D262:AS262,$E261:$DA261),0)),"")</f>
        <v/>
      </c>
      <c r="AU262" s="601" t="str">
        <f t="array" aca="1" ref="AU262" ca="1">IFERROR(INDEX($E261:$DA261,MATCH(0,COUNTIF($D262:AT262,$E261:$DA261),0)),"")</f>
        <v/>
      </c>
      <c r="AV262" s="601" t="str">
        <f t="array" aca="1" ref="AV262" ca="1">IFERROR(INDEX($E261:$DA261,MATCH(0,COUNTIF($D262:AU262,$E261:$DA261),0)),"")</f>
        <v/>
      </c>
      <c r="AW262" s="601" t="str">
        <f t="array" aca="1" ref="AW262" ca="1">IFERROR(INDEX($E261:$DA261,MATCH(0,COUNTIF($D262:AV262,$E261:$DA261),0)),"")</f>
        <v/>
      </c>
      <c r="AX262" s="601" t="str">
        <f t="array" aca="1" ref="AX262" ca="1">IFERROR(INDEX($E261:$DA261,MATCH(0,COUNTIF($D262:AW262,$E261:$DA261),0)),"")</f>
        <v/>
      </c>
      <c r="AY262" s="601" t="str">
        <f t="array" aca="1" ref="AY262" ca="1">IFERROR(INDEX($E261:$DA261,MATCH(0,COUNTIF($D262:AX262,$E261:$DA261),0)),"")</f>
        <v/>
      </c>
      <c r="AZ262" s="601" t="str">
        <f t="array" aca="1" ref="AZ262" ca="1">IFERROR(INDEX($E261:$DA261,MATCH(0,COUNTIF($D262:AY262,$E261:$DA261),0)),"")</f>
        <v/>
      </c>
      <c r="BA262" s="602" t="str">
        <f t="array" aca="1" ref="BA262" ca="1">IFERROR(INDEX($E261:$DA261,MATCH(0,COUNTIF($D262:AZ262,$E261:$DA261),0)),"")</f>
        <v/>
      </c>
      <c r="BB262" s="650" t="str">
        <f t="array" aca="1" ref="BB262" ca="1">IFERROR(INDEX($E261:$DA261,MATCH(0,COUNTIF($D262:BA262,$E261:$DA261),0)),"")</f>
        <v/>
      </c>
      <c r="BC262" s="604"/>
      <c r="BD262" s="604" t="str">
        <f>""</f>
        <v/>
      </c>
      <c r="BE262" s="604"/>
      <c r="BF262" s="604"/>
      <c r="BG262" s="604"/>
      <c r="BH262" s="604"/>
      <c r="BI262" s="604"/>
      <c r="BJ262" s="604"/>
      <c r="BK262" s="604"/>
      <c r="BL262" s="604"/>
      <c r="BM262" s="604"/>
      <c r="BN262" s="604"/>
      <c r="BO262" s="604"/>
      <c r="BP262" s="604"/>
      <c r="BQ262" s="604"/>
      <c r="BR262" s="604"/>
      <c r="BS262" s="604"/>
      <c r="BT262" s="604"/>
      <c r="BU262" s="604"/>
      <c r="BV262" s="604"/>
      <c r="BW262" s="604"/>
      <c r="IE262" s="603"/>
      <c r="IF262" s="603"/>
      <c r="IG262" s="603"/>
      <c r="IH262" s="603"/>
    </row>
    <row r="263" spans="1:242" s="569" customFormat="1" hidden="1">
      <c r="A263" s="569">
        <v>17</v>
      </c>
      <c r="B263" s="1052"/>
      <c r="C263" s="599" t="s">
        <v>674</v>
      </c>
      <c r="D263" s="600" t="str">
        <f>""</f>
        <v/>
      </c>
      <c r="E263" s="734" t="str">
        <f t="shared" ref="E263:AJ263" ca="1" si="122">IF(OFFSET(貼付け_2026実績,2,12)="■",BD261,IFERROR(INDEX($BD261:$DA261,MATCH(E262,$BD261:$DA261,0)),""))</f>
        <v/>
      </c>
      <c r="F263" s="601" t="str">
        <f t="shared" ca="1" si="122"/>
        <v/>
      </c>
      <c r="G263" s="601" t="str">
        <f t="shared" ca="1" si="122"/>
        <v/>
      </c>
      <c r="H263" s="601" t="str">
        <f t="shared" ca="1" si="122"/>
        <v/>
      </c>
      <c r="I263" s="601" t="str">
        <f t="shared" ca="1" si="122"/>
        <v/>
      </c>
      <c r="J263" s="601" t="str">
        <f t="shared" ca="1" si="122"/>
        <v/>
      </c>
      <c r="K263" s="601" t="str">
        <f t="shared" ca="1" si="122"/>
        <v/>
      </c>
      <c r="L263" s="601" t="str">
        <f t="shared" ca="1" si="122"/>
        <v/>
      </c>
      <c r="M263" s="601" t="str">
        <f t="shared" ca="1" si="122"/>
        <v/>
      </c>
      <c r="N263" s="601" t="str">
        <f t="shared" ca="1" si="122"/>
        <v/>
      </c>
      <c r="O263" s="601" t="str">
        <f ca="1">IF(OFFSET(貼付け_2026実績,2,12)="■",BN261,IFERROR(INDEX($BD261:$DA261,MATCH(O262,$BD261:$DA261,0)),""))</f>
        <v/>
      </c>
      <c r="P263" s="601" t="str">
        <f t="shared" ca="1" si="122"/>
        <v/>
      </c>
      <c r="Q263" s="601" t="str">
        <f t="shared" ca="1" si="122"/>
        <v/>
      </c>
      <c r="R263" s="601" t="str">
        <f t="shared" ca="1" si="122"/>
        <v/>
      </c>
      <c r="S263" s="601" t="str">
        <f t="shared" ca="1" si="122"/>
        <v/>
      </c>
      <c r="T263" s="601" t="str">
        <f t="shared" ca="1" si="122"/>
        <v/>
      </c>
      <c r="U263" s="601" t="str">
        <f t="shared" ca="1" si="122"/>
        <v/>
      </c>
      <c r="V263" s="601" t="str">
        <f t="shared" ca="1" si="122"/>
        <v/>
      </c>
      <c r="W263" s="601" t="str">
        <f t="shared" ca="1" si="122"/>
        <v/>
      </c>
      <c r="X263" s="601" t="str">
        <f t="shared" ca="1" si="122"/>
        <v/>
      </c>
      <c r="Y263" s="601" t="str">
        <f t="shared" ca="1" si="122"/>
        <v/>
      </c>
      <c r="Z263" s="601" t="str">
        <f t="shared" ca="1" si="122"/>
        <v/>
      </c>
      <c r="AA263" s="601" t="str">
        <f t="shared" ca="1" si="122"/>
        <v/>
      </c>
      <c r="AB263" s="601" t="str">
        <f t="shared" ca="1" si="122"/>
        <v/>
      </c>
      <c r="AC263" s="601" t="str">
        <f t="shared" ca="1" si="122"/>
        <v/>
      </c>
      <c r="AD263" s="601" t="str">
        <f t="shared" ca="1" si="122"/>
        <v/>
      </c>
      <c r="AE263" s="601" t="str">
        <f t="shared" ca="1" si="122"/>
        <v/>
      </c>
      <c r="AF263" s="601" t="str">
        <f t="shared" ca="1" si="122"/>
        <v/>
      </c>
      <c r="AG263" s="601" t="str">
        <f t="shared" ca="1" si="122"/>
        <v/>
      </c>
      <c r="AH263" s="601" t="str">
        <f t="shared" ca="1" si="122"/>
        <v/>
      </c>
      <c r="AI263" s="601" t="str">
        <f t="shared" ca="1" si="122"/>
        <v/>
      </c>
      <c r="AJ263" s="601" t="str">
        <f t="shared" ca="1" si="122"/>
        <v/>
      </c>
      <c r="AK263" s="601" t="str">
        <f t="shared" ref="AK263:BB263" ca="1" si="123">IF(OFFSET(貼付け_2026実績,2,12)="■",CJ261,IFERROR(INDEX($BD261:$DA261,MATCH(AK262,$BD261:$DA261,0)),""))</f>
        <v/>
      </c>
      <c r="AL263" s="601" t="str">
        <f t="shared" ca="1" si="123"/>
        <v/>
      </c>
      <c r="AM263" s="601" t="str">
        <f t="shared" ca="1" si="123"/>
        <v/>
      </c>
      <c r="AN263" s="601" t="str">
        <f t="shared" ca="1" si="123"/>
        <v/>
      </c>
      <c r="AO263" s="601" t="str">
        <f t="shared" ca="1" si="123"/>
        <v/>
      </c>
      <c r="AP263" s="601" t="str">
        <f t="shared" ca="1" si="123"/>
        <v/>
      </c>
      <c r="AQ263" s="601" t="str">
        <f t="shared" ca="1" si="123"/>
        <v/>
      </c>
      <c r="AR263" s="601" t="str">
        <f t="shared" ca="1" si="123"/>
        <v/>
      </c>
      <c r="AS263" s="601" t="str">
        <f t="shared" ca="1" si="123"/>
        <v/>
      </c>
      <c r="AT263" s="601" t="str">
        <f t="shared" ca="1" si="123"/>
        <v/>
      </c>
      <c r="AU263" s="601" t="str">
        <f t="shared" ca="1" si="123"/>
        <v/>
      </c>
      <c r="AV263" s="601" t="str">
        <f t="shared" ca="1" si="123"/>
        <v/>
      </c>
      <c r="AW263" s="601" t="str">
        <f t="shared" ca="1" si="123"/>
        <v/>
      </c>
      <c r="AX263" s="601" t="str">
        <f t="shared" ca="1" si="123"/>
        <v/>
      </c>
      <c r="AY263" s="601" t="str">
        <f t="shared" ca="1" si="123"/>
        <v/>
      </c>
      <c r="AZ263" s="601" t="str">
        <f t="shared" ca="1" si="123"/>
        <v/>
      </c>
      <c r="BA263" s="602" t="str">
        <f t="shared" ca="1" si="123"/>
        <v/>
      </c>
      <c r="BB263" s="650" t="str">
        <f t="shared" ca="1" si="123"/>
        <v/>
      </c>
      <c r="BD263" s="569" t="str">
        <f>""</f>
        <v/>
      </c>
      <c r="IE263" s="603"/>
      <c r="IF263" s="603"/>
      <c r="IG263" s="603"/>
      <c r="IH263" s="603"/>
    </row>
    <row r="264" spans="1:242" s="569" customFormat="1" hidden="1">
      <c r="A264" s="569">
        <v>18</v>
      </c>
      <c r="B264" s="1052"/>
      <c r="C264" s="605" t="s">
        <v>675</v>
      </c>
      <c r="D264" s="606">
        <v>6</v>
      </c>
      <c r="E264" s="735" t="str">
        <f t="shared" ref="E264:AJ264" ca="1" si="124">OFFSET(A1_名称2026,E$247+2,$D264)&amp;""</f>
        <v/>
      </c>
      <c r="F264" s="607" t="str">
        <f t="shared" ca="1" si="124"/>
        <v/>
      </c>
      <c r="G264" s="607" t="str">
        <f t="shared" ca="1" si="124"/>
        <v/>
      </c>
      <c r="H264" s="607" t="str">
        <f t="shared" ca="1" si="124"/>
        <v/>
      </c>
      <c r="I264" s="607" t="str">
        <f t="shared" ca="1" si="124"/>
        <v/>
      </c>
      <c r="J264" s="607" t="str">
        <f t="shared" ca="1" si="124"/>
        <v/>
      </c>
      <c r="K264" s="607" t="str">
        <f t="shared" ca="1" si="124"/>
        <v/>
      </c>
      <c r="L264" s="607" t="str">
        <f t="shared" ca="1" si="124"/>
        <v/>
      </c>
      <c r="M264" s="607" t="str">
        <f t="shared" ca="1" si="124"/>
        <v/>
      </c>
      <c r="N264" s="607" t="str">
        <f t="shared" ca="1" si="124"/>
        <v/>
      </c>
      <c r="O264" s="607" t="str">
        <f ca="1">OFFSET(A1_名称2026,O$247+2,$D264)&amp;""</f>
        <v/>
      </c>
      <c r="P264" s="607" t="str">
        <f t="shared" ca="1" si="124"/>
        <v/>
      </c>
      <c r="Q264" s="607" t="str">
        <f t="shared" ca="1" si="124"/>
        <v/>
      </c>
      <c r="R264" s="607" t="str">
        <f t="shared" ca="1" si="124"/>
        <v/>
      </c>
      <c r="S264" s="607" t="str">
        <f t="shared" ca="1" si="124"/>
        <v/>
      </c>
      <c r="T264" s="607" t="str">
        <f t="shared" ca="1" si="124"/>
        <v/>
      </c>
      <c r="U264" s="607" t="str">
        <f t="shared" ca="1" si="124"/>
        <v/>
      </c>
      <c r="V264" s="607" t="str">
        <f t="shared" ca="1" si="124"/>
        <v/>
      </c>
      <c r="W264" s="607" t="str">
        <f t="shared" ca="1" si="124"/>
        <v/>
      </c>
      <c r="X264" s="607" t="str">
        <f t="shared" ca="1" si="124"/>
        <v/>
      </c>
      <c r="Y264" s="607" t="str">
        <f t="shared" ca="1" si="124"/>
        <v/>
      </c>
      <c r="Z264" s="607" t="str">
        <f t="shared" ca="1" si="124"/>
        <v/>
      </c>
      <c r="AA264" s="607" t="str">
        <f t="shared" ca="1" si="124"/>
        <v/>
      </c>
      <c r="AB264" s="607" t="str">
        <f t="shared" ca="1" si="124"/>
        <v/>
      </c>
      <c r="AC264" s="607" t="str">
        <f t="shared" ca="1" si="124"/>
        <v/>
      </c>
      <c r="AD264" s="607" t="str">
        <f t="shared" ca="1" si="124"/>
        <v/>
      </c>
      <c r="AE264" s="607" t="str">
        <f t="shared" ca="1" si="124"/>
        <v/>
      </c>
      <c r="AF264" s="607" t="str">
        <f t="shared" ca="1" si="124"/>
        <v/>
      </c>
      <c r="AG264" s="607" t="str">
        <f t="shared" ca="1" si="124"/>
        <v/>
      </c>
      <c r="AH264" s="607" t="str">
        <f t="shared" ca="1" si="124"/>
        <v/>
      </c>
      <c r="AI264" s="607" t="str">
        <f t="shared" ca="1" si="124"/>
        <v/>
      </c>
      <c r="AJ264" s="607" t="str">
        <f t="shared" ca="1" si="124"/>
        <v/>
      </c>
      <c r="AK264" s="607" t="str">
        <f t="shared" ref="AK264:BB264" ca="1" si="125">OFFSET(A1_名称2026,AK$247+2,$D264)&amp;""</f>
        <v/>
      </c>
      <c r="AL264" s="607" t="str">
        <f t="shared" ca="1" si="125"/>
        <v/>
      </c>
      <c r="AM264" s="607" t="str">
        <f t="shared" ca="1" si="125"/>
        <v/>
      </c>
      <c r="AN264" s="607" t="str">
        <f t="shared" ca="1" si="125"/>
        <v/>
      </c>
      <c r="AO264" s="607" t="str">
        <f t="shared" ca="1" si="125"/>
        <v/>
      </c>
      <c r="AP264" s="607" t="str">
        <f t="shared" ca="1" si="125"/>
        <v/>
      </c>
      <c r="AQ264" s="607" t="str">
        <f t="shared" ca="1" si="125"/>
        <v/>
      </c>
      <c r="AR264" s="607" t="str">
        <f t="shared" ca="1" si="125"/>
        <v/>
      </c>
      <c r="AS264" s="607" t="str">
        <f t="shared" ca="1" si="125"/>
        <v/>
      </c>
      <c r="AT264" s="607" t="str">
        <f t="shared" ca="1" si="125"/>
        <v/>
      </c>
      <c r="AU264" s="607" t="str">
        <f t="shared" ca="1" si="125"/>
        <v/>
      </c>
      <c r="AV264" s="607" t="str">
        <f t="shared" ca="1" si="125"/>
        <v/>
      </c>
      <c r="AW264" s="607" t="str">
        <f t="shared" ca="1" si="125"/>
        <v/>
      </c>
      <c r="AX264" s="607" t="str">
        <f t="shared" ca="1" si="125"/>
        <v/>
      </c>
      <c r="AY264" s="607" t="str">
        <f t="shared" ca="1" si="125"/>
        <v/>
      </c>
      <c r="AZ264" s="607" t="str">
        <f t="shared" ca="1" si="125"/>
        <v/>
      </c>
      <c r="BA264" s="608" t="str">
        <f t="shared" ca="1" si="125"/>
        <v/>
      </c>
      <c r="BB264" s="651" t="str">
        <f t="shared" ca="1" si="125"/>
        <v/>
      </c>
      <c r="IE264" s="603"/>
      <c r="IF264" s="603"/>
      <c r="IG264" s="603"/>
      <c r="IH264" s="603"/>
    </row>
    <row r="265" spans="1:242" s="164" customFormat="1" ht="19.8" hidden="1">
      <c r="A265" s="569">
        <v>19</v>
      </c>
      <c r="B265" s="1052"/>
      <c r="C265" s="599" t="s">
        <v>676</v>
      </c>
      <c r="D265" s="600"/>
      <c r="E265" s="734" t="str">
        <f ca="1">IF(E264="","",IFERROR(INDEX($E260:$BB260,MATCH(E264,$BD261:$DA261,0)),""))</f>
        <v/>
      </c>
      <c r="F265" s="601" t="str">
        <f t="shared" ref="F265:BB265" ca="1" si="126">IF(F264="","",IFERROR(INDEX($E260:$BB260,MATCH(F264,$BD261:$DA261,0)),""))</f>
        <v/>
      </c>
      <c r="G265" s="601" t="str">
        <f t="shared" ca="1" si="126"/>
        <v/>
      </c>
      <c r="H265" s="601" t="str">
        <f t="shared" ca="1" si="126"/>
        <v/>
      </c>
      <c r="I265" s="601" t="str">
        <f t="shared" ca="1" si="126"/>
        <v/>
      </c>
      <c r="J265" s="601" t="str">
        <f t="shared" ca="1" si="126"/>
        <v/>
      </c>
      <c r="K265" s="601" t="str">
        <f t="shared" ca="1" si="126"/>
        <v/>
      </c>
      <c r="L265" s="601" t="str">
        <f t="shared" ca="1" si="126"/>
        <v/>
      </c>
      <c r="M265" s="601" t="str">
        <f t="shared" ca="1" si="126"/>
        <v/>
      </c>
      <c r="N265" s="601" t="str">
        <f t="shared" ca="1" si="126"/>
        <v/>
      </c>
      <c r="O265" s="601" t="str">
        <f ca="1">IF(O264="","",IFERROR(INDEX($E260:$BB260,MATCH(O264,$BD261:$DA261,0)),""))</f>
        <v/>
      </c>
      <c r="P265" s="601" t="str">
        <f t="shared" ca="1" si="126"/>
        <v/>
      </c>
      <c r="Q265" s="601" t="str">
        <f t="shared" ca="1" si="126"/>
        <v/>
      </c>
      <c r="R265" s="601" t="str">
        <f t="shared" ca="1" si="126"/>
        <v/>
      </c>
      <c r="S265" s="601" t="str">
        <f t="shared" ca="1" si="126"/>
        <v/>
      </c>
      <c r="T265" s="601" t="str">
        <f t="shared" ca="1" si="126"/>
        <v/>
      </c>
      <c r="U265" s="601" t="str">
        <f t="shared" ca="1" si="126"/>
        <v/>
      </c>
      <c r="V265" s="601" t="str">
        <f t="shared" ca="1" si="126"/>
        <v/>
      </c>
      <c r="W265" s="601" t="str">
        <f t="shared" ca="1" si="126"/>
        <v/>
      </c>
      <c r="X265" s="601" t="str">
        <f t="shared" ca="1" si="126"/>
        <v/>
      </c>
      <c r="Y265" s="601" t="str">
        <f t="shared" ca="1" si="126"/>
        <v/>
      </c>
      <c r="Z265" s="601" t="str">
        <f t="shared" ca="1" si="126"/>
        <v/>
      </c>
      <c r="AA265" s="601" t="str">
        <f t="shared" ca="1" si="126"/>
        <v/>
      </c>
      <c r="AB265" s="601" t="str">
        <f t="shared" ca="1" si="126"/>
        <v/>
      </c>
      <c r="AC265" s="601" t="str">
        <f t="shared" ca="1" si="126"/>
        <v/>
      </c>
      <c r="AD265" s="601" t="str">
        <f t="shared" ca="1" si="126"/>
        <v/>
      </c>
      <c r="AE265" s="601" t="str">
        <f t="shared" ca="1" si="126"/>
        <v/>
      </c>
      <c r="AF265" s="601" t="str">
        <f t="shared" ca="1" si="126"/>
        <v/>
      </c>
      <c r="AG265" s="601" t="str">
        <f t="shared" ca="1" si="126"/>
        <v/>
      </c>
      <c r="AH265" s="601" t="str">
        <f t="shared" ca="1" si="126"/>
        <v/>
      </c>
      <c r="AI265" s="601" t="str">
        <f t="shared" ca="1" si="126"/>
        <v/>
      </c>
      <c r="AJ265" s="601" t="str">
        <f t="shared" ca="1" si="126"/>
        <v/>
      </c>
      <c r="AK265" s="601" t="str">
        <f t="shared" ca="1" si="126"/>
        <v/>
      </c>
      <c r="AL265" s="601" t="str">
        <f t="shared" ca="1" si="126"/>
        <v/>
      </c>
      <c r="AM265" s="601" t="str">
        <f t="shared" ca="1" si="126"/>
        <v/>
      </c>
      <c r="AN265" s="601" t="str">
        <f t="shared" ca="1" si="126"/>
        <v/>
      </c>
      <c r="AO265" s="601" t="str">
        <f t="shared" ca="1" si="126"/>
        <v/>
      </c>
      <c r="AP265" s="601" t="str">
        <f t="shared" ca="1" si="126"/>
        <v/>
      </c>
      <c r="AQ265" s="601" t="str">
        <f t="shared" ca="1" si="126"/>
        <v/>
      </c>
      <c r="AR265" s="601" t="str">
        <f t="shared" ca="1" si="126"/>
        <v/>
      </c>
      <c r="AS265" s="601" t="str">
        <f t="shared" ca="1" si="126"/>
        <v/>
      </c>
      <c r="AT265" s="601" t="str">
        <f t="shared" ca="1" si="126"/>
        <v/>
      </c>
      <c r="AU265" s="601" t="str">
        <f t="shared" ca="1" si="126"/>
        <v/>
      </c>
      <c r="AV265" s="601" t="str">
        <f t="shared" ca="1" si="126"/>
        <v/>
      </c>
      <c r="AW265" s="601" t="str">
        <f t="shared" ca="1" si="126"/>
        <v/>
      </c>
      <c r="AX265" s="601" t="str">
        <f t="shared" ca="1" si="126"/>
        <v/>
      </c>
      <c r="AY265" s="601" t="str">
        <f t="shared" ca="1" si="126"/>
        <v/>
      </c>
      <c r="AZ265" s="601" t="str">
        <f t="shared" ca="1" si="126"/>
        <v/>
      </c>
      <c r="BA265" s="602" t="str">
        <f t="shared" ca="1" si="126"/>
        <v/>
      </c>
      <c r="BB265" s="650" t="str">
        <f t="shared" ca="1" si="126"/>
        <v/>
      </c>
      <c r="BC265" s="569"/>
      <c r="BD265" s="569"/>
      <c r="BE265" s="569"/>
      <c r="BF265" s="569"/>
      <c r="BG265" s="569"/>
      <c r="BH265" s="569"/>
      <c r="BI265" s="569"/>
      <c r="BJ265" s="569"/>
      <c r="BK265" s="569"/>
      <c r="BL265" s="569"/>
      <c r="BM265" s="569"/>
      <c r="BN265" s="569"/>
      <c r="BO265" s="569"/>
      <c r="BP265" s="569"/>
      <c r="BQ265" s="569"/>
      <c r="BR265" s="569"/>
      <c r="BS265" s="569"/>
      <c r="BT265" s="569"/>
      <c r="BU265" s="569"/>
      <c r="BV265" s="569"/>
      <c r="BW265" s="569"/>
      <c r="BX265" s="569"/>
      <c r="BY265" s="569"/>
      <c r="BZ265" s="569"/>
      <c r="CA265" s="569"/>
      <c r="CB265" s="569"/>
      <c r="CC265" s="569"/>
      <c r="CD265" s="569"/>
      <c r="CE265" s="569"/>
      <c r="CF265" s="569"/>
      <c r="CG265" s="569"/>
      <c r="CH265" s="569"/>
      <c r="CI265" s="569"/>
      <c r="CJ265" s="569"/>
      <c r="CK265" s="569"/>
      <c r="CL265" s="569"/>
      <c r="CM265" s="569"/>
      <c r="CN265" s="569"/>
      <c r="CO265" s="569"/>
      <c r="CP265" s="569"/>
      <c r="CQ265" s="569"/>
      <c r="CR265" s="569"/>
      <c r="CS265" s="569"/>
      <c r="CT265" s="569"/>
      <c r="CU265" s="569"/>
      <c r="CV265" s="569"/>
      <c r="CW265" s="569"/>
      <c r="CX265" s="569"/>
      <c r="CY265" s="569"/>
      <c r="CZ265" s="569"/>
      <c r="DA265" s="569"/>
      <c r="DB265" s="569"/>
      <c r="DC265" s="569"/>
      <c r="DD265" s="569"/>
      <c r="DE265" s="569"/>
      <c r="DF265" s="569"/>
      <c r="DG265" s="569"/>
      <c r="DH265" s="569"/>
      <c r="DI265" s="569"/>
      <c r="DJ265" s="569"/>
      <c r="DK265" s="569"/>
      <c r="DL265" s="569"/>
      <c r="DM265" s="569"/>
      <c r="DN265" s="569"/>
      <c r="DO265" s="569"/>
      <c r="DP265" s="569"/>
      <c r="DQ265" s="569"/>
      <c r="DR265" s="569"/>
      <c r="DS265" s="569"/>
      <c r="DT265" s="569"/>
      <c r="DU265" s="569"/>
      <c r="DV265" s="569"/>
      <c r="DW265" s="569"/>
      <c r="DX265" s="569"/>
      <c r="DY265" s="569"/>
      <c r="DZ265" s="569"/>
      <c r="EA265" s="569"/>
      <c r="EB265" s="569"/>
      <c r="EC265" s="569"/>
      <c r="ED265" s="569"/>
      <c r="EE265" s="569"/>
      <c r="EF265" s="569"/>
      <c r="EG265" s="569"/>
      <c r="EH265" s="569"/>
      <c r="EI265" s="569"/>
      <c r="EJ265" s="569"/>
      <c r="EK265" s="569"/>
      <c r="EL265" s="569"/>
      <c r="EM265" s="569"/>
      <c r="EN265" s="569"/>
      <c r="EO265" s="569"/>
      <c r="EP265" s="569"/>
      <c r="EQ265" s="569"/>
      <c r="ER265" s="569"/>
      <c r="ES265" s="569"/>
      <c r="ET265" s="569"/>
      <c r="EU265" s="569"/>
      <c r="EV265" s="569"/>
      <c r="EW265" s="569"/>
      <c r="EX265" s="569"/>
      <c r="EY265" s="569"/>
      <c r="EZ265" s="569"/>
      <c r="FA265" s="569"/>
      <c r="FB265" s="569"/>
      <c r="FC265" s="569"/>
      <c r="FD265" s="569"/>
      <c r="FE265" s="569"/>
      <c r="FF265" s="569"/>
      <c r="FG265" s="569"/>
      <c r="FH265" s="569"/>
      <c r="FI265" s="569"/>
      <c r="FJ265" s="569"/>
      <c r="FK265" s="569"/>
      <c r="FL265" s="569"/>
      <c r="FM265" s="569"/>
      <c r="FN265" s="569"/>
      <c r="FO265" s="569"/>
      <c r="FP265" s="569"/>
      <c r="FQ265" s="569"/>
      <c r="FR265" s="569"/>
      <c r="FS265" s="569"/>
      <c r="FT265" s="569"/>
      <c r="FU265" s="569"/>
      <c r="FV265" s="569"/>
      <c r="FW265" s="569"/>
      <c r="FX265" s="569"/>
      <c r="FY265" s="569"/>
      <c r="FZ265" s="569"/>
      <c r="GA265" s="569"/>
      <c r="GB265" s="569"/>
      <c r="GC265" s="569"/>
      <c r="GD265" s="569"/>
      <c r="GE265" s="569"/>
      <c r="GF265" s="569"/>
      <c r="GG265" s="569"/>
      <c r="GH265" s="569"/>
      <c r="GI265" s="569"/>
      <c r="GJ265" s="569"/>
      <c r="GK265" s="569"/>
      <c r="GL265" s="569"/>
      <c r="GM265" s="569"/>
      <c r="GN265" s="569"/>
      <c r="GO265" s="569"/>
      <c r="GP265" s="569"/>
      <c r="GQ265" s="569"/>
      <c r="GR265" s="569"/>
      <c r="GS265" s="569"/>
      <c r="GT265" s="569"/>
      <c r="GU265" s="569"/>
      <c r="GV265" s="569"/>
      <c r="GW265" s="569"/>
      <c r="GX265" s="569"/>
      <c r="GY265" s="569"/>
      <c r="GZ265" s="569"/>
      <c r="HA265" s="569"/>
      <c r="HB265" s="569"/>
      <c r="HC265" s="569"/>
      <c r="HD265" s="569"/>
      <c r="HE265" s="569"/>
      <c r="HF265" s="569"/>
      <c r="HG265" s="569"/>
      <c r="HH265" s="569"/>
      <c r="HI265" s="569"/>
      <c r="HJ265" s="569"/>
      <c r="HK265" s="569"/>
      <c r="IE265" s="579"/>
      <c r="IF265" s="579"/>
      <c r="IG265" s="579"/>
      <c r="IH265" s="579"/>
    </row>
    <row r="266" spans="1:242" s="164" customFormat="1" ht="20.100000000000001" hidden="1" customHeight="1">
      <c r="A266" s="569">
        <v>20</v>
      </c>
      <c r="B266" s="1052"/>
      <c r="C266" s="609" t="s">
        <v>677</v>
      </c>
      <c r="D266" s="610">
        <v>6</v>
      </c>
      <c r="E266" s="736" t="str">
        <f t="shared" ref="E266:AJ266" ca="1" si="127">IFERROR(OFFSET(貼付け_2026実績,$D266,E265+1)&amp;"","")</f>
        <v/>
      </c>
      <c r="F266" s="611" t="str">
        <f t="shared" ca="1" si="127"/>
        <v/>
      </c>
      <c r="G266" s="611" t="str">
        <f t="shared" ca="1" si="127"/>
        <v/>
      </c>
      <c r="H266" s="611" t="str">
        <f t="shared" ca="1" si="127"/>
        <v/>
      </c>
      <c r="I266" s="611" t="str">
        <f t="shared" ca="1" si="127"/>
        <v/>
      </c>
      <c r="J266" s="611" t="str">
        <f t="shared" ca="1" si="127"/>
        <v/>
      </c>
      <c r="K266" s="611" t="str">
        <f t="shared" ca="1" si="127"/>
        <v/>
      </c>
      <c r="L266" s="611" t="str">
        <f t="shared" ca="1" si="127"/>
        <v/>
      </c>
      <c r="M266" s="611" t="str">
        <f t="shared" ca="1" si="127"/>
        <v/>
      </c>
      <c r="N266" s="611" t="str">
        <f t="shared" ca="1" si="127"/>
        <v/>
      </c>
      <c r="O266" s="611" t="str">
        <f ca="1">IFERROR(OFFSET(貼付け_2026実績,$D266,O265+1)&amp;"","")</f>
        <v/>
      </c>
      <c r="P266" s="611" t="str">
        <f t="shared" ca="1" si="127"/>
        <v/>
      </c>
      <c r="Q266" s="611" t="str">
        <f t="shared" ca="1" si="127"/>
        <v/>
      </c>
      <c r="R266" s="611" t="str">
        <f t="shared" ca="1" si="127"/>
        <v/>
      </c>
      <c r="S266" s="611" t="str">
        <f t="shared" ca="1" si="127"/>
        <v/>
      </c>
      <c r="T266" s="611" t="str">
        <f t="shared" ca="1" si="127"/>
        <v/>
      </c>
      <c r="U266" s="611" t="str">
        <f t="shared" ca="1" si="127"/>
        <v/>
      </c>
      <c r="V266" s="611" t="str">
        <f t="shared" ca="1" si="127"/>
        <v/>
      </c>
      <c r="W266" s="611" t="str">
        <f t="shared" ca="1" si="127"/>
        <v/>
      </c>
      <c r="X266" s="611" t="str">
        <f t="shared" ca="1" si="127"/>
        <v/>
      </c>
      <c r="Y266" s="611" t="str">
        <f t="shared" ca="1" si="127"/>
        <v/>
      </c>
      <c r="Z266" s="611" t="str">
        <f t="shared" ca="1" si="127"/>
        <v/>
      </c>
      <c r="AA266" s="611" t="str">
        <f t="shared" ca="1" si="127"/>
        <v/>
      </c>
      <c r="AB266" s="611" t="str">
        <f t="shared" ca="1" si="127"/>
        <v/>
      </c>
      <c r="AC266" s="611" t="str">
        <f t="shared" ca="1" si="127"/>
        <v/>
      </c>
      <c r="AD266" s="611" t="str">
        <f t="shared" ca="1" si="127"/>
        <v/>
      </c>
      <c r="AE266" s="611" t="str">
        <f t="shared" ca="1" si="127"/>
        <v/>
      </c>
      <c r="AF266" s="611" t="str">
        <f t="shared" ca="1" si="127"/>
        <v/>
      </c>
      <c r="AG266" s="611" t="str">
        <f t="shared" ca="1" si="127"/>
        <v/>
      </c>
      <c r="AH266" s="611" t="str">
        <f t="shared" ca="1" si="127"/>
        <v/>
      </c>
      <c r="AI266" s="611" t="str">
        <f t="shared" ca="1" si="127"/>
        <v/>
      </c>
      <c r="AJ266" s="611" t="str">
        <f t="shared" ca="1" si="127"/>
        <v/>
      </c>
      <c r="AK266" s="611" t="str">
        <f t="shared" ref="AK266:BB266" ca="1" si="128">IFERROR(OFFSET(貼付け_2026実績,$D266,AK265+1)&amp;"","")</f>
        <v/>
      </c>
      <c r="AL266" s="611" t="str">
        <f t="shared" ca="1" si="128"/>
        <v/>
      </c>
      <c r="AM266" s="611" t="str">
        <f t="shared" ca="1" si="128"/>
        <v/>
      </c>
      <c r="AN266" s="611" t="str">
        <f t="shared" ca="1" si="128"/>
        <v/>
      </c>
      <c r="AO266" s="611" t="str">
        <f t="shared" ca="1" si="128"/>
        <v/>
      </c>
      <c r="AP266" s="611" t="str">
        <f t="shared" ca="1" si="128"/>
        <v/>
      </c>
      <c r="AQ266" s="611" t="str">
        <f t="shared" ca="1" si="128"/>
        <v/>
      </c>
      <c r="AR266" s="611" t="str">
        <f t="shared" ca="1" si="128"/>
        <v/>
      </c>
      <c r="AS266" s="611" t="str">
        <f t="shared" ca="1" si="128"/>
        <v/>
      </c>
      <c r="AT266" s="611" t="str">
        <f t="shared" ca="1" si="128"/>
        <v/>
      </c>
      <c r="AU266" s="611" t="str">
        <f t="shared" ca="1" si="128"/>
        <v/>
      </c>
      <c r="AV266" s="611" t="str">
        <f t="shared" ca="1" si="128"/>
        <v/>
      </c>
      <c r="AW266" s="611" t="str">
        <f t="shared" ca="1" si="128"/>
        <v/>
      </c>
      <c r="AX266" s="611" t="str">
        <f t="shared" ca="1" si="128"/>
        <v/>
      </c>
      <c r="AY266" s="611" t="str">
        <f t="shared" ca="1" si="128"/>
        <v/>
      </c>
      <c r="AZ266" s="611" t="str">
        <f t="shared" ca="1" si="128"/>
        <v/>
      </c>
      <c r="BA266" s="612" t="str">
        <f t="shared" ca="1" si="128"/>
        <v/>
      </c>
      <c r="BB266" s="652" t="str">
        <f t="shared" ca="1" si="128"/>
        <v/>
      </c>
      <c r="BC266" s="613"/>
      <c r="IE266" s="579"/>
      <c r="IF266" s="579"/>
      <c r="IG266" s="579"/>
      <c r="IH266" s="579"/>
    </row>
    <row r="267" spans="1:242" s="164" customFormat="1" ht="20.100000000000001" hidden="1" customHeight="1">
      <c r="A267" s="569">
        <v>21</v>
      </c>
      <c r="B267" s="1052"/>
      <c r="C267" s="614" t="s">
        <v>678</v>
      </c>
      <c r="D267" s="615">
        <v>99</v>
      </c>
      <c r="E267" s="737" t="str">
        <f t="shared" ref="E267:AJ267" ca="1" si="129">IFERROR(OFFSET(貼付け_2026実績,$D267,E265),"")&amp;""</f>
        <v/>
      </c>
      <c r="F267" s="616" t="str">
        <f t="shared" ca="1" si="129"/>
        <v/>
      </c>
      <c r="G267" s="616" t="str">
        <f t="shared" ca="1" si="129"/>
        <v/>
      </c>
      <c r="H267" s="616" t="str">
        <f t="shared" ca="1" si="129"/>
        <v/>
      </c>
      <c r="I267" s="616" t="str">
        <f t="shared" ca="1" si="129"/>
        <v/>
      </c>
      <c r="J267" s="616" t="str">
        <f t="shared" ca="1" si="129"/>
        <v/>
      </c>
      <c r="K267" s="616" t="str">
        <f t="shared" ca="1" si="129"/>
        <v/>
      </c>
      <c r="L267" s="616" t="str">
        <f t="shared" ca="1" si="129"/>
        <v/>
      </c>
      <c r="M267" s="616" t="str">
        <f t="shared" ca="1" si="129"/>
        <v/>
      </c>
      <c r="N267" s="616" t="str">
        <f t="shared" ca="1" si="129"/>
        <v/>
      </c>
      <c r="O267" s="616" t="str">
        <f ca="1">IFERROR(OFFSET(貼付け_2026実績,$D267,O265),"")&amp;""</f>
        <v/>
      </c>
      <c r="P267" s="616" t="str">
        <f t="shared" ca="1" si="129"/>
        <v/>
      </c>
      <c r="Q267" s="616" t="str">
        <f t="shared" ca="1" si="129"/>
        <v/>
      </c>
      <c r="R267" s="616" t="str">
        <f t="shared" ca="1" si="129"/>
        <v/>
      </c>
      <c r="S267" s="616" t="str">
        <f t="shared" ca="1" si="129"/>
        <v/>
      </c>
      <c r="T267" s="616" t="str">
        <f t="shared" ca="1" si="129"/>
        <v/>
      </c>
      <c r="U267" s="616" t="str">
        <f t="shared" ca="1" si="129"/>
        <v/>
      </c>
      <c r="V267" s="616" t="str">
        <f t="shared" ca="1" si="129"/>
        <v/>
      </c>
      <c r="W267" s="616" t="str">
        <f t="shared" ca="1" si="129"/>
        <v/>
      </c>
      <c r="X267" s="616" t="str">
        <f t="shared" ca="1" si="129"/>
        <v/>
      </c>
      <c r="Y267" s="616" t="str">
        <f t="shared" ca="1" si="129"/>
        <v/>
      </c>
      <c r="Z267" s="616" t="str">
        <f t="shared" ca="1" si="129"/>
        <v/>
      </c>
      <c r="AA267" s="616" t="str">
        <f t="shared" ca="1" si="129"/>
        <v/>
      </c>
      <c r="AB267" s="616" t="str">
        <f t="shared" ca="1" si="129"/>
        <v/>
      </c>
      <c r="AC267" s="616" t="str">
        <f t="shared" ca="1" si="129"/>
        <v/>
      </c>
      <c r="AD267" s="616" t="str">
        <f t="shared" ca="1" si="129"/>
        <v/>
      </c>
      <c r="AE267" s="616" t="str">
        <f t="shared" ca="1" si="129"/>
        <v/>
      </c>
      <c r="AF267" s="616" t="str">
        <f t="shared" ca="1" si="129"/>
        <v/>
      </c>
      <c r="AG267" s="616" t="str">
        <f t="shared" ca="1" si="129"/>
        <v/>
      </c>
      <c r="AH267" s="616" t="str">
        <f t="shared" ca="1" si="129"/>
        <v/>
      </c>
      <c r="AI267" s="616" t="str">
        <f t="shared" ca="1" si="129"/>
        <v/>
      </c>
      <c r="AJ267" s="616" t="str">
        <f t="shared" ca="1" si="129"/>
        <v/>
      </c>
      <c r="AK267" s="616" t="str">
        <f t="shared" ref="AK267:BB267" ca="1" si="130">IFERROR(OFFSET(貼付け_2026実績,$D267,AK265),"")&amp;""</f>
        <v/>
      </c>
      <c r="AL267" s="616" t="str">
        <f t="shared" ca="1" si="130"/>
        <v/>
      </c>
      <c r="AM267" s="616" t="str">
        <f t="shared" ca="1" si="130"/>
        <v/>
      </c>
      <c r="AN267" s="616" t="str">
        <f t="shared" ca="1" si="130"/>
        <v/>
      </c>
      <c r="AO267" s="616" t="str">
        <f t="shared" ca="1" si="130"/>
        <v/>
      </c>
      <c r="AP267" s="616" t="str">
        <f t="shared" ca="1" si="130"/>
        <v/>
      </c>
      <c r="AQ267" s="616" t="str">
        <f t="shared" ca="1" si="130"/>
        <v/>
      </c>
      <c r="AR267" s="616" t="str">
        <f t="shared" ca="1" si="130"/>
        <v/>
      </c>
      <c r="AS267" s="616" t="str">
        <f t="shared" ca="1" si="130"/>
        <v/>
      </c>
      <c r="AT267" s="616" t="str">
        <f t="shared" ca="1" si="130"/>
        <v/>
      </c>
      <c r="AU267" s="616" t="str">
        <f t="shared" ca="1" si="130"/>
        <v/>
      </c>
      <c r="AV267" s="616" t="str">
        <f t="shared" ca="1" si="130"/>
        <v/>
      </c>
      <c r="AW267" s="616" t="str">
        <f t="shared" ca="1" si="130"/>
        <v/>
      </c>
      <c r="AX267" s="616" t="str">
        <f t="shared" ca="1" si="130"/>
        <v/>
      </c>
      <c r="AY267" s="616" t="str">
        <f t="shared" ca="1" si="130"/>
        <v/>
      </c>
      <c r="AZ267" s="616" t="str">
        <f t="shared" ca="1" si="130"/>
        <v/>
      </c>
      <c r="BA267" s="616" t="str">
        <f t="shared" ca="1" si="130"/>
        <v/>
      </c>
      <c r="BB267" s="653" t="str">
        <f t="shared" ca="1" si="130"/>
        <v/>
      </c>
      <c r="IE267" s="579"/>
      <c r="IF267" s="579"/>
      <c r="IG267" s="579"/>
      <c r="IH267" s="579"/>
    </row>
    <row r="268" spans="1:242" s="164" customFormat="1" ht="20.100000000000001" hidden="1" customHeight="1">
      <c r="A268" s="569">
        <v>22</v>
      </c>
      <c r="B268" s="1052"/>
      <c r="C268" s="614" t="s">
        <v>679</v>
      </c>
      <c r="D268" s="615">
        <v>6</v>
      </c>
      <c r="E268" s="737" t="str">
        <f t="shared" ref="E268:AJ268" ca="1" si="131">IFERROR(OFFSET(A1_集計2026,$D268,E265),"")</f>
        <v/>
      </c>
      <c r="F268" s="616" t="str">
        <f t="shared" ca="1" si="131"/>
        <v/>
      </c>
      <c r="G268" s="616" t="str">
        <f t="shared" ca="1" si="131"/>
        <v/>
      </c>
      <c r="H268" s="616" t="str">
        <f t="shared" ca="1" si="131"/>
        <v/>
      </c>
      <c r="I268" s="616" t="str">
        <f t="shared" ca="1" si="131"/>
        <v/>
      </c>
      <c r="J268" s="616" t="str">
        <f t="shared" ca="1" si="131"/>
        <v/>
      </c>
      <c r="K268" s="616" t="str">
        <f t="shared" ca="1" si="131"/>
        <v/>
      </c>
      <c r="L268" s="616" t="str">
        <f t="shared" ca="1" si="131"/>
        <v/>
      </c>
      <c r="M268" s="616" t="str">
        <f t="shared" ca="1" si="131"/>
        <v/>
      </c>
      <c r="N268" s="616" t="str">
        <f t="shared" ca="1" si="131"/>
        <v/>
      </c>
      <c r="O268" s="616" t="str">
        <f ca="1">IFERROR(OFFSET(A1_集計2026,$D268,O265),"")</f>
        <v/>
      </c>
      <c r="P268" s="616" t="str">
        <f t="shared" ca="1" si="131"/>
        <v/>
      </c>
      <c r="Q268" s="616" t="str">
        <f t="shared" ca="1" si="131"/>
        <v/>
      </c>
      <c r="R268" s="616" t="str">
        <f t="shared" ca="1" si="131"/>
        <v/>
      </c>
      <c r="S268" s="616" t="str">
        <f t="shared" ca="1" si="131"/>
        <v/>
      </c>
      <c r="T268" s="616" t="str">
        <f t="shared" ca="1" si="131"/>
        <v/>
      </c>
      <c r="U268" s="616" t="str">
        <f t="shared" ca="1" si="131"/>
        <v/>
      </c>
      <c r="V268" s="616" t="str">
        <f t="shared" ca="1" si="131"/>
        <v/>
      </c>
      <c r="W268" s="616" t="str">
        <f t="shared" ca="1" si="131"/>
        <v/>
      </c>
      <c r="X268" s="616" t="str">
        <f t="shared" ca="1" si="131"/>
        <v/>
      </c>
      <c r="Y268" s="616" t="str">
        <f t="shared" ca="1" si="131"/>
        <v/>
      </c>
      <c r="Z268" s="616" t="str">
        <f t="shared" ca="1" si="131"/>
        <v/>
      </c>
      <c r="AA268" s="616" t="str">
        <f t="shared" ca="1" si="131"/>
        <v/>
      </c>
      <c r="AB268" s="616" t="str">
        <f t="shared" ca="1" si="131"/>
        <v/>
      </c>
      <c r="AC268" s="616" t="str">
        <f t="shared" ca="1" si="131"/>
        <v/>
      </c>
      <c r="AD268" s="616" t="str">
        <f t="shared" ca="1" si="131"/>
        <v/>
      </c>
      <c r="AE268" s="616" t="str">
        <f t="shared" ca="1" si="131"/>
        <v/>
      </c>
      <c r="AF268" s="616" t="str">
        <f t="shared" ca="1" si="131"/>
        <v/>
      </c>
      <c r="AG268" s="616" t="str">
        <f t="shared" ca="1" si="131"/>
        <v/>
      </c>
      <c r="AH268" s="616" t="str">
        <f t="shared" ca="1" si="131"/>
        <v/>
      </c>
      <c r="AI268" s="616" t="str">
        <f t="shared" ca="1" si="131"/>
        <v/>
      </c>
      <c r="AJ268" s="616" t="str">
        <f t="shared" ca="1" si="131"/>
        <v/>
      </c>
      <c r="AK268" s="616" t="str">
        <f t="shared" ref="AK268:BB268" ca="1" si="132">IFERROR(OFFSET(A1_集計2026,$D268,AK265),"")</f>
        <v/>
      </c>
      <c r="AL268" s="616" t="str">
        <f t="shared" ca="1" si="132"/>
        <v/>
      </c>
      <c r="AM268" s="616" t="str">
        <f t="shared" ca="1" si="132"/>
        <v/>
      </c>
      <c r="AN268" s="616" t="str">
        <f t="shared" ca="1" si="132"/>
        <v/>
      </c>
      <c r="AO268" s="616" t="str">
        <f t="shared" ca="1" si="132"/>
        <v/>
      </c>
      <c r="AP268" s="616" t="str">
        <f t="shared" ca="1" si="132"/>
        <v/>
      </c>
      <c r="AQ268" s="616" t="str">
        <f t="shared" ca="1" si="132"/>
        <v/>
      </c>
      <c r="AR268" s="616" t="str">
        <f t="shared" ca="1" si="132"/>
        <v/>
      </c>
      <c r="AS268" s="616" t="str">
        <f t="shared" ca="1" si="132"/>
        <v/>
      </c>
      <c r="AT268" s="616" t="str">
        <f t="shared" ca="1" si="132"/>
        <v/>
      </c>
      <c r="AU268" s="616" t="str">
        <f t="shared" ca="1" si="132"/>
        <v/>
      </c>
      <c r="AV268" s="616" t="str">
        <f t="shared" ca="1" si="132"/>
        <v/>
      </c>
      <c r="AW268" s="616" t="str">
        <f t="shared" ca="1" si="132"/>
        <v/>
      </c>
      <c r="AX268" s="616" t="str">
        <f t="shared" ca="1" si="132"/>
        <v/>
      </c>
      <c r="AY268" s="616" t="str">
        <f t="shared" ca="1" si="132"/>
        <v/>
      </c>
      <c r="AZ268" s="616" t="str">
        <f t="shared" ca="1" si="132"/>
        <v/>
      </c>
      <c r="BA268" s="587" t="str">
        <f t="shared" ca="1" si="132"/>
        <v/>
      </c>
      <c r="BB268" s="653" t="str">
        <f t="shared" ca="1" si="132"/>
        <v/>
      </c>
      <c r="IE268" s="579"/>
      <c r="IF268" s="579"/>
      <c r="IG268" s="579"/>
      <c r="IH268" s="579"/>
    </row>
    <row r="269" spans="1:242" s="164" customFormat="1" ht="20.100000000000001" hidden="1" customHeight="1">
      <c r="A269" s="569">
        <v>23</v>
      </c>
      <c r="B269" s="1052"/>
      <c r="C269" s="614" t="s">
        <v>680</v>
      </c>
      <c r="D269" s="615">
        <v>101</v>
      </c>
      <c r="E269" s="737" t="str">
        <f t="shared" ref="E269:AJ269" ca="1" si="133">IFERROR(OFFSET(貼付け_2026実績,$D269,E265),"")</f>
        <v/>
      </c>
      <c r="F269" s="616" t="str">
        <f t="shared" ca="1" si="133"/>
        <v/>
      </c>
      <c r="G269" s="616" t="str">
        <f t="shared" ca="1" si="133"/>
        <v/>
      </c>
      <c r="H269" s="616" t="str">
        <f t="shared" ca="1" si="133"/>
        <v/>
      </c>
      <c r="I269" s="616" t="str">
        <f t="shared" ca="1" si="133"/>
        <v/>
      </c>
      <c r="J269" s="616" t="str">
        <f t="shared" ca="1" si="133"/>
        <v/>
      </c>
      <c r="K269" s="616" t="str">
        <f t="shared" ca="1" si="133"/>
        <v/>
      </c>
      <c r="L269" s="616" t="str">
        <f t="shared" ca="1" si="133"/>
        <v/>
      </c>
      <c r="M269" s="616" t="str">
        <f t="shared" ca="1" si="133"/>
        <v/>
      </c>
      <c r="N269" s="616" t="str">
        <f t="shared" ca="1" si="133"/>
        <v/>
      </c>
      <c r="O269" s="616" t="str">
        <f ca="1">IFERROR(OFFSET(貼付け_2026実績,$D269,O265),"")</f>
        <v/>
      </c>
      <c r="P269" s="616" t="str">
        <f t="shared" ca="1" si="133"/>
        <v/>
      </c>
      <c r="Q269" s="616" t="str">
        <f t="shared" ca="1" si="133"/>
        <v/>
      </c>
      <c r="R269" s="616" t="str">
        <f t="shared" ca="1" si="133"/>
        <v/>
      </c>
      <c r="S269" s="616" t="str">
        <f t="shared" ca="1" si="133"/>
        <v/>
      </c>
      <c r="T269" s="616" t="str">
        <f t="shared" ca="1" si="133"/>
        <v/>
      </c>
      <c r="U269" s="616" t="str">
        <f t="shared" ca="1" si="133"/>
        <v/>
      </c>
      <c r="V269" s="616" t="str">
        <f t="shared" ca="1" si="133"/>
        <v/>
      </c>
      <c r="W269" s="616" t="str">
        <f t="shared" ca="1" si="133"/>
        <v/>
      </c>
      <c r="X269" s="616" t="str">
        <f t="shared" ca="1" si="133"/>
        <v/>
      </c>
      <c r="Y269" s="616" t="str">
        <f t="shared" ca="1" si="133"/>
        <v/>
      </c>
      <c r="Z269" s="616" t="str">
        <f t="shared" ca="1" si="133"/>
        <v/>
      </c>
      <c r="AA269" s="616" t="str">
        <f t="shared" ca="1" si="133"/>
        <v/>
      </c>
      <c r="AB269" s="616" t="str">
        <f t="shared" ca="1" si="133"/>
        <v/>
      </c>
      <c r="AC269" s="616" t="str">
        <f t="shared" ca="1" si="133"/>
        <v/>
      </c>
      <c r="AD269" s="616" t="str">
        <f t="shared" ca="1" si="133"/>
        <v/>
      </c>
      <c r="AE269" s="616" t="str">
        <f t="shared" ca="1" si="133"/>
        <v/>
      </c>
      <c r="AF269" s="616" t="str">
        <f t="shared" ca="1" si="133"/>
        <v/>
      </c>
      <c r="AG269" s="616" t="str">
        <f t="shared" ca="1" si="133"/>
        <v/>
      </c>
      <c r="AH269" s="616" t="str">
        <f t="shared" ca="1" si="133"/>
        <v/>
      </c>
      <c r="AI269" s="616" t="str">
        <f t="shared" ca="1" si="133"/>
        <v/>
      </c>
      <c r="AJ269" s="616" t="str">
        <f t="shared" ca="1" si="133"/>
        <v/>
      </c>
      <c r="AK269" s="616" t="str">
        <f t="shared" ref="AK269:BB269" ca="1" si="134">IFERROR(OFFSET(貼付け_2026実績,$D269,AK265),"")</f>
        <v/>
      </c>
      <c r="AL269" s="616" t="str">
        <f t="shared" ca="1" si="134"/>
        <v/>
      </c>
      <c r="AM269" s="616" t="str">
        <f t="shared" ca="1" si="134"/>
        <v/>
      </c>
      <c r="AN269" s="616" t="str">
        <f t="shared" ca="1" si="134"/>
        <v/>
      </c>
      <c r="AO269" s="616" t="str">
        <f t="shared" ca="1" si="134"/>
        <v/>
      </c>
      <c r="AP269" s="616" t="str">
        <f t="shared" ca="1" si="134"/>
        <v/>
      </c>
      <c r="AQ269" s="616" t="str">
        <f t="shared" ca="1" si="134"/>
        <v/>
      </c>
      <c r="AR269" s="616" t="str">
        <f t="shared" ca="1" si="134"/>
        <v/>
      </c>
      <c r="AS269" s="616" t="str">
        <f t="shared" ca="1" si="134"/>
        <v/>
      </c>
      <c r="AT269" s="616" t="str">
        <f t="shared" ca="1" si="134"/>
        <v/>
      </c>
      <c r="AU269" s="616" t="str">
        <f t="shared" ca="1" si="134"/>
        <v/>
      </c>
      <c r="AV269" s="616" t="str">
        <f t="shared" ca="1" si="134"/>
        <v/>
      </c>
      <c r="AW269" s="616" t="str">
        <f t="shared" ca="1" si="134"/>
        <v/>
      </c>
      <c r="AX269" s="616" t="str">
        <f t="shared" ca="1" si="134"/>
        <v/>
      </c>
      <c r="AY269" s="616" t="str">
        <f t="shared" ca="1" si="134"/>
        <v/>
      </c>
      <c r="AZ269" s="616" t="str">
        <f t="shared" ca="1" si="134"/>
        <v/>
      </c>
      <c r="BA269" s="587" t="str">
        <f t="shared" ca="1" si="134"/>
        <v/>
      </c>
      <c r="BB269" s="653" t="str">
        <f t="shared" ca="1" si="134"/>
        <v/>
      </c>
      <c r="IE269" s="579"/>
      <c r="IF269" s="579"/>
      <c r="IG269" s="579"/>
      <c r="IH269" s="579"/>
    </row>
    <row r="270" spans="1:242" s="164" customFormat="1" ht="20.100000000000001" hidden="1" customHeight="1">
      <c r="A270" s="569">
        <v>24</v>
      </c>
      <c r="B270" s="1052"/>
      <c r="C270" s="614" t="s">
        <v>681</v>
      </c>
      <c r="D270" s="615"/>
      <c r="E270" s="737" t="str">
        <f ca="1">IFERROR(E268/E269,"")</f>
        <v/>
      </c>
      <c r="F270" s="616" t="str">
        <f t="shared" ref="F270:BB270" ca="1" si="135">IFERROR(F268/F269,"")</f>
        <v/>
      </c>
      <c r="G270" s="616" t="str">
        <f t="shared" ca="1" si="135"/>
        <v/>
      </c>
      <c r="H270" s="616" t="str">
        <f t="shared" ca="1" si="135"/>
        <v/>
      </c>
      <c r="I270" s="616" t="str">
        <f t="shared" ca="1" si="135"/>
        <v/>
      </c>
      <c r="J270" s="616" t="str">
        <f t="shared" ca="1" si="135"/>
        <v/>
      </c>
      <c r="K270" s="616" t="str">
        <f t="shared" ca="1" si="135"/>
        <v/>
      </c>
      <c r="L270" s="616" t="str">
        <f t="shared" ca="1" si="135"/>
        <v/>
      </c>
      <c r="M270" s="616" t="str">
        <f t="shared" ca="1" si="135"/>
        <v/>
      </c>
      <c r="N270" s="616" t="str">
        <f t="shared" ca="1" si="135"/>
        <v/>
      </c>
      <c r="O270" s="616" t="str">
        <f t="shared" ca="1" si="135"/>
        <v/>
      </c>
      <c r="P270" s="616" t="str">
        <f t="shared" ca="1" si="135"/>
        <v/>
      </c>
      <c r="Q270" s="616" t="str">
        <f t="shared" ca="1" si="135"/>
        <v/>
      </c>
      <c r="R270" s="616" t="str">
        <f t="shared" ca="1" si="135"/>
        <v/>
      </c>
      <c r="S270" s="616" t="str">
        <f t="shared" ca="1" si="135"/>
        <v/>
      </c>
      <c r="T270" s="616" t="str">
        <f t="shared" ca="1" si="135"/>
        <v/>
      </c>
      <c r="U270" s="616" t="str">
        <f t="shared" ca="1" si="135"/>
        <v/>
      </c>
      <c r="V270" s="616" t="str">
        <f t="shared" ca="1" si="135"/>
        <v/>
      </c>
      <c r="W270" s="616" t="str">
        <f t="shared" ca="1" si="135"/>
        <v/>
      </c>
      <c r="X270" s="616" t="str">
        <f t="shared" ca="1" si="135"/>
        <v/>
      </c>
      <c r="Y270" s="616" t="str">
        <f t="shared" ca="1" si="135"/>
        <v/>
      </c>
      <c r="Z270" s="616" t="str">
        <f t="shared" ca="1" si="135"/>
        <v/>
      </c>
      <c r="AA270" s="616" t="str">
        <f t="shared" ca="1" si="135"/>
        <v/>
      </c>
      <c r="AB270" s="616" t="str">
        <f t="shared" ca="1" si="135"/>
        <v/>
      </c>
      <c r="AC270" s="616" t="str">
        <f t="shared" ca="1" si="135"/>
        <v/>
      </c>
      <c r="AD270" s="616" t="str">
        <f t="shared" ca="1" si="135"/>
        <v/>
      </c>
      <c r="AE270" s="616" t="str">
        <f t="shared" ca="1" si="135"/>
        <v/>
      </c>
      <c r="AF270" s="616" t="str">
        <f t="shared" ca="1" si="135"/>
        <v/>
      </c>
      <c r="AG270" s="616" t="str">
        <f t="shared" ca="1" si="135"/>
        <v/>
      </c>
      <c r="AH270" s="616" t="str">
        <f t="shared" ca="1" si="135"/>
        <v/>
      </c>
      <c r="AI270" s="616" t="str">
        <f t="shared" ca="1" si="135"/>
        <v/>
      </c>
      <c r="AJ270" s="616" t="str">
        <f t="shared" ca="1" si="135"/>
        <v/>
      </c>
      <c r="AK270" s="616" t="str">
        <f t="shared" ca="1" si="135"/>
        <v/>
      </c>
      <c r="AL270" s="616" t="str">
        <f t="shared" ca="1" si="135"/>
        <v/>
      </c>
      <c r="AM270" s="616" t="str">
        <f t="shared" ca="1" si="135"/>
        <v/>
      </c>
      <c r="AN270" s="616" t="str">
        <f t="shared" ca="1" si="135"/>
        <v/>
      </c>
      <c r="AO270" s="616" t="str">
        <f t="shared" ca="1" si="135"/>
        <v/>
      </c>
      <c r="AP270" s="616" t="str">
        <f t="shared" ca="1" si="135"/>
        <v/>
      </c>
      <c r="AQ270" s="616" t="str">
        <f t="shared" ca="1" si="135"/>
        <v/>
      </c>
      <c r="AR270" s="616" t="str">
        <f t="shared" ca="1" si="135"/>
        <v/>
      </c>
      <c r="AS270" s="616" t="str">
        <f t="shared" ca="1" si="135"/>
        <v/>
      </c>
      <c r="AT270" s="616" t="str">
        <f t="shared" ca="1" si="135"/>
        <v/>
      </c>
      <c r="AU270" s="616" t="str">
        <f t="shared" ca="1" si="135"/>
        <v/>
      </c>
      <c r="AV270" s="616" t="str">
        <f t="shared" ca="1" si="135"/>
        <v/>
      </c>
      <c r="AW270" s="616" t="str">
        <f t="shared" ca="1" si="135"/>
        <v/>
      </c>
      <c r="AX270" s="616" t="str">
        <f t="shared" ca="1" si="135"/>
        <v/>
      </c>
      <c r="AY270" s="616" t="str">
        <f t="shared" ca="1" si="135"/>
        <v/>
      </c>
      <c r="AZ270" s="616" t="str">
        <f t="shared" ca="1" si="135"/>
        <v/>
      </c>
      <c r="BA270" s="587" t="str">
        <f t="shared" ca="1" si="135"/>
        <v/>
      </c>
      <c r="BB270" s="653" t="str">
        <f t="shared" ca="1" si="135"/>
        <v/>
      </c>
      <c r="IE270" s="579"/>
      <c r="IF270" s="579"/>
      <c r="IG270" s="579"/>
      <c r="IH270" s="579"/>
    </row>
    <row r="271" spans="1:242" ht="19.5" hidden="1" customHeight="1" thickBot="1">
      <c r="A271" s="569">
        <v>25</v>
      </c>
      <c r="B271" s="1053"/>
      <c r="C271" s="617" t="s">
        <v>682</v>
      </c>
      <c r="D271" s="618">
        <v>24</v>
      </c>
      <c r="E271" s="738" t="str">
        <f t="shared" ref="E271:AJ271" ca="1" si="136">IFERROR(1-(E270/OFFSET(A1_原単位2025,$D271,E$247+2)),"")</f>
        <v/>
      </c>
      <c r="F271" s="619" t="str">
        <f t="shared" ca="1" si="136"/>
        <v/>
      </c>
      <c r="G271" s="619" t="str">
        <f t="shared" ca="1" si="136"/>
        <v/>
      </c>
      <c r="H271" s="619" t="str">
        <f t="shared" ca="1" si="136"/>
        <v/>
      </c>
      <c r="I271" s="619" t="str">
        <f t="shared" ca="1" si="136"/>
        <v/>
      </c>
      <c r="J271" s="619" t="str">
        <f t="shared" ca="1" si="136"/>
        <v/>
      </c>
      <c r="K271" s="619" t="str">
        <f t="shared" ca="1" si="136"/>
        <v/>
      </c>
      <c r="L271" s="619" t="str">
        <f t="shared" ca="1" si="136"/>
        <v/>
      </c>
      <c r="M271" s="619" t="str">
        <f t="shared" ca="1" si="136"/>
        <v/>
      </c>
      <c r="N271" s="619" t="str">
        <f t="shared" ca="1" si="136"/>
        <v/>
      </c>
      <c r="O271" s="619" t="str">
        <f t="shared" ca="1" si="136"/>
        <v/>
      </c>
      <c r="P271" s="619" t="str">
        <f t="shared" ca="1" si="136"/>
        <v/>
      </c>
      <c r="Q271" s="619" t="str">
        <f t="shared" ca="1" si="136"/>
        <v/>
      </c>
      <c r="R271" s="619" t="str">
        <f t="shared" ca="1" si="136"/>
        <v/>
      </c>
      <c r="S271" s="619" t="str">
        <f t="shared" ca="1" si="136"/>
        <v/>
      </c>
      <c r="T271" s="619" t="str">
        <f t="shared" ca="1" si="136"/>
        <v/>
      </c>
      <c r="U271" s="619" t="str">
        <f t="shared" ca="1" si="136"/>
        <v/>
      </c>
      <c r="V271" s="619" t="str">
        <f t="shared" ca="1" si="136"/>
        <v/>
      </c>
      <c r="W271" s="619" t="str">
        <f t="shared" ca="1" si="136"/>
        <v/>
      </c>
      <c r="X271" s="619" t="str">
        <f t="shared" ca="1" si="136"/>
        <v/>
      </c>
      <c r="Y271" s="619" t="str">
        <f t="shared" ca="1" si="136"/>
        <v/>
      </c>
      <c r="Z271" s="619" t="str">
        <f t="shared" ca="1" si="136"/>
        <v/>
      </c>
      <c r="AA271" s="619" t="str">
        <f t="shared" ca="1" si="136"/>
        <v/>
      </c>
      <c r="AB271" s="619" t="str">
        <f t="shared" ca="1" si="136"/>
        <v/>
      </c>
      <c r="AC271" s="619" t="str">
        <f t="shared" ca="1" si="136"/>
        <v/>
      </c>
      <c r="AD271" s="619" t="str">
        <f t="shared" ca="1" si="136"/>
        <v/>
      </c>
      <c r="AE271" s="619" t="str">
        <f t="shared" ca="1" si="136"/>
        <v/>
      </c>
      <c r="AF271" s="619" t="str">
        <f t="shared" ca="1" si="136"/>
        <v/>
      </c>
      <c r="AG271" s="619" t="str">
        <f t="shared" ca="1" si="136"/>
        <v/>
      </c>
      <c r="AH271" s="619" t="str">
        <f t="shared" ca="1" si="136"/>
        <v/>
      </c>
      <c r="AI271" s="619" t="str">
        <f t="shared" ca="1" si="136"/>
        <v/>
      </c>
      <c r="AJ271" s="619" t="str">
        <f t="shared" ca="1" si="136"/>
        <v/>
      </c>
      <c r="AK271" s="619" t="str">
        <f t="shared" ref="AK271:BB271" ca="1" si="137">IFERROR(1-(AK270/OFFSET(A1_原単位2025,$D271,AK$247+2)),"")</f>
        <v/>
      </c>
      <c r="AL271" s="619" t="str">
        <f t="shared" ca="1" si="137"/>
        <v/>
      </c>
      <c r="AM271" s="619" t="str">
        <f t="shared" ca="1" si="137"/>
        <v/>
      </c>
      <c r="AN271" s="619" t="str">
        <f t="shared" ca="1" si="137"/>
        <v/>
      </c>
      <c r="AO271" s="619" t="str">
        <f t="shared" ca="1" si="137"/>
        <v/>
      </c>
      <c r="AP271" s="619" t="str">
        <f t="shared" ca="1" si="137"/>
        <v/>
      </c>
      <c r="AQ271" s="619" t="str">
        <f t="shared" ca="1" si="137"/>
        <v/>
      </c>
      <c r="AR271" s="619" t="str">
        <f t="shared" ca="1" si="137"/>
        <v/>
      </c>
      <c r="AS271" s="619" t="str">
        <f t="shared" ca="1" si="137"/>
        <v/>
      </c>
      <c r="AT271" s="619" t="str">
        <f t="shared" ca="1" si="137"/>
        <v/>
      </c>
      <c r="AU271" s="619" t="str">
        <f t="shared" ca="1" si="137"/>
        <v/>
      </c>
      <c r="AV271" s="619" t="str">
        <f t="shared" ca="1" si="137"/>
        <v/>
      </c>
      <c r="AW271" s="619" t="str">
        <f t="shared" ca="1" si="137"/>
        <v/>
      </c>
      <c r="AX271" s="619" t="str">
        <f t="shared" ca="1" si="137"/>
        <v/>
      </c>
      <c r="AY271" s="619" t="str">
        <f t="shared" ca="1" si="137"/>
        <v/>
      </c>
      <c r="AZ271" s="619" t="str">
        <f t="shared" ca="1" si="137"/>
        <v/>
      </c>
      <c r="BA271" s="619" t="str">
        <f t="shared" ca="1" si="137"/>
        <v/>
      </c>
      <c r="BB271" s="739" t="str">
        <f t="shared" ca="1" si="137"/>
        <v/>
      </c>
      <c r="BC271" s="164"/>
      <c r="BD271" s="164"/>
      <c r="BE271" s="164"/>
      <c r="BF271" s="164"/>
      <c r="BG271" s="164"/>
      <c r="BH271" s="164"/>
      <c r="BI271" s="164"/>
      <c r="BJ271" s="164"/>
      <c r="BK271" s="164"/>
      <c r="BL271" s="164"/>
      <c r="BM271" s="164"/>
      <c r="BN271" s="164"/>
      <c r="BO271" s="164"/>
      <c r="BP271" s="164"/>
      <c r="BQ271" s="164"/>
      <c r="BR271" s="164"/>
      <c r="BS271" s="164"/>
      <c r="BT271" s="164"/>
      <c r="BU271" s="164"/>
      <c r="BV271" s="164"/>
      <c r="BW271" s="164"/>
      <c r="BX271" s="164"/>
      <c r="BY271" s="164"/>
      <c r="BZ271" s="164"/>
      <c r="CA271" s="164"/>
      <c r="CB271" s="164"/>
      <c r="CC271" s="164"/>
      <c r="CD271" s="164"/>
      <c r="CE271" s="164"/>
      <c r="CF271" s="164"/>
      <c r="CG271" s="164"/>
      <c r="CH271" s="164"/>
      <c r="CI271" s="164"/>
      <c r="CJ271" s="164"/>
      <c r="CK271" s="164"/>
      <c r="CL271" s="164"/>
      <c r="CM271" s="164"/>
      <c r="CN271" s="164"/>
      <c r="CO271" s="164"/>
      <c r="CP271" s="164"/>
      <c r="CQ271" s="164"/>
      <c r="CR271" s="164"/>
      <c r="CS271" s="164"/>
      <c r="CT271" s="164"/>
      <c r="CU271" s="164"/>
      <c r="CV271" s="164"/>
      <c r="CW271" s="164"/>
      <c r="CX271" s="164"/>
      <c r="CY271" s="164"/>
      <c r="CZ271" s="164"/>
      <c r="DA271" s="164"/>
      <c r="DB271" s="164"/>
      <c r="DC271" s="164"/>
      <c r="DD271" s="164"/>
      <c r="DE271" s="164"/>
      <c r="DF271" s="164"/>
      <c r="DG271" s="164"/>
      <c r="DH271" s="164"/>
      <c r="DI271" s="164"/>
      <c r="DJ271" s="164"/>
      <c r="DK271" s="164"/>
      <c r="DL271" s="164"/>
      <c r="DM271" s="164"/>
      <c r="DN271" s="164"/>
      <c r="DO271" s="164"/>
      <c r="DP271" s="164"/>
      <c r="DQ271" s="164"/>
      <c r="DR271" s="164"/>
      <c r="DS271" s="164"/>
      <c r="DT271" s="164"/>
      <c r="DU271" s="164"/>
      <c r="DV271" s="164"/>
      <c r="DW271" s="164"/>
      <c r="DX271" s="164"/>
      <c r="DY271" s="164"/>
      <c r="DZ271" s="164"/>
      <c r="EA271" s="164"/>
      <c r="EB271" s="164"/>
      <c r="EC271" s="164"/>
      <c r="ED271" s="164"/>
      <c r="EE271" s="164"/>
      <c r="EF271" s="164"/>
      <c r="EG271" s="164"/>
      <c r="EH271" s="164"/>
      <c r="EI271" s="164"/>
      <c r="EJ271" s="164"/>
      <c r="EK271" s="164"/>
      <c r="EL271" s="164"/>
      <c r="EM271" s="164"/>
      <c r="EN271" s="164"/>
      <c r="EO271" s="164"/>
      <c r="EP271" s="164"/>
      <c r="EQ271" s="164"/>
      <c r="ER271" s="164"/>
      <c r="ES271" s="164"/>
      <c r="ET271" s="164"/>
      <c r="EU271" s="164"/>
      <c r="EV271" s="164"/>
      <c r="EW271" s="164"/>
      <c r="EX271" s="164"/>
      <c r="EY271" s="164"/>
      <c r="EZ271" s="164"/>
      <c r="FA271" s="164"/>
      <c r="FB271" s="164"/>
      <c r="FC271" s="164"/>
      <c r="FD271" s="164"/>
      <c r="FE271" s="164"/>
      <c r="FF271" s="164"/>
      <c r="FG271" s="164"/>
      <c r="FH271" s="164"/>
      <c r="FI271" s="164"/>
      <c r="FJ271" s="164"/>
      <c r="FK271" s="164"/>
      <c r="FL271" s="164"/>
      <c r="FM271" s="164"/>
      <c r="FN271" s="164"/>
      <c r="FO271" s="164"/>
      <c r="FP271" s="164"/>
      <c r="FQ271" s="164"/>
      <c r="FR271" s="164"/>
      <c r="FS271" s="164"/>
      <c r="FT271" s="164"/>
      <c r="FU271" s="164"/>
      <c r="FV271" s="164"/>
      <c r="FW271" s="164"/>
      <c r="FX271" s="164"/>
      <c r="FY271" s="164"/>
      <c r="FZ271" s="164"/>
      <c r="GA271" s="164"/>
      <c r="GB271" s="164"/>
      <c r="GC271" s="164"/>
      <c r="GD271" s="164"/>
      <c r="GE271" s="164"/>
      <c r="GF271" s="164"/>
      <c r="GG271" s="164"/>
      <c r="GH271" s="164"/>
      <c r="GI271" s="164"/>
      <c r="GJ271" s="164"/>
      <c r="GK271" s="164"/>
      <c r="GL271" s="164"/>
      <c r="GM271" s="164"/>
      <c r="GN271" s="164"/>
      <c r="GO271" s="164"/>
      <c r="GP271" s="164"/>
      <c r="GQ271" s="164"/>
      <c r="GR271" s="164"/>
      <c r="GS271" s="164"/>
      <c r="GT271" s="164"/>
      <c r="GU271" s="164"/>
      <c r="GV271" s="164"/>
      <c r="GW271" s="164"/>
      <c r="GX271" s="164"/>
      <c r="GY271" s="164"/>
      <c r="GZ271" s="164"/>
      <c r="HA271" s="164"/>
      <c r="HB271" s="164"/>
      <c r="HC271" s="164"/>
      <c r="HD271" s="164"/>
      <c r="HE271" s="164"/>
      <c r="HF271" s="164"/>
      <c r="HG271" s="164"/>
      <c r="HH271" s="164"/>
      <c r="HI271" s="164"/>
      <c r="HJ271" s="164"/>
      <c r="HK271" s="164"/>
    </row>
    <row r="272" spans="1:242" s="569" customFormat="1" ht="18.75" hidden="1" customHeight="1">
      <c r="A272" s="569">
        <v>26</v>
      </c>
      <c r="B272" s="1051" t="s">
        <v>683</v>
      </c>
      <c r="C272" s="596" t="s">
        <v>673</v>
      </c>
      <c r="D272" s="597">
        <v>2026</v>
      </c>
      <c r="E272" s="733">
        <f t="shared" ref="E272:BB272" ca="1" si="138">IFERROR(MATCH($B272&amp;E$247,OFFSET(INDIRECT("貼付け_"&amp;$D272&amp;"実績"),4,0,1,205),0)-1,"")</f>
        <v>9</v>
      </c>
      <c r="F272" s="598">
        <f t="shared" ca="1" si="138"/>
        <v>13</v>
      </c>
      <c r="G272" s="598">
        <f t="shared" ca="1" si="138"/>
        <v>17</v>
      </c>
      <c r="H272" s="598">
        <f t="shared" ca="1" si="138"/>
        <v>109</v>
      </c>
      <c r="I272" s="598">
        <f t="shared" ca="1" si="138"/>
        <v>113</v>
      </c>
      <c r="J272" s="598">
        <f t="shared" ca="1" si="138"/>
        <v>117</v>
      </c>
      <c r="K272" s="598">
        <f t="shared" ca="1" si="138"/>
        <v>121</v>
      </c>
      <c r="L272" s="598">
        <f t="shared" ca="1" si="138"/>
        <v>125</v>
      </c>
      <c r="M272" s="598">
        <f t="shared" ca="1" si="138"/>
        <v>129</v>
      </c>
      <c r="N272" s="598">
        <f t="shared" ca="1" si="138"/>
        <v>133</v>
      </c>
      <c r="O272" s="598" t="str">
        <f ca="1">IFERROR(MATCH($B272&amp;O$247,OFFSET(INDIRECT("貼付け_"&amp;$D272&amp;"実績"),4,0,1,205),0)-1,"")</f>
        <v/>
      </c>
      <c r="P272" s="598" t="str">
        <f t="shared" ca="1" si="138"/>
        <v/>
      </c>
      <c r="Q272" s="598" t="str">
        <f t="shared" ca="1" si="138"/>
        <v/>
      </c>
      <c r="R272" s="598" t="str">
        <f t="shared" ca="1" si="138"/>
        <v/>
      </c>
      <c r="S272" s="598" t="str">
        <f t="shared" ca="1" si="138"/>
        <v/>
      </c>
      <c r="T272" s="598" t="str">
        <f t="shared" ca="1" si="138"/>
        <v/>
      </c>
      <c r="U272" s="598" t="str">
        <f t="shared" ca="1" si="138"/>
        <v/>
      </c>
      <c r="V272" s="598" t="str">
        <f t="shared" ca="1" si="138"/>
        <v/>
      </c>
      <c r="W272" s="598" t="str">
        <f t="shared" ca="1" si="138"/>
        <v/>
      </c>
      <c r="X272" s="598" t="str">
        <f t="shared" ca="1" si="138"/>
        <v/>
      </c>
      <c r="Y272" s="598" t="str">
        <f t="shared" ca="1" si="138"/>
        <v/>
      </c>
      <c r="Z272" s="598" t="str">
        <f t="shared" ca="1" si="138"/>
        <v/>
      </c>
      <c r="AA272" s="598" t="str">
        <f t="shared" ca="1" si="138"/>
        <v/>
      </c>
      <c r="AB272" s="598" t="str">
        <f t="shared" ca="1" si="138"/>
        <v/>
      </c>
      <c r="AC272" s="598" t="str">
        <f t="shared" ca="1" si="138"/>
        <v/>
      </c>
      <c r="AD272" s="598" t="str">
        <f t="shared" ca="1" si="138"/>
        <v/>
      </c>
      <c r="AE272" s="598" t="str">
        <f t="shared" ca="1" si="138"/>
        <v/>
      </c>
      <c r="AF272" s="598" t="str">
        <f t="shared" ca="1" si="138"/>
        <v/>
      </c>
      <c r="AG272" s="598" t="str">
        <f t="shared" ca="1" si="138"/>
        <v/>
      </c>
      <c r="AH272" s="598" t="str">
        <f t="shared" ca="1" si="138"/>
        <v/>
      </c>
      <c r="AI272" s="598" t="str">
        <f t="shared" ca="1" si="138"/>
        <v/>
      </c>
      <c r="AJ272" s="598" t="str">
        <f t="shared" ca="1" si="138"/>
        <v/>
      </c>
      <c r="AK272" s="598" t="str">
        <f t="shared" ca="1" si="138"/>
        <v/>
      </c>
      <c r="AL272" s="598" t="str">
        <f t="shared" ca="1" si="138"/>
        <v/>
      </c>
      <c r="AM272" s="598" t="str">
        <f t="shared" ca="1" si="138"/>
        <v/>
      </c>
      <c r="AN272" s="598" t="str">
        <f t="shared" ca="1" si="138"/>
        <v/>
      </c>
      <c r="AO272" s="598" t="str">
        <f t="shared" ca="1" si="138"/>
        <v/>
      </c>
      <c r="AP272" s="598" t="str">
        <f t="shared" ca="1" si="138"/>
        <v/>
      </c>
      <c r="AQ272" s="598" t="str">
        <f t="shared" ca="1" si="138"/>
        <v/>
      </c>
      <c r="AR272" s="598" t="str">
        <f t="shared" ca="1" si="138"/>
        <v/>
      </c>
      <c r="AS272" s="598" t="str">
        <f t="shared" ca="1" si="138"/>
        <v/>
      </c>
      <c r="AT272" s="598" t="str">
        <f t="shared" ca="1" si="138"/>
        <v/>
      </c>
      <c r="AU272" s="598" t="str">
        <f t="shared" ca="1" si="138"/>
        <v/>
      </c>
      <c r="AV272" s="598" t="str">
        <f t="shared" ca="1" si="138"/>
        <v/>
      </c>
      <c r="AW272" s="598" t="str">
        <f t="shared" ca="1" si="138"/>
        <v/>
      </c>
      <c r="AX272" s="598" t="str">
        <f t="shared" ca="1" si="138"/>
        <v/>
      </c>
      <c r="AY272" s="598" t="str">
        <f t="shared" ca="1" si="138"/>
        <v/>
      </c>
      <c r="AZ272" s="598" t="str">
        <f t="shared" ca="1" si="138"/>
        <v/>
      </c>
      <c r="BA272" s="598" t="str">
        <f t="shared" ca="1" si="138"/>
        <v/>
      </c>
      <c r="BB272" s="649" t="str">
        <f t="shared" ca="1" si="138"/>
        <v/>
      </c>
      <c r="BC272" s="156" t="str">
        <f>D272&amp;"年度"</f>
        <v>2026年度</v>
      </c>
      <c r="BD272" s="156">
        <v>1</v>
      </c>
      <c r="BE272" s="156">
        <v>2</v>
      </c>
      <c r="BF272" s="156">
        <v>3</v>
      </c>
      <c r="BG272" s="156">
        <v>4</v>
      </c>
      <c r="BH272" s="156">
        <v>5</v>
      </c>
      <c r="BI272" s="156">
        <v>6</v>
      </c>
      <c r="BJ272" s="156">
        <v>7</v>
      </c>
      <c r="BK272" s="156">
        <v>8</v>
      </c>
      <c r="BL272" s="156">
        <v>9</v>
      </c>
      <c r="BM272" s="156">
        <v>10</v>
      </c>
      <c r="BN272" s="156">
        <v>11</v>
      </c>
      <c r="BO272" s="156">
        <v>12</v>
      </c>
      <c r="BP272" s="156">
        <v>13</v>
      </c>
      <c r="BQ272" s="156">
        <v>14</v>
      </c>
      <c r="BR272" s="156">
        <v>15</v>
      </c>
      <c r="BS272" s="156">
        <v>16</v>
      </c>
      <c r="BT272" s="156">
        <v>17</v>
      </c>
      <c r="BU272" s="156">
        <v>18</v>
      </c>
      <c r="BV272" s="156">
        <v>19</v>
      </c>
      <c r="BW272" s="156">
        <v>20</v>
      </c>
      <c r="BX272" s="156">
        <v>21</v>
      </c>
      <c r="BY272" s="156">
        <v>22</v>
      </c>
      <c r="BZ272" s="156">
        <v>23</v>
      </c>
      <c r="CA272" s="156">
        <v>24</v>
      </c>
      <c r="CB272" s="156">
        <v>25</v>
      </c>
      <c r="CC272" s="156">
        <v>26</v>
      </c>
      <c r="CD272" s="156">
        <v>27</v>
      </c>
      <c r="CE272" s="156">
        <v>28</v>
      </c>
      <c r="CF272" s="156">
        <v>29</v>
      </c>
      <c r="CG272" s="156">
        <v>30</v>
      </c>
      <c r="CH272" s="156">
        <v>31</v>
      </c>
      <c r="CI272" s="156">
        <v>32</v>
      </c>
      <c r="CJ272" s="156">
        <v>33</v>
      </c>
      <c r="CK272" s="156">
        <v>34</v>
      </c>
      <c r="CL272" s="156">
        <v>35</v>
      </c>
      <c r="CM272" s="156">
        <v>36</v>
      </c>
      <c r="CN272" s="156">
        <v>37</v>
      </c>
      <c r="CO272" s="156">
        <v>38</v>
      </c>
      <c r="CP272" s="156">
        <v>39</v>
      </c>
      <c r="CQ272" s="156">
        <v>40</v>
      </c>
      <c r="CR272" s="156">
        <v>41</v>
      </c>
      <c r="CS272" s="156">
        <v>42</v>
      </c>
      <c r="CT272" s="156">
        <v>43</v>
      </c>
      <c r="CU272" s="156">
        <v>44</v>
      </c>
      <c r="CV272" s="156">
        <v>45</v>
      </c>
      <c r="CW272" s="156">
        <v>46</v>
      </c>
      <c r="CX272" s="156">
        <v>47</v>
      </c>
      <c r="CY272" s="156">
        <v>48</v>
      </c>
      <c r="CZ272" s="156">
        <v>49</v>
      </c>
      <c r="DA272" s="156">
        <v>50</v>
      </c>
      <c r="DB272" s="156"/>
      <c r="DC272" s="156"/>
      <c r="DD272" s="156"/>
      <c r="DE272" s="156"/>
      <c r="DF272" s="156"/>
      <c r="DG272" s="156"/>
      <c r="DH272" s="156"/>
      <c r="DI272" s="156"/>
      <c r="DJ272" s="156"/>
      <c r="DK272" s="156"/>
      <c r="DL272" s="156"/>
      <c r="DM272" s="156"/>
      <c r="DN272" s="156"/>
      <c r="DO272" s="156"/>
      <c r="DP272" s="156"/>
      <c r="DQ272" s="156"/>
      <c r="DR272" s="156"/>
      <c r="DS272" s="156"/>
      <c r="DT272" s="156"/>
      <c r="DU272" s="156"/>
      <c r="DV272" s="156"/>
      <c r="DW272" s="156"/>
      <c r="DX272" s="156"/>
      <c r="DY272" s="156"/>
      <c r="DZ272" s="156"/>
      <c r="EA272" s="156"/>
      <c r="EB272" s="156"/>
      <c r="EC272" s="156"/>
      <c r="ED272" s="156"/>
      <c r="EE272" s="156"/>
      <c r="EF272" s="156"/>
      <c r="EG272" s="156"/>
      <c r="EH272" s="156"/>
      <c r="EI272" s="156"/>
      <c r="EJ272" s="156"/>
      <c r="EK272" s="156"/>
      <c r="EL272" s="156"/>
      <c r="EM272" s="156"/>
      <c r="EN272" s="156"/>
      <c r="EO272" s="156"/>
      <c r="EP272" s="156"/>
      <c r="EQ272" s="156"/>
      <c r="ER272" s="156"/>
      <c r="ES272" s="156"/>
      <c r="ET272" s="156"/>
      <c r="EU272" s="156"/>
      <c r="EV272" s="156"/>
      <c r="EW272" s="156"/>
      <c r="EX272" s="156"/>
      <c r="EY272" s="156"/>
      <c r="EZ272" s="156"/>
      <c r="FA272" s="156"/>
      <c r="FB272" s="156"/>
      <c r="FC272" s="156"/>
      <c r="FD272" s="156"/>
      <c r="FE272" s="156"/>
      <c r="FF272" s="156"/>
      <c r="FG272" s="156"/>
      <c r="FH272" s="156"/>
      <c r="FI272" s="156"/>
      <c r="FJ272" s="156"/>
      <c r="FK272" s="156"/>
      <c r="FL272" s="156"/>
      <c r="FM272" s="156"/>
      <c r="FN272" s="156"/>
      <c r="FO272" s="156"/>
      <c r="FP272" s="156"/>
      <c r="FQ272" s="156"/>
      <c r="FR272" s="156"/>
      <c r="FS272" s="156"/>
      <c r="FT272" s="156"/>
      <c r="FU272" s="156"/>
      <c r="FV272" s="156"/>
      <c r="FW272" s="156"/>
      <c r="FX272" s="156"/>
      <c r="FY272" s="156"/>
      <c r="FZ272" s="156"/>
      <c r="GA272" s="156"/>
      <c r="GB272" s="156"/>
      <c r="GC272" s="156"/>
      <c r="GD272" s="156"/>
      <c r="GE272" s="156"/>
      <c r="GF272" s="156"/>
      <c r="GG272" s="156"/>
      <c r="GH272" s="156"/>
      <c r="GI272" s="156"/>
      <c r="GJ272" s="156"/>
      <c r="GK272" s="156"/>
      <c r="GL272" s="156"/>
      <c r="GM272" s="156"/>
      <c r="GN272" s="156"/>
      <c r="GO272" s="156"/>
      <c r="GP272" s="156"/>
      <c r="GQ272" s="156"/>
      <c r="GR272" s="156"/>
      <c r="GS272" s="156"/>
      <c r="GT272" s="156"/>
      <c r="GU272" s="156"/>
      <c r="GV272" s="156"/>
      <c r="GW272" s="156"/>
      <c r="GX272" s="156"/>
      <c r="GY272" s="156"/>
      <c r="GZ272" s="156"/>
      <c r="HA272" s="156"/>
      <c r="HB272" s="156"/>
      <c r="HC272" s="156"/>
      <c r="HD272" s="156"/>
      <c r="HE272" s="156"/>
      <c r="HF272" s="156"/>
      <c r="HG272" s="156"/>
      <c r="HH272" s="156"/>
      <c r="HI272" s="156"/>
      <c r="HJ272" s="156"/>
      <c r="HK272" s="156"/>
      <c r="IE272" s="603"/>
      <c r="IF272" s="603"/>
      <c r="IG272" s="603"/>
      <c r="IH272" s="603"/>
    </row>
    <row r="273" spans="1:242" s="569" customFormat="1" ht="19.5" hidden="1" customHeight="1">
      <c r="A273" s="569">
        <v>27</v>
      </c>
      <c r="B273" s="1052"/>
      <c r="C273" s="599" t="str">
        <f>"~"&amp;D272-1&amp;"/"&amp;D272</f>
        <v>~2025/2026</v>
      </c>
      <c r="D273" s="600" t="str">
        <f>""</f>
        <v/>
      </c>
      <c r="E273" s="734" t="str">
        <f t="shared" ref="E273:AJ273" ca="1" si="139">IF(OFFSET(A1_原単位2025,30,E$247+2)="",OFFSET(A1_原単位2025,27,E$247+2),OFFSET(A1_原単位2025,30,E$247+2))</f>
        <v/>
      </c>
      <c r="F273" s="601" t="str">
        <f t="shared" ca="1" si="139"/>
        <v/>
      </c>
      <c r="G273" s="601" t="str">
        <f t="shared" ca="1" si="139"/>
        <v/>
      </c>
      <c r="H273" s="601" t="str">
        <f t="shared" ca="1" si="139"/>
        <v/>
      </c>
      <c r="I273" s="601" t="str">
        <f t="shared" ca="1" si="139"/>
        <v/>
      </c>
      <c r="J273" s="601" t="str">
        <f t="shared" ca="1" si="139"/>
        <v/>
      </c>
      <c r="K273" s="601" t="str">
        <f t="shared" ca="1" si="139"/>
        <v/>
      </c>
      <c r="L273" s="601" t="str">
        <f t="shared" ca="1" si="139"/>
        <v/>
      </c>
      <c r="M273" s="601" t="str">
        <f t="shared" ca="1" si="139"/>
        <v/>
      </c>
      <c r="N273" s="601" t="str">
        <f t="shared" ca="1" si="139"/>
        <v/>
      </c>
      <c r="O273" s="601" t="str">
        <f ca="1">IF(OFFSET(A1_原単位2025,30,O$247+2)="",OFFSET(A1_原単位2025,27,O$247+2),OFFSET(A1_原単位2025,30,O$247+2))</f>
        <v/>
      </c>
      <c r="P273" s="601" t="str">
        <f t="shared" ca="1" si="139"/>
        <v/>
      </c>
      <c r="Q273" s="601" t="str">
        <f t="shared" ca="1" si="139"/>
        <v/>
      </c>
      <c r="R273" s="601" t="str">
        <f t="shared" ca="1" si="139"/>
        <v/>
      </c>
      <c r="S273" s="601" t="str">
        <f t="shared" ca="1" si="139"/>
        <v/>
      </c>
      <c r="T273" s="601" t="str">
        <f t="shared" ca="1" si="139"/>
        <v/>
      </c>
      <c r="U273" s="601" t="str">
        <f t="shared" ca="1" si="139"/>
        <v/>
      </c>
      <c r="V273" s="601" t="str">
        <f t="shared" ca="1" si="139"/>
        <v/>
      </c>
      <c r="W273" s="601" t="str">
        <f t="shared" ca="1" si="139"/>
        <v/>
      </c>
      <c r="X273" s="601" t="str">
        <f t="shared" ca="1" si="139"/>
        <v/>
      </c>
      <c r="Y273" s="601" t="str">
        <f t="shared" ca="1" si="139"/>
        <v/>
      </c>
      <c r="Z273" s="601" t="str">
        <f t="shared" ca="1" si="139"/>
        <v/>
      </c>
      <c r="AA273" s="601" t="str">
        <f t="shared" ca="1" si="139"/>
        <v/>
      </c>
      <c r="AB273" s="601" t="str">
        <f t="shared" ca="1" si="139"/>
        <v/>
      </c>
      <c r="AC273" s="601" t="str">
        <f t="shared" ca="1" si="139"/>
        <v/>
      </c>
      <c r="AD273" s="601" t="str">
        <f t="shared" ca="1" si="139"/>
        <v/>
      </c>
      <c r="AE273" s="601" t="str">
        <f t="shared" ca="1" si="139"/>
        <v/>
      </c>
      <c r="AF273" s="601" t="str">
        <f t="shared" ca="1" si="139"/>
        <v/>
      </c>
      <c r="AG273" s="601" t="str">
        <f t="shared" ca="1" si="139"/>
        <v/>
      </c>
      <c r="AH273" s="601" t="str">
        <f t="shared" ca="1" si="139"/>
        <v/>
      </c>
      <c r="AI273" s="601" t="str">
        <f t="shared" ca="1" si="139"/>
        <v/>
      </c>
      <c r="AJ273" s="601" t="str">
        <f t="shared" ca="1" si="139"/>
        <v/>
      </c>
      <c r="AK273" s="601" t="str">
        <f t="shared" ref="AK273:BB273" ca="1" si="140">IF(OFFSET(A1_原単位2025,30,AK$247+2)="",OFFSET(A1_原単位2025,27,AK$247+2),OFFSET(A1_原単位2025,30,AK$247+2))</f>
        <v/>
      </c>
      <c r="AL273" s="601" t="str">
        <f t="shared" ca="1" si="140"/>
        <v/>
      </c>
      <c r="AM273" s="601" t="str">
        <f t="shared" ca="1" si="140"/>
        <v/>
      </c>
      <c r="AN273" s="601" t="str">
        <f t="shared" ca="1" si="140"/>
        <v/>
      </c>
      <c r="AO273" s="601" t="str">
        <f t="shared" ca="1" si="140"/>
        <v/>
      </c>
      <c r="AP273" s="601" t="str">
        <f t="shared" ca="1" si="140"/>
        <v/>
      </c>
      <c r="AQ273" s="601" t="str">
        <f t="shared" ca="1" si="140"/>
        <v/>
      </c>
      <c r="AR273" s="601" t="str">
        <f t="shared" ca="1" si="140"/>
        <v/>
      </c>
      <c r="AS273" s="601" t="str">
        <f t="shared" ca="1" si="140"/>
        <v/>
      </c>
      <c r="AT273" s="601" t="str">
        <f t="shared" ca="1" si="140"/>
        <v/>
      </c>
      <c r="AU273" s="601" t="str">
        <f t="shared" ca="1" si="140"/>
        <v/>
      </c>
      <c r="AV273" s="601" t="str">
        <f t="shared" ca="1" si="140"/>
        <v/>
      </c>
      <c r="AW273" s="601" t="str">
        <f t="shared" ca="1" si="140"/>
        <v/>
      </c>
      <c r="AX273" s="601" t="str">
        <f t="shared" ca="1" si="140"/>
        <v/>
      </c>
      <c r="AY273" s="601" t="str">
        <f t="shared" ca="1" si="140"/>
        <v/>
      </c>
      <c r="AZ273" s="601" t="str">
        <f t="shared" ca="1" si="140"/>
        <v/>
      </c>
      <c r="BA273" s="601" t="str">
        <f t="shared" ca="1" si="140"/>
        <v/>
      </c>
      <c r="BB273" s="650" t="str">
        <f t="shared" ca="1" si="140"/>
        <v/>
      </c>
      <c r="BC273" s="601" t="str">
        <f>""</f>
        <v/>
      </c>
      <c r="BD273" s="601" t="str">
        <f t="shared" ref="BD273:CI273" ca="1" si="141">IFERROR(OFFSET(貼付け_2026実績,5,E272+1),"")&amp;""</f>
        <v/>
      </c>
      <c r="BE273" s="601" t="str">
        <f t="shared" ca="1" si="141"/>
        <v/>
      </c>
      <c r="BF273" s="601" t="str">
        <f t="shared" ca="1" si="141"/>
        <v/>
      </c>
      <c r="BG273" s="601" t="str">
        <f t="shared" ca="1" si="141"/>
        <v/>
      </c>
      <c r="BH273" s="601" t="str">
        <f t="shared" ca="1" si="141"/>
        <v/>
      </c>
      <c r="BI273" s="601" t="str">
        <f t="shared" ca="1" si="141"/>
        <v/>
      </c>
      <c r="BJ273" s="601" t="str">
        <f t="shared" ca="1" si="141"/>
        <v/>
      </c>
      <c r="BK273" s="601" t="str">
        <f t="shared" ca="1" si="141"/>
        <v/>
      </c>
      <c r="BL273" s="601" t="str">
        <f t="shared" ca="1" si="141"/>
        <v/>
      </c>
      <c r="BM273" s="601" t="str">
        <f t="shared" ca="1" si="141"/>
        <v/>
      </c>
      <c r="BN273" s="601" t="str">
        <f ca="1">IFERROR(OFFSET(貼付け_2026実績,5,O272+1),"")&amp;""</f>
        <v/>
      </c>
      <c r="BO273" s="601" t="str">
        <f t="shared" ca="1" si="141"/>
        <v/>
      </c>
      <c r="BP273" s="601" t="str">
        <f t="shared" ca="1" si="141"/>
        <v/>
      </c>
      <c r="BQ273" s="601" t="str">
        <f t="shared" ca="1" si="141"/>
        <v/>
      </c>
      <c r="BR273" s="601" t="str">
        <f t="shared" ca="1" si="141"/>
        <v/>
      </c>
      <c r="BS273" s="601" t="str">
        <f t="shared" ca="1" si="141"/>
        <v/>
      </c>
      <c r="BT273" s="601" t="str">
        <f t="shared" ca="1" si="141"/>
        <v/>
      </c>
      <c r="BU273" s="601" t="str">
        <f t="shared" ca="1" si="141"/>
        <v/>
      </c>
      <c r="BV273" s="601" t="str">
        <f t="shared" ca="1" si="141"/>
        <v/>
      </c>
      <c r="BW273" s="601" t="str">
        <f t="shared" ca="1" si="141"/>
        <v/>
      </c>
      <c r="BX273" s="601" t="str">
        <f t="shared" ca="1" si="141"/>
        <v/>
      </c>
      <c r="BY273" s="601" t="str">
        <f t="shared" ca="1" si="141"/>
        <v/>
      </c>
      <c r="BZ273" s="601" t="str">
        <f t="shared" ca="1" si="141"/>
        <v/>
      </c>
      <c r="CA273" s="601" t="str">
        <f t="shared" ca="1" si="141"/>
        <v/>
      </c>
      <c r="CB273" s="601" t="str">
        <f t="shared" ca="1" si="141"/>
        <v/>
      </c>
      <c r="CC273" s="601" t="str">
        <f t="shared" ca="1" si="141"/>
        <v/>
      </c>
      <c r="CD273" s="601" t="str">
        <f t="shared" ca="1" si="141"/>
        <v/>
      </c>
      <c r="CE273" s="601" t="str">
        <f t="shared" ca="1" si="141"/>
        <v/>
      </c>
      <c r="CF273" s="601" t="str">
        <f t="shared" ca="1" si="141"/>
        <v/>
      </c>
      <c r="CG273" s="601" t="str">
        <f t="shared" ca="1" si="141"/>
        <v/>
      </c>
      <c r="CH273" s="601" t="str">
        <f t="shared" ca="1" si="141"/>
        <v/>
      </c>
      <c r="CI273" s="601" t="str">
        <f t="shared" ca="1" si="141"/>
        <v/>
      </c>
      <c r="CJ273" s="601" t="str">
        <f t="shared" ref="CJ273:DA273" ca="1" si="142">IFERROR(OFFSET(貼付け_2026実績,5,AK272+1),"")&amp;""</f>
        <v/>
      </c>
      <c r="CK273" s="601" t="str">
        <f t="shared" ca="1" si="142"/>
        <v/>
      </c>
      <c r="CL273" s="601" t="str">
        <f t="shared" ca="1" si="142"/>
        <v/>
      </c>
      <c r="CM273" s="601" t="str">
        <f t="shared" ca="1" si="142"/>
        <v/>
      </c>
      <c r="CN273" s="601" t="str">
        <f t="shared" ca="1" si="142"/>
        <v/>
      </c>
      <c r="CO273" s="601" t="str">
        <f t="shared" ca="1" si="142"/>
        <v/>
      </c>
      <c r="CP273" s="601" t="str">
        <f t="shared" ca="1" si="142"/>
        <v/>
      </c>
      <c r="CQ273" s="601" t="str">
        <f t="shared" ca="1" si="142"/>
        <v/>
      </c>
      <c r="CR273" s="601" t="str">
        <f t="shared" ca="1" si="142"/>
        <v/>
      </c>
      <c r="CS273" s="601" t="str">
        <f t="shared" ca="1" si="142"/>
        <v/>
      </c>
      <c r="CT273" s="601" t="str">
        <f t="shared" ca="1" si="142"/>
        <v/>
      </c>
      <c r="CU273" s="601" t="str">
        <f t="shared" ca="1" si="142"/>
        <v/>
      </c>
      <c r="CV273" s="601" t="str">
        <f t="shared" ca="1" si="142"/>
        <v/>
      </c>
      <c r="CW273" s="601" t="str">
        <f t="shared" ca="1" si="142"/>
        <v/>
      </c>
      <c r="CX273" s="601" t="str">
        <f t="shared" ca="1" si="142"/>
        <v/>
      </c>
      <c r="CY273" s="601" t="str">
        <f t="shared" ca="1" si="142"/>
        <v/>
      </c>
      <c r="CZ273" s="601" t="str">
        <f t="shared" ca="1" si="142"/>
        <v/>
      </c>
      <c r="DA273" s="601" t="str">
        <f t="shared" ca="1" si="142"/>
        <v/>
      </c>
      <c r="IE273" s="603"/>
      <c r="IF273" s="603"/>
      <c r="IG273" s="603"/>
      <c r="IH273" s="603"/>
    </row>
    <row r="274" spans="1:242" s="569" customFormat="1" hidden="1">
      <c r="A274" s="569">
        <v>28</v>
      </c>
      <c r="B274" s="1052"/>
      <c r="C274" s="599" t="str">
        <f>"~"&amp;D272-1&amp;"&amp;"&amp;D272</f>
        <v>~2025&amp;2026</v>
      </c>
      <c r="D274" s="600" t="str">
        <f>""</f>
        <v/>
      </c>
      <c r="E274" s="734" t="str">
        <f t="array" aca="1" ref="E274" ca="1">IFERROR(INDEX($E273:$DA273,MATCH(0,COUNTIF($D274:D274,$E273:$DA273),0)),"")</f>
        <v/>
      </c>
      <c r="F274" s="601" t="str">
        <f t="array" aca="1" ref="F274" ca="1">IFERROR(INDEX($E273:$DA273,MATCH(0,COUNTIF($D274:E274,$E273:$DA273),0)),"")</f>
        <v/>
      </c>
      <c r="G274" s="601" t="str">
        <f t="array" aca="1" ref="G274" ca="1">IFERROR(INDEX($E273:$DA273,MATCH(0,COUNTIF($D274:F274,$E273:$DA273),0)),"")</f>
        <v/>
      </c>
      <c r="H274" s="601" t="str">
        <f t="array" aca="1" ref="H274" ca="1">IFERROR(INDEX($E273:$DA273,MATCH(0,COUNTIF($D274:G274,$E273:$DA273),0)),"")</f>
        <v/>
      </c>
      <c r="I274" s="601" t="str">
        <f t="array" aca="1" ref="I274" ca="1">IFERROR(INDEX($E273:$DA273,MATCH(0,COUNTIF($D274:H274,$E273:$DA273),0)),"")</f>
        <v/>
      </c>
      <c r="J274" s="601" t="str">
        <f t="array" aca="1" ref="J274" ca="1">IFERROR(INDEX($E273:$DA273,MATCH(0,COUNTIF($D274:I274,$E273:$DA273),0)),"")</f>
        <v/>
      </c>
      <c r="K274" s="601" t="str">
        <f t="array" aca="1" ref="K274" ca="1">IFERROR(INDEX($E273:$DA273,MATCH(0,COUNTIF($D274:J274,$E273:$DA273),0)),"")</f>
        <v/>
      </c>
      <c r="L274" s="601" t="str">
        <f t="array" aca="1" ref="L274" ca="1">IFERROR(INDEX($E273:$DA273,MATCH(0,COUNTIF($D274:K274,$E273:$DA273),0)),"")</f>
        <v/>
      </c>
      <c r="M274" s="601" t="str">
        <f t="array" aca="1" ref="M274" ca="1">IFERROR(INDEX($E273:$DA273,MATCH(0,COUNTIF($D274:L274,$E273:$DA273),0)),"")</f>
        <v/>
      </c>
      <c r="N274" s="601" t="str">
        <f t="array" aca="1" ref="N274" ca="1">IFERROR(INDEX($E273:$DA273,MATCH(0,COUNTIF($D274:M274,$E273:$DA273),0)),"")</f>
        <v/>
      </c>
      <c r="O274" s="601" t="str">
        <f t="array" aca="1" ref="O274" ca="1">IFERROR(INDEX($E273:$DA273,MATCH(0,COUNTIF($D274:N274,$E273:$DA273),0)),"")</f>
        <v/>
      </c>
      <c r="P274" s="601" t="str">
        <f t="array" aca="1" ref="P274" ca="1">IFERROR(INDEX($E273:$DA273,MATCH(0,COUNTIF($D274:O274,$E273:$DA273),0)),"")</f>
        <v/>
      </c>
      <c r="Q274" s="601" t="str">
        <f t="array" aca="1" ref="Q274" ca="1">IFERROR(INDEX($E273:$DA273,MATCH(0,COUNTIF($D274:P274,$E273:$DA273),0)),"")</f>
        <v/>
      </c>
      <c r="R274" s="601" t="str">
        <f t="array" aca="1" ref="R274" ca="1">IFERROR(INDEX($E273:$DA273,MATCH(0,COUNTIF($D274:Q274,$E273:$DA273),0)),"")</f>
        <v/>
      </c>
      <c r="S274" s="601" t="str">
        <f t="array" aca="1" ref="S274" ca="1">IFERROR(INDEX($E273:$DA273,MATCH(0,COUNTIF($D274:R274,$E273:$DA273),0)),"")</f>
        <v/>
      </c>
      <c r="T274" s="601" t="str">
        <f t="array" aca="1" ref="T274" ca="1">IFERROR(INDEX($E273:$DA273,MATCH(0,COUNTIF($D274:S274,$E273:$DA273),0)),"")</f>
        <v/>
      </c>
      <c r="U274" s="601" t="str">
        <f t="array" aca="1" ref="U274" ca="1">IFERROR(INDEX($E273:$DA273,MATCH(0,COUNTIF($D274:T274,$E273:$DA273),0)),"")</f>
        <v/>
      </c>
      <c r="V274" s="601" t="str">
        <f t="array" aca="1" ref="V274" ca="1">IFERROR(INDEX($E273:$DA273,MATCH(0,COUNTIF($D274:U274,$E273:$DA273),0)),"")</f>
        <v/>
      </c>
      <c r="W274" s="601" t="str">
        <f t="array" aca="1" ref="W274" ca="1">IFERROR(INDEX($E273:$DA273,MATCH(0,COUNTIF($D274:V274,$E273:$DA273),0)),"")</f>
        <v/>
      </c>
      <c r="X274" s="601" t="str">
        <f t="array" aca="1" ref="X274" ca="1">IFERROR(INDEX($E273:$DA273,MATCH(0,COUNTIF($D274:W274,$E273:$DA273),0)),"")</f>
        <v/>
      </c>
      <c r="Y274" s="601" t="str">
        <f t="array" aca="1" ref="Y274" ca="1">IFERROR(INDEX($E273:$DA273,MATCH(0,COUNTIF($D274:X274,$E273:$DA273),0)),"")</f>
        <v/>
      </c>
      <c r="Z274" s="601" t="str">
        <f t="array" aca="1" ref="Z274" ca="1">IFERROR(INDEX($E273:$DA273,MATCH(0,COUNTIF($D274:Y274,$E273:$DA273),0)),"")</f>
        <v/>
      </c>
      <c r="AA274" s="601" t="str">
        <f t="array" aca="1" ref="AA274" ca="1">IFERROR(INDEX($E273:$DA273,MATCH(0,COUNTIF($D274:Z274,$E273:$DA273),0)),"")</f>
        <v/>
      </c>
      <c r="AB274" s="601" t="str">
        <f t="array" aca="1" ref="AB274" ca="1">IFERROR(INDEX($E273:$DA273,MATCH(0,COUNTIF($D274:AA274,$E273:$DA273),0)),"")</f>
        <v/>
      </c>
      <c r="AC274" s="601" t="str">
        <f t="array" aca="1" ref="AC274" ca="1">IFERROR(INDEX($E273:$DA273,MATCH(0,COUNTIF($D274:AB274,$E273:$DA273),0)),"")</f>
        <v/>
      </c>
      <c r="AD274" s="601" t="str">
        <f t="array" aca="1" ref="AD274" ca="1">IFERROR(INDEX($E273:$DA273,MATCH(0,COUNTIF($D274:AC274,$E273:$DA273),0)),"")</f>
        <v/>
      </c>
      <c r="AE274" s="601" t="str">
        <f t="array" aca="1" ref="AE274" ca="1">IFERROR(INDEX($E273:$DA273,MATCH(0,COUNTIF($D274:AD274,$E273:$DA273),0)),"")</f>
        <v/>
      </c>
      <c r="AF274" s="601" t="str">
        <f t="array" aca="1" ref="AF274" ca="1">IFERROR(INDEX($E273:$DA273,MATCH(0,COUNTIF($D274:AE274,$E273:$DA273),0)),"")</f>
        <v/>
      </c>
      <c r="AG274" s="601" t="str">
        <f t="array" aca="1" ref="AG274" ca="1">IFERROR(INDEX($E273:$DA273,MATCH(0,COUNTIF($D274:AF274,$E273:$DA273),0)),"")</f>
        <v/>
      </c>
      <c r="AH274" s="601" t="str">
        <f t="array" aca="1" ref="AH274" ca="1">IFERROR(INDEX($E273:$DA273,MATCH(0,COUNTIF($D274:AG274,$E273:$DA273),0)),"")</f>
        <v/>
      </c>
      <c r="AI274" s="601" t="str">
        <f t="array" aca="1" ref="AI274" ca="1">IFERROR(INDEX($E273:$DA273,MATCH(0,COUNTIF($D274:AH274,$E273:$DA273),0)),"")</f>
        <v/>
      </c>
      <c r="AJ274" s="601" t="str">
        <f t="array" aca="1" ref="AJ274" ca="1">IFERROR(INDEX($E273:$DA273,MATCH(0,COUNTIF($D274:AI274,$E273:$DA273),0)),"")</f>
        <v/>
      </c>
      <c r="AK274" s="601" t="str">
        <f t="array" aca="1" ref="AK274" ca="1">IFERROR(INDEX($E273:$DA273,MATCH(0,COUNTIF($D274:AJ274,$E273:$DA273),0)),"")</f>
        <v/>
      </c>
      <c r="AL274" s="601" t="str">
        <f t="array" aca="1" ref="AL274" ca="1">IFERROR(INDEX($E273:$DA273,MATCH(0,COUNTIF($D274:AK274,$E273:$DA273),0)),"")</f>
        <v/>
      </c>
      <c r="AM274" s="601" t="str">
        <f t="array" aca="1" ref="AM274" ca="1">IFERROR(INDEX($E273:$DA273,MATCH(0,COUNTIF($D274:AL274,$E273:$DA273),0)),"")</f>
        <v/>
      </c>
      <c r="AN274" s="601" t="str">
        <f t="array" aca="1" ref="AN274" ca="1">IFERROR(INDEX($E273:$DA273,MATCH(0,COUNTIF($D274:AM274,$E273:$DA273),0)),"")</f>
        <v/>
      </c>
      <c r="AO274" s="601" t="str">
        <f t="array" aca="1" ref="AO274" ca="1">IFERROR(INDEX($E273:$DA273,MATCH(0,COUNTIF($D274:AN274,$E273:$DA273),0)),"")</f>
        <v/>
      </c>
      <c r="AP274" s="601" t="str">
        <f t="array" aca="1" ref="AP274" ca="1">IFERROR(INDEX($E273:$DA273,MATCH(0,COUNTIF($D274:AO274,$E273:$DA273),0)),"")</f>
        <v/>
      </c>
      <c r="AQ274" s="601" t="str">
        <f t="array" aca="1" ref="AQ274" ca="1">IFERROR(INDEX($E273:$DA273,MATCH(0,COUNTIF($D274:AP274,$E273:$DA273),0)),"")</f>
        <v/>
      </c>
      <c r="AR274" s="601" t="str">
        <f t="array" aca="1" ref="AR274" ca="1">IFERROR(INDEX($E273:$DA273,MATCH(0,COUNTIF($D274:AQ274,$E273:$DA273),0)),"")</f>
        <v/>
      </c>
      <c r="AS274" s="601" t="str">
        <f t="array" aca="1" ref="AS274" ca="1">IFERROR(INDEX($E273:$DA273,MATCH(0,COUNTIF($D274:AR274,$E273:$DA273),0)),"")</f>
        <v/>
      </c>
      <c r="AT274" s="601" t="str">
        <f t="array" aca="1" ref="AT274" ca="1">IFERROR(INDEX($E273:$DA273,MATCH(0,COUNTIF($D274:AS274,$E273:$DA273),0)),"")</f>
        <v/>
      </c>
      <c r="AU274" s="601" t="str">
        <f t="array" aca="1" ref="AU274" ca="1">IFERROR(INDEX($E273:$DA273,MATCH(0,COUNTIF($D274:AT274,$E273:$DA273),0)),"")</f>
        <v/>
      </c>
      <c r="AV274" s="601" t="str">
        <f t="array" aca="1" ref="AV274" ca="1">IFERROR(INDEX($E273:$DA273,MATCH(0,COUNTIF($D274:AU274,$E273:$DA273),0)),"")</f>
        <v/>
      </c>
      <c r="AW274" s="601" t="str">
        <f t="array" aca="1" ref="AW274" ca="1">IFERROR(INDEX($E273:$DA273,MATCH(0,COUNTIF($D274:AV274,$E273:$DA273),0)),"")</f>
        <v/>
      </c>
      <c r="AX274" s="601" t="str">
        <f t="array" aca="1" ref="AX274" ca="1">IFERROR(INDEX($E273:$DA273,MATCH(0,COUNTIF($D274:AW274,$E273:$DA273),0)),"")</f>
        <v/>
      </c>
      <c r="AY274" s="601" t="str">
        <f t="array" aca="1" ref="AY274" ca="1">IFERROR(INDEX($E273:$DA273,MATCH(0,COUNTIF($D274:AX274,$E273:$DA273),0)),"")</f>
        <v/>
      </c>
      <c r="AZ274" s="601" t="str">
        <f t="array" aca="1" ref="AZ274" ca="1">IFERROR(INDEX($E273:$DA273,MATCH(0,COUNTIF($D274:AY274,$E273:$DA273),0)),"")</f>
        <v/>
      </c>
      <c r="BA274" s="602" t="str">
        <f t="array" aca="1" ref="BA274" ca="1">IFERROR(INDEX($E273:$DA273,MATCH(0,COUNTIF($D274:AZ274,$E273:$DA273),0)),"")</f>
        <v/>
      </c>
      <c r="BB274" s="650" t="str">
        <f t="array" aca="1" ref="BB274" ca="1">IFERROR(INDEX($E273:$DA273,MATCH(0,COUNTIF($D274:BA274,$E273:$DA273),0)),"")</f>
        <v/>
      </c>
      <c r="BC274" s="604"/>
      <c r="BD274" s="604" t="str">
        <f>""</f>
        <v/>
      </c>
      <c r="BE274" s="604"/>
      <c r="BF274" s="604"/>
      <c r="BG274" s="604"/>
      <c r="BH274" s="604"/>
      <c r="BI274" s="604"/>
      <c r="BJ274" s="604"/>
      <c r="BK274" s="604"/>
      <c r="BL274" s="604"/>
      <c r="BM274" s="604"/>
      <c r="BN274" s="604"/>
      <c r="BO274" s="604"/>
      <c r="BP274" s="604"/>
      <c r="BQ274" s="604"/>
      <c r="BR274" s="604"/>
      <c r="BS274" s="604"/>
      <c r="BT274" s="604"/>
      <c r="BU274" s="604"/>
      <c r="BV274" s="604"/>
      <c r="BW274" s="604"/>
      <c r="IE274" s="603"/>
      <c r="IF274" s="603"/>
      <c r="IG274" s="603"/>
      <c r="IH274" s="603"/>
    </row>
    <row r="275" spans="1:242" s="569" customFormat="1" hidden="1">
      <c r="A275" s="569">
        <v>29</v>
      </c>
      <c r="B275" s="1052"/>
      <c r="C275" s="599" t="s">
        <v>674</v>
      </c>
      <c r="D275" s="600" t="str">
        <f>""</f>
        <v/>
      </c>
      <c r="E275" s="734" t="str">
        <f t="shared" ref="E275:AJ275" ca="1" si="143">IF(OFFSET(貼付け_2026実績,2,12)="■",BD273,IFERROR(INDEX($BD273:$DA273,MATCH(E274,$BD273:$DA273,0)),""))</f>
        <v/>
      </c>
      <c r="F275" s="601" t="str">
        <f t="shared" ca="1" si="143"/>
        <v/>
      </c>
      <c r="G275" s="601" t="str">
        <f t="shared" ca="1" si="143"/>
        <v/>
      </c>
      <c r="H275" s="601" t="str">
        <f t="shared" ca="1" si="143"/>
        <v/>
      </c>
      <c r="I275" s="601" t="str">
        <f t="shared" ca="1" si="143"/>
        <v/>
      </c>
      <c r="J275" s="601" t="str">
        <f t="shared" ca="1" si="143"/>
        <v/>
      </c>
      <c r="K275" s="601" t="str">
        <f t="shared" ca="1" si="143"/>
        <v/>
      </c>
      <c r="L275" s="601" t="str">
        <f t="shared" ca="1" si="143"/>
        <v/>
      </c>
      <c r="M275" s="601" t="str">
        <f t="shared" ca="1" si="143"/>
        <v/>
      </c>
      <c r="N275" s="601" t="str">
        <f t="shared" ca="1" si="143"/>
        <v/>
      </c>
      <c r="O275" s="601" t="str">
        <f ca="1">IF(OFFSET(貼付け_2026実績,2,12)="■",BN273,IFERROR(INDEX($BD273:$DA273,MATCH(O274,$BD273:$DA273,0)),""))</f>
        <v/>
      </c>
      <c r="P275" s="601" t="str">
        <f t="shared" ca="1" si="143"/>
        <v/>
      </c>
      <c r="Q275" s="601" t="str">
        <f t="shared" ca="1" si="143"/>
        <v/>
      </c>
      <c r="R275" s="601" t="str">
        <f t="shared" ca="1" si="143"/>
        <v/>
      </c>
      <c r="S275" s="601" t="str">
        <f t="shared" ca="1" si="143"/>
        <v/>
      </c>
      <c r="T275" s="601" t="str">
        <f t="shared" ca="1" si="143"/>
        <v/>
      </c>
      <c r="U275" s="601" t="str">
        <f t="shared" ca="1" si="143"/>
        <v/>
      </c>
      <c r="V275" s="601" t="str">
        <f t="shared" ca="1" si="143"/>
        <v/>
      </c>
      <c r="W275" s="601" t="str">
        <f t="shared" ca="1" si="143"/>
        <v/>
      </c>
      <c r="X275" s="601" t="str">
        <f t="shared" ca="1" si="143"/>
        <v/>
      </c>
      <c r="Y275" s="601" t="str">
        <f t="shared" ca="1" si="143"/>
        <v/>
      </c>
      <c r="Z275" s="601" t="str">
        <f t="shared" ca="1" si="143"/>
        <v/>
      </c>
      <c r="AA275" s="601" t="str">
        <f t="shared" ca="1" si="143"/>
        <v/>
      </c>
      <c r="AB275" s="601" t="str">
        <f t="shared" ca="1" si="143"/>
        <v/>
      </c>
      <c r="AC275" s="601" t="str">
        <f t="shared" ca="1" si="143"/>
        <v/>
      </c>
      <c r="AD275" s="601" t="str">
        <f t="shared" ca="1" si="143"/>
        <v/>
      </c>
      <c r="AE275" s="601" t="str">
        <f t="shared" ca="1" si="143"/>
        <v/>
      </c>
      <c r="AF275" s="601" t="str">
        <f t="shared" ca="1" si="143"/>
        <v/>
      </c>
      <c r="AG275" s="601" t="str">
        <f t="shared" ca="1" si="143"/>
        <v/>
      </c>
      <c r="AH275" s="601" t="str">
        <f t="shared" ca="1" si="143"/>
        <v/>
      </c>
      <c r="AI275" s="601" t="str">
        <f t="shared" ca="1" si="143"/>
        <v/>
      </c>
      <c r="AJ275" s="601" t="str">
        <f t="shared" ca="1" si="143"/>
        <v/>
      </c>
      <c r="AK275" s="601" t="str">
        <f t="shared" ref="AK275:BB275" ca="1" si="144">IF(OFFSET(貼付け_2026実績,2,12)="■",CJ273,IFERROR(INDEX($BD273:$DA273,MATCH(AK274,$BD273:$DA273,0)),""))</f>
        <v/>
      </c>
      <c r="AL275" s="601" t="str">
        <f t="shared" ca="1" si="144"/>
        <v/>
      </c>
      <c r="AM275" s="601" t="str">
        <f t="shared" ca="1" si="144"/>
        <v/>
      </c>
      <c r="AN275" s="601" t="str">
        <f t="shared" ca="1" si="144"/>
        <v/>
      </c>
      <c r="AO275" s="601" t="str">
        <f t="shared" ca="1" si="144"/>
        <v/>
      </c>
      <c r="AP275" s="601" t="str">
        <f t="shared" ca="1" si="144"/>
        <v/>
      </c>
      <c r="AQ275" s="601" t="str">
        <f t="shared" ca="1" si="144"/>
        <v/>
      </c>
      <c r="AR275" s="601" t="str">
        <f t="shared" ca="1" si="144"/>
        <v/>
      </c>
      <c r="AS275" s="601" t="str">
        <f t="shared" ca="1" si="144"/>
        <v/>
      </c>
      <c r="AT275" s="601" t="str">
        <f t="shared" ca="1" si="144"/>
        <v/>
      </c>
      <c r="AU275" s="601" t="str">
        <f t="shared" ca="1" si="144"/>
        <v/>
      </c>
      <c r="AV275" s="601" t="str">
        <f t="shared" ca="1" si="144"/>
        <v/>
      </c>
      <c r="AW275" s="601" t="str">
        <f t="shared" ca="1" si="144"/>
        <v/>
      </c>
      <c r="AX275" s="601" t="str">
        <f t="shared" ca="1" si="144"/>
        <v/>
      </c>
      <c r="AY275" s="601" t="str">
        <f t="shared" ca="1" si="144"/>
        <v/>
      </c>
      <c r="AZ275" s="601" t="str">
        <f t="shared" ca="1" si="144"/>
        <v/>
      </c>
      <c r="BA275" s="602" t="str">
        <f t="shared" ca="1" si="144"/>
        <v/>
      </c>
      <c r="BB275" s="650" t="str">
        <f t="shared" ca="1" si="144"/>
        <v/>
      </c>
      <c r="BD275" s="569" t="str">
        <f>""</f>
        <v/>
      </c>
      <c r="IE275" s="603"/>
      <c r="IF275" s="603"/>
      <c r="IG275" s="603"/>
      <c r="IH275" s="603"/>
    </row>
    <row r="276" spans="1:242" s="569" customFormat="1" hidden="1">
      <c r="A276" s="569">
        <v>30</v>
      </c>
      <c r="B276" s="1052"/>
      <c r="C276" s="605" t="s">
        <v>675</v>
      </c>
      <c r="D276" s="606">
        <v>10</v>
      </c>
      <c r="E276" s="735" t="str">
        <f t="shared" ref="E276:AJ276" ca="1" si="145">OFFSET(A1_名称2026,E$247+2,$D276)&amp;""</f>
        <v/>
      </c>
      <c r="F276" s="607" t="str">
        <f t="shared" ca="1" si="145"/>
        <v/>
      </c>
      <c r="G276" s="607" t="str">
        <f t="shared" ca="1" si="145"/>
        <v/>
      </c>
      <c r="H276" s="607" t="str">
        <f t="shared" ca="1" si="145"/>
        <v/>
      </c>
      <c r="I276" s="607" t="str">
        <f t="shared" ca="1" si="145"/>
        <v/>
      </c>
      <c r="J276" s="607" t="str">
        <f t="shared" ca="1" si="145"/>
        <v/>
      </c>
      <c r="K276" s="607" t="str">
        <f t="shared" ca="1" si="145"/>
        <v/>
      </c>
      <c r="L276" s="607" t="str">
        <f t="shared" ca="1" si="145"/>
        <v/>
      </c>
      <c r="M276" s="607" t="str">
        <f t="shared" ca="1" si="145"/>
        <v/>
      </c>
      <c r="N276" s="607" t="str">
        <f t="shared" ca="1" si="145"/>
        <v/>
      </c>
      <c r="O276" s="607" t="str">
        <f ca="1">OFFSET(A1_名称2026,O$247+2,$D276)&amp;""</f>
        <v/>
      </c>
      <c r="P276" s="607" t="str">
        <f t="shared" ca="1" si="145"/>
        <v/>
      </c>
      <c r="Q276" s="607" t="str">
        <f t="shared" ca="1" si="145"/>
        <v/>
      </c>
      <c r="R276" s="607" t="str">
        <f t="shared" ca="1" si="145"/>
        <v/>
      </c>
      <c r="S276" s="607" t="str">
        <f t="shared" ca="1" si="145"/>
        <v/>
      </c>
      <c r="T276" s="607" t="str">
        <f t="shared" ca="1" si="145"/>
        <v/>
      </c>
      <c r="U276" s="607" t="str">
        <f t="shared" ca="1" si="145"/>
        <v/>
      </c>
      <c r="V276" s="607" t="str">
        <f t="shared" ca="1" si="145"/>
        <v/>
      </c>
      <c r="W276" s="607" t="str">
        <f t="shared" ca="1" si="145"/>
        <v/>
      </c>
      <c r="X276" s="607" t="str">
        <f t="shared" ca="1" si="145"/>
        <v/>
      </c>
      <c r="Y276" s="607" t="str">
        <f t="shared" ca="1" si="145"/>
        <v/>
      </c>
      <c r="Z276" s="607" t="str">
        <f t="shared" ca="1" si="145"/>
        <v/>
      </c>
      <c r="AA276" s="607" t="str">
        <f t="shared" ca="1" si="145"/>
        <v/>
      </c>
      <c r="AB276" s="607" t="str">
        <f t="shared" ca="1" si="145"/>
        <v/>
      </c>
      <c r="AC276" s="607" t="str">
        <f t="shared" ca="1" si="145"/>
        <v/>
      </c>
      <c r="AD276" s="607" t="str">
        <f t="shared" ca="1" si="145"/>
        <v/>
      </c>
      <c r="AE276" s="607" t="str">
        <f t="shared" ca="1" si="145"/>
        <v/>
      </c>
      <c r="AF276" s="607" t="str">
        <f t="shared" ca="1" si="145"/>
        <v/>
      </c>
      <c r="AG276" s="607" t="str">
        <f t="shared" ca="1" si="145"/>
        <v/>
      </c>
      <c r="AH276" s="607" t="str">
        <f t="shared" ca="1" si="145"/>
        <v/>
      </c>
      <c r="AI276" s="607" t="str">
        <f t="shared" ca="1" si="145"/>
        <v/>
      </c>
      <c r="AJ276" s="607" t="str">
        <f t="shared" ca="1" si="145"/>
        <v/>
      </c>
      <c r="AK276" s="607" t="str">
        <f t="shared" ref="AK276:BB276" ca="1" si="146">OFFSET(A1_名称2026,AK$247+2,$D276)&amp;""</f>
        <v/>
      </c>
      <c r="AL276" s="607" t="str">
        <f t="shared" ca="1" si="146"/>
        <v/>
      </c>
      <c r="AM276" s="607" t="str">
        <f t="shared" ca="1" si="146"/>
        <v/>
      </c>
      <c r="AN276" s="607" t="str">
        <f t="shared" ca="1" si="146"/>
        <v/>
      </c>
      <c r="AO276" s="607" t="str">
        <f t="shared" ca="1" si="146"/>
        <v/>
      </c>
      <c r="AP276" s="607" t="str">
        <f t="shared" ca="1" si="146"/>
        <v/>
      </c>
      <c r="AQ276" s="607" t="str">
        <f t="shared" ca="1" si="146"/>
        <v/>
      </c>
      <c r="AR276" s="607" t="str">
        <f t="shared" ca="1" si="146"/>
        <v/>
      </c>
      <c r="AS276" s="607" t="str">
        <f t="shared" ca="1" si="146"/>
        <v/>
      </c>
      <c r="AT276" s="607" t="str">
        <f t="shared" ca="1" si="146"/>
        <v/>
      </c>
      <c r="AU276" s="607" t="str">
        <f t="shared" ca="1" si="146"/>
        <v/>
      </c>
      <c r="AV276" s="607" t="str">
        <f t="shared" ca="1" si="146"/>
        <v/>
      </c>
      <c r="AW276" s="607" t="str">
        <f t="shared" ca="1" si="146"/>
        <v/>
      </c>
      <c r="AX276" s="607" t="str">
        <f t="shared" ca="1" si="146"/>
        <v/>
      </c>
      <c r="AY276" s="607" t="str">
        <f t="shared" ca="1" si="146"/>
        <v/>
      </c>
      <c r="AZ276" s="607" t="str">
        <f t="shared" ca="1" si="146"/>
        <v/>
      </c>
      <c r="BA276" s="608" t="str">
        <f t="shared" ca="1" si="146"/>
        <v/>
      </c>
      <c r="BB276" s="651" t="str">
        <f t="shared" ca="1" si="146"/>
        <v/>
      </c>
      <c r="IE276" s="603"/>
      <c r="IF276" s="603"/>
      <c r="IG276" s="603"/>
      <c r="IH276" s="603"/>
    </row>
    <row r="277" spans="1:242" s="164" customFormat="1" ht="19.8" hidden="1">
      <c r="A277" s="569">
        <v>31</v>
      </c>
      <c r="B277" s="1052"/>
      <c r="C277" s="599" t="s">
        <v>676</v>
      </c>
      <c r="D277" s="600"/>
      <c r="E277" s="734" t="str">
        <f ca="1">IF(E276="","",IFERROR(INDEX($E272:$BB272,MATCH(E276,$BD273:$DA273,0)),""))</f>
        <v/>
      </c>
      <c r="F277" s="601" t="str">
        <f t="shared" ref="F277:BB277" ca="1" si="147">IF(F276="","",IFERROR(INDEX($E272:$BB272,MATCH(F276,$BD273:$DA273,0)),""))</f>
        <v/>
      </c>
      <c r="G277" s="601" t="str">
        <f t="shared" ca="1" si="147"/>
        <v/>
      </c>
      <c r="H277" s="601" t="str">
        <f t="shared" ca="1" si="147"/>
        <v/>
      </c>
      <c r="I277" s="601" t="str">
        <f t="shared" ca="1" si="147"/>
        <v/>
      </c>
      <c r="J277" s="601" t="str">
        <f t="shared" ca="1" si="147"/>
        <v/>
      </c>
      <c r="K277" s="601" t="str">
        <f t="shared" ca="1" si="147"/>
        <v/>
      </c>
      <c r="L277" s="601" t="str">
        <f t="shared" ca="1" si="147"/>
        <v/>
      </c>
      <c r="M277" s="601" t="str">
        <f t="shared" ca="1" si="147"/>
        <v/>
      </c>
      <c r="N277" s="601" t="str">
        <f t="shared" ca="1" si="147"/>
        <v/>
      </c>
      <c r="O277" s="601" t="str">
        <f ca="1">IF(O276="","",IFERROR(INDEX($E272:$BB272,MATCH(O276,$BD273:$DA273,0)),""))</f>
        <v/>
      </c>
      <c r="P277" s="601" t="str">
        <f t="shared" ca="1" si="147"/>
        <v/>
      </c>
      <c r="Q277" s="601" t="str">
        <f t="shared" ca="1" si="147"/>
        <v/>
      </c>
      <c r="R277" s="601" t="str">
        <f t="shared" ca="1" si="147"/>
        <v/>
      </c>
      <c r="S277" s="601" t="str">
        <f t="shared" ca="1" si="147"/>
        <v/>
      </c>
      <c r="T277" s="601" t="str">
        <f t="shared" ca="1" si="147"/>
        <v/>
      </c>
      <c r="U277" s="601" t="str">
        <f t="shared" ca="1" si="147"/>
        <v/>
      </c>
      <c r="V277" s="601" t="str">
        <f t="shared" ca="1" si="147"/>
        <v/>
      </c>
      <c r="W277" s="601" t="str">
        <f t="shared" ca="1" si="147"/>
        <v/>
      </c>
      <c r="X277" s="601" t="str">
        <f t="shared" ca="1" si="147"/>
        <v/>
      </c>
      <c r="Y277" s="601" t="str">
        <f t="shared" ca="1" si="147"/>
        <v/>
      </c>
      <c r="Z277" s="601" t="str">
        <f t="shared" ca="1" si="147"/>
        <v/>
      </c>
      <c r="AA277" s="601" t="str">
        <f t="shared" ca="1" si="147"/>
        <v/>
      </c>
      <c r="AB277" s="601" t="str">
        <f t="shared" ca="1" si="147"/>
        <v/>
      </c>
      <c r="AC277" s="601" t="str">
        <f t="shared" ca="1" si="147"/>
        <v/>
      </c>
      <c r="AD277" s="601" t="str">
        <f t="shared" ca="1" si="147"/>
        <v/>
      </c>
      <c r="AE277" s="601" t="str">
        <f t="shared" ca="1" si="147"/>
        <v/>
      </c>
      <c r="AF277" s="601" t="str">
        <f t="shared" ca="1" si="147"/>
        <v/>
      </c>
      <c r="AG277" s="601" t="str">
        <f t="shared" ca="1" si="147"/>
        <v/>
      </c>
      <c r="AH277" s="601" t="str">
        <f t="shared" ca="1" si="147"/>
        <v/>
      </c>
      <c r="AI277" s="601" t="str">
        <f t="shared" ca="1" si="147"/>
        <v/>
      </c>
      <c r="AJ277" s="601" t="str">
        <f t="shared" ca="1" si="147"/>
        <v/>
      </c>
      <c r="AK277" s="601" t="str">
        <f t="shared" ca="1" si="147"/>
        <v/>
      </c>
      <c r="AL277" s="601" t="str">
        <f t="shared" ca="1" si="147"/>
        <v/>
      </c>
      <c r="AM277" s="601" t="str">
        <f t="shared" ca="1" si="147"/>
        <v/>
      </c>
      <c r="AN277" s="601" t="str">
        <f t="shared" ca="1" si="147"/>
        <v/>
      </c>
      <c r="AO277" s="601" t="str">
        <f t="shared" ca="1" si="147"/>
        <v/>
      </c>
      <c r="AP277" s="601" t="str">
        <f t="shared" ca="1" si="147"/>
        <v/>
      </c>
      <c r="AQ277" s="601" t="str">
        <f t="shared" ca="1" si="147"/>
        <v/>
      </c>
      <c r="AR277" s="601" t="str">
        <f t="shared" ca="1" si="147"/>
        <v/>
      </c>
      <c r="AS277" s="601" t="str">
        <f t="shared" ca="1" si="147"/>
        <v/>
      </c>
      <c r="AT277" s="601" t="str">
        <f t="shared" ca="1" si="147"/>
        <v/>
      </c>
      <c r="AU277" s="601" t="str">
        <f t="shared" ca="1" si="147"/>
        <v/>
      </c>
      <c r="AV277" s="601" t="str">
        <f t="shared" ca="1" si="147"/>
        <v/>
      </c>
      <c r="AW277" s="601" t="str">
        <f t="shared" ca="1" si="147"/>
        <v/>
      </c>
      <c r="AX277" s="601" t="str">
        <f t="shared" ca="1" si="147"/>
        <v/>
      </c>
      <c r="AY277" s="601" t="str">
        <f t="shared" ca="1" si="147"/>
        <v/>
      </c>
      <c r="AZ277" s="601" t="str">
        <f t="shared" ca="1" si="147"/>
        <v/>
      </c>
      <c r="BA277" s="602" t="str">
        <f t="shared" ca="1" si="147"/>
        <v/>
      </c>
      <c r="BB277" s="650" t="str">
        <f t="shared" ca="1" si="147"/>
        <v/>
      </c>
      <c r="BC277" s="569"/>
      <c r="BD277" s="569"/>
      <c r="BE277" s="569"/>
      <c r="BF277" s="569"/>
      <c r="BG277" s="569"/>
      <c r="BH277" s="569"/>
      <c r="BI277" s="569"/>
      <c r="BJ277" s="569"/>
      <c r="BK277" s="569"/>
      <c r="BL277" s="569"/>
      <c r="BM277" s="569"/>
      <c r="BN277" s="569"/>
      <c r="BO277" s="569"/>
      <c r="BP277" s="569"/>
      <c r="BQ277" s="569"/>
      <c r="BR277" s="569"/>
      <c r="BS277" s="569"/>
      <c r="BT277" s="569"/>
      <c r="BU277" s="569"/>
      <c r="BV277" s="569"/>
      <c r="BW277" s="569"/>
      <c r="BX277" s="569"/>
      <c r="BY277" s="569"/>
      <c r="BZ277" s="569"/>
      <c r="CA277" s="569"/>
      <c r="CB277" s="569"/>
      <c r="CC277" s="569"/>
      <c r="CD277" s="569"/>
      <c r="CE277" s="569"/>
      <c r="CF277" s="569"/>
      <c r="CG277" s="569"/>
      <c r="CH277" s="569"/>
      <c r="CI277" s="569"/>
      <c r="CJ277" s="569"/>
      <c r="CK277" s="569"/>
      <c r="CL277" s="569"/>
      <c r="CM277" s="569"/>
      <c r="CN277" s="569"/>
      <c r="CO277" s="569"/>
      <c r="CP277" s="569"/>
      <c r="CQ277" s="569"/>
      <c r="CR277" s="569"/>
      <c r="CS277" s="569"/>
      <c r="CT277" s="569"/>
      <c r="CU277" s="569"/>
      <c r="CV277" s="569"/>
      <c r="CW277" s="569"/>
      <c r="CX277" s="569"/>
      <c r="CY277" s="569"/>
      <c r="CZ277" s="569"/>
      <c r="DA277" s="569"/>
      <c r="DB277" s="569"/>
      <c r="DC277" s="569"/>
      <c r="DD277" s="569"/>
      <c r="DE277" s="569"/>
      <c r="DF277" s="569"/>
      <c r="DG277" s="569"/>
      <c r="DH277" s="569"/>
      <c r="DI277" s="569"/>
      <c r="DJ277" s="569"/>
      <c r="DK277" s="569"/>
      <c r="DL277" s="569"/>
      <c r="DM277" s="569"/>
      <c r="DN277" s="569"/>
      <c r="DO277" s="569"/>
      <c r="DP277" s="569"/>
      <c r="DQ277" s="569"/>
      <c r="DR277" s="569"/>
      <c r="DS277" s="569"/>
      <c r="DT277" s="569"/>
      <c r="DU277" s="569"/>
      <c r="DV277" s="569"/>
      <c r="DW277" s="569"/>
      <c r="DX277" s="569"/>
      <c r="DY277" s="569"/>
      <c r="DZ277" s="569"/>
      <c r="EA277" s="569"/>
      <c r="EB277" s="569"/>
      <c r="EC277" s="569"/>
      <c r="ED277" s="569"/>
      <c r="EE277" s="569"/>
      <c r="EF277" s="569"/>
      <c r="EG277" s="569"/>
      <c r="EH277" s="569"/>
      <c r="EI277" s="569"/>
      <c r="EJ277" s="569"/>
      <c r="EK277" s="569"/>
      <c r="EL277" s="569"/>
      <c r="EM277" s="569"/>
      <c r="EN277" s="569"/>
      <c r="EO277" s="569"/>
      <c r="EP277" s="569"/>
      <c r="EQ277" s="569"/>
      <c r="ER277" s="569"/>
      <c r="ES277" s="569"/>
      <c r="ET277" s="569"/>
      <c r="EU277" s="569"/>
      <c r="EV277" s="569"/>
      <c r="EW277" s="569"/>
      <c r="EX277" s="569"/>
      <c r="EY277" s="569"/>
      <c r="EZ277" s="569"/>
      <c r="FA277" s="569"/>
      <c r="FB277" s="569"/>
      <c r="FC277" s="569"/>
      <c r="FD277" s="569"/>
      <c r="FE277" s="569"/>
      <c r="FF277" s="569"/>
      <c r="FG277" s="569"/>
      <c r="FH277" s="569"/>
      <c r="FI277" s="569"/>
      <c r="FJ277" s="569"/>
      <c r="FK277" s="569"/>
      <c r="FL277" s="569"/>
      <c r="FM277" s="569"/>
      <c r="FN277" s="569"/>
      <c r="FO277" s="569"/>
      <c r="FP277" s="569"/>
      <c r="FQ277" s="569"/>
      <c r="FR277" s="569"/>
      <c r="FS277" s="569"/>
      <c r="FT277" s="569"/>
      <c r="FU277" s="569"/>
      <c r="FV277" s="569"/>
      <c r="FW277" s="569"/>
      <c r="FX277" s="569"/>
      <c r="FY277" s="569"/>
      <c r="FZ277" s="569"/>
      <c r="GA277" s="569"/>
      <c r="GB277" s="569"/>
      <c r="GC277" s="569"/>
      <c r="GD277" s="569"/>
      <c r="GE277" s="569"/>
      <c r="GF277" s="569"/>
      <c r="GG277" s="569"/>
      <c r="GH277" s="569"/>
      <c r="GI277" s="569"/>
      <c r="GJ277" s="569"/>
      <c r="GK277" s="569"/>
      <c r="GL277" s="569"/>
      <c r="GM277" s="569"/>
      <c r="GN277" s="569"/>
      <c r="GO277" s="569"/>
      <c r="GP277" s="569"/>
      <c r="GQ277" s="569"/>
      <c r="GR277" s="569"/>
      <c r="GS277" s="569"/>
      <c r="GT277" s="569"/>
      <c r="GU277" s="569"/>
      <c r="GV277" s="569"/>
      <c r="GW277" s="569"/>
      <c r="GX277" s="569"/>
      <c r="GY277" s="569"/>
      <c r="GZ277" s="569"/>
      <c r="HA277" s="569"/>
      <c r="HB277" s="569"/>
      <c r="HC277" s="569"/>
      <c r="HD277" s="569"/>
      <c r="HE277" s="569"/>
      <c r="HF277" s="569"/>
      <c r="HG277" s="569"/>
      <c r="HH277" s="569"/>
      <c r="HI277" s="569"/>
      <c r="HJ277" s="569"/>
      <c r="HK277" s="569"/>
      <c r="IE277" s="579"/>
      <c r="IF277" s="579"/>
      <c r="IG277" s="579"/>
      <c r="IH277" s="579"/>
    </row>
    <row r="278" spans="1:242" s="164" customFormat="1" ht="20.100000000000001" hidden="1" customHeight="1">
      <c r="A278" s="569">
        <v>32</v>
      </c>
      <c r="B278" s="1052"/>
      <c r="C278" s="609" t="s">
        <v>677</v>
      </c>
      <c r="D278" s="610">
        <v>6</v>
      </c>
      <c r="E278" s="736" t="str">
        <f t="shared" ref="E278:AJ278" ca="1" si="148">IFERROR(OFFSET(貼付け_2026実績,$D278,E277+1)&amp;"","")</f>
        <v/>
      </c>
      <c r="F278" s="611" t="str">
        <f t="shared" ca="1" si="148"/>
        <v/>
      </c>
      <c r="G278" s="611" t="str">
        <f t="shared" ca="1" si="148"/>
        <v/>
      </c>
      <c r="H278" s="611" t="str">
        <f t="shared" ca="1" si="148"/>
        <v/>
      </c>
      <c r="I278" s="611" t="str">
        <f t="shared" ca="1" si="148"/>
        <v/>
      </c>
      <c r="J278" s="611" t="str">
        <f t="shared" ca="1" si="148"/>
        <v/>
      </c>
      <c r="K278" s="611" t="str">
        <f t="shared" ca="1" si="148"/>
        <v/>
      </c>
      <c r="L278" s="611" t="str">
        <f t="shared" ca="1" si="148"/>
        <v/>
      </c>
      <c r="M278" s="611" t="str">
        <f t="shared" ca="1" si="148"/>
        <v/>
      </c>
      <c r="N278" s="611" t="str">
        <f t="shared" ca="1" si="148"/>
        <v/>
      </c>
      <c r="O278" s="611" t="str">
        <f ca="1">IFERROR(OFFSET(貼付け_2026実績,$D278,O277+1)&amp;"","")</f>
        <v/>
      </c>
      <c r="P278" s="611" t="str">
        <f t="shared" ca="1" si="148"/>
        <v/>
      </c>
      <c r="Q278" s="611" t="str">
        <f t="shared" ca="1" si="148"/>
        <v/>
      </c>
      <c r="R278" s="611" t="str">
        <f t="shared" ca="1" si="148"/>
        <v/>
      </c>
      <c r="S278" s="611" t="str">
        <f t="shared" ca="1" si="148"/>
        <v/>
      </c>
      <c r="T278" s="611" t="str">
        <f t="shared" ca="1" si="148"/>
        <v/>
      </c>
      <c r="U278" s="611" t="str">
        <f t="shared" ca="1" si="148"/>
        <v/>
      </c>
      <c r="V278" s="611" t="str">
        <f t="shared" ca="1" si="148"/>
        <v/>
      </c>
      <c r="W278" s="611" t="str">
        <f t="shared" ca="1" si="148"/>
        <v/>
      </c>
      <c r="X278" s="611" t="str">
        <f t="shared" ca="1" si="148"/>
        <v/>
      </c>
      <c r="Y278" s="611" t="str">
        <f t="shared" ca="1" si="148"/>
        <v/>
      </c>
      <c r="Z278" s="611" t="str">
        <f t="shared" ca="1" si="148"/>
        <v/>
      </c>
      <c r="AA278" s="611" t="str">
        <f t="shared" ca="1" si="148"/>
        <v/>
      </c>
      <c r="AB278" s="611" t="str">
        <f t="shared" ca="1" si="148"/>
        <v/>
      </c>
      <c r="AC278" s="611" t="str">
        <f t="shared" ca="1" si="148"/>
        <v/>
      </c>
      <c r="AD278" s="611" t="str">
        <f t="shared" ca="1" si="148"/>
        <v/>
      </c>
      <c r="AE278" s="611" t="str">
        <f t="shared" ca="1" si="148"/>
        <v/>
      </c>
      <c r="AF278" s="611" t="str">
        <f t="shared" ca="1" si="148"/>
        <v/>
      </c>
      <c r="AG278" s="611" t="str">
        <f t="shared" ca="1" si="148"/>
        <v/>
      </c>
      <c r="AH278" s="611" t="str">
        <f t="shared" ca="1" si="148"/>
        <v/>
      </c>
      <c r="AI278" s="611" t="str">
        <f t="shared" ca="1" si="148"/>
        <v/>
      </c>
      <c r="AJ278" s="611" t="str">
        <f t="shared" ca="1" si="148"/>
        <v/>
      </c>
      <c r="AK278" s="611" t="str">
        <f t="shared" ref="AK278:BB278" ca="1" si="149">IFERROR(OFFSET(貼付け_2026実績,$D278,AK277+1)&amp;"","")</f>
        <v/>
      </c>
      <c r="AL278" s="611" t="str">
        <f t="shared" ca="1" si="149"/>
        <v/>
      </c>
      <c r="AM278" s="611" t="str">
        <f t="shared" ca="1" si="149"/>
        <v/>
      </c>
      <c r="AN278" s="611" t="str">
        <f t="shared" ca="1" si="149"/>
        <v/>
      </c>
      <c r="AO278" s="611" t="str">
        <f t="shared" ca="1" si="149"/>
        <v/>
      </c>
      <c r="AP278" s="611" t="str">
        <f t="shared" ca="1" si="149"/>
        <v/>
      </c>
      <c r="AQ278" s="611" t="str">
        <f t="shared" ca="1" si="149"/>
        <v/>
      </c>
      <c r="AR278" s="611" t="str">
        <f t="shared" ca="1" si="149"/>
        <v/>
      </c>
      <c r="AS278" s="611" t="str">
        <f t="shared" ca="1" si="149"/>
        <v/>
      </c>
      <c r="AT278" s="611" t="str">
        <f t="shared" ca="1" si="149"/>
        <v/>
      </c>
      <c r="AU278" s="611" t="str">
        <f t="shared" ca="1" si="149"/>
        <v/>
      </c>
      <c r="AV278" s="611" t="str">
        <f t="shared" ca="1" si="149"/>
        <v/>
      </c>
      <c r="AW278" s="611" t="str">
        <f t="shared" ca="1" si="149"/>
        <v/>
      </c>
      <c r="AX278" s="611" t="str">
        <f t="shared" ca="1" si="149"/>
        <v/>
      </c>
      <c r="AY278" s="611" t="str">
        <f t="shared" ca="1" si="149"/>
        <v/>
      </c>
      <c r="AZ278" s="611" t="str">
        <f t="shared" ca="1" si="149"/>
        <v/>
      </c>
      <c r="BA278" s="612" t="str">
        <f t="shared" ca="1" si="149"/>
        <v/>
      </c>
      <c r="BB278" s="652" t="str">
        <f t="shared" ca="1" si="149"/>
        <v/>
      </c>
      <c r="BC278" s="613"/>
      <c r="IE278" s="579"/>
      <c r="IF278" s="579"/>
      <c r="IG278" s="579"/>
      <c r="IH278" s="579"/>
    </row>
    <row r="279" spans="1:242" s="164" customFormat="1" ht="20.100000000000001" hidden="1" customHeight="1">
      <c r="A279" s="569">
        <v>33</v>
      </c>
      <c r="B279" s="1052"/>
      <c r="C279" s="614" t="s">
        <v>678</v>
      </c>
      <c r="D279" s="615">
        <v>99</v>
      </c>
      <c r="E279" s="737" t="str">
        <f t="shared" ref="E279:AJ279" ca="1" si="150">IFERROR(OFFSET(貼付け_2026実績,$D279,E277),"")&amp;""</f>
        <v/>
      </c>
      <c r="F279" s="616" t="str">
        <f t="shared" ca="1" si="150"/>
        <v/>
      </c>
      <c r="G279" s="616" t="str">
        <f t="shared" ca="1" si="150"/>
        <v/>
      </c>
      <c r="H279" s="616" t="str">
        <f t="shared" ca="1" si="150"/>
        <v/>
      </c>
      <c r="I279" s="616" t="str">
        <f t="shared" ca="1" si="150"/>
        <v/>
      </c>
      <c r="J279" s="616" t="str">
        <f t="shared" ca="1" si="150"/>
        <v/>
      </c>
      <c r="K279" s="616" t="str">
        <f t="shared" ca="1" si="150"/>
        <v/>
      </c>
      <c r="L279" s="616" t="str">
        <f t="shared" ca="1" si="150"/>
        <v/>
      </c>
      <c r="M279" s="616" t="str">
        <f t="shared" ca="1" si="150"/>
        <v/>
      </c>
      <c r="N279" s="616" t="str">
        <f t="shared" ca="1" si="150"/>
        <v/>
      </c>
      <c r="O279" s="616" t="str">
        <f ca="1">IFERROR(OFFSET(貼付け_2026実績,$D279,O277),"")&amp;""</f>
        <v/>
      </c>
      <c r="P279" s="616" t="str">
        <f t="shared" ca="1" si="150"/>
        <v/>
      </c>
      <c r="Q279" s="616" t="str">
        <f t="shared" ca="1" si="150"/>
        <v/>
      </c>
      <c r="R279" s="616" t="str">
        <f t="shared" ca="1" si="150"/>
        <v/>
      </c>
      <c r="S279" s="616" t="str">
        <f t="shared" ca="1" si="150"/>
        <v/>
      </c>
      <c r="T279" s="616" t="str">
        <f t="shared" ca="1" si="150"/>
        <v/>
      </c>
      <c r="U279" s="616" t="str">
        <f t="shared" ca="1" si="150"/>
        <v/>
      </c>
      <c r="V279" s="616" t="str">
        <f t="shared" ca="1" si="150"/>
        <v/>
      </c>
      <c r="W279" s="616" t="str">
        <f t="shared" ca="1" si="150"/>
        <v/>
      </c>
      <c r="X279" s="616" t="str">
        <f t="shared" ca="1" si="150"/>
        <v/>
      </c>
      <c r="Y279" s="616" t="str">
        <f t="shared" ca="1" si="150"/>
        <v/>
      </c>
      <c r="Z279" s="616" t="str">
        <f t="shared" ca="1" si="150"/>
        <v/>
      </c>
      <c r="AA279" s="616" t="str">
        <f t="shared" ca="1" si="150"/>
        <v/>
      </c>
      <c r="AB279" s="616" t="str">
        <f t="shared" ca="1" si="150"/>
        <v/>
      </c>
      <c r="AC279" s="616" t="str">
        <f t="shared" ca="1" si="150"/>
        <v/>
      </c>
      <c r="AD279" s="616" t="str">
        <f t="shared" ca="1" si="150"/>
        <v/>
      </c>
      <c r="AE279" s="616" t="str">
        <f t="shared" ca="1" si="150"/>
        <v/>
      </c>
      <c r="AF279" s="616" t="str">
        <f t="shared" ca="1" si="150"/>
        <v/>
      </c>
      <c r="AG279" s="616" t="str">
        <f t="shared" ca="1" si="150"/>
        <v/>
      </c>
      <c r="AH279" s="616" t="str">
        <f t="shared" ca="1" si="150"/>
        <v/>
      </c>
      <c r="AI279" s="616" t="str">
        <f t="shared" ca="1" si="150"/>
        <v/>
      </c>
      <c r="AJ279" s="616" t="str">
        <f t="shared" ca="1" si="150"/>
        <v/>
      </c>
      <c r="AK279" s="616" t="str">
        <f t="shared" ref="AK279:BB279" ca="1" si="151">IFERROR(OFFSET(貼付け_2026実績,$D279,AK277),"")&amp;""</f>
        <v/>
      </c>
      <c r="AL279" s="616" t="str">
        <f t="shared" ca="1" si="151"/>
        <v/>
      </c>
      <c r="AM279" s="616" t="str">
        <f t="shared" ca="1" si="151"/>
        <v/>
      </c>
      <c r="AN279" s="616" t="str">
        <f t="shared" ca="1" si="151"/>
        <v/>
      </c>
      <c r="AO279" s="616" t="str">
        <f t="shared" ca="1" si="151"/>
        <v/>
      </c>
      <c r="AP279" s="616" t="str">
        <f t="shared" ca="1" si="151"/>
        <v/>
      </c>
      <c r="AQ279" s="616" t="str">
        <f t="shared" ca="1" si="151"/>
        <v/>
      </c>
      <c r="AR279" s="616" t="str">
        <f t="shared" ca="1" si="151"/>
        <v/>
      </c>
      <c r="AS279" s="616" t="str">
        <f t="shared" ca="1" si="151"/>
        <v/>
      </c>
      <c r="AT279" s="616" t="str">
        <f t="shared" ca="1" si="151"/>
        <v/>
      </c>
      <c r="AU279" s="616" t="str">
        <f t="shared" ca="1" si="151"/>
        <v/>
      </c>
      <c r="AV279" s="616" t="str">
        <f t="shared" ca="1" si="151"/>
        <v/>
      </c>
      <c r="AW279" s="616" t="str">
        <f t="shared" ca="1" si="151"/>
        <v/>
      </c>
      <c r="AX279" s="616" t="str">
        <f t="shared" ca="1" si="151"/>
        <v/>
      </c>
      <c r="AY279" s="616" t="str">
        <f t="shared" ca="1" si="151"/>
        <v/>
      </c>
      <c r="AZ279" s="616" t="str">
        <f t="shared" ca="1" si="151"/>
        <v/>
      </c>
      <c r="BA279" s="616" t="str">
        <f t="shared" ca="1" si="151"/>
        <v/>
      </c>
      <c r="BB279" s="653" t="str">
        <f t="shared" ca="1" si="151"/>
        <v/>
      </c>
      <c r="IE279" s="579"/>
      <c r="IF279" s="579"/>
      <c r="IG279" s="579"/>
      <c r="IH279" s="579"/>
    </row>
    <row r="280" spans="1:242" s="164" customFormat="1" ht="20.100000000000001" hidden="1" customHeight="1">
      <c r="A280" s="569">
        <v>34</v>
      </c>
      <c r="B280" s="1052"/>
      <c r="C280" s="614" t="s">
        <v>679</v>
      </c>
      <c r="D280" s="615">
        <v>6</v>
      </c>
      <c r="E280" s="737" t="str">
        <f t="shared" ref="E280:AJ280" ca="1" si="152">IFERROR(OFFSET(A1_集計2026,$D280,E277),"")</f>
        <v/>
      </c>
      <c r="F280" s="616" t="str">
        <f t="shared" ca="1" si="152"/>
        <v/>
      </c>
      <c r="G280" s="616" t="str">
        <f t="shared" ca="1" si="152"/>
        <v/>
      </c>
      <c r="H280" s="616" t="str">
        <f t="shared" ca="1" si="152"/>
        <v/>
      </c>
      <c r="I280" s="616" t="str">
        <f t="shared" ca="1" si="152"/>
        <v/>
      </c>
      <c r="J280" s="616" t="str">
        <f t="shared" ca="1" si="152"/>
        <v/>
      </c>
      <c r="K280" s="616" t="str">
        <f t="shared" ca="1" si="152"/>
        <v/>
      </c>
      <c r="L280" s="616" t="str">
        <f t="shared" ca="1" si="152"/>
        <v/>
      </c>
      <c r="M280" s="616" t="str">
        <f t="shared" ca="1" si="152"/>
        <v/>
      </c>
      <c r="N280" s="616" t="str">
        <f t="shared" ca="1" si="152"/>
        <v/>
      </c>
      <c r="O280" s="616" t="str">
        <f ca="1">IFERROR(OFFSET(A1_集計2026,$D280,O277),"")</f>
        <v/>
      </c>
      <c r="P280" s="616" t="str">
        <f t="shared" ca="1" si="152"/>
        <v/>
      </c>
      <c r="Q280" s="616" t="str">
        <f t="shared" ca="1" si="152"/>
        <v/>
      </c>
      <c r="R280" s="616" t="str">
        <f t="shared" ca="1" si="152"/>
        <v/>
      </c>
      <c r="S280" s="616" t="str">
        <f t="shared" ca="1" si="152"/>
        <v/>
      </c>
      <c r="T280" s="616" t="str">
        <f t="shared" ca="1" si="152"/>
        <v/>
      </c>
      <c r="U280" s="616" t="str">
        <f t="shared" ca="1" si="152"/>
        <v/>
      </c>
      <c r="V280" s="616" t="str">
        <f t="shared" ca="1" si="152"/>
        <v/>
      </c>
      <c r="W280" s="616" t="str">
        <f t="shared" ca="1" si="152"/>
        <v/>
      </c>
      <c r="X280" s="616" t="str">
        <f t="shared" ca="1" si="152"/>
        <v/>
      </c>
      <c r="Y280" s="616" t="str">
        <f t="shared" ca="1" si="152"/>
        <v/>
      </c>
      <c r="Z280" s="616" t="str">
        <f t="shared" ca="1" si="152"/>
        <v/>
      </c>
      <c r="AA280" s="616" t="str">
        <f t="shared" ca="1" si="152"/>
        <v/>
      </c>
      <c r="AB280" s="616" t="str">
        <f t="shared" ca="1" si="152"/>
        <v/>
      </c>
      <c r="AC280" s="616" t="str">
        <f t="shared" ca="1" si="152"/>
        <v/>
      </c>
      <c r="AD280" s="616" t="str">
        <f t="shared" ca="1" si="152"/>
        <v/>
      </c>
      <c r="AE280" s="616" t="str">
        <f t="shared" ca="1" si="152"/>
        <v/>
      </c>
      <c r="AF280" s="616" t="str">
        <f t="shared" ca="1" si="152"/>
        <v/>
      </c>
      <c r="AG280" s="616" t="str">
        <f t="shared" ca="1" si="152"/>
        <v/>
      </c>
      <c r="AH280" s="616" t="str">
        <f t="shared" ca="1" si="152"/>
        <v/>
      </c>
      <c r="AI280" s="616" t="str">
        <f t="shared" ca="1" si="152"/>
        <v/>
      </c>
      <c r="AJ280" s="616" t="str">
        <f t="shared" ca="1" si="152"/>
        <v/>
      </c>
      <c r="AK280" s="616" t="str">
        <f t="shared" ref="AK280:BB280" ca="1" si="153">IFERROR(OFFSET(A1_集計2026,$D280,AK277),"")</f>
        <v/>
      </c>
      <c r="AL280" s="616" t="str">
        <f t="shared" ca="1" si="153"/>
        <v/>
      </c>
      <c r="AM280" s="616" t="str">
        <f t="shared" ca="1" si="153"/>
        <v/>
      </c>
      <c r="AN280" s="616" t="str">
        <f t="shared" ca="1" si="153"/>
        <v/>
      </c>
      <c r="AO280" s="616" t="str">
        <f t="shared" ca="1" si="153"/>
        <v/>
      </c>
      <c r="AP280" s="616" t="str">
        <f t="shared" ca="1" si="153"/>
        <v/>
      </c>
      <c r="AQ280" s="616" t="str">
        <f t="shared" ca="1" si="153"/>
        <v/>
      </c>
      <c r="AR280" s="616" t="str">
        <f t="shared" ca="1" si="153"/>
        <v/>
      </c>
      <c r="AS280" s="616" t="str">
        <f t="shared" ca="1" si="153"/>
        <v/>
      </c>
      <c r="AT280" s="616" t="str">
        <f t="shared" ca="1" si="153"/>
        <v/>
      </c>
      <c r="AU280" s="616" t="str">
        <f t="shared" ca="1" si="153"/>
        <v/>
      </c>
      <c r="AV280" s="616" t="str">
        <f t="shared" ca="1" si="153"/>
        <v/>
      </c>
      <c r="AW280" s="616" t="str">
        <f t="shared" ca="1" si="153"/>
        <v/>
      </c>
      <c r="AX280" s="616" t="str">
        <f t="shared" ca="1" si="153"/>
        <v/>
      </c>
      <c r="AY280" s="616" t="str">
        <f t="shared" ca="1" si="153"/>
        <v/>
      </c>
      <c r="AZ280" s="616" t="str">
        <f t="shared" ca="1" si="153"/>
        <v/>
      </c>
      <c r="BA280" s="587" t="str">
        <f t="shared" ca="1" si="153"/>
        <v/>
      </c>
      <c r="BB280" s="653" t="str">
        <f t="shared" ca="1" si="153"/>
        <v/>
      </c>
      <c r="IE280" s="579"/>
      <c r="IF280" s="579"/>
      <c r="IG280" s="579"/>
      <c r="IH280" s="579"/>
    </row>
    <row r="281" spans="1:242" s="164" customFormat="1" ht="20.100000000000001" hidden="1" customHeight="1">
      <c r="A281" s="569">
        <v>35</v>
      </c>
      <c r="B281" s="1052"/>
      <c r="C281" s="614" t="s">
        <v>680</v>
      </c>
      <c r="D281" s="615">
        <v>101</v>
      </c>
      <c r="E281" s="737" t="str">
        <f t="shared" ref="E281:AJ281" ca="1" si="154">IFERROR(OFFSET(貼付け_2026実績,$D281,E277),"")</f>
        <v/>
      </c>
      <c r="F281" s="616" t="str">
        <f t="shared" ca="1" si="154"/>
        <v/>
      </c>
      <c r="G281" s="616" t="str">
        <f t="shared" ca="1" si="154"/>
        <v/>
      </c>
      <c r="H281" s="616" t="str">
        <f t="shared" ca="1" si="154"/>
        <v/>
      </c>
      <c r="I281" s="616" t="str">
        <f t="shared" ca="1" si="154"/>
        <v/>
      </c>
      <c r="J281" s="616" t="str">
        <f t="shared" ca="1" si="154"/>
        <v/>
      </c>
      <c r="K281" s="616" t="str">
        <f t="shared" ca="1" si="154"/>
        <v/>
      </c>
      <c r="L281" s="616" t="str">
        <f t="shared" ca="1" si="154"/>
        <v/>
      </c>
      <c r="M281" s="616" t="str">
        <f t="shared" ca="1" si="154"/>
        <v/>
      </c>
      <c r="N281" s="616" t="str">
        <f t="shared" ca="1" si="154"/>
        <v/>
      </c>
      <c r="O281" s="616" t="str">
        <f ca="1">IFERROR(OFFSET(貼付け_2026実績,$D281,O277),"")</f>
        <v/>
      </c>
      <c r="P281" s="616" t="str">
        <f t="shared" ca="1" si="154"/>
        <v/>
      </c>
      <c r="Q281" s="616" t="str">
        <f t="shared" ca="1" si="154"/>
        <v/>
      </c>
      <c r="R281" s="616" t="str">
        <f t="shared" ca="1" si="154"/>
        <v/>
      </c>
      <c r="S281" s="616" t="str">
        <f t="shared" ca="1" si="154"/>
        <v/>
      </c>
      <c r="T281" s="616" t="str">
        <f t="shared" ca="1" si="154"/>
        <v/>
      </c>
      <c r="U281" s="616" t="str">
        <f t="shared" ca="1" si="154"/>
        <v/>
      </c>
      <c r="V281" s="616" t="str">
        <f t="shared" ca="1" si="154"/>
        <v/>
      </c>
      <c r="W281" s="616" t="str">
        <f t="shared" ca="1" si="154"/>
        <v/>
      </c>
      <c r="X281" s="616" t="str">
        <f t="shared" ca="1" si="154"/>
        <v/>
      </c>
      <c r="Y281" s="616" t="str">
        <f t="shared" ca="1" si="154"/>
        <v/>
      </c>
      <c r="Z281" s="616" t="str">
        <f t="shared" ca="1" si="154"/>
        <v/>
      </c>
      <c r="AA281" s="616" t="str">
        <f t="shared" ca="1" si="154"/>
        <v/>
      </c>
      <c r="AB281" s="616" t="str">
        <f t="shared" ca="1" si="154"/>
        <v/>
      </c>
      <c r="AC281" s="616" t="str">
        <f t="shared" ca="1" si="154"/>
        <v/>
      </c>
      <c r="AD281" s="616" t="str">
        <f t="shared" ca="1" si="154"/>
        <v/>
      </c>
      <c r="AE281" s="616" t="str">
        <f t="shared" ca="1" si="154"/>
        <v/>
      </c>
      <c r="AF281" s="616" t="str">
        <f t="shared" ca="1" si="154"/>
        <v/>
      </c>
      <c r="AG281" s="616" t="str">
        <f t="shared" ca="1" si="154"/>
        <v/>
      </c>
      <c r="AH281" s="616" t="str">
        <f t="shared" ca="1" si="154"/>
        <v/>
      </c>
      <c r="AI281" s="616" t="str">
        <f t="shared" ca="1" si="154"/>
        <v/>
      </c>
      <c r="AJ281" s="616" t="str">
        <f t="shared" ca="1" si="154"/>
        <v/>
      </c>
      <c r="AK281" s="616" t="str">
        <f t="shared" ref="AK281:BB281" ca="1" si="155">IFERROR(OFFSET(貼付け_2026実績,$D281,AK277),"")</f>
        <v/>
      </c>
      <c r="AL281" s="616" t="str">
        <f t="shared" ca="1" si="155"/>
        <v/>
      </c>
      <c r="AM281" s="616" t="str">
        <f t="shared" ca="1" si="155"/>
        <v/>
      </c>
      <c r="AN281" s="616" t="str">
        <f t="shared" ca="1" si="155"/>
        <v/>
      </c>
      <c r="AO281" s="616" t="str">
        <f t="shared" ca="1" si="155"/>
        <v/>
      </c>
      <c r="AP281" s="616" t="str">
        <f t="shared" ca="1" si="155"/>
        <v/>
      </c>
      <c r="AQ281" s="616" t="str">
        <f t="shared" ca="1" si="155"/>
        <v/>
      </c>
      <c r="AR281" s="616" t="str">
        <f t="shared" ca="1" si="155"/>
        <v/>
      </c>
      <c r="AS281" s="616" t="str">
        <f t="shared" ca="1" si="155"/>
        <v/>
      </c>
      <c r="AT281" s="616" t="str">
        <f t="shared" ca="1" si="155"/>
        <v/>
      </c>
      <c r="AU281" s="616" t="str">
        <f t="shared" ca="1" si="155"/>
        <v/>
      </c>
      <c r="AV281" s="616" t="str">
        <f t="shared" ca="1" si="155"/>
        <v/>
      </c>
      <c r="AW281" s="616" t="str">
        <f t="shared" ca="1" si="155"/>
        <v/>
      </c>
      <c r="AX281" s="616" t="str">
        <f t="shared" ca="1" si="155"/>
        <v/>
      </c>
      <c r="AY281" s="616" t="str">
        <f t="shared" ca="1" si="155"/>
        <v/>
      </c>
      <c r="AZ281" s="616" t="str">
        <f t="shared" ca="1" si="155"/>
        <v/>
      </c>
      <c r="BA281" s="587" t="str">
        <f t="shared" ca="1" si="155"/>
        <v/>
      </c>
      <c r="BB281" s="653" t="str">
        <f t="shared" ca="1" si="155"/>
        <v/>
      </c>
      <c r="IE281" s="579"/>
      <c r="IF281" s="579"/>
      <c r="IG281" s="579"/>
      <c r="IH281" s="579"/>
    </row>
    <row r="282" spans="1:242" s="164" customFormat="1" ht="20.100000000000001" hidden="1" customHeight="1">
      <c r="A282" s="569">
        <v>36</v>
      </c>
      <c r="B282" s="1052"/>
      <c r="C282" s="614" t="s">
        <v>681</v>
      </c>
      <c r="D282" s="615"/>
      <c r="E282" s="737" t="str">
        <f ca="1">IFERROR(E280/E281,"")</f>
        <v/>
      </c>
      <c r="F282" s="616" t="str">
        <f t="shared" ref="F282:BB282" ca="1" si="156">IFERROR(F280/F281,"")</f>
        <v/>
      </c>
      <c r="G282" s="616" t="str">
        <f t="shared" ca="1" si="156"/>
        <v/>
      </c>
      <c r="H282" s="616" t="str">
        <f t="shared" ca="1" si="156"/>
        <v/>
      </c>
      <c r="I282" s="616" t="str">
        <f t="shared" ca="1" si="156"/>
        <v/>
      </c>
      <c r="J282" s="616" t="str">
        <f t="shared" ca="1" si="156"/>
        <v/>
      </c>
      <c r="K282" s="616" t="str">
        <f t="shared" ca="1" si="156"/>
        <v/>
      </c>
      <c r="L282" s="616" t="str">
        <f t="shared" ca="1" si="156"/>
        <v/>
      </c>
      <c r="M282" s="616" t="str">
        <f t="shared" ca="1" si="156"/>
        <v/>
      </c>
      <c r="N282" s="616" t="str">
        <f t="shared" ca="1" si="156"/>
        <v/>
      </c>
      <c r="O282" s="616" t="str">
        <f t="shared" ca="1" si="156"/>
        <v/>
      </c>
      <c r="P282" s="616" t="str">
        <f t="shared" ca="1" si="156"/>
        <v/>
      </c>
      <c r="Q282" s="616" t="str">
        <f t="shared" ca="1" si="156"/>
        <v/>
      </c>
      <c r="R282" s="616" t="str">
        <f t="shared" ca="1" si="156"/>
        <v/>
      </c>
      <c r="S282" s="616" t="str">
        <f t="shared" ca="1" si="156"/>
        <v/>
      </c>
      <c r="T282" s="616" t="str">
        <f t="shared" ca="1" si="156"/>
        <v/>
      </c>
      <c r="U282" s="616" t="str">
        <f t="shared" ca="1" si="156"/>
        <v/>
      </c>
      <c r="V282" s="616" t="str">
        <f t="shared" ca="1" si="156"/>
        <v/>
      </c>
      <c r="W282" s="616" t="str">
        <f t="shared" ca="1" si="156"/>
        <v/>
      </c>
      <c r="X282" s="616" t="str">
        <f t="shared" ca="1" si="156"/>
        <v/>
      </c>
      <c r="Y282" s="616" t="str">
        <f t="shared" ca="1" si="156"/>
        <v/>
      </c>
      <c r="Z282" s="616" t="str">
        <f t="shared" ca="1" si="156"/>
        <v/>
      </c>
      <c r="AA282" s="616" t="str">
        <f t="shared" ca="1" si="156"/>
        <v/>
      </c>
      <c r="AB282" s="616" t="str">
        <f t="shared" ca="1" si="156"/>
        <v/>
      </c>
      <c r="AC282" s="616" t="str">
        <f t="shared" ca="1" si="156"/>
        <v/>
      </c>
      <c r="AD282" s="616" t="str">
        <f t="shared" ca="1" si="156"/>
        <v/>
      </c>
      <c r="AE282" s="616" t="str">
        <f t="shared" ca="1" si="156"/>
        <v/>
      </c>
      <c r="AF282" s="616" t="str">
        <f t="shared" ca="1" si="156"/>
        <v/>
      </c>
      <c r="AG282" s="616" t="str">
        <f t="shared" ca="1" si="156"/>
        <v/>
      </c>
      <c r="AH282" s="616" t="str">
        <f t="shared" ca="1" si="156"/>
        <v/>
      </c>
      <c r="AI282" s="616" t="str">
        <f t="shared" ca="1" si="156"/>
        <v/>
      </c>
      <c r="AJ282" s="616" t="str">
        <f t="shared" ca="1" si="156"/>
        <v/>
      </c>
      <c r="AK282" s="616" t="str">
        <f t="shared" ca="1" si="156"/>
        <v/>
      </c>
      <c r="AL282" s="616" t="str">
        <f t="shared" ca="1" si="156"/>
        <v/>
      </c>
      <c r="AM282" s="616" t="str">
        <f t="shared" ca="1" si="156"/>
        <v/>
      </c>
      <c r="AN282" s="616" t="str">
        <f t="shared" ca="1" si="156"/>
        <v/>
      </c>
      <c r="AO282" s="616" t="str">
        <f t="shared" ca="1" si="156"/>
        <v/>
      </c>
      <c r="AP282" s="616" t="str">
        <f t="shared" ca="1" si="156"/>
        <v/>
      </c>
      <c r="AQ282" s="616" t="str">
        <f t="shared" ca="1" si="156"/>
        <v/>
      </c>
      <c r="AR282" s="616" t="str">
        <f t="shared" ca="1" si="156"/>
        <v/>
      </c>
      <c r="AS282" s="616" t="str">
        <f t="shared" ca="1" si="156"/>
        <v/>
      </c>
      <c r="AT282" s="616" t="str">
        <f t="shared" ca="1" si="156"/>
        <v/>
      </c>
      <c r="AU282" s="616" t="str">
        <f t="shared" ca="1" si="156"/>
        <v/>
      </c>
      <c r="AV282" s="616" t="str">
        <f t="shared" ca="1" si="156"/>
        <v/>
      </c>
      <c r="AW282" s="616" t="str">
        <f t="shared" ca="1" si="156"/>
        <v/>
      </c>
      <c r="AX282" s="616" t="str">
        <f t="shared" ca="1" si="156"/>
        <v/>
      </c>
      <c r="AY282" s="616" t="str">
        <f t="shared" ca="1" si="156"/>
        <v/>
      </c>
      <c r="AZ282" s="616" t="str">
        <f t="shared" ca="1" si="156"/>
        <v/>
      </c>
      <c r="BA282" s="587" t="str">
        <f t="shared" ca="1" si="156"/>
        <v/>
      </c>
      <c r="BB282" s="653" t="str">
        <f t="shared" ca="1" si="156"/>
        <v/>
      </c>
      <c r="IE282" s="579"/>
      <c r="IF282" s="579"/>
      <c r="IG282" s="579"/>
      <c r="IH282" s="579"/>
    </row>
    <row r="283" spans="1:242" ht="19.5" hidden="1" customHeight="1" thickBot="1">
      <c r="A283" s="569">
        <v>37</v>
      </c>
      <c r="B283" s="1053"/>
      <c r="C283" s="617" t="s">
        <v>682</v>
      </c>
      <c r="D283" s="618">
        <v>36</v>
      </c>
      <c r="E283" s="738" t="str">
        <f t="shared" ref="E283:AJ283" ca="1" si="157">IFERROR(1-(E282/OFFSET(A1_原単位2025,$D283,E$247+2)),"")</f>
        <v/>
      </c>
      <c r="F283" s="619" t="str">
        <f t="shared" ca="1" si="157"/>
        <v/>
      </c>
      <c r="G283" s="619" t="str">
        <f t="shared" ca="1" si="157"/>
        <v/>
      </c>
      <c r="H283" s="619" t="str">
        <f t="shared" ca="1" si="157"/>
        <v/>
      </c>
      <c r="I283" s="619" t="str">
        <f t="shared" ca="1" si="157"/>
        <v/>
      </c>
      <c r="J283" s="619" t="str">
        <f t="shared" ca="1" si="157"/>
        <v/>
      </c>
      <c r="K283" s="619" t="str">
        <f t="shared" ca="1" si="157"/>
        <v/>
      </c>
      <c r="L283" s="619" t="str">
        <f t="shared" ca="1" si="157"/>
        <v/>
      </c>
      <c r="M283" s="619" t="str">
        <f t="shared" ca="1" si="157"/>
        <v/>
      </c>
      <c r="N283" s="619" t="str">
        <f t="shared" ca="1" si="157"/>
        <v/>
      </c>
      <c r="O283" s="619" t="str">
        <f t="shared" ca="1" si="157"/>
        <v/>
      </c>
      <c r="P283" s="619" t="str">
        <f t="shared" ca="1" si="157"/>
        <v/>
      </c>
      <c r="Q283" s="619" t="str">
        <f t="shared" ca="1" si="157"/>
        <v/>
      </c>
      <c r="R283" s="619" t="str">
        <f t="shared" ca="1" si="157"/>
        <v/>
      </c>
      <c r="S283" s="619" t="str">
        <f t="shared" ca="1" si="157"/>
        <v/>
      </c>
      <c r="T283" s="619" t="str">
        <f t="shared" ca="1" si="157"/>
        <v/>
      </c>
      <c r="U283" s="619" t="str">
        <f t="shared" ca="1" si="157"/>
        <v/>
      </c>
      <c r="V283" s="619" t="str">
        <f t="shared" ca="1" si="157"/>
        <v/>
      </c>
      <c r="W283" s="619" t="str">
        <f t="shared" ca="1" si="157"/>
        <v/>
      </c>
      <c r="X283" s="619" t="str">
        <f t="shared" ca="1" si="157"/>
        <v/>
      </c>
      <c r="Y283" s="619" t="str">
        <f t="shared" ca="1" si="157"/>
        <v/>
      </c>
      <c r="Z283" s="619" t="str">
        <f t="shared" ca="1" si="157"/>
        <v/>
      </c>
      <c r="AA283" s="619" t="str">
        <f t="shared" ca="1" si="157"/>
        <v/>
      </c>
      <c r="AB283" s="619" t="str">
        <f t="shared" ca="1" si="157"/>
        <v/>
      </c>
      <c r="AC283" s="619" t="str">
        <f t="shared" ca="1" si="157"/>
        <v/>
      </c>
      <c r="AD283" s="619" t="str">
        <f t="shared" ca="1" si="157"/>
        <v/>
      </c>
      <c r="AE283" s="619" t="str">
        <f t="shared" ca="1" si="157"/>
        <v/>
      </c>
      <c r="AF283" s="619" t="str">
        <f t="shared" ca="1" si="157"/>
        <v/>
      </c>
      <c r="AG283" s="619" t="str">
        <f t="shared" ca="1" si="157"/>
        <v/>
      </c>
      <c r="AH283" s="619" t="str">
        <f t="shared" ca="1" si="157"/>
        <v/>
      </c>
      <c r="AI283" s="619" t="str">
        <f t="shared" ca="1" si="157"/>
        <v/>
      </c>
      <c r="AJ283" s="619" t="str">
        <f t="shared" ca="1" si="157"/>
        <v/>
      </c>
      <c r="AK283" s="619" t="str">
        <f t="shared" ref="AK283:BB283" ca="1" si="158">IFERROR(1-(AK282/OFFSET(A1_原単位2025,$D283,AK$247+2)),"")</f>
        <v/>
      </c>
      <c r="AL283" s="619" t="str">
        <f t="shared" ca="1" si="158"/>
        <v/>
      </c>
      <c r="AM283" s="619" t="str">
        <f t="shared" ca="1" si="158"/>
        <v/>
      </c>
      <c r="AN283" s="619" t="str">
        <f t="shared" ca="1" si="158"/>
        <v/>
      </c>
      <c r="AO283" s="619" t="str">
        <f t="shared" ca="1" si="158"/>
        <v/>
      </c>
      <c r="AP283" s="619" t="str">
        <f t="shared" ca="1" si="158"/>
        <v/>
      </c>
      <c r="AQ283" s="619" t="str">
        <f t="shared" ca="1" si="158"/>
        <v/>
      </c>
      <c r="AR283" s="619" t="str">
        <f t="shared" ca="1" si="158"/>
        <v/>
      </c>
      <c r="AS283" s="619" t="str">
        <f t="shared" ca="1" si="158"/>
        <v/>
      </c>
      <c r="AT283" s="619" t="str">
        <f t="shared" ca="1" si="158"/>
        <v/>
      </c>
      <c r="AU283" s="619" t="str">
        <f t="shared" ca="1" si="158"/>
        <v/>
      </c>
      <c r="AV283" s="619" t="str">
        <f t="shared" ca="1" si="158"/>
        <v/>
      </c>
      <c r="AW283" s="619" t="str">
        <f t="shared" ca="1" si="158"/>
        <v/>
      </c>
      <c r="AX283" s="619" t="str">
        <f t="shared" ca="1" si="158"/>
        <v/>
      </c>
      <c r="AY283" s="619" t="str">
        <f t="shared" ca="1" si="158"/>
        <v/>
      </c>
      <c r="AZ283" s="619" t="str">
        <f t="shared" ca="1" si="158"/>
        <v/>
      </c>
      <c r="BA283" s="619" t="str">
        <f t="shared" ca="1" si="158"/>
        <v/>
      </c>
      <c r="BB283" s="739" t="str">
        <f t="shared" ca="1" si="158"/>
        <v/>
      </c>
      <c r="BC283" s="164"/>
      <c r="BD283" s="164"/>
      <c r="BE283" s="164"/>
      <c r="BF283" s="164"/>
      <c r="BG283" s="164"/>
      <c r="BH283" s="164"/>
      <c r="BI283" s="164"/>
      <c r="BJ283" s="164"/>
      <c r="BK283" s="164"/>
      <c r="BL283" s="164"/>
      <c r="BM283" s="164"/>
      <c r="BN283" s="164"/>
      <c r="BO283" s="164"/>
      <c r="BP283" s="164"/>
      <c r="BQ283" s="164"/>
      <c r="BR283" s="164"/>
      <c r="BS283" s="164"/>
      <c r="BT283" s="164"/>
      <c r="BU283" s="164"/>
      <c r="BV283" s="164"/>
      <c r="BW283" s="164"/>
      <c r="BX283" s="164"/>
      <c r="BY283" s="164"/>
      <c r="BZ283" s="164"/>
      <c r="CA283" s="164"/>
      <c r="CB283" s="164"/>
      <c r="CC283" s="164"/>
      <c r="CD283" s="164"/>
      <c r="CE283" s="164"/>
      <c r="CF283" s="164"/>
      <c r="CG283" s="164"/>
      <c r="CH283" s="164"/>
      <c r="CI283" s="164"/>
      <c r="CJ283" s="164"/>
      <c r="CK283" s="164"/>
      <c r="CL283" s="164"/>
      <c r="CM283" s="164"/>
      <c r="CN283" s="164"/>
      <c r="CO283" s="164"/>
      <c r="CP283" s="164"/>
      <c r="CQ283" s="164"/>
      <c r="CR283" s="164"/>
      <c r="CS283" s="164"/>
      <c r="CT283" s="164"/>
      <c r="CU283" s="164"/>
      <c r="CV283" s="164"/>
      <c r="CW283" s="164"/>
      <c r="CX283" s="164"/>
      <c r="CY283" s="164"/>
      <c r="CZ283" s="164"/>
      <c r="DA283" s="164"/>
      <c r="DB283" s="164"/>
      <c r="DC283" s="164"/>
      <c r="DD283" s="164"/>
      <c r="DE283" s="164"/>
      <c r="DF283" s="164"/>
      <c r="DG283" s="164"/>
      <c r="DH283" s="164"/>
      <c r="DI283" s="164"/>
      <c r="DJ283" s="164"/>
      <c r="DK283" s="164"/>
      <c r="DL283" s="164"/>
      <c r="DM283" s="164"/>
      <c r="DN283" s="164"/>
      <c r="DO283" s="164"/>
      <c r="DP283" s="164"/>
      <c r="DQ283" s="164"/>
      <c r="DR283" s="164"/>
      <c r="DS283" s="164"/>
      <c r="DT283" s="164"/>
      <c r="DU283" s="164"/>
      <c r="DV283" s="164"/>
      <c r="DW283" s="164"/>
      <c r="DX283" s="164"/>
      <c r="DY283" s="164"/>
      <c r="DZ283" s="164"/>
      <c r="EA283" s="164"/>
      <c r="EB283" s="164"/>
      <c r="EC283" s="164"/>
      <c r="ED283" s="164"/>
      <c r="EE283" s="164"/>
      <c r="EF283" s="164"/>
      <c r="EG283" s="164"/>
      <c r="EH283" s="164"/>
      <c r="EI283" s="164"/>
      <c r="EJ283" s="164"/>
      <c r="EK283" s="164"/>
      <c r="EL283" s="164"/>
      <c r="EM283" s="164"/>
      <c r="EN283" s="164"/>
      <c r="EO283" s="164"/>
      <c r="EP283" s="164"/>
      <c r="EQ283" s="164"/>
      <c r="ER283" s="164"/>
      <c r="ES283" s="164"/>
      <c r="ET283" s="164"/>
      <c r="EU283" s="164"/>
      <c r="EV283" s="164"/>
      <c r="EW283" s="164"/>
      <c r="EX283" s="164"/>
      <c r="EY283" s="164"/>
      <c r="EZ283" s="164"/>
      <c r="FA283" s="164"/>
      <c r="FB283" s="164"/>
      <c r="FC283" s="164"/>
      <c r="FD283" s="164"/>
      <c r="FE283" s="164"/>
      <c r="FF283" s="164"/>
      <c r="FG283" s="164"/>
      <c r="FH283" s="164"/>
      <c r="FI283" s="164"/>
      <c r="FJ283" s="164"/>
      <c r="FK283" s="164"/>
      <c r="FL283" s="164"/>
      <c r="FM283" s="164"/>
      <c r="FN283" s="164"/>
      <c r="FO283" s="164"/>
      <c r="FP283" s="164"/>
      <c r="FQ283" s="164"/>
      <c r="FR283" s="164"/>
      <c r="FS283" s="164"/>
      <c r="FT283" s="164"/>
      <c r="FU283" s="164"/>
      <c r="FV283" s="164"/>
      <c r="FW283" s="164"/>
      <c r="FX283" s="164"/>
      <c r="FY283" s="164"/>
      <c r="FZ283" s="164"/>
      <c r="GA283" s="164"/>
      <c r="GB283" s="164"/>
      <c r="GC283" s="164"/>
      <c r="GD283" s="164"/>
      <c r="GE283" s="164"/>
      <c r="GF283" s="164"/>
      <c r="GG283" s="164"/>
      <c r="GH283" s="164"/>
      <c r="GI283" s="164"/>
      <c r="GJ283" s="164"/>
      <c r="GK283" s="164"/>
      <c r="GL283" s="164"/>
      <c r="GM283" s="164"/>
      <c r="GN283" s="164"/>
      <c r="GO283" s="164"/>
      <c r="GP283" s="164"/>
      <c r="GQ283" s="164"/>
      <c r="GR283" s="164"/>
      <c r="GS283" s="164"/>
      <c r="GT283" s="164"/>
      <c r="GU283" s="164"/>
      <c r="GV283" s="164"/>
      <c r="GW283" s="164"/>
      <c r="GX283" s="164"/>
      <c r="GY283" s="164"/>
      <c r="GZ283" s="164"/>
      <c r="HA283" s="164"/>
      <c r="HB283" s="164"/>
      <c r="HC283" s="164"/>
      <c r="HD283" s="164"/>
      <c r="HE283" s="164"/>
      <c r="HF283" s="164"/>
      <c r="HG283" s="164"/>
      <c r="HH283" s="164"/>
      <c r="HI283" s="164"/>
      <c r="HJ283" s="164"/>
      <c r="HK283" s="164"/>
    </row>
    <row r="284" spans="1:242" s="569" customFormat="1" ht="18.75" hidden="1" customHeight="1">
      <c r="A284" s="569">
        <v>38</v>
      </c>
      <c r="B284" s="1051" t="s">
        <v>684</v>
      </c>
      <c r="C284" s="596" t="s">
        <v>673</v>
      </c>
      <c r="D284" s="597">
        <v>2026</v>
      </c>
      <c r="E284" s="733">
        <f t="shared" ref="E284:BB284" ca="1" si="159">IFERROR(MATCH($B284&amp;E$247,OFFSET(INDIRECT("貼付け_"&amp;$D284&amp;"実績"),4,0,1,205),0)-1,"")</f>
        <v>137</v>
      </c>
      <c r="F284" s="598">
        <f t="shared" ca="1" si="159"/>
        <v>141</v>
      </c>
      <c r="G284" s="598">
        <f t="shared" ca="1" si="159"/>
        <v>145</v>
      </c>
      <c r="H284" s="598" t="str">
        <f t="shared" ca="1" si="159"/>
        <v/>
      </c>
      <c r="I284" s="598" t="str">
        <f t="shared" ca="1" si="159"/>
        <v/>
      </c>
      <c r="J284" s="598">
        <f t="shared" ca="1" si="159"/>
        <v>149</v>
      </c>
      <c r="K284" s="598">
        <f t="shared" ca="1" si="159"/>
        <v>153</v>
      </c>
      <c r="L284" s="598">
        <f t="shared" ca="1" si="159"/>
        <v>157</v>
      </c>
      <c r="M284" s="598">
        <f t="shared" ca="1" si="159"/>
        <v>161</v>
      </c>
      <c r="N284" s="598">
        <f t="shared" ca="1" si="159"/>
        <v>165</v>
      </c>
      <c r="O284" s="598">
        <f ca="1">IFERROR(MATCH($B284&amp;O$247,OFFSET(INDIRECT("貼付け_"&amp;$D284&amp;"実績"),4,0,1,205),0)-1,"")</f>
        <v>169</v>
      </c>
      <c r="P284" s="598">
        <f t="shared" ca="1" si="159"/>
        <v>173</v>
      </c>
      <c r="Q284" s="598">
        <f t="shared" ca="1" si="159"/>
        <v>177</v>
      </c>
      <c r="R284" s="598">
        <f t="shared" ca="1" si="159"/>
        <v>181</v>
      </c>
      <c r="S284" s="598">
        <f t="shared" ca="1" si="159"/>
        <v>185</v>
      </c>
      <c r="T284" s="598">
        <f t="shared" ca="1" si="159"/>
        <v>189</v>
      </c>
      <c r="U284" s="598">
        <f t="shared" ca="1" si="159"/>
        <v>193</v>
      </c>
      <c r="V284" s="598">
        <f t="shared" ca="1" si="159"/>
        <v>197</v>
      </c>
      <c r="W284" s="598">
        <f t="shared" ca="1" si="159"/>
        <v>201</v>
      </c>
      <c r="X284" s="598" t="str">
        <f t="shared" ca="1" si="159"/>
        <v/>
      </c>
      <c r="Y284" s="598" t="str">
        <f t="shared" ca="1" si="159"/>
        <v/>
      </c>
      <c r="Z284" s="598" t="str">
        <f t="shared" ca="1" si="159"/>
        <v/>
      </c>
      <c r="AA284" s="598" t="str">
        <f t="shared" ca="1" si="159"/>
        <v/>
      </c>
      <c r="AB284" s="598" t="str">
        <f t="shared" ca="1" si="159"/>
        <v/>
      </c>
      <c r="AC284" s="598" t="str">
        <f t="shared" ca="1" si="159"/>
        <v/>
      </c>
      <c r="AD284" s="598" t="str">
        <f t="shared" ca="1" si="159"/>
        <v/>
      </c>
      <c r="AE284" s="598" t="str">
        <f t="shared" ca="1" si="159"/>
        <v/>
      </c>
      <c r="AF284" s="598" t="str">
        <f t="shared" ca="1" si="159"/>
        <v/>
      </c>
      <c r="AG284" s="598" t="str">
        <f t="shared" ca="1" si="159"/>
        <v/>
      </c>
      <c r="AH284" s="598" t="str">
        <f t="shared" ca="1" si="159"/>
        <v/>
      </c>
      <c r="AI284" s="598" t="str">
        <f t="shared" ca="1" si="159"/>
        <v/>
      </c>
      <c r="AJ284" s="598" t="str">
        <f t="shared" ca="1" si="159"/>
        <v/>
      </c>
      <c r="AK284" s="598" t="str">
        <f t="shared" ca="1" si="159"/>
        <v/>
      </c>
      <c r="AL284" s="598" t="str">
        <f t="shared" ca="1" si="159"/>
        <v/>
      </c>
      <c r="AM284" s="598" t="str">
        <f t="shared" ca="1" si="159"/>
        <v/>
      </c>
      <c r="AN284" s="598" t="str">
        <f t="shared" ca="1" si="159"/>
        <v/>
      </c>
      <c r="AO284" s="598" t="str">
        <f t="shared" ca="1" si="159"/>
        <v/>
      </c>
      <c r="AP284" s="598" t="str">
        <f t="shared" ca="1" si="159"/>
        <v/>
      </c>
      <c r="AQ284" s="598" t="str">
        <f t="shared" ca="1" si="159"/>
        <v/>
      </c>
      <c r="AR284" s="598" t="str">
        <f t="shared" ca="1" si="159"/>
        <v/>
      </c>
      <c r="AS284" s="598" t="str">
        <f t="shared" ca="1" si="159"/>
        <v/>
      </c>
      <c r="AT284" s="598" t="str">
        <f t="shared" ca="1" si="159"/>
        <v/>
      </c>
      <c r="AU284" s="598" t="str">
        <f t="shared" ca="1" si="159"/>
        <v/>
      </c>
      <c r="AV284" s="598" t="str">
        <f t="shared" ca="1" si="159"/>
        <v/>
      </c>
      <c r="AW284" s="598" t="str">
        <f t="shared" ca="1" si="159"/>
        <v/>
      </c>
      <c r="AX284" s="598" t="str">
        <f t="shared" ca="1" si="159"/>
        <v/>
      </c>
      <c r="AY284" s="598" t="str">
        <f t="shared" ca="1" si="159"/>
        <v/>
      </c>
      <c r="AZ284" s="598" t="str">
        <f t="shared" ca="1" si="159"/>
        <v/>
      </c>
      <c r="BA284" s="598" t="str">
        <f t="shared" ca="1" si="159"/>
        <v/>
      </c>
      <c r="BB284" s="649" t="str">
        <f t="shared" ca="1" si="159"/>
        <v/>
      </c>
      <c r="BC284" s="156" t="str">
        <f>D284&amp;"年度"</f>
        <v>2026年度</v>
      </c>
      <c r="BD284" s="156">
        <v>1</v>
      </c>
      <c r="BE284" s="156">
        <v>2</v>
      </c>
      <c r="BF284" s="156">
        <v>3</v>
      </c>
      <c r="BG284" s="156">
        <v>4</v>
      </c>
      <c r="BH284" s="156">
        <v>5</v>
      </c>
      <c r="BI284" s="156">
        <v>6</v>
      </c>
      <c r="BJ284" s="156">
        <v>7</v>
      </c>
      <c r="BK284" s="156">
        <v>8</v>
      </c>
      <c r="BL284" s="156">
        <v>9</v>
      </c>
      <c r="BM284" s="156">
        <v>10</v>
      </c>
      <c r="BN284" s="156">
        <v>11</v>
      </c>
      <c r="BO284" s="156">
        <v>12</v>
      </c>
      <c r="BP284" s="156">
        <v>13</v>
      </c>
      <c r="BQ284" s="156">
        <v>14</v>
      </c>
      <c r="BR284" s="156">
        <v>15</v>
      </c>
      <c r="BS284" s="156">
        <v>16</v>
      </c>
      <c r="BT284" s="156">
        <v>17</v>
      </c>
      <c r="BU284" s="156">
        <v>18</v>
      </c>
      <c r="BV284" s="156">
        <v>19</v>
      </c>
      <c r="BW284" s="156">
        <v>20</v>
      </c>
      <c r="BX284" s="156">
        <v>21</v>
      </c>
      <c r="BY284" s="156">
        <v>22</v>
      </c>
      <c r="BZ284" s="156">
        <v>23</v>
      </c>
      <c r="CA284" s="156">
        <v>24</v>
      </c>
      <c r="CB284" s="156">
        <v>25</v>
      </c>
      <c r="CC284" s="156">
        <v>26</v>
      </c>
      <c r="CD284" s="156">
        <v>27</v>
      </c>
      <c r="CE284" s="156">
        <v>28</v>
      </c>
      <c r="CF284" s="156">
        <v>29</v>
      </c>
      <c r="CG284" s="156">
        <v>30</v>
      </c>
      <c r="CH284" s="156">
        <v>31</v>
      </c>
      <c r="CI284" s="156">
        <v>32</v>
      </c>
      <c r="CJ284" s="156">
        <v>33</v>
      </c>
      <c r="CK284" s="156">
        <v>34</v>
      </c>
      <c r="CL284" s="156">
        <v>35</v>
      </c>
      <c r="CM284" s="156">
        <v>36</v>
      </c>
      <c r="CN284" s="156">
        <v>37</v>
      </c>
      <c r="CO284" s="156">
        <v>38</v>
      </c>
      <c r="CP284" s="156">
        <v>39</v>
      </c>
      <c r="CQ284" s="156">
        <v>40</v>
      </c>
      <c r="CR284" s="156">
        <v>41</v>
      </c>
      <c r="CS284" s="156">
        <v>42</v>
      </c>
      <c r="CT284" s="156">
        <v>43</v>
      </c>
      <c r="CU284" s="156">
        <v>44</v>
      </c>
      <c r="CV284" s="156">
        <v>45</v>
      </c>
      <c r="CW284" s="156">
        <v>46</v>
      </c>
      <c r="CX284" s="156">
        <v>47</v>
      </c>
      <c r="CY284" s="156">
        <v>48</v>
      </c>
      <c r="CZ284" s="156">
        <v>49</v>
      </c>
      <c r="DA284" s="156">
        <v>50</v>
      </c>
      <c r="DB284" s="156"/>
      <c r="DC284" s="156"/>
      <c r="DD284" s="156"/>
      <c r="DE284" s="156"/>
      <c r="DF284" s="156"/>
      <c r="DG284" s="156"/>
      <c r="DH284" s="156"/>
      <c r="DI284" s="156"/>
      <c r="DJ284" s="156"/>
      <c r="DK284" s="156"/>
      <c r="DL284" s="156"/>
      <c r="DM284" s="156"/>
      <c r="DN284" s="156"/>
      <c r="DO284" s="156"/>
      <c r="DP284" s="156"/>
      <c r="DQ284" s="156"/>
      <c r="DR284" s="156"/>
      <c r="DS284" s="156"/>
      <c r="DT284" s="156"/>
      <c r="DU284" s="156"/>
      <c r="DV284" s="156"/>
      <c r="DW284" s="156"/>
      <c r="DX284" s="156"/>
      <c r="DY284" s="156"/>
      <c r="DZ284" s="156"/>
      <c r="EA284" s="156"/>
      <c r="EB284" s="156"/>
      <c r="EC284" s="156"/>
      <c r="ED284" s="156"/>
      <c r="EE284" s="156"/>
      <c r="EF284" s="156"/>
      <c r="EG284" s="156"/>
      <c r="EH284" s="156"/>
      <c r="EI284" s="156"/>
      <c r="EJ284" s="156"/>
      <c r="EK284" s="156"/>
      <c r="EL284" s="156"/>
      <c r="EM284" s="156"/>
      <c r="EN284" s="156"/>
      <c r="EO284" s="156"/>
      <c r="EP284" s="156"/>
      <c r="EQ284" s="156"/>
      <c r="ER284" s="156"/>
      <c r="ES284" s="156"/>
      <c r="ET284" s="156"/>
      <c r="EU284" s="156"/>
      <c r="EV284" s="156"/>
      <c r="EW284" s="156"/>
      <c r="EX284" s="156"/>
      <c r="EY284" s="156"/>
      <c r="EZ284" s="156"/>
      <c r="FA284" s="156"/>
      <c r="FB284" s="156"/>
      <c r="FC284" s="156"/>
      <c r="FD284" s="156"/>
      <c r="FE284" s="156"/>
      <c r="FF284" s="156"/>
      <c r="FG284" s="156"/>
      <c r="FH284" s="156"/>
      <c r="FI284" s="156"/>
      <c r="FJ284" s="156"/>
      <c r="FK284" s="156"/>
      <c r="FL284" s="156"/>
      <c r="FM284" s="156"/>
      <c r="FN284" s="156"/>
      <c r="FO284" s="156"/>
      <c r="FP284" s="156"/>
      <c r="FQ284" s="156"/>
      <c r="FR284" s="156"/>
      <c r="FS284" s="156"/>
      <c r="FT284" s="156"/>
      <c r="FU284" s="156"/>
      <c r="FV284" s="156"/>
      <c r="FW284" s="156"/>
      <c r="FX284" s="156"/>
      <c r="FY284" s="156"/>
      <c r="FZ284" s="156"/>
      <c r="GA284" s="156"/>
      <c r="GB284" s="156"/>
      <c r="GC284" s="156"/>
      <c r="GD284" s="156"/>
      <c r="GE284" s="156"/>
      <c r="GF284" s="156"/>
      <c r="GG284" s="156"/>
      <c r="GH284" s="156"/>
      <c r="GI284" s="156"/>
      <c r="GJ284" s="156"/>
      <c r="GK284" s="156"/>
      <c r="GL284" s="156"/>
      <c r="GM284" s="156"/>
      <c r="GN284" s="156"/>
      <c r="GO284" s="156"/>
      <c r="GP284" s="156"/>
      <c r="GQ284" s="156"/>
      <c r="GR284" s="156"/>
      <c r="GS284" s="156"/>
      <c r="GT284" s="156"/>
      <c r="GU284" s="156"/>
      <c r="GV284" s="156"/>
      <c r="GW284" s="156"/>
      <c r="GX284" s="156"/>
      <c r="GY284" s="156"/>
      <c r="GZ284" s="156"/>
      <c r="HA284" s="156"/>
      <c r="HB284" s="156"/>
      <c r="HC284" s="156"/>
      <c r="HD284" s="156"/>
      <c r="HE284" s="156"/>
      <c r="HF284" s="156"/>
      <c r="HG284" s="156"/>
      <c r="HH284" s="156"/>
      <c r="HI284" s="156"/>
      <c r="HJ284" s="156"/>
      <c r="HK284" s="156"/>
      <c r="IE284" s="603"/>
      <c r="IF284" s="603"/>
      <c r="IG284" s="603"/>
      <c r="IH284" s="603"/>
    </row>
    <row r="285" spans="1:242" s="569" customFormat="1" ht="19.5" hidden="1" customHeight="1">
      <c r="A285" s="569">
        <v>39</v>
      </c>
      <c r="B285" s="1052"/>
      <c r="C285" s="599" t="str">
        <f>"~"&amp;D284-1&amp;"/"&amp;D284</f>
        <v>~2025/2026</v>
      </c>
      <c r="D285" s="600" t="str">
        <f>""</f>
        <v/>
      </c>
      <c r="E285" s="734" t="str">
        <f t="shared" ref="E285:AJ285" ca="1" si="160">IF(OFFSET(A1_原単位2025,42,E$247+2)="",OFFSET(A1_原単位2025,39,E$247+2),OFFSET(A1_原単位2025,42,E$247+2))</f>
        <v/>
      </c>
      <c r="F285" s="601" t="str">
        <f t="shared" ca="1" si="160"/>
        <v/>
      </c>
      <c r="G285" s="601" t="str">
        <f t="shared" ca="1" si="160"/>
        <v/>
      </c>
      <c r="H285" s="601" t="str">
        <f t="shared" ca="1" si="160"/>
        <v/>
      </c>
      <c r="I285" s="601" t="str">
        <f t="shared" ca="1" si="160"/>
        <v/>
      </c>
      <c r="J285" s="601" t="str">
        <f t="shared" ca="1" si="160"/>
        <v/>
      </c>
      <c r="K285" s="601" t="str">
        <f t="shared" ca="1" si="160"/>
        <v/>
      </c>
      <c r="L285" s="601" t="str">
        <f t="shared" ca="1" si="160"/>
        <v/>
      </c>
      <c r="M285" s="601" t="str">
        <f t="shared" ca="1" si="160"/>
        <v/>
      </c>
      <c r="N285" s="601" t="str">
        <f t="shared" ca="1" si="160"/>
        <v/>
      </c>
      <c r="O285" s="601" t="str">
        <f ca="1">IF(OFFSET(A1_原単位2025,42,O$247+2)="",OFFSET(A1_原単位2025,39,O$247+2),OFFSET(A1_原単位2025,42,O$247+2))</f>
        <v/>
      </c>
      <c r="P285" s="601" t="str">
        <f t="shared" ca="1" si="160"/>
        <v/>
      </c>
      <c r="Q285" s="601" t="str">
        <f t="shared" ca="1" si="160"/>
        <v/>
      </c>
      <c r="R285" s="601" t="str">
        <f t="shared" ca="1" si="160"/>
        <v/>
      </c>
      <c r="S285" s="601" t="str">
        <f t="shared" ca="1" si="160"/>
        <v/>
      </c>
      <c r="T285" s="601" t="str">
        <f t="shared" ca="1" si="160"/>
        <v/>
      </c>
      <c r="U285" s="601" t="str">
        <f t="shared" ca="1" si="160"/>
        <v/>
      </c>
      <c r="V285" s="601" t="str">
        <f t="shared" ca="1" si="160"/>
        <v/>
      </c>
      <c r="W285" s="601" t="str">
        <f t="shared" ca="1" si="160"/>
        <v/>
      </c>
      <c r="X285" s="601" t="str">
        <f t="shared" ca="1" si="160"/>
        <v/>
      </c>
      <c r="Y285" s="601" t="str">
        <f t="shared" ca="1" si="160"/>
        <v/>
      </c>
      <c r="Z285" s="601" t="str">
        <f t="shared" ca="1" si="160"/>
        <v/>
      </c>
      <c r="AA285" s="601" t="str">
        <f t="shared" ca="1" si="160"/>
        <v/>
      </c>
      <c r="AB285" s="601" t="str">
        <f t="shared" ca="1" si="160"/>
        <v/>
      </c>
      <c r="AC285" s="601" t="str">
        <f t="shared" ca="1" si="160"/>
        <v/>
      </c>
      <c r="AD285" s="601" t="str">
        <f t="shared" ca="1" si="160"/>
        <v/>
      </c>
      <c r="AE285" s="601" t="str">
        <f t="shared" ca="1" si="160"/>
        <v/>
      </c>
      <c r="AF285" s="601" t="str">
        <f t="shared" ca="1" si="160"/>
        <v/>
      </c>
      <c r="AG285" s="601" t="str">
        <f t="shared" ca="1" si="160"/>
        <v/>
      </c>
      <c r="AH285" s="601" t="str">
        <f t="shared" ca="1" si="160"/>
        <v/>
      </c>
      <c r="AI285" s="601" t="str">
        <f t="shared" ca="1" si="160"/>
        <v/>
      </c>
      <c r="AJ285" s="601" t="str">
        <f t="shared" ca="1" si="160"/>
        <v/>
      </c>
      <c r="AK285" s="601" t="str">
        <f t="shared" ref="AK285:BB285" ca="1" si="161">IF(OFFSET(A1_原単位2025,42,AK$247+2)="",OFFSET(A1_原単位2025,39,AK$247+2),OFFSET(A1_原単位2025,42,AK$247+2))</f>
        <v/>
      </c>
      <c r="AL285" s="601" t="str">
        <f t="shared" ca="1" si="161"/>
        <v/>
      </c>
      <c r="AM285" s="601" t="str">
        <f t="shared" ca="1" si="161"/>
        <v/>
      </c>
      <c r="AN285" s="601" t="str">
        <f t="shared" ca="1" si="161"/>
        <v/>
      </c>
      <c r="AO285" s="601" t="str">
        <f t="shared" ca="1" si="161"/>
        <v/>
      </c>
      <c r="AP285" s="601" t="str">
        <f t="shared" ca="1" si="161"/>
        <v/>
      </c>
      <c r="AQ285" s="601" t="str">
        <f t="shared" ca="1" si="161"/>
        <v/>
      </c>
      <c r="AR285" s="601" t="str">
        <f t="shared" ca="1" si="161"/>
        <v/>
      </c>
      <c r="AS285" s="601" t="str">
        <f t="shared" ca="1" si="161"/>
        <v/>
      </c>
      <c r="AT285" s="601" t="str">
        <f t="shared" ca="1" si="161"/>
        <v/>
      </c>
      <c r="AU285" s="601" t="str">
        <f t="shared" ca="1" si="161"/>
        <v/>
      </c>
      <c r="AV285" s="601" t="str">
        <f t="shared" ca="1" si="161"/>
        <v/>
      </c>
      <c r="AW285" s="601" t="str">
        <f t="shared" ca="1" si="161"/>
        <v/>
      </c>
      <c r="AX285" s="601" t="str">
        <f t="shared" ca="1" si="161"/>
        <v/>
      </c>
      <c r="AY285" s="601" t="str">
        <f t="shared" ca="1" si="161"/>
        <v/>
      </c>
      <c r="AZ285" s="601" t="str">
        <f t="shared" ca="1" si="161"/>
        <v/>
      </c>
      <c r="BA285" s="601" t="str">
        <f t="shared" ca="1" si="161"/>
        <v/>
      </c>
      <c r="BB285" s="650" t="str">
        <f t="shared" ca="1" si="161"/>
        <v/>
      </c>
      <c r="BC285" s="601" t="str">
        <f>""</f>
        <v/>
      </c>
      <c r="BD285" s="601" t="str">
        <f t="shared" ref="BD285:CI285" ca="1" si="162">IFERROR(OFFSET(貼付け_2026実績,5,E284+1),"")&amp;""</f>
        <v/>
      </c>
      <c r="BE285" s="601" t="str">
        <f t="shared" ca="1" si="162"/>
        <v/>
      </c>
      <c r="BF285" s="601" t="str">
        <f t="shared" ca="1" si="162"/>
        <v/>
      </c>
      <c r="BG285" s="601" t="str">
        <f t="shared" ca="1" si="162"/>
        <v/>
      </c>
      <c r="BH285" s="601" t="str">
        <f t="shared" ca="1" si="162"/>
        <v/>
      </c>
      <c r="BI285" s="601" t="str">
        <f t="shared" ca="1" si="162"/>
        <v/>
      </c>
      <c r="BJ285" s="601" t="str">
        <f t="shared" ca="1" si="162"/>
        <v/>
      </c>
      <c r="BK285" s="601" t="str">
        <f t="shared" ca="1" si="162"/>
        <v/>
      </c>
      <c r="BL285" s="601" t="str">
        <f t="shared" ca="1" si="162"/>
        <v/>
      </c>
      <c r="BM285" s="601" t="str">
        <f t="shared" ca="1" si="162"/>
        <v/>
      </c>
      <c r="BN285" s="601" t="str">
        <f ca="1">IFERROR(OFFSET(貼付け_2026実績,5,O284+1),"")&amp;""</f>
        <v/>
      </c>
      <c r="BO285" s="601" t="str">
        <f t="shared" ca="1" si="162"/>
        <v/>
      </c>
      <c r="BP285" s="601" t="str">
        <f t="shared" ca="1" si="162"/>
        <v/>
      </c>
      <c r="BQ285" s="601" t="str">
        <f t="shared" ca="1" si="162"/>
        <v/>
      </c>
      <c r="BR285" s="601" t="str">
        <f t="shared" ca="1" si="162"/>
        <v/>
      </c>
      <c r="BS285" s="601" t="str">
        <f t="shared" ca="1" si="162"/>
        <v/>
      </c>
      <c r="BT285" s="601" t="str">
        <f t="shared" ca="1" si="162"/>
        <v/>
      </c>
      <c r="BU285" s="601" t="str">
        <f t="shared" ca="1" si="162"/>
        <v/>
      </c>
      <c r="BV285" s="601" t="str">
        <f t="shared" ca="1" si="162"/>
        <v/>
      </c>
      <c r="BW285" s="601" t="str">
        <f t="shared" ca="1" si="162"/>
        <v/>
      </c>
      <c r="BX285" s="601" t="str">
        <f t="shared" ca="1" si="162"/>
        <v/>
      </c>
      <c r="BY285" s="601" t="str">
        <f t="shared" ca="1" si="162"/>
        <v/>
      </c>
      <c r="BZ285" s="601" t="str">
        <f t="shared" ca="1" si="162"/>
        <v/>
      </c>
      <c r="CA285" s="601" t="str">
        <f t="shared" ca="1" si="162"/>
        <v/>
      </c>
      <c r="CB285" s="601" t="str">
        <f t="shared" ca="1" si="162"/>
        <v/>
      </c>
      <c r="CC285" s="601" t="str">
        <f t="shared" ca="1" si="162"/>
        <v/>
      </c>
      <c r="CD285" s="601" t="str">
        <f t="shared" ca="1" si="162"/>
        <v/>
      </c>
      <c r="CE285" s="601" t="str">
        <f t="shared" ca="1" si="162"/>
        <v/>
      </c>
      <c r="CF285" s="601" t="str">
        <f t="shared" ca="1" si="162"/>
        <v/>
      </c>
      <c r="CG285" s="601" t="str">
        <f t="shared" ca="1" si="162"/>
        <v/>
      </c>
      <c r="CH285" s="601" t="str">
        <f t="shared" ca="1" si="162"/>
        <v/>
      </c>
      <c r="CI285" s="601" t="str">
        <f t="shared" ca="1" si="162"/>
        <v/>
      </c>
      <c r="CJ285" s="601" t="str">
        <f t="shared" ref="CJ285:DA285" ca="1" si="163">IFERROR(OFFSET(貼付け_2026実績,5,AK284+1),"")&amp;""</f>
        <v/>
      </c>
      <c r="CK285" s="601" t="str">
        <f t="shared" ca="1" si="163"/>
        <v/>
      </c>
      <c r="CL285" s="601" t="str">
        <f t="shared" ca="1" si="163"/>
        <v/>
      </c>
      <c r="CM285" s="601" t="str">
        <f t="shared" ca="1" si="163"/>
        <v/>
      </c>
      <c r="CN285" s="601" t="str">
        <f t="shared" ca="1" si="163"/>
        <v/>
      </c>
      <c r="CO285" s="601" t="str">
        <f t="shared" ca="1" si="163"/>
        <v/>
      </c>
      <c r="CP285" s="601" t="str">
        <f t="shared" ca="1" si="163"/>
        <v/>
      </c>
      <c r="CQ285" s="601" t="str">
        <f t="shared" ca="1" si="163"/>
        <v/>
      </c>
      <c r="CR285" s="601" t="str">
        <f t="shared" ca="1" si="163"/>
        <v/>
      </c>
      <c r="CS285" s="601" t="str">
        <f t="shared" ca="1" si="163"/>
        <v/>
      </c>
      <c r="CT285" s="601" t="str">
        <f t="shared" ca="1" si="163"/>
        <v/>
      </c>
      <c r="CU285" s="601" t="str">
        <f t="shared" ca="1" si="163"/>
        <v/>
      </c>
      <c r="CV285" s="601" t="str">
        <f t="shared" ca="1" si="163"/>
        <v/>
      </c>
      <c r="CW285" s="601" t="str">
        <f t="shared" ca="1" si="163"/>
        <v/>
      </c>
      <c r="CX285" s="601" t="str">
        <f t="shared" ca="1" si="163"/>
        <v/>
      </c>
      <c r="CY285" s="601" t="str">
        <f t="shared" ca="1" si="163"/>
        <v/>
      </c>
      <c r="CZ285" s="601" t="str">
        <f t="shared" ca="1" si="163"/>
        <v/>
      </c>
      <c r="DA285" s="601" t="str">
        <f t="shared" ca="1" si="163"/>
        <v/>
      </c>
      <c r="IE285" s="603"/>
      <c r="IF285" s="603"/>
      <c r="IG285" s="603"/>
      <c r="IH285" s="603"/>
    </row>
    <row r="286" spans="1:242" s="569" customFormat="1" hidden="1">
      <c r="A286" s="569">
        <v>40</v>
      </c>
      <c r="B286" s="1052"/>
      <c r="C286" s="599" t="str">
        <f>"~"&amp;D284-1&amp;"&amp;"&amp;D284</f>
        <v>~2025&amp;2026</v>
      </c>
      <c r="D286" s="600" t="str">
        <f>""</f>
        <v/>
      </c>
      <c r="E286" s="734" t="str">
        <f t="array" aca="1" ref="E286" ca="1">IFERROR(INDEX($E285:$DA285,MATCH(0,COUNTIF($D286:D286,$E285:$DA285),0)),"")</f>
        <v/>
      </c>
      <c r="F286" s="601" t="str">
        <f t="array" aca="1" ref="F286" ca="1">IFERROR(INDEX($E285:$DA285,MATCH(0,COUNTIF($D286:E286,$E285:$DA285),0)),"")</f>
        <v/>
      </c>
      <c r="G286" s="601" t="str">
        <f t="array" aca="1" ref="G286" ca="1">IFERROR(INDEX($E285:$DA285,MATCH(0,COUNTIF($D286:F286,$E285:$DA285),0)),"")</f>
        <v/>
      </c>
      <c r="H286" s="601" t="str">
        <f t="array" aca="1" ref="H286" ca="1">IFERROR(INDEX($E285:$DA285,MATCH(0,COUNTIF($D286:G286,$E285:$DA285),0)),"")</f>
        <v/>
      </c>
      <c r="I286" s="601" t="str">
        <f t="array" aca="1" ref="I286" ca="1">IFERROR(INDEX($E285:$DA285,MATCH(0,COUNTIF($D286:H286,$E285:$DA285),0)),"")</f>
        <v/>
      </c>
      <c r="J286" s="601" t="str">
        <f t="array" aca="1" ref="J286" ca="1">IFERROR(INDEX($E285:$DA285,MATCH(0,COUNTIF($D286:I286,$E285:$DA285),0)),"")</f>
        <v/>
      </c>
      <c r="K286" s="601" t="str">
        <f t="array" aca="1" ref="K286" ca="1">IFERROR(INDEX($E285:$DA285,MATCH(0,COUNTIF($D286:J286,$E285:$DA285),0)),"")</f>
        <v/>
      </c>
      <c r="L286" s="601" t="str">
        <f t="array" aca="1" ref="L286" ca="1">IFERROR(INDEX($E285:$DA285,MATCH(0,COUNTIF($D286:K286,$E285:$DA285),0)),"")</f>
        <v/>
      </c>
      <c r="M286" s="601" t="str">
        <f t="array" aca="1" ref="M286" ca="1">IFERROR(INDEX($E285:$DA285,MATCH(0,COUNTIF($D286:L286,$E285:$DA285),0)),"")</f>
        <v/>
      </c>
      <c r="N286" s="601" t="str">
        <f t="array" aca="1" ref="N286" ca="1">IFERROR(INDEX($E285:$DA285,MATCH(0,COUNTIF($D286:M286,$E285:$DA285),0)),"")</f>
        <v/>
      </c>
      <c r="O286" s="601" t="str">
        <f t="array" aca="1" ref="O286" ca="1">IFERROR(INDEX($E285:$DA285,MATCH(0,COUNTIF($D286:N286,$E285:$DA285),0)),"")</f>
        <v/>
      </c>
      <c r="P286" s="601" t="str">
        <f t="array" aca="1" ref="P286" ca="1">IFERROR(INDEX($E285:$DA285,MATCH(0,COUNTIF($D286:O286,$E285:$DA285),0)),"")</f>
        <v/>
      </c>
      <c r="Q286" s="601" t="str">
        <f t="array" aca="1" ref="Q286" ca="1">IFERROR(INDEX($E285:$DA285,MATCH(0,COUNTIF($D286:P286,$E285:$DA285),0)),"")</f>
        <v/>
      </c>
      <c r="R286" s="601" t="str">
        <f t="array" aca="1" ref="R286" ca="1">IFERROR(INDEX($E285:$DA285,MATCH(0,COUNTIF($D286:Q286,$E285:$DA285),0)),"")</f>
        <v/>
      </c>
      <c r="S286" s="601" t="str">
        <f t="array" aca="1" ref="S286" ca="1">IFERROR(INDEX($E285:$DA285,MATCH(0,COUNTIF($D286:R286,$E285:$DA285),0)),"")</f>
        <v/>
      </c>
      <c r="T286" s="601" t="str">
        <f t="array" aca="1" ref="T286" ca="1">IFERROR(INDEX($E285:$DA285,MATCH(0,COUNTIF($D286:S286,$E285:$DA285),0)),"")</f>
        <v/>
      </c>
      <c r="U286" s="601" t="str">
        <f t="array" aca="1" ref="U286" ca="1">IFERROR(INDEX($E285:$DA285,MATCH(0,COUNTIF($D286:T286,$E285:$DA285),0)),"")</f>
        <v/>
      </c>
      <c r="V286" s="601" t="str">
        <f t="array" aca="1" ref="V286" ca="1">IFERROR(INDEX($E285:$DA285,MATCH(0,COUNTIF($D286:U286,$E285:$DA285),0)),"")</f>
        <v/>
      </c>
      <c r="W286" s="601" t="str">
        <f t="array" aca="1" ref="W286" ca="1">IFERROR(INDEX($E285:$DA285,MATCH(0,COUNTIF($D286:V286,$E285:$DA285),0)),"")</f>
        <v/>
      </c>
      <c r="X286" s="601" t="str">
        <f t="array" aca="1" ref="X286" ca="1">IFERROR(INDEX($E285:$DA285,MATCH(0,COUNTIF($D286:W286,$E285:$DA285),0)),"")</f>
        <v/>
      </c>
      <c r="Y286" s="601" t="str">
        <f t="array" aca="1" ref="Y286" ca="1">IFERROR(INDEX($E285:$DA285,MATCH(0,COUNTIF($D286:X286,$E285:$DA285),0)),"")</f>
        <v/>
      </c>
      <c r="Z286" s="601" t="str">
        <f t="array" aca="1" ref="Z286" ca="1">IFERROR(INDEX($E285:$DA285,MATCH(0,COUNTIF($D286:Y286,$E285:$DA285),0)),"")</f>
        <v/>
      </c>
      <c r="AA286" s="601" t="str">
        <f t="array" aca="1" ref="AA286" ca="1">IFERROR(INDEX($E285:$DA285,MATCH(0,COUNTIF($D286:Z286,$E285:$DA285),0)),"")</f>
        <v/>
      </c>
      <c r="AB286" s="601" t="str">
        <f t="array" aca="1" ref="AB286" ca="1">IFERROR(INDEX($E285:$DA285,MATCH(0,COUNTIF($D286:AA286,$E285:$DA285),0)),"")</f>
        <v/>
      </c>
      <c r="AC286" s="601" t="str">
        <f t="array" aca="1" ref="AC286" ca="1">IFERROR(INDEX($E285:$DA285,MATCH(0,COUNTIF($D286:AB286,$E285:$DA285),0)),"")</f>
        <v/>
      </c>
      <c r="AD286" s="601" t="str">
        <f t="array" aca="1" ref="AD286" ca="1">IFERROR(INDEX($E285:$DA285,MATCH(0,COUNTIF($D286:AC286,$E285:$DA285),0)),"")</f>
        <v/>
      </c>
      <c r="AE286" s="601" t="str">
        <f t="array" aca="1" ref="AE286" ca="1">IFERROR(INDEX($E285:$DA285,MATCH(0,COUNTIF($D286:AD286,$E285:$DA285),0)),"")</f>
        <v/>
      </c>
      <c r="AF286" s="601" t="str">
        <f t="array" aca="1" ref="AF286" ca="1">IFERROR(INDEX($E285:$DA285,MATCH(0,COUNTIF($D286:AE286,$E285:$DA285),0)),"")</f>
        <v/>
      </c>
      <c r="AG286" s="601" t="str">
        <f t="array" aca="1" ref="AG286" ca="1">IFERROR(INDEX($E285:$DA285,MATCH(0,COUNTIF($D286:AF286,$E285:$DA285),0)),"")</f>
        <v/>
      </c>
      <c r="AH286" s="601" t="str">
        <f t="array" aca="1" ref="AH286" ca="1">IFERROR(INDEX($E285:$DA285,MATCH(0,COUNTIF($D286:AG286,$E285:$DA285),0)),"")</f>
        <v/>
      </c>
      <c r="AI286" s="601" t="str">
        <f t="array" aca="1" ref="AI286" ca="1">IFERROR(INDEX($E285:$DA285,MATCH(0,COUNTIF($D286:AH286,$E285:$DA285),0)),"")</f>
        <v/>
      </c>
      <c r="AJ286" s="601" t="str">
        <f t="array" aca="1" ref="AJ286" ca="1">IFERROR(INDEX($E285:$DA285,MATCH(0,COUNTIF($D286:AI286,$E285:$DA285),0)),"")</f>
        <v/>
      </c>
      <c r="AK286" s="601" t="str">
        <f t="array" aca="1" ref="AK286" ca="1">IFERROR(INDEX($E285:$DA285,MATCH(0,COUNTIF($D286:AJ286,$E285:$DA285),0)),"")</f>
        <v/>
      </c>
      <c r="AL286" s="601" t="str">
        <f t="array" aca="1" ref="AL286" ca="1">IFERROR(INDEX($E285:$DA285,MATCH(0,COUNTIF($D286:AK286,$E285:$DA285),0)),"")</f>
        <v/>
      </c>
      <c r="AM286" s="601" t="str">
        <f t="array" aca="1" ref="AM286" ca="1">IFERROR(INDEX($E285:$DA285,MATCH(0,COUNTIF($D286:AL286,$E285:$DA285),0)),"")</f>
        <v/>
      </c>
      <c r="AN286" s="601" t="str">
        <f t="array" aca="1" ref="AN286" ca="1">IFERROR(INDEX($E285:$DA285,MATCH(0,COUNTIF($D286:AM286,$E285:$DA285),0)),"")</f>
        <v/>
      </c>
      <c r="AO286" s="601" t="str">
        <f t="array" aca="1" ref="AO286" ca="1">IFERROR(INDEX($E285:$DA285,MATCH(0,COUNTIF($D286:AN286,$E285:$DA285),0)),"")</f>
        <v/>
      </c>
      <c r="AP286" s="601" t="str">
        <f t="array" aca="1" ref="AP286" ca="1">IFERROR(INDEX($E285:$DA285,MATCH(0,COUNTIF($D286:AO286,$E285:$DA285),0)),"")</f>
        <v/>
      </c>
      <c r="AQ286" s="601" t="str">
        <f t="array" aca="1" ref="AQ286" ca="1">IFERROR(INDEX($E285:$DA285,MATCH(0,COUNTIF($D286:AP286,$E285:$DA285),0)),"")</f>
        <v/>
      </c>
      <c r="AR286" s="601" t="str">
        <f t="array" aca="1" ref="AR286" ca="1">IFERROR(INDEX($E285:$DA285,MATCH(0,COUNTIF($D286:AQ286,$E285:$DA285),0)),"")</f>
        <v/>
      </c>
      <c r="AS286" s="601" t="str">
        <f t="array" aca="1" ref="AS286" ca="1">IFERROR(INDEX($E285:$DA285,MATCH(0,COUNTIF($D286:AR286,$E285:$DA285),0)),"")</f>
        <v/>
      </c>
      <c r="AT286" s="601" t="str">
        <f t="array" aca="1" ref="AT286" ca="1">IFERROR(INDEX($E285:$DA285,MATCH(0,COUNTIF($D286:AS286,$E285:$DA285),0)),"")</f>
        <v/>
      </c>
      <c r="AU286" s="601" t="str">
        <f t="array" aca="1" ref="AU286" ca="1">IFERROR(INDEX($E285:$DA285,MATCH(0,COUNTIF($D286:AT286,$E285:$DA285),0)),"")</f>
        <v/>
      </c>
      <c r="AV286" s="601" t="str">
        <f t="array" aca="1" ref="AV286" ca="1">IFERROR(INDEX($E285:$DA285,MATCH(0,COUNTIF($D286:AU286,$E285:$DA285),0)),"")</f>
        <v/>
      </c>
      <c r="AW286" s="601" t="str">
        <f t="array" aca="1" ref="AW286" ca="1">IFERROR(INDEX($E285:$DA285,MATCH(0,COUNTIF($D286:AV286,$E285:$DA285),0)),"")</f>
        <v/>
      </c>
      <c r="AX286" s="601" t="str">
        <f t="array" aca="1" ref="AX286" ca="1">IFERROR(INDEX($E285:$DA285,MATCH(0,COUNTIF($D286:AW286,$E285:$DA285),0)),"")</f>
        <v/>
      </c>
      <c r="AY286" s="601" t="str">
        <f t="array" aca="1" ref="AY286" ca="1">IFERROR(INDEX($E285:$DA285,MATCH(0,COUNTIF($D286:AX286,$E285:$DA285),0)),"")</f>
        <v/>
      </c>
      <c r="AZ286" s="601" t="str">
        <f t="array" aca="1" ref="AZ286" ca="1">IFERROR(INDEX($E285:$DA285,MATCH(0,COUNTIF($D286:AY286,$E285:$DA285),0)),"")</f>
        <v/>
      </c>
      <c r="BA286" s="602" t="str">
        <f t="array" aca="1" ref="BA286" ca="1">IFERROR(INDEX($E285:$DA285,MATCH(0,COUNTIF($D286:AZ286,$E285:$DA285),0)),"")</f>
        <v/>
      </c>
      <c r="BB286" s="650" t="str">
        <f t="array" aca="1" ref="BB286" ca="1">IFERROR(INDEX($E285:$DA285,MATCH(0,COUNTIF($D286:BA286,$E285:$DA285),0)),"")</f>
        <v/>
      </c>
      <c r="BC286" s="604"/>
      <c r="BD286" s="604" t="str">
        <f>""</f>
        <v/>
      </c>
      <c r="BE286" s="604"/>
      <c r="BF286" s="604"/>
      <c r="BG286" s="604"/>
      <c r="BH286" s="604"/>
      <c r="BI286" s="604"/>
      <c r="BJ286" s="604"/>
      <c r="BK286" s="604"/>
      <c r="BL286" s="604"/>
      <c r="BM286" s="604"/>
      <c r="BN286" s="604"/>
      <c r="BO286" s="604"/>
      <c r="BP286" s="604"/>
      <c r="BQ286" s="604"/>
      <c r="BR286" s="604"/>
      <c r="BS286" s="604"/>
      <c r="BT286" s="604"/>
      <c r="BU286" s="604"/>
      <c r="BV286" s="604"/>
      <c r="BW286" s="604"/>
      <c r="IE286" s="603"/>
      <c r="IF286" s="603"/>
      <c r="IG286" s="603"/>
      <c r="IH286" s="603"/>
    </row>
    <row r="287" spans="1:242" s="569" customFormat="1" hidden="1">
      <c r="A287" s="569">
        <v>41</v>
      </c>
      <c r="B287" s="1052"/>
      <c r="C287" s="599" t="s">
        <v>674</v>
      </c>
      <c r="D287" s="600" t="str">
        <f>""</f>
        <v/>
      </c>
      <c r="E287" s="734" t="str">
        <f t="shared" ref="E287:AJ287" ca="1" si="164">IF(OFFSET(貼付け_2026実績,2,12)="■",BD285,IFERROR(INDEX($BD285:$DA285,MATCH(E286,$BD285:$DA285,0)),""))</f>
        <v/>
      </c>
      <c r="F287" s="601" t="str">
        <f t="shared" ca="1" si="164"/>
        <v/>
      </c>
      <c r="G287" s="601" t="str">
        <f t="shared" ca="1" si="164"/>
        <v/>
      </c>
      <c r="H287" s="601" t="str">
        <f t="shared" ca="1" si="164"/>
        <v/>
      </c>
      <c r="I287" s="601" t="str">
        <f t="shared" ca="1" si="164"/>
        <v/>
      </c>
      <c r="J287" s="601" t="str">
        <f t="shared" ca="1" si="164"/>
        <v/>
      </c>
      <c r="K287" s="601" t="str">
        <f t="shared" ca="1" si="164"/>
        <v/>
      </c>
      <c r="L287" s="601" t="str">
        <f t="shared" ca="1" si="164"/>
        <v/>
      </c>
      <c r="M287" s="601" t="str">
        <f t="shared" ca="1" si="164"/>
        <v/>
      </c>
      <c r="N287" s="601" t="str">
        <f t="shared" ca="1" si="164"/>
        <v/>
      </c>
      <c r="O287" s="601" t="str">
        <f ca="1">IF(OFFSET(貼付け_2026実績,2,12)="■",BN285,IFERROR(INDEX($BD285:$DA285,MATCH(O286,$BD285:$DA285,0)),""))</f>
        <v/>
      </c>
      <c r="P287" s="601" t="str">
        <f t="shared" ca="1" si="164"/>
        <v/>
      </c>
      <c r="Q287" s="601" t="str">
        <f t="shared" ca="1" si="164"/>
        <v/>
      </c>
      <c r="R287" s="601" t="str">
        <f t="shared" ca="1" si="164"/>
        <v/>
      </c>
      <c r="S287" s="601" t="str">
        <f t="shared" ca="1" si="164"/>
        <v/>
      </c>
      <c r="T287" s="601" t="str">
        <f t="shared" ca="1" si="164"/>
        <v/>
      </c>
      <c r="U287" s="601" t="str">
        <f t="shared" ca="1" si="164"/>
        <v/>
      </c>
      <c r="V287" s="601" t="str">
        <f t="shared" ca="1" si="164"/>
        <v/>
      </c>
      <c r="W287" s="601" t="str">
        <f t="shared" ca="1" si="164"/>
        <v/>
      </c>
      <c r="X287" s="601" t="str">
        <f t="shared" ca="1" si="164"/>
        <v/>
      </c>
      <c r="Y287" s="601" t="str">
        <f t="shared" ca="1" si="164"/>
        <v/>
      </c>
      <c r="Z287" s="601" t="str">
        <f t="shared" ca="1" si="164"/>
        <v/>
      </c>
      <c r="AA287" s="601" t="str">
        <f t="shared" ca="1" si="164"/>
        <v/>
      </c>
      <c r="AB287" s="601" t="str">
        <f t="shared" ca="1" si="164"/>
        <v/>
      </c>
      <c r="AC287" s="601" t="str">
        <f t="shared" ca="1" si="164"/>
        <v/>
      </c>
      <c r="AD287" s="601" t="str">
        <f t="shared" ca="1" si="164"/>
        <v/>
      </c>
      <c r="AE287" s="601" t="str">
        <f t="shared" ca="1" si="164"/>
        <v/>
      </c>
      <c r="AF287" s="601" t="str">
        <f t="shared" ca="1" si="164"/>
        <v/>
      </c>
      <c r="AG287" s="601" t="str">
        <f t="shared" ca="1" si="164"/>
        <v/>
      </c>
      <c r="AH287" s="601" t="str">
        <f t="shared" ca="1" si="164"/>
        <v/>
      </c>
      <c r="AI287" s="601" t="str">
        <f t="shared" ca="1" si="164"/>
        <v/>
      </c>
      <c r="AJ287" s="601" t="str">
        <f t="shared" ca="1" si="164"/>
        <v/>
      </c>
      <c r="AK287" s="601" t="str">
        <f t="shared" ref="AK287:BB287" ca="1" si="165">IF(OFFSET(貼付け_2026実績,2,12)="■",CJ285,IFERROR(INDEX($BD285:$DA285,MATCH(AK286,$BD285:$DA285,0)),""))</f>
        <v/>
      </c>
      <c r="AL287" s="601" t="str">
        <f t="shared" ca="1" si="165"/>
        <v/>
      </c>
      <c r="AM287" s="601" t="str">
        <f t="shared" ca="1" si="165"/>
        <v/>
      </c>
      <c r="AN287" s="601" t="str">
        <f t="shared" ca="1" si="165"/>
        <v/>
      </c>
      <c r="AO287" s="601" t="str">
        <f t="shared" ca="1" si="165"/>
        <v/>
      </c>
      <c r="AP287" s="601" t="str">
        <f t="shared" ca="1" si="165"/>
        <v/>
      </c>
      <c r="AQ287" s="601" t="str">
        <f t="shared" ca="1" si="165"/>
        <v/>
      </c>
      <c r="AR287" s="601" t="str">
        <f t="shared" ca="1" si="165"/>
        <v/>
      </c>
      <c r="AS287" s="601" t="str">
        <f t="shared" ca="1" si="165"/>
        <v/>
      </c>
      <c r="AT287" s="601" t="str">
        <f t="shared" ca="1" si="165"/>
        <v/>
      </c>
      <c r="AU287" s="601" t="str">
        <f t="shared" ca="1" si="165"/>
        <v/>
      </c>
      <c r="AV287" s="601" t="str">
        <f t="shared" ca="1" si="165"/>
        <v/>
      </c>
      <c r="AW287" s="601" t="str">
        <f t="shared" ca="1" si="165"/>
        <v/>
      </c>
      <c r="AX287" s="601" t="str">
        <f t="shared" ca="1" si="165"/>
        <v/>
      </c>
      <c r="AY287" s="601" t="str">
        <f t="shared" ca="1" si="165"/>
        <v/>
      </c>
      <c r="AZ287" s="601" t="str">
        <f t="shared" ca="1" si="165"/>
        <v/>
      </c>
      <c r="BA287" s="602" t="str">
        <f t="shared" ca="1" si="165"/>
        <v/>
      </c>
      <c r="BB287" s="650" t="str">
        <f t="shared" ca="1" si="165"/>
        <v/>
      </c>
      <c r="BD287" s="569" t="str">
        <f>""</f>
        <v/>
      </c>
      <c r="IE287" s="603"/>
      <c r="IF287" s="603"/>
      <c r="IG287" s="603"/>
      <c r="IH287" s="603"/>
    </row>
    <row r="288" spans="1:242" s="569" customFormat="1" hidden="1">
      <c r="A288" s="569">
        <v>42</v>
      </c>
      <c r="B288" s="1052"/>
      <c r="C288" s="605" t="s">
        <v>675</v>
      </c>
      <c r="D288" s="606">
        <v>14</v>
      </c>
      <c r="E288" s="735" t="str">
        <f t="shared" ref="E288:AJ288" ca="1" si="166">OFFSET(A1_名称2026,E$247+2,$D288)&amp;""</f>
        <v/>
      </c>
      <c r="F288" s="607" t="str">
        <f t="shared" ca="1" si="166"/>
        <v/>
      </c>
      <c r="G288" s="607" t="str">
        <f t="shared" ca="1" si="166"/>
        <v/>
      </c>
      <c r="H288" s="607" t="str">
        <f t="shared" ca="1" si="166"/>
        <v/>
      </c>
      <c r="I288" s="607" t="str">
        <f t="shared" ca="1" si="166"/>
        <v/>
      </c>
      <c r="J288" s="607" t="str">
        <f t="shared" ca="1" si="166"/>
        <v/>
      </c>
      <c r="K288" s="607" t="str">
        <f t="shared" ca="1" si="166"/>
        <v/>
      </c>
      <c r="L288" s="607" t="str">
        <f t="shared" ca="1" si="166"/>
        <v/>
      </c>
      <c r="M288" s="607" t="str">
        <f t="shared" ca="1" si="166"/>
        <v/>
      </c>
      <c r="N288" s="607" t="str">
        <f t="shared" ca="1" si="166"/>
        <v/>
      </c>
      <c r="O288" s="607" t="str">
        <f ca="1">OFFSET(A1_名称2026,O$247+2,$D288)&amp;""</f>
        <v/>
      </c>
      <c r="P288" s="607" t="str">
        <f t="shared" ca="1" si="166"/>
        <v/>
      </c>
      <c r="Q288" s="607" t="str">
        <f t="shared" ca="1" si="166"/>
        <v/>
      </c>
      <c r="R288" s="607" t="str">
        <f t="shared" ca="1" si="166"/>
        <v/>
      </c>
      <c r="S288" s="607" t="str">
        <f t="shared" ca="1" si="166"/>
        <v/>
      </c>
      <c r="T288" s="607" t="str">
        <f t="shared" ca="1" si="166"/>
        <v/>
      </c>
      <c r="U288" s="607" t="str">
        <f t="shared" ca="1" si="166"/>
        <v/>
      </c>
      <c r="V288" s="607" t="str">
        <f t="shared" ca="1" si="166"/>
        <v/>
      </c>
      <c r="W288" s="607" t="str">
        <f t="shared" ca="1" si="166"/>
        <v/>
      </c>
      <c r="X288" s="607" t="str">
        <f t="shared" ca="1" si="166"/>
        <v/>
      </c>
      <c r="Y288" s="607" t="str">
        <f t="shared" ca="1" si="166"/>
        <v/>
      </c>
      <c r="Z288" s="607" t="str">
        <f t="shared" ca="1" si="166"/>
        <v/>
      </c>
      <c r="AA288" s="607" t="str">
        <f t="shared" ca="1" si="166"/>
        <v/>
      </c>
      <c r="AB288" s="607" t="str">
        <f t="shared" ca="1" si="166"/>
        <v/>
      </c>
      <c r="AC288" s="607" t="str">
        <f t="shared" ca="1" si="166"/>
        <v/>
      </c>
      <c r="AD288" s="607" t="str">
        <f t="shared" ca="1" si="166"/>
        <v/>
      </c>
      <c r="AE288" s="607" t="str">
        <f t="shared" ca="1" si="166"/>
        <v/>
      </c>
      <c r="AF288" s="607" t="str">
        <f t="shared" ca="1" si="166"/>
        <v/>
      </c>
      <c r="AG288" s="607" t="str">
        <f t="shared" ca="1" si="166"/>
        <v/>
      </c>
      <c r="AH288" s="607" t="str">
        <f t="shared" ca="1" si="166"/>
        <v/>
      </c>
      <c r="AI288" s="607" t="str">
        <f t="shared" ca="1" si="166"/>
        <v/>
      </c>
      <c r="AJ288" s="607" t="str">
        <f t="shared" ca="1" si="166"/>
        <v/>
      </c>
      <c r="AK288" s="607" t="str">
        <f t="shared" ref="AK288:BB288" ca="1" si="167">OFFSET(A1_名称2026,AK$247+2,$D288)&amp;""</f>
        <v/>
      </c>
      <c r="AL288" s="607" t="str">
        <f t="shared" ca="1" si="167"/>
        <v/>
      </c>
      <c r="AM288" s="607" t="str">
        <f t="shared" ca="1" si="167"/>
        <v/>
      </c>
      <c r="AN288" s="607" t="str">
        <f t="shared" ca="1" si="167"/>
        <v/>
      </c>
      <c r="AO288" s="607" t="str">
        <f t="shared" ca="1" si="167"/>
        <v/>
      </c>
      <c r="AP288" s="607" t="str">
        <f t="shared" ca="1" si="167"/>
        <v/>
      </c>
      <c r="AQ288" s="607" t="str">
        <f t="shared" ca="1" si="167"/>
        <v/>
      </c>
      <c r="AR288" s="607" t="str">
        <f t="shared" ca="1" si="167"/>
        <v/>
      </c>
      <c r="AS288" s="607" t="str">
        <f t="shared" ca="1" si="167"/>
        <v/>
      </c>
      <c r="AT288" s="607" t="str">
        <f t="shared" ca="1" si="167"/>
        <v/>
      </c>
      <c r="AU288" s="607" t="str">
        <f t="shared" ca="1" si="167"/>
        <v/>
      </c>
      <c r="AV288" s="607" t="str">
        <f t="shared" ca="1" si="167"/>
        <v/>
      </c>
      <c r="AW288" s="607" t="str">
        <f t="shared" ca="1" si="167"/>
        <v/>
      </c>
      <c r="AX288" s="607" t="str">
        <f t="shared" ca="1" si="167"/>
        <v/>
      </c>
      <c r="AY288" s="607" t="str">
        <f t="shared" ca="1" si="167"/>
        <v/>
      </c>
      <c r="AZ288" s="607" t="str">
        <f t="shared" ca="1" si="167"/>
        <v/>
      </c>
      <c r="BA288" s="608" t="str">
        <f t="shared" ca="1" si="167"/>
        <v/>
      </c>
      <c r="BB288" s="651" t="str">
        <f t="shared" ca="1" si="167"/>
        <v/>
      </c>
      <c r="IE288" s="603"/>
      <c r="IF288" s="603"/>
      <c r="IG288" s="603"/>
      <c r="IH288" s="603"/>
    </row>
    <row r="289" spans="1:242" s="164" customFormat="1" ht="19.8" hidden="1">
      <c r="A289" s="569">
        <v>43</v>
      </c>
      <c r="B289" s="1052"/>
      <c r="C289" s="599" t="s">
        <v>676</v>
      </c>
      <c r="D289" s="600"/>
      <c r="E289" s="734" t="str">
        <f ca="1">IF(E288="","",IFERROR(INDEX($E284:$BB284,MATCH(E288,$BD285:$DA285,0)),""))</f>
        <v/>
      </c>
      <c r="F289" s="601" t="str">
        <f t="shared" ref="F289:BB289" ca="1" si="168">IF(F288="","",IFERROR(INDEX($E284:$BB284,MATCH(F288,$BD285:$DA285,0)),""))</f>
        <v/>
      </c>
      <c r="G289" s="601" t="str">
        <f t="shared" ca="1" si="168"/>
        <v/>
      </c>
      <c r="H289" s="601" t="str">
        <f t="shared" ca="1" si="168"/>
        <v/>
      </c>
      <c r="I289" s="601" t="str">
        <f t="shared" ca="1" si="168"/>
        <v/>
      </c>
      <c r="J289" s="601" t="str">
        <f t="shared" ca="1" si="168"/>
        <v/>
      </c>
      <c r="K289" s="601" t="str">
        <f t="shared" ca="1" si="168"/>
        <v/>
      </c>
      <c r="L289" s="601" t="str">
        <f t="shared" ca="1" si="168"/>
        <v/>
      </c>
      <c r="M289" s="601" t="str">
        <f t="shared" ca="1" si="168"/>
        <v/>
      </c>
      <c r="N289" s="601" t="str">
        <f t="shared" ca="1" si="168"/>
        <v/>
      </c>
      <c r="O289" s="601" t="str">
        <f ca="1">IF(O288="","",IFERROR(INDEX($E284:$BB284,MATCH(O288,$BD285:$DA285,0)),""))</f>
        <v/>
      </c>
      <c r="P289" s="601" t="str">
        <f t="shared" ca="1" si="168"/>
        <v/>
      </c>
      <c r="Q289" s="601" t="str">
        <f t="shared" ca="1" si="168"/>
        <v/>
      </c>
      <c r="R289" s="601" t="str">
        <f t="shared" ca="1" si="168"/>
        <v/>
      </c>
      <c r="S289" s="601" t="str">
        <f t="shared" ca="1" si="168"/>
        <v/>
      </c>
      <c r="T289" s="601" t="str">
        <f t="shared" ca="1" si="168"/>
        <v/>
      </c>
      <c r="U289" s="601" t="str">
        <f t="shared" ca="1" si="168"/>
        <v/>
      </c>
      <c r="V289" s="601" t="str">
        <f t="shared" ca="1" si="168"/>
        <v/>
      </c>
      <c r="W289" s="601" t="str">
        <f t="shared" ca="1" si="168"/>
        <v/>
      </c>
      <c r="X289" s="601" t="str">
        <f t="shared" ca="1" si="168"/>
        <v/>
      </c>
      <c r="Y289" s="601" t="str">
        <f t="shared" ca="1" si="168"/>
        <v/>
      </c>
      <c r="Z289" s="601" t="str">
        <f t="shared" ca="1" si="168"/>
        <v/>
      </c>
      <c r="AA289" s="601" t="str">
        <f t="shared" ca="1" si="168"/>
        <v/>
      </c>
      <c r="AB289" s="601" t="str">
        <f t="shared" ca="1" si="168"/>
        <v/>
      </c>
      <c r="AC289" s="601" t="str">
        <f t="shared" ca="1" si="168"/>
        <v/>
      </c>
      <c r="AD289" s="601" t="str">
        <f t="shared" ca="1" si="168"/>
        <v/>
      </c>
      <c r="AE289" s="601" t="str">
        <f t="shared" ca="1" si="168"/>
        <v/>
      </c>
      <c r="AF289" s="601" t="str">
        <f t="shared" ca="1" si="168"/>
        <v/>
      </c>
      <c r="AG289" s="601" t="str">
        <f t="shared" ca="1" si="168"/>
        <v/>
      </c>
      <c r="AH289" s="601" t="str">
        <f t="shared" ca="1" si="168"/>
        <v/>
      </c>
      <c r="AI289" s="601" t="str">
        <f t="shared" ca="1" si="168"/>
        <v/>
      </c>
      <c r="AJ289" s="601" t="str">
        <f t="shared" ca="1" si="168"/>
        <v/>
      </c>
      <c r="AK289" s="601" t="str">
        <f t="shared" ca="1" si="168"/>
        <v/>
      </c>
      <c r="AL289" s="601" t="str">
        <f t="shared" ca="1" si="168"/>
        <v/>
      </c>
      <c r="AM289" s="601" t="str">
        <f t="shared" ca="1" si="168"/>
        <v/>
      </c>
      <c r="AN289" s="601" t="str">
        <f t="shared" ca="1" si="168"/>
        <v/>
      </c>
      <c r="AO289" s="601" t="str">
        <f t="shared" ca="1" si="168"/>
        <v/>
      </c>
      <c r="AP289" s="601" t="str">
        <f t="shared" ca="1" si="168"/>
        <v/>
      </c>
      <c r="AQ289" s="601" t="str">
        <f t="shared" ca="1" si="168"/>
        <v/>
      </c>
      <c r="AR289" s="601" t="str">
        <f t="shared" ca="1" si="168"/>
        <v/>
      </c>
      <c r="AS289" s="601" t="str">
        <f t="shared" ca="1" si="168"/>
        <v/>
      </c>
      <c r="AT289" s="601" t="str">
        <f t="shared" ca="1" si="168"/>
        <v/>
      </c>
      <c r="AU289" s="601" t="str">
        <f t="shared" ca="1" si="168"/>
        <v/>
      </c>
      <c r="AV289" s="601" t="str">
        <f t="shared" ca="1" si="168"/>
        <v/>
      </c>
      <c r="AW289" s="601" t="str">
        <f t="shared" ca="1" si="168"/>
        <v/>
      </c>
      <c r="AX289" s="601" t="str">
        <f t="shared" ca="1" si="168"/>
        <v/>
      </c>
      <c r="AY289" s="601" t="str">
        <f t="shared" ca="1" si="168"/>
        <v/>
      </c>
      <c r="AZ289" s="601" t="str">
        <f t="shared" ca="1" si="168"/>
        <v/>
      </c>
      <c r="BA289" s="602" t="str">
        <f t="shared" ca="1" si="168"/>
        <v/>
      </c>
      <c r="BB289" s="650" t="str">
        <f t="shared" ca="1" si="168"/>
        <v/>
      </c>
      <c r="BC289" s="569"/>
      <c r="BD289" s="569"/>
      <c r="BE289" s="569"/>
      <c r="BF289" s="569"/>
      <c r="BG289" s="569"/>
      <c r="BH289" s="569"/>
      <c r="BI289" s="569"/>
      <c r="BJ289" s="569"/>
      <c r="BK289" s="569"/>
      <c r="BL289" s="569"/>
      <c r="BM289" s="569"/>
      <c r="BN289" s="569"/>
      <c r="BO289" s="569"/>
      <c r="BP289" s="569"/>
      <c r="BQ289" s="569"/>
      <c r="BR289" s="569"/>
      <c r="BS289" s="569"/>
      <c r="BT289" s="569"/>
      <c r="BU289" s="569"/>
      <c r="BV289" s="569"/>
      <c r="BW289" s="569"/>
      <c r="BX289" s="569"/>
      <c r="BY289" s="569"/>
      <c r="BZ289" s="569"/>
      <c r="CA289" s="569"/>
      <c r="CB289" s="569"/>
      <c r="CC289" s="569"/>
      <c r="CD289" s="569"/>
      <c r="CE289" s="569"/>
      <c r="CF289" s="569"/>
      <c r="CG289" s="569"/>
      <c r="CH289" s="569"/>
      <c r="CI289" s="569"/>
      <c r="CJ289" s="569"/>
      <c r="CK289" s="569"/>
      <c r="CL289" s="569"/>
      <c r="CM289" s="569"/>
      <c r="CN289" s="569"/>
      <c r="CO289" s="569"/>
      <c r="CP289" s="569"/>
      <c r="CQ289" s="569"/>
      <c r="CR289" s="569"/>
      <c r="CS289" s="569"/>
      <c r="CT289" s="569"/>
      <c r="CU289" s="569"/>
      <c r="CV289" s="569"/>
      <c r="CW289" s="569"/>
      <c r="CX289" s="569"/>
      <c r="CY289" s="569"/>
      <c r="CZ289" s="569"/>
      <c r="DA289" s="569"/>
      <c r="DB289" s="569"/>
      <c r="DC289" s="569"/>
      <c r="DD289" s="569"/>
      <c r="DE289" s="569"/>
      <c r="DF289" s="569"/>
      <c r="DG289" s="569"/>
      <c r="DH289" s="569"/>
      <c r="DI289" s="569"/>
      <c r="DJ289" s="569"/>
      <c r="DK289" s="569"/>
      <c r="DL289" s="569"/>
      <c r="DM289" s="569"/>
      <c r="DN289" s="569"/>
      <c r="DO289" s="569"/>
      <c r="DP289" s="569"/>
      <c r="DQ289" s="569"/>
      <c r="DR289" s="569"/>
      <c r="DS289" s="569"/>
      <c r="DT289" s="569"/>
      <c r="DU289" s="569"/>
      <c r="DV289" s="569"/>
      <c r="DW289" s="569"/>
      <c r="DX289" s="569"/>
      <c r="DY289" s="569"/>
      <c r="DZ289" s="569"/>
      <c r="EA289" s="569"/>
      <c r="EB289" s="569"/>
      <c r="EC289" s="569"/>
      <c r="ED289" s="569"/>
      <c r="EE289" s="569"/>
      <c r="EF289" s="569"/>
      <c r="EG289" s="569"/>
      <c r="EH289" s="569"/>
      <c r="EI289" s="569"/>
      <c r="EJ289" s="569"/>
      <c r="EK289" s="569"/>
      <c r="EL289" s="569"/>
      <c r="EM289" s="569"/>
      <c r="EN289" s="569"/>
      <c r="EO289" s="569"/>
      <c r="EP289" s="569"/>
      <c r="EQ289" s="569"/>
      <c r="ER289" s="569"/>
      <c r="ES289" s="569"/>
      <c r="ET289" s="569"/>
      <c r="EU289" s="569"/>
      <c r="EV289" s="569"/>
      <c r="EW289" s="569"/>
      <c r="EX289" s="569"/>
      <c r="EY289" s="569"/>
      <c r="EZ289" s="569"/>
      <c r="FA289" s="569"/>
      <c r="FB289" s="569"/>
      <c r="FC289" s="569"/>
      <c r="FD289" s="569"/>
      <c r="FE289" s="569"/>
      <c r="FF289" s="569"/>
      <c r="FG289" s="569"/>
      <c r="FH289" s="569"/>
      <c r="FI289" s="569"/>
      <c r="FJ289" s="569"/>
      <c r="FK289" s="569"/>
      <c r="FL289" s="569"/>
      <c r="FM289" s="569"/>
      <c r="FN289" s="569"/>
      <c r="FO289" s="569"/>
      <c r="FP289" s="569"/>
      <c r="FQ289" s="569"/>
      <c r="FR289" s="569"/>
      <c r="FS289" s="569"/>
      <c r="FT289" s="569"/>
      <c r="FU289" s="569"/>
      <c r="FV289" s="569"/>
      <c r="FW289" s="569"/>
      <c r="FX289" s="569"/>
      <c r="FY289" s="569"/>
      <c r="FZ289" s="569"/>
      <c r="GA289" s="569"/>
      <c r="GB289" s="569"/>
      <c r="GC289" s="569"/>
      <c r="GD289" s="569"/>
      <c r="GE289" s="569"/>
      <c r="GF289" s="569"/>
      <c r="GG289" s="569"/>
      <c r="GH289" s="569"/>
      <c r="GI289" s="569"/>
      <c r="GJ289" s="569"/>
      <c r="GK289" s="569"/>
      <c r="GL289" s="569"/>
      <c r="GM289" s="569"/>
      <c r="GN289" s="569"/>
      <c r="GO289" s="569"/>
      <c r="GP289" s="569"/>
      <c r="GQ289" s="569"/>
      <c r="GR289" s="569"/>
      <c r="GS289" s="569"/>
      <c r="GT289" s="569"/>
      <c r="GU289" s="569"/>
      <c r="GV289" s="569"/>
      <c r="GW289" s="569"/>
      <c r="GX289" s="569"/>
      <c r="GY289" s="569"/>
      <c r="GZ289" s="569"/>
      <c r="HA289" s="569"/>
      <c r="HB289" s="569"/>
      <c r="HC289" s="569"/>
      <c r="HD289" s="569"/>
      <c r="HE289" s="569"/>
      <c r="HF289" s="569"/>
      <c r="HG289" s="569"/>
      <c r="HH289" s="569"/>
      <c r="HI289" s="569"/>
      <c r="HJ289" s="569"/>
      <c r="HK289" s="569"/>
      <c r="IE289" s="579"/>
      <c r="IF289" s="579"/>
      <c r="IG289" s="579"/>
      <c r="IH289" s="579"/>
    </row>
    <row r="290" spans="1:242" s="164" customFormat="1" ht="20.100000000000001" hidden="1" customHeight="1">
      <c r="A290" s="569">
        <v>44</v>
      </c>
      <c r="B290" s="1052"/>
      <c r="C290" s="609" t="s">
        <v>677</v>
      </c>
      <c r="D290" s="610">
        <v>6</v>
      </c>
      <c r="E290" s="736" t="str">
        <f t="shared" ref="E290:AJ290" ca="1" si="169">IFERROR(OFFSET(貼付け_2026実績,$D290,E289+1)&amp;"","")</f>
        <v/>
      </c>
      <c r="F290" s="611" t="str">
        <f t="shared" ca="1" si="169"/>
        <v/>
      </c>
      <c r="G290" s="611" t="str">
        <f t="shared" ca="1" si="169"/>
        <v/>
      </c>
      <c r="H290" s="611" t="str">
        <f t="shared" ca="1" si="169"/>
        <v/>
      </c>
      <c r="I290" s="611" t="str">
        <f t="shared" ca="1" si="169"/>
        <v/>
      </c>
      <c r="J290" s="611" t="str">
        <f t="shared" ca="1" si="169"/>
        <v/>
      </c>
      <c r="K290" s="611" t="str">
        <f t="shared" ca="1" si="169"/>
        <v/>
      </c>
      <c r="L290" s="611" t="str">
        <f t="shared" ca="1" si="169"/>
        <v/>
      </c>
      <c r="M290" s="611" t="str">
        <f t="shared" ca="1" si="169"/>
        <v/>
      </c>
      <c r="N290" s="611" t="str">
        <f t="shared" ca="1" si="169"/>
        <v/>
      </c>
      <c r="O290" s="611" t="str">
        <f ca="1">IFERROR(OFFSET(貼付け_2026実績,$D290,O289+1)&amp;"","")</f>
        <v/>
      </c>
      <c r="P290" s="611" t="str">
        <f t="shared" ca="1" si="169"/>
        <v/>
      </c>
      <c r="Q290" s="611" t="str">
        <f t="shared" ca="1" si="169"/>
        <v/>
      </c>
      <c r="R290" s="611" t="str">
        <f t="shared" ca="1" si="169"/>
        <v/>
      </c>
      <c r="S290" s="611" t="str">
        <f t="shared" ca="1" si="169"/>
        <v/>
      </c>
      <c r="T290" s="611" t="str">
        <f t="shared" ca="1" si="169"/>
        <v/>
      </c>
      <c r="U290" s="611" t="str">
        <f t="shared" ca="1" si="169"/>
        <v/>
      </c>
      <c r="V290" s="611" t="str">
        <f t="shared" ca="1" si="169"/>
        <v/>
      </c>
      <c r="W290" s="611" t="str">
        <f t="shared" ca="1" si="169"/>
        <v/>
      </c>
      <c r="X290" s="611" t="str">
        <f t="shared" ca="1" si="169"/>
        <v/>
      </c>
      <c r="Y290" s="611" t="str">
        <f t="shared" ca="1" si="169"/>
        <v/>
      </c>
      <c r="Z290" s="611" t="str">
        <f t="shared" ca="1" si="169"/>
        <v/>
      </c>
      <c r="AA290" s="611" t="str">
        <f t="shared" ca="1" si="169"/>
        <v/>
      </c>
      <c r="AB290" s="611" t="str">
        <f t="shared" ca="1" si="169"/>
        <v/>
      </c>
      <c r="AC290" s="611" t="str">
        <f t="shared" ca="1" si="169"/>
        <v/>
      </c>
      <c r="AD290" s="611" t="str">
        <f t="shared" ca="1" si="169"/>
        <v/>
      </c>
      <c r="AE290" s="611" t="str">
        <f t="shared" ca="1" si="169"/>
        <v/>
      </c>
      <c r="AF290" s="611" t="str">
        <f t="shared" ca="1" si="169"/>
        <v/>
      </c>
      <c r="AG290" s="611" t="str">
        <f t="shared" ca="1" si="169"/>
        <v/>
      </c>
      <c r="AH290" s="611" t="str">
        <f t="shared" ca="1" si="169"/>
        <v/>
      </c>
      <c r="AI290" s="611" t="str">
        <f t="shared" ca="1" si="169"/>
        <v/>
      </c>
      <c r="AJ290" s="611" t="str">
        <f t="shared" ca="1" si="169"/>
        <v/>
      </c>
      <c r="AK290" s="611" t="str">
        <f t="shared" ref="AK290:BB290" ca="1" si="170">IFERROR(OFFSET(貼付け_2026実績,$D290,AK289+1)&amp;"","")</f>
        <v/>
      </c>
      <c r="AL290" s="611" t="str">
        <f t="shared" ca="1" si="170"/>
        <v/>
      </c>
      <c r="AM290" s="611" t="str">
        <f t="shared" ca="1" si="170"/>
        <v/>
      </c>
      <c r="AN290" s="611" t="str">
        <f t="shared" ca="1" si="170"/>
        <v/>
      </c>
      <c r="AO290" s="611" t="str">
        <f t="shared" ca="1" si="170"/>
        <v/>
      </c>
      <c r="AP290" s="611" t="str">
        <f t="shared" ca="1" si="170"/>
        <v/>
      </c>
      <c r="AQ290" s="611" t="str">
        <f t="shared" ca="1" si="170"/>
        <v/>
      </c>
      <c r="AR290" s="611" t="str">
        <f t="shared" ca="1" si="170"/>
        <v/>
      </c>
      <c r="AS290" s="611" t="str">
        <f t="shared" ca="1" si="170"/>
        <v/>
      </c>
      <c r="AT290" s="611" t="str">
        <f t="shared" ca="1" si="170"/>
        <v/>
      </c>
      <c r="AU290" s="611" t="str">
        <f t="shared" ca="1" si="170"/>
        <v/>
      </c>
      <c r="AV290" s="611" t="str">
        <f t="shared" ca="1" si="170"/>
        <v/>
      </c>
      <c r="AW290" s="611" t="str">
        <f t="shared" ca="1" si="170"/>
        <v/>
      </c>
      <c r="AX290" s="611" t="str">
        <f t="shared" ca="1" si="170"/>
        <v/>
      </c>
      <c r="AY290" s="611" t="str">
        <f t="shared" ca="1" si="170"/>
        <v/>
      </c>
      <c r="AZ290" s="611" t="str">
        <f t="shared" ca="1" si="170"/>
        <v/>
      </c>
      <c r="BA290" s="612" t="str">
        <f t="shared" ca="1" si="170"/>
        <v/>
      </c>
      <c r="BB290" s="652" t="str">
        <f t="shared" ca="1" si="170"/>
        <v/>
      </c>
      <c r="BC290" s="613"/>
      <c r="IE290" s="579"/>
      <c r="IF290" s="579"/>
      <c r="IG290" s="579"/>
      <c r="IH290" s="579"/>
    </row>
    <row r="291" spans="1:242" s="164" customFormat="1" ht="20.100000000000001" hidden="1" customHeight="1">
      <c r="A291" s="569">
        <v>45</v>
      </c>
      <c r="B291" s="1052"/>
      <c r="C291" s="614" t="s">
        <v>678</v>
      </c>
      <c r="D291" s="615">
        <v>99</v>
      </c>
      <c r="E291" s="737" t="str">
        <f t="shared" ref="E291:AJ291" ca="1" si="171">IFERROR(OFFSET(貼付け_2026実績,$D291,E289),"")&amp;""</f>
        <v/>
      </c>
      <c r="F291" s="616" t="str">
        <f t="shared" ca="1" si="171"/>
        <v/>
      </c>
      <c r="G291" s="616" t="str">
        <f t="shared" ca="1" si="171"/>
        <v/>
      </c>
      <c r="H291" s="616" t="str">
        <f t="shared" ca="1" si="171"/>
        <v/>
      </c>
      <c r="I291" s="616" t="str">
        <f t="shared" ca="1" si="171"/>
        <v/>
      </c>
      <c r="J291" s="616" t="str">
        <f t="shared" ca="1" si="171"/>
        <v/>
      </c>
      <c r="K291" s="616" t="str">
        <f t="shared" ca="1" si="171"/>
        <v/>
      </c>
      <c r="L291" s="616" t="str">
        <f t="shared" ca="1" si="171"/>
        <v/>
      </c>
      <c r="M291" s="616" t="str">
        <f t="shared" ca="1" si="171"/>
        <v/>
      </c>
      <c r="N291" s="616" t="str">
        <f t="shared" ca="1" si="171"/>
        <v/>
      </c>
      <c r="O291" s="616" t="str">
        <f ca="1">IFERROR(OFFSET(貼付け_2026実績,$D291,O289),"")&amp;""</f>
        <v/>
      </c>
      <c r="P291" s="616" t="str">
        <f t="shared" ca="1" si="171"/>
        <v/>
      </c>
      <c r="Q291" s="616" t="str">
        <f t="shared" ca="1" si="171"/>
        <v/>
      </c>
      <c r="R291" s="616" t="str">
        <f t="shared" ca="1" si="171"/>
        <v/>
      </c>
      <c r="S291" s="616" t="str">
        <f t="shared" ca="1" si="171"/>
        <v/>
      </c>
      <c r="T291" s="616" t="str">
        <f t="shared" ca="1" si="171"/>
        <v/>
      </c>
      <c r="U291" s="616" t="str">
        <f t="shared" ca="1" si="171"/>
        <v/>
      </c>
      <c r="V291" s="616" t="str">
        <f t="shared" ca="1" si="171"/>
        <v/>
      </c>
      <c r="W291" s="616" t="str">
        <f t="shared" ca="1" si="171"/>
        <v/>
      </c>
      <c r="X291" s="616" t="str">
        <f t="shared" ca="1" si="171"/>
        <v/>
      </c>
      <c r="Y291" s="616" t="str">
        <f t="shared" ca="1" si="171"/>
        <v/>
      </c>
      <c r="Z291" s="616" t="str">
        <f t="shared" ca="1" si="171"/>
        <v/>
      </c>
      <c r="AA291" s="616" t="str">
        <f t="shared" ca="1" si="171"/>
        <v/>
      </c>
      <c r="AB291" s="616" t="str">
        <f t="shared" ca="1" si="171"/>
        <v/>
      </c>
      <c r="AC291" s="616" t="str">
        <f t="shared" ca="1" si="171"/>
        <v/>
      </c>
      <c r="AD291" s="616" t="str">
        <f t="shared" ca="1" si="171"/>
        <v/>
      </c>
      <c r="AE291" s="616" t="str">
        <f t="shared" ca="1" si="171"/>
        <v/>
      </c>
      <c r="AF291" s="616" t="str">
        <f t="shared" ca="1" si="171"/>
        <v/>
      </c>
      <c r="AG291" s="616" t="str">
        <f t="shared" ca="1" si="171"/>
        <v/>
      </c>
      <c r="AH291" s="616" t="str">
        <f t="shared" ca="1" si="171"/>
        <v/>
      </c>
      <c r="AI291" s="616" t="str">
        <f t="shared" ca="1" si="171"/>
        <v/>
      </c>
      <c r="AJ291" s="616" t="str">
        <f t="shared" ca="1" si="171"/>
        <v/>
      </c>
      <c r="AK291" s="616" t="str">
        <f t="shared" ref="AK291:BB291" ca="1" si="172">IFERROR(OFFSET(貼付け_2026実績,$D291,AK289),"")&amp;""</f>
        <v/>
      </c>
      <c r="AL291" s="616" t="str">
        <f t="shared" ca="1" si="172"/>
        <v/>
      </c>
      <c r="AM291" s="616" t="str">
        <f t="shared" ca="1" si="172"/>
        <v/>
      </c>
      <c r="AN291" s="616" t="str">
        <f t="shared" ca="1" si="172"/>
        <v/>
      </c>
      <c r="AO291" s="616" t="str">
        <f t="shared" ca="1" si="172"/>
        <v/>
      </c>
      <c r="AP291" s="616" t="str">
        <f t="shared" ca="1" si="172"/>
        <v/>
      </c>
      <c r="AQ291" s="616" t="str">
        <f t="shared" ca="1" si="172"/>
        <v/>
      </c>
      <c r="AR291" s="616" t="str">
        <f t="shared" ca="1" si="172"/>
        <v/>
      </c>
      <c r="AS291" s="616" t="str">
        <f t="shared" ca="1" si="172"/>
        <v/>
      </c>
      <c r="AT291" s="616" t="str">
        <f t="shared" ca="1" si="172"/>
        <v/>
      </c>
      <c r="AU291" s="616" t="str">
        <f t="shared" ca="1" si="172"/>
        <v/>
      </c>
      <c r="AV291" s="616" t="str">
        <f t="shared" ca="1" si="172"/>
        <v/>
      </c>
      <c r="AW291" s="616" t="str">
        <f t="shared" ca="1" si="172"/>
        <v/>
      </c>
      <c r="AX291" s="616" t="str">
        <f t="shared" ca="1" si="172"/>
        <v/>
      </c>
      <c r="AY291" s="616" t="str">
        <f t="shared" ca="1" si="172"/>
        <v/>
      </c>
      <c r="AZ291" s="616" t="str">
        <f t="shared" ca="1" si="172"/>
        <v/>
      </c>
      <c r="BA291" s="616" t="str">
        <f t="shared" ca="1" si="172"/>
        <v/>
      </c>
      <c r="BB291" s="653" t="str">
        <f t="shared" ca="1" si="172"/>
        <v/>
      </c>
      <c r="IE291" s="579"/>
      <c r="IF291" s="579"/>
      <c r="IG291" s="579"/>
      <c r="IH291" s="579"/>
    </row>
    <row r="292" spans="1:242" s="164" customFormat="1" ht="20.100000000000001" hidden="1" customHeight="1">
      <c r="A292" s="569">
        <v>46</v>
      </c>
      <c r="B292" s="1052"/>
      <c r="C292" s="614" t="s">
        <v>679</v>
      </c>
      <c r="D292" s="615">
        <v>6</v>
      </c>
      <c r="E292" s="737" t="str">
        <f t="shared" ref="E292:AJ292" ca="1" si="173">IFERROR(OFFSET(A1_集計2026,$D292,E289),"")</f>
        <v/>
      </c>
      <c r="F292" s="616" t="str">
        <f t="shared" ca="1" si="173"/>
        <v/>
      </c>
      <c r="G292" s="616" t="str">
        <f t="shared" ca="1" si="173"/>
        <v/>
      </c>
      <c r="H292" s="616" t="str">
        <f t="shared" ca="1" si="173"/>
        <v/>
      </c>
      <c r="I292" s="616" t="str">
        <f t="shared" ca="1" si="173"/>
        <v/>
      </c>
      <c r="J292" s="616" t="str">
        <f t="shared" ca="1" si="173"/>
        <v/>
      </c>
      <c r="K292" s="616" t="str">
        <f t="shared" ca="1" si="173"/>
        <v/>
      </c>
      <c r="L292" s="616" t="str">
        <f t="shared" ca="1" si="173"/>
        <v/>
      </c>
      <c r="M292" s="616" t="str">
        <f t="shared" ca="1" si="173"/>
        <v/>
      </c>
      <c r="N292" s="616" t="str">
        <f t="shared" ca="1" si="173"/>
        <v/>
      </c>
      <c r="O292" s="616" t="str">
        <f ca="1">IFERROR(OFFSET(A1_集計2026,$D292,O289),"")</f>
        <v/>
      </c>
      <c r="P292" s="616" t="str">
        <f t="shared" ca="1" si="173"/>
        <v/>
      </c>
      <c r="Q292" s="616" t="str">
        <f t="shared" ca="1" si="173"/>
        <v/>
      </c>
      <c r="R292" s="616" t="str">
        <f t="shared" ca="1" si="173"/>
        <v/>
      </c>
      <c r="S292" s="616" t="str">
        <f t="shared" ca="1" si="173"/>
        <v/>
      </c>
      <c r="T292" s="616" t="str">
        <f t="shared" ca="1" si="173"/>
        <v/>
      </c>
      <c r="U292" s="616" t="str">
        <f t="shared" ca="1" si="173"/>
        <v/>
      </c>
      <c r="V292" s="616" t="str">
        <f t="shared" ca="1" si="173"/>
        <v/>
      </c>
      <c r="W292" s="616" t="str">
        <f t="shared" ca="1" si="173"/>
        <v/>
      </c>
      <c r="X292" s="616" t="str">
        <f t="shared" ca="1" si="173"/>
        <v/>
      </c>
      <c r="Y292" s="616" t="str">
        <f t="shared" ca="1" si="173"/>
        <v/>
      </c>
      <c r="Z292" s="616" t="str">
        <f t="shared" ca="1" si="173"/>
        <v/>
      </c>
      <c r="AA292" s="616" t="str">
        <f t="shared" ca="1" si="173"/>
        <v/>
      </c>
      <c r="AB292" s="616" t="str">
        <f t="shared" ca="1" si="173"/>
        <v/>
      </c>
      <c r="AC292" s="616" t="str">
        <f t="shared" ca="1" si="173"/>
        <v/>
      </c>
      <c r="AD292" s="616" t="str">
        <f t="shared" ca="1" si="173"/>
        <v/>
      </c>
      <c r="AE292" s="616" t="str">
        <f t="shared" ca="1" si="173"/>
        <v/>
      </c>
      <c r="AF292" s="616" t="str">
        <f t="shared" ca="1" si="173"/>
        <v/>
      </c>
      <c r="AG292" s="616" t="str">
        <f t="shared" ca="1" si="173"/>
        <v/>
      </c>
      <c r="AH292" s="616" t="str">
        <f t="shared" ca="1" si="173"/>
        <v/>
      </c>
      <c r="AI292" s="616" t="str">
        <f t="shared" ca="1" si="173"/>
        <v/>
      </c>
      <c r="AJ292" s="616" t="str">
        <f t="shared" ca="1" si="173"/>
        <v/>
      </c>
      <c r="AK292" s="616" t="str">
        <f t="shared" ref="AK292:BB292" ca="1" si="174">IFERROR(OFFSET(A1_集計2026,$D292,AK289),"")</f>
        <v/>
      </c>
      <c r="AL292" s="616" t="str">
        <f t="shared" ca="1" si="174"/>
        <v/>
      </c>
      <c r="AM292" s="616" t="str">
        <f t="shared" ca="1" si="174"/>
        <v/>
      </c>
      <c r="AN292" s="616" t="str">
        <f t="shared" ca="1" si="174"/>
        <v/>
      </c>
      <c r="AO292" s="616" t="str">
        <f t="shared" ca="1" si="174"/>
        <v/>
      </c>
      <c r="AP292" s="616" t="str">
        <f t="shared" ca="1" si="174"/>
        <v/>
      </c>
      <c r="AQ292" s="616" t="str">
        <f t="shared" ca="1" si="174"/>
        <v/>
      </c>
      <c r="AR292" s="616" t="str">
        <f t="shared" ca="1" si="174"/>
        <v/>
      </c>
      <c r="AS292" s="616" t="str">
        <f t="shared" ca="1" si="174"/>
        <v/>
      </c>
      <c r="AT292" s="616" t="str">
        <f t="shared" ca="1" si="174"/>
        <v/>
      </c>
      <c r="AU292" s="616" t="str">
        <f t="shared" ca="1" si="174"/>
        <v/>
      </c>
      <c r="AV292" s="616" t="str">
        <f t="shared" ca="1" si="174"/>
        <v/>
      </c>
      <c r="AW292" s="616" t="str">
        <f t="shared" ca="1" si="174"/>
        <v/>
      </c>
      <c r="AX292" s="616" t="str">
        <f t="shared" ca="1" si="174"/>
        <v/>
      </c>
      <c r="AY292" s="616" t="str">
        <f t="shared" ca="1" si="174"/>
        <v/>
      </c>
      <c r="AZ292" s="616" t="str">
        <f t="shared" ca="1" si="174"/>
        <v/>
      </c>
      <c r="BA292" s="587" t="str">
        <f t="shared" ca="1" si="174"/>
        <v/>
      </c>
      <c r="BB292" s="653" t="str">
        <f t="shared" ca="1" si="174"/>
        <v/>
      </c>
      <c r="IE292" s="579"/>
      <c r="IF292" s="579"/>
      <c r="IG292" s="579"/>
      <c r="IH292" s="579"/>
    </row>
    <row r="293" spans="1:242" s="164" customFormat="1" ht="20.100000000000001" hidden="1" customHeight="1">
      <c r="A293" s="569">
        <v>47</v>
      </c>
      <c r="B293" s="1052"/>
      <c r="C293" s="614" t="s">
        <v>680</v>
      </c>
      <c r="D293" s="615">
        <v>101</v>
      </c>
      <c r="E293" s="737" t="str">
        <f t="shared" ref="E293:AJ293" ca="1" si="175">IFERROR(OFFSET(貼付け_2026実績,$D293,E289),"")</f>
        <v/>
      </c>
      <c r="F293" s="616" t="str">
        <f t="shared" ca="1" si="175"/>
        <v/>
      </c>
      <c r="G293" s="616" t="str">
        <f t="shared" ca="1" si="175"/>
        <v/>
      </c>
      <c r="H293" s="616" t="str">
        <f t="shared" ca="1" si="175"/>
        <v/>
      </c>
      <c r="I293" s="616" t="str">
        <f t="shared" ca="1" si="175"/>
        <v/>
      </c>
      <c r="J293" s="616" t="str">
        <f t="shared" ca="1" si="175"/>
        <v/>
      </c>
      <c r="K293" s="616" t="str">
        <f t="shared" ca="1" si="175"/>
        <v/>
      </c>
      <c r="L293" s="616" t="str">
        <f t="shared" ca="1" si="175"/>
        <v/>
      </c>
      <c r="M293" s="616" t="str">
        <f t="shared" ca="1" si="175"/>
        <v/>
      </c>
      <c r="N293" s="616" t="str">
        <f t="shared" ca="1" si="175"/>
        <v/>
      </c>
      <c r="O293" s="616" t="str">
        <f ca="1">IFERROR(OFFSET(貼付け_2026実績,$D293,O289),"")</f>
        <v/>
      </c>
      <c r="P293" s="616" t="str">
        <f t="shared" ca="1" si="175"/>
        <v/>
      </c>
      <c r="Q293" s="616" t="str">
        <f t="shared" ca="1" si="175"/>
        <v/>
      </c>
      <c r="R293" s="616" t="str">
        <f t="shared" ca="1" si="175"/>
        <v/>
      </c>
      <c r="S293" s="616" t="str">
        <f t="shared" ca="1" si="175"/>
        <v/>
      </c>
      <c r="T293" s="616" t="str">
        <f t="shared" ca="1" si="175"/>
        <v/>
      </c>
      <c r="U293" s="616" t="str">
        <f t="shared" ca="1" si="175"/>
        <v/>
      </c>
      <c r="V293" s="616" t="str">
        <f t="shared" ca="1" si="175"/>
        <v/>
      </c>
      <c r="W293" s="616" t="str">
        <f t="shared" ca="1" si="175"/>
        <v/>
      </c>
      <c r="X293" s="616" t="str">
        <f t="shared" ca="1" si="175"/>
        <v/>
      </c>
      <c r="Y293" s="616" t="str">
        <f t="shared" ca="1" si="175"/>
        <v/>
      </c>
      <c r="Z293" s="616" t="str">
        <f t="shared" ca="1" si="175"/>
        <v/>
      </c>
      <c r="AA293" s="616" t="str">
        <f t="shared" ca="1" si="175"/>
        <v/>
      </c>
      <c r="AB293" s="616" t="str">
        <f t="shared" ca="1" si="175"/>
        <v/>
      </c>
      <c r="AC293" s="616" t="str">
        <f t="shared" ca="1" si="175"/>
        <v/>
      </c>
      <c r="AD293" s="616" t="str">
        <f t="shared" ca="1" si="175"/>
        <v/>
      </c>
      <c r="AE293" s="616" t="str">
        <f t="shared" ca="1" si="175"/>
        <v/>
      </c>
      <c r="AF293" s="616" t="str">
        <f t="shared" ca="1" si="175"/>
        <v/>
      </c>
      <c r="AG293" s="616" t="str">
        <f t="shared" ca="1" si="175"/>
        <v/>
      </c>
      <c r="AH293" s="616" t="str">
        <f t="shared" ca="1" si="175"/>
        <v/>
      </c>
      <c r="AI293" s="616" t="str">
        <f t="shared" ca="1" si="175"/>
        <v/>
      </c>
      <c r="AJ293" s="616" t="str">
        <f t="shared" ca="1" si="175"/>
        <v/>
      </c>
      <c r="AK293" s="616" t="str">
        <f t="shared" ref="AK293:BB293" ca="1" si="176">IFERROR(OFFSET(貼付け_2026実績,$D293,AK289),"")</f>
        <v/>
      </c>
      <c r="AL293" s="616" t="str">
        <f t="shared" ca="1" si="176"/>
        <v/>
      </c>
      <c r="AM293" s="616" t="str">
        <f t="shared" ca="1" si="176"/>
        <v/>
      </c>
      <c r="AN293" s="616" t="str">
        <f t="shared" ca="1" si="176"/>
        <v/>
      </c>
      <c r="AO293" s="616" t="str">
        <f t="shared" ca="1" si="176"/>
        <v/>
      </c>
      <c r="AP293" s="616" t="str">
        <f t="shared" ca="1" si="176"/>
        <v/>
      </c>
      <c r="AQ293" s="616" t="str">
        <f t="shared" ca="1" si="176"/>
        <v/>
      </c>
      <c r="AR293" s="616" t="str">
        <f t="shared" ca="1" si="176"/>
        <v/>
      </c>
      <c r="AS293" s="616" t="str">
        <f t="shared" ca="1" si="176"/>
        <v/>
      </c>
      <c r="AT293" s="616" t="str">
        <f t="shared" ca="1" si="176"/>
        <v/>
      </c>
      <c r="AU293" s="616" t="str">
        <f t="shared" ca="1" si="176"/>
        <v/>
      </c>
      <c r="AV293" s="616" t="str">
        <f t="shared" ca="1" si="176"/>
        <v/>
      </c>
      <c r="AW293" s="616" t="str">
        <f t="shared" ca="1" si="176"/>
        <v/>
      </c>
      <c r="AX293" s="616" t="str">
        <f t="shared" ca="1" si="176"/>
        <v/>
      </c>
      <c r="AY293" s="616" t="str">
        <f t="shared" ca="1" si="176"/>
        <v/>
      </c>
      <c r="AZ293" s="616" t="str">
        <f t="shared" ca="1" si="176"/>
        <v/>
      </c>
      <c r="BA293" s="587" t="str">
        <f t="shared" ca="1" si="176"/>
        <v/>
      </c>
      <c r="BB293" s="653" t="str">
        <f t="shared" ca="1" si="176"/>
        <v/>
      </c>
      <c r="IE293" s="579"/>
      <c r="IF293" s="579"/>
      <c r="IG293" s="579"/>
      <c r="IH293" s="579"/>
    </row>
    <row r="294" spans="1:242" s="164" customFormat="1" ht="20.100000000000001" hidden="1" customHeight="1">
      <c r="A294" s="569">
        <v>48</v>
      </c>
      <c r="B294" s="1052"/>
      <c r="C294" s="614" t="s">
        <v>681</v>
      </c>
      <c r="D294" s="615"/>
      <c r="E294" s="737" t="str">
        <f ca="1">IFERROR(E292/E293,"")</f>
        <v/>
      </c>
      <c r="F294" s="616" t="str">
        <f t="shared" ref="F294:BB294" ca="1" si="177">IFERROR(F292/F293,"")</f>
        <v/>
      </c>
      <c r="G294" s="616" t="str">
        <f t="shared" ca="1" si="177"/>
        <v/>
      </c>
      <c r="H294" s="616" t="str">
        <f t="shared" ca="1" si="177"/>
        <v/>
      </c>
      <c r="I294" s="616" t="str">
        <f t="shared" ca="1" si="177"/>
        <v/>
      </c>
      <c r="J294" s="616" t="str">
        <f t="shared" ca="1" si="177"/>
        <v/>
      </c>
      <c r="K294" s="616" t="str">
        <f t="shared" ca="1" si="177"/>
        <v/>
      </c>
      <c r="L294" s="616" t="str">
        <f t="shared" ca="1" si="177"/>
        <v/>
      </c>
      <c r="M294" s="616" t="str">
        <f t="shared" ca="1" si="177"/>
        <v/>
      </c>
      <c r="N294" s="616" t="str">
        <f t="shared" ca="1" si="177"/>
        <v/>
      </c>
      <c r="O294" s="616" t="str">
        <f t="shared" ca="1" si="177"/>
        <v/>
      </c>
      <c r="P294" s="616" t="str">
        <f t="shared" ca="1" si="177"/>
        <v/>
      </c>
      <c r="Q294" s="616" t="str">
        <f t="shared" ca="1" si="177"/>
        <v/>
      </c>
      <c r="R294" s="616" t="str">
        <f t="shared" ca="1" si="177"/>
        <v/>
      </c>
      <c r="S294" s="616" t="str">
        <f t="shared" ca="1" si="177"/>
        <v/>
      </c>
      <c r="T294" s="616" t="str">
        <f t="shared" ca="1" si="177"/>
        <v/>
      </c>
      <c r="U294" s="616" t="str">
        <f t="shared" ca="1" si="177"/>
        <v/>
      </c>
      <c r="V294" s="616" t="str">
        <f t="shared" ca="1" si="177"/>
        <v/>
      </c>
      <c r="W294" s="616" t="str">
        <f t="shared" ca="1" si="177"/>
        <v/>
      </c>
      <c r="X294" s="616" t="str">
        <f t="shared" ca="1" si="177"/>
        <v/>
      </c>
      <c r="Y294" s="616" t="str">
        <f t="shared" ca="1" si="177"/>
        <v/>
      </c>
      <c r="Z294" s="616" t="str">
        <f t="shared" ca="1" si="177"/>
        <v/>
      </c>
      <c r="AA294" s="616" t="str">
        <f t="shared" ca="1" si="177"/>
        <v/>
      </c>
      <c r="AB294" s="616" t="str">
        <f t="shared" ca="1" si="177"/>
        <v/>
      </c>
      <c r="AC294" s="616" t="str">
        <f t="shared" ca="1" si="177"/>
        <v/>
      </c>
      <c r="AD294" s="616" t="str">
        <f t="shared" ca="1" si="177"/>
        <v/>
      </c>
      <c r="AE294" s="616" t="str">
        <f t="shared" ca="1" si="177"/>
        <v/>
      </c>
      <c r="AF294" s="616" t="str">
        <f t="shared" ca="1" si="177"/>
        <v/>
      </c>
      <c r="AG294" s="616" t="str">
        <f t="shared" ca="1" si="177"/>
        <v/>
      </c>
      <c r="AH294" s="616" t="str">
        <f t="shared" ca="1" si="177"/>
        <v/>
      </c>
      <c r="AI294" s="616" t="str">
        <f t="shared" ca="1" si="177"/>
        <v/>
      </c>
      <c r="AJ294" s="616" t="str">
        <f t="shared" ca="1" si="177"/>
        <v/>
      </c>
      <c r="AK294" s="616" t="str">
        <f t="shared" ca="1" si="177"/>
        <v/>
      </c>
      <c r="AL294" s="616" t="str">
        <f t="shared" ca="1" si="177"/>
        <v/>
      </c>
      <c r="AM294" s="616" t="str">
        <f t="shared" ca="1" si="177"/>
        <v/>
      </c>
      <c r="AN294" s="616" t="str">
        <f t="shared" ca="1" si="177"/>
        <v/>
      </c>
      <c r="AO294" s="616" t="str">
        <f t="shared" ca="1" si="177"/>
        <v/>
      </c>
      <c r="AP294" s="616" t="str">
        <f t="shared" ca="1" si="177"/>
        <v/>
      </c>
      <c r="AQ294" s="616" t="str">
        <f t="shared" ca="1" si="177"/>
        <v/>
      </c>
      <c r="AR294" s="616" t="str">
        <f t="shared" ca="1" si="177"/>
        <v/>
      </c>
      <c r="AS294" s="616" t="str">
        <f t="shared" ca="1" si="177"/>
        <v/>
      </c>
      <c r="AT294" s="616" t="str">
        <f t="shared" ca="1" si="177"/>
        <v/>
      </c>
      <c r="AU294" s="616" t="str">
        <f t="shared" ca="1" si="177"/>
        <v/>
      </c>
      <c r="AV294" s="616" t="str">
        <f t="shared" ca="1" si="177"/>
        <v/>
      </c>
      <c r="AW294" s="616" t="str">
        <f t="shared" ca="1" si="177"/>
        <v/>
      </c>
      <c r="AX294" s="616" t="str">
        <f t="shared" ca="1" si="177"/>
        <v/>
      </c>
      <c r="AY294" s="616" t="str">
        <f t="shared" ca="1" si="177"/>
        <v/>
      </c>
      <c r="AZ294" s="616" t="str">
        <f t="shared" ca="1" si="177"/>
        <v/>
      </c>
      <c r="BA294" s="587" t="str">
        <f t="shared" ca="1" si="177"/>
        <v/>
      </c>
      <c r="BB294" s="653" t="str">
        <f t="shared" ca="1" si="177"/>
        <v/>
      </c>
      <c r="IE294" s="579"/>
      <c r="IF294" s="579"/>
      <c r="IG294" s="579"/>
      <c r="IH294" s="579"/>
    </row>
    <row r="295" spans="1:242" ht="20.399999999999999" hidden="1" thickBot="1">
      <c r="A295" s="569">
        <v>49</v>
      </c>
      <c r="B295" s="1053"/>
      <c r="C295" s="617" t="s">
        <v>682</v>
      </c>
      <c r="D295" s="618">
        <v>48</v>
      </c>
      <c r="E295" s="738" t="str">
        <f t="shared" ref="E295:AJ295" ca="1" si="178">IFERROR(1-(E294/OFFSET(A1_原単位2025,$D295,E$247+2)),"")</f>
        <v/>
      </c>
      <c r="F295" s="619" t="str">
        <f t="shared" ca="1" si="178"/>
        <v/>
      </c>
      <c r="G295" s="619" t="str">
        <f t="shared" ca="1" si="178"/>
        <v/>
      </c>
      <c r="H295" s="619" t="str">
        <f t="shared" ca="1" si="178"/>
        <v/>
      </c>
      <c r="I295" s="619" t="str">
        <f t="shared" ca="1" si="178"/>
        <v/>
      </c>
      <c r="J295" s="619" t="str">
        <f t="shared" ca="1" si="178"/>
        <v/>
      </c>
      <c r="K295" s="619" t="str">
        <f t="shared" ca="1" si="178"/>
        <v/>
      </c>
      <c r="L295" s="619" t="str">
        <f t="shared" ca="1" si="178"/>
        <v/>
      </c>
      <c r="M295" s="619" t="str">
        <f t="shared" ca="1" si="178"/>
        <v/>
      </c>
      <c r="N295" s="619" t="str">
        <f t="shared" ca="1" si="178"/>
        <v/>
      </c>
      <c r="O295" s="619" t="str">
        <f t="shared" ca="1" si="178"/>
        <v/>
      </c>
      <c r="P295" s="619" t="str">
        <f t="shared" ca="1" si="178"/>
        <v/>
      </c>
      <c r="Q295" s="619" t="str">
        <f t="shared" ca="1" si="178"/>
        <v/>
      </c>
      <c r="R295" s="619" t="str">
        <f t="shared" ca="1" si="178"/>
        <v/>
      </c>
      <c r="S295" s="619" t="str">
        <f t="shared" ca="1" si="178"/>
        <v/>
      </c>
      <c r="T295" s="619" t="str">
        <f t="shared" ca="1" si="178"/>
        <v/>
      </c>
      <c r="U295" s="619" t="str">
        <f t="shared" ca="1" si="178"/>
        <v/>
      </c>
      <c r="V295" s="619" t="str">
        <f t="shared" ca="1" si="178"/>
        <v/>
      </c>
      <c r="W295" s="619" t="str">
        <f t="shared" ca="1" si="178"/>
        <v/>
      </c>
      <c r="X295" s="619" t="str">
        <f t="shared" ca="1" si="178"/>
        <v/>
      </c>
      <c r="Y295" s="619" t="str">
        <f t="shared" ca="1" si="178"/>
        <v/>
      </c>
      <c r="Z295" s="619" t="str">
        <f t="shared" ca="1" si="178"/>
        <v/>
      </c>
      <c r="AA295" s="619" t="str">
        <f t="shared" ca="1" si="178"/>
        <v/>
      </c>
      <c r="AB295" s="619" t="str">
        <f t="shared" ca="1" si="178"/>
        <v/>
      </c>
      <c r="AC295" s="619" t="str">
        <f t="shared" ca="1" si="178"/>
        <v/>
      </c>
      <c r="AD295" s="619" t="str">
        <f t="shared" ca="1" si="178"/>
        <v/>
      </c>
      <c r="AE295" s="619" t="str">
        <f t="shared" ca="1" si="178"/>
        <v/>
      </c>
      <c r="AF295" s="619" t="str">
        <f t="shared" ca="1" si="178"/>
        <v/>
      </c>
      <c r="AG295" s="619" t="str">
        <f t="shared" ca="1" si="178"/>
        <v/>
      </c>
      <c r="AH295" s="619" t="str">
        <f t="shared" ca="1" si="178"/>
        <v/>
      </c>
      <c r="AI295" s="619" t="str">
        <f t="shared" ca="1" si="178"/>
        <v/>
      </c>
      <c r="AJ295" s="619" t="str">
        <f t="shared" ca="1" si="178"/>
        <v/>
      </c>
      <c r="AK295" s="619" t="str">
        <f t="shared" ref="AK295:BB295" ca="1" si="179">IFERROR(1-(AK294/OFFSET(A1_原単位2025,$D295,AK$247+2)),"")</f>
        <v/>
      </c>
      <c r="AL295" s="619" t="str">
        <f t="shared" ca="1" si="179"/>
        <v/>
      </c>
      <c r="AM295" s="619" t="str">
        <f t="shared" ca="1" si="179"/>
        <v/>
      </c>
      <c r="AN295" s="619" t="str">
        <f t="shared" ca="1" si="179"/>
        <v/>
      </c>
      <c r="AO295" s="619" t="str">
        <f t="shared" ca="1" si="179"/>
        <v/>
      </c>
      <c r="AP295" s="619" t="str">
        <f t="shared" ca="1" si="179"/>
        <v/>
      </c>
      <c r="AQ295" s="619" t="str">
        <f t="shared" ca="1" si="179"/>
        <v/>
      </c>
      <c r="AR295" s="619" t="str">
        <f t="shared" ca="1" si="179"/>
        <v/>
      </c>
      <c r="AS295" s="619" t="str">
        <f t="shared" ca="1" si="179"/>
        <v/>
      </c>
      <c r="AT295" s="619" t="str">
        <f t="shared" ca="1" si="179"/>
        <v/>
      </c>
      <c r="AU295" s="619" t="str">
        <f t="shared" ca="1" si="179"/>
        <v/>
      </c>
      <c r="AV295" s="619" t="str">
        <f t="shared" ca="1" si="179"/>
        <v/>
      </c>
      <c r="AW295" s="619" t="str">
        <f t="shared" ca="1" si="179"/>
        <v/>
      </c>
      <c r="AX295" s="619" t="str">
        <f t="shared" ca="1" si="179"/>
        <v/>
      </c>
      <c r="AY295" s="619" t="str">
        <f t="shared" ca="1" si="179"/>
        <v/>
      </c>
      <c r="AZ295" s="619" t="str">
        <f t="shared" ca="1" si="179"/>
        <v/>
      </c>
      <c r="BA295" s="619" t="str">
        <f t="shared" ca="1" si="179"/>
        <v/>
      </c>
      <c r="BB295" s="739" t="str">
        <f t="shared" ca="1" si="179"/>
        <v/>
      </c>
      <c r="BC295" s="164"/>
      <c r="BD295" s="164"/>
      <c r="BE295" s="164"/>
      <c r="BF295" s="164"/>
      <c r="BG295" s="164"/>
      <c r="BH295" s="164"/>
      <c r="BI295" s="164"/>
      <c r="BJ295" s="164"/>
      <c r="BK295" s="164"/>
      <c r="BL295" s="164"/>
      <c r="BM295" s="164"/>
      <c r="BN295" s="164"/>
      <c r="BO295" s="164"/>
      <c r="BP295" s="164"/>
      <c r="BQ295" s="164"/>
      <c r="BR295" s="164"/>
      <c r="BS295" s="164"/>
      <c r="BT295" s="164"/>
      <c r="BU295" s="164"/>
      <c r="BV295" s="164"/>
      <c r="BW295" s="164"/>
      <c r="BX295" s="164"/>
      <c r="BY295" s="164"/>
      <c r="BZ295" s="164"/>
      <c r="CA295" s="164"/>
      <c r="CB295" s="164"/>
      <c r="CC295" s="164"/>
      <c r="CD295" s="164"/>
      <c r="CE295" s="164"/>
      <c r="CF295" s="164"/>
      <c r="CG295" s="164"/>
      <c r="CH295" s="164"/>
      <c r="CI295" s="164"/>
      <c r="CJ295" s="164"/>
      <c r="CK295" s="164"/>
      <c r="CL295" s="164"/>
      <c r="CM295" s="164"/>
      <c r="CN295" s="164"/>
      <c r="CO295" s="164"/>
      <c r="CP295" s="164"/>
      <c r="CQ295" s="164"/>
      <c r="CR295" s="164"/>
      <c r="CS295" s="164"/>
      <c r="CT295" s="164"/>
      <c r="CU295" s="164"/>
      <c r="CV295" s="164"/>
      <c r="CW295" s="164"/>
      <c r="CX295" s="164"/>
      <c r="CY295" s="164"/>
      <c r="CZ295" s="164"/>
      <c r="DA295" s="164"/>
      <c r="DB295" s="164"/>
      <c r="DC295" s="164"/>
      <c r="DD295" s="164"/>
      <c r="DE295" s="164"/>
      <c r="DF295" s="164"/>
      <c r="DG295" s="164"/>
      <c r="DH295" s="164"/>
      <c r="DI295" s="164"/>
      <c r="DJ295" s="164"/>
      <c r="DK295" s="164"/>
      <c r="DL295" s="164"/>
      <c r="DM295" s="164"/>
      <c r="DN295" s="164"/>
      <c r="DO295" s="164"/>
      <c r="DP295" s="164"/>
      <c r="DQ295" s="164"/>
      <c r="DR295" s="164"/>
      <c r="DS295" s="164"/>
      <c r="DT295" s="164"/>
      <c r="DU295" s="164"/>
      <c r="DV295" s="164"/>
      <c r="DW295" s="164"/>
      <c r="DX295" s="164"/>
      <c r="DY295" s="164"/>
      <c r="DZ295" s="164"/>
      <c r="EA295" s="164"/>
      <c r="EB295" s="164"/>
      <c r="EC295" s="164"/>
      <c r="ED295" s="164"/>
      <c r="EE295" s="164"/>
      <c r="EF295" s="164"/>
      <c r="EG295" s="164"/>
      <c r="EH295" s="164"/>
      <c r="EI295" s="164"/>
      <c r="EJ295" s="164"/>
      <c r="EK295" s="164"/>
      <c r="EL295" s="164"/>
      <c r="EM295" s="164"/>
      <c r="EN295" s="164"/>
      <c r="EO295" s="164"/>
      <c r="EP295" s="164"/>
      <c r="EQ295" s="164"/>
      <c r="ER295" s="164"/>
      <c r="ES295" s="164"/>
      <c r="ET295" s="164"/>
      <c r="EU295" s="164"/>
      <c r="EV295" s="164"/>
      <c r="EW295" s="164"/>
      <c r="EX295" s="164"/>
      <c r="EY295" s="164"/>
      <c r="EZ295" s="164"/>
      <c r="FA295" s="164"/>
      <c r="FB295" s="164"/>
      <c r="FC295" s="164"/>
      <c r="FD295" s="164"/>
      <c r="FE295" s="164"/>
      <c r="FF295" s="164"/>
      <c r="FG295" s="164"/>
      <c r="FH295" s="164"/>
      <c r="FI295" s="164"/>
      <c r="FJ295" s="164"/>
      <c r="FK295" s="164"/>
      <c r="FL295" s="164"/>
      <c r="FM295" s="164"/>
      <c r="FN295" s="164"/>
      <c r="FO295" s="164"/>
      <c r="FP295" s="164"/>
      <c r="FQ295" s="164"/>
      <c r="FR295" s="164"/>
      <c r="FS295" s="164"/>
      <c r="FT295" s="164"/>
      <c r="FU295" s="164"/>
      <c r="FV295" s="164"/>
      <c r="FW295" s="164"/>
      <c r="FX295" s="164"/>
      <c r="FY295" s="164"/>
      <c r="FZ295" s="164"/>
      <c r="GA295" s="164"/>
      <c r="GB295" s="164"/>
      <c r="GC295" s="164"/>
      <c r="GD295" s="164"/>
      <c r="GE295" s="164"/>
      <c r="GF295" s="164"/>
      <c r="GG295" s="164"/>
      <c r="GH295" s="164"/>
      <c r="GI295" s="164"/>
      <c r="GJ295" s="164"/>
      <c r="GK295" s="164"/>
      <c r="GL295" s="164"/>
      <c r="GM295" s="164"/>
      <c r="GN295" s="164"/>
      <c r="GO295" s="164"/>
      <c r="GP295" s="164"/>
      <c r="GQ295" s="164"/>
      <c r="GR295" s="164"/>
      <c r="GS295" s="164"/>
      <c r="GT295" s="164"/>
      <c r="GU295" s="164"/>
      <c r="GV295" s="164"/>
      <c r="GW295" s="164"/>
      <c r="GX295" s="164"/>
      <c r="GY295" s="164"/>
      <c r="GZ295" s="164"/>
      <c r="HA295" s="164"/>
      <c r="HB295" s="164"/>
      <c r="HC295" s="164"/>
      <c r="HD295" s="164"/>
      <c r="HE295" s="164"/>
      <c r="HF295" s="164"/>
      <c r="HG295" s="164"/>
      <c r="HH295" s="164"/>
      <c r="HI295" s="164"/>
      <c r="HJ295" s="164"/>
      <c r="HK295" s="164"/>
    </row>
    <row r="296" spans="1:242" ht="19.8" hidden="1">
      <c r="B296" s="621" t="s">
        <v>685</v>
      </c>
      <c r="C296" s="661" t="s">
        <v>686</v>
      </c>
      <c r="D296" s="662"/>
      <c r="E296" s="622" t="str">
        <f ca="1">IFERROR((SUMPRODUCT(E283:BB283,E280:BB280)+SUMPRODUCT(E295:BB295,E292:BB292))/SUM(E280:BB280,E292:BB292)*100,"")</f>
        <v/>
      </c>
      <c r="F296" s="1058" t="s">
        <v>687</v>
      </c>
      <c r="G296" s="622" t="str">
        <f ca="1">IF(ROUND(SUMPRODUCT(1/COUNTIF(E302:BB303,E302:BB303)),0)-1&lt;&gt;1,"-",IFERROR(INDEX(E302:BB302,MATCH(TRUE,INDEX(E302:BB302&lt;&gt;"",),0)),INDEX(E303:BB303,MATCH(TRUE,INDEX(E303:BB303&lt;&gt;"",),0))))</f>
        <v>-</v>
      </c>
      <c r="H296" s="1058" t="s">
        <v>688</v>
      </c>
      <c r="I296" s="622" t="str">
        <f ca="1">IF(G296="-","-",OFFSET(貼付け_2024実績,100,IFERROR(INDEX(E277:BB277,MATCH(G296,E279:BB279,0)),INDEX(E289:BB289,MATCH(G296,E291:BB291,0)))))</f>
        <v>-</v>
      </c>
      <c r="J296" s="1058" t="s">
        <v>689</v>
      </c>
      <c r="K296" s="622" t="str">
        <f ca="1">IF(G296="-","-",SUM(E281:BB281,E293:BB293))</f>
        <v>-</v>
      </c>
      <c r="L296" s="740" t="s">
        <v>1529</v>
      </c>
      <c r="M296" s="741" t="str">
        <f ca="1">IFERROR((SUMPRODUCT(E283:BB283,E280:BB280)+SUMPRODUCT(E295:BB295,E292:BB292)+(SUMPRODUCT(E271:BB271,E268:BB268)+SUMPRODUCT(E256:BB256,E259:BB259)))/SUM(E280:BB280,E292:BB292,E268:BB268,E256:BB256)*100,"")</f>
        <v/>
      </c>
    </row>
    <row r="297" spans="1:242" ht="18.600000000000001" hidden="1" thickBot="1">
      <c r="B297" s="623" t="s">
        <v>498</v>
      </c>
      <c r="C297" s="663" t="s">
        <v>712</v>
      </c>
      <c r="D297" s="664"/>
      <c r="E297" s="624" t="str">
        <f ca="1">IFERROR(SUMPRODUCT(E271:BB271,E268:BB268)/SUM(E268:BB268)*100,"")</f>
        <v/>
      </c>
      <c r="F297" s="1059"/>
      <c r="G297" s="625" t="str">
        <f ca="1">IF(SUMPRODUCT(1/COUNTIF(E301:BB301,E301:BB301))-1&lt;&gt;1,"-",INDEX(E301:BB301,MATCH(TRUE,INDEX(E301:BB301&lt;&gt;"",),0)))</f>
        <v>-</v>
      </c>
      <c r="H297" s="1059"/>
      <c r="I297" s="625" t="str">
        <f ca="1">IF(G297="-","-",OFFSET(貼付け_2024実績,100,INDEX(E265:BB265,MATCH(G297,E267:BB267,0))))</f>
        <v>-</v>
      </c>
      <c r="J297" s="1059"/>
      <c r="K297" s="625" t="str">
        <f ca="1">IF(G297="-","-",SUM(E269:BB269))</f>
        <v>-</v>
      </c>
      <c r="L297" s="742" t="s">
        <v>1530</v>
      </c>
      <c r="M297" s="743" t="str">
        <f ca="1">IFERROR((SUMPRODUCT(E271:BB271,E268:BB268)+SUMPRODUCT(E256:BB256,E259:BB259))/SUM(E268:BB268,E256:BB256)*100,"")</f>
        <v/>
      </c>
    </row>
    <row r="298" spans="1:242" hidden="1"/>
    <row r="299" spans="1:242" ht="18.600000000000001" hidden="1" thickBot="1">
      <c r="B299" s="1043" t="s">
        <v>690</v>
      </c>
      <c r="C299" s="1044"/>
      <c r="D299" s="1045"/>
      <c r="E299" s="626" t="str">
        <f t="shared" ref="E299:AJ299" ca="1" si="180">IF(E253="",OFFSET(A1_原単位2025,53,E247+2),IFERROR(OFFSET(貼付け_2026実績,6,E253+1)&amp;"",""))</f>
        <v/>
      </c>
      <c r="F299" s="627" t="str">
        <f t="shared" ca="1" si="180"/>
        <v/>
      </c>
      <c r="G299" s="627" t="str">
        <f t="shared" ca="1" si="180"/>
        <v/>
      </c>
      <c r="H299" s="627" t="str">
        <f t="shared" ca="1" si="180"/>
        <v/>
      </c>
      <c r="I299" s="627" t="str">
        <f t="shared" ca="1" si="180"/>
        <v/>
      </c>
      <c r="J299" s="627" t="str">
        <f t="shared" ca="1" si="180"/>
        <v/>
      </c>
      <c r="K299" s="627" t="str">
        <f t="shared" ca="1" si="180"/>
        <v/>
      </c>
      <c r="L299" s="627" t="str">
        <f t="shared" ca="1" si="180"/>
        <v/>
      </c>
      <c r="M299" s="627" t="str">
        <f t="shared" ca="1" si="180"/>
        <v/>
      </c>
      <c r="N299" s="627" t="str">
        <f t="shared" ca="1" si="180"/>
        <v/>
      </c>
      <c r="O299" s="627" t="str">
        <f t="shared" ca="1" si="180"/>
        <v/>
      </c>
      <c r="P299" s="627" t="str">
        <f t="shared" ca="1" si="180"/>
        <v/>
      </c>
      <c r="Q299" s="627" t="str">
        <f t="shared" ca="1" si="180"/>
        <v/>
      </c>
      <c r="R299" s="627" t="str">
        <f t="shared" ca="1" si="180"/>
        <v/>
      </c>
      <c r="S299" s="627" t="str">
        <f t="shared" ca="1" si="180"/>
        <v/>
      </c>
      <c r="T299" s="627" t="str">
        <f t="shared" ca="1" si="180"/>
        <v/>
      </c>
      <c r="U299" s="627" t="str">
        <f t="shared" ca="1" si="180"/>
        <v/>
      </c>
      <c r="V299" s="627" t="str">
        <f t="shared" ca="1" si="180"/>
        <v/>
      </c>
      <c r="W299" s="627" t="str">
        <f t="shared" ca="1" si="180"/>
        <v/>
      </c>
      <c r="X299" s="627" t="str">
        <f t="shared" ca="1" si="180"/>
        <v/>
      </c>
      <c r="Y299" s="627" t="str">
        <f t="shared" ca="1" si="180"/>
        <v/>
      </c>
      <c r="Z299" s="627" t="str">
        <f t="shared" ca="1" si="180"/>
        <v/>
      </c>
      <c r="AA299" s="627" t="str">
        <f t="shared" ca="1" si="180"/>
        <v/>
      </c>
      <c r="AB299" s="627" t="str">
        <f t="shared" ca="1" si="180"/>
        <v/>
      </c>
      <c r="AC299" s="627" t="str">
        <f t="shared" ca="1" si="180"/>
        <v/>
      </c>
      <c r="AD299" s="627" t="str">
        <f t="shared" ca="1" si="180"/>
        <v/>
      </c>
      <c r="AE299" s="627" t="str">
        <f t="shared" ca="1" si="180"/>
        <v/>
      </c>
      <c r="AF299" s="627" t="str">
        <f t="shared" ca="1" si="180"/>
        <v/>
      </c>
      <c r="AG299" s="627" t="str">
        <f t="shared" ca="1" si="180"/>
        <v/>
      </c>
      <c r="AH299" s="627" t="str">
        <f t="shared" ca="1" si="180"/>
        <v/>
      </c>
      <c r="AI299" s="627" t="str">
        <f t="shared" ca="1" si="180"/>
        <v/>
      </c>
      <c r="AJ299" s="627" t="str">
        <f t="shared" ca="1" si="180"/>
        <v/>
      </c>
      <c r="AK299" s="627" t="str">
        <f t="shared" ref="AK299:BB299" ca="1" si="181">IF(AK253="",OFFSET(A1_原単位2025,53,AK247+2),IFERROR(OFFSET(貼付け_2026実績,6,AK253+1)&amp;"",""))</f>
        <v/>
      </c>
      <c r="AL299" s="627" t="str">
        <f t="shared" ca="1" si="181"/>
        <v/>
      </c>
      <c r="AM299" s="627" t="str">
        <f t="shared" ca="1" si="181"/>
        <v/>
      </c>
      <c r="AN299" s="627" t="str">
        <f t="shared" ca="1" si="181"/>
        <v/>
      </c>
      <c r="AO299" s="627" t="str">
        <f t="shared" ca="1" si="181"/>
        <v/>
      </c>
      <c r="AP299" s="627" t="str">
        <f t="shared" ca="1" si="181"/>
        <v/>
      </c>
      <c r="AQ299" s="627" t="str">
        <f t="shared" ca="1" si="181"/>
        <v/>
      </c>
      <c r="AR299" s="627" t="str">
        <f t="shared" ca="1" si="181"/>
        <v/>
      </c>
      <c r="AS299" s="627" t="str">
        <f t="shared" ca="1" si="181"/>
        <v/>
      </c>
      <c r="AT299" s="627" t="str">
        <f t="shared" ca="1" si="181"/>
        <v/>
      </c>
      <c r="AU299" s="627" t="str">
        <f t="shared" ca="1" si="181"/>
        <v/>
      </c>
      <c r="AV299" s="627" t="str">
        <f t="shared" ca="1" si="181"/>
        <v/>
      </c>
      <c r="AW299" s="627" t="str">
        <f t="shared" ca="1" si="181"/>
        <v/>
      </c>
      <c r="AX299" s="627" t="str">
        <f t="shared" ca="1" si="181"/>
        <v/>
      </c>
      <c r="AY299" s="627" t="str">
        <f t="shared" ca="1" si="181"/>
        <v/>
      </c>
      <c r="AZ299" s="627" t="str">
        <f t="shared" ca="1" si="181"/>
        <v/>
      </c>
      <c r="BA299" s="627" t="str">
        <f t="shared" ca="1" si="181"/>
        <v/>
      </c>
      <c r="BB299" s="628" t="str">
        <f t="shared" ca="1" si="181"/>
        <v/>
      </c>
    </row>
    <row r="300" spans="1:242" hidden="1">
      <c r="A300" s="569">
        <v>54</v>
      </c>
      <c r="B300" s="1060" t="s">
        <v>691</v>
      </c>
      <c r="C300" s="629" t="s">
        <v>497</v>
      </c>
      <c r="D300" s="630"/>
      <c r="E300" s="631" t="str">
        <f ca="1">E255</f>
        <v/>
      </c>
      <c r="F300" s="631" t="str">
        <f t="shared" ref="F300:BB300" ca="1" si="182">F255</f>
        <v/>
      </c>
      <c r="G300" s="631" t="str">
        <f t="shared" ca="1" si="182"/>
        <v/>
      </c>
      <c r="H300" s="631" t="str">
        <f t="shared" ca="1" si="182"/>
        <v/>
      </c>
      <c r="I300" s="631" t="str">
        <f t="shared" ca="1" si="182"/>
        <v/>
      </c>
      <c r="J300" s="631" t="str">
        <f t="shared" ca="1" si="182"/>
        <v/>
      </c>
      <c r="K300" s="631" t="str">
        <f t="shared" ca="1" si="182"/>
        <v/>
      </c>
      <c r="L300" s="631" t="str">
        <f t="shared" ca="1" si="182"/>
        <v/>
      </c>
      <c r="M300" s="631" t="str">
        <f t="shared" ca="1" si="182"/>
        <v/>
      </c>
      <c r="N300" s="631" t="str">
        <f t="shared" ca="1" si="182"/>
        <v/>
      </c>
      <c r="O300" s="631" t="str">
        <f t="shared" ca="1" si="182"/>
        <v/>
      </c>
      <c r="P300" s="631" t="str">
        <f t="shared" ca="1" si="182"/>
        <v/>
      </c>
      <c r="Q300" s="631" t="str">
        <f t="shared" ca="1" si="182"/>
        <v/>
      </c>
      <c r="R300" s="631" t="str">
        <f t="shared" ca="1" si="182"/>
        <v/>
      </c>
      <c r="S300" s="631" t="str">
        <f t="shared" ca="1" si="182"/>
        <v/>
      </c>
      <c r="T300" s="631" t="str">
        <f t="shared" ca="1" si="182"/>
        <v/>
      </c>
      <c r="U300" s="631" t="str">
        <f t="shared" ca="1" si="182"/>
        <v/>
      </c>
      <c r="V300" s="631" t="str">
        <f t="shared" ca="1" si="182"/>
        <v/>
      </c>
      <c r="W300" s="631" t="str">
        <f t="shared" ca="1" si="182"/>
        <v/>
      </c>
      <c r="X300" s="631" t="str">
        <f t="shared" ca="1" si="182"/>
        <v/>
      </c>
      <c r="Y300" s="631" t="str">
        <f t="shared" ca="1" si="182"/>
        <v/>
      </c>
      <c r="Z300" s="631" t="str">
        <f t="shared" ca="1" si="182"/>
        <v/>
      </c>
      <c r="AA300" s="631" t="str">
        <f t="shared" ca="1" si="182"/>
        <v/>
      </c>
      <c r="AB300" s="631" t="str">
        <f t="shared" ca="1" si="182"/>
        <v/>
      </c>
      <c r="AC300" s="631" t="str">
        <f t="shared" ca="1" si="182"/>
        <v/>
      </c>
      <c r="AD300" s="631" t="str">
        <f t="shared" ca="1" si="182"/>
        <v/>
      </c>
      <c r="AE300" s="631" t="str">
        <f t="shared" ca="1" si="182"/>
        <v/>
      </c>
      <c r="AF300" s="631" t="str">
        <f t="shared" ca="1" si="182"/>
        <v/>
      </c>
      <c r="AG300" s="631" t="str">
        <f t="shared" ca="1" si="182"/>
        <v/>
      </c>
      <c r="AH300" s="631" t="str">
        <f t="shared" ca="1" si="182"/>
        <v/>
      </c>
      <c r="AI300" s="631" t="str">
        <f t="shared" ca="1" si="182"/>
        <v/>
      </c>
      <c r="AJ300" s="631" t="str">
        <f t="shared" ca="1" si="182"/>
        <v/>
      </c>
      <c r="AK300" s="631" t="str">
        <f t="shared" ca="1" si="182"/>
        <v/>
      </c>
      <c r="AL300" s="631" t="str">
        <f t="shared" ca="1" si="182"/>
        <v/>
      </c>
      <c r="AM300" s="631" t="str">
        <f t="shared" ca="1" si="182"/>
        <v/>
      </c>
      <c r="AN300" s="631" t="str">
        <f t="shared" ca="1" si="182"/>
        <v/>
      </c>
      <c r="AO300" s="631" t="str">
        <f t="shared" ca="1" si="182"/>
        <v/>
      </c>
      <c r="AP300" s="631" t="str">
        <f t="shared" ca="1" si="182"/>
        <v/>
      </c>
      <c r="AQ300" s="631" t="str">
        <f t="shared" ca="1" si="182"/>
        <v/>
      </c>
      <c r="AR300" s="631" t="str">
        <f t="shared" ca="1" si="182"/>
        <v/>
      </c>
      <c r="AS300" s="631" t="str">
        <f t="shared" ca="1" si="182"/>
        <v/>
      </c>
      <c r="AT300" s="631" t="str">
        <f t="shared" ca="1" si="182"/>
        <v/>
      </c>
      <c r="AU300" s="631" t="str">
        <f t="shared" ca="1" si="182"/>
        <v/>
      </c>
      <c r="AV300" s="631" t="str">
        <f t="shared" ca="1" si="182"/>
        <v/>
      </c>
      <c r="AW300" s="631" t="str">
        <f t="shared" ca="1" si="182"/>
        <v/>
      </c>
      <c r="AX300" s="631" t="str">
        <f t="shared" ca="1" si="182"/>
        <v/>
      </c>
      <c r="AY300" s="631" t="str">
        <f t="shared" ca="1" si="182"/>
        <v/>
      </c>
      <c r="AZ300" s="631" t="str">
        <f t="shared" ca="1" si="182"/>
        <v/>
      </c>
      <c r="BA300" s="631" t="str">
        <f t="shared" ca="1" si="182"/>
        <v/>
      </c>
      <c r="BB300" s="631" t="str">
        <f t="shared" ca="1" si="182"/>
        <v/>
      </c>
    </row>
    <row r="301" spans="1:242" hidden="1">
      <c r="A301" s="569">
        <v>55</v>
      </c>
      <c r="B301" s="1061"/>
      <c r="C301" s="633" t="s">
        <v>498</v>
      </c>
      <c r="D301" s="634"/>
      <c r="E301" s="581" t="str">
        <f ca="1">E267</f>
        <v/>
      </c>
      <c r="F301" s="581" t="str">
        <f t="shared" ref="F301:BB301" ca="1" si="183">F267</f>
        <v/>
      </c>
      <c r="G301" s="581" t="str">
        <f t="shared" ca="1" si="183"/>
        <v/>
      </c>
      <c r="H301" s="581" t="str">
        <f t="shared" ca="1" si="183"/>
        <v/>
      </c>
      <c r="I301" s="581" t="str">
        <f t="shared" ca="1" si="183"/>
        <v/>
      </c>
      <c r="J301" s="581" t="str">
        <f t="shared" ca="1" si="183"/>
        <v/>
      </c>
      <c r="K301" s="581" t="str">
        <f t="shared" ca="1" si="183"/>
        <v/>
      </c>
      <c r="L301" s="581" t="str">
        <f t="shared" ca="1" si="183"/>
        <v/>
      </c>
      <c r="M301" s="581" t="str">
        <f t="shared" ca="1" si="183"/>
        <v/>
      </c>
      <c r="N301" s="581" t="str">
        <f t="shared" ca="1" si="183"/>
        <v/>
      </c>
      <c r="O301" s="581" t="str">
        <f t="shared" ca="1" si="183"/>
        <v/>
      </c>
      <c r="P301" s="581" t="str">
        <f t="shared" ca="1" si="183"/>
        <v/>
      </c>
      <c r="Q301" s="581" t="str">
        <f t="shared" ca="1" si="183"/>
        <v/>
      </c>
      <c r="R301" s="581" t="str">
        <f t="shared" ca="1" si="183"/>
        <v/>
      </c>
      <c r="S301" s="581" t="str">
        <f t="shared" ca="1" si="183"/>
        <v/>
      </c>
      <c r="T301" s="581" t="str">
        <f t="shared" ca="1" si="183"/>
        <v/>
      </c>
      <c r="U301" s="581" t="str">
        <f t="shared" ca="1" si="183"/>
        <v/>
      </c>
      <c r="V301" s="581" t="str">
        <f t="shared" ca="1" si="183"/>
        <v/>
      </c>
      <c r="W301" s="581" t="str">
        <f t="shared" ca="1" si="183"/>
        <v/>
      </c>
      <c r="X301" s="581" t="str">
        <f t="shared" ca="1" si="183"/>
        <v/>
      </c>
      <c r="Y301" s="581" t="str">
        <f t="shared" ca="1" si="183"/>
        <v/>
      </c>
      <c r="Z301" s="581" t="str">
        <f t="shared" ca="1" si="183"/>
        <v/>
      </c>
      <c r="AA301" s="581" t="str">
        <f t="shared" ca="1" si="183"/>
        <v/>
      </c>
      <c r="AB301" s="581" t="str">
        <f t="shared" ca="1" si="183"/>
        <v/>
      </c>
      <c r="AC301" s="581" t="str">
        <f t="shared" ca="1" si="183"/>
        <v/>
      </c>
      <c r="AD301" s="581" t="str">
        <f t="shared" ca="1" si="183"/>
        <v/>
      </c>
      <c r="AE301" s="581" t="str">
        <f t="shared" ca="1" si="183"/>
        <v/>
      </c>
      <c r="AF301" s="581" t="str">
        <f t="shared" ca="1" si="183"/>
        <v/>
      </c>
      <c r="AG301" s="581" t="str">
        <f t="shared" ca="1" si="183"/>
        <v/>
      </c>
      <c r="AH301" s="581" t="str">
        <f t="shared" ca="1" si="183"/>
        <v/>
      </c>
      <c r="AI301" s="581" t="str">
        <f t="shared" ca="1" si="183"/>
        <v/>
      </c>
      <c r="AJ301" s="581" t="str">
        <f t="shared" ca="1" si="183"/>
        <v/>
      </c>
      <c r="AK301" s="581" t="str">
        <f t="shared" ca="1" si="183"/>
        <v/>
      </c>
      <c r="AL301" s="581" t="str">
        <f t="shared" ca="1" si="183"/>
        <v/>
      </c>
      <c r="AM301" s="581" t="str">
        <f t="shared" ca="1" si="183"/>
        <v/>
      </c>
      <c r="AN301" s="581" t="str">
        <f t="shared" ca="1" si="183"/>
        <v/>
      </c>
      <c r="AO301" s="581" t="str">
        <f t="shared" ca="1" si="183"/>
        <v/>
      </c>
      <c r="AP301" s="581" t="str">
        <f t="shared" ca="1" si="183"/>
        <v/>
      </c>
      <c r="AQ301" s="581" t="str">
        <f t="shared" ca="1" si="183"/>
        <v/>
      </c>
      <c r="AR301" s="581" t="str">
        <f t="shared" ca="1" si="183"/>
        <v/>
      </c>
      <c r="AS301" s="581" t="str">
        <f t="shared" ca="1" si="183"/>
        <v/>
      </c>
      <c r="AT301" s="581" t="str">
        <f t="shared" ca="1" si="183"/>
        <v/>
      </c>
      <c r="AU301" s="581" t="str">
        <f t="shared" ca="1" si="183"/>
        <v/>
      </c>
      <c r="AV301" s="581" t="str">
        <f t="shared" ca="1" si="183"/>
        <v/>
      </c>
      <c r="AW301" s="581" t="str">
        <f t="shared" ca="1" si="183"/>
        <v/>
      </c>
      <c r="AX301" s="581" t="str">
        <f t="shared" ca="1" si="183"/>
        <v/>
      </c>
      <c r="AY301" s="581" t="str">
        <f t="shared" ca="1" si="183"/>
        <v/>
      </c>
      <c r="AZ301" s="581" t="str">
        <f t="shared" ca="1" si="183"/>
        <v/>
      </c>
      <c r="BA301" s="581" t="str">
        <f t="shared" ca="1" si="183"/>
        <v/>
      </c>
      <c r="BB301" s="581" t="str">
        <f t="shared" ca="1" si="183"/>
        <v/>
      </c>
    </row>
    <row r="302" spans="1:242" hidden="1">
      <c r="A302" s="569">
        <v>56</v>
      </c>
      <c r="B302" s="1061"/>
      <c r="C302" s="633" t="s">
        <v>499</v>
      </c>
      <c r="D302" s="634"/>
      <c r="E302" s="581" t="str">
        <f ca="1">E279</f>
        <v/>
      </c>
      <c r="F302" s="581" t="str">
        <f t="shared" ref="F302:BB302" ca="1" si="184">F279</f>
        <v/>
      </c>
      <c r="G302" s="581" t="str">
        <f t="shared" ca="1" si="184"/>
        <v/>
      </c>
      <c r="H302" s="581" t="str">
        <f t="shared" ca="1" si="184"/>
        <v/>
      </c>
      <c r="I302" s="581" t="str">
        <f t="shared" ca="1" si="184"/>
        <v/>
      </c>
      <c r="J302" s="581" t="str">
        <f t="shared" ca="1" si="184"/>
        <v/>
      </c>
      <c r="K302" s="581" t="str">
        <f t="shared" ca="1" si="184"/>
        <v/>
      </c>
      <c r="L302" s="581" t="str">
        <f t="shared" ca="1" si="184"/>
        <v/>
      </c>
      <c r="M302" s="581" t="str">
        <f t="shared" ca="1" si="184"/>
        <v/>
      </c>
      <c r="N302" s="581" t="str">
        <f t="shared" ca="1" si="184"/>
        <v/>
      </c>
      <c r="O302" s="581" t="str">
        <f t="shared" ca="1" si="184"/>
        <v/>
      </c>
      <c r="P302" s="581" t="str">
        <f t="shared" ca="1" si="184"/>
        <v/>
      </c>
      <c r="Q302" s="581" t="str">
        <f t="shared" ca="1" si="184"/>
        <v/>
      </c>
      <c r="R302" s="581" t="str">
        <f t="shared" ca="1" si="184"/>
        <v/>
      </c>
      <c r="S302" s="581" t="str">
        <f t="shared" ca="1" si="184"/>
        <v/>
      </c>
      <c r="T302" s="581" t="str">
        <f t="shared" ca="1" si="184"/>
        <v/>
      </c>
      <c r="U302" s="581" t="str">
        <f t="shared" ca="1" si="184"/>
        <v/>
      </c>
      <c r="V302" s="581" t="str">
        <f t="shared" ca="1" si="184"/>
        <v/>
      </c>
      <c r="W302" s="581" t="str">
        <f t="shared" ca="1" si="184"/>
        <v/>
      </c>
      <c r="X302" s="581" t="str">
        <f t="shared" ca="1" si="184"/>
        <v/>
      </c>
      <c r="Y302" s="581" t="str">
        <f t="shared" ca="1" si="184"/>
        <v/>
      </c>
      <c r="Z302" s="581" t="str">
        <f t="shared" ca="1" si="184"/>
        <v/>
      </c>
      <c r="AA302" s="581" t="str">
        <f t="shared" ca="1" si="184"/>
        <v/>
      </c>
      <c r="AB302" s="581" t="str">
        <f t="shared" ca="1" si="184"/>
        <v/>
      </c>
      <c r="AC302" s="581" t="str">
        <f t="shared" ca="1" si="184"/>
        <v/>
      </c>
      <c r="AD302" s="581" t="str">
        <f t="shared" ca="1" si="184"/>
        <v/>
      </c>
      <c r="AE302" s="581" t="str">
        <f t="shared" ca="1" si="184"/>
        <v/>
      </c>
      <c r="AF302" s="581" t="str">
        <f t="shared" ca="1" si="184"/>
        <v/>
      </c>
      <c r="AG302" s="581" t="str">
        <f t="shared" ca="1" si="184"/>
        <v/>
      </c>
      <c r="AH302" s="581" t="str">
        <f t="shared" ca="1" si="184"/>
        <v/>
      </c>
      <c r="AI302" s="581" t="str">
        <f t="shared" ca="1" si="184"/>
        <v/>
      </c>
      <c r="AJ302" s="581" t="str">
        <f t="shared" ca="1" si="184"/>
        <v/>
      </c>
      <c r="AK302" s="581" t="str">
        <f t="shared" ca="1" si="184"/>
        <v/>
      </c>
      <c r="AL302" s="581" t="str">
        <f t="shared" ca="1" si="184"/>
        <v/>
      </c>
      <c r="AM302" s="581" t="str">
        <f t="shared" ca="1" si="184"/>
        <v/>
      </c>
      <c r="AN302" s="581" t="str">
        <f t="shared" ca="1" si="184"/>
        <v/>
      </c>
      <c r="AO302" s="581" t="str">
        <f t="shared" ca="1" si="184"/>
        <v/>
      </c>
      <c r="AP302" s="581" t="str">
        <f t="shared" ca="1" si="184"/>
        <v/>
      </c>
      <c r="AQ302" s="581" t="str">
        <f t="shared" ca="1" si="184"/>
        <v/>
      </c>
      <c r="AR302" s="581" t="str">
        <f t="shared" ca="1" si="184"/>
        <v/>
      </c>
      <c r="AS302" s="581" t="str">
        <f t="shared" ca="1" si="184"/>
        <v/>
      </c>
      <c r="AT302" s="581" t="str">
        <f t="shared" ca="1" si="184"/>
        <v/>
      </c>
      <c r="AU302" s="581" t="str">
        <f t="shared" ca="1" si="184"/>
        <v/>
      </c>
      <c r="AV302" s="581" t="str">
        <f t="shared" ca="1" si="184"/>
        <v/>
      </c>
      <c r="AW302" s="581" t="str">
        <f t="shared" ca="1" si="184"/>
        <v/>
      </c>
      <c r="AX302" s="581" t="str">
        <f t="shared" ca="1" si="184"/>
        <v/>
      </c>
      <c r="AY302" s="581" t="str">
        <f t="shared" ca="1" si="184"/>
        <v/>
      </c>
      <c r="AZ302" s="581" t="str">
        <f t="shared" ca="1" si="184"/>
        <v/>
      </c>
      <c r="BA302" s="581" t="str">
        <f t="shared" ca="1" si="184"/>
        <v/>
      </c>
      <c r="BB302" s="581" t="str">
        <f t="shared" ca="1" si="184"/>
        <v/>
      </c>
    </row>
    <row r="303" spans="1:242" ht="18.600000000000001" hidden="1" thickBot="1">
      <c r="A303" s="569">
        <v>57</v>
      </c>
      <c r="B303" s="1062"/>
      <c r="C303" s="636" t="s">
        <v>500</v>
      </c>
      <c r="D303" s="639"/>
      <c r="E303" s="637" t="str">
        <f ca="1">E291</f>
        <v/>
      </c>
      <c r="F303" s="637" t="str">
        <f t="shared" ref="F303:BB303" ca="1" si="185">F291</f>
        <v/>
      </c>
      <c r="G303" s="637" t="str">
        <f t="shared" ca="1" si="185"/>
        <v/>
      </c>
      <c r="H303" s="637" t="str">
        <f t="shared" ca="1" si="185"/>
        <v/>
      </c>
      <c r="I303" s="637" t="str">
        <f t="shared" ca="1" si="185"/>
        <v/>
      </c>
      <c r="J303" s="637" t="str">
        <f t="shared" ca="1" si="185"/>
        <v/>
      </c>
      <c r="K303" s="637" t="str">
        <f t="shared" ca="1" si="185"/>
        <v/>
      </c>
      <c r="L303" s="637" t="str">
        <f t="shared" ca="1" si="185"/>
        <v/>
      </c>
      <c r="M303" s="637" t="str">
        <f t="shared" ca="1" si="185"/>
        <v/>
      </c>
      <c r="N303" s="637" t="str">
        <f t="shared" ca="1" si="185"/>
        <v/>
      </c>
      <c r="O303" s="637" t="str">
        <f t="shared" ca="1" si="185"/>
        <v/>
      </c>
      <c r="P303" s="637" t="str">
        <f t="shared" ca="1" si="185"/>
        <v/>
      </c>
      <c r="Q303" s="637" t="str">
        <f t="shared" ca="1" si="185"/>
        <v/>
      </c>
      <c r="R303" s="637" t="str">
        <f t="shared" ca="1" si="185"/>
        <v/>
      </c>
      <c r="S303" s="637" t="str">
        <f t="shared" ca="1" si="185"/>
        <v/>
      </c>
      <c r="T303" s="637" t="str">
        <f t="shared" ca="1" si="185"/>
        <v/>
      </c>
      <c r="U303" s="637" t="str">
        <f t="shared" ca="1" si="185"/>
        <v/>
      </c>
      <c r="V303" s="637" t="str">
        <f t="shared" ca="1" si="185"/>
        <v/>
      </c>
      <c r="W303" s="637" t="str">
        <f t="shared" ca="1" si="185"/>
        <v/>
      </c>
      <c r="X303" s="637" t="str">
        <f t="shared" ca="1" si="185"/>
        <v/>
      </c>
      <c r="Y303" s="637" t="str">
        <f t="shared" ca="1" si="185"/>
        <v/>
      </c>
      <c r="Z303" s="637" t="str">
        <f t="shared" ca="1" si="185"/>
        <v/>
      </c>
      <c r="AA303" s="637" t="str">
        <f t="shared" ca="1" si="185"/>
        <v/>
      </c>
      <c r="AB303" s="637" t="str">
        <f t="shared" ca="1" si="185"/>
        <v/>
      </c>
      <c r="AC303" s="637" t="str">
        <f t="shared" ca="1" si="185"/>
        <v/>
      </c>
      <c r="AD303" s="637" t="str">
        <f t="shared" ca="1" si="185"/>
        <v/>
      </c>
      <c r="AE303" s="637" t="str">
        <f t="shared" ca="1" si="185"/>
        <v/>
      </c>
      <c r="AF303" s="637" t="str">
        <f t="shared" ca="1" si="185"/>
        <v/>
      </c>
      <c r="AG303" s="637" t="str">
        <f t="shared" ca="1" si="185"/>
        <v/>
      </c>
      <c r="AH303" s="637" t="str">
        <f t="shared" ca="1" si="185"/>
        <v/>
      </c>
      <c r="AI303" s="637" t="str">
        <f t="shared" ca="1" si="185"/>
        <v/>
      </c>
      <c r="AJ303" s="637" t="str">
        <f t="shared" ca="1" si="185"/>
        <v/>
      </c>
      <c r="AK303" s="637" t="str">
        <f t="shared" ca="1" si="185"/>
        <v/>
      </c>
      <c r="AL303" s="637" t="str">
        <f t="shared" ca="1" si="185"/>
        <v/>
      </c>
      <c r="AM303" s="637" t="str">
        <f t="shared" ca="1" si="185"/>
        <v/>
      </c>
      <c r="AN303" s="637" t="str">
        <f t="shared" ca="1" si="185"/>
        <v/>
      </c>
      <c r="AO303" s="637" t="str">
        <f t="shared" ca="1" si="185"/>
        <v/>
      </c>
      <c r="AP303" s="637" t="str">
        <f t="shared" ca="1" si="185"/>
        <v/>
      </c>
      <c r="AQ303" s="637" t="str">
        <f t="shared" ca="1" si="185"/>
        <v/>
      </c>
      <c r="AR303" s="637" t="str">
        <f t="shared" ca="1" si="185"/>
        <v/>
      </c>
      <c r="AS303" s="637" t="str">
        <f t="shared" ca="1" si="185"/>
        <v/>
      </c>
      <c r="AT303" s="637" t="str">
        <f t="shared" ca="1" si="185"/>
        <v/>
      </c>
      <c r="AU303" s="637" t="str">
        <f t="shared" ca="1" si="185"/>
        <v/>
      </c>
      <c r="AV303" s="637" t="str">
        <f t="shared" ca="1" si="185"/>
        <v/>
      </c>
      <c r="AW303" s="637" t="str">
        <f t="shared" ca="1" si="185"/>
        <v/>
      </c>
      <c r="AX303" s="637" t="str">
        <f t="shared" ca="1" si="185"/>
        <v/>
      </c>
      <c r="AY303" s="637" t="str">
        <f t="shared" ca="1" si="185"/>
        <v/>
      </c>
      <c r="AZ303" s="637" t="str">
        <f t="shared" ca="1" si="185"/>
        <v/>
      </c>
      <c r="BA303" s="637" t="str">
        <f t="shared" ca="1" si="185"/>
        <v/>
      </c>
      <c r="BB303" s="637" t="str">
        <f t="shared" ca="1" si="185"/>
        <v/>
      </c>
    </row>
    <row r="304" spans="1:242" hidden="1">
      <c r="A304" s="569">
        <v>58</v>
      </c>
      <c r="B304" s="1060" t="s">
        <v>692</v>
      </c>
      <c r="C304" s="629" t="s">
        <v>497</v>
      </c>
      <c r="D304" s="630"/>
      <c r="E304" s="631" t="str">
        <f t="shared" ref="E304:AJ304" ca="1" si="186">OFFSET(A1_原単位2025,9,E247+2)</f>
        <v/>
      </c>
      <c r="F304" s="631" t="str">
        <f t="shared" ca="1" si="186"/>
        <v/>
      </c>
      <c r="G304" s="631" t="str">
        <f t="shared" ca="1" si="186"/>
        <v/>
      </c>
      <c r="H304" s="631" t="str">
        <f t="shared" ca="1" si="186"/>
        <v/>
      </c>
      <c r="I304" s="631" t="str">
        <f t="shared" ca="1" si="186"/>
        <v/>
      </c>
      <c r="J304" s="631" t="str">
        <f t="shared" ca="1" si="186"/>
        <v/>
      </c>
      <c r="K304" s="631" t="str">
        <f t="shared" ca="1" si="186"/>
        <v/>
      </c>
      <c r="L304" s="631" t="str">
        <f t="shared" ca="1" si="186"/>
        <v/>
      </c>
      <c r="M304" s="631" t="str">
        <f t="shared" ca="1" si="186"/>
        <v/>
      </c>
      <c r="N304" s="631" t="str">
        <f t="shared" ca="1" si="186"/>
        <v/>
      </c>
      <c r="O304" s="631" t="str">
        <f t="shared" ca="1" si="186"/>
        <v/>
      </c>
      <c r="P304" s="631" t="str">
        <f t="shared" ca="1" si="186"/>
        <v/>
      </c>
      <c r="Q304" s="631" t="str">
        <f t="shared" ca="1" si="186"/>
        <v/>
      </c>
      <c r="R304" s="631" t="str">
        <f t="shared" ca="1" si="186"/>
        <v/>
      </c>
      <c r="S304" s="631" t="str">
        <f t="shared" ca="1" si="186"/>
        <v/>
      </c>
      <c r="T304" s="631" t="str">
        <f t="shared" ca="1" si="186"/>
        <v/>
      </c>
      <c r="U304" s="631" t="str">
        <f t="shared" ca="1" si="186"/>
        <v/>
      </c>
      <c r="V304" s="631" t="str">
        <f t="shared" ca="1" si="186"/>
        <v/>
      </c>
      <c r="W304" s="631" t="str">
        <f t="shared" ca="1" si="186"/>
        <v/>
      </c>
      <c r="X304" s="631" t="str">
        <f t="shared" ca="1" si="186"/>
        <v/>
      </c>
      <c r="Y304" s="631" t="str">
        <f t="shared" ca="1" si="186"/>
        <v/>
      </c>
      <c r="Z304" s="631" t="str">
        <f t="shared" ca="1" si="186"/>
        <v/>
      </c>
      <c r="AA304" s="631" t="str">
        <f t="shared" ca="1" si="186"/>
        <v/>
      </c>
      <c r="AB304" s="631" t="str">
        <f t="shared" ca="1" si="186"/>
        <v/>
      </c>
      <c r="AC304" s="631" t="str">
        <f t="shared" ca="1" si="186"/>
        <v/>
      </c>
      <c r="AD304" s="631" t="str">
        <f t="shared" ca="1" si="186"/>
        <v/>
      </c>
      <c r="AE304" s="631" t="str">
        <f t="shared" ca="1" si="186"/>
        <v/>
      </c>
      <c r="AF304" s="631" t="str">
        <f t="shared" ca="1" si="186"/>
        <v/>
      </c>
      <c r="AG304" s="631" t="str">
        <f t="shared" ca="1" si="186"/>
        <v/>
      </c>
      <c r="AH304" s="631" t="str">
        <f t="shared" ca="1" si="186"/>
        <v/>
      </c>
      <c r="AI304" s="631" t="str">
        <f t="shared" ca="1" si="186"/>
        <v/>
      </c>
      <c r="AJ304" s="631" t="str">
        <f t="shared" ca="1" si="186"/>
        <v/>
      </c>
      <c r="AK304" s="631" t="str">
        <f t="shared" ref="AK304:BB304" ca="1" si="187">OFFSET(A1_原単位2025,9,AK247+2)</f>
        <v/>
      </c>
      <c r="AL304" s="631" t="str">
        <f t="shared" ca="1" si="187"/>
        <v/>
      </c>
      <c r="AM304" s="631" t="str">
        <f t="shared" ca="1" si="187"/>
        <v/>
      </c>
      <c r="AN304" s="631" t="str">
        <f t="shared" ca="1" si="187"/>
        <v/>
      </c>
      <c r="AO304" s="631" t="str">
        <f t="shared" ca="1" si="187"/>
        <v/>
      </c>
      <c r="AP304" s="631" t="str">
        <f t="shared" ca="1" si="187"/>
        <v/>
      </c>
      <c r="AQ304" s="631" t="str">
        <f t="shared" ca="1" si="187"/>
        <v/>
      </c>
      <c r="AR304" s="631" t="str">
        <f t="shared" ca="1" si="187"/>
        <v/>
      </c>
      <c r="AS304" s="631" t="str">
        <f t="shared" ca="1" si="187"/>
        <v/>
      </c>
      <c r="AT304" s="631" t="str">
        <f t="shared" ca="1" si="187"/>
        <v/>
      </c>
      <c r="AU304" s="631" t="str">
        <f t="shared" ca="1" si="187"/>
        <v/>
      </c>
      <c r="AV304" s="631" t="str">
        <f t="shared" ca="1" si="187"/>
        <v/>
      </c>
      <c r="AW304" s="631" t="str">
        <f t="shared" ca="1" si="187"/>
        <v/>
      </c>
      <c r="AX304" s="631" t="str">
        <f t="shared" ca="1" si="187"/>
        <v/>
      </c>
      <c r="AY304" s="631" t="str">
        <f t="shared" ca="1" si="187"/>
        <v/>
      </c>
      <c r="AZ304" s="631" t="str">
        <f t="shared" ca="1" si="187"/>
        <v/>
      </c>
      <c r="BA304" s="631" t="str">
        <f t="shared" ca="1" si="187"/>
        <v/>
      </c>
      <c r="BB304" s="631" t="str">
        <f t="shared" ca="1" si="187"/>
        <v/>
      </c>
    </row>
    <row r="305" spans="1:54" hidden="1">
      <c r="A305" s="569">
        <v>59</v>
      </c>
      <c r="B305" s="1061"/>
      <c r="C305" s="633" t="s">
        <v>498</v>
      </c>
      <c r="D305" s="634"/>
      <c r="E305" s="581" t="str">
        <f t="shared" ref="E305:AJ305" ca="1" si="188">OFFSET(A1_原単位2025,9+12,E247+2)</f>
        <v/>
      </c>
      <c r="F305" s="581" t="str">
        <f t="shared" ca="1" si="188"/>
        <v/>
      </c>
      <c r="G305" s="581" t="str">
        <f t="shared" ca="1" si="188"/>
        <v/>
      </c>
      <c r="H305" s="581" t="str">
        <f t="shared" ca="1" si="188"/>
        <v/>
      </c>
      <c r="I305" s="581" t="str">
        <f t="shared" ca="1" si="188"/>
        <v/>
      </c>
      <c r="J305" s="581" t="str">
        <f t="shared" ca="1" si="188"/>
        <v/>
      </c>
      <c r="K305" s="581" t="str">
        <f t="shared" ca="1" si="188"/>
        <v/>
      </c>
      <c r="L305" s="581" t="str">
        <f t="shared" ca="1" si="188"/>
        <v/>
      </c>
      <c r="M305" s="581" t="str">
        <f t="shared" ca="1" si="188"/>
        <v/>
      </c>
      <c r="N305" s="581" t="str">
        <f t="shared" ca="1" si="188"/>
        <v/>
      </c>
      <c r="O305" s="581" t="str">
        <f t="shared" ca="1" si="188"/>
        <v/>
      </c>
      <c r="P305" s="581" t="str">
        <f t="shared" ca="1" si="188"/>
        <v/>
      </c>
      <c r="Q305" s="581" t="str">
        <f t="shared" ca="1" si="188"/>
        <v/>
      </c>
      <c r="R305" s="581" t="str">
        <f t="shared" ca="1" si="188"/>
        <v/>
      </c>
      <c r="S305" s="581" t="str">
        <f t="shared" ca="1" si="188"/>
        <v/>
      </c>
      <c r="T305" s="581" t="str">
        <f t="shared" ca="1" si="188"/>
        <v/>
      </c>
      <c r="U305" s="581" t="str">
        <f t="shared" ca="1" si="188"/>
        <v/>
      </c>
      <c r="V305" s="581" t="str">
        <f t="shared" ca="1" si="188"/>
        <v/>
      </c>
      <c r="W305" s="581" t="str">
        <f t="shared" ca="1" si="188"/>
        <v/>
      </c>
      <c r="X305" s="581" t="str">
        <f t="shared" ca="1" si="188"/>
        <v/>
      </c>
      <c r="Y305" s="581" t="str">
        <f t="shared" ca="1" si="188"/>
        <v/>
      </c>
      <c r="Z305" s="581" t="str">
        <f t="shared" ca="1" si="188"/>
        <v/>
      </c>
      <c r="AA305" s="581" t="str">
        <f t="shared" ca="1" si="188"/>
        <v/>
      </c>
      <c r="AB305" s="581" t="str">
        <f t="shared" ca="1" si="188"/>
        <v/>
      </c>
      <c r="AC305" s="581" t="str">
        <f t="shared" ca="1" si="188"/>
        <v/>
      </c>
      <c r="AD305" s="581" t="str">
        <f t="shared" ca="1" si="188"/>
        <v/>
      </c>
      <c r="AE305" s="581" t="str">
        <f t="shared" ca="1" si="188"/>
        <v/>
      </c>
      <c r="AF305" s="581" t="str">
        <f t="shared" ca="1" si="188"/>
        <v/>
      </c>
      <c r="AG305" s="581" t="str">
        <f t="shared" ca="1" si="188"/>
        <v/>
      </c>
      <c r="AH305" s="581" t="str">
        <f t="shared" ca="1" si="188"/>
        <v/>
      </c>
      <c r="AI305" s="581" t="str">
        <f t="shared" ca="1" si="188"/>
        <v/>
      </c>
      <c r="AJ305" s="581" t="str">
        <f t="shared" ca="1" si="188"/>
        <v/>
      </c>
      <c r="AK305" s="581" t="str">
        <f t="shared" ref="AK305:BB305" ca="1" si="189">OFFSET(A1_原単位2025,9+12,AK247+2)</f>
        <v/>
      </c>
      <c r="AL305" s="581" t="str">
        <f t="shared" ca="1" si="189"/>
        <v/>
      </c>
      <c r="AM305" s="581" t="str">
        <f t="shared" ca="1" si="189"/>
        <v/>
      </c>
      <c r="AN305" s="581" t="str">
        <f t="shared" ca="1" si="189"/>
        <v/>
      </c>
      <c r="AO305" s="581" t="str">
        <f t="shared" ca="1" si="189"/>
        <v/>
      </c>
      <c r="AP305" s="581" t="str">
        <f t="shared" ca="1" si="189"/>
        <v/>
      </c>
      <c r="AQ305" s="581" t="str">
        <f t="shared" ca="1" si="189"/>
        <v/>
      </c>
      <c r="AR305" s="581" t="str">
        <f t="shared" ca="1" si="189"/>
        <v/>
      </c>
      <c r="AS305" s="581" t="str">
        <f t="shared" ca="1" si="189"/>
        <v/>
      </c>
      <c r="AT305" s="581" t="str">
        <f t="shared" ca="1" si="189"/>
        <v/>
      </c>
      <c r="AU305" s="581" t="str">
        <f t="shared" ca="1" si="189"/>
        <v/>
      </c>
      <c r="AV305" s="581" t="str">
        <f t="shared" ca="1" si="189"/>
        <v/>
      </c>
      <c r="AW305" s="581" t="str">
        <f t="shared" ca="1" si="189"/>
        <v/>
      </c>
      <c r="AX305" s="581" t="str">
        <f t="shared" ca="1" si="189"/>
        <v/>
      </c>
      <c r="AY305" s="581" t="str">
        <f t="shared" ca="1" si="189"/>
        <v/>
      </c>
      <c r="AZ305" s="581" t="str">
        <f t="shared" ca="1" si="189"/>
        <v/>
      </c>
      <c r="BA305" s="581" t="str">
        <f t="shared" ca="1" si="189"/>
        <v/>
      </c>
      <c r="BB305" s="635" t="str">
        <f t="shared" ca="1" si="189"/>
        <v/>
      </c>
    </row>
    <row r="306" spans="1:54" hidden="1">
      <c r="A306" s="569">
        <v>60</v>
      </c>
      <c r="B306" s="1061"/>
      <c r="C306" s="633" t="s">
        <v>499</v>
      </c>
      <c r="D306" s="634"/>
      <c r="E306" s="581" t="str">
        <f t="shared" ref="E306:AJ306" ca="1" si="190">OFFSET(A1_原単位2025,9+24,E247+2)</f>
        <v/>
      </c>
      <c r="F306" s="581" t="str">
        <f t="shared" ca="1" si="190"/>
        <v/>
      </c>
      <c r="G306" s="581" t="str">
        <f t="shared" ca="1" si="190"/>
        <v/>
      </c>
      <c r="H306" s="581" t="str">
        <f t="shared" ca="1" si="190"/>
        <v/>
      </c>
      <c r="I306" s="581" t="str">
        <f t="shared" ca="1" si="190"/>
        <v/>
      </c>
      <c r="J306" s="581" t="str">
        <f t="shared" ca="1" si="190"/>
        <v/>
      </c>
      <c r="K306" s="581" t="str">
        <f t="shared" ca="1" si="190"/>
        <v/>
      </c>
      <c r="L306" s="581" t="str">
        <f t="shared" ca="1" si="190"/>
        <v/>
      </c>
      <c r="M306" s="581" t="str">
        <f t="shared" ca="1" si="190"/>
        <v/>
      </c>
      <c r="N306" s="581" t="str">
        <f t="shared" ca="1" si="190"/>
        <v/>
      </c>
      <c r="O306" s="581" t="str">
        <f t="shared" ca="1" si="190"/>
        <v/>
      </c>
      <c r="P306" s="581" t="str">
        <f t="shared" ca="1" si="190"/>
        <v/>
      </c>
      <c r="Q306" s="581" t="str">
        <f t="shared" ca="1" si="190"/>
        <v/>
      </c>
      <c r="R306" s="581" t="str">
        <f t="shared" ca="1" si="190"/>
        <v/>
      </c>
      <c r="S306" s="581" t="str">
        <f t="shared" ca="1" si="190"/>
        <v/>
      </c>
      <c r="T306" s="581" t="str">
        <f t="shared" ca="1" si="190"/>
        <v/>
      </c>
      <c r="U306" s="581" t="str">
        <f t="shared" ca="1" si="190"/>
        <v/>
      </c>
      <c r="V306" s="581" t="str">
        <f t="shared" ca="1" si="190"/>
        <v/>
      </c>
      <c r="W306" s="581" t="str">
        <f t="shared" ca="1" si="190"/>
        <v/>
      </c>
      <c r="X306" s="581" t="str">
        <f t="shared" ca="1" si="190"/>
        <v/>
      </c>
      <c r="Y306" s="581" t="str">
        <f t="shared" ca="1" si="190"/>
        <v/>
      </c>
      <c r="Z306" s="581" t="str">
        <f t="shared" ca="1" si="190"/>
        <v/>
      </c>
      <c r="AA306" s="581" t="str">
        <f t="shared" ca="1" si="190"/>
        <v/>
      </c>
      <c r="AB306" s="581" t="str">
        <f t="shared" ca="1" si="190"/>
        <v/>
      </c>
      <c r="AC306" s="581" t="str">
        <f t="shared" ca="1" si="190"/>
        <v/>
      </c>
      <c r="AD306" s="581" t="str">
        <f t="shared" ca="1" si="190"/>
        <v/>
      </c>
      <c r="AE306" s="581" t="str">
        <f t="shared" ca="1" si="190"/>
        <v/>
      </c>
      <c r="AF306" s="581" t="str">
        <f t="shared" ca="1" si="190"/>
        <v/>
      </c>
      <c r="AG306" s="581" t="str">
        <f t="shared" ca="1" si="190"/>
        <v/>
      </c>
      <c r="AH306" s="581" t="str">
        <f t="shared" ca="1" si="190"/>
        <v/>
      </c>
      <c r="AI306" s="581" t="str">
        <f t="shared" ca="1" si="190"/>
        <v/>
      </c>
      <c r="AJ306" s="581" t="str">
        <f t="shared" ca="1" si="190"/>
        <v/>
      </c>
      <c r="AK306" s="581" t="str">
        <f t="shared" ref="AK306:BB306" ca="1" si="191">OFFSET(A1_原単位2025,9+24,AK247+2)</f>
        <v/>
      </c>
      <c r="AL306" s="581" t="str">
        <f t="shared" ca="1" si="191"/>
        <v/>
      </c>
      <c r="AM306" s="581" t="str">
        <f t="shared" ca="1" si="191"/>
        <v/>
      </c>
      <c r="AN306" s="581" t="str">
        <f t="shared" ca="1" si="191"/>
        <v/>
      </c>
      <c r="AO306" s="581" t="str">
        <f t="shared" ca="1" si="191"/>
        <v/>
      </c>
      <c r="AP306" s="581" t="str">
        <f t="shared" ca="1" si="191"/>
        <v/>
      </c>
      <c r="AQ306" s="581" t="str">
        <f t="shared" ca="1" si="191"/>
        <v/>
      </c>
      <c r="AR306" s="581" t="str">
        <f t="shared" ca="1" si="191"/>
        <v/>
      </c>
      <c r="AS306" s="581" t="str">
        <f t="shared" ca="1" si="191"/>
        <v/>
      </c>
      <c r="AT306" s="581" t="str">
        <f t="shared" ca="1" si="191"/>
        <v/>
      </c>
      <c r="AU306" s="581" t="str">
        <f t="shared" ca="1" si="191"/>
        <v/>
      </c>
      <c r="AV306" s="581" t="str">
        <f t="shared" ca="1" si="191"/>
        <v/>
      </c>
      <c r="AW306" s="581" t="str">
        <f t="shared" ca="1" si="191"/>
        <v/>
      </c>
      <c r="AX306" s="581" t="str">
        <f t="shared" ca="1" si="191"/>
        <v/>
      </c>
      <c r="AY306" s="581" t="str">
        <f t="shared" ca="1" si="191"/>
        <v/>
      </c>
      <c r="AZ306" s="581" t="str">
        <f t="shared" ca="1" si="191"/>
        <v/>
      </c>
      <c r="BA306" s="581" t="str">
        <f t="shared" ca="1" si="191"/>
        <v/>
      </c>
      <c r="BB306" s="635" t="str">
        <f t="shared" ca="1" si="191"/>
        <v/>
      </c>
    </row>
    <row r="307" spans="1:54" ht="18.600000000000001" hidden="1" thickBot="1">
      <c r="A307" s="569">
        <v>61</v>
      </c>
      <c r="B307" s="1062"/>
      <c r="C307" s="636" t="s">
        <v>500</v>
      </c>
      <c r="D307" s="639"/>
      <c r="E307" s="637" t="str">
        <f t="shared" ref="E307:AJ307" ca="1" si="192">OFFSET(A1_原単位2025,9+36,E247+2)</f>
        <v/>
      </c>
      <c r="F307" s="637" t="str">
        <f t="shared" ca="1" si="192"/>
        <v/>
      </c>
      <c r="G307" s="637" t="str">
        <f t="shared" ca="1" si="192"/>
        <v/>
      </c>
      <c r="H307" s="637" t="str">
        <f t="shared" ca="1" si="192"/>
        <v/>
      </c>
      <c r="I307" s="637" t="str">
        <f t="shared" ca="1" si="192"/>
        <v/>
      </c>
      <c r="J307" s="637" t="str">
        <f t="shared" ca="1" si="192"/>
        <v/>
      </c>
      <c r="K307" s="637" t="str">
        <f t="shared" ca="1" si="192"/>
        <v/>
      </c>
      <c r="L307" s="637" t="str">
        <f t="shared" ca="1" si="192"/>
        <v/>
      </c>
      <c r="M307" s="637" t="str">
        <f t="shared" ca="1" si="192"/>
        <v/>
      </c>
      <c r="N307" s="637" t="str">
        <f t="shared" ca="1" si="192"/>
        <v/>
      </c>
      <c r="O307" s="637" t="str">
        <f t="shared" ca="1" si="192"/>
        <v/>
      </c>
      <c r="P307" s="637" t="str">
        <f t="shared" ca="1" si="192"/>
        <v/>
      </c>
      <c r="Q307" s="637" t="str">
        <f t="shared" ca="1" si="192"/>
        <v/>
      </c>
      <c r="R307" s="637" t="str">
        <f t="shared" ca="1" si="192"/>
        <v/>
      </c>
      <c r="S307" s="637" t="str">
        <f t="shared" ca="1" si="192"/>
        <v/>
      </c>
      <c r="T307" s="637" t="str">
        <f t="shared" ca="1" si="192"/>
        <v/>
      </c>
      <c r="U307" s="637" t="str">
        <f t="shared" ca="1" si="192"/>
        <v/>
      </c>
      <c r="V307" s="637" t="str">
        <f t="shared" ca="1" si="192"/>
        <v/>
      </c>
      <c r="W307" s="637" t="str">
        <f t="shared" ca="1" si="192"/>
        <v/>
      </c>
      <c r="X307" s="637" t="str">
        <f t="shared" ca="1" si="192"/>
        <v/>
      </c>
      <c r="Y307" s="637" t="str">
        <f t="shared" ca="1" si="192"/>
        <v/>
      </c>
      <c r="Z307" s="637" t="str">
        <f t="shared" ca="1" si="192"/>
        <v/>
      </c>
      <c r="AA307" s="637" t="str">
        <f t="shared" ca="1" si="192"/>
        <v/>
      </c>
      <c r="AB307" s="637" t="str">
        <f t="shared" ca="1" si="192"/>
        <v/>
      </c>
      <c r="AC307" s="637" t="str">
        <f t="shared" ca="1" si="192"/>
        <v/>
      </c>
      <c r="AD307" s="637" t="str">
        <f t="shared" ca="1" si="192"/>
        <v/>
      </c>
      <c r="AE307" s="637" t="str">
        <f t="shared" ca="1" si="192"/>
        <v/>
      </c>
      <c r="AF307" s="637" t="str">
        <f t="shared" ca="1" si="192"/>
        <v/>
      </c>
      <c r="AG307" s="637" t="str">
        <f t="shared" ca="1" si="192"/>
        <v/>
      </c>
      <c r="AH307" s="637" t="str">
        <f t="shared" ca="1" si="192"/>
        <v/>
      </c>
      <c r="AI307" s="637" t="str">
        <f t="shared" ca="1" si="192"/>
        <v/>
      </c>
      <c r="AJ307" s="637" t="str">
        <f t="shared" ca="1" si="192"/>
        <v/>
      </c>
      <c r="AK307" s="637" t="str">
        <f t="shared" ref="AK307:BB307" ca="1" si="193">OFFSET(A1_原単位2025,9+36,AK247+2)</f>
        <v/>
      </c>
      <c r="AL307" s="637" t="str">
        <f t="shared" ca="1" si="193"/>
        <v/>
      </c>
      <c r="AM307" s="637" t="str">
        <f t="shared" ca="1" si="193"/>
        <v/>
      </c>
      <c r="AN307" s="637" t="str">
        <f t="shared" ca="1" si="193"/>
        <v/>
      </c>
      <c r="AO307" s="637" t="str">
        <f t="shared" ca="1" si="193"/>
        <v/>
      </c>
      <c r="AP307" s="637" t="str">
        <f t="shared" ca="1" si="193"/>
        <v/>
      </c>
      <c r="AQ307" s="637" t="str">
        <f t="shared" ca="1" si="193"/>
        <v/>
      </c>
      <c r="AR307" s="637" t="str">
        <f t="shared" ca="1" si="193"/>
        <v/>
      </c>
      <c r="AS307" s="637" t="str">
        <f t="shared" ca="1" si="193"/>
        <v/>
      </c>
      <c r="AT307" s="637" t="str">
        <f t="shared" ca="1" si="193"/>
        <v/>
      </c>
      <c r="AU307" s="637" t="str">
        <f t="shared" ca="1" si="193"/>
        <v/>
      </c>
      <c r="AV307" s="637" t="str">
        <f t="shared" ca="1" si="193"/>
        <v/>
      </c>
      <c r="AW307" s="637" t="str">
        <f t="shared" ca="1" si="193"/>
        <v/>
      </c>
      <c r="AX307" s="637" t="str">
        <f t="shared" ca="1" si="193"/>
        <v/>
      </c>
      <c r="AY307" s="637" t="str">
        <f t="shared" ca="1" si="193"/>
        <v/>
      </c>
      <c r="AZ307" s="637" t="str">
        <f t="shared" ca="1" si="193"/>
        <v/>
      </c>
      <c r="BA307" s="637" t="str">
        <f t="shared" ca="1" si="193"/>
        <v/>
      </c>
      <c r="BB307" s="638" t="str">
        <f t="shared" ca="1" si="193"/>
        <v/>
      </c>
    </row>
    <row r="308" spans="1:54" hidden="1">
      <c r="A308" s="569">
        <v>62</v>
      </c>
      <c r="B308" s="1060" t="s">
        <v>693</v>
      </c>
      <c r="C308" s="629" t="s">
        <v>497</v>
      </c>
      <c r="D308" s="640"/>
      <c r="E308" s="631" t="str">
        <f ca="1">IF(AND($HE$10="",$HG$10=""),IF(AND(E300="",E252&lt;&gt;""),"&lt;"&amp;E312&amp;"&gt;要入力",IF(OR(E300=E304,E300="",E304=""),"","&lt;"&amp;E312&amp;"&gt;要修正("&amp;E300&amp;"→"&amp;E304&amp;")")),"")</f>
        <v/>
      </c>
      <c r="F308" s="631" t="str">
        <f t="shared" ref="F308:BB308" ca="1" si="194">IF(AND($HE$10="",$HG$10=""),IF(AND(F300="",F252&lt;&gt;""),"&lt;"&amp;F312&amp;"&gt;要入力",IF(OR(F300=F304,F300="",F304=""),"","&lt;"&amp;F312&amp;"&gt;要修正("&amp;F300&amp;"→"&amp;F304&amp;")")),"")</f>
        <v/>
      </c>
      <c r="G308" s="631" t="str">
        <f t="shared" ca="1" si="194"/>
        <v/>
      </c>
      <c r="H308" s="631" t="str">
        <f t="shared" ca="1" si="194"/>
        <v/>
      </c>
      <c r="I308" s="631" t="str">
        <f t="shared" ca="1" si="194"/>
        <v/>
      </c>
      <c r="J308" s="631" t="str">
        <f t="shared" ca="1" si="194"/>
        <v/>
      </c>
      <c r="K308" s="631" t="str">
        <f t="shared" ca="1" si="194"/>
        <v/>
      </c>
      <c r="L308" s="631" t="str">
        <f t="shared" ca="1" si="194"/>
        <v/>
      </c>
      <c r="M308" s="631" t="str">
        <f t="shared" ca="1" si="194"/>
        <v/>
      </c>
      <c r="N308" s="631" t="str">
        <f t="shared" ca="1" si="194"/>
        <v/>
      </c>
      <c r="O308" s="631" t="str">
        <f t="shared" ca="1" si="194"/>
        <v/>
      </c>
      <c r="P308" s="631" t="str">
        <f t="shared" ca="1" si="194"/>
        <v/>
      </c>
      <c r="Q308" s="631" t="str">
        <f t="shared" ca="1" si="194"/>
        <v/>
      </c>
      <c r="R308" s="631" t="str">
        <f t="shared" ca="1" si="194"/>
        <v/>
      </c>
      <c r="S308" s="631" t="str">
        <f t="shared" ca="1" si="194"/>
        <v/>
      </c>
      <c r="T308" s="631" t="str">
        <f t="shared" ca="1" si="194"/>
        <v/>
      </c>
      <c r="U308" s="631" t="str">
        <f t="shared" ca="1" si="194"/>
        <v/>
      </c>
      <c r="V308" s="631" t="str">
        <f t="shared" ca="1" si="194"/>
        <v/>
      </c>
      <c r="W308" s="631" t="str">
        <f t="shared" ca="1" si="194"/>
        <v/>
      </c>
      <c r="X308" s="631" t="str">
        <f t="shared" ca="1" si="194"/>
        <v/>
      </c>
      <c r="Y308" s="631" t="str">
        <f t="shared" ca="1" si="194"/>
        <v/>
      </c>
      <c r="Z308" s="631" t="str">
        <f t="shared" ca="1" si="194"/>
        <v/>
      </c>
      <c r="AA308" s="631" t="str">
        <f t="shared" ca="1" si="194"/>
        <v/>
      </c>
      <c r="AB308" s="631" t="str">
        <f t="shared" ca="1" si="194"/>
        <v/>
      </c>
      <c r="AC308" s="631" t="str">
        <f t="shared" ca="1" si="194"/>
        <v/>
      </c>
      <c r="AD308" s="631" t="str">
        <f t="shared" ca="1" si="194"/>
        <v/>
      </c>
      <c r="AE308" s="631" t="str">
        <f t="shared" ca="1" si="194"/>
        <v/>
      </c>
      <c r="AF308" s="631" t="str">
        <f t="shared" ca="1" si="194"/>
        <v/>
      </c>
      <c r="AG308" s="631" t="str">
        <f t="shared" ca="1" si="194"/>
        <v/>
      </c>
      <c r="AH308" s="631" t="str">
        <f t="shared" ca="1" si="194"/>
        <v/>
      </c>
      <c r="AI308" s="631" t="str">
        <f t="shared" ca="1" si="194"/>
        <v/>
      </c>
      <c r="AJ308" s="631" t="str">
        <f t="shared" ca="1" si="194"/>
        <v/>
      </c>
      <c r="AK308" s="631" t="str">
        <f t="shared" ca="1" si="194"/>
        <v/>
      </c>
      <c r="AL308" s="631" t="str">
        <f t="shared" ca="1" si="194"/>
        <v/>
      </c>
      <c r="AM308" s="631" t="str">
        <f t="shared" ca="1" si="194"/>
        <v/>
      </c>
      <c r="AN308" s="631" t="str">
        <f t="shared" ca="1" si="194"/>
        <v/>
      </c>
      <c r="AO308" s="631" t="str">
        <f t="shared" ca="1" si="194"/>
        <v/>
      </c>
      <c r="AP308" s="631" t="str">
        <f t="shared" ca="1" si="194"/>
        <v/>
      </c>
      <c r="AQ308" s="631" t="str">
        <f t="shared" ca="1" si="194"/>
        <v/>
      </c>
      <c r="AR308" s="631" t="str">
        <f t="shared" ca="1" si="194"/>
        <v/>
      </c>
      <c r="AS308" s="631" t="str">
        <f t="shared" ca="1" si="194"/>
        <v/>
      </c>
      <c r="AT308" s="631" t="str">
        <f t="shared" ca="1" si="194"/>
        <v/>
      </c>
      <c r="AU308" s="631" t="str">
        <f t="shared" ca="1" si="194"/>
        <v/>
      </c>
      <c r="AV308" s="631" t="str">
        <f t="shared" ca="1" si="194"/>
        <v/>
      </c>
      <c r="AW308" s="631" t="str">
        <f t="shared" ca="1" si="194"/>
        <v/>
      </c>
      <c r="AX308" s="631" t="str">
        <f t="shared" ca="1" si="194"/>
        <v/>
      </c>
      <c r="AY308" s="631" t="str">
        <f t="shared" ca="1" si="194"/>
        <v/>
      </c>
      <c r="AZ308" s="631" t="str">
        <f t="shared" ca="1" si="194"/>
        <v/>
      </c>
      <c r="BA308" s="631" t="str">
        <f t="shared" ca="1" si="194"/>
        <v/>
      </c>
      <c r="BB308" s="631" t="str">
        <f t="shared" ca="1" si="194"/>
        <v/>
      </c>
    </row>
    <row r="309" spans="1:54" hidden="1">
      <c r="A309" s="569">
        <v>63</v>
      </c>
      <c r="B309" s="1061"/>
      <c r="C309" s="633" t="s">
        <v>498</v>
      </c>
      <c r="D309" s="641"/>
      <c r="E309" s="581" t="str">
        <f ca="1">IF(AND($HE$10="",$HG$10=""),IF(AND(E301="",E264&lt;&gt;""),"&lt;"&amp;E313&amp;"&gt;要入力",IF(OR(E301=E305,E301="",E305=""),"","&lt;"&amp;E313&amp;"&gt;要修正("&amp;E301&amp;"→"&amp;E305&amp;")")),"")</f>
        <v/>
      </c>
      <c r="F309" s="581" t="str">
        <f t="shared" ref="F309:BB309" ca="1" si="195">IF(AND($HE$10="",$HG$10=""),IF(AND(F301="",F264&lt;&gt;""),"&lt;"&amp;F313&amp;"&gt;要入力",IF(OR(F301=F305,F301="",F305=""),"","&lt;"&amp;F313&amp;"&gt;要修正("&amp;F301&amp;"→"&amp;F305&amp;")")),"")</f>
        <v/>
      </c>
      <c r="G309" s="581" t="str">
        <f t="shared" ca="1" si="195"/>
        <v/>
      </c>
      <c r="H309" s="581" t="str">
        <f t="shared" ca="1" si="195"/>
        <v/>
      </c>
      <c r="I309" s="581" t="str">
        <f t="shared" ca="1" si="195"/>
        <v/>
      </c>
      <c r="J309" s="581" t="str">
        <f t="shared" ca="1" si="195"/>
        <v/>
      </c>
      <c r="K309" s="581" t="str">
        <f t="shared" ca="1" si="195"/>
        <v/>
      </c>
      <c r="L309" s="581" t="str">
        <f t="shared" ca="1" si="195"/>
        <v/>
      </c>
      <c r="M309" s="581" t="str">
        <f t="shared" ca="1" si="195"/>
        <v/>
      </c>
      <c r="N309" s="581" t="str">
        <f t="shared" ca="1" si="195"/>
        <v/>
      </c>
      <c r="O309" s="581" t="str">
        <f t="shared" ca="1" si="195"/>
        <v/>
      </c>
      <c r="P309" s="581" t="str">
        <f t="shared" ca="1" si="195"/>
        <v/>
      </c>
      <c r="Q309" s="581" t="str">
        <f t="shared" ca="1" si="195"/>
        <v/>
      </c>
      <c r="R309" s="581" t="str">
        <f t="shared" ca="1" si="195"/>
        <v/>
      </c>
      <c r="S309" s="581" t="str">
        <f t="shared" ca="1" si="195"/>
        <v/>
      </c>
      <c r="T309" s="581" t="str">
        <f t="shared" ca="1" si="195"/>
        <v/>
      </c>
      <c r="U309" s="581" t="str">
        <f t="shared" ca="1" si="195"/>
        <v/>
      </c>
      <c r="V309" s="581" t="str">
        <f t="shared" ca="1" si="195"/>
        <v/>
      </c>
      <c r="W309" s="581" t="str">
        <f t="shared" ca="1" si="195"/>
        <v/>
      </c>
      <c r="X309" s="581" t="str">
        <f t="shared" ca="1" si="195"/>
        <v/>
      </c>
      <c r="Y309" s="581" t="str">
        <f t="shared" ca="1" si="195"/>
        <v/>
      </c>
      <c r="Z309" s="581" t="str">
        <f t="shared" ca="1" si="195"/>
        <v/>
      </c>
      <c r="AA309" s="581" t="str">
        <f t="shared" ca="1" si="195"/>
        <v/>
      </c>
      <c r="AB309" s="581" t="str">
        <f t="shared" ca="1" si="195"/>
        <v/>
      </c>
      <c r="AC309" s="581" t="str">
        <f t="shared" ca="1" si="195"/>
        <v/>
      </c>
      <c r="AD309" s="581" t="str">
        <f t="shared" ca="1" si="195"/>
        <v/>
      </c>
      <c r="AE309" s="581" t="str">
        <f t="shared" ca="1" si="195"/>
        <v/>
      </c>
      <c r="AF309" s="581" t="str">
        <f t="shared" ca="1" si="195"/>
        <v/>
      </c>
      <c r="AG309" s="581" t="str">
        <f t="shared" ca="1" si="195"/>
        <v/>
      </c>
      <c r="AH309" s="581" t="str">
        <f t="shared" ca="1" si="195"/>
        <v/>
      </c>
      <c r="AI309" s="581" t="str">
        <f t="shared" ca="1" si="195"/>
        <v/>
      </c>
      <c r="AJ309" s="581" t="str">
        <f t="shared" ca="1" si="195"/>
        <v/>
      </c>
      <c r="AK309" s="581" t="str">
        <f t="shared" ca="1" si="195"/>
        <v/>
      </c>
      <c r="AL309" s="581" t="str">
        <f t="shared" ca="1" si="195"/>
        <v/>
      </c>
      <c r="AM309" s="581" t="str">
        <f t="shared" ca="1" si="195"/>
        <v/>
      </c>
      <c r="AN309" s="581" t="str">
        <f t="shared" ca="1" si="195"/>
        <v/>
      </c>
      <c r="AO309" s="581" t="str">
        <f t="shared" ca="1" si="195"/>
        <v/>
      </c>
      <c r="AP309" s="581" t="str">
        <f t="shared" ca="1" si="195"/>
        <v/>
      </c>
      <c r="AQ309" s="581" t="str">
        <f t="shared" ca="1" si="195"/>
        <v/>
      </c>
      <c r="AR309" s="581" t="str">
        <f t="shared" ca="1" si="195"/>
        <v/>
      </c>
      <c r="AS309" s="581" t="str">
        <f t="shared" ca="1" si="195"/>
        <v/>
      </c>
      <c r="AT309" s="581" t="str">
        <f t="shared" ca="1" si="195"/>
        <v/>
      </c>
      <c r="AU309" s="581" t="str">
        <f t="shared" ca="1" si="195"/>
        <v/>
      </c>
      <c r="AV309" s="581" t="str">
        <f t="shared" ca="1" si="195"/>
        <v/>
      </c>
      <c r="AW309" s="581" t="str">
        <f t="shared" ca="1" si="195"/>
        <v/>
      </c>
      <c r="AX309" s="581" t="str">
        <f t="shared" ca="1" si="195"/>
        <v/>
      </c>
      <c r="AY309" s="581" t="str">
        <f t="shared" ca="1" si="195"/>
        <v/>
      </c>
      <c r="AZ309" s="581" t="str">
        <f t="shared" ca="1" si="195"/>
        <v/>
      </c>
      <c r="BA309" s="581" t="str">
        <f t="shared" ca="1" si="195"/>
        <v/>
      </c>
      <c r="BB309" s="581" t="str">
        <f t="shared" ca="1" si="195"/>
        <v/>
      </c>
    </row>
    <row r="310" spans="1:54" hidden="1">
      <c r="A310" s="569">
        <v>64</v>
      </c>
      <c r="B310" s="1061"/>
      <c r="C310" s="633" t="s">
        <v>499</v>
      </c>
      <c r="D310" s="641"/>
      <c r="E310" s="581" t="str">
        <f ca="1">IF(AND($HE$10="",$HG$10=""),IF(AND(E302="",E276&lt;&gt;""),"&lt;"&amp;E314&amp;"&gt;要入力",IF(OR(E302=E306,E302="",E306=""),"","&lt;"&amp;E314&amp;"&gt;要修正("&amp;E302&amp;"→"&amp;E306&amp;")")),"")</f>
        <v/>
      </c>
      <c r="F310" s="581" t="str">
        <f t="shared" ref="F310:BB310" ca="1" si="196">IF(AND($HE$10="",$HG$10=""),IF(AND(F302="",F276&lt;&gt;""),"&lt;"&amp;F314&amp;"&gt;要入力",IF(OR(F302=F306,F302="",F306=""),"","&lt;"&amp;F314&amp;"&gt;要修正("&amp;F302&amp;"→"&amp;F306&amp;")")),"")</f>
        <v/>
      </c>
      <c r="G310" s="581" t="str">
        <f t="shared" ca="1" si="196"/>
        <v/>
      </c>
      <c r="H310" s="581" t="str">
        <f t="shared" ca="1" si="196"/>
        <v/>
      </c>
      <c r="I310" s="581" t="str">
        <f t="shared" ca="1" si="196"/>
        <v/>
      </c>
      <c r="J310" s="581" t="str">
        <f t="shared" ca="1" si="196"/>
        <v/>
      </c>
      <c r="K310" s="581" t="str">
        <f t="shared" ca="1" si="196"/>
        <v/>
      </c>
      <c r="L310" s="581" t="str">
        <f t="shared" ca="1" si="196"/>
        <v/>
      </c>
      <c r="M310" s="581" t="str">
        <f t="shared" ca="1" si="196"/>
        <v/>
      </c>
      <c r="N310" s="581" t="str">
        <f t="shared" ca="1" si="196"/>
        <v/>
      </c>
      <c r="O310" s="581" t="str">
        <f t="shared" ca="1" si="196"/>
        <v/>
      </c>
      <c r="P310" s="581" t="str">
        <f t="shared" ca="1" si="196"/>
        <v/>
      </c>
      <c r="Q310" s="581" t="str">
        <f t="shared" ca="1" si="196"/>
        <v/>
      </c>
      <c r="R310" s="581" t="str">
        <f t="shared" ca="1" si="196"/>
        <v/>
      </c>
      <c r="S310" s="581" t="str">
        <f t="shared" ca="1" si="196"/>
        <v/>
      </c>
      <c r="T310" s="581" t="str">
        <f t="shared" ca="1" si="196"/>
        <v/>
      </c>
      <c r="U310" s="581" t="str">
        <f t="shared" ca="1" si="196"/>
        <v/>
      </c>
      <c r="V310" s="581" t="str">
        <f t="shared" ca="1" si="196"/>
        <v/>
      </c>
      <c r="W310" s="581" t="str">
        <f t="shared" ca="1" si="196"/>
        <v/>
      </c>
      <c r="X310" s="581" t="str">
        <f t="shared" ca="1" si="196"/>
        <v/>
      </c>
      <c r="Y310" s="581" t="str">
        <f t="shared" ca="1" si="196"/>
        <v/>
      </c>
      <c r="Z310" s="581" t="str">
        <f t="shared" ca="1" si="196"/>
        <v/>
      </c>
      <c r="AA310" s="581" t="str">
        <f t="shared" ca="1" si="196"/>
        <v/>
      </c>
      <c r="AB310" s="581" t="str">
        <f t="shared" ca="1" si="196"/>
        <v/>
      </c>
      <c r="AC310" s="581" t="str">
        <f t="shared" ca="1" si="196"/>
        <v/>
      </c>
      <c r="AD310" s="581" t="str">
        <f t="shared" ca="1" si="196"/>
        <v/>
      </c>
      <c r="AE310" s="581" t="str">
        <f t="shared" ca="1" si="196"/>
        <v/>
      </c>
      <c r="AF310" s="581" t="str">
        <f t="shared" ca="1" si="196"/>
        <v/>
      </c>
      <c r="AG310" s="581" t="str">
        <f t="shared" ca="1" si="196"/>
        <v/>
      </c>
      <c r="AH310" s="581" t="str">
        <f t="shared" ca="1" si="196"/>
        <v/>
      </c>
      <c r="AI310" s="581" t="str">
        <f t="shared" ca="1" si="196"/>
        <v/>
      </c>
      <c r="AJ310" s="581" t="str">
        <f t="shared" ca="1" si="196"/>
        <v/>
      </c>
      <c r="AK310" s="581" t="str">
        <f t="shared" ca="1" si="196"/>
        <v/>
      </c>
      <c r="AL310" s="581" t="str">
        <f t="shared" ca="1" si="196"/>
        <v/>
      </c>
      <c r="AM310" s="581" t="str">
        <f t="shared" ca="1" si="196"/>
        <v/>
      </c>
      <c r="AN310" s="581" t="str">
        <f t="shared" ca="1" si="196"/>
        <v/>
      </c>
      <c r="AO310" s="581" t="str">
        <f t="shared" ca="1" si="196"/>
        <v/>
      </c>
      <c r="AP310" s="581" t="str">
        <f t="shared" ca="1" si="196"/>
        <v/>
      </c>
      <c r="AQ310" s="581" t="str">
        <f t="shared" ca="1" si="196"/>
        <v/>
      </c>
      <c r="AR310" s="581" t="str">
        <f t="shared" ca="1" si="196"/>
        <v/>
      </c>
      <c r="AS310" s="581" t="str">
        <f t="shared" ca="1" si="196"/>
        <v/>
      </c>
      <c r="AT310" s="581" t="str">
        <f t="shared" ca="1" si="196"/>
        <v/>
      </c>
      <c r="AU310" s="581" t="str">
        <f t="shared" ca="1" si="196"/>
        <v/>
      </c>
      <c r="AV310" s="581" t="str">
        <f t="shared" ca="1" si="196"/>
        <v/>
      </c>
      <c r="AW310" s="581" t="str">
        <f t="shared" ca="1" si="196"/>
        <v/>
      </c>
      <c r="AX310" s="581" t="str">
        <f t="shared" ca="1" si="196"/>
        <v/>
      </c>
      <c r="AY310" s="581" t="str">
        <f t="shared" ca="1" si="196"/>
        <v/>
      </c>
      <c r="AZ310" s="581" t="str">
        <f t="shared" ca="1" si="196"/>
        <v/>
      </c>
      <c r="BA310" s="581" t="str">
        <f t="shared" ca="1" si="196"/>
        <v/>
      </c>
      <c r="BB310" s="581" t="str">
        <f t="shared" ca="1" si="196"/>
        <v/>
      </c>
    </row>
    <row r="311" spans="1:54" ht="18.600000000000001" hidden="1" thickBot="1">
      <c r="A311" s="569">
        <v>65</v>
      </c>
      <c r="B311" s="1062"/>
      <c r="C311" s="636" t="s">
        <v>500</v>
      </c>
      <c r="D311" s="642"/>
      <c r="E311" s="637" t="str">
        <f ca="1">IF(AND($HE$10="",$HG$10=""),IF(AND(E303="",E288&lt;&gt;""),"&lt;"&amp;E315&amp;"&gt;要入力",IF(OR(E303=E307,E303="",E307=""),"","&lt;"&amp;E315&amp;"&gt;要修正("&amp;E303&amp;"→"&amp;E307&amp;")")),"")</f>
        <v/>
      </c>
      <c r="F311" s="637" t="str">
        <f t="shared" ref="F311:BB311" ca="1" si="197">IF(AND($HE$10="",$HG$10=""),IF(AND(F303="",F288&lt;&gt;""),"&lt;"&amp;F315&amp;"&gt;要入力",IF(OR(F303=F307,F303="",F307=""),"","&lt;"&amp;F315&amp;"&gt;要修正("&amp;F303&amp;"→"&amp;F307&amp;")")),"")</f>
        <v/>
      </c>
      <c r="G311" s="637" t="str">
        <f t="shared" ca="1" si="197"/>
        <v/>
      </c>
      <c r="H311" s="637" t="str">
        <f t="shared" ca="1" si="197"/>
        <v/>
      </c>
      <c r="I311" s="637" t="str">
        <f t="shared" ca="1" si="197"/>
        <v/>
      </c>
      <c r="J311" s="637" t="str">
        <f t="shared" ca="1" si="197"/>
        <v/>
      </c>
      <c r="K311" s="637" t="str">
        <f t="shared" ca="1" si="197"/>
        <v/>
      </c>
      <c r="L311" s="637" t="str">
        <f t="shared" ca="1" si="197"/>
        <v/>
      </c>
      <c r="M311" s="637" t="str">
        <f t="shared" ca="1" si="197"/>
        <v/>
      </c>
      <c r="N311" s="637" t="str">
        <f t="shared" ca="1" si="197"/>
        <v/>
      </c>
      <c r="O311" s="637" t="str">
        <f t="shared" ca="1" si="197"/>
        <v/>
      </c>
      <c r="P311" s="637" t="str">
        <f t="shared" ca="1" si="197"/>
        <v/>
      </c>
      <c r="Q311" s="637" t="str">
        <f t="shared" ca="1" si="197"/>
        <v/>
      </c>
      <c r="R311" s="637" t="str">
        <f t="shared" ca="1" si="197"/>
        <v/>
      </c>
      <c r="S311" s="637" t="str">
        <f t="shared" ca="1" si="197"/>
        <v/>
      </c>
      <c r="T311" s="637" t="str">
        <f t="shared" ca="1" si="197"/>
        <v/>
      </c>
      <c r="U311" s="637" t="str">
        <f t="shared" ca="1" si="197"/>
        <v/>
      </c>
      <c r="V311" s="637" t="str">
        <f t="shared" ca="1" si="197"/>
        <v/>
      </c>
      <c r="W311" s="637" t="str">
        <f t="shared" ca="1" si="197"/>
        <v/>
      </c>
      <c r="X311" s="637" t="str">
        <f t="shared" ca="1" si="197"/>
        <v/>
      </c>
      <c r="Y311" s="637" t="str">
        <f t="shared" ca="1" si="197"/>
        <v/>
      </c>
      <c r="Z311" s="637" t="str">
        <f t="shared" ca="1" si="197"/>
        <v/>
      </c>
      <c r="AA311" s="637" t="str">
        <f t="shared" ca="1" si="197"/>
        <v/>
      </c>
      <c r="AB311" s="637" t="str">
        <f t="shared" ca="1" si="197"/>
        <v/>
      </c>
      <c r="AC311" s="637" t="str">
        <f t="shared" ca="1" si="197"/>
        <v/>
      </c>
      <c r="AD311" s="637" t="str">
        <f t="shared" ca="1" si="197"/>
        <v/>
      </c>
      <c r="AE311" s="637" t="str">
        <f t="shared" ca="1" si="197"/>
        <v/>
      </c>
      <c r="AF311" s="637" t="str">
        <f t="shared" ca="1" si="197"/>
        <v/>
      </c>
      <c r="AG311" s="637" t="str">
        <f t="shared" ca="1" si="197"/>
        <v/>
      </c>
      <c r="AH311" s="637" t="str">
        <f t="shared" ca="1" si="197"/>
        <v/>
      </c>
      <c r="AI311" s="637" t="str">
        <f t="shared" ca="1" si="197"/>
        <v/>
      </c>
      <c r="AJ311" s="637" t="str">
        <f t="shared" ca="1" si="197"/>
        <v/>
      </c>
      <c r="AK311" s="637" t="str">
        <f t="shared" ca="1" si="197"/>
        <v/>
      </c>
      <c r="AL311" s="637" t="str">
        <f t="shared" ca="1" si="197"/>
        <v/>
      </c>
      <c r="AM311" s="637" t="str">
        <f t="shared" ca="1" si="197"/>
        <v/>
      </c>
      <c r="AN311" s="637" t="str">
        <f t="shared" ca="1" si="197"/>
        <v/>
      </c>
      <c r="AO311" s="637" t="str">
        <f t="shared" ca="1" si="197"/>
        <v/>
      </c>
      <c r="AP311" s="637" t="str">
        <f t="shared" ca="1" si="197"/>
        <v/>
      </c>
      <c r="AQ311" s="637" t="str">
        <f t="shared" ca="1" si="197"/>
        <v/>
      </c>
      <c r="AR311" s="637" t="str">
        <f t="shared" ca="1" si="197"/>
        <v/>
      </c>
      <c r="AS311" s="637" t="str">
        <f t="shared" ca="1" si="197"/>
        <v/>
      </c>
      <c r="AT311" s="637" t="str">
        <f t="shared" ca="1" si="197"/>
        <v/>
      </c>
      <c r="AU311" s="637" t="str">
        <f t="shared" ca="1" si="197"/>
        <v/>
      </c>
      <c r="AV311" s="637" t="str">
        <f t="shared" ca="1" si="197"/>
        <v/>
      </c>
      <c r="AW311" s="637" t="str">
        <f t="shared" ca="1" si="197"/>
        <v/>
      </c>
      <c r="AX311" s="637" t="str">
        <f t="shared" ca="1" si="197"/>
        <v/>
      </c>
      <c r="AY311" s="637" t="str">
        <f t="shared" ca="1" si="197"/>
        <v/>
      </c>
      <c r="AZ311" s="637" t="str">
        <f t="shared" ca="1" si="197"/>
        <v/>
      </c>
      <c r="BA311" s="637" t="str">
        <f t="shared" ca="1" si="197"/>
        <v/>
      </c>
      <c r="BB311" s="637" t="str">
        <f t="shared" ca="1" si="197"/>
        <v/>
      </c>
    </row>
    <row r="312" spans="1:54" ht="14.25" hidden="1" customHeight="1">
      <c r="B312" s="1060" t="s">
        <v>694</v>
      </c>
      <c r="C312" s="629" t="s">
        <v>497</v>
      </c>
      <c r="D312" s="640"/>
      <c r="E312" s="631" t="str">
        <f t="shared" ref="E312:AJ312" ca="1" si="198">IFERROR(ADDRESS(ROW(貼付け_2024実績)+99,E253+COLUMN(貼付け_2024実績),4),"")</f>
        <v/>
      </c>
      <c r="F312" s="631" t="str">
        <f t="shared" ca="1" si="198"/>
        <v/>
      </c>
      <c r="G312" s="631" t="str">
        <f t="shared" ca="1" si="198"/>
        <v/>
      </c>
      <c r="H312" s="631" t="str">
        <f t="shared" ca="1" si="198"/>
        <v/>
      </c>
      <c r="I312" s="631" t="str">
        <f t="shared" ca="1" si="198"/>
        <v/>
      </c>
      <c r="J312" s="631" t="str">
        <f t="shared" ca="1" si="198"/>
        <v/>
      </c>
      <c r="K312" s="631" t="str">
        <f t="shared" ca="1" si="198"/>
        <v/>
      </c>
      <c r="L312" s="631" t="str">
        <f t="shared" ca="1" si="198"/>
        <v/>
      </c>
      <c r="M312" s="631" t="str">
        <f t="shared" ca="1" si="198"/>
        <v/>
      </c>
      <c r="N312" s="631" t="str">
        <f t="shared" ca="1" si="198"/>
        <v/>
      </c>
      <c r="O312" s="631" t="str">
        <f t="shared" ca="1" si="198"/>
        <v/>
      </c>
      <c r="P312" s="631" t="str">
        <f t="shared" ca="1" si="198"/>
        <v/>
      </c>
      <c r="Q312" s="631" t="str">
        <f t="shared" ca="1" si="198"/>
        <v/>
      </c>
      <c r="R312" s="631" t="str">
        <f t="shared" ca="1" si="198"/>
        <v/>
      </c>
      <c r="S312" s="631" t="str">
        <f t="shared" ca="1" si="198"/>
        <v/>
      </c>
      <c r="T312" s="631" t="str">
        <f t="shared" ca="1" si="198"/>
        <v/>
      </c>
      <c r="U312" s="631" t="str">
        <f t="shared" ca="1" si="198"/>
        <v/>
      </c>
      <c r="V312" s="631" t="str">
        <f t="shared" ca="1" si="198"/>
        <v/>
      </c>
      <c r="W312" s="631" t="str">
        <f t="shared" ca="1" si="198"/>
        <v/>
      </c>
      <c r="X312" s="631" t="str">
        <f t="shared" ca="1" si="198"/>
        <v/>
      </c>
      <c r="Y312" s="631" t="str">
        <f t="shared" ca="1" si="198"/>
        <v/>
      </c>
      <c r="Z312" s="631" t="str">
        <f t="shared" ca="1" si="198"/>
        <v/>
      </c>
      <c r="AA312" s="631" t="str">
        <f t="shared" ca="1" si="198"/>
        <v/>
      </c>
      <c r="AB312" s="631" t="str">
        <f t="shared" ca="1" si="198"/>
        <v/>
      </c>
      <c r="AC312" s="631" t="str">
        <f t="shared" ca="1" si="198"/>
        <v/>
      </c>
      <c r="AD312" s="631" t="str">
        <f t="shared" ca="1" si="198"/>
        <v/>
      </c>
      <c r="AE312" s="631" t="str">
        <f t="shared" ca="1" si="198"/>
        <v/>
      </c>
      <c r="AF312" s="631" t="str">
        <f t="shared" ca="1" si="198"/>
        <v/>
      </c>
      <c r="AG312" s="631" t="str">
        <f t="shared" ca="1" si="198"/>
        <v/>
      </c>
      <c r="AH312" s="631" t="str">
        <f t="shared" ca="1" si="198"/>
        <v/>
      </c>
      <c r="AI312" s="631" t="str">
        <f t="shared" ca="1" si="198"/>
        <v/>
      </c>
      <c r="AJ312" s="631" t="str">
        <f t="shared" ca="1" si="198"/>
        <v/>
      </c>
      <c r="AK312" s="631" t="str">
        <f t="shared" ref="AK312:BB312" ca="1" si="199">IFERROR(ADDRESS(ROW(貼付け_2024実績)+99,AK253+COLUMN(貼付け_2024実績),4),"")</f>
        <v/>
      </c>
      <c r="AL312" s="631" t="str">
        <f t="shared" ca="1" si="199"/>
        <v/>
      </c>
      <c r="AM312" s="631" t="str">
        <f t="shared" ca="1" si="199"/>
        <v/>
      </c>
      <c r="AN312" s="631" t="str">
        <f t="shared" ca="1" si="199"/>
        <v/>
      </c>
      <c r="AO312" s="631" t="str">
        <f t="shared" ca="1" si="199"/>
        <v/>
      </c>
      <c r="AP312" s="631" t="str">
        <f t="shared" ca="1" si="199"/>
        <v/>
      </c>
      <c r="AQ312" s="631" t="str">
        <f t="shared" ca="1" si="199"/>
        <v/>
      </c>
      <c r="AR312" s="631" t="str">
        <f t="shared" ca="1" si="199"/>
        <v/>
      </c>
      <c r="AS312" s="631" t="str">
        <f t="shared" ca="1" si="199"/>
        <v/>
      </c>
      <c r="AT312" s="631" t="str">
        <f t="shared" ca="1" si="199"/>
        <v/>
      </c>
      <c r="AU312" s="631" t="str">
        <f t="shared" ca="1" si="199"/>
        <v/>
      </c>
      <c r="AV312" s="631" t="str">
        <f t="shared" ca="1" si="199"/>
        <v/>
      </c>
      <c r="AW312" s="631" t="str">
        <f t="shared" ca="1" si="199"/>
        <v/>
      </c>
      <c r="AX312" s="631" t="str">
        <f t="shared" ca="1" si="199"/>
        <v/>
      </c>
      <c r="AY312" s="631" t="str">
        <f t="shared" ca="1" si="199"/>
        <v/>
      </c>
      <c r="AZ312" s="631" t="str">
        <f t="shared" ca="1" si="199"/>
        <v/>
      </c>
      <c r="BA312" s="631" t="str">
        <f t="shared" ca="1" si="199"/>
        <v/>
      </c>
      <c r="BB312" s="631" t="str">
        <f t="shared" ca="1" si="199"/>
        <v/>
      </c>
    </row>
    <row r="313" spans="1:54" hidden="1">
      <c r="B313" s="1061"/>
      <c r="C313" s="633" t="s">
        <v>498</v>
      </c>
      <c r="D313" s="641"/>
      <c r="E313" s="581" t="str">
        <f t="shared" ref="E313:AJ313" ca="1" si="200">IFERROR(ADDRESS(ROW(貼付け_2024実績)+99,E265+COLUMN(貼付け_2024実績),4),"")</f>
        <v/>
      </c>
      <c r="F313" s="581" t="str">
        <f t="shared" ca="1" si="200"/>
        <v/>
      </c>
      <c r="G313" s="581" t="str">
        <f t="shared" ca="1" si="200"/>
        <v/>
      </c>
      <c r="H313" s="581" t="str">
        <f t="shared" ca="1" si="200"/>
        <v/>
      </c>
      <c r="I313" s="581" t="str">
        <f t="shared" ca="1" si="200"/>
        <v/>
      </c>
      <c r="J313" s="581" t="str">
        <f t="shared" ca="1" si="200"/>
        <v/>
      </c>
      <c r="K313" s="581" t="str">
        <f t="shared" ca="1" si="200"/>
        <v/>
      </c>
      <c r="L313" s="581" t="str">
        <f t="shared" ca="1" si="200"/>
        <v/>
      </c>
      <c r="M313" s="581" t="str">
        <f t="shared" ca="1" si="200"/>
        <v/>
      </c>
      <c r="N313" s="581" t="str">
        <f t="shared" ca="1" si="200"/>
        <v/>
      </c>
      <c r="O313" s="581" t="str">
        <f t="shared" ca="1" si="200"/>
        <v/>
      </c>
      <c r="P313" s="581" t="str">
        <f t="shared" ca="1" si="200"/>
        <v/>
      </c>
      <c r="Q313" s="581" t="str">
        <f t="shared" ca="1" si="200"/>
        <v/>
      </c>
      <c r="R313" s="581" t="str">
        <f t="shared" ca="1" si="200"/>
        <v/>
      </c>
      <c r="S313" s="581" t="str">
        <f t="shared" ca="1" si="200"/>
        <v/>
      </c>
      <c r="T313" s="581" t="str">
        <f t="shared" ca="1" si="200"/>
        <v/>
      </c>
      <c r="U313" s="581" t="str">
        <f t="shared" ca="1" si="200"/>
        <v/>
      </c>
      <c r="V313" s="581" t="str">
        <f t="shared" ca="1" si="200"/>
        <v/>
      </c>
      <c r="W313" s="581" t="str">
        <f t="shared" ca="1" si="200"/>
        <v/>
      </c>
      <c r="X313" s="581" t="str">
        <f t="shared" ca="1" si="200"/>
        <v/>
      </c>
      <c r="Y313" s="581" t="str">
        <f t="shared" ca="1" si="200"/>
        <v/>
      </c>
      <c r="Z313" s="581" t="str">
        <f t="shared" ca="1" si="200"/>
        <v/>
      </c>
      <c r="AA313" s="581" t="str">
        <f t="shared" ca="1" si="200"/>
        <v/>
      </c>
      <c r="AB313" s="581" t="str">
        <f t="shared" ca="1" si="200"/>
        <v/>
      </c>
      <c r="AC313" s="581" t="str">
        <f t="shared" ca="1" si="200"/>
        <v/>
      </c>
      <c r="AD313" s="581" t="str">
        <f t="shared" ca="1" si="200"/>
        <v/>
      </c>
      <c r="AE313" s="581" t="str">
        <f t="shared" ca="1" si="200"/>
        <v/>
      </c>
      <c r="AF313" s="581" t="str">
        <f t="shared" ca="1" si="200"/>
        <v/>
      </c>
      <c r="AG313" s="581" t="str">
        <f t="shared" ca="1" si="200"/>
        <v/>
      </c>
      <c r="AH313" s="581" t="str">
        <f t="shared" ca="1" si="200"/>
        <v/>
      </c>
      <c r="AI313" s="581" t="str">
        <f t="shared" ca="1" si="200"/>
        <v/>
      </c>
      <c r="AJ313" s="581" t="str">
        <f t="shared" ca="1" si="200"/>
        <v/>
      </c>
      <c r="AK313" s="581" t="str">
        <f t="shared" ref="AK313:BB313" ca="1" si="201">IFERROR(ADDRESS(ROW(貼付け_2024実績)+99,AK265+COLUMN(貼付け_2024実績),4),"")</f>
        <v/>
      </c>
      <c r="AL313" s="581" t="str">
        <f t="shared" ca="1" si="201"/>
        <v/>
      </c>
      <c r="AM313" s="581" t="str">
        <f t="shared" ca="1" si="201"/>
        <v/>
      </c>
      <c r="AN313" s="581" t="str">
        <f t="shared" ca="1" si="201"/>
        <v/>
      </c>
      <c r="AO313" s="581" t="str">
        <f t="shared" ca="1" si="201"/>
        <v/>
      </c>
      <c r="AP313" s="581" t="str">
        <f t="shared" ca="1" si="201"/>
        <v/>
      </c>
      <c r="AQ313" s="581" t="str">
        <f t="shared" ca="1" si="201"/>
        <v/>
      </c>
      <c r="AR313" s="581" t="str">
        <f t="shared" ca="1" si="201"/>
        <v/>
      </c>
      <c r="AS313" s="581" t="str">
        <f t="shared" ca="1" si="201"/>
        <v/>
      </c>
      <c r="AT313" s="581" t="str">
        <f t="shared" ca="1" si="201"/>
        <v/>
      </c>
      <c r="AU313" s="581" t="str">
        <f t="shared" ca="1" si="201"/>
        <v/>
      </c>
      <c r="AV313" s="581" t="str">
        <f t="shared" ca="1" si="201"/>
        <v/>
      </c>
      <c r="AW313" s="581" t="str">
        <f t="shared" ca="1" si="201"/>
        <v/>
      </c>
      <c r="AX313" s="581" t="str">
        <f t="shared" ca="1" si="201"/>
        <v/>
      </c>
      <c r="AY313" s="581" t="str">
        <f t="shared" ca="1" si="201"/>
        <v/>
      </c>
      <c r="AZ313" s="581" t="str">
        <f t="shared" ca="1" si="201"/>
        <v/>
      </c>
      <c r="BA313" s="581" t="str">
        <f t="shared" ca="1" si="201"/>
        <v/>
      </c>
      <c r="BB313" s="581" t="str">
        <f t="shared" ca="1" si="201"/>
        <v/>
      </c>
    </row>
    <row r="314" spans="1:54" hidden="1">
      <c r="B314" s="1061"/>
      <c r="C314" s="633" t="s">
        <v>499</v>
      </c>
      <c r="D314" s="641"/>
      <c r="E314" s="581" t="str">
        <f t="shared" ref="E314:AJ314" ca="1" si="202">IFERROR(ADDRESS(ROW(貼付け_2024実績)+99,E277+COLUMN(貼付け_2024実績),4),"")</f>
        <v/>
      </c>
      <c r="F314" s="581" t="str">
        <f t="shared" ca="1" si="202"/>
        <v/>
      </c>
      <c r="G314" s="581" t="str">
        <f t="shared" ca="1" si="202"/>
        <v/>
      </c>
      <c r="H314" s="581" t="str">
        <f t="shared" ca="1" si="202"/>
        <v/>
      </c>
      <c r="I314" s="581" t="str">
        <f t="shared" ca="1" si="202"/>
        <v/>
      </c>
      <c r="J314" s="581" t="str">
        <f t="shared" ca="1" si="202"/>
        <v/>
      </c>
      <c r="K314" s="581" t="str">
        <f t="shared" ca="1" si="202"/>
        <v/>
      </c>
      <c r="L314" s="581" t="str">
        <f t="shared" ca="1" si="202"/>
        <v/>
      </c>
      <c r="M314" s="581" t="str">
        <f t="shared" ca="1" si="202"/>
        <v/>
      </c>
      <c r="N314" s="581" t="str">
        <f t="shared" ca="1" si="202"/>
        <v/>
      </c>
      <c r="O314" s="581" t="str">
        <f t="shared" ca="1" si="202"/>
        <v/>
      </c>
      <c r="P314" s="581" t="str">
        <f t="shared" ca="1" si="202"/>
        <v/>
      </c>
      <c r="Q314" s="581" t="str">
        <f t="shared" ca="1" si="202"/>
        <v/>
      </c>
      <c r="R314" s="581" t="str">
        <f t="shared" ca="1" si="202"/>
        <v/>
      </c>
      <c r="S314" s="581" t="str">
        <f t="shared" ca="1" si="202"/>
        <v/>
      </c>
      <c r="T314" s="581" t="str">
        <f t="shared" ca="1" si="202"/>
        <v/>
      </c>
      <c r="U314" s="581" t="str">
        <f t="shared" ca="1" si="202"/>
        <v/>
      </c>
      <c r="V314" s="581" t="str">
        <f t="shared" ca="1" si="202"/>
        <v/>
      </c>
      <c r="W314" s="581" t="str">
        <f t="shared" ca="1" si="202"/>
        <v/>
      </c>
      <c r="X314" s="581" t="str">
        <f t="shared" ca="1" si="202"/>
        <v/>
      </c>
      <c r="Y314" s="581" t="str">
        <f t="shared" ca="1" si="202"/>
        <v/>
      </c>
      <c r="Z314" s="581" t="str">
        <f t="shared" ca="1" si="202"/>
        <v/>
      </c>
      <c r="AA314" s="581" t="str">
        <f t="shared" ca="1" si="202"/>
        <v/>
      </c>
      <c r="AB314" s="581" t="str">
        <f t="shared" ca="1" si="202"/>
        <v/>
      </c>
      <c r="AC314" s="581" t="str">
        <f t="shared" ca="1" si="202"/>
        <v/>
      </c>
      <c r="AD314" s="581" t="str">
        <f t="shared" ca="1" si="202"/>
        <v/>
      </c>
      <c r="AE314" s="581" t="str">
        <f t="shared" ca="1" si="202"/>
        <v/>
      </c>
      <c r="AF314" s="581" t="str">
        <f t="shared" ca="1" si="202"/>
        <v/>
      </c>
      <c r="AG314" s="581" t="str">
        <f t="shared" ca="1" si="202"/>
        <v/>
      </c>
      <c r="AH314" s="581" t="str">
        <f t="shared" ca="1" si="202"/>
        <v/>
      </c>
      <c r="AI314" s="581" t="str">
        <f t="shared" ca="1" si="202"/>
        <v/>
      </c>
      <c r="AJ314" s="581" t="str">
        <f t="shared" ca="1" si="202"/>
        <v/>
      </c>
      <c r="AK314" s="581" t="str">
        <f t="shared" ref="AK314:BB314" ca="1" si="203">IFERROR(ADDRESS(ROW(貼付け_2024実績)+99,AK277+COLUMN(貼付け_2024実績),4),"")</f>
        <v/>
      </c>
      <c r="AL314" s="581" t="str">
        <f t="shared" ca="1" si="203"/>
        <v/>
      </c>
      <c r="AM314" s="581" t="str">
        <f t="shared" ca="1" si="203"/>
        <v/>
      </c>
      <c r="AN314" s="581" t="str">
        <f t="shared" ca="1" si="203"/>
        <v/>
      </c>
      <c r="AO314" s="581" t="str">
        <f t="shared" ca="1" si="203"/>
        <v/>
      </c>
      <c r="AP314" s="581" t="str">
        <f t="shared" ca="1" si="203"/>
        <v/>
      </c>
      <c r="AQ314" s="581" t="str">
        <f t="shared" ca="1" si="203"/>
        <v/>
      </c>
      <c r="AR314" s="581" t="str">
        <f t="shared" ca="1" si="203"/>
        <v/>
      </c>
      <c r="AS314" s="581" t="str">
        <f t="shared" ca="1" si="203"/>
        <v/>
      </c>
      <c r="AT314" s="581" t="str">
        <f t="shared" ca="1" si="203"/>
        <v/>
      </c>
      <c r="AU314" s="581" t="str">
        <f t="shared" ca="1" si="203"/>
        <v/>
      </c>
      <c r="AV314" s="581" t="str">
        <f t="shared" ca="1" si="203"/>
        <v/>
      </c>
      <c r="AW314" s="581" t="str">
        <f t="shared" ca="1" si="203"/>
        <v/>
      </c>
      <c r="AX314" s="581" t="str">
        <f t="shared" ca="1" si="203"/>
        <v/>
      </c>
      <c r="AY314" s="581" t="str">
        <f t="shared" ca="1" si="203"/>
        <v/>
      </c>
      <c r="AZ314" s="581" t="str">
        <f t="shared" ca="1" si="203"/>
        <v/>
      </c>
      <c r="BA314" s="581" t="str">
        <f t="shared" ca="1" si="203"/>
        <v/>
      </c>
      <c r="BB314" s="581" t="str">
        <f t="shared" ca="1" si="203"/>
        <v/>
      </c>
    </row>
    <row r="315" spans="1:54" ht="18.600000000000001" hidden="1" thickBot="1">
      <c r="B315" s="1062"/>
      <c r="C315" s="636" t="s">
        <v>500</v>
      </c>
      <c r="D315" s="642"/>
      <c r="E315" s="637" t="str">
        <f t="shared" ref="E315:AJ315" ca="1" si="204">IFERROR(ADDRESS(ROW(貼付け_2024実績)+99,E289+COLUMN(貼付け_2024実績),4),"")</f>
        <v/>
      </c>
      <c r="F315" s="637" t="str">
        <f t="shared" ca="1" si="204"/>
        <v/>
      </c>
      <c r="G315" s="637" t="str">
        <f t="shared" ca="1" si="204"/>
        <v/>
      </c>
      <c r="H315" s="637" t="str">
        <f t="shared" ca="1" si="204"/>
        <v/>
      </c>
      <c r="I315" s="637" t="str">
        <f t="shared" ca="1" si="204"/>
        <v/>
      </c>
      <c r="J315" s="637" t="str">
        <f t="shared" ca="1" si="204"/>
        <v/>
      </c>
      <c r="K315" s="637" t="str">
        <f t="shared" ca="1" si="204"/>
        <v/>
      </c>
      <c r="L315" s="637" t="str">
        <f t="shared" ca="1" si="204"/>
        <v/>
      </c>
      <c r="M315" s="637" t="str">
        <f t="shared" ca="1" si="204"/>
        <v/>
      </c>
      <c r="N315" s="637" t="str">
        <f t="shared" ca="1" si="204"/>
        <v/>
      </c>
      <c r="O315" s="637" t="str">
        <f t="shared" ca="1" si="204"/>
        <v/>
      </c>
      <c r="P315" s="637" t="str">
        <f t="shared" ca="1" si="204"/>
        <v/>
      </c>
      <c r="Q315" s="637" t="str">
        <f t="shared" ca="1" si="204"/>
        <v/>
      </c>
      <c r="R315" s="637" t="str">
        <f t="shared" ca="1" si="204"/>
        <v/>
      </c>
      <c r="S315" s="637" t="str">
        <f t="shared" ca="1" si="204"/>
        <v/>
      </c>
      <c r="T315" s="637" t="str">
        <f t="shared" ca="1" si="204"/>
        <v/>
      </c>
      <c r="U315" s="637" t="str">
        <f t="shared" ca="1" si="204"/>
        <v/>
      </c>
      <c r="V315" s="637" t="str">
        <f t="shared" ca="1" si="204"/>
        <v/>
      </c>
      <c r="W315" s="637" t="str">
        <f t="shared" ca="1" si="204"/>
        <v/>
      </c>
      <c r="X315" s="637" t="str">
        <f t="shared" ca="1" si="204"/>
        <v/>
      </c>
      <c r="Y315" s="637" t="str">
        <f t="shared" ca="1" si="204"/>
        <v/>
      </c>
      <c r="Z315" s="637" t="str">
        <f t="shared" ca="1" si="204"/>
        <v/>
      </c>
      <c r="AA315" s="637" t="str">
        <f t="shared" ca="1" si="204"/>
        <v/>
      </c>
      <c r="AB315" s="637" t="str">
        <f t="shared" ca="1" si="204"/>
        <v/>
      </c>
      <c r="AC315" s="637" t="str">
        <f t="shared" ca="1" si="204"/>
        <v/>
      </c>
      <c r="AD315" s="637" t="str">
        <f t="shared" ca="1" si="204"/>
        <v/>
      </c>
      <c r="AE315" s="637" t="str">
        <f t="shared" ca="1" si="204"/>
        <v/>
      </c>
      <c r="AF315" s="637" t="str">
        <f t="shared" ca="1" si="204"/>
        <v/>
      </c>
      <c r="AG315" s="637" t="str">
        <f t="shared" ca="1" si="204"/>
        <v/>
      </c>
      <c r="AH315" s="637" t="str">
        <f t="shared" ca="1" si="204"/>
        <v/>
      </c>
      <c r="AI315" s="637" t="str">
        <f t="shared" ca="1" si="204"/>
        <v/>
      </c>
      <c r="AJ315" s="637" t="str">
        <f t="shared" ca="1" si="204"/>
        <v/>
      </c>
      <c r="AK315" s="637" t="str">
        <f t="shared" ref="AK315:BB315" ca="1" si="205">IFERROR(ADDRESS(ROW(貼付け_2024実績)+99,AK289+COLUMN(貼付け_2024実績),4),"")</f>
        <v/>
      </c>
      <c r="AL315" s="637" t="str">
        <f t="shared" ca="1" si="205"/>
        <v/>
      </c>
      <c r="AM315" s="637" t="str">
        <f t="shared" ca="1" si="205"/>
        <v/>
      </c>
      <c r="AN315" s="637" t="str">
        <f t="shared" ca="1" si="205"/>
        <v/>
      </c>
      <c r="AO315" s="637" t="str">
        <f t="shared" ca="1" si="205"/>
        <v/>
      </c>
      <c r="AP315" s="637" t="str">
        <f t="shared" ca="1" si="205"/>
        <v/>
      </c>
      <c r="AQ315" s="637" t="str">
        <f t="shared" ca="1" si="205"/>
        <v/>
      </c>
      <c r="AR315" s="637" t="str">
        <f t="shared" ca="1" si="205"/>
        <v/>
      </c>
      <c r="AS315" s="637" t="str">
        <f t="shared" ca="1" si="205"/>
        <v/>
      </c>
      <c r="AT315" s="637" t="str">
        <f t="shared" ca="1" si="205"/>
        <v/>
      </c>
      <c r="AU315" s="637" t="str">
        <f t="shared" ca="1" si="205"/>
        <v/>
      </c>
      <c r="AV315" s="637" t="str">
        <f t="shared" ca="1" si="205"/>
        <v/>
      </c>
      <c r="AW315" s="637" t="str">
        <f t="shared" ca="1" si="205"/>
        <v/>
      </c>
      <c r="AX315" s="637" t="str">
        <f t="shared" ca="1" si="205"/>
        <v/>
      </c>
      <c r="AY315" s="637" t="str">
        <f t="shared" ca="1" si="205"/>
        <v/>
      </c>
      <c r="AZ315" s="637" t="str">
        <f t="shared" ca="1" si="205"/>
        <v/>
      </c>
      <c r="BA315" s="637" t="str">
        <f t="shared" ca="1" si="205"/>
        <v/>
      </c>
      <c r="BB315" s="637" t="str">
        <f t="shared" ca="1" si="205"/>
        <v/>
      </c>
    </row>
  </sheetData>
  <sheetProtection formatCells="0"/>
  <mergeCells count="43">
    <mergeCell ref="B304:B307"/>
    <mergeCell ref="B308:B311"/>
    <mergeCell ref="B312:B315"/>
    <mergeCell ref="B284:B295"/>
    <mergeCell ref="F296:F297"/>
    <mergeCell ref="B299:D299"/>
    <mergeCell ref="B300:B303"/>
    <mergeCell ref="B272:B283"/>
    <mergeCell ref="HC14:HD14"/>
    <mergeCell ref="HG14:HH14"/>
    <mergeCell ref="HC15:HD15"/>
    <mergeCell ref="HG15:HH15"/>
    <mergeCell ref="F226:F227"/>
    <mergeCell ref="G226:H226"/>
    <mergeCell ref="B247:D247"/>
    <mergeCell ref="B248:B259"/>
    <mergeCell ref="B260:B271"/>
    <mergeCell ref="H296:H297"/>
    <mergeCell ref="J296:J297"/>
    <mergeCell ref="HC12:HD12"/>
    <mergeCell ref="HE12:HF12"/>
    <mergeCell ref="HG12:HJ12"/>
    <mergeCell ref="HC13:HF13"/>
    <mergeCell ref="HG13:HJ13"/>
    <mergeCell ref="HC10:HD10"/>
    <mergeCell ref="HE10:HF10"/>
    <mergeCell ref="HG10:HJ10"/>
    <mergeCell ref="HC11:HD11"/>
    <mergeCell ref="HE11:HF11"/>
    <mergeCell ref="HG11:HJ11"/>
    <mergeCell ref="B6:J6"/>
    <mergeCell ref="HL8:HL9"/>
    <mergeCell ref="HM8:HP8"/>
    <mergeCell ref="HQ8:HT8"/>
    <mergeCell ref="HU8:HX8"/>
    <mergeCell ref="HR9:HS9"/>
    <mergeCell ref="HV9:HW9"/>
    <mergeCell ref="HY8:IB8"/>
    <mergeCell ref="HC9:HD9"/>
    <mergeCell ref="HE9:HF9"/>
    <mergeCell ref="HG9:HJ9"/>
    <mergeCell ref="HN9:HO9"/>
    <mergeCell ref="HZ9:IA9"/>
  </mergeCells>
  <phoneticPr fontId="4"/>
  <dataValidations count="4">
    <dataValidation type="list" allowBlank="1" showInputMessage="1" showErrorMessage="1" sqref="HR10:HR59" xr:uid="{00000000-0002-0000-0300-000000000000}">
      <formula1>$BC$261:$DA$261</formula1>
    </dataValidation>
    <dataValidation type="list" allowBlank="1" showInputMessage="1" showErrorMessage="1" sqref="HN10:HN59" xr:uid="{00000000-0002-0000-0300-000001000000}">
      <formula1>$BC$249:$DA$249</formula1>
    </dataValidation>
    <dataValidation type="list" allowBlank="1" showInputMessage="1" showErrorMessage="1" sqref="HZ10:HZ59" xr:uid="{00000000-0002-0000-0300-000002000000}">
      <formula1>$BC$285:$DA$285</formula1>
    </dataValidation>
    <dataValidation type="list" allowBlank="1" showInputMessage="1" showErrorMessage="1" sqref="HV10:HV59" xr:uid="{00000000-0002-0000-0300-000003000000}">
      <formula1>$BC$273:$DA$273</formula1>
    </dataValidation>
  </dataValidations>
  <hyperlinks>
    <hyperlink ref="S4" location="A1_集計2024" display="集計(2024年度)" xr:uid="{00000000-0004-0000-0300-000000000000}"/>
    <hyperlink ref="T4" location="A1_原単位集計" display="A1_原単位集計" xr:uid="{00000000-0004-0000-0300-000001000000}"/>
    <hyperlink ref="B2" location="A.貼付_2027提出!B9" display="Ｂ９セルに2026年度排出量実績を貼付けてください。" xr:uid="{00000000-0004-0000-0300-000002000000}"/>
    <hyperlink ref="B6:J6" location="報告1面!R6" display="次に、「計画書本体」（Ｂ１シート）に必要事項を入力してください。" xr:uid="{00000000-0004-0000-0300-000003000000}"/>
  </hyperlink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300-000004000000}">
          <x14:formula1>
            <xm:f>'非表示_リスト(計画・実績報告)'!$G$49:$L$49</xm:f>
          </x14:formula1>
          <xm:sqref>K109:HB109</xm:sqref>
        </x14:dataValidation>
        <x14:dataValidation type="list" allowBlank="1" showInputMessage="1" xr:uid="{00000000-0002-0000-0300-000005000000}">
          <x14:formula1>
            <xm:f>'非表示_リスト(計画・実績報告)'!$G$39:$L$39</xm:f>
          </x14:formula1>
          <xm:sqref>HG11:HJ11</xm:sqref>
        </x14:dataValidation>
        <x14:dataValidation type="list" allowBlank="1" showInputMessage="1" xr:uid="{00000000-0002-0000-0300-000006000000}">
          <x14:formula1>
            <xm:f>'非表示_リスト(計画・実績報告)'!$G$38:$L$38</xm:f>
          </x14:formula1>
          <xm:sqref>HE11:HF11</xm:sqref>
        </x14:dataValidation>
        <x14:dataValidation type="list" allowBlank="1" showInputMessage="1" xr:uid="{00000000-0002-0000-0300-000007000000}">
          <x14:formula1>
            <xm:f>'非表示_リスト(計画・実績報告)'!$G$34:$L$34</xm:f>
          </x14:formula1>
          <xm:sqref>HG10:HJ10</xm:sqref>
        </x14:dataValidation>
        <x14:dataValidation type="list" allowBlank="1" showInputMessage="1" xr:uid="{00000000-0002-0000-0300-000008000000}">
          <x14:formula1>
            <xm:f>'非表示_リスト(計画・実績報告)'!$G$33:$L$33</xm:f>
          </x14:formula1>
          <xm:sqref>HE10:HF10</xm:sqref>
        </x14:dataValidation>
        <x14:dataValidation type="list" allowBlank="1" showInputMessage="1" xr:uid="{00000000-0002-0000-0300-000009000000}">
          <x14:formula1>
            <xm:f>'非表示_リスト(計画・実績報告)'!$G$41:$I$41</xm:f>
          </x14:formula1>
          <xm:sqref>I108</xm:sqref>
        </x14:dataValidation>
        <x14:dataValidation type="list" allowBlank="1" showInputMessage="1" xr:uid="{00000000-0002-0000-0300-00000A000000}">
          <x14:formula1>
            <xm:f>'非表示_リスト(計画・実績報告)'!$G$42:$I$42</xm:f>
          </x14:formula1>
          <xm:sqref>J108</xm:sqref>
        </x14:dataValidation>
        <x14:dataValidation type="list" allowBlank="1" showInputMessage="1" xr:uid="{00000000-0002-0000-0300-00000B000000}">
          <x14:formula1>
            <xm:f>'非表示_リスト(計画・実績報告)'!$G$44:$I$44</xm:f>
          </x14:formula1>
          <xm:sqref>I109</xm:sqref>
        </x14:dataValidation>
        <x14:dataValidation type="list" allowBlank="1" showInputMessage="1" xr:uid="{00000000-0002-0000-0300-00000C000000}">
          <x14:formula1>
            <xm:f>'非表示_リスト(計画・実績報告)'!$G$45:$I$45</xm:f>
          </x14:formula1>
          <xm:sqref>J109</xm:sqref>
        </x14:dataValidation>
        <x14:dataValidation type="list" allowBlank="1" showInputMessage="1" xr:uid="{00000000-0002-0000-0300-00000D000000}">
          <x14:formula1>
            <xm:f>'非表示_リスト(計画・実績報告)'!$G$47:$L$47</xm:f>
          </x14:formula1>
          <xm:sqref>K108:HB108</xm:sqref>
        </x14:dataValidation>
        <x14:dataValidation type="list" allowBlank="1" showInputMessage="1" xr:uid="{00000000-0002-0000-0300-00000E000000}">
          <x14:formula1>
            <xm:f>'非表示_リスト(計画・実績報告)'!$G$36:$L$36</xm:f>
          </x14:formula1>
          <xm:sqref>L11</xm:sqref>
        </x14:dataValidation>
        <x14:dataValidation type="list" allowBlank="1" showInputMessage="1" xr:uid="{00000000-0002-0000-0300-00000F000000}">
          <x14:formula1>
            <xm:f>'非表示_リスト(計画・実績報告)'!$G$37:$L$37</xm:f>
          </x14:formula1>
          <xm:sqref>M11</xm:sqref>
        </x14:dataValidation>
        <x14:dataValidation type="list" allowBlank="1" showInputMessage="1" xr:uid="{00000000-0002-0000-0300-000010000000}">
          <x14:formula1>
            <xm:f>'非表示_リスト(計画・実績報告)'!$G$31:$L$31</xm:f>
          </x14:formula1>
          <xm:sqref>L10</xm:sqref>
        </x14:dataValidation>
        <x14:dataValidation type="list" allowBlank="1" showInputMessage="1" xr:uid="{00000000-0002-0000-0300-000011000000}">
          <x14:formula1>
            <xm:f>'非表示_リスト(計画・実績報告)'!$G$32:$L$32</xm:f>
          </x14:formula1>
          <xm:sqref>M10</xm:sqref>
        </x14:dataValidation>
        <x14:dataValidation type="list" allowBlank="1" showInputMessage="1" showErrorMessage="1" xr:uid="{00000000-0002-0000-0300-000012000000}">
          <x14:formula1>
            <xm:f>'非表示_リスト(計画・実績報告)'!$G$27:$H$27</xm:f>
          </x14:formula1>
          <xm:sqref>J11</xm:sqref>
        </x14:dataValidation>
        <x14:dataValidation type="list" allowBlank="1" showInputMessage="1" showErrorMessage="1" xr:uid="{00000000-0002-0000-0300-000013000000}">
          <x14:formula1>
            <xm:f>'非表示_リスト(計画・実績報告)'!$G$26:$H$26</xm:f>
          </x14:formula1>
          <xm:sqref>J10</xm:sqref>
        </x14:dataValidation>
        <x14:dataValidation type="list" allowBlank="1" showInputMessage="1" showErrorMessage="1" xr:uid="{00000000-0002-0000-0300-000014000000}">
          <x14:formula1>
            <xm:f>'非表示_リスト(計画・実績報告)'!$G$17:$H$17</xm:f>
          </x14:formula1>
          <xm:sqref>H12</xm:sqref>
        </x14:dataValidation>
        <x14:dataValidation type="list" allowBlank="1" showInputMessage="1" showErrorMessage="1" xr:uid="{00000000-0002-0000-0300-000015000000}">
          <x14:formula1>
            <xm:f>'非表示_リスト(計画・実績報告)'!$G$16:$H$16</xm:f>
          </x14:formula1>
          <xm:sqref>H11</xm:sqref>
        </x14:dataValidation>
        <x14:dataValidation type="list" allowBlank="1" showInputMessage="1" showErrorMessage="1" xr:uid="{00000000-0002-0000-0300-000016000000}">
          <x14:formula1>
            <xm:f>'非表示_リスト(計画・実績報告)'!$G$15:$H$15</xm:f>
          </x14:formula1>
          <xm:sqref>H10</xm:sqref>
        </x14:dataValidation>
        <x14:dataValidation type="list" allowBlank="1" showInputMessage="1" xr:uid="{00000000-0002-0000-0300-000017000000}">
          <x14:formula1>
            <xm:f>'非表示_リスト(計画・実績報告)'!$G$6:$K$6</xm:f>
          </x14:formula1>
          <xm:sqref>F9</xm:sqref>
        </x14:dataValidation>
        <x14:dataValidation type="list" allowBlank="1" showInputMessage="1" showErrorMessage="1" xr:uid="{00000000-0002-0000-0300-000018000000}">
          <x14:formula1>
            <xm:f>'非表示_リスト(計画・実績報告)'!$G$53:$H$53</xm:f>
          </x14:formula1>
          <xm:sqref>N11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IH355"/>
  <sheetViews>
    <sheetView showGridLines="0" topLeftCell="A201" zoomScale="80" zoomScaleNormal="80" workbookViewId="0">
      <selection activeCell="B340" sqref="B340"/>
    </sheetView>
  </sheetViews>
  <sheetFormatPr defaultColWidth="10" defaultRowHeight="18" outlineLevelCol="1"/>
  <cols>
    <col min="1" max="1" width="10.109375" style="156" bestFit="1" customWidth="1"/>
    <col min="2" max="2" width="18.88671875" style="156" customWidth="1"/>
    <col min="3" max="3" width="10.109375" style="156" bestFit="1" customWidth="1"/>
    <col min="4" max="4" width="10.44140625" style="156" customWidth="1"/>
    <col min="5" max="10" width="12.88671875" style="156" bestFit="1" customWidth="1"/>
    <col min="11" max="210" width="10" style="156" customWidth="1" outlineLevel="1"/>
    <col min="211" max="218" width="9.44140625" style="156" customWidth="1"/>
    <col min="219" max="219" width="10" style="156" customWidth="1"/>
    <col min="220" max="220" width="5.77734375" style="156" customWidth="1"/>
    <col min="221" max="236" width="13.21875" style="156" customWidth="1"/>
    <col min="237" max="238" width="10" style="156"/>
    <col min="239" max="242" width="10" style="159" hidden="1" customWidth="1"/>
    <col min="243" max="16384" width="10" style="156"/>
  </cols>
  <sheetData>
    <row r="1" spans="1:242" ht="39.9" customHeight="1">
      <c r="A1" s="152" t="s">
        <v>713</v>
      </c>
      <c r="B1" s="153"/>
      <c r="C1" s="154"/>
      <c r="D1" s="155"/>
      <c r="E1" s="154"/>
      <c r="F1" s="155"/>
      <c r="G1" s="154"/>
      <c r="H1" s="155"/>
      <c r="I1" s="154"/>
      <c r="J1" s="155"/>
      <c r="K1" s="154"/>
      <c r="L1" s="155"/>
      <c r="M1" s="154"/>
      <c r="N1" s="155"/>
      <c r="O1" s="154"/>
      <c r="P1" s="155"/>
      <c r="Q1" s="154"/>
      <c r="R1" s="155"/>
      <c r="S1" s="154"/>
      <c r="T1" s="155"/>
      <c r="U1" s="154"/>
      <c r="V1" s="155"/>
      <c r="W1" s="154"/>
      <c r="X1" s="155"/>
      <c r="Y1" s="154"/>
      <c r="Z1" s="155"/>
      <c r="AA1" s="154"/>
      <c r="AB1" s="155"/>
      <c r="AC1" s="154"/>
      <c r="AD1" s="155"/>
      <c r="AE1" s="154"/>
      <c r="AF1" s="155"/>
      <c r="AG1" s="154"/>
      <c r="AH1" s="155"/>
      <c r="AI1" s="154"/>
      <c r="AJ1" s="155"/>
      <c r="AK1" s="154"/>
      <c r="AL1" s="155"/>
      <c r="AM1" s="154"/>
      <c r="AN1" s="155"/>
      <c r="AO1" s="154"/>
      <c r="AP1" s="155"/>
      <c r="AQ1" s="154"/>
      <c r="AR1" s="155"/>
      <c r="AS1" s="154"/>
      <c r="AT1" s="155"/>
      <c r="AU1" s="154"/>
      <c r="AV1" s="155"/>
      <c r="AW1" s="154"/>
      <c r="AX1" s="155"/>
      <c r="AY1" s="154"/>
      <c r="AZ1" s="155"/>
      <c r="BA1" s="154"/>
      <c r="BB1" s="155"/>
      <c r="BC1" s="154"/>
      <c r="BD1" s="155"/>
      <c r="BE1" s="154"/>
      <c r="BF1" s="155"/>
      <c r="BG1" s="154"/>
      <c r="BH1" s="155"/>
      <c r="BI1" s="154"/>
      <c r="BJ1" s="155"/>
      <c r="BK1" s="154"/>
      <c r="BL1" s="155"/>
      <c r="BM1" s="154"/>
      <c r="BN1" s="155"/>
      <c r="BO1" s="154"/>
      <c r="BP1" s="155"/>
      <c r="BQ1" s="154"/>
      <c r="BR1" s="155"/>
      <c r="BS1" s="154"/>
      <c r="BT1" s="155"/>
      <c r="BU1" s="154"/>
      <c r="BV1" s="155"/>
      <c r="BW1" s="154"/>
      <c r="BX1" s="155"/>
      <c r="BY1" s="154"/>
      <c r="BZ1" s="155"/>
      <c r="CA1" s="154"/>
      <c r="CB1" s="155"/>
      <c r="CC1" s="154"/>
      <c r="CD1" s="155"/>
      <c r="CE1" s="154"/>
      <c r="CF1" s="155"/>
      <c r="CG1" s="154"/>
      <c r="CH1" s="155"/>
      <c r="CI1" s="154"/>
      <c r="CJ1" s="155"/>
      <c r="CK1" s="154"/>
      <c r="CL1" s="155"/>
      <c r="CM1" s="154"/>
      <c r="CN1" s="155"/>
      <c r="CO1" s="154"/>
      <c r="CP1" s="155"/>
      <c r="CQ1" s="154"/>
      <c r="CR1" s="155"/>
      <c r="CS1" s="154"/>
      <c r="CT1" s="155"/>
      <c r="CU1" s="154"/>
      <c r="CV1" s="155"/>
      <c r="CW1" s="154"/>
      <c r="CX1" s="155"/>
      <c r="CY1" s="154"/>
      <c r="CZ1" s="155"/>
      <c r="DA1" s="154"/>
      <c r="DB1" s="155"/>
      <c r="DC1" s="154"/>
      <c r="DD1" s="155"/>
      <c r="DE1" s="154"/>
      <c r="DF1" s="155"/>
      <c r="DG1" s="154"/>
      <c r="DH1" s="155"/>
      <c r="DI1" s="154"/>
      <c r="DJ1" s="155"/>
      <c r="DK1" s="154"/>
      <c r="DL1" s="155"/>
      <c r="DM1" s="154"/>
      <c r="DN1" s="155"/>
      <c r="DO1" s="154"/>
      <c r="DP1" s="155"/>
      <c r="DQ1" s="154"/>
      <c r="DR1" s="155"/>
      <c r="DS1" s="154"/>
      <c r="DT1" s="155"/>
      <c r="DU1" s="154"/>
      <c r="DV1" s="155"/>
      <c r="DW1" s="154"/>
      <c r="DX1" s="155"/>
      <c r="DY1" s="154"/>
      <c r="DZ1" s="155"/>
      <c r="EA1" s="154"/>
      <c r="EB1" s="155"/>
      <c r="EC1" s="154"/>
      <c r="ED1" s="155"/>
      <c r="EE1" s="154"/>
      <c r="EF1" s="155"/>
      <c r="EG1" s="154"/>
      <c r="EH1" s="155"/>
      <c r="EI1" s="154"/>
      <c r="EJ1" s="155"/>
      <c r="EK1" s="154"/>
      <c r="EL1" s="155"/>
      <c r="EM1" s="154"/>
      <c r="EN1" s="155"/>
      <c r="EO1" s="154"/>
      <c r="EP1" s="155"/>
      <c r="EQ1" s="154"/>
      <c r="ER1" s="155"/>
      <c r="ES1" s="154"/>
      <c r="ET1" s="155"/>
      <c r="EU1" s="154"/>
      <c r="EV1" s="155"/>
      <c r="EW1" s="154"/>
      <c r="EX1" s="155"/>
      <c r="EY1" s="154"/>
      <c r="EZ1" s="155"/>
      <c r="FA1" s="154"/>
      <c r="FB1" s="155"/>
      <c r="FC1" s="154"/>
      <c r="FD1" s="155"/>
      <c r="FE1" s="154"/>
      <c r="FF1" s="155"/>
      <c r="FG1" s="154"/>
      <c r="FH1" s="155"/>
      <c r="FI1" s="154"/>
      <c r="FJ1" s="155"/>
      <c r="FK1" s="154"/>
      <c r="FL1" s="155"/>
      <c r="FM1" s="154"/>
      <c r="FN1" s="155"/>
      <c r="FO1" s="154"/>
      <c r="FP1" s="155"/>
      <c r="FQ1" s="154"/>
      <c r="FR1" s="155"/>
      <c r="FS1" s="154"/>
      <c r="FT1" s="155"/>
      <c r="FU1" s="154"/>
      <c r="FV1" s="155"/>
      <c r="FW1" s="154"/>
      <c r="FX1" s="155"/>
      <c r="FY1" s="154"/>
      <c r="FZ1" s="155"/>
      <c r="GA1" s="154"/>
      <c r="GB1" s="155"/>
      <c r="GC1" s="154"/>
      <c r="GD1" s="155"/>
      <c r="GE1" s="154"/>
      <c r="GF1" s="155"/>
      <c r="GG1" s="154"/>
      <c r="GH1" s="155"/>
      <c r="GI1" s="154"/>
      <c r="GJ1" s="155"/>
      <c r="GK1" s="154"/>
      <c r="GL1" s="155"/>
      <c r="GM1" s="154"/>
      <c r="GN1" s="155"/>
      <c r="GO1" s="154"/>
      <c r="GP1" s="155"/>
      <c r="GQ1" s="154"/>
      <c r="GR1" s="155"/>
      <c r="GS1" s="154"/>
      <c r="GT1" s="155"/>
      <c r="GU1" s="154"/>
      <c r="GV1" s="155"/>
      <c r="GW1" s="154"/>
      <c r="GX1" s="155"/>
      <c r="GY1" s="154"/>
      <c r="GZ1" s="155"/>
      <c r="HA1" s="154"/>
      <c r="HB1" s="155"/>
      <c r="HC1" s="154"/>
      <c r="HD1" s="155"/>
      <c r="HE1" s="154"/>
      <c r="HF1" s="155"/>
      <c r="HG1" s="154"/>
      <c r="HH1" s="155"/>
      <c r="HI1" s="154"/>
      <c r="HJ1" s="155"/>
      <c r="HL1" s="157" t="s">
        <v>484</v>
      </c>
      <c r="HM1" s="158"/>
    </row>
    <row r="2" spans="1:242" ht="26.4">
      <c r="A2" s="703" t="s">
        <v>485</v>
      </c>
      <c r="B2" s="732" t="s">
        <v>714</v>
      </c>
      <c r="C2" s="160"/>
      <c r="D2" s="161"/>
      <c r="E2" s="161"/>
      <c r="F2" s="162"/>
      <c r="G2" s="704"/>
      <c r="H2" s="163"/>
      <c r="I2" s="160"/>
      <c r="J2" s="161"/>
      <c r="K2" s="154"/>
      <c r="L2" s="155"/>
      <c r="M2" s="154"/>
      <c r="N2" s="155"/>
      <c r="O2" s="154"/>
      <c r="P2" s="155"/>
      <c r="Q2" s="154"/>
      <c r="R2" s="155"/>
      <c r="S2" s="154"/>
      <c r="T2" s="155"/>
      <c r="U2" s="154"/>
      <c r="V2" s="155"/>
      <c r="W2" s="154"/>
      <c r="X2" s="155"/>
      <c r="Y2" s="154"/>
      <c r="Z2" s="155"/>
      <c r="AA2" s="154"/>
      <c r="AB2" s="155"/>
      <c r="AC2" s="154"/>
      <c r="AD2" s="155"/>
      <c r="AE2" s="154"/>
      <c r="AF2" s="155"/>
      <c r="AG2" s="154"/>
      <c r="AH2" s="155"/>
      <c r="AI2" s="154"/>
      <c r="AJ2" s="155"/>
      <c r="AK2" s="154"/>
      <c r="AL2" s="155"/>
      <c r="AM2" s="154"/>
      <c r="AN2" s="155"/>
      <c r="AO2" s="154"/>
      <c r="AP2" s="155"/>
      <c r="AQ2" s="154"/>
      <c r="AR2" s="155"/>
      <c r="AS2" s="154"/>
      <c r="AT2" s="155"/>
      <c r="AU2" s="154"/>
      <c r="AV2" s="155"/>
      <c r="AW2" s="154"/>
      <c r="AX2" s="155"/>
      <c r="AY2" s="154"/>
      <c r="AZ2" s="155"/>
      <c r="BA2" s="154"/>
      <c r="BB2" s="155"/>
      <c r="BC2" s="154"/>
      <c r="BD2" s="155"/>
      <c r="BE2" s="154"/>
      <c r="BF2" s="155"/>
      <c r="BG2" s="154"/>
      <c r="BH2" s="155"/>
      <c r="BI2" s="154"/>
      <c r="BJ2" s="155"/>
      <c r="BK2" s="154"/>
      <c r="BL2" s="155"/>
      <c r="BM2" s="154"/>
      <c r="BN2" s="155"/>
      <c r="BO2" s="154"/>
      <c r="BP2" s="155"/>
      <c r="BQ2" s="154"/>
      <c r="BR2" s="155"/>
      <c r="BS2" s="154"/>
      <c r="BT2" s="155"/>
      <c r="BU2" s="154"/>
      <c r="BV2" s="155"/>
      <c r="BW2" s="154"/>
      <c r="BX2" s="155"/>
      <c r="BY2" s="154"/>
      <c r="BZ2" s="155"/>
      <c r="CA2" s="154"/>
      <c r="CB2" s="155"/>
      <c r="CC2" s="154"/>
      <c r="CD2" s="155"/>
      <c r="CE2" s="154"/>
      <c r="CF2" s="155"/>
      <c r="CG2" s="154"/>
      <c r="CH2" s="155"/>
      <c r="CI2" s="154"/>
      <c r="CJ2" s="155"/>
      <c r="CK2" s="154"/>
      <c r="CL2" s="155"/>
      <c r="CM2" s="154"/>
      <c r="CN2" s="155"/>
      <c r="CO2" s="154"/>
      <c r="CP2" s="155"/>
      <c r="CQ2" s="154"/>
      <c r="CR2" s="155"/>
      <c r="CS2" s="154"/>
      <c r="CT2" s="155"/>
      <c r="CU2" s="154"/>
      <c r="CV2" s="155"/>
      <c r="CW2" s="154"/>
      <c r="CX2" s="155"/>
      <c r="CY2" s="154"/>
      <c r="CZ2" s="155"/>
      <c r="DA2" s="154"/>
      <c r="DB2" s="155"/>
      <c r="DC2" s="154"/>
      <c r="DD2" s="155"/>
      <c r="DE2" s="154"/>
      <c r="DF2" s="155"/>
      <c r="DG2" s="154"/>
      <c r="DH2" s="155"/>
      <c r="DI2" s="154"/>
      <c r="DJ2" s="155"/>
      <c r="DK2" s="154"/>
      <c r="DL2" s="155"/>
      <c r="DM2" s="154"/>
      <c r="DN2" s="155"/>
      <c r="DO2" s="154"/>
      <c r="DP2" s="155"/>
      <c r="DQ2" s="154"/>
      <c r="DR2" s="155"/>
      <c r="DS2" s="154"/>
      <c r="DT2" s="155"/>
      <c r="DU2" s="154"/>
      <c r="DV2" s="155"/>
      <c r="DW2" s="154"/>
      <c r="DX2" s="155"/>
      <c r="DY2" s="154"/>
      <c r="DZ2" s="155"/>
      <c r="EA2" s="154"/>
      <c r="EB2" s="155"/>
      <c r="EC2" s="154"/>
      <c r="ED2" s="155"/>
      <c r="EE2" s="154"/>
      <c r="EF2" s="155"/>
      <c r="EG2" s="154"/>
      <c r="EH2" s="155"/>
      <c r="EI2" s="154"/>
      <c r="EJ2" s="155"/>
      <c r="EK2" s="154"/>
      <c r="EL2" s="155"/>
      <c r="EM2" s="154"/>
      <c r="EN2" s="155"/>
      <c r="EO2" s="154"/>
      <c r="EP2" s="155"/>
      <c r="EQ2" s="154"/>
      <c r="ER2" s="155"/>
      <c r="ES2" s="154"/>
      <c r="ET2" s="155"/>
      <c r="EU2" s="154"/>
      <c r="EV2" s="155"/>
      <c r="EW2" s="154"/>
      <c r="EX2" s="155"/>
      <c r="EY2" s="154"/>
      <c r="EZ2" s="155"/>
      <c r="FA2" s="154"/>
      <c r="FB2" s="155"/>
      <c r="FC2" s="154"/>
      <c r="FD2" s="155"/>
      <c r="FE2" s="154"/>
      <c r="FF2" s="155"/>
      <c r="FG2" s="154"/>
      <c r="FH2" s="155"/>
      <c r="FI2" s="154"/>
      <c r="FJ2" s="155"/>
      <c r="FK2" s="154"/>
      <c r="FL2" s="155"/>
      <c r="FM2" s="154"/>
      <c r="FN2" s="155"/>
      <c r="FO2" s="154"/>
      <c r="FP2" s="155"/>
      <c r="FQ2" s="154"/>
      <c r="FR2" s="155"/>
      <c r="FS2" s="154"/>
      <c r="FT2" s="155"/>
      <c r="FU2" s="154"/>
      <c r="FV2" s="155"/>
      <c r="FW2" s="154"/>
      <c r="FX2" s="155"/>
      <c r="FY2" s="154"/>
      <c r="FZ2" s="155"/>
      <c r="GA2" s="154"/>
      <c r="GB2" s="155"/>
      <c r="GC2" s="154"/>
      <c r="GD2" s="155"/>
      <c r="GE2" s="154"/>
      <c r="GF2" s="155"/>
      <c r="GG2" s="154"/>
      <c r="GH2" s="155"/>
      <c r="GI2" s="154"/>
      <c r="GJ2" s="155"/>
      <c r="GK2" s="154"/>
      <c r="GL2" s="155"/>
      <c r="GM2" s="154"/>
      <c r="GN2" s="155"/>
      <c r="GO2" s="154"/>
      <c r="GP2" s="155"/>
      <c r="GQ2" s="154"/>
      <c r="GR2" s="155"/>
      <c r="GS2" s="154"/>
      <c r="GT2" s="155"/>
      <c r="GU2" s="154"/>
      <c r="GV2" s="155"/>
      <c r="GW2" s="154"/>
      <c r="GX2" s="155"/>
      <c r="GY2" s="154"/>
      <c r="GZ2" s="155"/>
      <c r="HA2" s="154"/>
      <c r="HB2" s="155"/>
      <c r="HC2" s="154"/>
      <c r="HD2" s="155"/>
      <c r="HE2" s="154"/>
      <c r="HF2" s="155"/>
      <c r="HG2" s="154"/>
      <c r="HH2" s="155"/>
      <c r="HI2" s="154"/>
      <c r="HJ2" s="155"/>
      <c r="HL2" s="158"/>
      <c r="HM2" s="158" t="s">
        <v>487</v>
      </c>
    </row>
    <row r="3" spans="1:242" ht="26.4">
      <c r="A3" s="703" t="s">
        <v>488</v>
      </c>
      <c r="B3" s="165" t="str">
        <f>IF(N11&lt;&gt;"■","「前年度からの法人情報変更有無」、「区分」を選択してください。","")</f>
        <v>「前年度からの法人情報変更有無」、「区分」を選択してください。</v>
      </c>
      <c r="C3" s="162"/>
      <c r="D3" s="162"/>
      <c r="E3" s="162"/>
      <c r="F3" s="162"/>
      <c r="G3" s="704"/>
      <c r="H3" s="163"/>
      <c r="I3" s="160"/>
      <c r="J3" s="161"/>
      <c r="K3" s="154"/>
      <c r="L3" s="154"/>
      <c r="M3" s="154"/>
      <c r="N3" s="154"/>
      <c r="O3" s="154"/>
      <c r="P3" s="16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67" t="s">
        <v>489</v>
      </c>
      <c r="HM3" s="167"/>
    </row>
    <row r="4" spans="1:242" ht="26.4">
      <c r="A4" s="703" t="s">
        <v>490</v>
      </c>
      <c r="B4" s="165"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162"/>
      <c r="D4" s="162"/>
      <c r="E4" s="162"/>
      <c r="F4" s="162"/>
      <c r="G4" s="704"/>
      <c r="H4" s="168"/>
      <c r="I4" s="160"/>
      <c r="J4" s="161"/>
      <c r="K4" s="154"/>
      <c r="L4" s="154"/>
      <c r="M4" s="154"/>
      <c r="N4" s="154"/>
      <c r="O4" s="154"/>
      <c r="P4" s="166"/>
      <c r="Q4" s="154"/>
      <c r="R4" s="154"/>
      <c r="S4" s="154"/>
      <c r="T4" s="154"/>
      <c r="V4" s="705"/>
      <c r="W4" s="705"/>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8" t="s">
        <v>491</v>
      </c>
      <c r="HM4" s="167"/>
    </row>
    <row r="5" spans="1:242" ht="26.4">
      <c r="A5" s="703" t="s">
        <v>492</v>
      </c>
      <c r="B5" s="165" t="str">
        <f>IF(N11&lt;&gt;"■","「工場等の名称」が過年度と一致しているか確認してください。","")</f>
        <v>「工場等の名称」が過年度と一致しているか確認してください。</v>
      </c>
      <c r="C5" s="162"/>
      <c r="D5" s="161"/>
      <c r="E5" s="161"/>
      <c r="F5" s="706"/>
      <c r="G5" s="704"/>
      <c r="H5" s="168"/>
      <c r="I5" s="160"/>
      <c r="J5" s="161"/>
      <c r="K5" s="154"/>
      <c r="L5" s="154"/>
      <c r="M5" s="154"/>
      <c r="N5" s="154"/>
      <c r="O5" s="154"/>
      <c r="P5" s="166"/>
      <c r="Q5" s="154"/>
      <c r="R5" s="154"/>
      <c r="S5" s="154"/>
      <c r="T5" s="154"/>
      <c r="V5" s="705"/>
      <c r="W5" s="705"/>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8" t="s">
        <v>1283</v>
      </c>
      <c r="HM5" s="167"/>
    </row>
    <row r="6" spans="1:242" ht="26.4">
      <c r="A6" s="169" t="s">
        <v>1269</v>
      </c>
      <c r="B6" s="1020" t="s">
        <v>1268</v>
      </c>
      <c r="C6" s="1020"/>
      <c r="D6" s="1020"/>
      <c r="E6" s="1020"/>
      <c r="F6" s="1020"/>
      <c r="G6" s="1020"/>
      <c r="H6" s="1020"/>
      <c r="I6" s="1020"/>
      <c r="J6" s="1021"/>
      <c r="K6" s="643" t="s">
        <v>444</v>
      </c>
      <c r="L6" s="644" t="str">
        <f>L14&amp;""</f>
        <v/>
      </c>
      <c r="M6" s="644"/>
      <c r="N6" s="645"/>
      <c r="O6" s="643" t="s">
        <v>444</v>
      </c>
      <c r="P6" s="644" t="str">
        <f t="shared" ref="P6" si="0">P14&amp;""</f>
        <v/>
      </c>
      <c r="Q6" s="644"/>
      <c r="R6" s="645"/>
      <c r="S6" s="643" t="s">
        <v>444</v>
      </c>
      <c r="T6" s="644" t="str">
        <f t="shared" ref="T6" si="1">T14&amp;""</f>
        <v/>
      </c>
      <c r="U6" s="644"/>
      <c r="V6" s="645"/>
      <c r="W6" s="643" t="s">
        <v>444</v>
      </c>
      <c r="X6" s="644" t="str">
        <f t="shared" ref="X6" si="2">X14&amp;""</f>
        <v/>
      </c>
      <c r="Y6" s="644"/>
      <c r="Z6" s="645"/>
      <c r="AA6" s="643" t="s">
        <v>444</v>
      </c>
      <c r="AB6" s="644" t="str">
        <f t="shared" ref="AB6" si="3">AB14&amp;""</f>
        <v/>
      </c>
      <c r="AC6" s="644"/>
      <c r="AD6" s="645"/>
      <c r="AE6" s="643" t="s">
        <v>444</v>
      </c>
      <c r="AF6" s="644" t="str">
        <f t="shared" ref="AF6" si="4">AF14&amp;""</f>
        <v/>
      </c>
      <c r="AG6" s="644"/>
      <c r="AH6" s="645"/>
      <c r="AI6" s="643" t="s">
        <v>444</v>
      </c>
      <c r="AJ6" s="644" t="str">
        <f t="shared" ref="AJ6" si="5">AJ14&amp;""</f>
        <v/>
      </c>
      <c r="AK6" s="644"/>
      <c r="AL6" s="645"/>
      <c r="AM6" s="643" t="s">
        <v>444</v>
      </c>
      <c r="AN6" s="644" t="str">
        <f t="shared" ref="AN6" si="6">AN14&amp;""</f>
        <v/>
      </c>
      <c r="AO6" s="644"/>
      <c r="AP6" s="645"/>
      <c r="AQ6" s="643" t="s">
        <v>444</v>
      </c>
      <c r="AR6" s="644" t="str">
        <f t="shared" ref="AR6" si="7">AR14&amp;""</f>
        <v/>
      </c>
      <c r="AS6" s="644"/>
      <c r="AT6" s="645"/>
      <c r="AU6" s="643" t="s">
        <v>444</v>
      </c>
      <c r="AV6" s="644" t="str">
        <f t="shared" ref="AV6" si="8">AV14&amp;""</f>
        <v/>
      </c>
      <c r="AW6" s="644"/>
      <c r="AX6" s="645"/>
      <c r="AY6" s="643" t="s">
        <v>444</v>
      </c>
      <c r="AZ6" s="644" t="str">
        <f t="shared" ref="AZ6" si="9">AZ14&amp;""</f>
        <v/>
      </c>
      <c r="BA6" s="644"/>
      <c r="BB6" s="645"/>
      <c r="BC6" s="643" t="s">
        <v>444</v>
      </c>
      <c r="BD6" s="644" t="str">
        <f t="shared" ref="BD6" si="10">BD14&amp;""</f>
        <v/>
      </c>
      <c r="BE6" s="644"/>
      <c r="BF6" s="645"/>
      <c r="BG6" s="643" t="s">
        <v>444</v>
      </c>
      <c r="BH6" s="644" t="str">
        <f t="shared" ref="BH6" si="11">BH14&amp;""</f>
        <v/>
      </c>
      <c r="BI6" s="644"/>
      <c r="BJ6" s="645"/>
      <c r="BK6" s="643" t="s">
        <v>444</v>
      </c>
      <c r="BL6" s="644" t="str">
        <f t="shared" ref="BL6" si="12">BL14&amp;""</f>
        <v/>
      </c>
      <c r="BM6" s="644"/>
      <c r="BN6" s="645"/>
      <c r="BO6" s="643" t="s">
        <v>444</v>
      </c>
      <c r="BP6" s="644" t="str">
        <f t="shared" ref="BP6" si="13">BP14&amp;""</f>
        <v/>
      </c>
      <c r="BQ6" s="644"/>
      <c r="BR6" s="645"/>
      <c r="BS6" s="643" t="s">
        <v>444</v>
      </c>
      <c r="BT6" s="644" t="str">
        <f t="shared" ref="BT6" si="14">BT14&amp;""</f>
        <v/>
      </c>
      <c r="BU6" s="644"/>
      <c r="BV6" s="645"/>
      <c r="BW6" s="643" t="s">
        <v>444</v>
      </c>
      <c r="BX6" s="644" t="str">
        <f t="shared" ref="BX6" si="15">BX14&amp;""</f>
        <v/>
      </c>
      <c r="BY6" s="644"/>
      <c r="BZ6" s="645"/>
      <c r="CA6" s="643" t="s">
        <v>444</v>
      </c>
      <c r="CB6" s="644" t="str">
        <f t="shared" ref="CB6" si="16">CB14&amp;""</f>
        <v/>
      </c>
      <c r="CC6" s="644"/>
      <c r="CD6" s="645"/>
      <c r="CE6" s="643" t="s">
        <v>444</v>
      </c>
      <c r="CF6" s="644" t="str">
        <f t="shared" ref="CF6" si="17">CF14&amp;""</f>
        <v/>
      </c>
      <c r="CG6" s="644"/>
      <c r="CH6" s="645"/>
      <c r="CI6" s="643" t="s">
        <v>444</v>
      </c>
      <c r="CJ6" s="644" t="str">
        <f t="shared" ref="CJ6" si="18">CJ14&amp;""</f>
        <v/>
      </c>
      <c r="CK6" s="644"/>
      <c r="CL6" s="645"/>
      <c r="CM6" s="643" t="s">
        <v>444</v>
      </c>
      <c r="CN6" s="644" t="str">
        <f t="shared" ref="CN6" si="19">CN14&amp;""</f>
        <v/>
      </c>
      <c r="CO6" s="644"/>
      <c r="CP6" s="645"/>
      <c r="CQ6" s="643" t="s">
        <v>444</v>
      </c>
      <c r="CR6" s="644" t="str">
        <f t="shared" ref="CR6" si="20">CR14&amp;""</f>
        <v/>
      </c>
      <c r="CS6" s="644"/>
      <c r="CT6" s="645"/>
      <c r="CU6" s="643" t="s">
        <v>444</v>
      </c>
      <c r="CV6" s="644" t="str">
        <f t="shared" ref="CV6" si="21">CV14&amp;""</f>
        <v/>
      </c>
      <c r="CW6" s="644"/>
      <c r="CX6" s="645"/>
      <c r="CY6" s="643" t="s">
        <v>444</v>
      </c>
      <c r="CZ6" s="644" t="str">
        <f t="shared" ref="CZ6" si="22">CZ14&amp;""</f>
        <v/>
      </c>
      <c r="DA6" s="644"/>
      <c r="DB6" s="645"/>
      <c r="DC6" s="643" t="s">
        <v>444</v>
      </c>
      <c r="DD6" s="644" t="str">
        <f t="shared" ref="DD6" si="23">DD14&amp;""</f>
        <v/>
      </c>
      <c r="DE6" s="644"/>
      <c r="DF6" s="645"/>
      <c r="DG6" s="643" t="s">
        <v>444</v>
      </c>
      <c r="DH6" s="644" t="str">
        <f t="shared" ref="DH6" si="24">DH14&amp;""</f>
        <v/>
      </c>
      <c r="DI6" s="644"/>
      <c r="DJ6" s="645"/>
      <c r="DK6" s="643" t="s">
        <v>444</v>
      </c>
      <c r="DL6" s="644" t="str">
        <f t="shared" ref="DL6" si="25">DL14&amp;""</f>
        <v/>
      </c>
      <c r="DM6" s="644"/>
      <c r="DN6" s="645"/>
      <c r="DO6" s="643" t="s">
        <v>444</v>
      </c>
      <c r="DP6" s="644" t="str">
        <f t="shared" ref="DP6" si="26">DP14&amp;""</f>
        <v/>
      </c>
      <c r="DQ6" s="644"/>
      <c r="DR6" s="645"/>
      <c r="DS6" s="643" t="s">
        <v>444</v>
      </c>
      <c r="DT6" s="644" t="str">
        <f t="shared" ref="DT6" si="27">DT14&amp;""</f>
        <v/>
      </c>
      <c r="DU6" s="644"/>
      <c r="DV6" s="645"/>
      <c r="DW6" s="643" t="s">
        <v>444</v>
      </c>
      <c r="DX6" s="644" t="str">
        <f t="shared" ref="DX6" si="28">DX14&amp;""</f>
        <v/>
      </c>
      <c r="DY6" s="644"/>
      <c r="DZ6" s="645"/>
      <c r="EA6" s="643" t="s">
        <v>444</v>
      </c>
      <c r="EB6" s="644" t="str">
        <f t="shared" ref="EB6" si="29">EB14&amp;""</f>
        <v/>
      </c>
      <c r="EC6" s="644"/>
      <c r="ED6" s="645"/>
      <c r="EE6" s="643" t="s">
        <v>444</v>
      </c>
      <c r="EF6" s="644" t="str">
        <f t="shared" ref="EF6" si="30">EF14&amp;""</f>
        <v/>
      </c>
      <c r="EG6" s="644"/>
      <c r="EH6" s="645"/>
      <c r="EI6" s="643" t="s">
        <v>444</v>
      </c>
      <c r="EJ6" s="644" t="str">
        <f t="shared" ref="EJ6" si="31">EJ14&amp;""</f>
        <v/>
      </c>
      <c r="EK6" s="644"/>
      <c r="EL6" s="645"/>
      <c r="EM6" s="643" t="s">
        <v>444</v>
      </c>
      <c r="EN6" s="644" t="str">
        <f t="shared" ref="EN6" si="32">EN14&amp;""</f>
        <v/>
      </c>
      <c r="EO6" s="644"/>
      <c r="EP6" s="645"/>
      <c r="EQ6" s="643" t="s">
        <v>444</v>
      </c>
      <c r="ER6" s="644" t="str">
        <f t="shared" ref="ER6" si="33">ER14&amp;""</f>
        <v/>
      </c>
      <c r="ES6" s="644"/>
      <c r="ET6" s="645"/>
      <c r="EU6" s="643" t="s">
        <v>444</v>
      </c>
      <c r="EV6" s="644" t="str">
        <f t="shared" ref="EV6" si="34">EV14&amp;""</f>
        <v/>
      </c>
      <c r="EW6" s="644"/>
      <c r="EX6" s="645"/>
      <c r="EY6" s="643" t="s">
        <v>444</v>
      </c>
      <c r="EZ6" s="644" t="str">
        <f t="shared" ref="EZ6" si="35">EZ14&amp;""</f>
        <v/>
      </c>
      <c r="FA6" s="644"/>
      <c r="FB6" s="645"/>
      <c r="FC6" s="643" t="s">
        <v>444</v>
      </c>
      <c r="FD6" s="644" t="str">
        <f t="shared" ref="FD6" si="36">FD14&amp;""</f>
        <v/>
      </c>
      <c r="FE6" s="644"/>
      <c r="FF6" s="645"/>
      <c r="FG6" s="643" t="s">
        <v>444</v>
      </c>
      <c r="FH6" s="644" t="str">
        <f t="shared" ref="FH6" si="37">FH14&amp;""</f>
        <v/>
      </c>
      <c r="FI6" s="644"/>
      <c r="FJ6" s="645"/>
      <c r="FK6" s="643" t="s">
        <v>444</v>
      </c>
      <c r="FL6" s="644" t="str">
        <f t="shared" ref="FL6" si="38">FL14&amp;""</f>
        <v/>
      </c>
      <c r="FM6" s="644"/>
      <c r="FN6" s="645"/>
      <c r="FO6" s="643" t="s">
        <v>444</v>
      </c>
      <c r="FP6" s="644" t="str">
        <f t="shared" ref="FP6" si="39">FP14&amp;""</f>
        <v/>
      </c>
      <c r="FQ6" s="644"/>
      <c r="FR6" s="645"/>
      <c r="FS6" s="643" t="s">
        <v>444</v>
      </c>
      <c r="FT6" s="644" t="str">
        <f t="shared" ref="FT6" si="40">FT14&amp;""</f>
        <v/>
      </c>
      <c r="FU6" s="644"/>
      <c r="FV6" s="645"/>
      <c r="FW6" s="643" t="s">
        <v>444</v>
      </c>
      <c r="FX6" s="644" t="str">
        <f t="shared" ref="FX6" si="41">FX14&amp;""</f>
        <v/>
      </c>
      <c r="FY6" s="644"/>
      <c r="FZ6" s="645"/>
      <c r="GA6" s="643" t="s">
        <v>444</v>
      </c>
      <c r="GB6" s="644" t="str">
        <f t="shared" ref="GB6" si="42">GB14&amp;""</f>
        <v/>
      </c>
      <c r="GC6" s="644"/>
      <c r="GD6" s="645"/>
      <c r="GE6" s="643" t="s">
        <v>444</v>
      </c>
      <c r="GF6" s="644" t="str">
        <f t="shared" ref="GF6" si="43">GF14&amp;""</f>
        <v/>
      </c>
      <c r="GG6" s="644"/>
      <c r="GH6" s="645"/>
      <c r="GI6" s="643" t="s">
        <v>444</v>
      </c>
      <c r="GJ6" s="644" t="str">
        <f t="shared" ref="GJ6" si="44">GJ14&amp;""</f>
        <v/>
      </c>
      <c r="GK6" s="644"/>
      <c r="GL6" s="645"/>
      <c r="GM6" s="643" t="s">
        <v>444</v>
      </c>
      <c r="GN6" s="644" t="str">
        <f t="shared" ref="GN6" si="45">GN14&amp;""</f>
        <v/>
      </c>
      <c r="GO6" s="644"/>
      <c r="GP6" s="645"/>
      <c r="GQ6" s="643" t="s">
        <v>444</v>
      </c>
      <c r="GR6" s="644" t="str">
        <f t="shared" ref="GR6" si="46">GR14&amp;""</f>
        <v/>
      </c>
      <c r="GS6" s="644"/>
      <c r="GT6" s="645"/>
      <c r="GU6" s="643" t="s">
        <v>444</v>
      </c>
      <c r="GV6" s="644" t="str">
        <f t="shared" ref="GV6" si="47">GV14&amp;""</f>
        <v/>
      </c>
      <c r="GW6" s="644"/>
      <c r="GX6" s="645"/>
      <c r="GY6" s="643" t="s">
        <v>444</v>
      </c>
      <c r="GZ6" s="644" t="str">
        <f t="shared" ref="GZ6" si="48">GZ14&amp;""</f>
        <v/>
      </c>
      <c r="HA6" s="644"/>
      <c r="HB6" s="645"/>
      <c r="HC6" s="154"/>
      <c r="HD6" s="154"/>
      <c r="HE6" s="154"/>
      <c r="HF6" s="154"/>
      <c r="HG6" s="154"/>
      <c r="HH6" s="154"/>
      <c r="HI6" s="154"/>
      <c r="HJ6" s="154"/>
      <c r="HK6" s="154"/>
      <c r="HL6" s="158" t="s">
        <v>493</v>
      </c>
      <c r="HM6" s="158"/>
    </row>
    <row r="7" spans="1:242" ht="27" thickBot="1">
      <c r="A7" s="173" t="s">
        <v>1531</v>
      </c>
      <c r="B7" s="173"/>
      <c r="C7" s="179"/>
      <c r="D7" s="179"/>
      <c r="E7" s="646"/>
      <c r="F7" s="179"/>
      <c r="G7" s="179"/>
      <c r="H7" s="179"/>
      <c r="I7" s="179"/>
      <c r="J7" s="179"/>
      <c r="K7" s="179"/>
      <c r="L7" s="179"/>
      <c r="M7" s="179"/>
      <c r="N7" s="179"/>
      <c r="O7" s="654"/>
      <c r="P7" s="654"/>
      <c r="Q7" s="654"/>
      <c r="R7" s="654"/>
      <c r="S7" s="654"/>
      <c r="T7" s="654"/>
      <c r="U7" s="654"/>
      <c r="V7" s="654"/>
      <c r="W7" s="654"/>
      <c r="X7" s="654"/>
      <c r="Y7" s="654"/>
      <c r="Z7" s="654"/>
      <c r="AA7" s="654"/>
      <c r="AB7" s="654"/>
      <c r="AC7" s="654"/>
      <c r="AD7" s="654"/>
      <c r="AE7" s="654"/>
      <c r="AF7" s="654"/>
      <c r="AG7" s="654"/>
      <c r="AH7" s="654"/>
      <c r="AI7" s="654"/>
      <c r="AJ7" s="654"/>
      <c r="AK7" s="654"/>
      <c r="AL7" s="654"/>
      <c r="AM7" s="654"/>
      <c r="AN7" s="6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c r="DE7" s="154"/>
      <c r="DF7" s="154"/>
      <c r="DG7" s="154"/>
      <c r="DH7" s="154"/>
      <c r="DI7" s="154"/>
      <c r="DJ7" s="154"/>
      <c r="DK7" s="154"/>
      <c r="DL7" s="154"/>
      <c r="DM7" s="154"/>
      <c r="DN7" s="154"/>
      <c r="DO7" s="154"/>
      <c r="DP7" s="154"/>
      <c r="DQ7" s="154"/>
      <c r="DR7" s="154"/>
      <c r="DS7" s="154"/>
      <c r="DT7" s="154"/>
      <c r="DU7" s="154"/>
      <c r="DV7" s="154"/>
      <c r="DW7" s="154"/>
      <c r="DX7" s="154"/>
      <c r="DY7" s="154"/>
      <c r="DZ7" s="154"/>
      <c r="EA7" s="154"/>
      <c r="EB7" s="154"/>
      <c r="EC7" s="154"/>
      <c r="ED7" s="154"/>
      <c r="EE7" s="154"/>
      <c r="EF7" s="154"/>
      <c r="EG7" s="154"/>
      <c r="EH7" s="154"/>
      <c r="EI7" s="154"/>
      <c r="EJ7" s="154"/>
      <c r="EK7" s="154"/>
      <c r="EL7" s="154"/>
      <c r="EM7" s="154"/>
      <c r="EN7" s="154"/>
      <c r="EO7" s="154"/>
      <c r="EP7" s="154"/>
      <c r="EQ7" s="154"/>
      <c r="ER7" s="154"/>
      <c r="ES7" s="154"/>
      <c r="ET7" s="154"/>
      <c r="EU7" s="154"/>
      <c r="EV7" s="154"/>
      <c r="EW7" s="154"/>
      <c r="EX7" s="154"/>
      <c r="EY7" s="154"/>
      <c r="EZ7" s="154"/>
      <c r="FA7" s="154"/>
      <c r="FB7" s="154"/>
      <c r="FC7" s="154"/>
      <c r="FD7" s="154"/>
      <c r="FE7" s="154"/>
      <c r="FF7" s="154"/>
      <c r="FG7" s="154"/>
      <c r="FH7" s="154"/>
      <c r="FI7" s="154"/>
      <c r="FJ7" s="154"/>
      <c r="FK7" s="154"/>
      <c r="FL7" s="154"/>
      <c r="FM7" s="154"/>
      <c r="FN7" s="154"/>
      <c r="FO7" s="154"/>
      <c r="FP7" s="154"/>
      <c r="FQ7" s="154"/>
      <c r="FR7" s="154"/>
      <c r="FS7" s="154"/>
      <c r="FT7" s="154"/>
      <c r="FU7" s="154"/>
      <c r="FV7" s="154"/>
      <c r="FW7" s="154"/>
      <c r="FX7" s="154"/>
      <c r="FY7" s="154"/>
      <c r="FZ7" s="154"/>
      <c r="GA7" s="154"/>
      <c r="GB7" s="154"/>
      <c r="GC7" s="154"/>
      <c r="GD7" s="154"/>
      <c r="GE7" s="154"/>
      <c r="GF7" s="154"/>
      <c r="GG7" s="154"/>
      <c r="GH7" s="154"/>
      <c r="GI7" s="154"/>
      <c r="GJ7" s="154"/>
      <c r="GK7" s="154"/>
      <c r="GL7" s="154"/>
      <c r="GM7" s="154"/>
      <c r="GN7" s="154"/>
      <c r="GO7" s="154"/>
      <c r="GP7" s="154"/>
      <c r="GQ7" s="154"/>
      <c r="GR7" s="154"/>
      <c r="GS7" s="154"/>
      <c r="GT7" s="154"/>
      <c r="GU7" s="154"/>
      <c r="GV7" s="154"/>
      <c r="GW7" s="154"/>
      <c r="GX7" s="154"/>
      <c r="GY7" s="154"/>
      <c r="GZ7" s="154"/>
      <c r="HA7" s="154"/>
      <c r="HB7" s="154"/>
      <c r="HL7" s="173" t="s">
        <v>494</v>
      </c>
      <c r="HM7" s="173"/>
      <c r="HN7" s="179"/>
      <c r="HO7" s="180"/>
      <c r="HP7" s="181"/>
      <c r="HQ7" s="180"/>
      <c r="HR7" s="180"/>
      <c r="HS7" s="181"/>
      <c r="HT7" s="180"/>
      <c r="HU7" s="180"/>
      <c r="HV7" s="181"/>
      <c r="HW7" s="180"/>
      <c r="HX7" s="180"/>
      <c r="HY7" s="181"/>
      <c r="HZ7" s="181"/>
      <c r="IA7" s="181"/>
      <c r="IB7" s="181"/>
    </row>
    <row r="8" spans="1:242" ht="27" thickBot="1">
      <c r="A8" s="154"/>
      <c r="B8" s="182" t="s">
        <v>715</v>
      </c>
      <c r="C8" s="178"/>
      <c r="D8" s="178"/>
      <c r="E8" s="183"/>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c r="BR8" s="178"/>
      <c r="BS8" s="178"/>
      <c r="BT8" s="178"/>
      <c r="BU8" s="178"/>
      <c r="BV8" s="178"/>
      <c r="BW8" s="178"/>
      <c r="BX8" s="178"/>
      <c r="BY8" s="178"/>
      <c r="BZ8" s="178"/>
      <c r="CA8" s="178"/>
      <c r="CB8" s="178"/>
      <c r="CC8" s="178"/>
      <c r="CD8" s="178"/>
      <c r="CE8" s="178"/>
      <c r="CF8" s="178"/>
      <c r="CG8" s="178"/>
      <c r="CH8" s="178"/>
      <c r="CI8" s="178"/>
      <c r="CJ8" s="178"/>
      <c r="CK8" s="178"/>
      <c r="CL8" s="178"/>
      <c r="CM8" s="178"/>
      <c r="CN8" s="178"/>
      <c r="CO8" s="178"/>
      <c r="CP8" s="178"/>
      <c r="CQ8" s="178"/>
      <c r="CR8" s="178"/>
      <c r="CS8" s="178"/>
      <c r="CT8" s="178"/>
      <c r="CU8" s="178"/>
      <c r="CV8" s="178"/>
      <c r="CW8" s="178"/>
      <c r="CX8" s="178"/>
      <c r="CY8" s="178"/>
      <c r="CZ8" s="178"/>
      <c r="DA8" s="178"/>
      <c r="DB8" s="178"/>
      <c r="DC8" s="178"/>
      <c r="DD8" s="178"/>
      <c r="DE8" s="178"/>
      <c r="DF8" s="178"/>
      <c r="DG8" s="178"/>
      <c r="DH8" s="178"/>
      <c r="DI8" s="178"/>
      <c r="DJ8" s="178"/>
      <c r="DK8" s="178"/>
      <c r="DL8" s="178"/>
      <c r="DM8" s="178"/>
      <c r="DN8" s="178"/>
      <c r="DO8" s="178"/>
      <c r="DP8" s="178"/>
      <c r="DQ8" s="178"/>
      <c r="DR8" s="178"/>
      <c r="DS8" s="178"/>
      <c r="DT8" s="178"/>
      <c r="DU8" s="178"/>
      <c r="DV8" s="178"/>
      <c r="DW8" s="178"/>
      <c r="DX8" s="178"/>
      <c r="DY8" s="178"/>
      <c r="DZ8" s="178"/>
      <c r="EA8" s="178"/>
      <c r="EB8" s="178"/>
      <c r="EC8" s="178"/>
      <c r="ED8" s="178"/>
      <c r="EE8" s="178"/>
      <c r="EF8" s="178"/>
      <c r="EG8" s="178"/>
      <c r="EH8" s="178"/>
      <c r="EI8" s="178"/>
      <c r="EJ8" s="178"/>
      <c r="EK8" s="178"/>
      <c r="EL8" s="178"/>
      <c r="EM8" s="178"/>
      <c r="EN8" s="178"/>
      <c r="EO8" s="178"/>
      <c r="EP8" s="178"/>
      <c r="EQ8" s="178"/>
      <c r="ER8" s="178"/>
      <c r="ES8" s="178"/>
      <c r="ET8" s="178"/>
      <c r="EU8" s="178"/>
      <c r="EV8" s="178"/>
      <c r="EW8" s="178"/>
      <c r="EX8" s="178"/>
      <c r="EY8" s="178"/>
      <c r="EZ8" s="178"/>
      <c r="FA8" s="178"/>
      <c r="FB8" s="178"/>
      <c r="FC8" s="178"/>
      <c r="FD8" s="178"/>
      <c r="FE8" s="178"/>
      <c r="FF8" s="178"/>
      <c r="FG8" s="178"/>
      <c r="FH8" s="178"/>
      <c r="FI8" s="178"/>
      <c r="FJ8" s="178"/>
      <c r="FK8" s="178"/>
      <c r="FL8" s="178"/>
      <c r="FM8" s="178"/>
      <c r="FN8" s="178"/>
      <c r="FO8" s="178"/>
      <c r="FP8" s="178"/>
      <c r="FQ8" s="178"/>
      <c r="FR8" s="178"/>
      <c r="FS8" s="178"/>
      <c r="FT8" s="178"/>
      <c r="FU8" s="178"/>
      <c r="FV8" s="178"/>
      <c r="FW8" s="178"/>
      <c r="FX8" s="178"/>
      <c r="FY8" s="178"/>
      <c r="FZ8" s="178"/>
      <c r="GA8" s="178"/>
      <c r="GB8" s="178"/>
      <c r="GC8" s="178"/>
      <c r="GD8" s="178"/>
      <c r="GE8" s="178"/>
      <c r="GF8" s="178"/>
      <c r="GG8" s="178"/>
      <c r="GH8" s="178"/>
      <c r="GI8" s="178"/>
      <c r="GJ8" s="178"/>
      <c r="GK8" s="178"/>
      <c r="GL8" s="178"/>
      <c r="GM8" s="178"/>
      <c r="GN8" s="178"/>
      <c r="GO8" s="178"/>
      <c r="GP8" s="178"/>
      <c r="GQ8" s="178"/>
      <c r="GR8" s="178"/>
      <c r="GS8" s="178"/>
      <c r="GT8" s="178"/>
      <c r="GU8" s="178"/>
      <c r="GV8" s="178"/>
      <c r="GW8" s="178"/>
      <c r="GX8" s="178"/>
      <c r="GY8" s="178"/>
      <c r="GZ8" s="178"/>
      <c r="HA8" s="178"/>
      <c r="HB8" s="178"/>
      <c r="HL8" s="1022" t="s">
        <v>496</v>
      </c>
      <c r="HM8" s="1009" t="s">
        <v>497</v>
      </c>
      <c r="HN8" s="1010"/>
      <c r="HO8" s="1010"/>
      <c r="HP8" s="1011"/>
      <c r="HQ8" s="1009" t="s">
        <v>498</v>
      </c>
      <c r="HR8" s="1010"/>
      <c r="HS8" s="1010"/>
      <c r="HT8" s="1011"/>
      <c r="HU8" s="1009" t="s">
        <v>499</v>
      </c>
      <c r="HV8" s="1010"/>
      <c r="HW8" s="1010"/>
      <c r="HX8" s="1011"/>
      <c r="HY8" s="1009" t="s">
        <v>500</v>
      </c>
      <c r="HZ8" s="1010"/>
      <c r="IA8" s="1010"/>
      <c r="IB8" s="1011"/>
      <c r="IE8" s="159" t="s">
        <v>501</v>
      </c>
    </row>
    <row r="9" spans="1:242" s="164" customFormat="1" ht="69.900000000000006" customHeight="1" thickBot="1">
      <c r="B9" s="184" t="s">
        <v>716</v>
      </c>
      <c r="C9" s="185"/>
      <c r="D9" s="186" t="s">
        <v>1284</v>
      </c>
      <c r="E9" s="187" t="s">
        <v>1285</v>
      </c>
      <c r="F9" s="188" t="s">
        <v>1267</v>
      </c>
      <c r="G9" s="189" t="s">
        <v>1286</v>
      </c>
      <c r="H9" s="190"/>
      <c r="I9" s="657" t="s">
        <v>1287</v>
      </c>
      <c r="J9" s="658"/>
      <c r="K9" s="191" t="s">
        <v>1288</v>
      </c>
      <c r="L9" s="192" t="s">
        <v>1289</v>
      </c>
      <c r="M9" s="193" t="s">
        <v>1290</v>
      </c>
      <c r="N9" s="194" t="s">
        <v>1291</v>
      </c>
      <c r="O9" s="195" t="s">
        <v>1292</v>
      </c>
      <c r="P9" s="196" t="s">
        <v>1293</v>
      </c>
      <c r="Q9" s="197" t="s">
        <v>1294</v>
      </c>
      <c r="R9" s="197" t="s">
        <v>1295</v>
      </c>
      <c r="S9" s="197" t="s">
        <v>1296</v>
      </c>
      <c r="T9" s="197" t="s">
        <v>1297</v>
      </c>
      <c r="U9" s="197" t="s">
        <v>1298</v>
      </c>
      <c r="V9" s="197" t="s">
        <v>1299</v>
      </c>
      <c r="W9" s="197" t="s">
        <v>1300</v>
      </c>
      <c r="X9" s="197" t="s">
        <v>1301</v>
      </c>
      <c r="Y9" s="197" t="s">
        <v>1302</v>
      </c>
      <c r="Z9" s="197" t="s">
        <v>1303</v>
      </c>
      <c r="AA9" s="197" t="s">
        <v>1304</v>
      </c>
      <c r="AB9" s="197" t="s">
        <v>1305</v>
      </c>
      <c r="AC9" s="197" t="s">
        <v>1306</v>
      </c>
      <c r="AD9" s="197" t="s">
        <v>1307</v>
      </c>
      <c r="AE9" s="197" t="s">
        <v>1308</v>
      </c>
      <c r="AF9" s="197" t="s">
        <v>1309</v>
      </c>
      <c r="AG9" s="197" t="s">
        <v>1310</v>
      </c>
      <c r="AH9" s="197" t="s">
        <v>1311</v>
      </c>
      <c r="AI9" s="197" t="s">
        <v>1312</v>
      </c>
      <c r="AJ9" s="197" t="s">
        <v>1313</v>
      </c>
      <c r="AK9" s="197" t="s">
        <v>1314</v>
      </c>
      <c r="AL9" s="197" t="s">
        <v>1315</v>
      </c>
      <c r="AM9" s="197" t="s">
        <v>1316</v>
      </c>
      <c r="AN9" s="197" t="s">
        <v>1317</v>
      </c>
      <c r="AO9" s="197" t="s">
        <v>1318</v>
      </c>
      <c r="AP9" s="197" t="s">
        <v>1319</v>
      </c>
      <c r="AQ9" s="197" t="s">
        <v>1320</v>
      </c>
      <c r="AR9" s="197" t="s">
        <v>1321</v>
      </c>
      <c r="AS9" s="197" t="s">
        <v>1322</v>
      </c>
      <c r="AT9" s="197" t="s">
        <v>1323</v>
      </c>
      <c r="AU9" s="197" t="s">
        <v>1324</v>
      </c>
      <c r="AV9" s="197" t="s">
        <v>1325</v>
      </c>
      <c r="AW9" s="197" t="s">
        <v>1326</v>
      </c>
      <c r="AX9" s="197" t="s">
        <v>1327</v>
      </c>
      <c r="AY9" s="197" t="s">
        <v>1328</v>
      </c>
      <c r="AZ9" s="198" t="s">
        <v>1329</v>
      </c>
      <c r="BA9" s="198" t="s">
        <v>1330</v>
      </c>
      <c r="BB9" s="198" t="s">
        <v>1331</v>
      </c>
      <c r="BC9" s="198" t="s">
        <v>1332</v>
      </c>
      <c r="BD9" s="198" t="s">
        <v>1333</v>
      </c>
      <c r="BE9" s="198" t="s">
        <v>1334</v>
      </c>
      <c r="BF9" s="198" t="s">
        <v>1335</v>
      </c>
      <c r="BG9" s="198" t="s">
        <v>1336</v>
      </c>
      <c r="BH9" s="198" t="s">
        <v>1337</v>
      </c>
      <c r="BI9" s="198" t="s">
        <v>1338</v>
      </c>
      <c r="BJ9" s="198" t="s">
        <v>1339</v>
      </c>
      <c r="BK9" s="198" t="s">
        <v>1340</v>
      </c>
      <c r="BL9" s="198" t="s">
        <v>1341</v>
      </c>
      <c r="BM9" s="198" t="s">
        <v>1342</v>
      </c>
      <c r="BN9" s="198" t="s">
        <v>1343</v>
      </c>
      <c r="BO9" s="198" t="s">
        <v>1344</v>
      </c>
      <c r="BP9" s="198" t="s">
        <v>1345</v>
      </c>
      <c r="BQ9" s="198" t="s">
        <v>1346</v>
      </c>
      <c r="BR9" s="198" t="s">
        <v>1347</v>
      </c>
      <c r="BS9" s="199" t="s">
        <v>1348</v>
      </c>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200"/>
      <c r="GV9" s="200"/>
      <c r="GW9" s="200"/>
      <c r="GX9" s="200"/>
      <c r="GY9" s="200"/>
      <c r="GZ9" s="200"/>
      <c r="HA9" s="200"/>
      <c r="HB9" s="200"/>
      <c r="HC9" s="1012" t="s">
        <v>503</v>
      </c>
      <c r="HD9" s="1013"/>
      <c r="HE9" s="1014" t="s">
        <v>504</v>
      </c>
      <c r="HF9" s="1015"/>
      <c r="HG9" s="1016" t="s">
        <v>498</v>
      </c>
      <c r="HH9" s="1014"/>
      <c r="HI9" s="1014"/>
      <c r="HJ9" s="1017"/>
      <c r="HL9" s="1023"/>
      <c r="HM9" s="201" t="s">
        <v>505</v>
      </c>
      <c r="HN9" s="1018" t="s">
        <v>1271</v>
      </c>
      <c r="HO9" s="1019"/>
      <c r="HP9" s="202" t="s">
        <v>506</v>
      </c>
      <c r="HQ9" s="201" t="s">
        <v>505</v>
      </c>
      <c r="HR9" s="1018" t="s">
        <v>1271</v>
      </c>
      <c r="HS9" s="1019"/>
      <c r="HT9" s="202" t="s">
        <v>506</v>
      </c>
      <c r="HU9" s="201" t="s">
        <v>505</v>
      </c>
      <c r="HV9" s="1018" t="s">
        <v>1271</v>
      </c>
      <c r="HW9" s="1019"/>
      <c r="HX9" s="202" t="s">
        <v>506</v>
      </c>
      <c r="HY9" s="201" t="s">
        <v>505</v>
      </c>
      <c r="HZ9" s="1018" t="s">
        <v>1271</v>
      </c>
      <c r="IA9" s="1019"/>
      <c r="IB9" s="202" t="s">
        <v>506</v>
      </c>
      <c r="IE9" s="159" t="s">
        <v>507</v>
      </c>
      <c r="IF9" s="159" t="s">
        <v>498</v>
      </c>
      <c r="IG9" s="159" t="s">
        <v>499</v>
      </c>
      <c r="IH9" s="159" t="s">
        <v>500</v>
      </c>
    </row>
    <row r="10" spans="1:242" s="164" customFormat="1" ht="20.100000000000001" customHeight="1">
      <c r="B10" s="203" t="s">
        <v>440</v>
      </c>
      <c r="C10" s="204"/>
      <c r="D10" s="205"/>
      <c r="E10" s="205"/>
      <c r="F10" s="205"/>
      <c r="G10" s="206" t="s">
        <v>1349</v>
      </c>
      <c r="H10" s="207"/>
      <c r="I10" s="206" t="s">
        <v>1350</v>
      </c>
      <c r="J10" s="208"/>
      <c r="K10" s="209" t="s">
        <v>508</v>
      </c>
      <c r="L10" s="210"/>
      <c r="M10" s="211"/>
      <c r="N10" s="659"/>
      <c r="O10" s="213"/>
      <c r="P10" s="214"/>
      <c r="Q10" s="215"/>
      <c r="R10" s="215"/>
      <c r="S10" s="215"/>
      <c r="T10" s="215"/>
      <c r="U10" s="215"/>
      <c r="V10" s="215"/>
      <c r="W10" s="215"/>
      <c r="X10" s="215"/>
      <c r="Y10" s="215"/>
      <c r="Z10" s="215"/>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7"/>
      <c r="BA10" s="217"/>
      <c r="BB10" s="217"/>
      <c r="BC10" s="217"/>
      <c r="BD10" s="217"/>
      <c r="BE10" s="217"/>
      <c r="BF10" s="217"/>
      <c r="BG10" s="217"/>
      <c r="BH10" s="217"/>
      <c r="BI10" s="217"/>
      <c r="BJ10" s="217"/>
      <c r="BK10" s="217"/>
      <c r="BL10" s="217"/>
      <c r="BM10" s="217"/>
      <c r="BN10" s="217"/>
      <c r="BO10" s="217"/>
      <c r="BP10" s="217"/>
      <c r="BQ10" s="217"/>
      <c r="BR10" s="217"/>
      <c r="BS10" s="218"/>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0"/>
      <c r="DV10" s="200"/>
      <c r="DW10" s="200"/>
      <c r="DX10" s="200"/>
      <c r="DY10" s="200"/>
      <c r="DZ10" s="200"/>
      <c r="EA10" s="200"/>
      <c r="EB10" s="200"/>
      <c r="EC10" s="200"/>
      <c r="ED10" s="200"/>
      <c r="EE10" s="200"/>
      <c r="EF10" s="200"/>
      <c r="EG10" s="200"/>
      <c r="EH10" s="200"/>
      <c r="EI10" s="200"/>
      <c r="EJ10" s="200"/>
      <c r="EK10" s="200"/>
      <c r="EL10" s="200"/>
      <c r="EM10" s="200"/>
      <c r="EN10" s="200"/>
      <c r="EO10" s="200"/>
      <c r="EP10" s="200"/>
      <c r="EQ10" s="200"/>
      <c r="ER10" s="200"/>
      <c r="ES10" s="200"/>
      <c r="ET10" s="200"/>
      <c r="EU10" s="200"/>
      <c r="EV10" s="200"/>
      <c r="EW10" s="200"/>
      <c r="EX10" s="200"/>
      <c r="EY10" s="200"/>
      <c r="EZ10" s="200"/>
      <c r="FA10" s="200"/>
      <c r="FB10" s="200"/>
      <c r="FC10" s="200"/>
      <c r="FD10" s="200"/>
      <c r="FE10" s="200"/>
      <c r="FF10" s="200"/>
      <c r="FG10" s="200"/>
      <c r="FH10" s="200"/>
      <c r="FI10" s="200"/>
      <c r="FJ10" s="200"/>
      <c r="FK10" s="200"/>
      <c r="FL10" s="200"/>
      <c r="FM10" s="200"/>
      <c r="FN10" s="200"/>
      <c r="FO10" s="200"/>
      <c r="FP10" s="200"/>
      <c r="FQ10" s="200"/>
      <c r="FR10" s="200"/>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200"/>
      <c r="GV10" s="200"/>
      <c r="GW10" s="200"/>
      <c r="GX10" s="200"/>
      <c r="GY10" s="200"/>
      <c r="GZ10" s="200"/>
      <c r="HA10" s="200"/>
      <c r="HB10" s="200"/>
      <c r="HC10" s="1024" t="s">
        <v>509</v>
      </c>
      <c r="HD10" s="1025"/>
      <c r="HE10" s="1026" t="str">
        <f>IF(L10="","",L10)</f>
        <v/>
      </c>
      <c r="HF10" s="1027"/>
      <c r="HG10" s="1028" t="str">
        <f>IF(M10="","",M10)</f>
        <v/>
      </c>
      <c r="HH10" s="1026"/>
      <c r="HI10" s="1026"/>
      <c r="HJ10" s="1029"/>
      <c r="HL10" s="219">
        <v>1</v>
      </c>
      <c r="HM10" s="707" t="str">
        <f t="shared" ref="HM10:HM41" ca="1" si="49">OFFSET(A1_原単位2026,6,$HL10+2)</f>
        <v/>
      </c>
      <c r="HN10" s="708" t="str">
        <f ca="1">OFFSET(A1_原単位2027,5,HL10+2)&amp;""</f>
        <v/>
      </c>
      <c r="HO10" s="709" t="str">
        <f t="shared" ref="HO10:HO59" ca="1" si="50">IF(HN10="","",HYPERLINK("#"&amp;IE10,"&lt;"&amp;IE10&amp;"&gt;"))</f>
        <v/>
      </c>
      <c r="HP10" s="710" t="str">
        <f t="shared" ref="HP10:HP41" ca="1" si="51">IF(HN10="","",HYPERLINK("#"&amp;OFFSET(A1_原単位2027,66,$HL10+2),OFFSET(A1_原単位2027,62,$HL10+2)))</f>
        <v/>
      </c>
      <c r="HQ10" s="707" t="str">
        <f t="shared" ref="HQ10:HQ41" ca="1" si="52">OFFSET(A1_原単位2026,18,$HL10+2)</f>
        <v/>
      </c>
      <c r="HR10" s="708" t="str">
        <f ca="1">OFFSET(A1_原単位2027,17,HL10+2)&amp;""</f>
        <v/>
      </c>
      <c r="HS10" s="709" t="str">
        <f t="shared" ref="HS10:HS59" ca="1" si="53">IF(HR10="","",HYPERLINK("#"&amp;IF10,"&lt;"&amp;IF10&amp;"&gt;"))</f>
        <v/>
      </c>
      <c r="HT10" s="711" t="str">
        <f t="shared" ref="HT10:HT41" ca="1" si="54">IF(HR10="","",HYPERLINK("#"&amp;OFFSET(A1_原単位2027,67,$HL10+2),OFFSET(A1_原単位2027,63,$HL10+2)))</f>
        <v/>
      </c>
      <c r="HU10" s="707" t="str">
        <f t="shared" ref="HU10:HU41" ca="1" si="55">OFFSET(A1_原単位2026,30,$HL10+2)</f>
        <v/>
      </c>
      <c r="HV10" s="708" t="str">
        <f ca="1">OFFSET(A1_原単位2027,29,HL10+2)&amp;""</f>
        <v/>
      </c>
      <c r="HW10" s="712" t="str">
        <f t="shared" ref="HW10:HW59" ca="1" si="56">IF(HV10="","",HYPERLINK("#"&amp;IG10,"&lt;"&amp;IG10&amp;"&gt;"))</f>
        <v/>
      </c>
      <c r="HX10" s="711" t="str">
        <f t="shared" ref="HX10:HX41" ca="1" si="57">IF(HV10="","",HYPERLINK("#"&amp;OFFSET(A1_原単位2027,68,$HL10+2),OFFSET(A1_原単位2027,64,$HL10+2)))</f>
        <v/>
      </c>
      <c r="HY10" s="707" t="str">
        <f t="shared" ref="HY10:HY41" ca="1" si="58">OFFSET(A1_原単位2026,42,$HL10+2)</f>
        <v/>
      </c>
      <c r="HZ10" s="708" t="str">
        <f ca="1">OFFSET(A1_原単位2027,41,HL10+2)&amp;""</f>
        <v/>
      </c>
      <c r="IA10" s="712" t="str">
        <f t="shared" ref="IA10:IA59" ca="1" si="59">IF(HZ10="","",HYPERLINK("#"&amp;IH10,"&lt;"&amp;IH10&amp;"&gt;"))</f>
        <v/>
      </c>
      <c r="IB10" s="713" t="str">
        <f t="shared" ref="IB10:IB41" ca="1" si="60">IF(HZ10="","",HYPERLINK("#"&amp;OFFSET(A1_原単位2027,69,$HL10+2),OFFSET(A1_原単位2027,65,$HL10+2)))</f>
        <v/>
      </c>
      <c r="IE10" s="159" t="str">
        <f t="shared" ref="IE10:IE41" ca="1" si="61">IF($HN10="","",ADDRESS(ROW(貼付け_2027実績)+5,OFFSET(A1_原単位2027,7,$HL10+2)+COLUMN(貼付け_2027実績)+1,4))</f>
        <v/>
      </c>
      <c r="IF10" s="159" t="str">
        <f t="shared" ref="IF10:IF41" ca="1" si="62">IF($HR10="","",ADDRESS(ROW(貼付け_2027実績)+5,OFFSET(A1_原単位2027,19,$HL10+2)+COLUMN(貼付け_2027実績)+1,4))</f>
        <v/>
      </c>
      <c r="IG10" s="159" t="str">
        <f t="shared" ref="IG10:IG41" ca="1" si="63">IF($HV10="","",ADDRESS(ROW(貼付け_2027実績)+5,OFFSET(A1_原単位2027,31,$HL10+2)+COLUMN(貼付け_2027実績)+1,4))</f>
        <v/>
      </c>
      <c r="IH10" s="159" t="str">
        <f t="shared" ref="IH10:IH41" ca="1" si="64">IF($HZ10="","",ADDRESS(ROW(貼付け_2027実績)+5,OFFSET(A1_原単位2027,43,$HL10+2)+COLUMN(貼付け_2027実績)+1,4))</f>
        <v/>
      </c>
    </row>
    <row r="11" spans="1:242" s="164" customFormat="1" ht="20.100000000000001" customHeight="1">
      <c r="B11" s="220" t="s">
        <v>1351</v>
      </c>
      <c r="C11" s="221" t="s">
        <v>1352</v>
      </c>
      <c r="D11" s="222"/>
      <c r="E11" s="223" t="s">
        <v>1353</v>
      </c>
      <c r="F11" s="224"/>
      <c r="G11" s="206" t="s">
        <v>1354</v>
      </c>
      <c r="H11" s="207"/>
      <c r="I11" s="206" t="s">
        <v>1355</v>
      </c>
      <c r="J11" s="208"/>
      <c r="K11" s="209" t="s">
        <v>510</v>
      </c>
      <c r="L11" s="210"/>
      <c r="M11" s="211"/>
      <c r="N11" s="225"/>
      <c r="O11" s="226"/>
      <c r="P11" s="227" t="s">
        <v>327</v>
      </c>
      <c r="Q11" s="228" t="s">
        <v>327</v>
      </c>
      <c r="R11" s="228" t="s">
        <v>327</v>
      </c>
      <c r="S11" s="228" t="s">
        <v>327</v>
      </c>
      <c r="T11" s="228" t="s">
        <v>327</v>
      </c>
      <c r="U11" s="228" t="s">
        <v>327</v>
      </c>
      <c r="V11" s="228" t="s">
        <v>327</v>
      </c>
      <c r="W11" s="228" t="s">
        <v>327</v>
      </c>
      <c r="X11" s="228" t="s">
        <v>327</v>
      </c>
      <c r="Y11" s="228" t="s">
        <v>327</v>
      </c>
      <c r="Z11" s="228" t="s">
        <v>327</v>
      </c>
      <c r="AA11" s="228" t="s">
        <v>327</v>
      </c>
      <c r="AB11" s="228" t="s">
        <v>327</v>
      </c>
      <c r="AC11" s="228" t="s">
        <v>327</v>
      </c>
      <c r="AD11" s="228" t="s">
        <v>327</v>
      </c>
      <c r="AE11" s="228" t="s">
        <v>327</v>
      </c>
      <c r="AF11" s="228" t="s">
        <v>327</v>
      </c>
      <c r="AG11" s="228" t="s">
        <v>327</v>
      </c>
      <c r="AH11" s="228" t="s">
        <v>327</v>
      </c>
      <c r="AI11" s="228" t="s">
        <v>327</v>
      </c>
      <c r="AJ11" s="228" t="s">
        <v>327</v>
      </c>
      <c r="AK11" s="228" t="s">
        <v>327</v>
      </c>
      <c r="AL11" s="228" t="s">
        <v>327</v>
      </c>
      <c r="AM11" s="228" t="s">
        <v>327</v>
      </c>
      <c r="AN11" s="228" t="s">
        <v>327</v>
      </c>
      <c r="AO11" s="228" t="s">
        <v>327</v>
      </c>
      <c r="AP11" s="228" t="s">
        <v>327</v>
      </c>
      <c r="AQ11" s="228" t="s">
        <v>327</v>
      </c>
      <c r="AR11" s="228" t="s">
        <v>327</v>
      </c>
      <c r="AS11" s="228" t="s">
        <v>327</v>
      </c>
      <c r="AT11" s="228" t="s">
        <v>327</v>
      </c>
      <c r="AU11" s="228" t="s">
        <v>327</v>
      </c>
      <c r="AV11" s="228" t="s">
        <v>327</v>
      </c>
      <c r="AW11" s="228" t="s">
        <v>327</v>
      </c>
      <c r="AX11" s="228" t="s">
        <v>327</v>
      </c>
      <c r="AY11" s="228" t="s">
        <v>327</v>
      </c>
      <c r="AZ11" s="229" t="s">
        <v>327</v>
      </c>
      <c r="BA11" s="229" t="s">
        <v>327</v>
      </c>
      <c r="BB11" s="229" t="s">
        <v>327</v>
      </c>
      <c r="BC11" s="229" t="s">
        <v>327</v>
      </c>
      <c r="BD11" s="229" t="s">
        <v>327</v>
      </c>
      <c r="BE11" s="229" t="s">
        <v>327</v>
      </c>
      <c r="BF11" s="229" t="s">
        <v>327</v>
      </c>
      <c r="BG11" s="229" t="s">
        <v>327</v>
      </c>
      <c r="BH11" s="229" t="s">
        <v>327</v>
      </c>
      <c r="BI11" s="229" t="s">
        <v>327</v>
      </c>
      <c r="BJ11" s="229" t="s">
        <v>327</v>
      </c>
      <c r="BK11" s="229" t="s">
        <v>327</v>
      </c>
      <c r="BL11" s="229" t="s">
        <v>327</v>
      </c>
      <c r="BM11" s="229" t="s">
        <v>327</v>
      </c>
      <c r="BN11" s="229" t="s">
        <v>327</v>
      </c>
      <c r="BO11" s="229" t="s">
        <v>327</v>
      </c>
      <c r="BP11" s="229" t="s">
        <v>327</v>
      </c>
      <c r="BQ11" s="229" t="s">
        <v>327</v>
      </c>
      <c r="BR11" s="229" t="s">
        <v>327</v>
      </c>
      <c r="BS11" s="208" t="s">
        <v>327</v>
      </c>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c r="DK11" s="200"/>
      <c r="DL11" s="200"/>
      <c r="DM11" s="200"/>
      <c r="DN11" s="200"/>
      <c r="DO11" s="200"/>
      <c r="DP11" s="200"/>
      <c r="DQ11" s="200"/>
      <c r="DR11" s="200"/>
      <c r="DS11" s="200"/>
      <c r="DT11" s="200"/>
      <c r="DU11" s="200"/>
      <c r="DV11" s="200"/>
      <c r="DW11" s="200"/>
      <c r="DX11" s="200"/>
      <c r="DY11" s="200"/>
      <c r="DZ11" s="200"/>
      <c r="EA11" s="200"/>
      <c r="EB11" s="200"/>
      <c r="EC11" s="200"/>
      <c r="ED11" s="200"/>
      <c r="EE11" s="200"/>
      <c r="EF11" s="200"/>
      <c r="EG11" s="200"/>
      <c r="EH11" s="200"/>
      <c r="EI11" s="200"/>
      <c r="EJ11" s="200"/>
      <c r="EK11" s="200"/>
      <c r="EL11" s="200"/>
      <c r="EM11" s="200"/>
      <c r="EN11" s="200"/>
      <c r="EO11" s="200"/>
      <c r="EP11" s="200"/>
      <c r="EQ11" s="200"/>
      <c r="ER11" s="200"/>
      <c r="ES11" s="200"/>
      <c r="ET11" s="200"/>
      <c r="EU11" s="200"/>
      <c r="EV11" s="200"/>
      <c r="EW11" s="200"/>
      <c r="EX11" s="200"/>
      <c r="EY11" s="200"/>
      <c r="EZ11" s="200"/>
      <c r="FA11" s="200"/>
      <c r="FB11" s="200"/>
      <c r="FC11" s="200"/>
      <c r="FD11" s="200"/>
      <c r="FE11" s="200"/>
      <c r="FF11" s="200"/>
      <c r="FG11" s="200"/>
      <c r="FH11" s="200"/>
      <c r="FI11" s="200"/>
      <c r="FJ11" s="200"/>
      <c r="FK11" s="200"/>
      <c r="FL11" s="200"/>
      <c r="FM11" s="200"/>
      <c r="FN11" s="200"/>
      <c r="FO11" s="200"/>
      <c r="FP11" s="200"/>
      <c r="FQ11" s="200"/>
      <c r="FR11" s="200"/>
      <c r="FS11" s="200"/>
      <c r="FT11" s="200"/>
      <c r="FU11" s="200"/>
      <c r="FV11" s="200"/>
      <c r="FW11" s="200"/>
      <c r="FX11" s="200"/>
      <c r="FY11" s="200"/>
      <c r="FZ11" s="200"/>
      <c r="GA11" s="200"/>
      <c r="GB11" s="200"/>
      <c r="GC11" s="200"/>
      <c r="GD11" s="200"/>
      <c r="GE11" s="200"/>
      <c r="GF11" s="200"/>
      <c r="GG11" s="200"/>
      <c r="GH11" s="200"/>
      <c r="GI11" s="200"/>
      <c r="GJ11" s="200"/>
      <c r="GK11" s="200"/>
      <c r="GL11" s="200"/>
      <c r="GM11" s="200"/>
      <c r="GN11" s="200"/>
      <c r="GO11" s="200"/>
      <c r="GP11" s="200"/>
      <c r="GQ11" s="200"/>
      <c r="GR11" s="200"/>
      <c r="GS11" s="200"/>
      <c r="GT11" s="200"/>
      <c r="GU11" s="200"/>
      <c r="GV11" s="200"/>
      <c r="GW11" s="200"/>
      <c r="GX11" s="200"/>
      <c r="GY11" s="200"/>
      <c r="GZ11" s="200"/>
      <c r="HA11" s="200"/>
      <c r="HB11" s="200"/>
      <c r="HC11" s="1024" t="s">
        <v>511</v>
      </c>
      <c r="HD11" s="1025"/>
      <c r="HE11" s="1026" t="str">
        <f t="shared" ref="HE11:HE12" si="65">IF(L11="","",L11)</f>
        <v/>
      </c>
      <c r="HF11" s="1027"/>
      <c r="HG11" s="1028" t="str">
        <f>IF(M11="","",M11)</f>
        <v/>
      </c>
      <c r="HH11" s="1026"/>
      <c r="HI11" s="1026"/>
      <c r="HJ11" s="1029"/>
      <c r="HL11" s="230">
        <v>2</v>
      </c>
      <c r="HM11" s="714" t="str">
        <f t="shared" ca="1" si="49"/>
        <v/>
      </c>
      <c r="HN11" s="715" t="str">
        <f ca="1">IF(COUNTIF(HN$10:HN10,OFFSET(A1_原単位2027,5,HL11+2))&gt;=1,"",OFFSET(A1_原単位2027,5,HL11+2)&amp;"")</f>
        <v/>
      </c>
      <c r="HO11" s="716" t="str">
        <f t="shared" ca="1" si="50"/>
        <v/>
      </c>
      <c r="HP11" s="717" t="str">
        <f t="shared" ca="1" si="51"/>
        <v/>
      </c>
      <c r="HQ11" s="714" t="str">
        <f t="shared" ca="1" si="52"/>
        <v/>
      </c>
      <c r="HR11" s="715" t="str">
        <f ca="1">IF(COUNTIF(HR$10:HR10,OFFSET(A1_原単位2027,17,HL11+2))&gt;=1,"",OFFSET(A1_原単位2027,17,HL11+2)&amp;"")</f>
        <v/>
      </c>
      <c r="HS11" s="718" t="str">
        <f t="shared" ca="1" si="53"/>
        <v/>
      </c>
      <c r="HT11" s="719" t="str">
        <f t="shared" ca="1" si="54"/>
        <v/>
      </c>
      <c r="HU11" s="714" t="str">
        <f t="shared" ca="1" si="55"/>
        <v/>
      </c>
      <c r="HV11" s="715" t="str">
        <f ca="1">IF(COUNTIF(HV$10:HV10,OFFSET(A1_原単位2027,29,HL11+2))&gt;=1,"",OFFSET(A1_原単位2027,29,HL11+2)&amp;"")</f>
        <v/>
      </c>
      <c r="HW11" s="718" t="str">
        <f t="shared" ca="1" si="56"/>
        <v/>
      </c>
      <c r="HX11" s="719" t="str">
        <f t="shared" ca="1" si="57"/>
        <v/>
      </c>
      <c r="HY11" s="714" t="str">
        <f t="shared" ca="1" si="58"/>
        <v/>
      </c>
      <c r="HZ11" s="715" t="str">
        <f ca="1">IF(COUNTIF(HZ$10:HZ10,OFFSET(A1_原単位2027,41,HL11+2))&gt;=1,"",OFFSET(A1_原単位2027,41,HL11+2)&amp;"")</f>
        <v/>
      </c>
      <c r="IA11" s="720" t="str">
        <f t="shared" ca="1" si="59"/>
        <v/>
      </c>
      <c r="IB11" s="721" t="str">
        <f t="shared" ca="1" si="60"/>
        <v/>
      </c>
      <c r="IE11" s="159" t="str">
        <f t="shared" ca="1" si="61"/>
        <v/>
      </c>
      <c r="IF11" s="159" t="str">
        <f t="shared" ca="1" si="62"/>
        <v/>
      </c>
      <c r="IG11" s="159" t="str">
        <f t="shared" ca="1" si="63"/>
        <v/>
      </c>
      <c r="IH11" s="159" t="str">
        <f t="shared" ca="1" si="64"/>
        <v/>
      </c>
    </row>
    <row r="12" spans="1:242" s="164" customFormat="1" ht="20.100000000000001" customHeight="1" thickBot="1">
      <c r="B12" s="231" t="s">
        <v>441</v>
      </c>
      <c r="C12" s="232"/>
      <c r="D12" s="233"/>
      <c r="E12" s="234"/>
      <c r="F12" s="235"/>
      <c r="G12" s="236" t="s">
        <v>1356</v>
      </c>
      <c r="H12" s="237"/>
      <c r="I12" s="238"/>
      <c r="J12" s="239"/>
      <c r="K12" s="240" t="s">
        <v>1357</v>
      </c>
      <c r="L12" s="241"/>
      <c r="M12" s="242"/>
      <c r="N12" s="660"/>
      <c r="O12" s="244"/>
      <c r="P12" s="245"/>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7"/>
      <c r="BA12" s="247"/>
      <c r="BB12" s="247"/>
      <c r="BC12" s="247"/>
      <c r="BD12" s="247"/>
      <c r="BE12" s="247"/>
      <c r="BF12" s="247"/>
      <c r="BG12" s="247"/>
      <c r="BH12" s="247"/>
      <c r="BI12" s="247"/>
      <c r="BJ12" s="247"/>
      <c r="BK12" s="247"/>
      <c r="BL12" s="247"/>
      <c r="BM12" s="247"/>
      <c r="BN12" s="247"/>
      <c r="BO12" s="247"/>
      <c r="BP12" s="247"/>
      <c r="BQ12" s="247"/>
      <c r="BR12" s="247"/>
      <c r="BS12" s="248"/>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1030" t="s">
        <v>512</v>
      </c>
      <c r="HD12" s="1031"/>
      <c r="HE12" s="1032" t="str">
        <f t="shared" si="65"/>
        <v/>
      </c>
      <c r="HF12" s="1033"/>
      <c r="HG12" s="1034" t="str">
        <f>IF(M12="","",M12)</f>
        <v/>
      </c>
      <c r="HH12" s="1032"/>
      <c r="HI12" s="1032"/>
      <c r="HJ12" s="1035"/>
      <c r="HL12" s="219">
        <v>3</v>
      </c>
      <c r="HM12" s="714" t="str">
        <f t="shared" ca="1" si="49"/>
        <v/>
      </c>
      <c r="HN12" s="715" t="str">
        <f ca="1">IF(COUNTIF(HN$10:HN11,OFFSET(A1_原単位2027,5,HL12+2))&gt;=1,"",OFFSET(A1_原単位2027,5,HL12+2)&amp;"")</f>
        <v/>
      </c>
      <c r="HO12" s="716" t="str">
        <f t="shared" ca="1" si="50"/>
        <v/>
      </c>
      <c r="HP12" s="717" t="str">
        <f t="shared" ca="1" si="51"/>
        <v/>
      </c>
      <c r="HQ12" s="714" t="str">
        <f t="shared" ca="1" si="52"/>
        <v/>
      </c>
      <c r="HR12" s="715" t="str">
        <f ca="1">IF(COUNTIF(HR$10:HR11,OFFSET(A1_原単位2027,17,HL12+2))&gt;=1,"",OFFSET(A1_原単位2027,17,HL12+2)&amp;"")</f>
        <v/>
      </c>
      <c r="HS12" s="718" t="str">
        <f t="shared" ca="1" si="53"/>
        <v/>
      </c>
      <c r="HT12" s="719" t="str">
        <f t="shared" ca="1" si="54"/>
        <v/>
      </c>
      <c r="HU12" s="714" t="str">
        <f t="shared" ca="1" si="55"/>
        <v/>
      </c>
      <c r="HV12" s="715" t="str">
        <f ca="1">IF(COUNTIF(HV$10:HV11,OFFSET(A1_原単位2027,29,HL12+2))&gt;=1,"",OFFSET(A1_原単位2027,29,HL12+2)&amp;"")</f>
        <v/>
      </c>
      <c r="HW12" s="718" t="str">
        <f t="shared" ca="1" si="56"/>
        <v/>
      </c>
      <c r="HX12" s="719" t="str">
        <f t="shared" ca="1" si="57"/>
        <v/>
      </c>
      <c r="HY12" s="714" t="str">
        <f t="shared" ca="1" si="58"/>
        <v/>
      </c>
      <c r="HZ12" s="715" t="str">
        <f ca="1">IF(COUNTIF(HZ$10:HZ11,OFFSET(A1_原単位2027,41,HL12+2))&gt;=1,"",OFFSET(A1_原単位2027,41,HL12+2)&amp;"")</f>
        <v/>
      </c>
      <c r="IA12" s="720" t="str">
        <f t="shared" ca="1" si="59"/>
        <v/>
      </c>
      <c r="IB12" s="721" t="str">
        <f t="shared" ca="1" si="60"/>
        <v/>
      </c>
      <c r="IE12" s="159" t="str">
        <f t="shared" ca="1" si="61"/>
        <v/>
      </c>
      <c r="IF12" s="159" t="str">
        <f t="shared" ca="1" si="62"/>
        <v/>
      </c>
      <c r="IG12" s="159" t="str">
        <f t="shared" ca="1" si="63"/>
        <v/>
      </c>
      <c r="IH12" s="159" t="str">
        <f t="shared" ca="1" si="64"/>
        <v/>
      </c>
    </row>
    <row r="13" spans="1:242" s="164" customFormat="1" ht="20.100000000000001" customHeight="1">
      <c r="B13" s="250" t="s">
        <v>1358</v>
      </c>
      <c r="C13" s="251"/>
      <c r="D13" s="251"/>
      <c r="E13" s="251"/>
      <c r="F13" s="252" t="s">
        <v>442</v>
      </c>
      <c r="G13" s="250" t="s">
        <v>1359</v>
      </c>
      <c r="H13" s="253"/>
      <c r="I13" s="250" t="s">
        <v>1355</v>
      </c>
      <c r="J13" s="253"/>
      <c r="K13" s="254" t="s">
        <v>513</v>
      </c>
      <c r="L13" s="255"/>
      <c r="M13" s="255" t="s">
        <v>1360</v>
      </c>
      <c r="N13" s="256"/>
      <c r="O13" s="257" t="s">
        <v>1361</v>
      </c>
      <c r="P13" s="258"/>
      <c r="Q13" s="258" t="s">
        <v>1360</v>
      </c>
      <c r="R13" s="256"/>
      <c r="S13" s="257" t="s">
        <v>514</v>
      </c>
      <c r="T13" s="258"/>
      <c r="U13" s="259" t="s">
        <v>1360</v>
      </c>
      <c r="V13" s="260"/>
      <c r="W13" s="257" t="s">
        <v>515</v>
      </c>
      <c r="X13" s="258"/>
      <c r="Y13" s="259" t="s">
        <v>1360</v>
      </c>
      <c r="Z13" s="260"/>
      <c r="AA13" s="257" t="s">
        <v>516</v>
      </c>
      <c r="AB13" s="258"/>
      <c r="AC13" s="259" t="s">
        <v>1360</v>
      </c>
      <c r="AD13" s="260"/>
      <c r="AE13" s="257" t="s">
        <v>517</v>
      </c>
      <c r="AF13" s="258"/>
      <c r="AG13" s="259" t="s">
        <v>1360</v>
      </c>
      <c r="AH13" s="260"/>
      <c r="AI13" s="257" t="s">
        <v>518</v>
      </c>
      <c r="AJ13" s="258"/>
      <c r="AK13" s="259"/>
      <c r="AL13" s="260"/>
      <c r="AM13" s="257" t="s">
        <v>519</v>
      </c>
      <c r="AN13" s="258"/>
      <c r="AO13" s="259"/>
      <c r="AP13" s="260"/>
      <c r="AQ13" s="257" t="s">
        <v>520</v>
      </c>
      <c r="AR13" s="258"/>
      <c r="AS13" s="259"/>
      <c r="AT13" s="260"/>
      <c r="AU13" s="257" t="s">
        <v>521</v>
      </c>
      <c r="AV13" s="258"/>
      <c r="AW13" s="259"/>
      <c r="AX13" s="260"/>
      <c r="AY13" s="257" t="s">
        <v>522</v>
      </c>
      <c r="AZ13" s="258"/>
      <c r="BA13" s="259"/>
      <c r="BB13" s="260"/>
      <c r="BC13" s="257" t="s">
        <v>523</v>
      </c>
      <c r="BD13" s="258"/>
      <c r="BE13" s="259"/>
      <c r="BF13" s="260"/>
      <c r="BG13" s="257" t="s">
        <v>524</v>
      </c>
      <c r="BH13" s="258"/>
      <c r="BI13" s="259"/>
      <c r="BJ13" s="260"/>
      <c r="BK13" s="257" t="s">
        <v>525</v>
      </c>
      <c r="BL13" s="258"/>
      <c r="BM13" s="259"/>
      <c r="BN13" s="260"/>
      <c r="BO13" s="257" t="s">
        <v>526</v>
      </c>
      <c r="BP13" s="258"/>
      <c r="BQ13" s="259"/>
      <c r="BR13" s="260"/>
      <c r="BS13" s="257" t="s">
        <v>527</v>
      </c>
      <c r="BT13" s="258"/>
      <c r="BU13" s="259"/>
      <c r="BV13" s="260"/>
      <c r="BW13" s="257"/>
      <c r="BX13" s="258"/>
      <c r="BY13" s="259" t="s">
        <v>443</v>
      </c>
      <c r="BZ13" s="260"/>
      <c r="CA13" s="257" t="s">
        <v>528</v>
      </c>
      <c r="CB13" s="258"/>
      <c r="CC13" s="259" t="s">
        <v>443</v>
      </c>
      <c r="CD13" s="260"/>
      <c r="CE13" s="257" t="s">
        <v>529</v>
      </c>
      <c r="CF13" s="258"/>
      <c r="CG13" s="259" t="s">
        <v>443</v>
      </c>
      <c r="CH13" s="260"/>
      <c r="CI13" s="257" t="s">
        <v>530</v>
      </c>
      <c r="CJ13" s="258"/>
      <c r="CK13" s="259" t="s">
        <v>443</v>
      </c>
      <c r="CL13" s="260"/>
      <c r="CM13" s="257" t="s">
        <v>531</v>
      </c>
      <c r="CN13" s="258"/>
      <c r="CO13" s="259" t="s">
        <v>443</v>
      </c>
      <c r="CP13" s="260"/>
      <c r="CQ13" s="257" t="s">
        <v>532</v>
      </c>
      <c r="CR13" s="258"/>
      <c r="CS13" s="259" t="s">
        <v>443</v>
      </c>
      <c r="CT13" s="260"/>
      <c r="CU13" s="257" t="s">
        <v>533</v>
      </c>
      <c r="CV13" s="258"/>
      <c r="CW13" s="259" t="s">
        <v>443</v>
      </c>
      <c r="CX13" s="260"/>
      <c r="CY13" s="257" t="s">
        <v>534</v>
      </c>
      <c r="CZ13" s="258"/>
      <c r="DA13" s="259" t="s">
        <v>443</v>
      </c>
      <c r="DB13" s="260"/>
      <c r="DC13" s="257" t="s">
        <v>535</v>
      </c>
      <c r="DD13" s="258"/>
      <c r="DE13" s="259" t="s">
        <v>443</v>
      </c>
      <c r="DF13" s="260"/>
      <c r="DG13" s="257" t="s">
        <v>536</v>
      </c>
      <c r="DH13" s="258"/>
      <c r="DI13" s="259" t="s">
        <v>443</v>
      </c>
      <c r="DJ13" s="260"/>
      <c r="DK13" s="257" t="s">
        <v>537</v>
      </c>
      <c r="DL13" s="258"/>
      <c r="DM13" s="259" t="s">
        <v>443</v>
      </c>
      <c r="DN13" s="260"/>
      <c r="DO13" s="257" t="s">
        <v>538</v>
      </c>
      <c r="DP13" s="258"/>
      <c r="DQ13" s="259" t="s">
        <v>443</v>
      </c>
      <c r="DR13" s="260"/>
      <c r="DS13" s="257" t="s">
        <v>539</v>
      </c>
      <c r="DT13" s="258"/>
      <c r="DU13" s="259" t="s">
        <v>443</v>
      </c>
      <c r="DV13" s="260"/>
      <c r="DW13" s="257" t="s">
        <v>540</v>
      </c>
      <c r="DX13" s="258"/>
      <c r="DY13" s="259" t="s">
        <v>443</v>
      </c>
      <c r="DZ13" s="260"/>
      <c r="EA13" s="257" t="s">
        <v>541</v>
      </c>
      <c r="EB13" s="258"/>
      <c r="EC13" s="259" t="s">
        <v>443</v>
      </c>
      <c r="ED13" s="260"/>
      <c r="EE13" s="257" t="s">
        <v>542</v>
      </c>
      <c r="EF13" s="258"/>
      <c r="EG13" s="259" t="s">
        <v>443</v>
      </c>
      <c r="EH13" s="260"/>
      <c r="EI13" s="257" t="s">
        <v>543</v>
      </c>
      <c r="EJ13" s="258"/>
      <c r="EK13" s="259" t="s">
        <v>443</v>
      </c>
      <c r="EL13" s="260"/>
      <c r="EM13" s="257" t="s">
        <v>544</v>
      </c>
      <c r="EN13" s="258"/>
      <c r="EO13" s="259" t="s">
        <v>443</v>
      </c>
      <c r="EP13" s="260"/>
      <c r="EQ13" s="257" t="s">
        <v>545</v>
      </c>
      <c r="ER13" s="258"/>
      <c r="ES13" s="259" t="s">
        <v>443</v>
      </c>
      <c r="ET13" s="260"/>
      <c r="EU13" s="257" t="s">
        <v>546</v>
      </c>
      <c r="EV13" s="258"/>
      <c r="EW13" s="259" t="s">
        <v>443</v>
      </c>
      <c r="EX13" s="260"/>
      <c r="EY13" s="257" t="s">
        <v>547</v>
      </c>
      <c r="EZ13" s="258"/>
      <c r="FA13" s="259" t="s">
        <v>443</v>
      </c>
      <c r="FB13" s="260"/>
      <c r="FC13" s="257" t="s">
        <v>548</v>
      </c>
      <c r="FD13" s="258"/>
      <c r="FE13" s="259" t="s">
        <v>443</v>
      </c>
      <c r="FF13" s="260"/>
      <c r="FG13" s="257" t="s">
        <v>549</v>
      </c>
      <c r="FH13" s="258"/>
      <c r="FI13" s="259" t="s">
        <v>443</v>
      </c>
      <c r="FJ13" s="260"/>
      <c r="FK13" s="257" t="s">
        <v>550</v>
      </c>
      <c r="FL13" s="258"/>
      <c r="FM13" s="259" t="s">
        <v>443</v>
      </c>
      <c r="FN13" s="260"/>
      <c r="FO13" s="257" t="s">
        <v>551</v>
      </c>
      <c r="FP13" s="258"/>
      <c r="FQ13" s="259" t="s">
        <v>443</v>
      </c>
      <c r="FR13" s="260"/>
      <c r="FS13" s="257" t="s">
        <v>552</v>
      </c>
      <c r="FT13" s="258"/>
      <c r="FU13" s="259" t="s">
        <v>443</v>
      </c>
      <c r="FV13" s="260"/>
      <c r="FW13" s="257" t="s">
        <v>553</v>
      </c>
      <c r="FX13" s="258"/>
      <c r="FY13" s="259" t="s">
        <v>443</v>
      </c>
      <c r="FZ13" s="260"/>
      <c r="GA13" s="257" t="s">
        <v>554</v>
      </c>
      <c r="GB13" s="258"/>
      <c r="GC13" s="259" t="s">
        <v>443</v>
      </c>
      <c r="GD13" s="260"/>
      <c r="GE13" s="257" t="s">
        <v>555</v>
      </c>
      <c r="GF13" s="258"/>
      <c r="GG13" s="259" t="s">
        <v>443</v>
      </c>
      <c r="GH13" s="260"/>
      <c r="GI13" s="257" t="s">
        <v>556</v>
      </c>
      <c r="GJ13" s="258"/>
      <c r="GK13" s="259" t="s">
        <v>443</v>
      </c>
      <c r="GL13" s="260"/>
      <c r="GM13" s="257" t="s">
        <v>557</v>
      </c>
      <c r="GN13" s="258"/>
      <c r="GO13" s="259" t="s">
        <v>443</v>
      </c>
      <c r="GP13" s="260"/>
      <c r="GQ13" s="257" t="s">
        <v>558</v>
      </c>
      <c r="GR13" s="258"/>
      <c r="GS13" s="259" t="s">
        <v>443</v>
      </c>
      <c r="GT13" s="260"/>
      <c r="GU13" s="257" t="s">
        <v>559</v>
      </c>
      <c r="GV13" s="258"/>
      <c r="GW13" s="259" t="s">
        <v>443</v>
      </c>
      <c r="GX13" s="260"/>
      <c r="GY13" s="257" t="s">
        <v>560</v>
      </c>
      <c r="GZ13" s="258"/>
      <c r="HA13" s="259" t="s">
        <v>443</v>
      </c>
      <c r="HB13" s="260"/>
      <c r="HC13" s="1036" t="s">
        <v>504</v>
      </c>
      <c r="HD13" s="1037"/>
      <c r="HE13" s="1037"/>
      <c r="HF13" s="1038"/>
      <c r="HG13" s="1036" t="s">
        <v>498</v>
      </c>
      <c r="HH13" s="1037"/>
      <c r="HI13" s="1037"/>
      <c r="HJ13" s="1038"/>
      <c r="HL13" s="230">
        <v>4</v>
      </c>
      <c r="HM13" s="714" t="str">
        <f t="shared" ca="1" si="49"/>
        <v/>
      </c>
      <c r="HN13" s="715" t="str">
        <f ca="1">IF(COUNTIF(HN$10:HN12,OFFSET(A1_原単位2027,5,HL13+2))&gt;=1,"",OFFSET(A1_原単位2027,5,HL13+2)&amp;"")</f>
        <v/>
      </c>
      <c r="HO13" s="716" t="str">
        <f t="shared" ca="1" si="50"/>
        <v/>
      </c>
      <c r="HP13" s="717" t="str">
        <f t="shared" ca="1" si="51"/>
        <v/>
      </c>
      <c r="HQ13" s="714" t="str">
        <f t="shared" ca="1" si="52"/>
        <v/>
      </c>
      <c r="HR13" s="715" t="str">
        <f ca="1">IF(COUNTIF(HR$10:HR12,OFFSET(A1_原単位2027,17,HL13+2))&gt;=1,"",OFFSET(A1_原単位2027,17,HL13+2)&amp;"")</f>
        <v/>
      </c>
      <c r="HS13" s="718" t="str">
        <f t="shared" ca="1" si="53"/>
        <v/>
      </c>
      <c r="HT13" s="719" t="str">
        <f t="shared" ca="1" si="54"/>
        <v/>
      </c>
      <c r="HU13" s="714" t="str">
        <f t="shared" ca="1" si="55"/>
        <v/>
      </c>
      <c r="HV13" s="715" t="str">
        <f ca="1">IF(COUNTIF(HV$10:HV12,OFFSET(A1_原単位2027,29,HL13+2))&gt;=1,"",OFFSET(A1_原単位2027,29,HL13+2)&amp;"")</f>
        <v/>
      </c>
      <c r="HW13" s="718" t="str">
        <f t="shared" ca="1" si="56"/>
        <v/>
      </c>
      <c r="HX13" s="719" t="str">
        <f t="shared" ca="1" si="57"/>
        <v/>
      </c>
      <c r="HY13" s="714" t="str">
        <f t="shared" ca="1" si="58"/>
        <v/>
      </c>
      <c r="HZ13" s="715" t="str">
        <f ca="1">IF(COUNTIF(HZ$10:HZ12,OFFSET(A1_原単位2027,41,HL13+2))&gt;=1,"",OFFSET(A1_原単位2027,41,HL13+2)&amp;"")</f>
        <v/>
      </c>
      <c r="IA13" s="720" t="str">
        <f t="shared" ca="1" si="59"/>
        <v/>
      </c>
      <c r="IB13" s="721" t="str">
        <f t="shared" ca="1" si="60"/>
        <v/>
      </c>
      <c r="IE13" s="159" t="str">
        <f t="shared" ca="1" si="61"/>
        <v/>
      </c>
      <c r="IF13" s="159" t="str">
        <f t="shared" ca="1" si="62"/>
        <v/>
      </c>
      <c r="IG13" s="159" t="str">
        <f t="shared" ca="1" si="63"/>
        <v/>
      </c>
      <c r="IH13" s="159" t="str">
        <f t="shared" ca="1" si="64"/>
        <v/>
      </c>
    </row>
    <row r="14" spans="1:242" s="164" customFormat="1" ht="20.100000000000001" customHeight="1">
      <c r="B14" s="250" t="s">
        <v>1362</v>
      </c>
      <c r="C14" s="251"/>
      <c r="D14" s="251"/>
      <c r="E14" s="261"/>
      <c r="F14" s="262" t="s">
        <v>444</v>
      </c>
      <c r="G14" s="254" t="s">
        <v>1363</v>
      </c>
      <c r="H14" s="263"/>
      <c r="I14" s="264" t="s">
        <v>1364</v>
      </c>
      <c r="J14" s="265"/>
      <c r="K14" s="266" t="s">
        <v>1365</v>
      </c>
      <c r="L14" s="267"/>
      <c r="M14" s="267"/>
      <c r="N14" s="268"/>
      <c r="O14" s="266" t="s">
        <v>1365</v>
      </c>
      <c r="P14" s="267"/>
      <c r="Q14" s="267"/>
      <c r="R14" s="268"/>
      <c r="S14" s="266" t="s">
        <v>1365</v>
      </c>
      <c r="T14" s="267"/>
      <c r="U14" s="267"/>
      <c r="V14" s="268"/>
      <c r="W14" s="266" t="s">
        <v>1365</v>
      </c>
      <c r="X14" s="267"/>
      <c r="Y14" s="267"/>
      <c r="Z14" s="268"/>
      <c r="AA14" s="266" t="s">
        <v>1365</v>
      </c>
      <c r="AB14" s="267"/>
      <c r="AC14" s="267" t="s">
        <v>1367</v>
      </c>
      <c r="AD14" s="268"/>
      <c r="AE14" s="266" t="s">
        <v>1365</v>
      </c>
      <c r="AF14" s="267"/>
      <c r="AG14" s="267"/>
      <c r="AH14" s="268"/>
      <c r="AI14" s="266" t="s">
        <v>1365</v>
      </c>
      <c r="AJ14" s="267"/>
      <c r="AK14" s="267"/>
      <c r="AL14" s="268"/>
      <c r="AM14" s="266" t="s">
        <v>1365</v>
      </c>
      <c r="AN14" s="267"/>
      <c r="AO14" s="267"/>
      <c r="AP14" s="268"/>
      <c r="AQ14" s="266" t="s">
        <v>1365</v>
      </c>
      <c r="AR14" s="267"/>
      <c r="AS14" s="267"/>
      <c r="AT14" s="268"/>
      <c r="AU14" s="266" t="s">
        <v>1365</v>
      </c>
      <c r="AV14" s="267"/>
      <c r="AW14" s="267"/>
      <c r="AX14" s="268"/>
      <c r="AY14" s="266" t="s">
        <v>1365</v>
      </c>
      <c r="AZ14" s="267"/>
      <c r="BA14" s="267"/>
      <c r="BB14" s="268"/>
      <c r="BC14" s="266" t="s">
        <v>1365</v>
      </c>
      <c r="BD14" s="267"/>
      <c r="BE14" s="267"/>
      <c r="BF14" s="268"/>
      <c r="BG14" s="266" t="s">
        <v>1365</v>
      </c>
      <c r="BH14" s="267"/>
      <c r="BI14" s="267"/>
      <c r="BJ14" s="268"/>
      <c r="BK14" s="266" t="s">
        <v>1365</v>
      </c>
      <c r="BL14" s="267"/>
      <c r="BM14" s="267"/>
      <c r="BN14" s="268"/>
      <c r="BO14" s="266" t="s">
        <v>1365</v>
      </c>
      <c r="BP14" s="267"/>
      <c r="BQ14" s="267"/>
      <c r="BR14" s="268"/>
      <c r="BS14" s="266" t="s">
        <v>1365</v>
      </c>
      <c r="BT14" s="267"/>
      <c r="BU14" s="267"/>
      <c r="BV14" s="268"/>
      <c r="BW14" s="266" t="s">
        <v>444</v>
      </c>
      <c r="BX14" s="267"/>
      <c r="BY14" s="267"/>
      <c r="BZ14" s="268"/>
      <c r="CA14" s="266" t="s">
        <v>444</v>
      </c>
      <c r="CB14" s="267"/>
      <c r="CC14" s="267"/>
      <c r="CD14" s="268"/>
      <c r="CE14" s="266" t="s">
        <v>444</v>
      </c>
      <c r="CF14" s="267"/>
      <c r="CG14" s="267"/>
      <c r="CH14" s="268"/>
      <c r="CI14" s="266" t="s">
        <v>444</v>
      </c>
      <c r="CJ14" s="267"/>
      <c r="CK14" s="267"/>
      <c r="CL14" s="268"/>
      <c r="CM14" s="266" t="s">
        <v>444</v>
      </c>
      <c r="CN14" s="267"/>
      <c r="CO14" s="267"/>
      <c r="CP14" s="268"/>
      <c r="CQ14" s="266" t="s">
        <v>444</v>
      </c>
      <c r="CR14" s="267"/>
      <c r="CS14" s="267"/>
      <c r="CT14" s="268"/>
      <c r="CU14" s="266" t="s">
        <v>444</v>
      </c>
      <c r="CV14" s="267"/>
      <c r="CW14" s="267"/>
      <c r="CX14" s="268"/>
      <c r="CY14" s="266" t="s">
        <v>444</v>
      </c>
      <c r="CZ14" s="267"/>
      <c r="DA14" s="267"/>
      <c r="DB14" s="268"/>
      <c r="DC14" s="266" t="s">
        <v>444</v>
      </c>
      <c r="DD14" s="267"/>
      <c r="DE14" s="267"/>
      <c r="DF14" s="268"/>
      <c r="DG14" s="266" t="s">
        <v>444</v>
      </c>
      <c r="DH14" s="267"/>
      <c r="DI14" s="267"/>
      <c r="DJ14" s="268"/>
      <c r="DK14" s="266" t="s">
        <v>444</v>
      </c>
      <c r="DL14" s="267"/>
      <c r="DM14" s="267"/>
      <c r="DN14" s="268"/>
      <c r="DO14" s="266" t="s">
        <v>444</v>
      </c>
      <c r="DP14" s="267"/>
      <c r="DQ14" s="267"/>
      <c r="DR14" s="268"/>
      <c r="DS14" s="266" t="s">
        <v>444</v>
      </c>
      <c r="DT14" s="267"/>
      <c r="DU14" s="267"/>
      <c r="DV14" s="268"/>
      <c r="DW14" s="266" t="s">
        <v>444</v>
      </c>
      <c r="DX14" s="267"/>
      <c r="DY14" s="267"/>
      <c r="DZ14" s="268"/>
      <c r="EA14" s="266" t="s">
        <v>444</v>
      </c>
      <c r="EB14" s="267"/>
      <c r="EC14" s="267"/>
      <c r="ED14" s="268"/>
      <c r="EE14" s="266" t="s">
        <v>444</v>
      </c>
      <c r="EF14" s="267"/>
      <c r="EG14" s="267"/>
      <c r="EH14" s="268"/>
      <c r="EI14" s="266" t="s">
        <v>444</v>
      </c>
      <c r="EJ14" s="267"/>
      <c r="EK14" s="267"/>
      <c r="EL14" s="268"/>
      <c r="EM14" s="266" t="s">
        <v>444</v>
      </c>
      <c r="EN14" s="267"/>
      <c r="EO14" s="267"/>
      <c r="EP14" s="268"/>
      <c r="EQ14" s="266" t="s">
        <v>444</v>
      </c>
      <c r="ER14" s="267"/>
      <c r="ES14" s="267"/>
      <c r="ET14" s="268"/>
      <c r="EU14" s="266" t="s">
        <v>444</v>
      </c>
      <c r="EV14" s="267"/>
      <c r="EW14" s="267"/>
      <c r="EX14" s="268"/>
      <c r="EY14" s="266" t="s">
        <v>444</v>
      </c>
      <c r="EZ14" s="267"/>
      <c r="FA14" s="267"/>
      <c r="FB14" s="268"/>
      <c r="FC14" s="266" t="s">
        <v>444</v>
      </c>
      <c r="FD14" s="267"/>
      <c r="FE14" s="267"/>
      <c r="FF14" s="268"/>
      <c r="FG14" s="266" t="s">
        <v>444</v>
      </c>
      <c r="FH14" s="267"/>
      <c r="FI14" s="267"/>
      <c r="FJ14" s="268"/>
      <c r="FK14" s="266" t="s">
        <v>444</v>
      </c>
      <c r="FL14" s="267"/>
      <c r="FM14" s="267"/>
      <c r="FN14" s="268"/>
      <c r="FO14" s="266" t="s">
        <v>444</v>
      </c>
      <c r="FP14" s="267"/>
      <c r="FQ14" s="267"/>
      <c r="FR14" s="268"/>
      <c r="FS14" s="266" t="s">
        <v>444</v>
      </c>
      <c r="FT14" s="267"/>
      <c r="FU14" s="267"/>
      <c r="FV14" s="268"/>
      <c r="FW14" s="266" t="s">
        <v>444</v>
      </c>
      <c r="FX14" s="267"/>
      <c r="FY14" s="267"/>
      <c r="FZ14" s="268"/>
      <c r="GA14" s="266" t="s">
        <v>444</v>
      </c>
      <c r="GB14" s="267"/>
      <c r="GC14" s="267"/>
      <c r="GD14" s="268"/>
      <c r="GE14" s="266" t="s">
        <v>444</v>
      </c>
      <c r="GF14" s="267"/>
      <c r="GG14" s="267"/>
      <c r="GH14" s="268"/>
      <c r="GI14" s="266" t="s">
        <v>444</v>
      </c>
      <c r="GJ14" s="267"/>
      <c r="GK14" s="267"/>
      <c r="GL14" s="268"/>
      <c r="GM14" s="266" t="s">
        <v>444</v>
      </c>
      <c r="GN14" s="267"/>
      <c r="GO14" s="267"/>
      <c r="GP14" s="268"/>
      <c r="GQ14" s="266" t="s">
        <v>444</v>
      </c>
      <c r="GR14" s="267"/>
      <c r="GS14" s="267"/>
      <c r="GT14" s="268"/>
      <c r="GU14" s="266" t="s">
        <v>444</v>
      </c>
      <c r="GV14" s="267"/>
      <c r="GW14" s="267"/>
      <c r="GX14" s="268"/>
      <c r="GY14" s="266" t="s">
        <v>444</v>
      </c>
      <c r="GZ14" s="267"/>
      <c r="HA14" s="267"/>
      <c r="HB14" s="268"/>
      <c r="HC14" s="1039" t="s">
        <v>561</v>
      </c>
      <c r="HD14" s="1040"/>
      <c r="HE14" s="722">
        <f ca="1">参考2_エネ使用量経年!O95</f>
        <v>0</v>
      </c>
      <c r="HF14" s="269" t="s">
        <v>562</v>
      </c>
      <c r="HG14" s="1039" t="s">
        <v>561</v>
      </c>
      <c r="HH14" s="1040"/>
      <c r="HI14" s="722">
        <f ca="1">参考2_エネ使用量経年!W95</f>
        <v>0</v>
      </c>
      <c r="HJ14" s="269" t="s">
        <v>562</v>
      </c>
      <c r="HL14" s="219">
        <v>5</v>
      </c>
      <c r="HM14" s="714" t="str">
        <f t="shared" ca="1" si="49"/>
        <v/>
      </c>
      <c r="HN14" s="715" t="str">
        <f ca="1">IF(COUNTIF(HN$10:HN13,OFFSET(A1_原単位2027,5,HL14+2))&gt;=1,"",OFFSET(A1_原単位2027,5,HL14+2)&amp;"")</f>
        <v/>
      </c>
      <c r="HO14" s="716" t="str">
        <f t="shared" ca="1" si="50"/>
        <v/>
      </c>
      <c r="HP14" s="717" t="str">
        <f t="shared" ca="1" si="51"/>
        <v/>
      </c>
      <c r="HQ14" s="714" t="str">
        <f t="shared" ca="1" si="52"/>
        <v/>
      </c>
      <c r="HR14" s="715" t="str">
        <f ca="1">IF(COUNTIF(HR$10:HR13,OFFSET(A1_原単位2027,17,HL14+2))&gt;=1,"",OFFSET(A1_原単位2027,17,HL14+2)&amp;"")</f>
        <v/>
      </c>
      <c r="HS14" s="718" t="str">
        <f t="shared" ca="1" si="53"/>
        <v/>
      </c>
      <c r="HT14" s="719" t="str">
        <f t="shared" ca="1" si="54"/>
        <v/>
      </c>
      <c r="HU14" s="714" t="str">
        <f t="shared" ca="1" si="55"/>
        <v/>
      </c>
      <c r="HV14" s="715" t="str">
        <f ca="1">IF(COUNTIF(HV$10:HV13,OFFSET(A1_原単位2027,29,HL14+2))&gt;=1,"",OFFSET(A1_原単位2027,29,HL14+2)&amp;"")</f>
        <v/>
      </c>
      <c r="HW14" s="718" t="str">
        <f t="shared" ca="1" si="56"/>
        <v/>
      </c>
      <c r="HX14" s="719" t="str">
        <f t="shared" ca="1" si="57"/>
        <v/>
      </c>
      <c r="HY14" s="714" t="str">
        <f t="shared" ca="1" si="58"/>
        <v/>
      </c>
      <c r="HZ14" s="715" t="str">
        <f ca="1">IF(COUNTIF(HZ$10:HZ13,OFFSET(A1_原単位2027,41,HL14+2))&gt;=1,"",OFFSET(A1_原単位2027,41,HL14+2)&amp;"")</f>
        <v/>
      </c>
      <c r="IA14" s="720" t="str">
        <f t="shared" ca="1" si="59"/>
        <v/>
      </c>
      <c r="IB14" s="721" t="str">
        <f t="shared" ca="1" si="60"/>
        <v/>
      </c>
      <c r="IE14" s="159" t="str">
        <f t="shared" ca="1" si="61"/>
        <v/>
      </c>
      <c r="IF14" s="159" t="str">
        <f t="shared" ca="1" si="62"/>
        <v/>
      </c>
      <c r="IG14" s="159" t="str">
        <f t="shared" ca="1" si="63"/>
        <v/>
      </c>
      <c r="IH14" s="159" t="str">
        <f t="shared" ca="1" si="64"/>
        <v/>
      </c>
    </row>
    <row r="15" spans="1:242" s="164" customFormat="1" ht="20.100000000000001" customHeight="1" thickBot="1">
      <c r="B15" s="254" t="s">
        <v>445</v>
      </c>
      <c r="C15" s="255"/>
      <c r="D15" s="255"/>
      <c r="E15" s="270"/>
      <c r="F15" s="271" t="s">
        <v>446</v>
      </c>
      <c r="G15" s="272" t="s">
        <v>447</v>
      </c>
      <c r="H15" s="273" t="s">
        <v>448</v>
      </c>
      <c r="I15" s="272" t="s">
        <v>1366</v>
      </c>
      <c r="J15" s="273" t="s">
        <v>1290</v>
      </c>
      <c r="K15" s="274" t="s">
        <v>1367</v>
      </c>
      <c r="L15" s="275"/>
      <c r="M15" s="275"/>
      <c r="N15" s="276"/>
      <c r="O15" s="274" t="s">
        <v>1367</v>
      </c>
      <c r="P15" s="275"/>
      <c r="Q15" s="275"/>
      <c r="R15" s="276"/>
      <c r="S15" s="274" t="s">
        <v>1367</v>
      </c>
      <c r="T15" s="275"/>
      <c r="U15" s="275"/>
      <c r="V15" s="276"/>
      <c r="W15" s="274" t="s">
        <v>1367</v>
      </c>
      <c r="X15" s="275"/>
      <c r="Y15" s="275"/>
      <c r="Z15" s="276"/>
      <c r="AA15" s="274" t="s">
        <v>1367</v>
      </c>
      <c r="AB15" s="275"/>
      <c r="AC15" s="275"/>
      <c r="AD15" s="276"/>
      <c r="AE15" s="274" t="s">
        <v>1367</v>
      </c>
      <c r="AF15" s="275"/>
      <c r="AG15" s="275"/>
      <c r="AH15" s="276"/>
      <c r="AI15" s="274" t="s">
        <v>1367</v>
      </c>
      <c r="AJ15" s="275"/>
      <c r="AK15" s="275"/>
      <c r="AL15" s="276"/>
      <c r="AM15" s="274" t="s">
        <v>1367</v>
      </c>
      <c r="AN15" s="275"/>
      <c r="AO15" s="275"/>
      <c r="AP15" s="276"/>
      <c r="AQ15" s="274" t="s">
        <v>1367</v>
      </c>
      <c r="AR15" s="275"/>
      <c r="AS15" s="275"/>
      <c r="AT15" s="276"/>
      <c r="AU15" s="274" t="s">
        <v>1367</v>
      </c>
      <c r="AV15" s="275"/>
      <c r="AW15" s="275"/>
      <c r="AX15" s="276"/>
      <c r="AY15" s="274" t="s">
        <v>1367</v>
      </c>
      <c r="AZ15" s="275"/>
      <c r="BA15" s="275"/>
      <c r="BB15" s="276"/>
      <c r="BC15" s="274" t="s">
        <v>1367</v>
      </c>
      <c r="BD15" s="275"/>
      <c r="BE15" s="275"/>
      <c r="BF15" s="276"/>
      <c r="BG15" s="274" t="s">
        <v>1367</v>
      </c>
      <c r="BH15" s="275"/>
      <c r="BI15" s="275"/>
      <c r="BJ15" s="276"/>
      <c r="BK15" s="274" t="s">
        <v>1367</v>
      </c>
      <c r="BL15" s="275"/>
      <c r="BM15" s="275"/>
      <c r="BN15" s="276"/>
      <c r="BO15" s="274" t="s">
        <v>1367</v>
      </c>
      <c r="BP15" s="275"/>
      <c r="BQ15" s="275"/>
      <c r="BR15" s="276"/>
      <c r="BS15" s="274" t="s">
        <v>1367</v>
      </c>
      <c r="BT15" s="275"/>
      <c r="BU15" s="275"/>
      <c r="BV15" s="276"/>
      <c r="BW15" s="274" t="s">
        <v>446</v>
      </c>
      <c r="BX15" s="275"/>
      <c r="BY15" s="275"/>
      <c r="BZ15" s="276"/>
      <c r="CA15" s="274" t="s">
        <v>446</v>
      </c>
      <c r="CB15" s="275"/>
      <c r="CC15" s="275"/>
      <c r="CD15" s="276"/>
      <c r="CE15" s="274" t="s">
        <v>446</v>
      </c>
      <c r="CF15" s="275"/>
      <c r="CG15" s="275"/>
      <c r="CH15" s="276"/>
      <c r="CI15" s="274" t="s">
        <v>446</v>
      </c>
      <c r="CJ15" s="275"/>
      <c r="CK15" s="275"/>
      <c r="CL15" s="276"/>
      <c r="CM15" s="274" t="s">
        <v>446</v>
      </c>
      <c r="CN15" s="275"/>
      <c r="CO15" s="275"/>
      <c r="CP15" s="276"/>
      <c r="CQ15" s="274" t="s">
        <v>446</v>
      </c>
      <c r="CR15" s="275"/>
      <c r="CS15" s="275"/>
      <c r="CT15" s="276"/>
      <c r="CU15" s="274" t="s">
        <v>446</v>
      </c>
      <c r="CV15" s="275"/>
      <c r="CW15" s="275"/>
      <c r="CX15" s="276"/>
      <c r="CY15" s="274" t="s">
        <v>446</v>
      </c>
      <c r="CZ15" s="275"/>
      <c r="DA15" s="275"/>
      <c r="DB15" s="276"/>
      <c r="DC15" s="274" t="s">
        <v>446</v>
      </c>
      <c r="DD15" s="275"/>
      <c r="DE15" s="275"/>
      <c r="DF15" s="276"/>
      <c r="DG15" s="274" t="s">
        <v>446</v>
      </c>
      <c r="DH15" s="275"/>
      <c r="DI15" s="275"/>
      <c r="DJ15" s="276"/>
      <c r="DK15" s="274" t="s">
        <v>446</v>
      </c>
      <c r="DL15" s="275"/>
      <c r="DM15" s="275"/>
      <c r="DN15" s="276"/>
      <c r="DO15" s="274" t="s">
        <v>446</v>
      </c>
      <c r="DP15" s="275"/>
      <c r="DQ15" s="275"/>
      <c r="DR15" s="276"/>
      <c r="DS15" s="274" t="s">
        <v>446</v>
      </c>
      <c r="DT15" s="275"/>
      <c r="DU15" s="275"/>
      <c r="DV15" s="276"/>
      <c r="DW15" s="274" t="s">
        <v>446</v>
      </c>
      <c r="DX15" s="275"/>
      <c r="DY15" s="275"/>
      <c r="DZ15" s="276"/>
      <c r="EA15" s="274" t="s">
        <v>446</v>
      </c>
      <c r="EB15" s="275"/>
      <c r="EC15" s="275"/>
      <c r="ED15" s="276"/>
      <c r="EE15" s="274" t="s">
        <v>446</v>
      </c>
      <c r="EF15" s="275"/>
      <c r="EG15" s="275"/>
      <c r="EH15" s="276"/>
      <c r="EI15" s="274" t="s">
        <v>446</v>
      </c>
      <c r="EJ15" s="275"/>
      <c r="EK15" s="275"/>
      <c r="EL15" s="276"/>
      <c r="EM15" s="274" t="s">
        <v>446</v>
      </c>
      <c r="EN15" s="275"/>
      <c r="EO15" s="275"/>
      <c r="EP15" s="276"/>
      <c r="EQ15" s="274" t="s">
        <v>446</v>
      </c>
      <c r="ER15" s="275"/>
      <c r="ES15" s="275"/>
      <c r="ET15" s="276"/>
      <c r="EU15" s="274" t="s">
        <v>446</v>
      </c>
      <c r="EV15" s="275"/>
      <c r="EW15" s="275"/>
      <c r="EX15" s="276"/>
      <c r="EY15" s="274" t="s">
        <v>446</v>
      </c>
      <c r="EZ15" s="275"/>
      <c r="FA15" s="275"/>
      <c r="FB15" s="276"/>
      <c r="FC15" s="274" t="s">
        <v>446</v>
      </c>
      <c r="FD15" s="275"/>
      <c r="FE15" s="275"/>
      <c r="FF15" s="276"/>
      <c r="FG15" s="274" t="s">
        <v>446</v>
      </c>
      <c r="FH15" s="275"/>
      <c r="FI15" s="275"/>
      <c r="FJ15" s="276"/>
      <c r="FK15" s="274" t="s">
        <v>446</v>
      </c>
      <c r="FL15" s="275"/>
      <c r="FM15" s="275"/>
      <c r="FN15" s="276"/>
      <c r="FO15" s="274" t="s">
        <v>446</v>
      </c>
      <c r="FP15" s="275"/>
      <c r="FQ15" s="275"/>
      <c r="FR15" s="276"/>
      <c r="FS15" s="274" t="s">
        <v>446</v>
      </c>
      <c r="FT15" s="275"/>
      <c r="FU15" s="275"/>
      <c r="FV15" s="276"/>
      <c r="FW15" s="274" t="s">
        <v>446</v>
      </c>
      <c r="FX15" s="275"/>
      <c r="FY15" s="275"/>
      <c r="FZ15" s="276"/>
      <c r="GA15" s="274" t="s">
        <v>446</v>
      </c>
      <c r="GB15" s="275"/>
      <c r="GC15" s="275"/>
      <c r="GD15" s="276"/>
      <c r="GE15" s="274" t="s">
        <v>446</v>
      </c>
      <c r="GF15" s="275"/>
      <c r="GG15" s="275"/>
      <c r="GH15" s="276"/>
      <c r="GI15" s="274" t="s">
        <v>446</v>
      </c>
      <c r="GJ15" s="275"/>
      <c r="GK15" s="275"/>
      <c r="GL15" s="276"/>
      <c r="GM15" s="274" t="s">
        <v>446</v>
      </c>
      <c r="GN15" s="275"/>
      <c r="GO15" s="275"/>
      <c r="GP15" s="276"/>
      <c r="GQ15" s="274" t="s">
        <v>446</v>
      </c>
      <c r="GR15" s="275"/>
      <c r="GS15" s="275"/>
      <c r="GT15" s="276"/>
      <c r="GU15" s="274" t="s">
        <v>446</v>
      </c>
      <c r="GV15" s="275"/>
      <c r="GW15" s="275"/>
      <c r="GX15" s="276"/>
      <c r="GY15" s="274" t="s">
        <v>446</v>
      </c>
      <c r="GZ15" s="275"/>
      <c r="HA15" s="275"/>
      <c r="HB15" s="276"/>
      <c r="HC15" s="1041" t="s">
        <v>563</v>
      </c>
      <c r="HD15" s="1042"/>
      <c r="HE15" s="723">
        <f ca="1">参考3_排出量経年!O116</f>
        <v>0</v>
      </c>
      <c r="HF15" s="277" t="s">
        <v>564</v>
      </c>
      <c r="HG15" s="1041" t="s">
        <v>563</v>
      </c>
      <c r="HH15" s="1042"/>
      <c r="HI15" s="723">
        <f ca="1">参考3_排出量経年!W116</f>
        <v>0</v>
      </c>
      <c r="HJ15" s="277" t="s">
        <v>564</v>
      </c>
      <c r="HL15" s="230">
        <v>6</v>
      </c>
      <c r="HM15" s="714" t="str">
        <f t="shared" ca="1" si="49"/>
        <v/>
      </c>
      <c r="HN15" s="715" t="str">
        <f ca="1">IF(COUNTIF(HN$10:HN14,OFFSET(A1_原単位2027,5,HL15+2))&gt;=1,"",OFFSET(A1_原単位2027,5,HL15+2)&amp;"")</f>
        <v/>
      </c>
      <c r="HO15" s="716" t="str">
        <f t="shared" ca="1" si="50"/>
        <v/>
      </c>
      <c r="HP15" s="717" t="str">
        <f t="shared" ca="1" si="51"/>
        <v/>
      </c>
      <c r="HQ15" s="714" t="str">
        <f t="shared" ca="1" si="52"/>
        <v/>
      </c>
      <c r="HR15" s="715" t="str">
        <f ca="1">IF(COUNTIF(HR$10:HR14,OFFSET(A1_原単位2027,17,HL15+2))&gt;=1,"",OFFSET(A1_原単位2027,17,HL15+2)&amp;"")</f>
        <v/>
      </c>
      <c r="HS15" s="718" t="str">
        <f t="shared" ca="1" si="53"/>
        <v/>
      </c>
      <c r="HT15" s="719" t="str">
        <f t="shared" ca="1" si="54"/>
        <v/>
      </c>
      <c r="HU15" s="714" t="str">
        <f t="shared" ca="1" si="55"/>
        <v/>
      </c>
      <c r="HV15" s="715" t="str">
        <f ca="1">IF(COUNTIF(HV$10:HV14,OFFSET(A1_原単位2027,29,HL15+2))&gt;=1,"",OFFSET(A1_原単位2027,29,HL15+2)&amp;"")</f>
        <v/>
      </c>
      <c r="HW15" s="718" t="str">
        <f t="shared" ca="1" si="56"/>
        <v/>
      </c>
      <c r="HX15" s="719" t="str">
        <f t="shared" ca="1" si="57"/>
        <v/>
      </c>
      <c r="HY15" s="714" t="str">
        <f t="shared" ca="1" si="58"/>
        <v/>
      </c>
      <c r="HZ15" s="715" t="str">
        <f ca="1">IF(COUNTIF(HZ$10:HZ14,OFFSET(A1_原単位2027,41,HL15+2))&gt;=1,"",OFFSET(A1_原単位2027,41,HL15+2)&amp;"")</f>
        <v/>
      </c>
      <c r="IA15" s="720" t="str">
        <f t="shared" ca="1" si="59"/>
        <v/>
      </c>
      <c r="IB15" s="721" t="str">
        <f t="shared" ca="1" si="60"/>
        <v/>
      </c>
      <c r="IE15" s="159" t="str">
        <f t="shared" ca="1" si="61"/>
        <v/>
      </c>
      <c r="IF15" s="159" t="str">
        <f t="shared" ca="1" si="62"/>
        <v/>
      </c>
      <c r="IG15" s="159" t="str">
        <f t="shared" ca="1" si="63"/>
        <v/>
      </c>
      <c r="IH15" s="159" t="str">
        <f t="shared" ca="1" si="64"/>
        <v/>
      </c>
    </row>
    <row r="16" spans="1:242" s="164" customFormat="1" ht="20.100000000000001" customHeight="1" thickBot="1">
      <c r="B16" s="250" t="s">
        <v>565</v>
      </c>
      <c r="C16" s="278"/>
      <c r="D16" s="278"/>
      <c r="E16" s="279"/>
      <c r="F16" s="280" t="s">
        <v>566</v>
      </c>
      <c r="G16" s="281" t="s">
        <v>1368</v>
      </c>
      <c r="H16" s="282" t="s">
        <v>348</v>
      </c>
      <c r="I16" s="283" t="s">
        <v>1369</v>
      </c>
      <c r="J16" s="284" t="s">
        <v>1369</v>
      </c>
      <c r="K16" s="285" t="s">
        <v>567</v>
      </c>
      <c r="L16" s="286" t="s">
        <v>1370</v>
      </c>
      <c r="M16" s="286" t="s">
        <v>1371</v>
      </c>
      <c r="N16" s="282" t="s">
        <v>568</v>
      </c>
      <c r="O16" s="285" t="s">
        <v>567</v>
      </c>
      <c r="P16" s="286" t="s">
        <v>1370</v>
      </c>
      <c r="Q16" s="286" t="s">
        <v>1371</v>
      </c>
      <c r="R16" s="282" t="s">
        <v>568</v>
      </c>
      <c r="S16" s="285" t="s">
        <v>567</v>
      </c>
      <c r="T16" s="286" t="s">
        <v>1370</v>
      </c>
      <c r="U16" s="286" t="s">
        <v>1371</v>
      </c>
      <c r="V16" s="282" t="s">
        <v>568</v>
      </c>
      <c r="W16" s="285" t="s">
        <v>567</v>
      </c>
      <c r="X16" s="286" t="s">
        <v>1370</v>
      </c>
      <c r="Y16" s="286" t="s">
        <v>1371</v>
      </c>
      <c r="Z16" s="282" t="s">
        <v>568</v>
      </c>
      <c r="AA16" s="285" t="s">
        <v>567</v>
      </c>
      <c r="AB16" s="286" t="s">
        <v>1370</v>
      </c>
      <c r="AC16" s="286" t="s">
        <v>1371</v>
      </c>
      <c r="AD16" s="282" t="s">
        <v>568</v>
      </c>
      <c r="AE16" s="285" t="s">
        <v>567</v>
      </c>
      <c r="AF16" s="286" t="s">
        <v>1370</v>
      </c>
      <c r="AG16" s="286" t="s">
        <v>1371</v>
      </c>
      <c r="AH16" s="282" t="s">
        <v>568</v>
      </c>
      <c r="AI16" s="285" t="s">
        <v>567</v>
      </c>
      <c r="AJ16" s="286" t="s">
        <v>1370</v>
      </c>
      <c r="AK16" s="286" t="s">
        <v>1371</v>
      </c>
      <c r="AL16" s="282" t="s">
        <v>568</v>
      </c>
      <c r="AM16" s="285" t="s">
        <v>567</v>
      </c>
      <c r="AN16" s="286" t="s">
        <v>1370</v>
      </c>
      <c r="AO16" s="286" t="s">
        <v>1371</v>
      </c>
      <c r="AP16" s="282" t="s">
        <v>568</v>
      </c>
      <c r="AQ16" s="285" t="s">
        <v>567</v>
      </c>
      <c r="AR16" s="286" t="s">
        <v>1370</v>
      </c>
      <c r="AS16" s="286" t="s">
        <v>1371</v>
      </c>
      <c r="AT16" s="282" t="s">
        <v>568</v>
      </c>
      <c r="AU16" s="285" t="s">
        <v>567</v>
      </c>
      <c r="AV16" s="286" t="s">
        <v>1370</v>
      </c>
      <c r="AW16" s="286" t="s">
        <v>1371</v>
      </c>
      <c r="AX16" s="282" t="s">
        <v>568</v>
      </c>
      <c r="AY16" s="285" t="s">
        <v>567</v>
      </c>
      <c r="AZ16" s="286" t="s">
        <v>1370</v>
      </c>
      <c r="BA16" s="286" t="s">
        <v>1371</v>
      </c>
      <c r="BB16" s="282" t="s">
        <v>568</v>
      </c>
      <c r="BC16" s="285" t="s">
        <v>567</v>
      </c>
      <c r="BD16" s="286" t="s">
        <v>1370</v>
      </c>
      <c r="BE16" s="286" t="s">
        <v>1371</v>
      </c>
      <c r="BF16" s="282" t="s">
        <v>568</v>
      </c>
      <c r="BG16" s="285" t="s">
        <v>567</v>
      </c>
      <c r="BH16" s="286" t="s">
        <v>1370</v>
      </c>
      <c r="BI16" s="286" t="s">
        <v>1371</v>
      </c>
      <c r="BJ16" s="282" t="s">
        <v>568</v>
      </c>
      <c r="BK16" s="285" t="s">
        <v>567</v>
      </c>
      <c r="BL16" s="286" t="s">
        <v>1370</v>
      </c>
      <c r="BM16" s="286" t="s">
        <v>1371</v>
      </c>
      <c r="BN16" s="282" t="s">
        <v>568</v>
      </c>
      <c r="BO16" s="285" t="s">
        <v>567</v>
      </c>
      <c r="BP16" s="286" t="s">
        <v>1370</v>
      </c>
      <c r="BQ16" s="286" t="s">
        <v>1371</v>
      </c>
      <c r="BR16" s="282" t="s">
        <v>568</v>
      </c>
      <c r="BS16" s="285" t="s">
        <v>567</v>
      </c>
      <c r="BT16" s="286" t="s">
        <v>1370</v>
      </c>
      <c r="BU16" s="286" t="s">
        <v>1371</v>
      </c>
      <c r="BV16" s="282" t="s">
        <v>568</v>
      </c>
      <c r="BW16" s="285" t="s">
        <v>449</v>
      </c>
      <c r="BX16" s="286" t="s">
        <v>450</v>
      </c>
      <c r="BY16" s="286" t="s">
        <v>451</v>
      </c>
      <c r="BZ16" s="282" t="s">
        <v>452</v>
      </c>
      <c r="CA16" s="285" t="s">
        <v>449</v>
      </c>
      <c r="CB16" s="286" t="s">
        <v>450</v>
      </c>
      <c r="CC16" s="286" t="s">
        <v>451</v>
      </c>
      <c r="CD16" s="282" t="s">
        <v>452</v>
      </c>
      <c r="CE16" s="285" t="s">
        <v>449</v>
      </c>
      <c r="CF16" s="286" t="s">
        <v>450</v>
      </c>
      <c r="CG16" s="286" t="s">
        <v>451</v>
      </c>
      <c r="CH16" s="282" t="s">
        <v>452</v>
      </c>
      <c r="CI16" s="285" t="s">
        <v>449</v>
      </c>
      <c r="CJ16" s="286" t="s">
        <v>450</v>
      </c>
      <c r="CK16" s="286" t="s">
        <v>451</v>
      </c>
      <c r="CL16" s="282" t="s">
        <v>452</v>
      </c>
      <c r="CM16" s="285" t="s">
        <v>449</v>
      </c>
      <c r="CN16" s="286" t="s">
        <v>450</v>
      </c>
      <c r="CO16" s="286" t="s">
        <v>451</v>
      </c>
      <c r="CP16" s="282" t="s">
        <v>452</v>
      </c>
      <c r="CQ16" s="285" t="s">
        <v>449</v>
      </c>
      <c r="CR16" s="286" t="s">
        <v>450</v>
      </c>
      <c r="CS16" s="286" t="s">
        <v>451</v>
      </c>
      <c r="CT16" s="282" t="s">
        <v>452</v>
      </c>
      <c r="CU16" s="285" t="s">
        <v>449</v>
      </c>
      <c r="CV16" s="286" t="s">
        <v>450</v>
      </c>
      <c r="CW16" s="286" t="s">
        <v>451</v>
      </c>
      <c r="CX16" s="282" t="s">
        <v>452</v>
      </c>
      <c r="CY16" s="285" t="s">
        <v>449</v>
      </c>
      <c r="CZ16" s="286" t="s">
        <v>450</v>
      </c>
      <c r="DA16" s="286" t="s">
        <v>451</v>
      </c>
      <c r="DB16" s="282" t="s">
        <v>452</v>
      </c>
      <c r="DC16" s="285" t="s">
        <v>449</v>
      </c>
      <c r="DD16" s="286" t="s">
        <v>450</v>
      </c>
      <c r="DE16" s="286" t="s">
        <v>451</v>
      </c>
      <c r="DF16" s="282" t="s">
        <v>452</v>
      </c>
      <c r="DG16" s="285" t="s">
        <v>449</v>
      </c>
      <c r="DH16" s="286" t="s">
        <v>450</v>
      </c>
      <c r="DI16" s="286" t="s">
        <v>451</v>
      </c>
      <c r="DJ16" s="282" t="s">
        <v>452</v>
      </c>
      <c r="DK16" s="285" t="s">
        <v>449</v>
      </c>
      <c r="DL16" s="286" t="s">
        <v>450</v>
      </c>
      <c r="DM16" s="286" t="s">
        <v>451</v>
      </c>
      <c r="DN16" s="282" t="s">
        <v>452</v>
      </c>
      <c r="DO16" s="285" t="s">
        <v>449</v>
      </c>
      <c r="DP16" s="286" t="s">
        <v>450</v>
      </c>
      <c r="DQ16" s="286" t="s">
        <v>451</v>
      </c>
      <c r="DR16" s="282" t="s">
        <v>452</v>
      </c>
      <c r="DS16" s="285" t="s">
        <v>449</v>
      </c>
      <c r="DT16" s="286" t="s">
        <v>450</v>
      </c>
      <c r="DU16" s="286" t="s">
        <v>451</v>
      </c>
      <c r="DV16" s="282" t="s">
        <v>452</v>
      </c>
      <c r="DW16" s="285" t="s">
        <v>449</v>
      </c>
      <c r="DX16" s="286" t="s">
        <v>450</v>
      </c>
      <c r="DY16" s="286" t="s">
        <v>451</v>
      </c>
      <c r="DZ16" s="282" t="s">
        <v>452</v>
      </c>
      <c r="EA16" s="285" t="s">
        <v>449</v>
      </c>
      <c r="EB16" s="286" t="s">
        <v>450</v>
      </c>
      <c r="EC16" s="286" t="s">
        <v>451</v>
      </c>
      <c r="ED16" s="282" t="s">
        <v>452</v>
      </c>
      <c r="EE16" s="285" t="s">
        <v>449</v>
      </c>
      <c r="EF16" s="286" t="s">
        <v>450</v>
      </c>
      <c r="EG16" s="286" t="s">
        <v>451</v>
      </c>
      <c r="EH16" s="282" t="s">
        <v>452</v>
      </c>
      <c r="EI16" s="285" t="s">
        <v>449</v>
      </c>
      <c r="EJ16" s="286" t="s">
        <v>450</v>
      </c>
      <c r="EK16" s="286" t="s">
        <v>451</v>
      </c>
      <c r="EL16" s="282" t="s">
        <v>452</v>
      </c>
      <c r="EM16" s="285" t="s">
        <v>449</v>
      </c>
      <c r="EN16" s="286" t="s">
        <v>450</v>
      </c>
      <c r="EO16" s="286" t="s">
        <v>451</v>
      </c>
      <c r="EP16" s="282" t="s">
        <v>452</v>
      </c>
      <c r="EQ16" s="285" t="s">
        <v>449</v>
      </c>
      <c r="ER16" s="286" t="s">
        <v>450</v>
      </c>
      <c r="ES16" s="286" t="s">
        <v>451</v>
      </c>
      <c r="ET16" s="282" t="s">
        <v>452</v>
      </c>
      <c r="EU16" s="285" t="s">
        <v>449</v>
      </c>
      <c r="EV16" s="286" t="s">
        <v>450</v>
      </c>
      <c r="EW16" s="286" t="s">
        <v>451</v>
      </c>
      <c r="EX16" s="282" t="s">
        <v>452</v>
      </c>
      <c r="EY16" s="285" t="s">
        <v>449</v>
      </c>
      <c r="EZ16" s="286" t="s">
        <v>450</v>
      </c>
      <c r="FA16" s="286" t="s">
        <v>451</v>
      </c>
      <c r="FB16" s="282" t="s">
        <v>452</v>
      </c>
      <c r="FC16" s="285" t="s">
        <v>449</v>
      </c>
      <c r="FD16" s="286" t="s">
        <v>450</v>
      </c>
      <c r="FE16" s="286" t="s">
        <v>451</v>
      </c>
      <c r="FF16" s="282" t="s">
        <v>452</v>
      </c>
      <c r="FG16" s="285" t="s">
        <v>449</v>
      </c>
      <c r="FH16" s="286" t="s">
        <v>450</v>
      </c>
      <c r="FI16" s="286" t="s">
        <v>451</v>
      </c>
      <c r="FJ16" s="282" t="s">
        <v>452</v>
      </c>
      <c r="FK16" s="285" t="s">
        <v>449</v>
      </c>
      <c r="FL16" s="286" t="s">
        <v>450</v>
      </c>
      <c r="FM16" s="286" t="s">
        <v>451</v>
      </c>
      <c r="FN16" s="282" t="s">
        <v>452</v>
      </c>
      <c r="FO16" s="285" t="s">
        <v>449</v>
      </c>
      <c r="FP16" s="286" t="s">
        <v>450</v>
      </c>
      <c r="FQ16" s="286" t="s">
        <v>451</v>
      </c>
      <c r="FR16" s="282" t="s">
        <v>452</v>
      </c>
      <c r="FS16" s="285" t="s">
        <v>449</v>
      </c>
      <c r="FT16" s="286" t="s">
        <v>450</v>
      </c>
      <c r="FU16" s="286" t="s">
        <v>451</v>
      </c>
      <c r="FV16" s="282" t="s">
        <v>452</v>
      </c>
      <c r="FW16" s="285" t="s">
        <v>449</v>
      </c>
      <c r="FX16" s="286" t="s">
        <v>450</v>
      </c>
      <c r="FY16" s="286" t="s">
        <v>451</v>
      </c>
      <c r="FZ16" s="282" t="s">
        <v>452</v>
      </c>
      <c r="GA16" s="285" t="s">
        <v>449</v>
      </c>
      <c r="GB16" s="286" t="s">
        <v>450</v>
      </c>
      <c r="GC16" s="286" t="s">
        <v>451</v>
      </c>
      <c r="GD16" s="282" t="s">
        <v>452</v>
      </c>
      <c r="GE16" s="285" t="s">
        <v>449</v>
      </c>
      <c r="GF16" s="286" t="s">
        <v>450</v>
      </c>
      <c r="GG16" s="286" t="s">
        <v>451</v>
      </c>
      <c r="GH16" s="282" t="s">
        <v>452</v>
      </c>
      <c r="GI16" s="285" t="s">
        <v>449</v>
      </c>
      <c r="GJ16" s="286" t="s">
        <v>450</v>
      </c>
      <c r="GK16" s="286" t="s">
        <v>451</v>
      </c>
      <c r="GL16" s="282" t="s">
        <v>452</v>
      </c>
      <c r="GM16" s="285" t="s">
        <v>449</v>
      </c>
      <c r="GN16" s="286" t="s">
        <v>450</v>
      </c>
      <c r="GO16" s="286" t="s">
        <v>451</v>
      </c>
      <c r="GP16" s="282" t="s">
        <v>452</v>
      </c>
      <c r="GQ16" s="285" t="s">
        <v>449</v>
      </c>
      <c r="GR16" s="286" t="s">
        <v>450</v>
      </c>
      <c r="GS16" s="286" t="s">
        <v>451</v>
      </c>
      <c r="GT16" s="282" t="s">
        <v>452</v>
      </c>
      <c r="GU16" s="285" t="s">
        <v>449</v>
      </c>
      <c r="GV16" s="286" t="s">
        <v>450</v>
      </c>
      <c r="GW16" s="286" t="s">
        <v>451</v>
      </c>
      <c r="GX16" s="282" t="s">
        <v>452</v>
      </c>
      <c r="GY16" s="285" t="s">
        <v>449</v>
      </c>
      <c r="GZ16" s="286" t="s">
        <v>450</v>
      </c>
      <c r="HA16" s="286" t="s">
        <v>451</v>
      </c>
      <c r="HB16" s="282" t="s">
        <v>452</v>
      </c>
      <c r="HC16" s="287" t="s">
        <v>569</v>
      </c>
      <c r="HD16" s="288" t="s">
        <v>570</v>
      </c>
      <c r="HE16" s="288" t="s">
        <v>571</v>
      </c>
      <c r="HF16" s="289" t="s">
        <v>572</v>
      </c>
      <c r="HG16" s="287" t="s">
        <v>569</v>
      </c>
      <c r="HH16" s="288" t="s">
        <v>570</v>
      </c>
      <c r="HI16" s="288" t="s">
        <v>571</v>
      </c>
      <c r="HJ16" s="289" t="s">
        <v>572</v>
      </c>
      <c r="HL16" s="219">
        <v>7</v>
      </c>
      <c r="HM16" s="714" t="str">
        <f t="shared" ca="1" si="49"/>
        <v/>
      </c>
      <c r="HN16" s="715" t="str">
        <f ca="1">IF(COUNTIF(HN$10:HN15,OFFSET(A1_原単位2027,5,HL16+2))&gt;=1,"",OFFSET(A1_原単位2027,5,HL16+2)&amp;"")</f>
        <v/>
      </c>
      <c r="HO16" s="716" t="str">
        <f t="shared" ca="1" si="50"/>
        <v/>
      </c>
      <c r="HP16" s="717" t="str">
        <f t="shared" ca="1" si="51"/>
        <v/>
      </c>
      <c r="HQ16" s="714" t="str">
        <f t="shared" ca="1" si="52"/>
        <v/>
      </c>
      <c r="HR16" s="715" t="str">
        <f ca="1">IF(COUNTIF(HR$10:HR15,OFFSET(A1_原単位2027,17,HL16+2))&gt;=1,"",OFFSET(A1_原単位2027,17,HL16+2)&amp;"")</f>
        <v/>
      </c>
      <c r="HS16" s="718" t="str">
        <f t="shared" ca="1" si="53"/>
        <v/>
      </c>
      <c r="HT16" s="719" t="str">
        <f t="shared" ca="1" si="54"/>
        <v/>
      </c>
      <c r="HU16" s="714" t="str">
        <f t="shared" ca="1" si="55"/>
        <v/>
      </c>
      <c r="HV16" s="715" t="str">
        <f ca="1">IF(COUNTIF(HV$10:HV15,OFFSET(A1_原単位2027,29,HL16+2))&gt;=1,"",OFFSET(A1_原単位2027,29,HL16+2)&amp;"")</f>
        <v/>
      </c>
      <c r="HW16" s="718" t="str">
        <f t="shared" ca="1" si="56"/>
        <v/>
      </c>
      <c r="HX16" s="719" t="str">
        <f t="shared" ca="1" si="57"/>
        <v/>
      </c>
      <c r="HY16" s="714" t="str">
        <f t="shared" ca="1" si="58"/>
        <v/>
      </c>
      <c r="HZ16" s="715" t="str">
        <f ca="1">IF(COUNTIF(HZ$10:HZ15,OFFSET(A1_原単位2027,41,HL16+2))&gt;=1,"",OFFSET(A1_原単位2027,41,HL16+2)&amp;"")</f>
        <v/>
      </c>
      <c r="IA16" s="720" t="str">
        <f t="shared" ca="1" si="59"/>
        <v/>
      </c>
      <c r="IB16" s="721" t="str">
        <f t="shared" ca="1" si="60"/>
        <v/>
      </c>
      <c r="IE16" s="159" t="str">
        <f t="shared" ca="1" si="61"/>
        <v/>
      </c>
      <c r="IF16" s="159" t="str">
        <f t="shared" ca="1" si="62"/>
        <v/>
      </c>
      <c r="IG16" s="159" t="str">
        <f t="shared" ca="1" si="63"/>
        <v/>
      </c>
      <c r="IH16" s="159" t="str">
        <f t="shared" ca="1" si="64"/>
        <v/>
      </c>
    </row>
    <row r="17" spans="2:242" s="164" customFormat="1" ht="20.100000000000001" customHeight="1">
      <c r="B17" s="290" t="s">
        <v>573</v>
      </c>
      <c r="C17" s="291" t="s">
        <v>346</v>
      </c>
      <c r="D17" s="258"/>
      <c r="E17" s="292"/>
      <c r="F17" s="291" t="s">
        <v>453</v>
      </c>
      <c r="G17" s="293">
        <v>38.299999999999997</v>
      </c>
      <c r="H17" s="294">
        <v>1.9E-2</v>
      </c>
      <c r="I17" s="295"/>
      <c r="J17" s="296"/>
      <c r="K17" s="297"/>
      <c r="L17" s="298"/>
      <c r="M17" s="298"/>
      <c r="N17" s="296"/>
      <c r="O17" s="297"/>
      <c r="P17" s="298"/>
      <c r="Q17" s="298"/>
      <c r="R17" s="296"/>
      <c r="S17" s="297"/>
      <c r="T17" s="298"/>
      <c r="U17" s="298"/>
      <c r="V17" s="296"/>
      <c r="W17" s="297"/>
      <c r="X17" s="298"/>
      <c r="Y17" s="298"/>
      <c r="Z17" s="296"/>
      <c r="AA17" s="297"/>
      <c r="AB17" s="298"/>
      <c r="AC17" s="298"/>
      <c r="AD17" s="296"/>
      <c r="AE17" s="297"/>
      <c r="AF17" s="298"/>
      <c r="AG17" s="298"/>
      <c r="AH17" s="296"/>
      <c r="AI17" s="297"/>
      <c r="AJ17" s="298"/>
      <c r="AK17" s="298"/>
      <c r="AL17" s="296"/>
      <c r="AM17" s="297"/>
      <c r="AN17" s="298"/>
      <c r="AO17" s="298"/>
      <c r="AP17" s="296"/>
      <c r="AQ17" s="297"/>
      <c r="AR17" s="298"/>
      <c r="AS17" s="298"/>
      <c r="AT17" s="296"/>
      <c r="AU17" s="297"/>
      <c r="AV17" s="298"/>
      <c r="AW17" s="298"/>
      <c r="AX17" s="296"/>
      <c r="AY17" s="297"/>
      <c r="AZ17" s="298"/>
      <c r="BA17" s="298"/>
      <c r="BB17" s="296"/>
      <c r="BC17" s="297"/>
      <c r="BD17" s="298"/>
      <c r="BE17" s="298"/>
      <c r="BF17" s="296"/>
      <c r="BG17" s="297"/>
      <c r="BH17" s="298"/>
      <c r="BI17" s="298"/>
      <c r="BJ17" s="296"/>
      <c r="BK17" s="297"/>
      <c r="BL17" s="298"/>
      <c r="BM17" s="298"/>
      <c r="BN17" s="296"/>
      <c r="BO17" s="297"/>
      <c r="BP17" s="298"/>
      <c r="BQ17" s="298"/>
      <c r="BR17" s="296"/>
      <c r="BS17" s="297"/>
      <c r="BT17" s="298"/>
      <c r="BU17" s="298"/>
      <c r="BV17" s="296"/>
      <c r="BW17" s="297"/>
      <c r="BX17" s="298"/>
      <c r="BY17" s="298"/>
      <c r="BZ17" s="296"/>
      <c r="CA17" s="297"/>
      <c r="CB17" s="298"/>
      <c r="CC17" s="298"/>
      <c r="CD17" s="296"/>
      <c r="CE17" s="297"/>
      <c r="CF17" s="298"/>
      <c r="CG17" s="298"/>
      <c r="CH17" s="296"/>
      <c r="CI17" s="297"/>
      <c r="CJ17" s="298"/>
      <c r="CK17" s="298"/>
      <c r="CL17" s="296"/>
      <c r="CM17" s="297"/>
      <c r="CN17" s="298"/>
      <c r="CO17" s="298"/>
      <c r="CP17" s="296"/>
      <c r="CQ17" s="297"/>
      <c r="CR17" s="298"/>
      <c r="CS17" s="298"/>
      <c r="CT17" s="296"/>
      <c r="CU17" s="297"/>
      <c r="CV17" s="298"/>
      <c r="CW17" s="298"/>
      <c r="CX17" s="296"/>
      <c r="CY17" s="297"/>
      <c r="CZ17" s="298"/>
      <c r="DA17" s="298"/>
      <c r="DB17" s="296"/>
      <c r="DC17" s="297"/>
      <c r="DD17" s="298"/>
      <c r="DE17" s="298"/>
      <c r="DF17" s="296"/>
      <c r="DG17" s="297"/>
      <c r="DH17" s="298"/>
      <c r="DI17" s="298"/>
      <c r="DJ17" s="296"/>
      <c r="DK17" s="297"/>
      <c r="DL17" s="298"/>
      <c r="DM17" s="298"/>
      <c r="DN17" s="296"/>
      <c r="DO17" s="297"/>
      <c r="DP17" s="298"/>
      <c r="DQ17" s="298"/>
      <c r="DR17" s="296"/>
      <c r="DS17" s="297"/>
      <c r="DT17" s="298"/>
      <c r="DU17" s="298"/>
      <c r="DV17" s="296"/>
      <c r="DW17" s="297"/>
      <c r="DX17" s="298"/>
      <c r="DY17" s="298"/>
      <c r="DZ17" s="296"/>
      <c r="EA17" s="297"/>
      <c r="EB17" s="298"/>
      <c r="EC17" s="298"/>
      <c r="ED17" s="296"/>
      <c r="EE17" s="297"/>
      <c r="EF17" s="298"/>
      <c r="EG17" s="298"/>
      <c r="EH17" s="296"/>
      <c r="EI17" s="297"/>
      <c r="EJ17" s="298"/>
      <c r="EK17" s="298"/>
      <c r="EL17" s="296"/>
      <c r="EM17" s="297"/>
      <c r="EN17" s="298"/>
      <c r="EO17" s="298"/>
      <c r="EP17" s="296"/>
      <c r="EQ17" s="297"/>
      <c r="ER17" s="298"/>
      <c r="ES17" s="298"/>
      <c r="ET17" s="296"/>
      <c r="EU17" s="297"/>
      <c r="EV17" s="298"/>
      <c r="EW17" s="298"/>
      <c r="EX17" s="296"/>
      <c r="EY17" s="297"/>
      <c r="EZ17" s="298"/>
      <c r="FA17" s="298"/>
      <c r="FB17" s="296"/>
      <c r="FC17" s="297"/>
      <c r="FD17" s="298"/>
      <c r="FE17" s="298"/>
      <c r="FF17" s="296"/>
      <c r="FG17" s="297"/>
      <c r="FH17" s="298"/>
      <c r="FI17" s="298"/>
      <c r="FJ17" s="296"/>
      <c r="FK17" s="297"/>
      <c r="FL17" s="298"/>
      <c r="FM17" s="298"/>
      <c r="FN17" s="296"/>
      <c r="FO17" s="297"/>
      <c r="FP17" s="298"/>
      <c r="FQ17" s="298"/>
      <c r="FR17" s="296"/>
      <c r="FS17" s="297"/>
      <c r="FT17" s="298"/>
      <c r="FU17" s="298"/>
      <c r="FV17" s="296"/>
      <c r="FW17" s="297"/>
      <c r="FX17" s="298"/>
      <c r="FY17" s="298"/>
      <c r="FZ17" s="296"/>
      <c r="GA17" s="297"/>
      <c r="GB17" s="298"/>
      <c r="GC17" s="298"/>
      <c r="GD17" s="296"/>
      <c r="GE17" s="297"/>
      <c r="GF17" s="298"/>
      <c r="GG17" s="298"/>
      <c r="GH17" s="296"/>
      <c r="GI17" s="297"/>
      <c r="GJ17" s="298"/>
      <c r="GK17" s="298"/>
      <c r="GL17" s="296"/>
      <c r="GM17" s="297"/>
      <c r="GN17" s="298"/>
      <c r="GO17" s="298"/>
      <c r="GP17" s="296"/>
      <c r="GQ17" s="297"/>
      <c r="GR17" s="298"/>
      <c r="GS17" s="298"/>
      <c r="GT17" s="296"/>
      <c r="GU17" s="297"/>
      <c r="GV17" s="298"/>
      <c r="GW17" s="298"/>
      <c r="GX17" s="296"/>
      <c r="GY17" s="297"/>
      <c r="GZ17" s="298"/>
      <c r="HA17" s="298"/>
      <c r="HB17" s="296"/>
      <c r="HC17" s="299">
        <f t="shared" ref="HC17:HE48" si="66">K17+O17+S17+W17+AA17+AE17+AI17+AM17+AQ17+AU17+AY17+BC17+BG17+BK17+BO17+BS17+BW17+CA17+CE17+CI17+CM17+CQ17+CU17+CY17+DC17+DG17+DK17+DO17+DS17+DW17+EA17+EE17+EI17+EM17+EQ17+EU17+EY17+FC17+FG17+FK17+FO17+FS17+FW17+GA17+GE17+GI17+GM17+GQ17+GU17+GY17</f>
        <v>0</v>
      </c>
      <c r="HD17" s="300">
        <f t="shared" si="66"/>
        <v>0</v>
      </c>
      <c r="HE17" s="300">
        <f t="shared" si="66"/>
        <v>0</v>
      </c>
      <c r="HF17" s="301"/>
      <c r="HG17" s="299">
        <f>SUM(SUMIFS(K17:HB17,$K$13:$HB$13,{"エネルギー管理指定工場等*","県域*"}))</f>
        <v>0</v>
      </c>
      <c r="HH17" s="300">
        <f>SUM(SUMIFS(L17:HC17,$K$13:$HB$13,{"エネルギー管理指定工場等*","県域*"}))</f>
        <v>0</v>
      </c>
      <c r="HI17" s="300">
        <f>SUM(SUMIFS(M17:HD17,$K$13:$HB$13,{"エネルギー管理指定工場等*","県域*"}))</f>
        <v>0</v>
      </c>
      <c r="HJ17" s="301"/>
      <c r="HL17" s="219">
        <v>8</v>
      </c>
      <c r="HM17" s="714" t="str">
        <f t="shared" ca="1" si="49"/>
        <v/>
      </c>
      <c r="HN17" s="715" t="str">
        <f ca="1">IF(COUNTIF(HN$10:HN16,OFFSET(A1_原単位2027,5,HL17+2))&gt;=1,"",OFFSET(A1_原単位2027,5,HL17+2)&amp;"")</f>
        <v/>
      </c>
      <c r="HO17" s="716" t="str">
        <f t="shared" ca="1" si="50"/>
        <v/>
      </c>
      <c r="HP17" s="717" t="str">
        <f t="shared" ca="1" si="51"/>
        <v/>
      </c>
      <c r="HQ17" s="714" t="str">
        <f t="shared" ca="1" si="52"/>
        <v/>
      </c>
      <c r="HR17" s="715" t="str">
        <f ca="1">IF(COUNTIF(HR$10:HR16,OFFSET(A1_原単位2027,17,HL17+2))&gt;=1,"",OFFSET(A1_原単位2027,17,HL17+2)&amp;"")</f>
        <v/>
      </c>
      <c r="HS17" s="718" t="str">
        <f t="shared" ca="1" si="53"/>
        <v/>
      </c>
      <c r="HT17" s="719" t="str">
        <f t="shared" ca="1" si="54"/>
        <v/>
      </c>
      <c r="HU17" s="714" t="str">
        <f t="shared" ca="1" si="55"/>
        <v/>
      </c>
      <c r="HV17" s="715" t="str">
        <f ca="1">IF(COUNTIF(HV$10:HV16,OFFSET(A1_原単位2027,29,HL17+2))&gt;=1,"",OFFSET(A1_原単位2027,29,HL17+2)&amp;"")</f>
        <v/>
      </c>
      <c r="HW17" s="718" t="str">
        <f t="shared" ca="1" si="56"/>
        <v/>
      </c>
      <c r="HX17" s="719" t="str">
        <f t="shared" ca="1" si="57"/>
        <v/>
      </c>
      <c r="HY17" s="714" t="str">
        <f t="shared" ca="1" si="58"/>
        <v/>
      </c>
      <c r="HZ17" s="715" t="str">
        <f ca="1">IF(COUNTIF(HZ$10:HZ16,OFFSET(A1_原単位2027,41,HL17+2))&gt;=1,"",OFFSET(A1_原単位2027,41,HL17+2)&amp;"")</f>
        <v/>
      </c>
      <c r="IA17" s="720" t="str">
        <f t="shared" ca="1" si="59"/>
        <v/>
      </c>
      <c r="IB17" s="721" t="str">
        <f t="shared" ca="1" si="60"/>
        <v/>
      </c>
      <c r="IE17" s="159" t="str">
        <f t="shared" ca="1" si="61"/>
        <v/>
      </c>
      <c r="IF17" s="159" t="str">
        <f t="shared" ca="1" si="62"/>
        <v/>
      </c>
      <c r="IG17" s="159" t="str">
        <f t="shared" ca="1" si="63"/>
        <v/>
      </c>
      <c r="IH17" s="159" t="str">
        <f t="shared" ca="1" si="64"/>
        <v/>
      </c>
    </row>
    <row r="18" spans="2:242" s="164" customFormat="1" ht="20.100000000000001" customHeight="1">
      <c r="B18" s="302"/>
      <c r="C18" s="303" t="s">
        <v>574</v>
      </c>
      <c r="D18" s="304"/>
      <c r="E18" s="305"/>
      <c r="F18" s="303" t="s">
        <v>453</v>
      </c>
      <c r="G18" s="306">
        <v>34.799999999999997</v>
      </c>
      <c r="H18" s="307">
        <v>1.83E-2</v>
      </c>
      <c r="I18" s="308"/>
      <c r="J18" s="309"/>
      <c r="K18" s="310"/>
      <c r="L18" s="311"/>
      <c r="M18" s="311"/>
      <c r="N18" s="309"/>
      <c r="O18" s="310"/>
      <c r="P18" s="311"/>
      <c r="Q18" s="311"/>
      <c r="R18" s="309"/>
      <c r="S18" s="310"/>
      <c r="T18" s="311"/>
      <c r="U18" s="311"/>
      <c r="V18" s="309"/>
      <c r="W18" s="310"/>
      <c r="X18" s="311"/>
      <c r="Y18" s="311"/>
      <c r="Z18" s="309"/>
      <c r="AA18" s="310"/>
      <c r="AB18" s="311"/>
      <c r="AC18" s="311"/>
      <c r="AD18" s="309"/>
      <c r="AE18" s="310"/>
      <c r="AF18" s="311"/>
      <c r="AG18" s="311"/>
      <c r="AH18" s="309"/>
      <c r="AI18" s="310"/>
      <c r="AJ18" s="311"/>
      <c r="AK18" s="311"/>
      <c r="AL18" s="309"/>
      <c r="AM18" s="310"/>
      <c r="AN18" s="311"/>
      <c r="AO18" s="311"/>
      <c r="AP18" s="309"/>
      <c r="AQ18" s="310"/>
      <c r="AR18" s="311"/>
      <c r="AS18" s="311"/>
      <c r="AT18" s="309"/>
      <c r="AU18" s="310"/>
      <c r="AV18" s="311"/>
      <c r="AW18" s="311"/>
      <c r="AX18" s="309"/>
      <c r="AY18" s="310"/>
      <c r="AZ18" s="311"/>
      <c r="BA18" s="311"/>
      <c r="BB18" s="309"/>
      <c r="BC18" s="310"/>
      <c r="BD18" s="311"/>
      <c r="BE18" s="311"/>
      <c r="BF18" s="309"/>
      <c r="BG18" s="310"/>
      <c r="BH18" s="311"/>
      <c r="BI18" s="311"/>
      <c r="BJ18" s="309"/>
      <c r="BK18" s="310"/>
      <c r="BL18" s="311"/>
      <c r="BM18" s="311"/>
      <c r="BN18" s="309"/>
      <c r="BO18" s="310"/>
      <c r="BP18" s="311"/>
      <c r="BQ18" s="311"/>
      <c r="BR18" s="309"/>
      <c r="BS18" s="310"/>
      <c r="BT18" s="311"/>
      <c r="BU18" s="311"/>
      <c r="BV18" s="309"/>
      <c r="BW18" s="310"/>
      <c r="BX18" s="311"/>
      <c r="BY18" s="311"/>
      <c r="BZ18" s="309"/>
      <c r="CA18" s="310"/>
      <c r="CB18" s="311"/>
      <c r="CC18" s="311"/>
      <c r="CD18" s="309"/>
      <c r="CE18" s="310"/>
      <c r="CF18" s="311"/>
      <c r="CG18" s="311"/>
      <c r="CH18" s="309"/>
      <c r="CI18" s="310"/>
      <c r="CJ18" s="311"/>
      <c r="CK18" s="311"/>
      <c r="CL18" s="309"/>
      <c r="CM18" s="310"/>
      <c r="CN18" s="311"/>
      <c r="CO18" s="311"/>
      <c r="CP18" s="309"/>
      <c r="CQ18" s="310"/>
      <c r="CR18" s="311"/>
      <c r="CS18" s="311"/>
      <c r="CT18" s="309"/>
      <c r="CU18" s="310"/>
      <c r="CV18" s="311"/>
      <c r="CW18" s="311"/>
      <c r="CX18" s="309"/>
      <c r="CY18" s="310"/>
      <c r="CZ18" s="311"/>
      <c r="DA18" s="311"/>
      <c r="DB18" s="309"/>
      <c r="DC18" s="310"/>
      <c r="DD18" s="311"/>
      <c r="DE18" s="311"/>
      <c r="DF18" s="309"/>
      <c r="DG18" s="310"/>
      <c r="DH18" s="311"/>
      <c r="DI18" s="311"/>
      <c r="DJ18" s="309"/>
      <c r="DK18" s="310"/>
      <c r="DL18" s="311"/>
      <c r="DM18" s="311"/>
      <c r="DN18" s="309"/>
      <c r="DO18" s="310"/>
      <c r="DP18" s="311"/>
      <c r="DQ18" s="311"/>
      <c r="DR18" s="309"/>
      <c r="DS18" s="310"/>
      <c r="DT18" s="311"/>
      <c r="DU18" s="311"/>
      <c r="DV18" s="309"/>
      <c r="DW18" s="310"/>
      <c r="DX18" s="311"/>
      <c r="DY18" s="311"/>
      <c r="DZ18" s="309"/>
      <c r="EA18" s="310"/>
      <c r="EB18" s="311"/>
      <c r="EC18" s="311"/>
      <c r="ED18" s="309"/>
      <c r="EE18" s="310"/>
      <c r="EF18" s="311"/>
      <c r="EG18" s="311"/>
      <c r="EH18" s="309"/>
      <c r="EI18" s="310"/>
      <c r="EJ18" s="311"/>
      <c r="EK18" s="311"/>
      <c r="EL18" s="309"/>
      <c r="EM18" s="310"/>
      <c r="EN18" s="311"/>
      <c r="EO18" s="311"/>
      <c r="EP18" s="309"/>
      <c r="EQ18" s="310"/>
      <c r="ER18" s="311"/>
      <c r="ES18" s="311"/>
      <c r="ET18" s="309"/>
      <c r="EU18" s="310"/>
      <c r="EV18" s="311"/>
      <c r="EW18" s="311"/>
      <c r="EX18" s="309"/>
      <c r="EY18" s="310"/>
      <c r="EZ18" s="311"/>
      <c r="FA18" s="311"/>
      <c r="FB18" s="309"/>
      <c r="FC18" s="310"/>
      <c r="FD18" s="311"/>
      <c r="FE18" s="311"/>
      <c r="FF18" s="309"/>
      <c r="FG18" s="310"/>
      <c r="FH18" s="311"/>
      <c r="FI18" s="311"/>
      <c r="FJ18" s="309"/>
      <c r="FK18" s="310"/>
      <c r="FL18" s="311"/>
      <c r="FM18" s="311"/>
      <c r="FN18" s="309"/>
      <c r="FO18" s="310"/>
      <c r="FP18" s="311"/>
      <c r="FQ18" s="311"/>
      <c r="FR18" s="309"/>
      <c r="FS18" s="310"/>
      <c r="FT18" s="311"/>
      <c r="FU18" s="311"/>
      <c r="FV18" s="309"/>
      <c r="FW18" s="310"/>
      <c r="FX18" s="311"/>
      <c r="FY18" s="311"/>
      <c r="FZ18" s="309"/>
      <c r="GA18" s="310"/>
      <c r="GB18" s="311"/>
      <c r="GC18" s="311"/>
      <c r="GD18" s="309"/>
      <c r="GE18" s="310"/>
      <c r="GF18" s="311"/>
      <c r="GG18" s="311"/>
      <c r="GH18" s="309"/>
      <c r="GI18" s="310"/>
      <c r="GJ18" s="311"/>
      <c r="GK18" s="311"/>
      <c r="GL18" s="309"/>
      <c r="GM18" s="310"/>
      <c r="GN18" s="311"/>
      <c r="GO18" s="311"/>
      <c r="GP18" s="309"/>
      <c r="GQ18" s="310"/>
      <c r="GR18" s="311"/>
      <c r="GS18" s="311"/>
      <c r="GT18" s="309"/>
      <c r="GU18" s="310"/>
      <c r="GV18" s="311"/>
      <c r="GW18" s="311"/>
      <c r="GX18" s="309"/>
      <c r="GY18" s="310"/>
      <c r="GZ18" s="311"/>
      <c r="HA18" s="311"/>
      <c r="HB18" s="309"/>
      <c r="HC18" s="312">
        <f t="shared" si="66"/>
        <v>0</v>
      </c>
      <c r="HD18" s="313">
        <f t="shared" si="66"/>
        <v>0</v>
      </c>
      <c r="HE18" s="313">
        <f t="shared" si="66"/>
        <v>0</v>
      </c>
      <c r="HF18" s="314"/>
      <c r="HG18" s="312">
        <f>SUM(SUMIFS(K18:HB18,$K$13:$HB$13,{"エネルギー管理指定工場等*","県域*"}))</f>
        <v>0</v>
      </c>
      <c r="HH18" s="313">
        <f>SUM(SUMIFS(L18:HC18,$K$13:$HB$13,{"エネルギー管理指定工場等*","県域*"}))</f>
        <v>0</v>
      </c>
      <c r="HI18" s="313">
        <f>SUM(SUMIFS(M18:HD18,$K$13:$HB$13,{"エネルギー管理指定工場等*","県域*"}))</f>
        <v>0</v>
      </c>
      <c r="HJ18" s="314"/>
      <c r="HL18" s="230">
        <v>9</v>
      </c>
      <c r="HM18" s="714" t="str">
        <f t="shared" ca="1" si="49"/>
        <v/>
      </c>
      <c r="HN18" s="715" t="str">
        <f ca="1">IF(COUNTIF(HN$10:HN17,OFFSET(A1_原単位2027,5,HL18+2))&gt;=1,"",OFFSET(A1_原単位2027,5,HL18+2)&amp;"")</f>
        <v/>
      </c>
      <c r="HO18" s="716" t="str">
        <f t="shared" ca="1" si="50"/>
        <v/>
      </c>
      <c r="HP18" s="717" t="str">
        <f t="shared" ca="1" si="51"/>
        <v/>
      </c>
      <c r="HQ18" s="714" t="str">
        <f t="shared" ca="1" si="52"/>
        <v/>
      </c>
      <c r="HR18" s="715" t="str">
        <f ca="1">IF(COUNTIF(HR$10:HR17,OFFSET(A1_原単位2027,17,HL18+2))&gt;=1,"",OFFSET(A1_原単位2027,17,HL18+2)&amp;"")</f>
        <v/>
      </c>
      <c r="HS18" s="718" t="str">
        <f t="shared" ca="1" si="53"/>
        <v/>
      </c>
      <c r="HT18" s="719" t="str">
        <f t="shared" ca="1" si="54"/>
        <v/>
      </c>
      <c r="HU18" s="714" t="str">
        <f t="shared" ca="1" si="55"/>
        <v/>
      </c>
      <c r="HV18" s="715" t="str">
        <f ca="1">IF(COUNTIF(HV$10:HV17,OFFSET(A1_原単位2027,29,HL18+2))&gt;=1,"",OFFSET(A1_原単位2027,29,HL18+2)&amp;"")</f>
        <v/>
      </c>
      <c r="HW18" s="718" t="str">
        <f t="shared" ca="1" si="56"/>
        <v/>
      </c>
      <c r="HX18" s="719" t="str">
        <f t="shared" ca="1" si="57"/>
        <v/>
      </c>
      <c r="HY18" s="714" t="str">
        <f t="shared" ca="1" si="58"/>
        <v/>
      </c>
      <c r="HZ18" s="715" t="str">
        <f ca="1">IF(COUNTIF(HZ$10:HZ17,OFFSET(A1_原単位2027,41,HL18+2))&gt;=1,"",OFFSET(A1_原単位2027,41,HL18+2)&amp;"")</f>
        <v/>
      </c>
      <c r="IA18" s="720" t="str">
        <f t="shared" ca="1" si="59"/>
        <v/>
      </c>
      <c r="IB18" s="721" t="str">
        <f t="shared" ca="1" si="60"/>
        <v/>
      </c>
      <c r="IE18" s="159" t="str">
        <f t="shared" ca="1" si="61"/>
        <v/>
      </c>
      <c r="IF18" s="159" t="str">
        <f t="shared" ca="1" si="62"/>
        <v/>
      </c>
      <c r="IG18" s="159" t="str">
        <f t="shared" ca="1" si="63"/>
        <v/>
      </c>
      <c r="IH18" s="159" t="str">
        <f t="shared" ca="1" si="64"/>
        <v/>
      </c>
    </row>
    <row r="19" spans="2:242" s="164" customFormat="1" ht="20.100000000000001" customHeight="1">
      <c r="B19" s="302"/>
      <c r="C19" s="303" t="s">
        <v>454</v>
      </c>
      <c r="D19" s="304"/>
      <c r="E19" s="305"/>
      <c r="F19" s="303" t="s">
        <v>453</v>
      </c>
      <c r="G19" s="306">
        <v>33.4</v>
      </c>
      <c r="H19" s="307">
        <v>1.8700000000000001E-2</v>
      </c>
      <c r="I19" s="310"/>
      <c r="J19" s="315"/>
      <c r="K19" s="310"/>
      <c r="L19" s="311"/>
      <c r="M19" s="311"/>
      <c r="N19" s="309"/>
      <c r="O19" s="310"/>
      <c r="P19" s="311"/>
      <c r="Q19" s="311"/>
      <c r="R19" s="309"/>
      <c r="S19" s="310"/>
      <c r="T19" s="311"/>
      <c r="U19" s="311"/>
      <c r="V19" s="309"/>
      <c r="W19" s="310"/>
      <c r="X19" s="311"/>
      <c r="Y19" s="311"/>
      <c r="Z19" s="309"/>
      <c r="AA19" s="310"/>
      <c r="AB19" s="311"/>
      <c r="AC19" s="311"/>
      <c r="AD19" s="309"/>
      <c r="AE19" s="310"/>
      <c r="AF19" s="311"/>
      <c r="AG19" s="311"/>
      <c r="AH19" s="309"/>
      <c r="AI19" s="310"/>
      <c r="AJ19" s="311"/>
      <c r="AK19" s="311"/>
      <c r="AL19" s="309"/>
      <c r="AM19" s="310"/>
      <c r="AN19" s="311"/>
      <c r="AO19" s="311"/>
      <c r="AP19" s="309"/>
      <c r="AQ19" s="310"/>
      <c r="AR19" s="311"/>
      <c r="AS19" s="311"/>
      <c r="AT19" s="309"/>
      <c r="AU19" s="310"/>
      <c r="AV19" s="311"/>
      <c r="AW19" s="311"/>
      <c r="AX19" s="309"/>
      <c r="AY19" s="310"/>
      <c r="AZ19" s="311"/>
      <c r="BA19" s="311"/>
      <c r="BB19" s="309"/>
      <c r="BC19" s="310"/>
      <c r="BD19" s="311"/>
      <c r="BE19" s="311"/>
      <c r="BF19" s="309"/>
      <c r="BG19" s="310"/>
      <c r="BH19" s="311"/>
      <c r="BI19" s="311"/>
      <c r="BJ19" s="309"/>
      <c r="BK19" s="310"/>
      <c r="BL19" s="311"/>
      <c r="BM19" s="311"/>
      <c r="BN19" s="309"/>
      <c r="BO19" s="310"/>
      <c r="BP19" s="311"/>
      <c r="BQ19" s="311"/>
      <c r="BR19" s="309"/>
      <c r="BS19" s="310"/>
      <c r="BT19" s="311"/>
      <c r="BU19" s="311"/>
      <c r="BV19" s="309"/>
      <c r="BW19" s="310"/>
      <c r="BX19" s="311"/>
      <c r="BY19" s="311"/>
      <c r="BZ19" s="309"/>
      <c r="CA19" s="310"/>
      <c r="CB19" s="311"/>
      <c r="CC19" s="311"/>
      <c r="CD19" s="309"/>
      <c r="CE19" s="310"/>
      <c r="CF19" s="311"/>
      <c r="CG19" s="311"/>
      <c r="CH19" s="309"/>
      <c r="CI19" s="310"/>
      <c r="CJ19" s="311"/>
      <c r="CK19" s="311"/>
      <c r="CL19" s="309"/>
      <c r="CM19" s="310"/>
      <c r="CN19" s="311"/>
      <c r="CO19" s="311"/>
      <c r="CP19" s="309"/>
      <c r="CQ19" s="310"/>
      <c r="CR19" s="311"/>
      <c r="CS19" s="311"/>
      <c r="CT19" s="309"/>
      <c r="CU19" s="310"/>
      <c r="CV19" s="311"/>
      <c r="CW19" s="311"/>
      <c r="CX19" s="309"/>
      <c r="CY19" s="310"/>
      <c r="CZ19" s="311"/>
      <c r="DA19" s="311"/>
      <c r="DB19" s="309"/>
      <c r="DC19" s="310"/>
      <c r="DD19" s="311"/>
      <c r="DE19" s="311"/>
      <c r="DF19" s="309"/>
      <c r="DG19" s="310"/>
      <c r="DH19" s="311"/>
      <c r="DI19" s="311"/>
      <c r="DJ19" s="309"/>
      <c r="DK19" s="310"/>
      <c r="DL19" s="311"/>
      <c r="DM19" s="311"/>
      <c r="DN19" s="309"/>
      <c r="DO19" s="310"/>
      <c r="DP19" s="311"/>
      <c r="DQ19" s="311"/>
      <c r="DR19" s="309"/>
      <c r="DS19" s="310"/>
      <c r="DT19" s="311"/>
      <c r="DU19" s="311"/>
      <c r="DV19" s="309"/>
      <c r="DW19" s="310"/>
      <c r="DX19" s="311"/>
      <c r="DY19" s="311"/>
      <c r="DZ19" s="309"/>
      <c r="EA19" s="310"/>
      <c r="EB19" s="311"/>
      <c r="EC19" s="311"/>
      <c r="ED19" s="309"/>
      <c r="EE19" s="310"/>
      <c r="EF19" s="311"/>
      <c r="EG19" s="311"/>
      <c r="EH19" s="309"/>
      <c r="EI19" s="310"/>
      <c r="EJ19" s="311"/>
      <c r="EK19" s="311"/>
      <c r="EL19" s="309"/>
      <c r="EM19" s="310"/>
      <c r="EN19" s="311"/>
      <c r="EO19" s="311"/>
      <c r="EP19" s="309"/>
      <c r="EQ19" s="310"/>
      <c r="ER19" s="311"/>
      <c r="ES19" s="311"/>
      <c r="ET19" s="309"/>
      <c r="EU19" s="310"/>
      <c r="EV19" s="311"/>
      <c r="EW19" s="311"/>
      <c r="EX19" s="309"/>
      <c r="EY19" s="310"/>
      <c r="EZ19" s="311"/>
      <c r="FA19" s="311"/>
      <c r="FB19" s="309"/>
      <c r="FC19" s="310"/>
      <c r="FD19" s="311"/>
      <c r="FE19" s="311"/>
      <c r="FF19" s="309"/>
      <c r="FG19" s="310"/>
      <c r="FH19" s="311"/>
      <c r="FI19" s="311"/>
      <c r="FJ19" s="309"/>
      <c r="FK19" s="310"/>
      <c r="FL19" s="311"/>
      <c r="FM19" s="311"/>
      <c r="FN19" s="309"/>
      <c r="FO19" s="310"/>
      <c r="FP19" s="311"/>
      <c r="FQ19" s="311"/>
      <c r="FR19" s="309"/>
      <c r="FS19" s="310"/>
      <c r="FT19" s="311"/>
      <c r="FU19" s="311"/>
      <c r="FV19" s="309"/>
      <c r="FW19" s="310"/>
      <c r="FX19" s="311"/>
      <c r="FY19" s="311"/>
      <c r="FZ19" s="309"/>
      <c r="GA19" s="310"/>
      <c r="GB19" s="311"/>
      <c r="GC19" s="311"/>
      <c r="GD19" s="309"/>
      <c r="GE19" s="310"/>
      <c r="GF19" s="311"/>
      <c r="GG19" s="311"/>
      <c r="GH19" s="309"/>
      <c r="GI19" s="310"/>
      <c r="GJ19" s="311"/>
      <c r="GK19" s="311"/>
      <c r="GL19" s="309"/>
      <c r="GM19" s="310"/>
      <c r="GN19" s="311"/>
      <c r="GO19" s="311"/>
      <c r="GP19" s="309"/>
      <c r="GQ19" s="310"/>
      <c r="GR19" s="311"/>
      <c r="GS19" s="311"/>
      <c r="GT19" s="309"/>
      <c r="GU19" s="310"/>
      <c r="GV19" s="311"/>
      <c r="GW19" s="311"/>
      <c r="GX19" s="309"/>
      <c r="GY19" s="310"/>
      <c r="GZ19" s="311"/>
      <c r="HA19" s="311"/>
      <c r="HB19" s="309"/>
      <c r="HC19" s="312">
        <f t="shared" si="66"/>
        <v>0</v>
      </c>
      <c r="HD19" s="313">
        <f t="shared" si="66"/>
        <v>0</v>
      </c>
      <c r="HE19" s="313">
        <f t="shared" si="66"/>
        <v>0</v>
      </c>
      <c r="HF19" s="314"/>
      <c r="HG19" s="312">
        <f>SUM(SUMIFS(K19:HB19,$K$13:$HB$13,{"エネルギー管理指定工場等*","県域*"}))</f>
        <v>0</v>
      </c>
      <c r="HH19" s="313">
        <f>SUM(SUMIFS(L19:HC19,$K$13:$HB$13,{"エネルギー管理指定工場等*","県域*"}))</f>
        <v>0</v>
      </c>
      <c r="HI19" s="313">
        <f>SUM(SUMIFS(M19:HD19,$K$13:$HB$13,{"エネルギー管理指定工場等*","県域*"}))</f>
        <v>0</v>
      </c>
      <c r="HJ19" s="314"/>
      <c r="HL19" s="219">
        <v>10</v>
      </c>
      <c r="HM19" s="714" t="str">
        <f t="shared" ca="1" si="49"/>
        <v/>
      </c>
      <c r="HN19" s="715" t="str">
        <f ca="1">IF(COUNTIF(HN$10:HN18,OFFSET(A1_原単位2027,5,HL19+2))&gt;=1,"",OFFSET(A1_原単位2027,5,HL19+2)&amp;"")</f>
        <v/>
      </c>
      <c r="HO19" s="716" t="str">
        <f t="shared" ca="1" si="50"/>
        <v/>
      </c>
      <c r="HP19" s="717" t="str">
        <f t="shared" ca="1" si="51"/>
        <v/>
      </c>
      <c r="HQ19" s="714" t="str">
        <f t="shared" ca="1" si="52"/>
        <v/>
      </c>
      <c r="HR19" s="715" t="str">
        <f ca="1">IF(COUNTIF(HR$10:HR18,OFFSET(A1_原単位2027,17,HL19+2))&gt;=1,"",OFFSET(A1_原単位2027,17,HL19+2)&amp;"")</f>
        <v/>
      </c>
      <c r="HS19" s="718" t="str">
        <f t="shared" ca="1" si="53"/>
        <v/>
      </c>
      <c r="HT19" s="719" t="str">
        <f t="shared" ca="1" si="54"/>
        <v/>
      </c>
      <c r="HU19" s="714" t="str">
        <f t="shared" ca="1" si="55"/>
        <v/>
      </c>
      <c r="HV19" s="715" t="str">
        <f ca="1">IF(COUNTIF(HV$10:HV18,OFFSET(A1_原単位2027,29,HL19+2))&gt;=1,"",OFFSET(A1_原単位2027,29,HL19+2)&amp;"")</f>
        <v/>
      </c>
      <c r="HW19" s="718" t="str">
        <f t="shared" ca="1" si="56"/>
        <v/>
      </c>
      <c r="HX19" s="719" t="str">
        <f t="shared" ca="1" si="57"/>
        <v/>
      </c>
      <c r="HY19" s="714" t="str">
        <f t="shared" ca="1" si="58"/>
        <v/>
      </c>
      <c r="HZ19" s="715" t="str">
        <f ca="1">IF(COUNTIF(HZ$10:HZ18,OFFSET(A1_原単位2027,41,HL19+2))&gt;=1,"",OFFSET(A1_原単位2027,41,HL19+2)&amp;"")</f>
        <v/>
      </c>
      <c r="IA19" s="720" t="str">
        <f t="shared" ca="1" si="59"/>
        <v/>
      </c>
      <c r="IB19" s="721" t="str">
        <f t="shared" ca="1" si="60"/>
        <v/>
      </c>
      <c r="IE19" s="159" t="str">
        <f t="shared" ca="1" si="61"/>
        <v/>
      </c>
      <c r="IF19" s="159" t="str">
        <f t="shared" ca="1" si="62"/>
        <v/>
      </c>
      <c r="IG19" s="159" t="str">
        <f t="shared" ca="1" si="63"/>
        <v/>
      </c>
      <c r="IH19" s="159" t="str">
        <f t="shared" ca="1" si="64"/>
        <v/>
      </c>
    </row>
    <row r="20" spans="2:242" s="164" customFormat="1" ht="20.100000000000001" customHeight="1">
      <c r="B20" s="302"/>
      <c r="C20" s="303" t="s">
        <v>351</v>
      </c>
      <c r="D20" s="304"/>
      <c r="E20" s="305"/>
      <c r="F20" s="303" t="s">
        <v>453</v>
      </c>
      <c r="G20" s="306">
        <v>33.299999999999997</v>
      </c>
      <c r="H20" s="307">
        <v>1.8599999999999998E-2</v>
      </c>
      <c r="I20" s="308"/>
      <c r="J20" s="309"/>
      <c r="K20" s="310"/>
      <c r="L20" s="311"/>
      <c r="M20" s="311"/>
      <c r="N20" s="309"/>
      <c r="O20" s="310"/>
      <c r="P20" s="311"/>
      <c r="Q20" s="311"/>
      <c r="R20" s="309"/>
      <c r="S20" s="310"/>
      <c r="T20" s="311"/>
      <c r="U20" s="311"/>
      <c r="V20" s="309"/>
      <c r="W20" s="310"/>
      <c r="X20" s="311"/>
      <c r="Y20" s="311"/>
      <c r="Z20" s="309"/>
      <c r="AA20" s="310"/>
      <c r="AB20" s="311"/>
      <c r="AC20" s="311"/>
      <c r="AD20" s="309"/>
      <c r="AE20" s="310"/>
      <c r="AF20" s="311"/>
      <c r="AG20" s="311"/>
      <c r="AH20" s="309"/>
      <c r="AI20" s="310"/>
      <c r="AJ20" s="311"/>
      <c r="AK20" s="311"/>
      <c r="AL20" s="309"/>
      <c r="AM20" s="310"/>
      <c r="AN20" s="311"/>
      <c r="AO20" s="311"/>
      <c r="AP20" s="309"/>
      <c r="AQ20" s="310"/>
      <c r="AR20" s="311"/>
      <c r="AS20" s="311"/>
      <c r="AT20" s="309"/>
      <c r="AU20" s="310"/>
      <c r="AV20" s="311"/>
      <c r="AW20" s="311"/>
      <c r="AX20" s="309"/>
      <c r="AY20" s="310"/>
      <c r="AZ20" s="311"/>
      <c r="BA20" s="311"/>
      <c r="BB20" s="309"/>
      <c r="BC20" s="310"/>
      <c r="BD20" s="311"/>
      <c r="BE20" s="311"/>
      <c r="BF20" s="309"/>
      <c r="BG20" s="310"/>
      <c r="BH20" s="311"/>
      <c r="BI20" s="311"/>
      <c r="BJ20" s="309"/>
      <c r="BK20" s="310"/>
      <c r="BL20" s="311"/>
      <c r="BM20" s="311"/>
      <c r="BN20" s="309"/>
      <c r="BO20" s="310"/>
      <c r="BP20" s="311"/>
      <c r="BQ20" s="311"/>
      <c r="BR20" s="309"/>
      <c r="BS20" s="310"/>
      <c r="BT20" s="311"/>
      <c r="BU20" s="311"/>
      <c r="BV20" s="309"/>
      <c r="BW20" s="310"/>
      <c r="BX20" s="311"/>
      <c r="BY20" s="311"/>
      <c r="BZ20" s="309"/>
      <c r="CA20" s="310"/>
      <c r="CB20" s="311"/>
      <c r="CC20" s="311"/>
      <c r="CD20" s="309"/>
      <c r="CE20" s="310"/>
      <c r="CF20" s="311"/>
      <c r="CG20" s="311"/>
      <c r="CH20" s="309"/>
      <c r="CI20" s="310"/>
      <c r="CJ20" s="311"/>
      <c r="CK20" s="311"/>
      <c r="CL20" s="309"/>
      <c r="CM20" s="310"/>
      <c r="CN20" s="311"/>
      <c r="CO20" s="311"/>
      <c r="CP20" s="309"/>
      <c r="CQ20" s="310"/>
      <c r="CR20" s="311"/>
      <c r="CS20" s="311"/>
      <c r="CT20" s="309"/>
      <c r="CU20" s="310"/>
      <c r="CV20" s="311"/>
      <c r="CW20" s="311"/>
      <c r="CX20" s="309"/>
      <c r="CY20" s="310"/>
      <c r="CZ20" s="311"/>
      <c r="DA20" s="311"/>
      <c r="DB20" s="309"/>
      <c r="DC20" s="310"/>
      <c r="DD20" s="311"/>
      <c r="DE20" s="311"/>
      <c r="DF20" s="309"/>
      <c r="DG20" s="310"/>
      <c r="DH20" s="311"/>
      <c r="DI20" s="311"/>
      <c r="DJ20" s="309"/>
      <c r="DK20" s="310"/>
      <c r="DL20" s="311"/>
      <c r="DM20" s="311"/>
      <c r="DN20" s="309"/>
      <c r="DO20" s="310"/>
      <c r="DP20" s="311"/>
      <c r="DQ20" s="311"/>
      <c r="DR20" s="309"/>
      <c r="DS20" s="310"/>
      <c r="DT20" s="311"/>
      <c r="DU20" s="311"/>
      <c r="DV20" s="309"/>
      <c r="DW20" s="310"/>
      <c r="DX20" s="311"/>
      <c r="DY20" s="311"/>
      <c r="DZ20" s="309"/>
      <c r="EA20" s="310"/>
      <c r="EB20" s="311"/>
      <c r="EC20" s="311"/>
      <c r="ED20" s="309"/>
      <c r="EE20" s="310"/>
      <c r="EF20" s="311"/>
      <c r="EG20" s="311"/>
      <c r="EH20" s="309"/>
      <c r="EI20" s="310"/>
      <c r="EJ20" s="311"/>
      <c r="EK20" s="311"/>
      <c r="EL20" s="309"/>
      <c r="EM20" s="310"/>
      <c r="EN20" s="311"/>
      <c r="EO20" s="311"/>
      <c r="EP20" s="309"/>
      <c r="EQ20" s="310"/>
      <c r="ER20" s="311"/>
      <c r="ES20" s="311"/>
      <c r="ET20" s="309"/>
      <c r="EU20" s="310"/>
      <c r="EV20" s="311"/>
      <c r="EW20" s="311"/>
      <c r="EX20" s="309"/>
      <c r="EY20" s="310"/>
      <c r="EZ20" s="311"/>
      <c r="FA20" s="311"/>
      <c r="FB20" s="309"/>
      <c r="FC20" s="310"/>
      <c r="FD20" s="311"/>
      <c r="FE20" s="311"/>
      <c r="FF20" s="309"/>
      <c r="FG20" s="310"/>
      <c r="FH20" s="311"/>
      <c r="FI20" s="311"/>
      <c r="FJ20" s="309"/>
      <c r="FK20" s="310"/>
      <c r="FL20" s="311"/>
      <c r="FM20" s="311"/>
      <c r="FN20" s="309"/>
      <c r="FO20" s="310"/>
      <c r="FP20" s="311"/>
      <c r="FQ20" s="311"/>
      <c r="FR20" s="309"/>
      <c r="FS20" s="310"/>
      <c r="FT20" s="311"/>
      <c r="FU20" s="311"/>
      <c r="FV20" s="309"/>
      <c r="FW20" s="310"/>
      <c r="FX20" s="311"/>
      <c r="FY20" s="311"/>
      <c r="FZ20" s="309"/>
      <c r="GA20" s="310"/>
      <c r="GB20" s="311"/>
      <c r="GC20" s="311"/>
      <c r="GD20" s="309"/>
      <c r="GE20" s="310"/>
      <c r="GF20" s="311"/>
      <c r="GG20" s="311"/>
      <c r="GH20" s="309"/>
      <c r="GI20" s="310"/>
      <c r="GJ20" s="311"/>
      <c r="GK20" s="311"/>
      <c r="GL20" s="309"/>
      <c r="GM20" s="310"/>
      <c r="GN20" s="311"/>
      <c r="GO20" s="311"/>
      <c r="GP20" s="309"/>
      <c r="GQ20" s="310"/>
      <c r="GR20" s="311"/>
      <c r="GS20" s="311"/>
      <c r="GT20" s="309"/>
      <c r="GU20" s="310"/>
      <c r="GV20" s="311"/>
      <c r="GW20" s="311"/>
      <c r="GX20" s="309"/>
      <c r="GY20" s="310"/>
      <c r="GZ20" s="311"/>
      <c r="HA20" s="311"/>
      <c r="HB20" s="309"/>
      <c r="HC20" s="312">
        <f t="shared" si="66"/>
        <v>0</v>
      </c>
      <c r="HD20" s="313">
        <f t="shared" si="66"/>
        <v>0</v>
      </c>
      <c r="HE20" s="313">
        <f t="shared" si="66"/>
        <v>0</v>
      </c>
      <c r="HF20" s="314"/>
      <c r="HG20" s="312">
        <f>SUM(SUMIFS(K20:HB20,$K$13:$HB$13,{"エネルギー管理指定工場等*","県域*"}))</f>
        <v>0</v>
      </c>
      <c r="HH20" s="313">
        <f>SUM(SUMIFS(L20:HC20,$K$13:$HB$13,{"エネルギー管理指定工場等*","県域*"}))</f>
        <v>0</v>
      </c>
      <c r="HI20" s="313">
        <f>SUM(SUMIFS(M20:HD20,$K$13:$HB$13,{"エネルギー管理指定工場等*","県域*"}))</f>
        <v>0</v>
      </c>
      <c r="HJ20" s="314"/>
      <c r="HL20" s="230">
        <v>11</v>
      </c>
      <c r="HM20" s="714" t="str">
        <f t="shared" ca="1" si="49"/>
        <v/>
      </c>
      <c r="HN20" s="715" t="str">
        <f ca="1">IF(COUNTIF(HN$10:HN19,OFFSET(A1_原単位2027,5,HL20+2))&gt;=1,"",OFFSET(A1_原単位2027,5,HL20+2)&amp;"")</f>
        <v/>
      </c>
      <c r="HO20" s="716" t="str">
        <f t="shared" ca="1" si="50"/>
        <v/>
      </c>
      <c r="HP20" s="717" t="str">
        <f t="shared" ca="1" si="51"/>
        <v/>
      </c>
      <c r="HQ20" s="714" t="str">
        <f t="shared" ca="1" si="52"/>
        <v/>
      </c>
      <c r="HR20" s="715" t="str">
        <f ca="1">IF(COUNTIF(HR$10:HR19,OFFSET(A1_原単位2027,17,HL20+2))&gt;=1,"",OFFSET(A1_原単位2027,17,HL20+2)&amp;"")</f>
        <v/>
      </c>
      <c r="HS20" s="718" t="str">
        <f t="shared" ca="1" si="53"/>
        <v/>
      </c>
      <c r="HT20" s="719" t="str">
        <f t="shared" ca="1" si="54"/>
        <v/>
      </c>
      <c r="HU20" s="714" t="str">
        <f t="shared" ca="1" si="55"/>
        <v/>
      </c>
      <c r="HV20" s="715" t="str">
        <f ca="1">IF(COUNTIF(HV$10:HV19,OFFSET(A1_原単位2027,29,HL20+2))&gt;=1,"",OFFSET(A1_原単位2027,29,HL20+2)&amp;"")</f>
        <v/>
      </c>
      <c r="HW20" s="718" t="str">
        <f t="shared" ca="1" si="56"/>
        <v/>
      </c>
      <c r="HX20" s="719" t="str">
        <f t="shared" ca="1" si="57"/>
        <v/>
      </c>
      <c r="HY20" s="714" t="str">
        <f t="shared" ca="1" si="58"/>
        <v/>
      </c>
      <c r="HZ20" s="715" t="str">
        <f ca="1">IF(COUNTIF(HZ$10:HZ19,OFFSET(A1_原単位2027,41,HL20+2))&gt;=1,"",OFFSET(A1_原単位2027,41,HL20+2)&amp;"")</f>
        <v/>
      </c>
      <c r="IA20" s="720" t="str">
        <f t="shared" ca="1" si="59"/>
        <v/>
      </c>
      <c r="IB20" s="721" t="str">
        <f t="shared" ca="1" si="60"/>
        <v/>
      </c>
      <c r="IE20" s="159" t="str">
        <f t="shared" ca="1" si="61"/>
        <v/>
      </c>
      <c r="IF20" s="159" t="str">
        <f t="shared" ca="1" si="62"/>
        <v/>
      </c>
      <c r="IG20" s="159" t="str">
        <f t="shared" ca="1" si="63"/>
        <v/>
      </c>
      <c r="IH20" s="159" t="str">
        <f t="shared" ca="1" si="64"/>
        <v/>
      </c>
    </row>
    <row r="21" spans="2:242" s="164" customFormat="1" ht="20.100000000000001" customHeight="1">
      <c r="B21" s="302"/>
      <c r="C21" s="303" t="s">
        <v>575</v>
      </c>
      <c r="D21" s="304"/>
      <c r="E21" s="305"/>
      <c r="F21" s="303" t="s">
        <v>453</v>
      </c>
      <c r="G21" s="306">
        <v>36.299999999999997</v>
      </c>
      <c r="H21" s="307">
        <v>1.8599999999999998E-2</v>
      </c>
      <c r="I21" s="310"/>
      <c r="J21" s="315"/>
      <c r="K21" s="310"/>
      <c r="L21" s="311"/>
      <c r="M21" s="311"/>
      <c r="N21" s="309"/>
      <c r="O21" s="310"/>
      <c r="P21" s="311"/>
      <c r="Q21" s="311"/>
      <c r="R21" s="309"/>
      <c r="S21" s="310"/>
      <c r="T21" s="311"/>
      <c r="U21" s="311"/>
      <c r="V21" s="309"/>
      <c r="W21" s="310"/>
      <c r="X21" s="311"/>
      <c r="Y21" s="311"/>
      <c r="Z21" s="309"/>
      <c r="AA21" s="310"/>
      <c r="AB21" s="311"/>
      <c r="AC21" s="311"/>
      <c r="AD21" s="309"/>
      <c r="AE21" s="310"/>
      <c r="AF21" s="311"/>
      <c r="AG21" s="311"/>
      <c r="AH21" s="309"/>
      <c r="AI21" s="310"/>
      <c r="AJ21" s="311"/>
      <c r="AK21" s="311"/>
      <c r="AL21" s="309"/>
      <c r="AM21" s="310"/>
      <c r="AN21" s="311"/>
      <c r="AO21" s="311"/>
      <c r="AP21" s="309"/>
      <c r="AQ21" s="310"/>
      <c r="AR21" s="311"/>
      <c r="AS21" s="311"/>
      <c r="AT21" s="309"/>
      <c r="AU21" s="310"/>
      <c r="AV21" s="311"/>
      <c r="AW21" s="311"/>
      <c r="AX21" s="309"/>
      <c r="AY21" s="310"/>
      <c r="AZ21" s="311"/>
      <c r="BA21" s="311"/>
      <c r="BB21" s="309"/>
      <c r="BC21" s="310"/>
      <c r="BD21" s="311"/>
      <c r="BE21" s="311"/>
      <c r="BF21" s="309"/>
      <c r="BG21" s="310"/>
      <c r="BH21" s="311"/>
      <c r="BI21" s="311"/>
      <c r="BJ21" s="309"/>
      <c r="BK21" s="310"/>
      <c r="BL21" s="311"/>
      <c r="BM21" s="311"/>
      <c r="BN21" s="309"/>
      <c r="BO21" s="310"/>
      <c r="BP21" s="311"/>
      <c r="BQ21" s="311"/>
      <c r="BR21" s="309"/>
      <c r="BS21" s="310"/>
      <c r="BT21" s="311"/>
      <c r="BU21" s="311"/>
      <c r="BV21" s="309"/>
      <c r="BW21" s="310"/>
      <c r="BX21" s="311"/>
      <c r="BY21" s="311"/>
      <c r="BZ21" s="309"/>
      <c r="CA21" s="310"/>
      <c r="CB21" s="311"/>
      <c r="CC21" s="311"/>
      <c r="CD21" s="309"/>
      <c r="CE21" s="310"/>
      <c r="CF21" s="311"/>
      <c r="CG21" s="311"/>
      <c r="CH21" s="309"/>
      <c r="CI21" s="310"/>
      <c r="CJ21" s="311"/>
      <c r="CK21" s="311"/>
      <c r="CL21" s="309"/>
      <c r="CM21" s="310"/>
      <c r="CN21" s="311"/>
      <c r="CO21" s="311"/>
      <c r="CP21" s="309"/>
      <c r="CQ21" s="310"/>
      <c r="CR21" s="311"/>
      <c r="CS21" s="311"/>
      <c r="CT21" s="309"/>
      <c r="CU21" s="310"/>
      <c r="CV21" s="311"/>
      <c r="CW21" s="311"/>
      <c r="CX21" s="309"/>
      <c r="CY21" s="310"/>
      <c r="CZ21" s="311"/>
      <c r="DA21" s="311"/>
      <c r="DB21" s="309"/>
      <c r="DC21" s="310"/>
      <c r="DD21" s="311"/>
      <c r="DE21" s="311"/>
      <c r="DF21" s="309"/>
      <c r="DG21" s="310"/>
      <c r="DH21" s="311"/>
      <c r="DI21" s="311"/>
      <c r="DJ21" s="309"/>
      <c r="DK21" s="310"/>
      <c r="DL21" s="311"/>
      <c r="DM21" s="311"/>
      <c r="DN21" s="309"/>
      <c r="DO21" s="310"/>
      <c r="DP21" s="311"/>
      <c r="DQ21" s="311"/>
      <c r="DR21" s="309"/>
      <c r="DS21" s="310"/>
      <c r="DT21" s="311"/>
      <c r="DU21" s="311"/>
      <c r="DV21" s="309"/>
      <c r="DW21" s="310"/>
      <c r="DX21" s="311"/>
      <c r="DY21" s="311"/>
      <c r="DZ21" s="309"/>
      <c r="EA21" s="310"/>
      <c r="EB21" s="311"/>
      <c r="EC21" s="311"/>
      <c r="ED21" s="309"/>
      <c r="EE21" s="310"/>
      <c r="EF21" s="311"/>
      <c r="EG21" s="311"/>
      <c r="EH21" s="309"/>
      <c r="EI21" s="310"/>
      <c r="EJ21" s="311"/>
      <c r="EK21" s="311"/>
      <c r="EL21" s="309"/>
      <c r="EM21" s="310"/>
      <c r="EN21" s="311"/>
      <c r="EO21" s="311"/>
      <c r="EP21" s="309"/>
      <c r="EQ21" s="310"/>
      <c r="ER21" s="311"/>
      <c r="ES21" s="311"/>
      <c r="ET21" s="309"/>
      <c r="EU21" s="310"/>
      <c r="EV21" s="311"/>
      <c r="EW21" s="311"/>
      <c r="EX21" s="309"/>
      <c r="EY21" s="310"/>
      <c r="EZ21" s="311"/>
      <c r="FA21" s="311"/>
      <c r="FB21" s="309"/>
      <c r="FC21" s="310"/>
      <c r="FD21" s="311"/>
      <c r="FE21" s="311"/>
      <c r="FF21" s="309"/>
      <c r="FG21" s="310"/>
      <c r="FH21" s="311"/>
      <c r="FI21" s="311"/>
      <c r="FJ21" s="309"/>
      <c r="FK21" s="310"/>
      <c r="FL21" s="311"/>
      <c r="FM21" s="311"/>
      <c r="FN21" s="309"/>
      <c r="FO21" s="310"/>
      <c r="FP21" s="311"/>
      <c r="FQ21" s="311"/>
      <c r="FR21" s="309"/>
      <c r="FS21" s="310"/>
      <c r="FT21" s="311"/>
      <c r="FU21" s="311"/>
      <c r="FV21" s="309"/>
      <c r="FW21" s="310"/>
      <c r="FX21" s="311"/>
      <c r="FY21" s="311"/>
      <c r="FZ21" s="309"/>
      <c r="GA21" s="310"/>
      <c r="GB21" s="311"/>
      <c r="GC21" s="311"/>
      <c r="GD21" s="309"/>
      <c r="GE21" s="310"/>
      <c r="GF21" s="311"/>
      <c r="GG21" s="311"/>
      <c r="GH21" s="309"/>
      <c r="GI21" s="310"/>
      <c r="GJ21" s="311"/>
      <c r="GK21" s="311"/>
      <c r="GL21" s="309"/>
      <c r="GM21" s="310"/>
      <c r="GN21" s="311"/>
      <c r="GO21" s="311"/>
      <c r="GP21" s="309"/>
      <c r="GQ21" s="310"/>
      <c r="GR21" s="311"/>
      <c r="GS21" s="311"/>
      <c r="GT21" s="309"/>
      <c r="GU21" s="310"/>
      <c r="GV21" s="311"/>
      <c r="GW21" s="311"/>
      <c r="GX21" s="309"/>
      <c r="GY21" s="310"/>
      <c r="GZ21" s="311"/>
      <c r="HA21" s="311"/>
      <c r="HB21" s="309"/>
      <c r="HC21" s="312">
        <f t="shared" si="66"/>
        <v>0</v>
      </c>
      <c r="HD21" s="313">
        <f t="shared" si="66"/>
        <v>0</v>
      </c>
      <c r="HE21" s="313">
        <f t="shared" si="66"/>
        <v>0</v>
      </c>
      <c r="HF21" s="314"/>
      <c r="HG21" s="312">
        <f>SUM(SUMIFS(K21:HB21,$K$13:$HB$13,{"エネルギー管理指定工場等*","県域*"}))</f>
        <v>0</v>
      </c>
      <c r="HH21" s="313">
        <f>SUM(SUMIFS(L21:HC21,$K$13:$HB$13,{"エネルギー管理指定工場等*","県域*"}))</f>
        <v>0</v>
      </c>
      <c r="HI21" s="313">
        <f>SUM(SUMIFS(M21:HD21,$K$13:$HB$13,{"エネルギー管理指定工場等*","県域*"}))</f>
        <v>0</v>
      </c>
      <c r="HJ21" s="314"/>
      <c r="HL21" s="219">
        <v>12</v>
      </c>
      <c r="HM21" s="714" t="str">
        <f t="shared" ca="1" si="49"/>
        <v/>
      </c>
      <c r="HN21" s="715" t="str">
        <f ca="1">IF(COUNTIF(HN$10:HN20,OFFSET(A1_原単位2027,5,HL21+2))&gt;=1,"",OFFSET(A1_原単位2027,5,HL21+2)&amp;"")</f>
        <v/>
      </c>
      <c r="HO21" s="716" t="str">
        <f t="shared" ca="1" si="50"/>
        <v/>
      </c>
      <c r="HP21" s="717" t="str">
        <f t="shared" ca="1" si="51"/>
        <v/>
      </c>
      <c r="HQ21" s="714" t="str">
        <f t="shared" ca="1" si="52"/>
        <v/>
      </c>
      <c r="HR21" s="715" t="str">
        <f ca="1">IF(COUNTIF(HR$10:HR20,OFFSET(A1_原単位2027,17,HL21+2))&gt;=1,"",OFFSET(A1_原単位2027,17,HL21+2)&amp;"")</f>
        <v/>
      </c>
      <c r="HS21" s="718" t="str">
        <f t="shared" ca="1" si="53"/>
        <v/>
      </c>
      <c r="HT21" s="719" t="str">
        <f t="shared" ca="1" si="54"/>
        <v/>
      </c>
      <c r="HU21" s="714" t="str">
        <f t="shared" ca="1" si="55"/>
        <v/>
      </c>
      <c r="HV21" s="715" t="str">
        <f ca="1">IF(COUNTIF(HV$10:HV20,OFFSET(A1_原単位2027,29,HL21+2))&gt;=1,"",OFFSET(A1_原単位2027,29,HL21+2)&amp;"")</f>
        <v/>
      </c>
      <c r="HW21" s="718" t="str">
        <f t="shared" ca="1" si="56"/>
        <v/>
      </c>
      <c r="HX21" s="719" t="str">
        <f t="shared" ca="1" si="57"/>
        <v/>
      </c>
      <c r="HY21" s="714" t="str">
        <f t="shared" ca="1" si="58"/>
        <v/>
      </c>
      <c r="HZ21" s="715" t="str">
        <f ca="1">IF(COUNTIF(HZ$10:HZ20,OFFSET(A1_原単位2027,41,HL21+2))&gt;=1,"",OFFSET(A1_原単位2027,41,HL21+2)&amp;"")</f>
        <v/>
      </c>
      <c r="IA21" s="720" t="str">
        <f t="shared" ca="1" si="59"/>
        <v/>
      </c>
      <c r="IB21" s="721" t="str">
        <f t="shared" ca="1" si="60"/>
        <v/>
      </c>
      <c r="IE21" s="159" t="str">
        <f t="shared" ca="1" si="61"/>
        <v/>
      </c>
      <c r="IF21" s="159" t="str">
        <f t="shared" ca="1" si="62"/>
        <v/>
      </c>
      <c r="IG21" s="159" t="str">
        <f t="shared" ca="1" si="63"/>
        <v/>
      </c>
      <c r="IH21" s="159" t="str">
        <f t="shared" ca="1" si="64"/>
        <v/>
      </c>
    </row>
    <row r="22" spans="2:242" s="164" customFormat="1" ht="20.100000000000001" customHeight="1">
      <c r="B22" s="302"/>
      <c r="C22" s="303" t="s">
        <v>353</v>
      </c>
      <c r="D22" s="304"/>
      <c r="E22" s="305"/>
      <c r="F22" s="303" t="s">
        <v>453</v>
      </c>
      <c r="G22" s="306">
        <v>36.5</v>
      </c>
      <c r="H22" s="307">
        <v>1.8700000000000001E-2</v>
      </c>
      <c r="I22" s="308"/>
      <c r="J22" s="309"/>
      <c r="K22" s="310"/>
      <c r="L22" s="311"/>
      <c r="M22" s="311"/>
      <c r="N22" s="309"/>
      <c r="O22" s="310"/>
      <c r="P22" s="311"/>
      <c r="Q22" s="311"/>
      <c r="R22" s="309"/>
      <c r="S22" s="310"/>
      <c r="T22" s="311"/>
      <c r="U22" s="311"/>
      <c r="V22" s="309"/>
      <c r="W22" s="310"/>
      <c r="X22" s="311"/>
      <c r="Y22" s="311"/>
      <c r="Z22" s="309"/>
      <c r="AA22" s="310"/>
      <c r="AB22" s="311"/>
      <c r="AC22" s="311"/>
      <c r="AD22" s="309"/>
      <c r="AE22" s="310"/>
      <c r="AF22" s="311"/>
      <c r="AG22" s="311"/>
      <c r="AH22" s="309"/>
      <c r="AI22" s="310"/>
      <c r="AJ22" s="311"/>
      <c r="AK22" s="311"/>
      <c r="AL22" s="309"/>
      <c r="AM22" s="310"/>
      <c r="AN22" s="311"/>
      <c r="AO22" s="311"/>
      <c r="AP22" s="309"/>
      <c r="AQ22" s="310"/>
      <c r="AR22" s="311"/>
      <c r="AS22" s="311"/>
      <c r="AT22" s="309"/>
      <c r="AU22" s="310"/>
      <c r="AV22" s="311"/>
      <c r="AW22" s="311"/>
      <c r="AX22" s="309"/>
      <c r="AY22" s="310"/>
      <c r="AZ22" s="311"/>
      <c r="BA22" s="311"/>
      <c r="BB22" s="309"/>
      <c r="BC22" s="310"/>
      <c r="BD22" s="311"/>
      <c r="BE22" s="311"/>
      <c r="BF22" s="309"/>
      <c r="BG22" s="310"/>
      <c r="BH22" s="311"/>
      <c r="BI22" s="311"/>
      <c r="BJ22" s="309"/>
      <c r="BK22" s="310"/>
      <c r="BL22" s="311"/>
      <c r="BM22" s="311"/>
      <c r="BN22" s="309"/>
      <c r="BO22" s="310"/>
      <c r="BP22" s="311"/>
      <c r="BQ22" s="311"/>
      <c r="BR22" s="309"/>
      <c r="BS22" s="310"/>
      <c r="BT22" s="311"/>
      <c r="BU22" s="311"/>
      <c r="BV22" s="309"/>
      <c r="BW22" s="310"/>
      <c r="BX22" s="311"/>
      <c r="BY22" s="311"/>
      <c r="BZ22" s="309"/>
      <c r="CA22" s="310"/>
      <c r="CB22" s="311"/>
      <c r="CC22" s="311"/>
      <c r="CD22" s="309"/>
      <c r="CE22" s="310"/>
      <c r="CF22" s="311"/>
      <c r="CG22" s="311"/>
      <c r="CH22" s="309"/>
      <c r="CI22" s="310"/>
      <c r="CJ22" s="311"/>
      <c r="CK22" s="311"/>
      <c r="CL22" s="309"/>
      <c r="CM22" s="310"/>
      <c r="CN22" s="311"/>
      <c r="CO22" s="311"/>
      <c r="CP22" s="309"/>
      <c r="CQ22" s="310"/>
      <c r="CR22" s="311"/>
      <c r="CS22" s="311"/>
      <c r="CT22" s="309"/>
      <c r="CU22" s="310"/>
      <c r="CV22" s="311"/>
      <c r="CW22" s="311"/>
      <c r="CX22" s="309"/>
      <c r="CY22" s="310"/>
      <c r="CZ22" s="311"/>
      <c r="DA22" s="311"/>
      <c r="DB22" s="309"/>
      <c r="DC22" s="310"/>
      <c r="DD22" s="311"/>
      <c r="DE22" s="311"/>
      <c r="DF22" s="309"/>
      <c r="DG22" s="310"/>
      <c r="DH22" s="311"/>
      <c r="DI22" s="311"/>
      <c r="DJ22" s="309"/>
      <c r="DK22" s="310"/>
      <c r="DL22" s="311"/>
      <c r="DM22" s="311"/>
      <c r="DN22" s="309"/>
      <c r="DO22" s="310"/>
      <c r="DP22" s="311"/>
      <c r="DQ22" s="311"/>
      <c r="DR22" s="309"/>
      <c r="DS22" s="310"/>
      <c r="DT22" s="311"/>
      <c r="DU22" s="311"/>
      <c r="DV22" s="309"/>
      <c r="DW22" s="310"/>
      <c r="DX22" s="311"/>
      <c r="DY22" s="311"/>
      <c r="DZ22" s="309"/>
      <c r="EA22" s="310"/>
      <c r="EB22" s="311"/>
      <c r="EC22" s="311"/>
      <c r="ED22" s="309"/>
      <c r="EE22" s="310"/>
      <c r="EF22" s="311"/>
      <c r="EG22" s="311"/>
      <c r="EH22" s="309"/>
      <c r="EI22" s="310"/>
      <c r="EJ22" s="311"/>
      <c r="EK22" s="311"/>
      <c r="EL22" s="309"/>
      <c r="EM22" s="310"/>
      <c r="EN22" s="311"/>
      <c r="EO22" s="311"/>
      <c r="EP22" s="309"/>
      <c r="EQ22" s="310"/>
      <c r="ER22" s="311"/>
      <c r="ES22" s="311"/>
      <c r="ET22" s="309"/>
      <c r="EU22" s="310"/>
      <c r="EV22" s="311"/>
      <c r="EW22" s="311"/>
      <c r="EX22" s="309"/>
      <c r="EY22" s="310"/>
      <c r="EZ22" s="311"/>
      <c r="FA22" s="311"/>
      <c r="FB22" s="309"/>
      <c r="FC22" s="310"/>
      <c r="FD22" s="311"/>
      <c r="FE22" s="311"/>
      <c r="FF22" s="309"/>
      <c r="FG22" s="310"/>
      <c r="FH22" s="311"/>
      <c r="FI22" s="311"/>
      <c r="FJ22" s="309"/>
      <c r="FK22" s="310"/>
      <c r="FL22" s="311"/>
      <c r="FM22" s="311"/>
      <c r="FN22" s="309"/>
      <c r="FO22" s="310"/>
      <c r="FP22" s="311"/>
      <c r="FQ22" s="311"/>
      <c r="FR22" s="309"/>
      <c r="FS22" s="310"/>
      <c r="FT22" s="311"/>
      <c r="FU22" s="311"/>
      <c r="FV22" s="309"/>
      <c r="FW22" s="310"/>
      <c r="FX22" s="311"/>
      <c r="FY22" s="311"/>
      <c r="FZ22" s="309"/>
      <c r="GA22" s="310"/>
      <c r="GB22" s="311"/>
      <c r="GC22" s="311"/>
      <c r="GD22" s="309"/>
      <c r="GE22" s="310"/>
      <c r="GF22" s="311"/>
      <c r="GG22" s="311"/>
      <c r="GH22" s="309"/>
      <c r="GI22" s="310"/>
      <c r="GJ22" s="311"/>
      <c r="GK22" s="311"/>
      <c r="GL22" s="309"/>
      <c r="GM22" s="310"/>
      <c r="GN22" s="311"/>
      <c r="GO22" s="311"/>
      <c r="GP22" s="309"/>
      <c r="GQ22" s="310"/>
      <c r="GR22" s="311"/>
      <c r="GS22" s="311"/>
      <c r="GT22" s="309"/>
      <c r="GU22" s="310"/>
      <c r="GV22" s="311"/>
      <c r="GW22" s="311"/>
      <c r="GX22" s="309"/>
      <c r="GY22" s="310"/>
      <c r="GZ22" s="311"/>
      <c r="HA22" s="311"/>
      <c r="HB22" s="309"/>
      <c r="HC22" s="312">
        <f t="shared" si="66"/>
        <v>0</v>
      </c>
      <c r="HD22" s="313">
        <f t="shared" si="66"/>
        <v>0</v>
      </c>
      <c r="HE22" s="313">
        <f t="shared" si="66"/>
        <v>0</v>
      </c>
      <c r="HF22" s="314"/>
      <c r="HG22" s="312">
        <f>SUM(SUMIFS(K22:HB22,$K$13:$HB$13,{"エネルギー管理指定工場等*","県域*"}))</f>
        <v>0</v>
      </c>
      <c r="HH22" s="313">
        <f>SUM(SUMIFS(L22:HC22,$K$13:$HB$13,{"エネルギー管理指定工場等*","県域*"}))</f>
        <v>0</v>
      </c>
      <c r="HI22" s="313">
        <f>SUM(SUMIFS(M22:HD22,$K$13:$HB$13,{"エネルギー管理指定工場等*","県域*"}))</f>
        <v>0</v>
      </c>
      <c r="HJ22" s="314"/>
      <c r="HL22" s="230">
        <v>13</v>
      </c>
      <c r="HM22" s="714" t="str">
        <f t="shared" ca="1" si="49"/>
        <v/>
      </c>
      <c r="HN22" s="715" t="str">
        <f ca="1">IF(COUNTIF(HN$10:HN21,OFFSET(A1_原単位2027,5,HL22+2))&gt;=1,"",OFFSET(A1_原単位2027,5,HL22+2)&amp;"")</f>
        <v/>
      </c>
      <c r="HO22" s="716" t="str">
        <f t="shared" ca="1" si="50"/>
        <v/>
      </c>
      <c r="HP22" s="717" t="str">
        <f t="shared" ca="1" si="51"/>
        <v/>
      </c>
      <c r="HQ22" s="714" t="str">
        <f t="shared" ca="1" si="52"/>
        <v/>
      </c>
      <c r="HR22" s="715" t="str">
        <f ca="1">IF(COUNTIF(HR$10:HR21,OFFSET(A1_原単位2027,17,HL22+2))&gt;=1,"",OFFSET(A1_原単位2027,17,HL22+2)&amp;"")</f>
        <v/>
      </c>
      <c r="HS22" s="718" t="str">
        <f t="shared" ca="1" si="53"/>
        <v/>
      </c>
      <c r="HT22" s="719" t="str">
        <f t="shared" ca="1" si="54"/>
        <v/>
      </c>
      <c r="HU22" s="714" t="str">
        <f t="shared" ca="1" si="55"/>
        <v/>
      </c>
      <c r="HV22" s="715" t="str">
        <f ca="1">IF(COUNTIF(HV$10:HV21,OFFSET(A1_原単位2027,29,HL22+2))&gt;=1,"",OFFSET(A1_原単位2027,29,HL22+2)&amp;"")</f>
        <v/>
      </c>
      <c r="HW22" s="718" t="str">
        <f t="shared" ca="1" si="56"/>
        <v/>
      </c>
      <c r="HX22" s="719" t="str">
        <f t="shared" ca="1" si="57"/>
        <v/>
      </c>
      <c r="HY22" s="714" t="str">
        <f t="shared" ca="1" si="58"/>
        <v/>
      </c>
      <c r="HZ22" s="715" t="str">
        <f ca="1">IF(COUNTIF(HZ$10:HZ21,OFFSET(A1_原単位2027,41,HL22+2))&gt;=1,"",OFFSET(A1_原単位2027,41,HL22+2)&amp;"")</f>
        <v/>
      </c>
      <c r="IA22" s="720" t="str">
        <f t="shared" ca="1" si="59"/>
        <v/>
      </c>
      <c r="IB22" s="721" t="str">
        <f t="shared" ca="1" si="60"/>
        <v/>
      </c>
      <c r="IE22" s="159" t="str">
        <f t="shared" ca="1" si="61"/>
        <v/>
      </c>
      <c r="IF22" s="159" t="str">
        <f t="shared" ca="1" si="62"/>
        <v/>
      </c>
      <c r="IG22" s="159" t="str">
        <f t="shared" ca="1" si="63"/>
        <v/>
      </c>
      <c r="IH22" s="159" t="str">
        <f t="shared" ca="1" si="64"/>
        <v/>
      </c>
    </row>
    <row r="23" spans="2:242" s="164" customFormat="1" ht="20.100000000000001" customHeight="1">
      <c r="B23" s="302"/>
      <c r="C23" s="303" t="s">
        <v>354</v>
      </c>
      <c r="D23" s="304"/>
      <c r="E23" s="305"/>
      <c r="F23" s="303" t="s">
        <v>453</v>
      </c>
      <c r="G23" s="316">
        <v>38</v>
      </c>
      <c r="H23" s="307">
        <v>1.8800000000000001E-2</v>
      </c>
      <c r="I23" s="310"/>
      <c r="J23" s="315"/>
      <c r="K23" s="310"/>
      <c r="L23" s="311"/>
      <c r="M23" s="311"/>
      <c r="N23" s="309"/>
      <c r="O23" s="310"/>
      <c r="P23" s="311"/>
      <c r="Q23" s="311"/>
      <c r="R23" s="309"/>
      <c r="S23" s="310"/>
      <c r="T23" s="311"/>
      <c r="U23" s="311"/>
      <c r="V23" s="309"/>
      <c r="W23" s="310"/>
      <c r="X23" s="311"/>
      <c r="Y23" s="311"/>
      <c r="Z23" s="309"/>
      <c r="AA23" s="310"/>
      <c r="AB23" s="311"/>
      <c r="AC23" s="311"/>
      <c r="AD23" s="309"/>
      <c r="AE23" s="310"/>
      <c r="AF23" s="311"/>
      <c r="AG23" s="311"/>
      <c r="AH23" s="309"/>
      <c r="AI23" s="310"/>
      <c r="AJ23" s="311"/>
      <c r="AK23" s="311"/>
      <c r="AL23" s="309"/>
      <c r="AM23" s="310"/>
      <c r="AN23" s="311"/>
      <c r="AO23" s="311"/>
      <c r="AP23" s="309"/>
      <c r="AQ23" s="310"/>
      <c r="AR23" s="311"/>
      <c r="AS23" s="311"/>
      <c r="AT23" s="309"/>
      <c r="AU23" s="310"/>
      <c r="AV23" s="311"/>
      <c r="AW23" s="311"/>
      <c r="AX23" s="309"/>
      <c r="AY23" s="310"/>
      <c r="AZ23" s="311"/>
      <c r="BA23" s="311"/>
      <c r="BB23" s="309"/>
      <c r="BC23" s="310"/>
      <c r="BD23" s="311"/>
      <c r="BE23" s="311"/>
      <c r="BF23" s="309"/>
      <c r="BG23" s="310"/>
      <c r="BH23" s="311"/>
      <c r="BI23" s="311"/>
      <c r="BJ23" s="309"/>
      <c r="BK23" s="310"/>
      <c r="BL23" s="311"/>
      <c r="BM23" s="311"/>
      <c r="BN23" s="309"/>
      <c r="BO23" s="310"/>
      <c r="BP23" s="311"/>
      <c r="BQ23" s="311"/>
      <c r="BR23" s="309"/>
      <c r="BS23" s="310"/>
      <c r="BT23" s="311"/>
      <c r="BU23" s="311"/>
      <c r="BV23" s="309"/>
      <c r="BW23" s="310"/>
      <c r="BX23" s="311"/>
      <c r="BY23" s="311"/>
      <c r="BZ23" s="309"/>
      <c r="CA23" s="310"/>
      <c r="CB23" s="311"/>
      <c r="CC23" s="311"/>
      <c r="CD23" s="309"/>
      <c r="CE23" s="310"/>
      <c r="CF23" s="311"/>
      <c r="CG23" s="311"/>
      <c r="CH23" s="309"/>
      <c r="CI23" s="310"/>
      <c r="CJ23" s="311"/>
      <c r="CK23" s="311"/>
      <c r="CL23" s="309"/>
      <c r="CM23" s="310"/>
      <c r="CN23" s="311"/>
      <c r="CO23" s="311"/>
      <c r="CP23" s="309"/>
      <c r="CQ23" s="310"/>
      <c r="CR23" s="311"/>
      <c r="CS23" s="311"/>
      <c r="CT23" s="309"/>
      <c r="CU23" s="310"/>
      <c r="CV23" s="311"/>
      <c r="CW23" s="311"/>
      <c r="CX23" s="309"/>
      <c r="CY23" s="310"/>
      <c r="CZ23" s="311"/>
      <c r="DA23" s="311"/>
      <c r="DB23" s="309"/>
      <c r="DC23" s="310"/>
      <c r="DD23" s="311"/>
      <c r="DE23" s="311"/>
      <c r="DF23" s="309"/>
      <c r="DG23" s="310"/>
      <c r="DH23" s="311"/>
      <c r="DI23" s="311"/>
      <c r="DJ23" s="309"/>
      <c r="DK23" s="310"/>
      <c r="DL23" s="311"/>
      <c r="DM23" s="311"/>
      <c r="DN23" s="309"/>
      <c r="DO23" s="310"/>
      <c r="DP23" s="311"/>
      <c r="DQ23" s="311"/>
      <c r="DR23" s="309"/>
      <c r="DS23" s="310"/>
      <c r="DT23" s="311"/>
      <c r="DU23" s="311"/>
      <c r="DV23" s="309"/>
      <c r="DW23" s="310"/>
      <c r="DX23" s="311"/>
      <c r="DY23" s="311"/>
      <c r="DZ23" s="309"/>
      <c r="EA23" s="310"/>
      <c r="EB23" s="311"/>
      <c r="EC23" s="311"/>
      <c r="ED23" s="309"/>
      <c r="EE23" s="310"/>
      <c r="EF23" s="311"/>
      <c r="EG23" s="311"/>
      <c r="EH23" s="309"/>
      <c r="EI23" s="310"/>
      <c r="EJ23" s="311"/>
      <c r="EK23" s="311"/>
      <c r="EL23" s="309"/>
      <c r="EM23" s="310"/>
      <c r="EN23" s="311"/>
      <c r="EO23" s="311"/>
      <c r="EP23" s="309"/>
      <c r="EQ23" s="310"/>
      <c r="ER23" s="311"/>
      <c r="ES23" s="311"/>
      <c r="ET23" s="309"/>
      <c r="EU23" s="310"/>
      <c r="EV23" s="311"/>
      <c r="EW23" s="311"/>
      <c r="EX23" s="309"/>
      <c r="EY23" s="310"/>
      <c r="EZ23" s="311"/>
      <c r="FA23" s="311"/>
      <c r="FB23" s="309"/>
      <c r="FC23" s="310"/>
      <c r="FD23" s="311"/>
      <c r="FE23" s="311"/>
      <c r="FF23" s="309"/>
      <c r="FG23" s="310"/>
      <c r="FH23" s="311"/>
      <c r="FI23" s="311"/>
      <c r="FJ23" s="309"/>
      <c r="FK23" s="310"/>
      <c r="FL23" s="311"/>
      <c r="FM23" s="311"/>
      <c r="FN23" s="309"/>
      <c r="FO23" s="310"/>
      <c r="FP23" s="311"/>
      <c r="FQ23" s="311"/>
      <c r="FR23" s="309"/>
      <c r="FS23" s="310"/>
      <c r="FT23" s="311"/>
      <c r="FU23" s="311"/>
      <c r="FV23" s="309"/>
      <c r="FW23" s="310"/>
      <c r="FX23" s="311"/>
      <c r="FY23" s="311"/>
      <c r="FZ23" s="309"/>
      <c r="GA23" s="310"/>
      <c r="GB23" s="311"/>
      <c r="GC23" s="311"/>
      <c r="GD23" s="309"/>
      <c r="GE23" s="310"/>
      <c r="GF23" s="311"/>
      <c r="GG23" s="311"/>
      <c r="GH23" s="309"/>
      <c r="GI23" s="310"/>
      <c r="GJ23" s="311"/>
      <c r="GK23" s="311"/>
      <c r="GL23" s="309"/>
      <c r="GM23" s="310"/>
      <c r="GN23" s="311"/>
      <c r="GO23" s="311"/>
      <c r="GP23" s="309"/>
      <c r="GQ23" s="310"/>
      <c r="GR23" s="311"/>
      <c r="GS23" s="311"/>
      <c r="GT23" s="309"/>
      <c r="GU23" s="310"/>
      <c r="GV23" s="311"/>
      <c r="GW23" s="311"/>
      <c r="GX23" s="309"/>
      <c r="GY23" s="310"/>
      <c r="GZ23" s="311"/>
      <c r="HA23" s="311"/>
      <c r="HB23" s="309"/>
      <c r="HC23" s="312">
        <f t="shared" si="66"/>
        <v>0</v>
      </c>
      <c r="HD23" s="313">
        <f t="shared" si="66"/>
        <v>0</v>
      </c>
      <c r="HE23" s="313">
        <f t="shared" si="66"/>
        <v>0</v>
      </c>
      <c r="HF23" s="314"/>
      <c r="HG23" s="312">
        <f>SUM(SUMIFS(K23:HB23,$K$13:$HB$13,{"エネルギー管理指定工場等*","県域*"}))</f>
        <v>0</v>
      </c>
      <c r="HH23" s="313">
        <f>SUM(SUMIFS(L23:HC23,$K$13:$HB$13,{"エネルギー管理指定工場等*","県域*"}))</f>
        <v>0</v>
      </c>
      <c r="HI23" s="313">
        <f>SUM(SUMIFS(M23:HD23,$K$13:$HB$13,{"エネルギー管理指定工場等*","県域*"}))</f>
        <v>0</v>
      </c>
      <c r="HJ23" s="314"/>
      <c r="HL23" s="219">
        <v>14</v>
      </c>
      <c r="HM23" s="714" t="str">
        <f t="shared" ca="1" si="49"/>
        <v/>
      </c>
      <c r="HN23" s="715" t="str">
        <f ca="1">IF(COUNTIF(HN$10:HN22,OFFSET(A1_原単位2027,5,HL23+2))&gt;=1,"",OFFSET(A1_原単位2027,5,HL23+2)&amp;"")</f>
        <v/>
      </c>
      <c r="HO23" s="716" t="str">
        <f t="shared" ca="1" si="50"/>
        <v/>
      </c>
      <c r="HP23" s="717" t="str">
        <f t="shared" ca="1" si="51"/>
        <v/>
      </c>
      <c r="HQ23" s="714" t="str">
        <f t="shared" ca="1" si="52"/>
        <v/>
      </c>
      <c r="HR23" s="715" t="str">
        <f ca="1">IF(COUNTIF(HR$10:HR22,OFFSET(A1_原単位2027,17,HL23+2))&gt;=1,"",OFFSET(A1_原単位2027,17,HL23+2)&amp;"")</f>
        <v/>
      </c>
      <c r="HS23" s="718" t="str">
        <f t="shared" ca="1" si="53"/>
        <v/>
      </c>
      <c r="HT23" s="719" t="str">
        <f t="shared" ca="1" si="54"/>
        <v/>
      </c>
      <c r="HU23" s="714" t="str">
        <f t="shared" ca="1" si="55"/>
        <v/>
      </c>
      <c r="HV23" s="715" t="str">
        <f ca="1">IF(COUNTIF(HV$10:HV22,OFFSET(A1_原単位2027,29,HL23+2))&gt;=1,"",OFFSET(A1_原単位2027,29,HL23+2)&amp;"")</f>
        <v/>
      </c>
      <c r="HW23" s="718" t="str">
        <f t="shared" ca="1" si="56"/>
        <v/>
      </c>
      <c r="HX23" s="719" t="str">
        <f t="shared" ca="1" si="57"/>
        <v/>
      </c>
      <c r="HY23" s="714" t="str">
        <f t="shared" ca="1" si="58"/>
        <v/>
      </c>
      <c r="HZ23" s="715" t="str">
        <f ca="1">IF(COUNTIF(HZ$10:HZ22,OFFSET(A1_原単位2027,41,HL23+2))&gt;=1,"",OFFSET(A1_原単位2027,41,HL23+2)&amp;"")</f>
        <v/>
      </c>
      <c r="IA23" s="720" t="str">
        <f t="shared" ca="1" si="59"/>
        <v/>
      </c>
      <c r="IB23" s="721" t="str">
        <f t="shared" ca="1" si="60"/>
        <v/>
      </c>
      <c r="IE23" s="159" t="str">
        <f t="shared" ca="1" si="61"/>
        <v/>
      </c>
      <c r="IF23" s="159" t="str">
        <f t="shared" ca="1" si="62"/>
        <v/>
      </c>
      <c r="IG23" s="159" t="str">
        <f t="shared" ca="1" si="63"/>
        <v/>
      </c>
      <c r="IH23" s="159" t="str">
        <f t="shared" ca="1" si="64"/>
        <v/>
      </c>
    </row>
    <row r="24" spans="2:242" s="164" customFormat="1" ht="20.100000000000001" customHeight="1">
      <c r="B24" s="302"/>
      <c r="C24" s="303" t="s">
        <v>355</v>
      </c>
      <c r="D24" s="304"/>
      <c r="E24" s="305"/>
      <c r="F24" s="303" t="s">
        <v>453</v>
      </c>
      <c r="G24" s="306">
        <v>38.9</v>
      </c>
      <c r="H24" s="307">
        <v>1.9300000000000001E-2</v>
      </c>
      <c r="I24" s="310"/>
      <c r="J24" s="315"/>
      <c r="K24" s="310"/>
      <c r="L24" s="311"/>
      <c r="M24" s="311"/>
      <c r="N24" s="309"/>
      <c r="O24" s="310"/>
      <c r="P24" s="311"/>
      <c r="Q24" s="311"/>
      <c r="R24" s="309"/>
      <c r="S24" s="310"/>
      <c r="T24" s="311"/>
      <c r="U24" s="311"/>
      <c r="V24" s="309"/>
      <c r="W24" s="310"/>
      <c r="X24" s="311"/>
      <c r="Y24" s="311"/>
      <c r="Z24" s="309"/>
      <c r="AA24" s="310"/>
      <c r="AB24" s="311"/>
      <c r="AC24" s="311"/>
      <c r="AD24" s="309"/>
      <c r="AE24" s="310"/>
      <c r="AF24" s="311"/>
      <c r="AG24" s="311"/>
      <c r="AH24" s="309"/>
      <c r="AI24" s="310"/>
      <c r="AJ24" s="311"/>
      <c r="AK24" s="311"/>
      <c r="AL24" s="309"/>
      <c r="AM24" s="310"/>
      <c r="AN24" s="311"/>
      <c r="AO24" s="311"/>
      <c r="AP24" s="309"/>
      <c r="AQ24" s="310"/>
      <c r="AR24" s="311"/>
      <c r="AS24" s="311"/>
      <c r="AT24" s="309"/>
      <c r="AU24" s="310"/>
      <c r="AV24" s="311"/>
      <c r="AW24" s="311"/>
      <c r="AX24" s="309"/>
      <c r="AY24" s="310"/>
      <c r="AZ24" s="311"/>
      <c r="BA24" s="311"/>
      <c r="BB24" s="309"/>
      <c r="BC24" s="310"/>
      <c r="BD24" s="311"/>
      <c r="BE24" s="311"/>
      <c r="BF24" s="309"/>
      <c r="BG24" s="310"/>
      <c r="BH24" s="311"/>
      <c r="BI24" s="311"/>
      <c r="BJ24" s="309"/>
      <c r="BK24" s="310"/>
      <c r="BL24" s="311"/>
      <c r="BM24" s="311"/>
      <c r="BN24" s="309"/>
      <c r="BO24" s="310"/>
      <c r="BP24" s="311"/>
      <c r="BQ24" s="311"/>
      <c r="BR24" s="309"/>
      <c r="BS24" s="310"/>
      <c r="BT24" s="311"/>
      <c r="BU24" s="311"/>
      <c r="BV24" s="309"/>
      <c r="BW24" s="310"/>
      <c r="BX24" s="311"/>
      <c r="BY24" s="311"/>
      <c r="BZ24" s="309"/>
      <c r="CA24" s="310"/>
      <c r="CB24" s="311"/>
      <c r="CC24" s="311"/>
      <c r="CD24" s="309"/>
      <c r="CE24" s="310"/>
      <c r="CF24" s="311"/>
      <c r="CG24" s="311"/>
      <c r="CH24" s="309"/>
      <c r="CI24" s="310"/>
      <c r="CJ24" s="311"/>
      <c r="CK24" s="311"/>
      <c r="CL24" s="309"/>
      <c r="CM24" s="310"/>
      <c r="CN24" s="311"/>
      <c r="CO24" s="311"/>
      <c r="CP24" s="309"/>
      <c r="CQ24" s="310"/>
      <c r="CR24" s="311"/>
      <c r="CS24" s="311"/>
      <c r="CT24" s="309"/>
      <c r="CU24" s="310"/>
      <c r="CV24" s="311"/>
      <c r="CW24" s="311"/>
      <c r="CX24" s="309"/>
      <c r="CY24" s="310"/>
      <c r="CZ24" s="311"/>
      <c r="DA24" s="311"/>
      <c r="DB24" s="309"/>
      <c r="DC24" s="310"/>
      <c r="DD24" s="311"/>
      <c r="DE24" s="311"/>
      <c r="DF24" s="309"/>
      <c r="DG24" s="310"/>
      <c r="DH24" s="311"/>
      <c r="DI24" s="311"/>
      <c r="DJ24" s="309"/>
      <c r="DK24" s="310"/>
      <c r="DL24" s="311"/>
      <c r="DM24" s="311"/>
      <c r="DN24" s="309"/>
      <c r="DO24" s="310"/>
      <c r="DP24" s="311"/>
      <c r="DQ24" s="311"/>
      <c r="DR24" s="309"/>
      <c r="DS24" s="310"/>
      <c r="DT24" s="311"/>
      <c r="DU24" s="311"/>
      <c r="DV24" s="309"/>
      <c r="DW24" s="310"/>
      <c r="DX24" s="311"/>
      <c r="DY24" s="311"/>
      <c r="DZ24" s="309"/>
      <c r="EA24" s="310"/>
      <c r="EB24" s="311"/>
      <c r="EC24" s="311"/>
      <c r="ED24" s="309"/>
      <c r="EE24" s="310"/>
      <c r="EF24" s="311"/>
      <c r="EG24" s="311"/>
      <c r="EH24" s="309"/>
      <c r="EI24" s="310"/>
      <c r="EJ24" s="311"/>
      <c r="EK24" s="311"/>
      <c r="EL24" s="309"/>
      <c r="EM24" s="310"/>
      <c r="EN24" s="311"/>
      <c r="EO24" s="311"/>
      <c r="EP24" s="309"/>
      <c r="EQ24" s="310"/>
      <c r="ER24" s="311"/>
      <c r="ES24" s="311"/>
      <c r="ET24" s="309"/>
      <c r="EU24" s="310"/>
      <c r="EV24" s="311"/>
      <c r="EW24" s="311"/>
      <c r="EX24" s="309"/>
      <c r="EY24" s="310"/>
      <c r="EZ24" s="311"/>
      <c r="FA24" s="311"/>
      <c r="FB24" s="309"/>
      <c r="FC24" s="310"/>
      <c r="FD24" s="311"/>
      <c r="FE24" s="311"/>
      <c r="FF24" s="309"/>
      <c r="FG24" s="310"/>
      <c r="FH24" s="311"/>
      <c r="FI24" s="311"/>
      <c r="FJ24" s="309"/>
      <c r="FK24" s="310"/>
      <c r="FL24" s="311"/>
      <c r="FM24" s="311"/>
      <c r="FN24" s="309"/>
      <c r="FO24" s="310"/>
      <c r="FP24" s="311"/>
      <c r="FQ24" s="311"/>
      <c r="FR24" s="309"/>
      <c r="FS24" s="310"/>
      <c r="FT24" s="311"/>
      <c r="FU24" s="311"/>
      <c r="FV24" s="309"/>
      <c r="FW24" s="310"/>
      <c r="FX24" s="311"/>
      <c r="FY24" s="311"/>
      <c r="FZ24" s="309"/>
      <c r="GA24" s="310"/>
      <c r="GB24" s="311"/>
      <c r="GC24" s="311"/>
      <c r="GD24" s="309"/>
      <c r="GE24" s="310"/>
      <c r="GF24" s="311"/>
      <c r="GG24" s="311"/>
      <c r="GH24" s="309"/>
      <c r="GI24" s="310"/>
      <c r="GJ24" s="311"/>
      <c r="GK24" s="311"/>
      <c r="GL24" s="309"/>
      <c r="GM24" s="310"/>
      <c r="GN24" s="311"/>
      <c r="GO24" s="311"/>
      <c r="GP24" s="309"/>
      <c r="GQ24" s="310"/>
      <c r="GR24" s="311"/>
      <c r="GS24" s="311"/>
      <c r="GT24" s="309"/>
      <c r="GU24" s="310"/>
      <c r="GV24" s="311"/>
      <c r="GW24" s="311"/>
      <c r="GX24" s="309"/>
      <c r="GY24" s="310"/>
      <c r="GZ24" s="311"/>
      <c r="HA24" s="311"/>
      <c r="HB24" s="309"/>
      <c r="HC24" s="312">
        <f t="shared" si="66"/>
        <v>0</v>
      </c>
      <c r="HD24" s="313">
        <f t="shared" si="66"/>
        <v>0</v>
      </c>
      <c r="HE24" s="313">
        <f t="shared" si="66"/>
        <v>0</v>
      </c>
      <c r="HF24" s="314"/>
      <c r="HG24" s="312">
        <f>SUM(SUMIFS(K24:HB24,$K$13:$HB$13,{"エネルギー管理指定工場等*","県域*"}))</f>
        <v>0</v>
      </c>
      <c r="HH24" s="313">
        <f>SUM(SUMIFS(L24:HC24,$K$13:$HB$13,{"エネルギー管理指定工場等*","県域*"}))</f>
        <v>0</v>
      </c>
      <c r="HI24" s="313">
        <f>SUM(SUMIFS(M24:HD24,$K$13:$HB$13,{"エネルギー管理指定工場等*","県域*"}))</f>
        <v>0</v>
      </c>
      <c r="HJ24" s="314"/>
      <c r="HL24" s="219">
        <v>15</v>
      </c>
      <c r="HM24" s="714" t="str">
        <f t="shared" ca="1" si="49"/>
        <v/>
      </c>
      <c r="HN24" s="715" t="str">
        <f ca="1">IF(COUNTIF(HN$10:HN23,OFFSET(A1_原単位2027,5,HL24+2))&gt;=1,"",OFFSET(A1_原単位2027,5,HL24+2)&amp;"")</f>
        <v/>
      </c>
      <c r="HO24" s="716" t="str">
        <f t="shared" ca="1" si="50"/>
        <v/>
      </c>
      <c r="HP24" s="717" t="str">
        <f t="shared" ca="1" si="51"/>
        <v/>
      </c>
      <c r="HQ24" s="714" t="str">
        <f t="shared" ca="1" si="52"/>
        <v/>
      </c>
      <c r="HR24" s="715" t="str">
        <f ca="1">IF(COUNTIF(HR$10:HR23,OFFSET(A1_原単位2027,17,HL24+2))&gt;=1,"",OFFSET(A1_原単位2027,17,HL24+2)&amp;"")</f>
        <v/>
      </c>
      <c r="HS24" s="718" t="str">
        <f t="shared" ca="1" si="53"/>
        <v/>
      </c>
      <c r="HT24" s="719" t="str">
        <f t="shared" ca="1" si="54"/>
        <v/>
      </c>
      <c r="HU24" s="714" t="str">
        <f t="shared" ca="1" si="55"/>
        <v/>
      </c>
      <c r="HV24" s="715" t="str">
        <f ca="1">IF(COUNTIF(HV$10:HV23,OFFSET(A1_原単位2027,29,HL24+2))&gt;=1,"",OFFSET(A1_原単位2027,29,HL24+2)&amp;"")</f>
        <v/>
      </c>
      <c r="HW24" s="718" t="str">
        <f t="shared" ca="1" si="56"/>
        <v/>
      </c>
      <c r="HX24" s="719" t="str">
        <f t="shared" ca="1" si="57"/>
        <v/>
      </c>
      <c r="HY24" s="714" t="str">
        <f t="shared" ca="1" si="58"/>
        <v/>
      </c>
      <c r="HZ24" s="715" t="str">
        <f ca="1">IF(COUNTIF(HZ$10:HZ23,OFFSET(A1_原単位2027,41,HL24+2))&gt;=1,"",OFFSET(A1_原単位2027,41,HL24+2)&amp;"")</f>
        <v/>
      </c>
      <c r="IA24" s="720" t="str">
        <f t="shared" ca="1" si="59"/>
        <v/>
      </c>
      <c r="IB24" s="721" t="str">
        <f t="shared" ca="1" si="60"/>
        <v/>
      </c>
      <c r="IE24" s="159" t="str">
        <f t="shared" ca="1" si="61"/>
        <v/>
      </c>
      <c r="IF24" s="159" t="str">
        <f t="shared" ca="1" si="62"/>
        <v/>
      </c>
      <c r="IG24" s="159" t="str">
        <f t="shared" ca="1" si="63"/>
        <v/>
      </c>
      <c r="IH24" s="159" t="str">
        <f t="shared" ca="1" si="64"/>
        <v/>
      </c>
    </row>
    <row r="25" spans="2:242" s="164" customFormat="1" ht="20.100000000000001" customHeight="1">
      <c r="B25" s="302"/>
      <c r="C25" s="303" t="s">
        <v>356</v>
      </c>
      <c r="D25" s="304"/>
      <c r="E25" s="305"/>
      <c r="F25" s="303" t="s">
        <v>453</v>
      </c>
      <c r="G25" s="306">
        <v>41.8</v>
      </c>
      <c r="H25" s="307">
        <v>2.0199999999999999E-2</v>
      </c>
      <c r="I25" s="310"/>
      <c r="J25" s="315"/>
      <c r="K25" s="310"/>
      <c r="L25" s="311"/>
      <c r="M25" s="311"/>
      <c r="N25" s="309"/>
      <c r="O25" s="310"/>
      <c r="P25" s="311"/>
      <c r="Q25" s="311"/>
      <c r="R25" s="309"/>
      <c r="S25" s="310"/>
      <c r="T25" s="311"/>
      <c r="U25" s="311"/>
      <c r="V25" s="309"/>
      <c r="W25" s="310"/>
      <c r="X25" s="311"/>
      <c r="Y25" s="311"/>
      <c r="Z25" s="309"/>
      <c r="AA25" s="310"/>
      <c r="AB25" s="311"/>
      <c r="AC25" s="311"/>
      <c r="AD25" s="309"/>
      <c r="AE25" s="310"/>
      <c r="AF25" s="311"/>
      <c r="AG25" s="311"/>
      <c r="AH25" s="309"/>
      <c r="AI25" s="310"/>
      <c r="AJ25" s="311"/>
      <c r="AK25" s="311"/>
      <c r="AL25" s="309"/>
      <c r="AM25" s="310"/>
      <c r="AN25" s="311"/>
      <c r="AO25" s="311"/>
      <c r="AP25" s="309"/>
      <c r="AQ25" s="310"/>
      <c r="AR25" s="311"/>
      <c r="AS25" s="311"/>
      <c r="AT25" s="309"/>
      <c r="AU25" s="310"/>
      <c r="AV25" s="311"/>
      <c r="AW25" s="311"/>
      <c r="AX25" s="309"/>
      <c r="AY25" s="310"/>
      <c r="AZ25" s="311"/>
      <c r="BA25" s="311"/>
      <c r="BB25" s="309"/>
      <c r="BC25" s="310"/>
      <c r="BD25" s="311"/>
      <c r="BE25" s="311"/>
      <c r="BF25" s="309"/>
      <c r="BG25" s="310"/>
      <c r="BH25" s="311"/>
      <c r="BI25" s="311"/>
      <c r="BJ25" s="309"/>
      <c r="BK25" s="310"/>
      <c r="BL25" s="311"/>
      <c r="BM25" s="311"/>
      <c r="BN25" s="309"/>
      <c r="BO25" s="310"/>
      <c r="BP25" s="311"/>
      <c r="BQ25" s="311"/>
      <c r="BR25" s="309"/>
      <c r="BS25" s="310"/>
      <c r="BT25" s="311"/>
      <c r="BU25" s="311"/>
      <c r="BV25" s="309"/>
      <c r="BW25" s="310"/>
      <c r="BX25" s="311"/>
      <c r="BY25" s="311"/>
      <c r="BZ25" s="309"/>
      <c r="CA25" s="310"/>
      <c r="CB25" s="311"/>
      <c r="CC25" s="311"/>
      <c r="CD25" s="309"/>
      <c r="CE25" s="310"/>
      <c r="CF25" s="311"/>
      <c r="CG25" s="311"/>
      <c r="CH25" s="309"/>
      <c r="CI25" s="310"/>
      <c r="CJ25" s="311"/>
      <c r="CK25" s="311"/>
      <c r="CL25" s="309"/>
      <c r="CM25" s="310"/>
      <c r="CN25" s="311"/>
      <c r="CO25" s="311"/>
      <c r="CP25" s="309"/>
      <c r="CQ25" s="310"/>
      <c r="CR25" s="311"/>
      <c r="CS25" s="311"/>
      <c r="CT25" s="309"/>
      <c r="CU25" s="310"/>
      <c r="CV25" s="311"/>
      <c r="CW25" s="311"/>
      <c r="CX25" s="309"/>
      <c r="CY25" s="310"/>
      <c r="CZ25" s="311"/>
      <c r="DA25" s="311"/>
      <c r="DB25" s="309"/>
      <c r="DC25" s="310"/>
      <c r="DD25" s="311"/>
      <c r="DE25" s="311"/>
      <c r="DF25" s="309"/>
      <c r="DG25" s="310"/>
      <c r="DH25" s="311"/>
      <c r="DI25" s="311"/>
      <c r="DJ25" s="309"/>
      <c r="DK25" s="310"/>
      <c r="DL25" s="311"/>
      <c r="DM25" s="311"/>
      <c r="DN25" s="309"/>
      <c r="DO25" s="310"/>
      <c r="DP25" s="311"/>
      <c r="DQ25" s="311"/>
      <c r="DR25" s="309"/>
      <c r="DS25" s="310"/>
      <c r="DT25" s="311"/>
      <c r="DU25" s="311"/>
      <c r="DV25" s="309"/>
      <c r="DW25" s="310"/>
      <c r="DX25" s="311"/>
      <c r="DY25" s="311"/>
      <c r="DZ25" s="309"/>
      <c r="EA25" s="310"/>
      <c r="EB25" s="311"/>
      <c r="EC25" s="311"/>
      <c r="ED25" s="309"/>
      <c r="EE25" s="310"/>
      <c r="EF25" s="311"/>
      <c r="EG25" s="311"/>
      <c r="EH25" s="309"/>
      <c r="EI25" s="310"/>
      <c r="EJ25" s="311"/>
      <c r="EK25" s="311"/>
      <c r="EL25" s="309"/>
      <c r="EM25" s="310"/>
      <c r="EN25" s="311"/>
      <c r="EO25" s="311"/>
      <c r="EP25" s="309"/>
      <c r="EQ25" s="310"/>
      <c r="ER25" s="311"/>
      <c r="ES25" s="311"/>
      <c r="ET25" s="309"/>
      <c r="EU25" s="310"/>
      <c r="EV25" s="311"/>
      <c r="EW25" s="311"/>
      <c r="EX25" s="309"/>
      <c r="EY25" s="310"/>
      <c r="EZ25" s="311"/>
      <c r="FA25" s="311"/>
      <c r="FB25" s="309"/>
      <c r="FC25" s="310"/>
      <c r="FD25" s="311"/>
      <c r="FE25" s="311"/>
      <c r="FF25" s="309"/>
      <c r="FG25" s="310"/>
      <c r="FH25" s="311"/>
      <c r="FI25" s="311"/>
      <c r="FJ25" s="309"/>
      <c r="FK25" s="310"/>
      <c r="FL25" s="311"/>
      <c r="FM25" s="311"/>
      <c r="FN25" s="309"/>
      <c r="FO25" s="310"/>
      <c r="FP25" s="311"/>
      <c r="FQ25" s="311"/>
      <c r="FR25" s="309"/>
      <c r="FS25" s="310"/>
      <c r="FT25" s="311"/>
      <c r="FU25" s="311"/>
      <c r="FV25" s="309"/>
      <c r="FW25" s="310"/>
      <c r="FX25" s="311"/>
      <c r="FY25" s="311"/>
      <c r="FZ25" s="309"/>
      <c r="GA25" s="310"/>
      <c r="GB25" s="311"/>
      <c r="GC25" s="311"/>
      <c r="GD25" s="309"/>
      <c r="GE25" s="310"/>
      <c r="GF25" s="311"/>
      <c r="GG25" s="311"/>
      <c r="GH25" s="309"/>
      <c r="GI25" s="310"/>
      <c r="GJ25" s="311"/>
      <c r="GK25" s="311"/>
      <c r="GL25" s="309"/>
      <c r="GM25" s="310"/>
      <c r="GN25" s="311"/>
      <c r="GO25" s="311"/>
      <c r="GP25" s="309"/>
      <c r="GQ25" s="310"/>
      <c r="GR25" s="311"/>
      <c r="GS25" s="311"/>
      <c r="GT25" s="309"/>
      <c r="GU25" s="310"/>
      <c r="GV25" s="311"/>
      <c r="GW25" s="311"/>
      <c r="GX25" s="309"/>
      <c r="GY25" s="310"/>
      <c r="GZ25" s="311"/>
      <c r="HA25" s="311"/>
      <c r="HB25" s="309"/>
      <c r="HC25" s="312">
        <f t="shared" si="66"/>
        <v>0</v>
      </c>
      <c r="HD25" s="313">
        <f t="shared" si="66"/>
        <v>0</v>
      </c>
      <c r="HE25" s="313">
        <f t="shared" si="66"/>
        <v>0</v>
      </c>
      <c r="HF25" s="314"/>
      <c r="HG25" s="312">
        <f>SUM(SUMIFS(K25:HB25,$K$13:$HB$13,{"エネルギー管理指定工場等*","県域*"}))</f>
        <v>0</v>
      </c>
      <c r="HH25" s="313">
        <f>SUM(SUMIFS(L25:HC25,$K$13:$HB$13,{"エネルギー管理指定工場等*","県域*"}))</f>
        <v>0</v>
      </c>
      <c r="HI25" s="313">
        <f>SUM(SUMIFS(M25:HD25,$K$13:$HB$13,{"エネルギー管理指定工場等*","県域*"}))</f>
        <v>0</v>
      </c>
      <c r="HJ25" s="314"/>
      <c r="HL25" s="230">
        <v>16</v>
      </c>
      <c r="HM25" s="714" t="str">
        <f t="shared" ca="1" si="49"/>
        <v/>
      </c>
      <c r="HN25" s="715" t="str">
        <f ca="1">IF(COUNTIF(HN$10:HN24,OFFSET(A1_原単位2027,5,HL25+2))&gt;=1,"",OFFSET(A1_原単位2027,5,HL25+2)&amp;"")</f>
        <v/>
      </c>
      <c r="HO25" s="716" t="str">
        <f t="shared" ca="1" si="50"/>
        <v/>
      </c>
      <c r="HP25" s="717" t="str">
        <f t="shared" ca="1" si="51"/>
        <v/>
      </c>
      <c r="HQ25" s="714" t="str">
        <f t="shared" ca="1" si="52"/>
        <v/>
      </c>
      <c r="HR25" s="715" t="str">
        <f ca="1">IF(COUNTIF(HR$10:HR24,OFFSET(A1_原単位2027,17,HL25+2))&gt;=1,"",OFFSET(A1_原単位2027,17,HL25+2)&amp;"")</f>
        <v/>
      </c>
      <c r="HS25" s="718" t="str">
        <f t="shared" ca="1" si="53"/>
        <v/>
      </c>
      <c r="HT25" s="719" t="str">
        <f t="shared" ca="1" si="54"/>
        <v/>
      </c>
      <c r="HU25" s="714" t="str">
        <f t="shared" ca="1" si="55"/>
        <v/>
      </c>
      <c r="HV25" s="715" t="str">
        <f ca="1">IF(COUNTIF(HV$10:HV24,OFFSET(A1_原単位2027,29,HL25+2))&gt;=1,"",OFFSET(A1_原単位2027,29,HL25+2)&amp;"")</f>
        <v/>
      </c>
      <c r="HW25" s="718" t="str">
        <f t="shared" ca="1" si="56"/>
        <v/>
      </c>
      <c r="HX25" s="719" t="str">
        <f t="shared" ca="1" si="57"/>
        <v/>
      </c>
      <c r="HY25" s="714" t="str">
        <f t="shared" ca="1" si="58"/>
        <v/>
      </c>
      <c r="HZ25" s="715" t="str">
        <f ca="1">IF(COUNTIF(HZ$10:HZ24,OFFSET(A1_原単位2027,41,HL25+2))&gt;=1,"",OFFSET(A1_原単位2027,41,HL25+2)&amp;"")</f>
        <v/>
      </c>
      <c r="IA25" s="720" t="str">
        <f t="shared" ca="1" si="59"/>
        <v/>
      </c>
      <c r="IB25" s="721" t="str">
        <f t="shared" ca="1" si="60"/>
        <v/>
      </c>
      <c r="IE25" s="159" t="str">
        <f t="shared" ca="1" si="61"/>
        <v/>
      </c>
      <c r="IF25" s="159" t="str">
        <f t="shared" ca="1" si="62"/>
        <v/>
      </c>
      <c r="IG25" s="159" t="str">
        <f t="shared" ca="1" si="63"/>
        <v/>
      </c>
      <c r="IH25" s="159" t="str">
        <f t="shared" ca="1" si="64"/>
        <v/>
      </c>
    </row>
    <row r="26" spans="2:242" s="164" customFormat="1" ht="20.100000000000001" customHeight="1">
      <c r="B26" s="302"/>
      <c r="C26" s="303" t="s">
        <v>358</v>
      </c>
      <c r="D26" s="304"/>
      <c r="E26" s="305"/>
      <c r="F26" s="303" t="s">
        <v>455</v>
      </c>
      <c r="G26" s="316">
        <v>40</v>
      </c>
      <c r="H26" s="307">
        <v>2.0400000000000001E-2</v>
      </c>
      <c r="I26" s="308"/>
      <c r="J26" s="309"/>
      <c r="K26" s="310"/>
      <c r="L26" s="311"/>
      <c r="M26" s="311"/>
      <c r="N26" s="309"/>
      <c r="O26" s="310"/>
      <c r="P26" s="311"/>
      <c r="Q26" s="311"/>
      <c r="R26" s="309"/>
      <c r="S26" s="310"/>
      <c r="T26" s="311"/>
      <c r="U26" s="311"/>
      <c r="V26" s="309"/>
      <c r="W26" s="310"/>
      <c r="X26" s="311"/>
      <c r="Y26" s="311"/>
      <c r="Z26" s="309"/>
      <c r="AA26" s="310"/>
      <c r="AB26" s="311"/>
      <c r="AC26" s="311"/>
      <c r="AD26" s="309"/>
      <c r="AE26" s="310"/>
      <c r="AF26" s="311"/>
      <c r="AG26" s="311"/>
      <c r="AH26" s="309"/>
      <c r="AI26" s="310"/>
      <c r="AJ26" s="311"/>
      <c r="AK26" s="311"/>
      <c r="AL26" s="309"/>
      <c r="AM26" s="310"/>
      <c r="AN26" s="311"/>
      <c r="AO26" s="311"/>
      <c r="AP26" s="309"/>
      <c r="AQ26" s="310"/>
      <c r="AR26" s="311"/>
      <c r="AS26" s="311"/>
      <c r="AT26" s="309"/>
      <c r="AU26" s="310"/>
      <c r="AV26" s="311"/>
      <c r="AW26" s="311"/>
      <c r="AX26" s="309"/>
      <c r="AY26" s="310"/>
      <c r="AZ26" s="311"/>
      <c r="BA26" s="311"/>
      <c r="BB26" s="309"/>
      <c r="BC26" s="310"/>
      <c r="BD26" s="311"/>
      <c r="BE26" s="311"/>
      <c r="BF26" s="309"/>
      <c r="BG26" s="310"/>
      <c r="BH26" s="311"/>
      <c r="BI26" s="311"/>
      <c r="BJ26" s="309"/>
      <c r="BK26" s="310"/>
      <c r="BL26" s="311"/>
      <c r="BM26" s="311"/>
      <c r="BN26" s="309"/>
      <c r="BO26" s="310"/>
      <c r="BP26" s="311"/>
      <c r="BQ26" s="311"/>
      <c r="BR26" s="309"/>
      <c r="BS26" s="310"/>
      <c r="BT26" s="311"/>
      <c r="BU26" s="311"/>
      <c r="BV26" s="309"/>
      <c r="BW26" s="310"/>
      <c r="BX26" s="311"/>
      <c r="BY26" s="311"/>
      <c r="BZ26" s="309"/>
      <c r="CA26" s="310"/>
      <c r="CB26" s="311"/>
      <c r="CC26" s="311"/>
      <c r="CD26" s="309"/>
      <c r="CE26" s="310"/>
      <c r="CF26" s="311"/>
      <c r="CG26" s="311"/>
      <c r="CH26" s="309"/>
      <c r="CI26" s="310"/>
      <c r="CJ26" s="311"/>
      <c r="CK26" s="311"/>
      <c r="CL26" s="309"/>
      <c r="CM26" s="310"/>
      <c r="CN26" s="311"/>
      <c r="CO26" s="311"/>
      <c r="CP26" s="309"/>
      <c r="CQ26" s="310"/>
      <c r="CR26" s="311"/>
      <c r="CS26" s="311"/>
      <c r="CT26" s="309"/>
      <c r="CU26" s="310"/>
      <c r="CV26" s="311"/>
      <c r="CW26" s="311"/>
      <c r="CX26" s="309"/>
      <c r="CY26" s="310"/>
      <c r="CZ26" s="311"/>
      <c r="DA26" s="311"/>
      <c r="DB26" s="309"/>
      <c r="DC26" s="310"/>
      <c r="DD26" s="311"/>
      <c r="DE26" s="311"/>
      <c r="DF26" s="309"/>
      <c r="DG26" s="310"/>
      <c r="DH26" s="311"/>
      <c r="DI26" s="311"/>
      <c r="DJ26" s="309"/>
      <c r="DK26" s="310"/>
      <c r="DL26" s="311"/>
      <c r="DM26" s="311"/>
      <c r="DN26" s="309"/>
      <c r="DO26" s="310"/>
      <c r="DP26" s="311"/>
      <c r="DQ26" s="311"/>
      <c r="DR26" s="309"/>
      <c r="DS26" s="310"/>
      <c r="DT26" s="311"/>
      <c r="DU26" s="311"/>
      <c r="DV26" s="309"/>
      <c r="DW26" s="310"/>
      <c r="DX26" s="311"/>
      <c r="DY26" s="311"/>
      <c r="DZ26" s="309"/>
      <c r="EA26" s="310"/>
      <c r="EB26" s="311"/>
      <c r="EC26" s="311"/>
      <c r="ED26" s="309"/>
      <c r="EE26" s="310"/>
      <c r="EF26" s="311"/>
      <c r="EG26" s="311"/>
      <c r="EH26" s="309"/>
      <c r="EI26" s="310"/>
      <c r="EJ26" s="311"/>
      <c r="EK26" s="311"/>
      <c r="EL26" s="309"/>
      <c r="EM26" s="310"/>
      <c r="EN26" s="311"/>
      <c r="EO26" s="311"/>
      <c r="EP26" s="309"/>
      <c r="EQ26" s="310"/>
      <c r="ER26" s="311"/>
      <c r="ES26" s="311"/>
      <c r="ET26" s="309"/>
      <c r="EU26" s="310"/>
      <c r="EV26" s="311"/>
      <c r="EW26" s="311"/>
      <c r="EX26" s="309"/>
      <c r="EY26" s="310"/>
      <c r="EZ26" s="311"/>
      <c r="FA26" s="311"/>
      <c r="FB26" s="309"/>
      <c r="FC26" s="310"/>
      <c r="FD26" s="311"/>
      <c r="FE26" s="311"/>
      <c r="FF26" s="309"/>
      <c r="FG26" s="310"/>
      <c r="FH26" s="311"/>
      <c r="FI26" s="311"/>
      <c r="FJ26" s="309"/>
      <c r="FK26" s="310"/>
      <c r="FL26" s="311"/>
      <c r="FM26" s="311"/>
      <c r="FN26" s="309"/>
      <c r="FO26" s="310"/>
      <c r="FP26" s="311"/>
      <c r="FQ26" s="311"/>
      <c r="FR26" s="309"/>
      <c r="FS26" s="310"/>
      <c r="FT26" s="311"/>
      <c r="FU26" s="311"/>
      <c r="FV26" s="309"/>
      <c r="FW26" s="310"/>
      <c r="FX26" s="311"/>
      <c r="FY26" s="311"/>
      <c r="FZ26" s="309"/>
      <c r="GA26" s="310"/>
      <c r="GB26" s="311"/>
      <c r="GC26" s="311"/>
      <c r="GD26" s="309"/>
      <c r="GE26" s="310"/>
      <c r="GF26" s="311"/>
      <c r="GG26" s="311"/>
      <c r="GH26" s="309"/>
      <c r="GI26" s="310"/>
      <c r="GJ26" s="311"/>
      <c r="GK26" s="311"/>
      <c r="GL26" s="309"/>
      <c r="GM26" s="310"/>
      <c r="GN26" s="311"/>
      <c r="GO26" s="311"/>
      <c r="GP26" s="309"/>
      <c r="GQ26" s="310"/>
      <c r="GR26" s="311"/>
      <c r="GS26" s="311"/>
      <c r="GT26" s="309"/>
      <c r="GU26" s="310"/>
      <c r="GV26" s="311"/>
      <c r="GW26" s="311"/>
      <c r="GX26" s="309"/>
      <c r="GY26" s="310"/>
      <c r="GZ26" s="311"/>
      <c r="HA26" s="311"/>
      <c r="HB26" s="309"/>
      <c r="HC26" s="312">
        <f t="shared" si="66"/>
        <v>0</v>
      </c>
      <c r="HD26" s="313">
        <f t="shared" si="66"/>
        <v>0</v>
      </c>
      <c r="HE26" s="313">
        <f t="shared" si="66"/>
        <v>0</v>
      </c>
      <c r="HF26" s="314"/>
      <c r="HG26" s="312">
        <f>SUM(SUMIFS(K26:HB26,$K$13:$HB$13,{"エネルギー管理指定工場等*","県域*"}))</f>
        <v>0</v>
      </c>
      <c r="HH26" s="313">
        <f>SUM(SUMIFS(L26:HC26,$K$13:$HB$13,{"エネルギー管理指定工場等*","県域*"}))</f>
        <v>0</v>
      </c>
      <c r="HI26" s="313">
        <f>SUM(SUMIFS(M26:HD26,$K$13:$HB$13,{"エネルギー管理指定工場等*","県域*"}))</f>
        <v>0</v>
      </c>
      <c r="HJ26" s="314"/>
      <c r="HL26" s="219">
        <v>17</v>
      </c>
      <c r="HM26" s="714" t="str">
        <f t="shared" ca="1" si="49"/>
        <v/>
      </c>
      <c r="HN26" s="715" t="str">
        <f ca="1">IF(COUNTIF(HN$10:HN25,OFFSET(A1_原単位2027,5,HL26+2))&gt;=1,"",OFFSET(A1_原単位2027,5,HL26+2)&amp;"")</f>
        <v/>
      </c>
      <c r="HO26" s="716" t="str">
        <f t="shared" ca="1" si="50"/>
        <v/>
      </c>
      <c r="HP26" s="717" t="str">
        <f t="shared" ca="1" si="51"/>
        <v/>
      </c>
      <c r="HQ26" s="714" t="str">
        <f t="shared" ca="1" si="52"/>
        <v/>
      </c>
      <c r="HR26" s="715" t="str">
        <f ca="1">IF(COUNTIF(HR$10:HR25,OFFSET(A1_原単位2027,17,HL26+2))&gt;=1,"",OFFSET(A1_原単位2027,17,HL26+2)&amp;"")</f>
        <v/>
      </c>
      <c r="HS26" s="718" t="str">
        <f t="shared" ca="1" si="53"/>
        <v/>
      </c>
      <c r="HT26" s="719" t="str">
        <f t="shared" ca="1" si="54"/>
        <v/>
      </c>
      <c r="HU26" s="714" t="str">
        <f t="shared" ca="1" si="55"/>
        <v/>
      </c>
      <c r="HV26" s="715" t="str">
        <f ca="1">IF(COUNTIF(HV$10:HV25,OFFSET(A1_原単位2027,29,HL26+2))&gt;=1,"",OFFSET(A1_原単位2027,29,HL26+2)&amp;"")</f>
        <v/>
      </c>
      <c r="HW26" s="718" t="str">
        <f t="shared" ca="1" si="56"/>
        <v/>
      </c>
      <c r="HX26" s="719" t="str">
        <f t="shared" ca="1" si="57"/>
        <v/>
      </c>
      <c r="HY26" s="714" t="str">
        <f t="shared" ca="1" si="58"/>
        <v/>
      </c>
      <c r="HZ26" s="715" t="str">
        <f ca="1">IF(COUNTIF(HZ$10:HZ25,OFFSET(A1_原単位2027,41,HL26+2))&gt;=1,"",OFFSET(A1_原単位2027,41,HL26+2)&amp;"")</f>
        <v/>
      </c>
      <c r="IA26" s="720" t="str">
        <f t="shared" ca="1" si="59"/>
        <v/>
      </c>
      <c r="IB26" s="721" t="str">
        <f t="shared" ca="1" si="60"/>
        <v/>
      </c>
      <c r="IE26" s="159" t="str">
        <f t="shared" ca="1" si="61"/>
        <v/>
      </c>
      <c r="IF26" s="159" t="str">
        <f t="shared" ca="1" si="62"/>
        <v/>
      </c>
      <c r="IG26" s="159" t="str">
        <f t="shared" ca="1" si="63"/>
        <v/>
      </c>
      <c r="IH26" s="159" t="str">
        <f t="shared" ca="1" si="64"/>
        <v/>
      </c>
    </row>
    <row r="27" spans="2:242" s="164" customFormat="1" ht="20.100000000000001" customHeight="1">
      <c r="B27" s="302"/>
      <c r="C27" s="303" t="s">
        <v>359</v>
      </c>
      <c r="D27" s="304"/>
      <c r="E27" s="305"/>
      <c r="F27" s="303" t="s">
        <v>455</v>
      </c>
      <c r="G27" s="306">
        <v>34.1</v>
      </c>
      <c r="H27" s="307">
        <v>2.5399999999999999E-2</v>
      </c>
      <c r="I27" s="308"/>
      <c r="J27" s="309"/>
      <c r="K27" s="310"/>
      <c r="L27" s="311"/>
      <c r="M27" s="311"/>
      <c r="N27" s="309"/>
      <c r="O27" s="310"/>
      <c r="P27" s="311"/>
      <c r="Q27" s="311"/>
      <c r="R27" s="309"/>
      <c r="S27" s="310"/>
      <c r="T27" s="311"/>
      <c r="U27" s="311"/>
      <c r="V27" s="309"/>
      <c r="W27" s="310"/>
      <c r="X27" s="311"/>
      <c r="Y27" s="311"/>
      <c r="Z27" s="309"/>
      <c r="AA27" s="310"/>
      <c r="AB27" s="311"/>
      <c r="AC27" s="311"/>
      <c r="AD27" s="309"/>
      <c r="AE27" s="310"/>
      <c r="AF27" s="311"/>
      <c r="AG27" s="311"/>
      <c r="AH27" s="309"/>
      <c r="AI27" s="310"/>
      <c r="AJ27" s="311"/>
      <c r="AK27" s="311"/>
      <c r="AL27" s="309"/>
      <c r="AM27" s="310"/>
      <c r="AN27" s="311"/>
      <c r="AO27" s="311"/>
      <c r="AP27" s="309"/>
      <c r="AQ27" s="310"/>
      <c r="AR27" s="311"/>
      <c r="AS27" s="311"/>
      <c r="AT27" s="309"/>
      <c r="AU27" s="310"/>
      <c r="AV27" s="311"/>
      <c r="AW27" s="311"/>
      <c r="AX27" s="309"/>
      <c r="AY27" s="310"/>
      <c r="AZ27" s="311"/>
      <c r="BA27" s="311"/>
      <c r="BB27" s="309"/>
      <c r="BC27" s="310"/>
      <c r="BD27" s="311"/>
      <c r="BE27" s="311"/>
      <c r="BF27" s="309"/>
      <c r="BG27" s="310"/>
      <c r="BH27" s="311"/>
      <c r="BI27" s="311"/>
      <c r="BJ27" s="309"/>
      <c r="BK27" s="310"/>
      <c r="BL27" s="311"/>
      <c r="BM27" s="311"/>
      <c r="BN27" s="309"/>
      <c r="BO27" s="310"/>
      <c r="BP27" s="311"/>
      <c r="BQ27" s="311"/>
      <c r="BR27" s="309"/>
      <c r="BS27" s="310"/>
      <c r="BT27" s="311"/>
      <c r="BU27" s="311"/>
      <c r="BV27" s="309"/>
      <c r="BW27" s="310"/>
      <c r="BX27" s="311"/>
      <c r="BY27" s="311"/>
      <c r="BZ27" s="309"/>
      <c r="CA27" s="310"/>
      <c r="CB27" s="311"/>
      <c r="CC27" s="311"/>
      <c r="CD27" s="309"/>
      <c r="CE27" s="310"/>
      <c r="CF27" s="311"/>
      <c r="CG27" s="311"/>
      <c r="CH27" s="309"/>
      <c r="CI27" s="310"/>
      <c r="CJ27" s="311"/>
      <c r="CK27" s="311"/>
      <c r="CL27" s="309"/>
      <c r="CM27" s="310"/>
      <c r="CN27" s="311"/>
      <c r="CO27" s="311"/>
      <c r="CP27" s="309"/>
      <c r="CQ27" s="310"/>
      <c r="CR27" s="311"/>
      <c r="CS27" s="311"/>
      <c r="CT27" s="309"/>
      <c r="CU27" s="310"/>
      <c r="CV27" s="311"/>
      <c r="CW27" s="311"/>
      <c r="CX27" s="309"/>
      <c r="CY27" s="310"/>
      <c r="CZ27" s="311"/>
      <c r="DA27" s="311"/>
      <c r="DB27" s="309"/>
      <c r="DC27" s="310"/>
      <c r="DD27" s="311"/>
      <c r="DE27" s="311"/>
      <c r="DF27" s="309"/>
      <c r="DG27" s="310"/>
      <c r="DH27" s="311"/>
      <c r="DI27" s="311"/>
      <c r="DJ27" s="309"/>
      <c r="DK27" s="310"/>
      <c r="DL27" s="311"/>
      <c r="DM27" s="311"/>
      <c r="DN27" s="309"/>
      <c r="DO27" s="310"/>
      <c r="DP27" s="311"/>
      <c r="DQ27" s="311"/>
      <c r="DR27" s="309"/>
      <c r="DS27" s="310"/>
      <c r="DT27" s="311"/>
      <c r="DU27" s="311"/>
      <c r="DV27" s="309"/>
      <c r="DW27" s="310"/>
      <c r="DX27" s="311"/>
      <c r="DY27" s="311"/>
      <c r="DZ27" s="309"/>
      <c r="EA27" s="310"/>
      <c r="EB27" s="311"/>
      <c r="EC27" s="311"/>
      <c r="ED27" s="309"/>
      <c r="EE27" s="310"/>
      <c r="EF27" s="311"/>
      <c r="EG27" s="311"/>
      <c r="EH27" s="309"/>
      <c r="EI27" s="310"/>
      <c r="EJ27" s="311"/>
      <c r="EK27" s="311"/>
      <c r="EL27" s="309"/>
      <c r="EM27" s="310"/>
      <c r="EN27" s="311"/>
      <c r="EO27" s="311"/>
      <c r="EP27" s="309"/>
      <c r="EQ27" s="310"/>
      <c r="ER27" s="311"/>
      <c r="ES27" s="311"/>
      <c r="ET27" s="309"/>
      <c r="EU27" s="310"/>
      <c r="EV27" s="311"/>
      <c r="EW27" s="311"/>
      <c r="EX27" s="309"/>
      <c r="EY27" s="310"/>
      <c r="EZ27" s="311"/>
      <c r="FA27" s="311"/>
      <c r="FB27" s="309"/>
      <c r="FC27" s="310"/>
      <c r="FD27" s="311"/>
      <c r="FE27" s="311"/>
      <c r="FF27" s="309"/>
      <c r="FG27" s="310"/>
      <c r="FH27" s="311"/>
      <c r="FI27" s="311"/>
      <c r="FJ27" s="309"/>
      <c r="FK27" s="310"/>
      <c r="FL27" s="311"/>
      <c r="FM27" s="311"/>
      <c r="FN27" s="309"/>
      <c r="FO27" s="310"/>
      <c r="FP27" s="311"/>
      <c r="FQ27" s="311"/>
      <c r="FR27" s="309"/>
      <c r="FS27" s="310"/>
      <c r="FT27" s="311"/>
      <c r="FU27" s="311"/>
      <c r="FV27" s="309"/>
      <c r="FW27" s="310"/>
      <c r="FX27" s="311"/>
      <c r="FY27" s="311"/>
      <c r="FZ27" s="309"/>
      <c r="GA27" s="310"/>
      <c r="GB27" s="311"/>
      <c r="GC27" s="311"/>
      <c r="GD27" s="309"/>
      <c r="GE27" s="310"/>
      <c r="GF27" s="311"/>
      <c r="GG27" s="311"/>
      <c r="GH27" s="309"/>
      <c r="GI27" s="310"/>
      <c r="GJ27" s="311"/>
      <c r="GK27" s="311"/>
      <c r="GL27" s="309"/>
      <c r="GM27" s="310"/>
      <c r="GN27" s="311"/>
      <c r="GO27" s="311"/>
      <c r="GP27" s="309"/>
      <c r="GQ27" s="310"/>
      <c r="GR27" s="311"/>
      <c r="GS27" s="311"/>
      <c r="GT27" s="309"/>
      <c r="GU27" s="310"/>
      <c r="GV27" s="311"/>
      <c r="GW27" s="311"/>
      <c r="GX27" s="309"/>
      <c r="GY27" s="310"/>
      <c r="GZ27" s="311"/>
      <c r="HA27" s="311"/>
      <c r="HB27" s="309"/>
      <c r="HC27" s="312">
        <f t="shared" si="66"/>
        <v>0</v>
      </c>
      <c r="HD27" s="313">
        <f t="shared" si="66"/>
        <v>0</v>
      </c>
      <c r="HE27" s="313">
        <f t="shared" si="66"/>
        <v>0</v>
      </c>
      <c r="HF27" s="314"/>
      <c r="HG27" s="312">
        <f>SUM(SUMIFS(K27:HB27,$K$13:$HB$13,{"エネルギー管理指定工場等*","県域*"}))</f>
        <v>0</v>
      </c>
      <c r="HH27" s="313">
        <f>SUM(SUMIFS(L27:HC27,$K$13:$HB$13,{"エネルギー管理指定工場等*","県域*"}))</f>
        <v>0</v>
      </c>
      <c r="HI27" s="313">
        <f>SUM(SUMIFS(M27:HD27,$K$13:$HB$13,{"エネルギー管理指定工場等*","県域*"}))</f>
        <v>0</v>
      </c>
      <c r="HJ27" s="314"/>
      <c r="HL27" s="230">
        <v>18</v>
      </c>
      <c r="HM27" s="714" t="str">
        <f t="shared" ca="1" si="49"/>
        <v/>
      </c>
      <c r="HN27" s="715" t="str">
        <f ca="1">IF(COUNTIF(HN$10:HN26,OFFSET(A1_原単位2027,5,HL27+2))&gt;=1,"",OFFSET(A1_原単位2027,5,HL27+2)&amp;"")</f>
        <v/>
      </c>
      <c r="HO27" s="716" t="str">
        <f t="shared" ca="1" si="50"/>
        <v/>
      </c>
      <c r="HP27" s="717" t="str">
        <f t="shared" ca="1" si="51"/>
        <v/>
      </c>
      <c r="HQ27" s="714" t="str">
        <f t="shared" ca="1" si="52"/>
        <v/>
      </c>
      <c r="HR27" s="715" t="str">
        <f ca="1">IF(COUNTIF(HR$10:HR26,OFFSET(A1_原単位2027,17,HL27+2))&gt;=1,"",OFFSET(A1_原単位2027,17,HL27+2)&amp;"")</f>
        <v/>
      </c>
      <c r="HS27" s="718" t="str">
        <f t="shared" ca="1" si="53"/>
        <v/>
      </c>
      <c r="HT27" s="719" t="str">
        <f t="shared" ca="1" si="54"/>
        <v/>
      </c>
      <c r="HU27" s="714" t="str">
        <f t="shared" ca="1" si="55"/>
        <v/>
      </c>
      <c r="HV27" s="715" t="str">
        <f ca="1">IF(COUNTIF(HV$10:HV26,OFFSET(A1_原単位2027,29,HL27+2))&gt;=1,"",OFFSET(A1_原単位2027,29,HL27+2)&amp;"")</f>
        <v/>
      </c>
      <c r="HW27" s="718" t="str">
        <f t="shared" ca="1" si="56"/>
        <v/>
      </c>
      <c r="HX27" s="719" t="str">
        <f t="shared" ca="1" si="57"/>
        <v/>
      </c>
      <c r="HY27" s="714" t="str">
        <f t="shared" ca="1" si="58"/>
        <v/>
      </c>
      <c r="HZ27" s="715" t="str">
        <f ca="1">IF(COUNTIF(HZ$10:HZ26,OFFSET(A1_原単位2027,41,HL27+2))&gt;=1,"",OFFSET(A1_原単位2027,41,HL27+2)&amp;"")</f>
        <v/>
      </c>
      <c r="IA27" s="720" t="str">
        <f t="shared" ca="1" si="59"/>
        <v/>
      </c>
      <c r="IB27" s="721" t="str">
        <f t="shared" ca="1" si="60"/>
        <v/>
      </c>
      <c r="IE27" s="159" t="str">
        <f t="shared" ca="1" si="61"/>
        <v/>
      </c>
      <c r="IF27" s="159" t="str">
        <f t="shared" ca="1" si="62"/>
        <v/>
      </c>
      <c r="IG27" s="159" t="str">
        <f t="shared" ca="1" si="63"/>
        <v/>
      </c>
      <c r="IH27" s="159" t="str">
        <f t="shared" ca="1" si="64"/>
        <v/>
      </c>
    </row>
    <row r="28" spans="2:242" s="164" customFormat="1" ht="20.100000000000001" customHeight="1">
      <c r="B28" s="302"/>
      <c r="C28" s="317" t="s">
        <v>456</v>
      </c>
      <c r="D28" s="303" t="s">
        <v>576</v>
      </c>
      <c r="E28" s="305"/>
      <c r="F28" s="303" t="s">
        <v>455</v>
      </c>
      <c r="G28" s="306">
        <v>50.1</v>
      </c>
      <c r="H28" s="307">
        <v>1.6299999999999999E-2</v>
      </c>
      <c r="I28" s="310"/>
      <c r="J28" s="315"/>
      <c r="K28" s="310"/>
      <c r="L28" s="311"/>
      <c r="M28" s="311"/>
      <c r="N28" s="309"/>
      <c r="O28" s="310"/>
      <c r="P28" s="311"/>
      <c r="Q28" s="311"/>
      <c r="R28" s="309"/>
      <c r="S28" s="310"/>
      <c r="T28" s="311"/>
      <c r="U28" s="311"/>
      <c r="V28" s="309"/>
      <c r="W28" s="310"/>
      <c r="X28" s="311"/>
      <c r="Y28" s="311"/>
      <c r="Z28" s="309"/>
      <c r="AA28" s="310"/>
      <c r="AB28" s="311"/>
      <c r="AC28" s="311"/>
      <c r="AD28" s="309"/>
      <c r="AE28" s="310"/>
      <c r="AF28" s="311"/>
      <c r="AG28" s="311"/>
      <c r="AH28" s="309"/>
      <c r="AI28" s="310"/>
      <c r="AJ28" s="311"/>
      <c r="AK28" s="311"/>
      <c r="AL28" s="309"/>
      <c r="AM28" s="310"/>
      <c r="AN28" s="311"/>
      <c r="AO28" s="311"/>
      <c r="AP28" s="309"/>
      <c r="AQ28" s="310"/>
      <c r="AR28" s="311"/>
      <c r="AS28" s="311"/>
      <c r="AT28" s="309"/>
      <c r="AU28" s="310"/>
      <c r="AV28" s="311"/>
      <c r="AW28" s="311"/>
      <c r="AX28" s="309"/>
      <c r="AY28" s="310"/>
      <c r="AZ28" s="311"/>
      <c r="BA28" s="311"/>
      <c r="BB28" s="309"/>
      <c r="BC28" s="310"/>
      <c r="BD28" s="311"/>
      <c r="BE28" s="311"/>
      <c r="BF28" s="309"/>
      <c r="BG28" s="310"/>
      <c r="BH28" s="311"/>
      <c r="BI28" s="311"/>
      <c r="BJ28" s="309"/>
      <c r="BK28" s="310"/>
      <c r="BL28" s="311"/>
      <c r="BM28" s="311"/>
      <c r="BN28" s="309"/>
      <c r="BO28" s="310"/>
      <c r="BP28" s="311"/>
      <c r="BQ28" s="311"/>
      <c r="BR28" s="309"/>
      <c r="BS28" s="310"/>
      <c r="BT28" s="311"/>
      <c r="BU28" s="311"/>
      <c r="BV28" s="309"/>
      <c r="BW28" s="310"/>
      <c r="BX28" s="311"/>
      <c r="BY28" s="311"/>
      <c r="BZ28" s="309"/>
      <c r="CA28" s="310"/>
      <c r="CB28" s="311"/>
      <c r="CC28" s="311"/>
      <c r="CD28" s="309"/>
      <c r="CE28" s="310"/>
      <c r="CF28" s="311"/>
      <c r="CG28" s="311"/>
      <c r="CH28" s="309"/>
      <c r="CI28" s="310"/>
      <c r="CJ28" s="311"/>
      <c r="CK28" s="311"/>
      <c r="CL28" s="309"/>
      <c r="CM28" s="310"/>
      <c r="CN28" s="311"/>
      <c r="CO28" s="311"/>
      <c r="CP28" s="309"/>
      <c r="CQ28" s="310"/>
      <c r="CR28" s="311"/>
      <c r="CS28" s="311"/>
      <c r="CT28" s="309"/>
      <c r="CU28" s="310"/>
      <c r="CV28" s="311"/>
      <c r="CW28" s="311"/>
      <c r="CX28" s="309"/>
      <c r="CY28" s="310"/>
      <c r="CZ28" s="311"/>
      <c r="DA28" s="311"/>
      <c r="DB28" s="309"/>
      <c r="DC28" s="310"/>
      <c r="DD28" s="311"/>
      <c r="DE28" s="311"/>
      <c r="DF28" s="309"/>
      <c r="DG28" s="310"/>
      <c r="DH28" s="311"/>
      <c r="DI28" s="311"/>
      <c r="DJ28" s="309"/>
      <c r="DK28" s="310"/>
      <c r="DL28" s="311"/>
      <c r="DM28" s="311"/>
      <c r="DN28" s="309"/>
      <c r="DO28" s="310"/>
      <c r="DP28" s="311"/>
      <c r="DQ28" s="311"/>
      <c r="DR28" s="309"/>
      <c r="DS28" s="310"/>
      <c r="DT28" s="311"/>
      <c r="DU28" s="311"/>
      <c r="DV28" s="309"/>
      <c r="DW28" s="310"/>
      <c r="DX28" s="311"/>
      <c r="DY28" s="311"/>
      <c r="DZ28" s="309"/>
      <c r="EA28" s="310"/>
      <c r="EB28" s="311"/>
      <c r="EC28" s="311"/>
      <c r="ED28" s="309"/>
      <c r="EE28" s="310"/>
      <c r="EF28" s="311"/>
      <c r="EG28" s="311"/>
      <c r="EH28" s="309"/>
      <c r="EI28" s="310"/>
      <c r="EJ28" s="311"/>
      <c r="EK28" s="311"/>
      <c r="EL28" s="309"/>
      <c r="EM28" s="310"/>
      <c r="EN28" s="311"/>
      <c r="EO28" s="311"/>
      <c r="EP28" s="309"/>
      <c r="EQ28" s="310"/>
      <c r="ER28" s="311"/>
      <c r="ES28" s="311"/>
      <c r="ET28" s="309"/>
      <c r="EU28" s="310"/>
      <c r="EV28" s="311"/>
      <c r="EW28" s="311"/>
      <c r="EX28" s="309"/>
      <c r="EY28" s="310"/>
      <c r="EZ28" s="311"/>
      <c r="FA28" s="311"/>
      <c r="FB28" s="309"/>
      <c r="FC28" s="310"/>
      <c r="FD28" s="311"/>
      <c r="FE28" s="311"/>
      <c r="FF28" s="309"/>
      <c r="FG28" s="310"/>
      <c r="FH28" s="311"/>
      <c r="FI28" s="311"/>
      <c r="FJ28" s="309"/>
      <c r="FK28" s="310"/>
      <c r="FL28" s="311"/>
      <c r="FM28" s="311"/>
      <c r="FN28" s="309"/>
      <c r="FO28" s="310"/>
      <c r="FP28" s="311"/>
      <c r="FQ28" s="311"/>
      <c r="FR28" s="309"/>
      <c r="FS28" s="310"/>
      <c r="FT28" s="311"/>
      <c r="FU28" s="311"/>
      <c r="FV28" s="309"/>
      <c r="FW28" s="310"/>
      <c r="FX28" s="311"/>
      <c r="FY28" s="311"/>
      <c r="FZ28" s="309"/>
      <c r="GA28" s="310"/>
      <c r="GB28" s="311"/>
      <c r="GC28" s="311"/>
      <c r="GD28" s="309"/>
      <c r="GE28" s="310"/>
      <c r="GF28" s="311"/>
      <c r="GG28" s="311"/>
      <c r="GH28" s="309"/>
      <c r="GI28" s="310"/>
      <c r="GJ28" s="311"/>
      <c r="GK28" s="311"/>
      <c r="GL28" s="309"/>
      <c r="GM28" s="310"/>
      <c r="GN28" s="311"/>
      <c r="GO28" s="311"/>
      <c r="GP28" s="309"/>
      <c r="GQ28" s="310"/>
      <c r="GR28" s="311"/>
      <c r="GS28" s="311"/>
      <c r="GT28" s="309"/>
      <c r="GU28" s="310"/>
      <c r="GV28" s="311"/>
      <c r="GW28" s="311"/>
      <c r="GX28" s="309"/>
      <c r="GY28" s="310"/>
      <c r="GZ28" s="311"/>
      <c r="HA28" s="311"/>
      <c r="HB28" s="309"/>
      <c r="HC28" s="312">
        <f t="shared" si="66"/>
        <v>0</v>
      </c>
      <c r="HD28" s="313">
        <f t="shared" si="66"/>
        <v>0</v>
      </c>
      <c r="HE28" s="313">
        <f t="shared" si="66"/>
        <v>0</v>
      </c>
      <c r="HF28" s="314"/>
      <c r="HG28" s="312">
        <f>SUM(SUMIFS(K28:HB28,$K$13:$HB$13,{"エネルギー管理指定工場等*","県域*"}))</f>
        <v>0</v>
      </c>
      <c r="HH28" s="313">
        <f>SUM(SUMIFS(L28:HC28,$K$13:$HB$13,{"エネルギー管理指定工場等*","県域*"}))</f>
        <v>0</v>
      </c>
      <c r="HI28" s="313">
        <f>SUM(SUMIFS(M28:HD28,$K$13:$HB$13,{"エネルギー管理指定工場等*","県域*"}))</f>
        <v>0</v>
      </c>
      <c r="HJ28" s="314"/>
      <c r="HL28" s="219">
        <v>19</v>
      </c>
      <c r="HM28" s="714" t="str">
        <f t="shared" ca="1" si="49"/>
        <v/>
      </c>
      <c r="HN28" s="715" t="str">
        <f ca="1">IF(COUNTIF(HN$10:HN27,OFFSET(A1_原単位2027,5,HL28+2))&gt;=1,"",OFFSET(A1_原単位2027,5,HL28+2)&amp;"")</f>
        <v/>
      </c>
      <c r="HO28" s="716" t="str">
        <f t="shared" ca="1" si="50"/>
        <v/>
      </c>
      <c r="HP28" s="717" t="str">
        <f t="shared" ca="1" si="51"/>
        <v/>
      </c>
      <c r="HQ28" s="714" t="str">
        <f t="shared" ca="1" si="52"/>
        <v/>
      </c>
      <c r="HR28" s="715" t="str">
        <f ca="1">IF(COUNTIF(HR$10:HR27,OFFSET(A1_原単位2027,17,HL28+2))&gt;=1,"",OFFSET(A1_原単位2027,17,HL28+2)&amp;"")</f>
        <v/>
      </c>
      <c r="HS28" s="718" t="str">
        <f t="shared" ca="1" si="53"/>
        <v/>
      </c>
      <c r="HT28" s="719" t="str">
        <f t="shared" ca="1" si="54"/>
        <v/>
      </c>
      <c r="HU28" s="714" t="str">
        <f t="shared" ca="1" si="55"/>
        <v/>
      </c>
      <c r="HV28" s="715" t="str">
        <f ca="1">IF(COUNTIF(HV$10:HV27,OFFSET(A1_原単位2027,29,HL28+2))&gt;=1,"",OFFSET(A1_原単位2027,29,HL28+2)&amp;"")</f>
        <v/>
      </c>
      <c r="HW28" s="718" t="str">
        <f t="shared" ca="1" si="56"/>
        <v/>
      </c>
      <c r="HX28" s="719" t="str">
        <f t="shared" ca="1" si="57"/>
        <v/>
      </c>
      <c r="HY28" s="714" t="str">
        <f t="shared" ca="1" si="58"/>
        <v/>
      </c>
      <c r="HZ28" s="715" t="str">
        <f ca="1">IF(COUNTIF(HZ$10:HZ27,OFFSET(A1_原単位2027,41,HL28+2))&gt;=1,"",OFFSET(A1_原単位2027,41,HL28+2)&amp;"")</f>
        <v/>
      </c>
      <c r="IA28" s="720" t="str">
        <f t="shared" ca="1" si="59"/>
        <v/>
      </c>
      <c r="IB28" s="721" t="str">
        <f t="shared" ca="1" si="60"/>
        <v/>
      </c>
      <c r="IE28" s="159" t="str">
        <f t="shared" ca="1" si="61"/>
        <v/>
      </c>
      <c r="IF28" s="159" t="str">
        <f t="shared" ca="1" si="62"/>
        <v/>
      </c>
      <c r="IG28" s="159" t="str">
        <f t="shared" ca="1" si="63"/>
        <v/>
      </c>
      <c r="IH28" s="159" t="str">
        <f t="shared" ca="1" si="64"/>
        <v/>
      </c>
    </row>
    <row r="29" spans="2:242" s="164" customFormat="1" ht="20.100000000000001" customHeight="1">
      <c r="B29" s="302"/>
      <c r="C29" s="318"/>
      <c r="D29" s="303" t="s">
        <v>577</v>
      </c>
      <c r="E29" s="305"/>
      <c r="F29" s="303" t="s">
        <v>457</v>
      </c>
      <c r="G29" s="306">
        <v>46.1</v>
      </c>
      <c r="H29" s="307">
        <v>1.44E-2</v>
      </c>
      <c r="I29" s="308"/>
      <c r="J29" s="309"/>
      <c r="K29" s="310"/>
      <c r="L29" s="311"/>
      <c r="M29" s="311"/>
      <c r="N29" s="309"/>
      <c r="O29" s="310"/>
      <c r="P29" s="311"/>
      <c r="Q29" s="311"/>
      <c r="R29" s="309"/>
      <c r="S29" s="310"/>
      <c r="T29" s="311"/>
      <c r="U29" s="311"/>
      <c r="V29" s="309"/>
      <c r="W29" s="310"/>
      <c r="X29" s="311"/>
      <c r="Y29" s="311"/>
      <c r="Z29" s="309"/>
      <c r="AA29" s="310"/>
      <c r="AB29" s="311"/>
      <c r="AC29" s="311"/>
      <c r="AD29" s="309"/>
      <c r="AE29" s="310"/>
      <c r="AF29" s="311"/>
      <c r="AG29" s="311"/>
      <c r="AH29" s="309"/>
      <c r="AI29" s="310"/>
      <c r="AJ29" s="311"/>
      <c r="AK29" s="311"/>
      <c r="AL29" s="309"/>
      <c r="AM29" s="310"/>
      <c r="AN29" s="311"/>
      <c r="AO29" s="311"/>
      <c r="AP29" s="309"/>
      <c r="AQ29" s="310"/>
      <c r="AR29" s="311"/>
      <c r="AS29" s="311"/>
      <c r="AT29" s="309"/>
      <c r="AU29" s="310"/>
      <c r="AV29" s="311"/>
      <c r="AW29" s="311"/>
      <c r="AX29" s="309"/>
      <c r="AY29" s="310"/>
      <c r="AZ29" s="311"/>
      <c r="BA29" s="311"/>
      <c r="BB29" s="309"/>
      <c r="BC29" s="310"/>
      <c r="BD29" s="311"/>
      <c r="BE29" s="311"/>
      <c r="BF29" s="309"/>
      <c r="BG29" s="310"/>
      <c r="BH29" s="311"/>
      <c r="BI29" s="311"/>
      <c r="BJ29" s="309"/>
      <c r="BK29" s="310"/>
      <c r="BL29" s="311"/>
      <c r="BM29" s="311"/>
      <c r="BN29" s="309"/>
      <c r="BO29" s="310"/>
      <c r="BP29" s="311"/>
      <c r="BQ29" s="311"/>
      <c r="BR29" s="309"/>
      <c r="BS29" s="310"/>
      <c r="BT29" s="311"/>
      <c r="BU29" s="311"/>
      <c r="BV29" s="309"/>
      <c r="BW29" s="310"/>
      <c r="BX29" s="311"/>
      <c r="BY29" s="311"/>
      <c r="BZ29" s="309"/>
      <c r="CA29" s="310"/>
      <c r="CB29" s="311"/>
      <c r="CC29" s="311"/>
      <c r="CD29" s="309"/>
      <c r="CE29" s="310"/>
      <c r="CF29" s="311"/>
      <c r="CG29" s="311"/>
      <c r="CH29" s="309"/>
      <c r="CI29" s="310"/>
      <c r="CJ29" s="311"/>
      <c r="CK29" s="311"/>
      <c r="CL29" s="309"/>
      <c r="CM29" s="310"/>
      <c r="CN29" s="311"/>
      <c r="CO29" s="311"/>
      <c r="CP29" s="309"/>
      <c r="CQ29" s="310"/>
      <c r="CR29" s="311"/>
      <c r="CS29" s="311"/>
      <c r="CT29" s="309"/>
      <c r="CU29" s="310"/>
      <c r="CV29" s="311"/>
      <c r="CW29" s="311"/>
      <c r="CX29" s="309"/>
      <c r="CY29" s="310"/>
      <c r="CZ29" s="311"/>
      <c r="DA29" s="311"/>
      <c r="DB29" s="309"/>
      <c r="DC29" s="310"/>
      <c r="DD29" s="311"/>
      <c r="DE29" s="311"/>
      <c r="DF29" s="309"/>
      <c r="DG29" s="310"/>
      <c r="DH29" s="311"/>
      <c r="DI29" s="311"/>
      <c r="DJ29" s="309"/>
      <c r="DK29" s="310"/>
      <c r="DL29" s="311"/>
      <c r="DM29" s="311"/>
      <c r="DN29" s="309"/>
      <c r="DO29" s="310"/>
      <c r="DP29" s="311"/>
      <c r="DQ29" s="311"/>
      <c r="DR29" s="309"/>
      <c r="DS29" s="310"/>
      <c r="DT29" s="311"/>
      <c r="DU29" s="311"/>
      <c r="DV29" s="309"/>
      <c r="DW29" s="310"/>
      <c r="DX29" s="311"/>
      <c r="DY29" s="311"/>
      <c r="DZ29" s="309"/>
      <c r="EA29" s="310"/>
      <c r="EB29" s="311"/>
      <c r="EC29" s="311"/>
      <c r="ED29" s="309"/>
      <c r="EE29" s="310"/>
      <c r="EF29" s="311"/>
      <c r="EG29" s="311"/>
      <c r="EH29" s="309"/>
      <c r="EI29" s="310"/>
      <c r="EJ29" s="311"/>
      <c r="EK29" s="311"/>
      <c r="EL29" s="309"/>
      <c r="EM29" s="310"/>
      <c r="EN29" s="311"/>
      <c r="EO29" s="311"/>
      <c r="EP29" s="309"/>
      <c r="EQ29" s="310"/>
      <c r="ER29" s="311"/>
      <c r="ES29" s="311"/>
      <c r="ET29" s="309"/>
      <c r="EU29" s="310"/>
      <c r="EV29" s="311"/>
      <c r="EW29" s="311"/>
      <c r="EX29" s="309"/>
      <c r="EY29" s="310"/>
      <c r="EZ29" s="311"/>
      <c r="FA29" s="311"/>
      <c r="FB29" s="309"/>
      <c r="FC29" s="310"/>
      <c r="FD29" s="311"/>
      <c r="FE29" s="311"/>
      <c r="FF29" s="309"/>
      <c r="FG29" s="310"/>
      <c r="FH29" s="311"/>
      <c r="FI29" s="311"/>
      <c r="FJ29" s="309"/>
      <c r="FK29" s="310"/>
      <c r="FL29" s="311"/>
      <c r="FM29" s="311"/>
      <c r="FN29" s="309"/>
      <c r="FO29" s="310"/>
      <c r="FP29" s="311"/>
      <c r="FQ29" s="311"/>
      <c r="FR29" s="309"/>
      <c r="FS29" s="310"/>
      <c r="FT29" s="311"/>
      <c r="FU29" s="311"/>
      <c r="FV29" s="309"/>
      <c r="FW29" s="310"/>
      <c r="FX29" s="311"/>
      <c r="FY29" s="311"/>
      <c r="FZ29" s="309"/>
      <c r="GA29" s="310"/>
      <c r="GB29" s="311"/>
      <c r="GC29" s="311"/>
      <c r="GD29" s="309"/>
      <c r="GE29" s="310"/>
      <c r="GF29" s="311"/>
      <c r="GG29" s="311"/>
      <c r="GH29" s="309"/>
      <c r="GI29" s="310"/>
      <c r="GJ29" s="311"/>
      <c r="GK29" s="311"/>
      <c r="GL29" s="309"/>
      <c r="GM29" s="310"/>
      <c r="GN29" s="311"/>
      <c r="GO29" s="311"/>
      <c r="GP29" s="309"/>
      <c r="GQ29" s="310"/>
      <c r="GR29" s="311"/>
      <c r="GS29" s="311"/>
      <c r="GT29" s="309"/>
      <c r="GU29" s="310"/>
      <c r="GV29" s="311"/>
      <c r="GW29" s="311"/>
      <c r="GX29" s="309"/>
      <c r="GY29" s="310"/>
      <c r="GZ29" s="311"/>
      <c r="HA29" s="311"/>
      <c r="HB29" s="309"/>
      <c r="HC29" s="312">
        <f t="shared" si="66"/>
        <v>0</v>
      </c>
      <c r="HD29" s="313">
        <f t="shared" si="66"/>
        <v>0</v>
      </c>
      <c r="HE29" s="313">
        <f t="shared" si="66"/>
        <v>0</v>
      </c>
      <c r="HF29" s="314"/>
      <c r="HG29" s="312">
        <f>SUM(SUMIFS(K29:HB29,$K$13:$HB$13,{"エネルギー管理指定工場等*","県域*"}))</f>
        <v>0</v>
      </c>
      <c r="HH29" s="313">
        <f>SUM(SUMIFS(L29:HC29,$K$13:$HB$13,{"エネルギー管理指定工場等*","県域*"}))</f>
        <v>0</v>
      </c>
      <c r="HI29" s="313">
        <f>SUM(SUMIFS(M29:HD29,$K$13:$HB$13,{"エネルギー管理指定工場等*","県域*"}))</f>
        <v>0</v>
      </c>
      <c r="HJ29" s="314"/>
      <c r="HL29" s="230">
        <v>20</v>
      </c>
      <c r="HM29" s="714" t="str">
        <f t="shared" ca="1" si="49"/>
        <v/>
      </c>
      <c r="HN29" s="715" t="str">
        <f ca="1">IF(COUNTIF(HN$10:HN28,OFFSET(A1_原単位2027,5,HL29+2))&gt;=1,"",OFFSET(A1_原単位2027,5,HL29+2)&amp;"")</f>
        <v/>
      </c>
      <c r="HO29" s="716" t="str">
        <f t="shared" ca="1" si="50"/>
        <v/>
      </c>
      <c r="HP29" s="717" t="str">
        <f t="shared" ca="1" si="51"/>
        <v/>
      </c>
      <c r="HQ29" s="714" t="str">
        <f t="shared" ca="1" si="52"/>
        <v/>
      </c>
      <c r="HR29" s="715" t="str">
        <f ca="1">IF(COUNTIF(HR$10:HR28,OFFSET(A1_原単位2027,17,HL29+2))&gt;=1,"",OFFSET(A1_原単位2027,17,HL29+2)&amp;"")</f>
        <v/>
      </c>
      <c r="HS29" s="718" t="str">
        <f t="shared" ca="1" si="53"/>
        <v/>
      </c>
      <c r="HT29" s="719" t="str">
        <f t="shared" ca="1" si="54"/>
        <v/>
      </c>
      <c r="HU29" s="714" t="str">
        <f t="shared" ca="1" si="55"/>
        <v/>
      </c>
      <c r="HV29" s="715" t="str">
        <f ca="1">IF(COUNTIF(HV$10:HV28,OFFSET(A1_原単位2027,29,HL29+2))&gt;=1,"",OFFSET(A1_原単位2027,29,HL29+2)&amp;"")</f>
        <v/>
      </c>
      <c r="HW29" s="718" t="str">
        <f t="shared" ca="1" si="56"/>
        <v/>
      </c>
      <c r="HX29" s="719" t="str">
        <f t="shared" ca="1" si="57"/>
        <v/>
      </c>
      <c r="HY29" s="714" t="str">
        <f t="shared" ca="1" si="58"/>
        <v/>
      </c>
      <c r="HZ29" s="715" t="str">
        <f ca="1">IF(COUNTIF(HZ$10:HZ28,OFFSET(A1_原単位2027,41,HL29+2))&gt;=1,"",OFFSET(A1_原単位2027,41,HL29+2)&amp;"")</f>
        <v/>
      </c>
      <c r="IA29" s="720" t="str">
        <f t="shared" ca="1" si="59"/>
        <v/>
      </c>
      <c r="IB29" s="721" t="str">
        <f t="shared" ca="1" si="60"/>
        <v/>
      </c>
      <c r="IE29" s="159" t="str">
        <f t="shared" ca="1" si="61"/>
        <v/>
      </c>
      <c r="IF29" s="159" t="str">
        <f t="shared" ca="1" si="62"/>
        <v/>
      </c>
      <c r="IG29" s="159" t="str">
        <f t="shared" ca="1" si="63"/>
        <v/>
      </c>
      <c r="IH29" s="159" t="str">
        <f t="shared" ca="1" si="64"/>
        <v/>
      </c>
    </row>
    <row r="30" spans="2:242" s="164" customFormat="1" ht="20.100000000000001" customHeight="1">
      <c r="B30" s="302"/>
      <c r="C30" s="317" t="s">
        <v>578</v>
      </c>
      <c r="D30" s="303" t="s">
        <v>579</v>
      </c>
      <c r="E30" s="305"/>
      <c r="F30" s="303" t="s">
        <v>455</v>
      </c>
      <c r="G30" s="306">
        <v>54.7</v>
      </c>
      <c r="H30" s="307">
        <v>1.3899999999999999E-2</v>
      </c>
      <c r="I30" s="310"/>
      <c r="J30" s="315"/>
      <c r="K30" s="310"/>
      <c r="L30" s="311"/>
      <c r="M30" s="311"/>
      <c r="N30" s="309"/>
      <c r="O30" s="310"/>
      <c r="P30" s="311"/>
      <c r="Q30" s="311"/>
      <c r="R30" s="309"/>
      <c r="S30" s="310"/>
      <c r="T30" s="311"/>
      <c r="U30" s="311"/>
      <c r="V30" s="309"/>
      <c r="W30" s="310"/>
      <c r="X30" s="311"/>
      <c r="Y30" s="311"/>
      <c r="Z30" s="309"/>
      <c r="AA30" s="310"/>
      <c r="AB30" s="311"/>
      <c r="AC30" s="311"/>
      <c r="AD30" s="309"/>
      <c r="AE30" s="310"/>
      <c r="AF30" s="311"/>
      <c r="AG30" s="311"/>
      <c r="AH30" s="309"/>
      <c r="AI30" s="310"/>
      <c r="AJ30" s="311"/>
      <c r="AK30" s="311"/>
      <c r="AL30" s="309"/>
      <c r="AM30" s="310"/>
      <c r="AN30" s="311"/>
      <c r="AO30" s="311"/>
      <c r="AP30" s="309"/>
      <c r="AQ30" s="310"/>
      <c r="AR30" s="311"/>
      <c r="AS30" s="311"/>
      <c r="AT30" s="309"/>
      <c r="AU30" s="310"/>
      <c r="AV30" s="311"/>
      <c r="AW30" s="311"/>
      <c r="AX30" s="309"/>
      <c r="AY30" s="310"/>
      <c r="AZ30" s="311"/>
      <c r="BA30" s="311"/>
      <c r="BB30" s="309"/>
      <c r="BC30" s="310"/>
      <c r="BD30" s="311"/>
      <c r="BE30" s="311"/>
      <c r="BF30" s="309"/>
      <c r="BG30" s="310"/>
      <c r="BH30" s="311"/>
      <c r="BI30" s="311"/>
      <c r="BJ30" s="309"/>
      <c r="BK30" s="310"/>
      <c r="BL30" s="311"/>
      <c r="BM30" s="311"/>
      <c r="BN30" s="309"/>
      <c r="BO30" s="310"/>
      <c r="BP30" s="311"/>
      <c r="BQ30" s="311"/>
      <c r="BR30" s="309"/>
      <c r="BS30" s="310"/>
      <c r="BT30" s="311"/>
      <c r="BU30" s="311"/>
      <c r="BV30" s="309"/>
      <c r="BW30" s="310"/>
      <c r="BX30" s="311"/>
      <c r="BY30" s="311"/>
      <c r="BZ30" s="309"/>
      <c r="CA30" s="310"/>
      <c r="CB30" s="311"/>
      <c r="CC30" s="311"/>
      <c r="CD30" s="309"/>
      <c r="CE30" s="310"/>
      <c r="CF30" s="311"/>
      <c r="CG30" s="311"/>
      <c r="CH30" s="309"/>
      <c r="CI30" s="310"/>
      <c r="CJ30" s="311"/>
      <c r="CK30" s="311"/>
      <c r="CL30" s="309"/>
      <c r="CM30" s="310"/>
      <c r="CN30" s="311"/>
      <c r="CO30" s="311"/>
      <c r="CP30" s="309"/>
      <c r="CQ30" s="310"/>
      <c r="CR30" s="311"/>
      <c r="CS30" s="311"/>
      <c r="CT30" s="309"/>
      <c r="CU30" s="310"/>
      <c r="CV30" s="311"/>
      <c r="CW30" s="311"/>
      <c r="CX30" s="309"/>
      <c r="CY30" s="310"/>
      <c r="CZ30" s="311"/>
      <c r="DA30" s="311"/>
      <c r="DB30" s="309"/>
      <c r="DC30" s="310"/>
      <c r="DD30" s="311"/>
      <c r="DE30" s="311"/>
      <c r="DF30" s="309"/>
      <c r="DG30" s="310"/>
      <c r="DH30" s="311"/>
      <c r="DI30" s="311"/>
      <c r="DJ30" s="309"/>
      <c r="DK30" s="310"/>
      <c r="DL30" s="311"/>
      <c r="DM30" s="311"/>
      <c r="DN30" s="309"/>
      <c r="DO30" s="310"/>
      <c r="DP30" s="311"/>
      <c r="DQ30" s="311"/>
      <c r="DR30" s="309"/>
      <c r="DS30" s="310"/>
      <c r="DT30" s="311"/>
      <c r="DU30" s="311"/>
      <c r="DV30" s="309"/>
      <c r="DW30" s="310"/>
      <c r="DX30" s="311"/>
      <c r="DY30" s="311"/>
      <c r="DZ30" s="309"/>
      <c r="EA30" s="310"/>
      <c r="EB30" s="311"/>
      <c r="EC30" s="311"/>
      <c r="ED30" s="309"/>
      <c r="EE30" s="310"/>
      <c r="EF30" s="311"/>
      <c r="EG30" s="311"/>
      <c r="EH30" s="309"/>
      <c r="EI30" s="310"/>
      <c r="EJ30" s="311"/>
      <c r="EK30" s="311"/>
      <c r="EL30" s="309"/>
      <c r="EM30" s="310"/>
      <c r="EN30" s="311"/>
      <c r="EO30" s="311"/>
      <c r="EP30" s="309"/>
      <c r="EQ30" s="310"/>
      <c r="ER30" s="311"/>
      <c r="ES30" s="311"/>
      <c r="ET30" s="309"/>
      <c r="EU30" s="310"/>
      <c r="EV30" s="311"/>
      <c r="EW30" s="311"/>
      <c r="EX30" s="309"/>
      <c r="EY30" s="310"/>
      <c r="EZ30" s="311"/>
      <c r="FA30" s="311"/>
      <c r="FB30" s="309"/>
      <c r="FC30" s="310"/>
      <c r="FD30" s="311"/>
      <c r="FE30" s="311"/>
      <c r="FF30" s="309"/>
      <c r="FG30" s="310"/>
      <c r="FH30" s="311"/>
      <c r="FI30" s="311"/>
      <c r="FJ30" s="309"/>
      <c r="FK30" s="310"/>
      <c r="FL30" s="311"/>
      <c r="FM30" s="311"/>
      <c r="FN30" s="309"/>
      <c r="FO30" s="310"/>
      <c r="FP30" s="311"/>
      <c r="FQ30" s="311"/>
      <c r="FR30" s="309"/>
      <c r="FS30" s="310"/>
      <c r="FT30" s="311"/>
      <c r="FU30" s="311"/>
      <c r="FV30" s="309"/>
      <c r="FW30" s="310"/>
      <c r="FX30" s="311"/>
      <c r="FY30" s="311"/>
      <c r="FZ30" s="309"/>
      <c r="GA30" s="310"/>
      <c r="GB30" s="311"/>
      <c r="GC30" s="311"/>
      <c r="GD30" s="309"/>
      <c r="GE30" s="310"/>
      <c r="GF30" s="311"/>
      <c r="GG30" s="311"/>
      <c r="GH30" s="309"/>
      <c r="GI30" s="310"/>
      <c r="GJ30" s="311"/>
      <c r="GK30" s="311"/>
      <c r="GL30" s="309"/>
      <c r="GM30" s="310"/>
      <c r="GN30" s="311"/>
      <c r="GO30" s="311"/>
      <c r="GP30" s="309"/>
      <c r="GQ30" s="310"/>
      <c r="GR30" s="311"/>
      <c r="GS30" s="311"/>
      <c r="GT30" s="309"/>
      <c r="GU30" s="310"/>
      <c r="GV30" s="311"/>
      <c r="GW30" s="311"/>
      <c r="GX30" s="309"/>
      <c r="GY30" s="310"/>
      <c r="GZ30" s="311"/>
      <c r="HA30" s="311"/>
      <c r="HB30" s="309"/>
      <c r="HC30" s="312">
        <f t="shared" si="66"/>
        <v>0</v>
      </c>
      <c r="HD30" s="313">
        <f t="shared" si="66"/>
        <v>0</v>
      </c>
      <c r="HE30" s="313">
        <f t="shared" si="66"/>
        <v>0</v>
      </c>
      <c r="HF30" s="314"/>
      <c r="HG30" s="312">
        <f>SUM(SUMIFS(K30:HB30,$K$13:$HB$13,{"エネルギー管理指定工場等*","県域*"}))</f>
        <v>0</v>
      </c>
      <c r="HH30" s="313">
        <f>SUM(SUMIFS(L30:HC30,$K$13:$HB$13,{"エネルギー管理指定工場等*","県域*"}))</f>
        <v>0</v>
      </c>
      <c r="HI30" s="313">
        <f>SUM(SUMIFS(M30:HD30,$K$13:$HB$13,{"エネルギー管理指定工場等*","県域*"}))</f>
        <v>0</v>
      </c>
      <c r="HJ30" s="314"/>
      <c r="HL30" s="219">
        <v>21</v>
      </c>
      <c r="HM30" s="714" t="str">
        <f t="shared" ca="1" si="49"/>
        <v/>
      </c>
      <c r="HN30" s="715" t="str">
        <f ca="1">IF(COUNTIF(HN$10:HN29,OFFSET(A1_原単位2027,5,HL30+2))&gt;=1,"",OFFSET(A1_原単位2027,5,HL30+2)&amp;"")</f>
        <v/>
      </c>
      <c r="HO30" s="716" t="str">
        <f t="shared" ca="1" si="50"/>
        <v/>
      </c>
      <c r="HP30" s="717" t="str">
        <f t="shared" ca="1" si="51"/>
        <v/>
      </c>
      <c r="HQ30" s="714" t="str">
        <f t="shared" ca="1" si="52"/>
        <v/>
      </c>
      <c r="HR30" s="715" t="str">
        <f ca="1">IF(COUNTIF(HR$10:HR29,OFFSET(A1_原単位2027,17,HL30+2))&gt;=1,"",OFFSET(A1_原単位2027,17,HL30+2)&amp;"")</f>
        <v/>
      </c>
      <c r="HS30" s="718" t="str">
        <f t="shared" ca="1" si="53"/>
        <v/>
      </c>
      <c r="HT30" s="719" t="str">
        <f t="shared" ca="1" si="54"/>
        <v/>
      </c>
      <c r="HU30" s="714" t="str">
        <f t="shared" ca="1" si="55"/>
        <v/>
      </c>
      <c r="HV30" s="715" t="str">
        <f ca="1">IF(COUNTIF(HV$10:HV29,OFFSET(A1_原単位2027,29,HL30+2))&gt;=1,"",OFFSET(A1_原単位2027,29,HL30+2)&amp;"")</f>
        <v/>
      </c>
      <c r="HW30" s="718" t="str">
        <f t="shared" ca="1" si="56"/>
        <v/>
      </c>
      <c r="HX30" s="719" t="str">
        <f t="shared" ca="1" si="57"/>
        <v/>
      </c>
      <c r="HY30" s="714" t="str">
        <f t="shared" ca="1" si="58"/>
        <v/>
      </c>
      <c r="HZ30" s="715" t="str">
        <f ca="1">IF(COUNTIF(HZ$10:HZ29,OFFSET(A1_原単位2027,41,HL30+2))&gt;=1,"",OFFSET(A1_原単位2027,41,HL30+2)&amp;"")</f>
        <v/>
      </c>
      <c r="IA30" s="720" t="str">
        <f t="shared" ca="1" si="59"/>
        <v/>
      </c>
      <c r="IB30" s="721" t="str">
        <f t="shared" ca="1" si="60"/>
        <v/>
      </c>
      <c r="IE30" s="159" t="str">
        <f t="shared" ca="1" si="61"/>
        <v/>
      </c>
      <c r="IF30" s="159" t="str">
        <f t="shared" ca="1" si="62"/>
        <v/>
      </c>
      <c r="IG30" s="159" t="str">
        <f t="shared" ca="1" si="63"/>
        <v/>
      </c>
      <c r="IH30" s="159" t="str">
        <f t="shared" ca="1" si="64"/>
        <v/>
      </c>
    </row>
    <row r="31" spans="2:242" s="164" customFormat="1" ht="20.100000000000001" customHeight="1">
      <c r="B31" s="302"/>
      <c r="C31" s="318"/>
      <c r="D31" s="303" t="s">
        <v>458</v>
      </c>
      <c r="E31" s="305"/>
      <c r="F31" s="303" t="s">
        <v>457</v>
      </c>
      <c r="G31" s="306">
        <v>38.4</v>
      </c>
      <c r="H31" s="307">
        <v>1.3899999999999999E-2</v>
      </c>
      <c r="I31" s="308"/>
      <c r="J31" s="309"/>
      <c r="K31" s="310"/>
      <c r="L31" s="311"/>
      <c r="M31" s="311"/>
      <c r="N31" s="309"/>
      <c r="O31" s="310"/>
      <c r="P31" s="311"/>
      <c r="Q31" s="311"/>
      <c r="R31" s="309"/>
      <c r="S31" s="310"/>
      <c r="T31" s="311"/>
      <c r="U31" s="311"/>
      <c r="V31" s="309"/>
      <c r="W31" s="310"/>
      <c r="X31" s="311"/>
      <c r="Y31" s="311"/>
      <c r="Z31" s="309"/>
      <c r="AA31" s="310"/>
      <c r="AB31" s="311"/>
      <c r="AC31" s="311"/>
      <c r="AD31" s="309"/>
      <c r="AE31" s="310"/>
      <c r="AF31" s="311"/>
      <c r="AG31" s="311"/>
      <c r="AH31" s="309"/>
      <c r="AI31" s="310"/>
      <c r="AJ31" s="311"/>
      <c r="AK31" s="311"/>
      <c r="AL31" s="309"/>
      <c r="AM31" s="310"/>
      <c r="AN31" s="311"/>
      <c r="AO31" s="311"/>
      <c r="AP31" s="309"/>
      <c r="AQ31" s="310"/>
      <c r="AR31" s="311"/>
      <c r="AS31" s="311"/>
      <c r="AT31" s="309"/>
      <c r="AU31" s="310"/>
      <c r="AV31" s="311"/>
      <c r="AW31" s="311"/>
      <c r="AX31" s="309"/>
      <c r="AY31" s="310"/>
      <c r="AZ31" s="311"/>
      <c r="BA31" s="311"/>
      <c r="BB31" s="309"/>
      <c r="BC31" s="310"/>
      <c r="BD31" s="311"/>
      <c r="BE31" s="311"/>
      <c r="BF31" s="309"/>
      <c r="BG31" s="310"/>
      <c r="BH31" s="311"/>
      <c r="BI31" s="311"/>
      <c r="BJ31" s="309"/>
      <c r="BK31" s="310"/>
      <c r="BL31" s="311"/>
      <c r="BM31" s="311"/>
      <c r="BN31" s="309"/>
      <c r="BO31" s="310"/>
      <c r="BP31" s="311"/>
      <c r="BQ31" s="311"/>
      <c r="BR31" s="309"/>
      <c r="BS31" s="310"/>
      <c r="BT31" s="311"/>
      <c r="BU31" s="311"/>
      <c r="BV31" s="309"/>
      <c r="BW31" s="310"/>
      <c r="BX31" s="311"/>
      <c r="BY31" s="311"/>
      <c r="BZ31" s="309"/>
      <c r="CA31" s="310"/>
      <c r="CB31" s="311"/>
      <c r="CC31" s="311"/>
      <c r="CD31" s="309"/>
      <c r="CE31" s="310"/>
      <c r="CF31" s="311"/>
      <c r="CG31" s="311"/>
      <c r="CH31" s="309"/>
      <c r="CI31" s="310"/>
      <c r="CJ31" s="311"/>
      <c r="CK31" s="311"/>
      <c r="CL31" s="309"/>
      <c r="CM31" s="310"/>
      <c r="CN31" s="311"/>
      <c r="CO31" s="311"/>
      <c r="CP31" s="309"/>
      <c r="CQ31" s="310"/>
      <c r="CR31" s="311"/>
      <c r="CS31" s="311"/>
      <c r="CT31" s="309"/>
      <c r="CU31" s="310"/>
      <c r="CV31" s="311"/>
      <c r="CW31" s="311"/>
      <c r="CX31" s="309"/>
      <c r="CY31" s="310"/>
      <c r="CZ31" s="311"/>
      <c r="DA31" s="311"/>
      <c r="DB31" s="309"/>
      <c r="DC31" s="310"/>
      <c r="DD31" s="311"/>
      <c r="DE31" s="311"/>
      <c r="DF31" s="309"/>
      <c r="DG31" s="310"/>
      <c r="DH31" s="311"/>
      <c r="DI31" s="311"/>
      <c r="DJ31" s="309"/>
      <c r="DK31" s="310"/>
      <c r="DL31" s="311"/>
      <c r="DM31" s="311"/>
      <c r="DN31" s="309"/>
      <c r="DO31" s="310"/>
      <c r="DP31" s="311"/>
      <c r="DQ31" s="311"/>
      <c r="DR31" s="309"/>
      <c r="DS31" s="310"/>
      <c r="DT31" s="311"/>
      <c r="DU31" s="311"/>
      <c r="DV31" s="309"/>
      <c r="DW31" s="310"/>
      <c r="DX31" s="311"/>
      <c r="DY31" s="311"/>
      <c r="DZ31" s="309"/>
      <c r="EA31" s="310"/>
      <c r="EB31" s="311"/>
      <c r="EC31" s="311"/>
      <c r="ED31" s="309"/>
      <c r="EE31" s="310"/>
      <c r="EF31" s="311"/>
      <c r="EG31" s="311"/>
      <c r="EH31" s="309"/>
      <c r="EI31" s="310"/>
      <c r="EJ31" s="311"/>
      <c r="EK31" s="311"/>
      <c r="EL31" s="309"/>
      <c r="EM31" s="310"/>
      <c r="EN31" s="311"/>
      <c r="EO31" s="311"/>
      <c r="EP31" s="309"/>
      <c r="EQ31" s="310"/>
      <c r="ER31" s="311"/>
      <c r="ES31" s="311"/>
      <c r="ET31" s="309"/>
      <c r="EU31" s="310"/>
      <c r="EV31" s="311"/>
      <c r="EW31" s="311"/>
      <c r="EX31" s="309"/>
      <c r="EY31" s="310"/>
      <c r="EZ31" s="311"/>
      <c r="FA31" s="311"/>
      <c r="FB31" s="309"/>
      <c r="FC31" s="310"/>
      <c r="FD31" s="311"/>
      <c r="FE31" s="311"/>
      <c r="FF31" s="309"/>
      <c r="FG31" s="310"/>
      <c r="FH31" s="311"/>
      <c r="FI31" s="311"/>
      <c r="FJ31" s="309"/>
      <c r="FK31" s="310"/>
      <c r="FL31" s="311"/>
      <c r="FM31" s="311"/>
      <c r="FN31" s="309"/>
      <c r="FO31" s="310"/>
      <c r="FP31" s="311"/>
      <c r="FQ31" s="311"/>
      <c r="FR31" s="309"/>
      <c r="FS31" s="310"/>
      <c r="FT31" s="311"/>
      <c r="FU31" s="311"/>
      <c r="FV31" s="309"/>
      <c r="FW31" s="310"/>
      <c r="FX31" s="311"/>
      <c r="FY31" s="311"/>
      <c r="FZ31" s="309"/>
      <c r="GA31" s="310"/>
      <c r="GB31" s="311"/>
      <c r="GC31" s="311"/>
      <c r="GD31" s="309"/>
      <c r="GE31" s="310"/>
      <c r="GF31" s="311"/>
      <c r="GG31" s="311"/>
      <c r="GH31" s="309"/>
      <c r="GI31" s="310"/>
      <c r="GJ31" s="311"/>
      <c r="GK31" s="311"/>
      <c r="GL31" s="309"/>
      <c r="GM31" s="310"/>
      <c r="GN31" s="311"/>
      <c r="GO31" s="311"/>
      <c r="GP31" s="309"/>
      <c r="GQ31" s="310"/>
      <c r="GR31" s="311"/>
      <c r="GS31" s="311"/>
      <c r="GT31" s="309"/>
      <c r="GU31" s="310"/>
      <c r="GV31" s="311"/>
      <c r="GW31" s="311"/>
      <c r="GX31" s="309"/>
      <c r="GY31" s="310"/>
      <c r="GZ31" s="311"/>
      <c r="HA31" s="311"/>
      <c r="HB31" s="309"/>
      <c r="HC31" s="312">
        <f t="shared" si="66"/>
        <v>0</v>
      </c>
      <c r="HD31" s="313">
        <f t="shared" si="66"/>
        <v>0</v>
      </c>
      <c r="HE31" s="313">
        <f t="shared" si="66"/>
        <v>0</v>
      </c>
      <c r="HF31" s="314"/>
      <c r="HG31" s="312">
        <f>SUM(SUMIFS(K31:HB31,$K$13:$HB$13,{"エネルギー管理指定工場等*","県域*"}))</f>
        <v>0</v>
      </c>
      <c r="HH31" s="313">
        <f>SUM(SUMIFS(L31:HC31,$K$13:$HB$13,{"エネルギー管理指定工場等*","県域*"}))</f>
        <v>0</v>
      </c>
      <c r="HI31" s="313">
        <f>SUM(SUMIFS(M31:HD31,$K$13:$HB$13,{"エネルギー管理指定工場等*","県域*"}))</f>
        <v>0</v>
      </c>
      <c r="HJ31" s="314"/>
      <c r="HL31" s="219">
        <v>22</v>
      </c>
      <c r="HM31" s="714" t="str">
        <f t="shared" ca="1" si="49"/>
        <v/>
      </c>
      <c r="HN31" s="715" t="str">
        <f ca="1">IF(COUNTIF(HN$10:HN30,OFFSET(A1_原単位2027,5,HL31+2))&gt;=1,"",OFFSET(A1_原単位2027,5,HL31+2)&amp;"")</f>
        <v/>
      </c>
      <c r="HO31" s="716" t="str">
        <f t="shared" ca="1" si="50"/>
        <v/>
      </c>
      <c r="HP31" s="717" t="str">
        <f t="shared" ca="1" si="51"/>
        <v/>
      </c>
      <c r="HQ31" s="714" t="str">
        <f t="shared" ca="1" si="52"/>
        <v/>
      </c>
      <c r="HR31" s="715" t="str">
        <f ca="1">IF(COUNTIF(HR$10:HR30,OFFSET(A1_原単位2027,17,HL31+2))&gt;=1,"",OFFSET(A1_原単位2027,17,HL31+2)&amp;"")</f>
        <v/>
      </c>
      <c r="HS31" s="718" t="str">
        <f t="shared" ca="1" si="53"/>
        <v/>
      </c>
      <c r="HT31" s="719" t="str">
        <f t="shared" ca="1" si="54"/>
        <v/>
      </c>
      <c r="HU31" s="714" t="str">
        <f t="shared" ca="1" si="55"/>
        <v/>
      </c>
      <c r="HV31" s="715" t="str">
        <f ca="1">IF(COUNTIF(HV$10:HV30,OFFSET(A1_原単位2027,29,HL31+2))&gt;=1,"",OFFSET(A1_原単位2027,29,HL31+2)&amp;"")</f>
        <v/>
      </c>
      <c r="HW31" s="718" t="str">
        <f t="shared" ca="1" si="56"/>
        <v/>
      </c>
      <c r="HX31" s="719" t="str">
        <f t="shared" ca="1" si="57"/>
        <v/>
      </c>
      <c r="HY31" s="714" t="str">
        <f t="shared" ca="1" si="58"/>
        <v/>
      </c>
      <c r="HZ31" s="715" t="str">
        <f ca="1">IF(COUNTIF(HZ$10:HZ30,OFFSET(A1_原単位2027,41,HL31+2))&gt;=1,"",OFFSET(A1_原単位2027,41,HL31+2)&amp;"")</f>
        <v/>
      </c>
      <c r="IA31" s="720" t="str">
        <f t="shared" ca="1" si="59"/>
        <v/>
      </c>
      <c r="IB31" s="721" t="str">
        <f t="shared" ca="1" si="60"/>
        <v/>
      </c>
      <c r="IE31" s="159" t="str">
        <f t="shared" ca="1" si="61"/>
        <v/>
      </c>
      <c r="IF31" s="159" t="str">
        <f t="shared" ca="1" si="62"/>
        <v/>
      </c>
      <c r="IG31" s="159" t="str">
        <f t="shared" ca="1" si="63"/>
        <v/>
      </c>
      <c r="IH31" s="159" t="str">
        <f t="shared" ca="1" si="64"/>
        <v/>
      </c>
    </row>
    <row r="32" spans="2:242" s="164" customFormat="1" ht="20.100000000000001" customHeight="1">
      <c r="B32" s="302"/>
      <c r="C32" s="317" t="s">
        <v>580</v>
      </c>
      <c r="D32" s="303" t="s">
        <v>581</v>
      </c>
      <c r="E32" s="305"/>
      <c r="F32" s="303" t="s">
        <v>455</v>
      </c>
      <c r="G32" s="306">
        <v>28.7</v>
      </c>
      <c r="H32" s="307">
        <v>2.46E-2</v>
      </c>
      <c r="I32" s="308"/>
      <c r="J32" s="309"/>
      <c r="K32" s="310"/>
      <c r="L32" s="311"/>
      <c r="M32" s="311"/>
      <c r="N32" s="309"/>
      <c r="O32" s="310"/>
      <c r="P32" s="311"/>
      <c r="Q32" s="311"/>
      <c r="R32" s="309"/>
      <c r="S32" s="310"/>
      <c r="T32" s="311"/>
      <c r="U32" s="311"/>
      <c r="V32" s="309"/>
      <c r="W32" s="310"/>
      <c r="X32" s="311"/>
      <c r="Y32" s="311"/>
      <c r="Z32" s="309"/>
      <c r="AA32" s="310"/>
      <c r="AB32" s="311"/>
      <c r="AC32" s="311"/>
      <c r="AD32" s="309"/>
      <c r="AE32" s="310"/>
      <c r="AF32" s="311"/>
      <c r="AG32" s="311"/>
      <c r="AH32" s="309"/>
      <c r="AI32" s="310"/>
      <c r="AJ32" s="311"/>
      <c r="AK32" s="311"/>
      <c r="AL32" s="309"/>
      <c r="AM32" s="310"/>
      <c r="AN32" s="311"/>
      <c r="AO32" s="311"/>
      <c r="AP32" s="309"/>
      <c r="AQ32" s="310"/>
      <c r="AR32" s="311"/>
      <c r="AS32" s="311"/>
      <c r="AT32" s="309"/>
      <c r="AU32" s="310"/>
      <c r="AV32" s="311"/>
      <c r="AW32" s="311"/>
      <c r="AX32" s="309"/>
      <c r="AY32" s="310"/>
      <c r="AZ32" s="311"/>
      <c r="BA32" s="311"/>
      <c r="BB32" s="309"/>
      <c r="BC32" s="310"/>
      <c r="BD32" s="311"/>
      <c r="BE32" s="311"/>
      <c r="BF32" s="309"/>
      <c r="BG32" s="310"/>
      <c r="BH32" s="311"/>
      <c r="BI32" s="311"/>
      <c r="BJ32" s="309"/>
      <c r="BK32" s="310"/>
      <c r="BL32" s="311"/>
      <c r="BM32" s="311"/>
      <c r="BN32" s="309"/>
      <c r="BO32" s="310"/>
      <c r="BP32" s="311"/>
      <c r="BQ32" s="311"/>
      <c r="BR32" s="309"/>
      <c r="BS32" s="310"/>
      <c r="BT32" s="311"/>
      <c r="BU32" s="311"/>
      <c r="BV32" s="309"/>
      <c r="BW32" s="310"/>
      <c r="BX32" s="311"/>
      <c r="BY32" s="311"/>
      <c r="BZ32" s="309"/>
      <c r="CA32" s="310"/>
      <c r="CB32" s="311"/>
      <c r="CC32" s="311"/>
      <c r="CD32" s="309"/>
      <c r="CE32" s="310"/>
      <c r="CF32" s="311"/>
      <c r="CG32" s="311"/>
      <c r="CH32" s="309"/>
      <c r="CI32" s="310"/>
      <c r="CJ32" s="311"/>
      <c r="CK32" s="311"/>
      <c r="CL32" s="309"/>
      <c r="CM32" s="310"/>
      <c r="CN32" s="311"/>
      <c r="CO32" s="311"/>
      <c r="CP32" s="309"/>
      <c r="CQ32" s="310"/>
      <c r="CR32" s="311"/>
      <c r="CS32" s="311"/>
      <c r="CT32" s="309"/>
      <c r="CU32" s="310"/>
      <c r="CV32" s="311"/>
      <c r="CW32" s="311"/>
      <c r="CX32" s="309"/>
      <c r="CY32" s="310"/>
      <c r="CZ32" s="311"/>
      <c r="DA32" s="311"/>
      <c r="DB32" s="309"/>
      <c r="DC32" s="310"/>
      <c r="DD32" s="311"/>
      <c r="DE32" s="311"/>
      <c r="DF32" s="309"/>
      <c r="DG32" s="310"/>
      <c r="DH32" s="311"/>
      <c r="DI32" s="311"/>
      <c r="DJ32" s="309"/>
      <c r="DK32" s="310"/>
      <c r="DL32" s="311"/>
      <c r="DM32" s="311"/>
      <c r="DN32" s="309"/>
      <c r="DO32" s="310"/>
      <c r="DP32" s="311"/>
      <c r="DQ32" s="311"/>
      <c r="DR32" s="309"/>
      <c r="DS32" s="310"/>
      <c r="DT32" s="311"/>
      <c r="DU32" s="311"/>
      <c r="DV32" s="309"/>
      <c r="DW32" s="310"/>
      <c r="DX32" s="311"/>
      <c r="DY32" s="311"/>
      <c r="DZ32" s="309"/>
      <c r="EA32" s="310"/>
      <c r="EB32" s="311"/>
      <c r="EC32" s="311"/>
      <c r="ED32" s="309"/>
      <c r="EE32" s="310"/>
      <c r="EF32" s="311"/>
      <c r="EG32" s="311"/>
      <c r="EH32" s="309"/>
      <c r="EI32" s="310"/>
      <c r="EJ32" s="311"/>
      <c r="EK32" s="311"/>
      <c r="EL32" s="309"/>
      <c r="EM32" s="310"/>
      <c r="EN32" s="311"/>
      <c r="EO32" s="311"/>
      <c r="EP32" s="309"/>
      <c r="EQ32" s="310"/>
      <c r="ER32" s="311"/>
      <c r="ES32" s="311"/>
      <c r="ET32" s="309"/>
      <c r="EU32" s="310"/>
      <c r="EV32" s="311"/>
      <c r="EW32" s="311"/>
      <c r="EX32" s="309"/>
      <c r="EY32" s="310"/>
      <c r="EZ32" s="311"/>
      <c r="FA32" s="311"/>
      <c r="FB32" s="309"/>
      <c r="FC32" s="310"/>
      <c r="FD32" s="311"/>
      <c r="FE32" s="311"/>
      <c r="FF32" s="309"/>
      <c r="FG32" s="310"/>
      <c r="FH32" s="311"/>
      <c r="FI32" s="311"/>
      <c r="FJ32" s="309"/>
      <c r="FK32" s="310"/>
      <c r="FL32" s="311"/>
      <c r="FM32" s="311"/>
      <c r="FN32" s="309"/>
      <c r="FO32" s="310"/>
      <c r="FP32" s="311"/>
      <c r="FQ32" s="311"/>
      <c r="FR32" s="309"/>
      <c r="FS32" s="310"/>
      <c r="FT32" s="311"/>
      <c r="FU32" s="311"/>
      <c r="FV32" s="309"/>
      <c r="FW32" s="310"/>
      <c r="FX32" s="311"/>
      <c r="FY32" s="311"/>
      <c r="FZ32" s="309"/>
      <c r="GA32" s="310"/>
      <c r="GB32" s="311"/>
      <c r="GC32" s="311"/>
      <c r="GD32" s="309"/>
      <c r="GE32" s="310"/>
      <c r="GF32" s="311"/>
      <c r="GG32" s="311"/>
      <c r="GH32" s="309"/>
      <c r="GI32" s="310"/>
      <c r="GJ32" s="311"/>
      <c r="GK32" s="311"/>
      <c r="GL32" s="309"/>
      <c r="GM32" s="310"/>
      <c r="GN32" s="311"/>
      <c r="GO32" s="311"/>
      <c r="GP32" s="309"/>
      <c r="GQ32" s="310"/>
      <c r="GR32" s="311"/>
      <c r="GS32" s="311"/>
      <c r="GT32" s="309"/>
      <c r="GU32" s="310"/>
      <c r="GV32" s="311"/>
      <c r="GW32" s="311"/>
      <c r="GX32" s="309"/>
      <c r="GY32" s="310"/>
      <c r="GZ32" s="311"/>
      <c r="HA32" s="311"/>
      <c r="HB32" s="309"/>
      <c r="HC32" s="312">
        <f t="shared" si="66"/>
        <v>0</v>
      </c>
      <c r="HD32" s="313">
        <f t="shared" si="66"/>
        <v>0</v>
      </c>
      <c r="HE32" s="313">
        <f t="shared" si="66"/>
        <v>0</v>
      </c>
      <c r="HF32" s="314"/>
      <c r="HG32" s="312">
        <f>SUM(SUMIFS(K32:HB32,$K$13:$HB$13,{"エネルギー管理指定工場等*","県域*"}))</f>
        <v>0</v>
      </c>
      <c r="HH32" s="313">
        <f>SUM(SUMIFS(L32:HC32,$K$13:$HB$13,{"エネルギー管理指定工場等*","県域*"}))</f>
        <v>0</v>
      </c>
      <c r="HI32" s="313">
        <f>SUM(SUMIFS(M32:HD32,$K$13:$HB$13,{"エネルギー管理指定工場等*","県域*"}))</f>
        <v>0</v>
      </c>
      <c r="HJ32" s="314"/>
      <c r="HL32" s="230">
        <v>23</v>
      </c>
      <c r="HM32" s="714" t="str">
        <f t="shared" ca="1" si="49"/>
        <v/>
      </c>
      <c r="HN32" s="715" t="str">
        <f ca="1">IF(COUNTIF(HN$10:HN31,OFFSET(A1_原単位2027,5,HL32+2))&gt;=1,"",OFFSET(A1_原単位2027,5,HL32+2)&amp;"")</f>
        <v/>
      </c>
      <c r="HO32" s="716" t="str">
        <f t="shared" ca="1" si="50"/>
        <v/>
      </c>
      <c r="HP32" s="717" t="str">
        <f t="shared" ca="1" si="51"/>
        <v/>
      </c>
      <c r="HQ32" s="714" t="str">
        <f t="shared" ca="1" si="52"/>
        <v/>
      </c>
      <c r="HR32" s="715" t="str">
        <f ca="1">IF(COUNTIF(HR$10:HR31,OFFSET(A1_原単位2027,17,HL32+2))&gt;=1,"",OFFSET(A1_原単位2027,17,HL32+2)&amp;"")</f>
        <v/>
      </c>
      <c r="HS32" s="718" t="str">
        <f t="shared" ca="1" si="53"/>
        <v/>
      </c>
      <c r="HT32" s="719" t="str">
        <f t="shared" ca="1" si="54"/>
        <v/>
      </c>
      <c r="HU32" s="714" t="str">
        <f t="shared" ca="1" si="55"/>
        <v/>
      </c>
      <c r="HV32" s="715" t="str">
        <f ca="1">IF(COUNTIF(HV$10:HV31,OFFSET(A1_原単位2027,29,HL32+2))&gt;=1,"",OFFSET(A1_原単位2027,29,HL32+2)&amp;"")</f>
        <v/>
      </c>
      <c r="HW32" s="718" t="str">
        <f t="shared" ca="1" si="56"/>
        <v/>
      </c>
      <c r="HX32" s="719" t="str">
        <f t="shared" ca="1" si="57"/>
        <v/>
      </c>
      <c r="HY32" s="714" t="str">
        <f t="shared" ca="1" si="58"/>
        <v/>
      </c>
      <c r="HZ32" s="715" t="str">
        <f ca="1">IF(COUNTIF(HZ$10:HZ31,OFFSET(A1_原単位2027,41,HL32+2))&gt;=1,"",OFFSET(A1_原単位2027,41,HL32+2)&amp;"")</f>
        <v/>
      </c>
      <c r="IA32" s="720" t="str">
        <f t="shared" ca="1" si="59"/>
        <v/>
      </c>
      <c r="IB32" s="721" t="str">
        <f t="shared" ca="1" si="60"/>
        <v/>
      </c>
      <c r="IE32" s="159" t="str">
        <f t="shared" ca="1" si="61"/>
        <v/>
      </c>
      <c r="IF32" s="159" t="str">
        <f t="shared" ca="1" si="62"/>
        <v/>
      </c>
      <c r="IG32" s="159" t="str">
        <f t="shared" ca="1" si="63"/>
        <v/>
      </c>
      <c r="IH32" s="159" t="str">
        <f t="shared" ca="1" si="64"/>
        <v/>
      </c>
    </row>
    <row r="33" spans="2:242" s="164" customFormat="1" ht="20.100000000000001" customHeight="1">
      <c r="B33" s="302"/>
      <c r="C33" s="319"/>
      <c r="D33" s="303" t="s">
        <v>582</v>
      </c>
      <c r="E33" s="305"/>
      <c r="F33" s="303" t="s">
        <v>455</v>
      </c>
      <c r="G33" s="306">
        <v>28.9</v>
      </c>
      <c r="H33" s="307">
        <v>2.4500000000000001E-2</v>
      </c>
      <c r="I33" s="308"/>
      <c r="J33" s="309"/>
      <c r="K33" s="310"/>
      <c r="L33" s="311"/>
      <c r="M33" s="311"/>
      <c r="N33" s="309"/>
      <c r="O33" s="310"/>
      <c r="P33" s="311"/>
      <c r="Q33" s="311"/>
      <c r="R33" s="309"/>
      <c r="S33" s="310"/>
      <c r="T33" s="311"/>
      <c r="U33" s="311"/>
      <c r="V33" s="309"/>
      <c r="W33" s="310"/>
      <c r="X33" s="311"/>
      <c r="Y33" s="311"/>
      <c r="Z33" s="309"/>
      <c r="AA33" s="310"/>
      <c r="AB33" s="311"/>
      <c r="AC33" s="311"/>
      <c r="AD33" s="309"/>
      <c r="AE33" s="310"/>
      <c r="AF33" s="311"/>
      <c r="AG33" s="311"/>
      <c r="AH33" s="309"/>
      <c r="AI33" s="310"/>
      <c r="AJ33" s="311"/>
      <c r="AK33" s="311"/>
      <c r="AL33" s="309"/>
      <c r="AM33" s="310"/>
      <c r="AN33" s="311"/>
      <c r="AO33" s="311"/>
      <c r="AP33" s="309"/>
      <c r="AQ33" s="310"/>
      <c r="AR33" s="311"/>
      <c r="AS33" s="311"/>
      <c r="AT33" s="309"/>
      <c r="AU33" s="310"/>
      <c r="AV33" s="311"/>
      <c r="AW33" s="311"/>
      <c r="AX33" s="309"/>
      <c r="AY33" s="310"/>
      <c r="AZ33" s="311"/>
      <c r="BA33" s="311"/>
      <c r="BB33" s="309"/>
      <c r="BC33" s="310"/>
      <c r="BD33" s="311"/>
      <c r="BE33" s="311"/>
      <c r="BF33" s="309"/>
      <c r="BG33" s="310"/>
      <c r="BH33" s="311"/>
      <c r="BI33" s="311"/>
      <c r="BJ33" s="309"/>
      <c r="BK33" s="310"/>
      <c r="BL33" s="311"/>
      <c r="BM33" s="311"/>
      <c r="BN33" s="309"/>
      <c r="BO33" s="310"/>
      <c r="BP33" s="311"/>
      <c r="BQ33" s="311"/>
      <c r="BR33" s="309"/>
      <c r="BS33" s="310"/>
      <c r="BT33" s="311"/>
      <c r="BU33" s="311"/>
      <c r="BV33" s="309"/>
      <c r="BW33" s="310"/>
      <c r="BX33" s="311"/>
      <c r="BY33" s="311"/>
      <c r="BZ33" s="309"/>
      <c r="CA33" s="310"/>
      <c r="CB33" s="311"/>
      <c r="CC33" s="311"/>
      <c r="CD33" s="309"/>
      <c r="CE33" s="310"/>
      <c r="CF33" s="311"/>
      <c r="CG33" s="311"/>
      <c r="CH33" s="309"/>
      <c r="CI33" s="310"/>
      <c r="CJ33" s="311"/>
      <c r="CK33" s="311"/>
      <c r="CL33" s="309"/>
      <c r="CM33" s="310"/>
      <c r="CN33" s="311"/>
      <c r="CO33" s="311"/>
      <c r="CP33" s="309"/>
      <c r="CQ33" s="310"/>
      <c r="CR33" s="311"/>
      <c r="CS33" s="311"/>
      <c r="CT33" s="309"/>
      <c r="CU33" s="310"/>
      <c r="CV33" s="311"/>
      <c r="CW33" s="311"/>
      <c r="CX33" s="309"/>
      <c r="CY33" s="310"/>
      <c r="CZ33" s="311"/>
      <c r="DA33" s="311"/>
      <c r="DB33" s="309"/>
      <c r="DC33" s="310"/>
      <c r="DD33" s="311"/>
      <c r="DE33" s="311"/>
      <c r="DF33" s="309"/>
      <c r="DG33" s="310"/>
      <c r="DH33" s="311"/>
      <c r="DI33" s="311"/>
      <c r="DJ33" s="309"/>
      <c r="DK33" s="310"/>
      <c r="DL33" s="311"/>
      <c r="DM33" s="311"/>
      <c r="DN33" s="309"/>
      <c r="DO33" s="310"/>
      <c r="DP33" s="311"/>
      <c r="DQ33" s="311"/>
      <c r="DR33" s="309"/>
      <c r="DS33" s="310"/>
      <c r="DT33" s="311"/>
      <c r="DU33" s="311"/>
      <c r="DV33" s="309"/>
      <c r="DW33" s="310"/>
      <c r="DX33" s="311"/>
      <c r="DY33" s="311"/>
      <c r="DZ33" s="309"/>
      <c r="EA33" s="310"/>
      <c r="EB33" s="311"/>
      <c r="EC33" s="311"/>
      <c r="ED33" s="309"/>
      <c r="EE33" s="310"/>
      <c r="EF33" s="311"/>
      <c r="EG33" s="311"/>
      <c r="EH33" s="309"/>
      <c r="EI33" s="310"/>
      <c r="EJ33" s="311"/>
      <c r="EK33" s="311"/>
      <c r="EL33" s="309"/>
      <c r="EM33" s="310"/>
      <c r="EN33" s="311"/>
      <c r="EO33" s="311"/>
      <c r="EP33" s="309"/>
      <c r="EQ33" s="310"/>
      <c r="ER33" s="311"/>
      <c r="ES33" s="311"/>
      <c r="ET33" s="309"/>
      <c r="EU33" s="310"/>
      <c r="EV33" s="311"/>
      <c r="EW33" s="311"/>
      <c r="EX33" s="309"/>
      <c r="EY33" s="310"/>
      <c r="EZ33" s="311"/>
      <c r="FA33" s="311"/>
      <c r="FB33" s="309"/>
      <c r="FC33" s="310"/>
      <c r="FD33" s="311"/>
      <c r="FE33" s="311"/>
      <c r="FF33" s="309"/>
      <c r="FG33" s="310"/>
      <c r="FH33" s="311"/>
      <c r="FI33" s="311"/>
      <c r="FJ33" s="309"/>
      <c r="FK33" s="310"/>
      <c r="FL33" s="311"/>
      <c r="FM33" s="311"/>
      <c r="FN33" s="309"/>
      <c r="FO33" s="310"/>
      <c r="FP33" s="311"/>
      <c r="FQ33" s="311"/>
      <c r="FR33" s="309"/>
      <c r="FS33" s="310"/>
      <c r="FT33" s="311"/>
      <c r="FU33" s="311"/>
      <c r="FV33" s="309"/>
      <c r="FW33" s="310"/>
      <c r="FX33" s="311"/>
      <c r="FY33" s="311"/>
      <c r="FZ33" s="309"/>
      <c r="GA33" s="310"/>
      <c r="GB33" s="311"/>
      <c r="GC33" s="311"/>
      <c r="GD33" s="309"/>
      <c r="GE33" s="310"/>
      <c r="GF33" s="311"/>
      <c r="GG33" s="311"/>
      <c r="GH33" s="309"/>
      <c r="GI33" s="310"/>
      <c r="GJ33" s="311"/>
      <c r="GK33" s="311"/>
      <c r="GL33" s="309"/>
      <c r="GM33" s="310"/>
      <c r="GN33" s="311"/>
      <c r="GO33" s="311"/>
      <c r="GP33" s="309"/>
      <c r="GQ33" s="310"/>
      <c r="GR33" s="311"/>
      <c r="GS33" s="311"/>
      <c r="GT33" s="309"/>
      <c r="GU33" s="310"/>
      <c r="GV33" s="311"/>
      <c r="GW33" s="311"/>
      <c r="GX33" s="309"/>
      <c r="GY33" s="310"/>
      <c r="GZ33" s="311"/>
      <c r="HA33" s="311"/>
      <c r="HB33" s="309"/>
      <c r="HC33" s="312">
        <f t="shared" si="66"/>
        <v>0</v>
      </c>
      <c r="HD33" s="313">
        <f t="shared" si="66"/>
        <v>0</v>
      </c>
      <c r="HE33" s="313">
        <f t="shared" si="66"/>
        <v>0</v>
      </c>
      <c r="HF33" s="314"/>
      <c r="HG33" s="312">
        <f>SUM(SUMIFS(K33:HB33,$K$13:$HB$13,{"エネルギー管理指定工場等*","県域*"}))</f>
        <v>0</v>
      </c>
      <c r="HH33" s="313">
        <f>SUM(SUMIFS(L33:HC33,$K$13:$HB$13,{"エネルギー管理指定工場等*","県域*"}))</f>
        <v>0</v>
      </c>
      <c r="HI33" s="313">
        <f>SUM(SUMIFS(M33:HD33,$K$13:$HB$13,{"エネルギー管理指定工場等*","県域*"}))</f>
        <v>0</v>
      </c>
      <c r="HJ33" s="314"/>
      <c r="HL33" s="219">
        <v>24</v>
      </c>
      <c r="HM33" s="714" t="str">
        <f t="shared" ca="1" si="49"/>
        <v/>
      </c>
      <c r="HN33" s="715" t="str">
        <f ca="1">IF(COUNTIF(HN$10:HN32,OFFSET(A1_原単位2027,5,HL33+2))&gt;=1,"",OFFSET(A1_原単位2027,5,HL33+2)&amp;"")</f>
        <v/>
      </c>
      <c r="HO33" s="716" t="str">
        <f t="shared" ca="1" si="50"/>
        <v/>
      </c>
      <c r="HP33" s="717" t="str">
        <f t="shared" ca="1" si="51"/>
        <v/>
      </c>
      <c r="HQ33" s="714" t="str">
        <f t="shared" ca="1" si="52"/>
        <v/>
      </c>
      <c r="HR33" s="715" t="str">
        <f ca="1">IF(COUNTIF(HR$10:HR32,OFFSET(A1_原単位2027,17,HL33+2))&gt;=1,"",OFFSET(A1_原単位2027,17,HL33+2)&amp;"")</f>
        <v/>
      </c>
      <c r="HS33" s="718" t="str">
        <f t="shared" ca="1" si="53"/>
        <v/>
      </c>
      <c r="HT33" s="719" t="str">
        <f t="shared" ca="1" si="54"/>
        <v/>
      </c>
      <c r="HU33" s="714" t="str">
        <f t="shared" ca="1" si="55"/>
        <v/>
      </c>
      <c r="HV33" s="715" t="str">
        <f ca="1">IF(COUNTIF(HV$10:HV32,OFFSET(A1_原単位2027,29,HL33+2))&gt;=1,"",OFFSET(A1_原単位2027,29,HL33+2)&amp;"")</f>
        <v/>
      </c>
      <c r="HW33" s="718" t="str">
        <f t="shared" ca="1" si="56"/>
        <v/>
      </c>
      <c r="HX33" s="719" t="str">
        <f t="shared" ca="1" si="57"/>
        <v/>
      </c>
      <c r="HY33" s="714" t="str">
        <f t="shared" ca="1" si="58"/>
        <v/>
      </c>
      <c r="HZ33" s="715" t="str">
        <f ca="1">IF(COUNTIF(HZ$10:HZ32,OFFSET(A1_原単位2027,41,HL33+2))&gt;=1,"",OFFSET(A1_原単位2027,41,HL33+2)&amp;"")</f>
        <v/>
      </c>
      <c r="IA33" s="720" t="str">
        <f t="shared" ca="1" si="59"/>
        <v/>
      </c>
      <c r="IB33" s="721" t="str">
        <f t="shared" ca="1" si="60"/>
        <v/>
      </c>
      <c r="IE33" s="159" t="str">
        <f t="shared" ca="1" si="61"/>
        <v/>
      </c>
      <c r="IF33" s="159" t="str">
        <f t="shared" ca="1" si="62"/>
        <v/>
      </c>
      <c r="IG33" s="159" t="str">
        <f t="shared" ca="1" si="63"/>
        <v/>
      </c>
      <c r="IH33" s="159" t="str">
        <f t="shared" ca="1" si="64"/>
        <v/>
      </c>
    </row>
    <row r="34" spans="2:242" s="164" customFormat="1" ht="20.100000000000001" customHeight="1">
      <c r="B34" s="302"/>
      <c r="C34" s="319"/>
      <c r="D34" s="303" t="s">
        <v>583</v>
      </c>
      <c r="E34" s="305"/>
      <c r="F34" s="303" t="s">
        <v>455</v>
      </c>
      <c r="G34" s="306">
        <v>28.3</v>
      </c>
      <c r="H34" s="307">
        <v>2.5100000000000001E-2</v>
      </c>
      <c r="I34" s="308"/>
      <c r="J34" s="309"/>
      <c r="K34" s="310"/>
      <c r="L34" s="311"/>
      <c r="M34" s="311"/>
      <c r="N34" s="309"/>
      <c r="O34" s="310"/>
      <c r="P34" s="311"/>
      <c r="Q34" s="311"/>
      <c r="R34" s="309"/>
      <c r="S34" s="310"/>
      <c r="T34" s="311"/>
      <c r="U34" s="311"/>
      <c r="V34" s="309"/>
      <c r="W34" s="310"/>
      <c r="X34" s="311"/>
      <c r="Y34" s="311"/>
      <c r="Z34" s="309"/>
      <c r="AA34" s="310"/>
      <c r="AB34" s="311"/>
      <c r="AC34" s="311"/>
      <c r="AD34" s="309"/>
      <c r="AE34" s="310"/>
      <c r="AF34" s="311"/>
      <c r="AG34" s="311"/>
      <c r="AH34" s="309"/>
      <c r="AI34" s="310"/>
      <c r="AJ34" s="311"/>
      <c r="AK34" s="311"/>
      <c r="AL34" s="309"/>
      <c r="AM34" s="310"/>
      <c r="AN34" s="311"/>
      <c r="AO34" s="311"/>
      <c r="AP34" s="309"/>
      <c r="AQ34" s="310"/>
      <c r="AR34" s="311"/>
      <c r="AS34" s="311"/>
      <c r="AT34" s="309"/>
      <c r="AU34" s="310"/>
      <c r="AV34" s="311"/>
      <c r="AW34" s="311"/>
      <c r="AX34" s="309"/>
      <c r="AY34" s="310"/>
      <c r="AZ34" s="311"/>
      <c r="BA34" s="311"/>
      <c r="BB34" s="309"/>
      <c r="BC34" s="310"/>
      <c r="BD34" s="311"/>
      <c r="BE34" s="311"/>
      <c r="BF34" s="309"/>
      <c r="BG34" s="310"/>
      <c r="BH34" s="311"/>
      <c r="BI34" s="311"/>
      <c r="BJ34" s="309"/>
      <c r="BK34" s="310"/>
      <c r="BL34" s="311"/>
      <c r="BM34" s="311"/>
      <c r="BN34" s="309"/>
      <c r="BO34" s="310"/>
      <c r="BP34" s="311"/>
      <c r="BQ34" s="311"/>
      <c r="BR34" s="309"/>
      <c r="BS34" s="310"/>
      <c r="BT34" s="311"/>
      <c r="BU34" s="311"/>
      <c r="BV34" s="309"/>
      <c r="BW34" s="310"/>
      <c r="BX34" s="311"/>
      <c r="BY34" s="311"/>
      <c r="BZ34" s="309"/>
      <c r="CA34" s="310"/>
      <c r="CB34" s="311"/>
      <c r="CC34" s="311"/>
      <c r="CD34" s="309"/>
      <c r="CE34" s="310"/>
      <c r="CF34" s="311"/>
      <c r="CG34" s="311"/>
      <c r="CH34" s="309"/>
      <c r="CI34" s="310"/>
      <c r="CJ34" s="311"/>
      <c r="CK34" s="311"/>
      <c r="CL34" s="309"/>
      <c r="CM34" s="310"/>
      <c r="CN34" s="311"/>
      <c r="CO34" s="311"/>
      <c r="CP34" s="309"/>
      <c r="CQ34" s="310"/>
      <c r="CR34" s="311"/>
      <c r="CS34" s="311"/>
      <c r="CT34" s="309"/>
      <c r="CU34" s="310"/>
      <c r="CV34" s="311"/>
      <c r="CW34" s="311"/>
      <c r="CX34" s="309"/>
      <c r="CY34" s="310"/>
      <c r="CZ34" s="311"/>
      <c r="DA34" s="311"/>
      <c r="DB34" s="309"/>
      <c r="DC34" s="310"/>
      <c r="DD34" s="311"/>
      <c r="DE34" s="311"/>
      <c r="DF34" s="309"/>
      <c r="DG34" s="310"/>
      <c r="DH34" s="311"/>
      <c r="DI34" s="311"/>
      <c r="DJ34" s="309"/>
      <c r="DK34" s="310"/>
      <c r="DL34" s="311"/>
      <c r="DM34" s="311"/>
      <c r="DN34" s="309"/>
      <c r="DO34" s="310"/>
      <c r="DP34" s="311"/>
      <c r="DQ34" s="311"/>
      <c r="DR34" s="309"/>
      <c r="DS34" s="310"/>
      <c r="DT34" s="311"/>
      <c r="DU34" s="311"/>
      <c r="DV34" s="309"/>
      <c r="DW34" s="310"/>
      <c r="DX34" s="311"/>
      <c r="DY34" s="311"/>
      <c r="DZ34" s="309"/>
      <c r="EA34" s="310"/>
      <c r="EB34" s="311"/>
      <c r="EC34" s="311"/>
      <c r="ED34" s="309"/>
      <c r="EE34" s="310"/>
      <c r="EF34" s="311"/>
      <c r="EG34" s="311"/>
      <c r="EH34" s="309"/>
      <c r="EI34" s="310"/>
      <c r="EJ34" s="311"/>
      <c r="EK34" s="311"/>
      <c r="EL34" s="309"/>
      <c r="EM34" s="310"/>
      <c r="EN34" s="311"/>
      <c r="EO34" s="311"/>
      <c r="EP34" s="309"/>
      <c r="EQ34" s="310"/>
      <c r="ER34" s="311"/>
      <c r="ES34" s="311"/>
      <c r="ET34" s="309"/>
      <c r="EU34" s="310"/>
      <c r="EV34" s="311"/>
      <c r="EW34" s="311"/>
      <c r="EX34" s="309"/>
      <c r="EY34" s="310"/>
      <c r="EZ34" s="311"/>
      <c r="FA34" s="311"/>
      <c r="FB34" s="309"/>
      <c r="FC34" s="310"/>
      <c r="FD34" s="311"/>
      <c r="FE34" s="311"/>
      <c r="FF34" s="309"/>
      <c r="FG34" s="310"/>
      <c r="FH34" s="311"/>
      <c r="FI34" s="311"/>
      <c r="FJ34" s="309"/>
      <c r="FK34" s="310"/>
      <c r="FL34" s="311"/>
      <c r="FM34" s="311"/>
      <c r="FN34" s="309"/>
      <c r="FO34" s="310"/>
      <c r="FP34" s="311"/>
      <c r="FQ34" s="311"/>
      <c r="FR34" s="309"/>
      <c r="FS34" s="310"/>
      <c r="FT34" s="311"/>
      <c r="FU34" s="311"/>
      <c r="FV34" s="309"/>
      <c r="FW34" s="310"/>
      <c r="FX34" s="311"/>
      <c r="FY34" s="311"/>
      <c r="FZ34" s="309"/>
      <c r="GA34" s="310"/>
      <c r="GB34" s="311"/>
      <c r="GC34" s="311"/>
      <c r="GD34" s="309"/>
      <c r="GE34" s="310"/>
      <c r="GF34" s="311"/>
      <c r="GG34" s="311"/>
      <c r="GH34" s="309"/>
      <c r="GI34" s="310"/>
      <c r="GJ34" s="311"/>
      <c r="GK34" s="311"/>
      <c r="GL34" s="309"/>
      <c r="GM34" s="310"/>
      <c r="GN34" s="311"/>
      <c r="GO34" s="311"/>
      <c r="GP34" s="309"/>
      <c r="GQ34" s="310"/>
      <c r="GR34" s="311"/>
      <c r="GS34" s="311"/>
      <c r="GT34" s="309"/>
      <c r="GU34" s="310"/>
      <c r="GV34" s="311"/>
      <c r="GW34" s="311"/>
      <c r="GX34" s="309"/>
      <c r="GY34" s="310"/>
      <c r="GZ34" s="311"/>
      <c r="HA34" s="311"/>
      <c r="HB34" s="309"/>
      <c r="HC34" s="312">
        <f t="shared" si="66"/>
        <v>0</v>
      </c>
      <c r="HD34" s="313">
        <f t="shared" si="66"/>
        <v>0</v>
      </c>
      <c r="HE34" s="313">
        <f t="shared" si="66"/>
        <v>0</v>
      </c>
      <c r="HF34" s="314"/>
      <c r="HG34" s="312">
        <f>SUM(SUMIFS(K34:HB34,$K$13:$HB$13,{"エネルギー管理指定工場等*","県域*"}))</f>
        <v>0</v>
      </c>
      <c r="HH34" s="313">
        <f>SUM(SUMIFS(L34:HC34,$K$13:$HB$13,{"エネルギー管理指定工場等*","県域*"}))</f>
        <v>0</v>
      </c>
      <c r="HI34" s="313">
        <f>SUM(SUMIFS(M34:HD34,$K$13:$HB$13,{"エネルギー管理指定工場等*","県域*"}))</f>
        <v>0</v>
      </c>
      <c r="HJ34" s="314"/>
      <c r="HL34" s="230">
        <v>25</v>
      </c>
      <c r="HM34" s="714" t="str">
        <f t="shared" ca="1" si="49"/>
        <v/>
      </c>
      <c r="HN34" s="715" t="str">
        <f ca="1">IF(COUNTIF(HN$10:HN33,OFFSET(A1_原単位2027,5,HL34+2))&gt;=1,"",OFFSET(A1_原単位2027,5,HL34+2)&amp;"")</f>
        <v/>
      </c>
      <c r="HO34" s="716" t="str">
        <f t="shared" ca="1" si="50"/>
        <v/>
      </c>
      <c r="HP34" s="717" t="str">
        <f t="shared" ca="1" si="51"/>
        <v/>
      </c>
      <c r="HQ34" s="714" t="str">
        <f t="shared" ca="1" si="52"/>
        <v/>
      </c>
      <c r="HR34" s="715" t="str">
        <f ca="1">IF(COUNTIF(HR$10:HR33,OFFSET(A1_原単位2027,17,HL34+2))&gt;=1,"",OFFSET(A1_原単位2027,17,HL34+2)&amp;"")</f>
        <v/>
      </c>
      <c r="HS34" s="718" t="str">
        <f t="shared" ca="1" si="53"/>
        <v/>
      </c>
      <c r="HT34" s="719" t="str">
        <f t="shared" ca="1" si="54"/>
        <v/>
      </c>
      <c r="HU34" s="714" t="str">
        <f t="shared" ca="1" si="55"/>
        <v/>
      </c>
      <c r="HV34" s="715" t="str">
        <f ca="1">IF(COUNTIF(HV$10:HV33,OFFSET(A1_原単位2027,29,HL34+2))&gt;=1,"",OFFSET(A1_原単位2027,29,HL34+2)&amp;"")</f>
        <v/>
      </c>
      <c r="HW34" s="718" t="str">
        <f t="shared" ca="1" si="56"/>
        <v/>
      </c>
      <c r="HX34" s="719" t="str">
        <f t="shared" ca="1" si="57"/>
        <v/>
      </c>
      <c r="HY34" s="714" t="str">
        <f t="shared" ca="1" si="58"/>
        <v/>
      </c>
      <c r="HZ34" s="715" t="str">
        <f ca="1">IF(COUNTIF(HZ$10:HZ33,OFFSET(A1_原単位2027,41,HL34+2))&gt;=1,"",OFFSET(A1_原単位2027,41,HL34+2)&amp;"")</f>
        <v/>
      </c>
      <c r="IA34" s="720" t="str">
        <f t="shared" ca="1" si="59"/>
        <v/>
      </c>
      <c r="IB34" s="721" t="str">
        <f t="shared" ca="1" si="60"/>
        <v/>
      </c>
      <c r="IE34" s="159" t="str">
        <f t="shared" ca="1" si="61"/>
        <v/>
      </c>
      <c r="IF34" s="159" t="str">
        <f t="shared" ca="1" si="62"/>
        <v/>
      </c>
      <c r="IG34" s="159" t="str">
        <f t="shared" ca="1" si="63"/>
        <v/>
      </c>
      <c r="IH34" s="159" t="str">
        <f t="shared" ca="1" si="64"/>
        <v/>
      </c>
    </row>
    <row r="35" spans="2:242" s="164" customFormat="1" ht="20.100000000000001" customHeight="1">
      <c r="B35" s="302"/>
      <c r="C35" s="319"/>
      <c r="D35" s="303" t="s">
        <v>584</v>
      </c>
      <c r="E35" s="305"/>
      <c r="F35" s="303" t="s">
        <v>455</v>
      </c>
      <c r="G35" s="306">
        <v>26.1</v>
      </c>
      <c r="H35" s="307">
        <v>2.4299999999999999E-2</v>
      </c>
      <c r="I35" s="308"/>
      <c r="J35" s="309"/>
      <c r="K35" s="310"/>
      <c r="L35" s="311"/>
      <c r="M35" s="311"/>
      <c r="N35" s="309"/>
      <c r="O35" s="310"/>
      <c r="P35" s="311"/>
      <c r="Q35" s="311"/>
      <c r="R35" s="309"/>
      <c r="S35" s="310"/>
      <c r="T35" s="311"/>
      <c r="U35" s="311"/>
      <c r="V35" s="309"/>
      <c r="W35" s="310"/>
      <c r="X35" s="311"/>
      <c r="Y35" s="311"/>
      <c r="Z35" s="309"/>
      <c r="AA35" s="310"/>
      <c r="AB35" s="311"/>
      <c r="AC35" s="311"/>
      <c r="AD35" s="309"/>
      <c r="AE35" s="310"/>
      <c r="AF35" s="311"/>
      <c r="AG35" s="311"/>
      <c r="AH35" s="309"/>
      <c r="AI35" s="310"/>
      <c r="AJ35" s="311"/>
      <c r="AK35" s="311"/>
      <c r="AL35" s="309"/>
      <c r="AM35" s="310"/>
      <c r="AN35" s="311"/>
      <c r="AO35" s="311"/>
      <c r="AP35" s="309"/>
      <c r="AQ35" s="310"/>
      <c r="AR35" s="311"/>
      <c r="AS35" s="311"/>
      <c r="AT35" s="309"/>
      <c r="AU35" s="310"/>
      <c r="AV35" s="311"/>
      <c r="AW35" s="311"/>
      <c r="AX35" s="309"/>
      <c r="AY35" s="310"/>
      <c r="AZ35" s="311"/>
      <c r="BA35" s="311"/>
      <c r="BB35" s="309"/>
      <c r="BC35" s="310"/>
      <c r="BD35" s="311"/>
      <c r="BE35" s="311"/>
      <c r="BF35" s="309"/>
      <c r="BG35" s="310"/>
      <c r="BH35" s="311"/>
      <c r="BI35" s="311"/>
      <c r="BJ35" s="309"/>
      <c r="BK35" s="310"/>
      <c r="BL35" s="311"/>
      <c r="BM35" s="311"/>
      <c r="BN35" s="309"/>
      <c r="BO35" s="310"/>
      <c r="BP35" s="311"/>
      <c r="BQ35" s="311"/>
      <c r="BR35" s="309"/>
      <c r="BS35" s="310"/>
      <c r="BT35" s="311"/>
      <c r="BU35" s="311"/>
      <c r="BV35" s="309"/>
      <c r="BW35" s="310"/>
      <c r="BX35" s="311"/>
      <c r="BY35" s="311"/>
      <c r="BZ35" s="309"/>
      <c r="CA35" s="310"/>
      <c r="CB35" s="311"/>
      <c r="CC35" s="311"/>
      <c r="CD35" s="309"/>
      <c r="CE35" s="310"/>
      <c r="CF35" s="311"/>
      <c r="CG35" s="311"/>
      <c r="CH35" s="309"/>
      <c r="CI35" s="310"/>
      <c r="CJ35" s="311"/>
      <c r="CK35" s="311"/>
      <c r="CL35" s="309"/>
      <c r="CM35" s="310"/>
      <c r="CN35" s="311"/>
      <c r="CO35" s="311"/>
      <c r="CP35" s="309"/>
      <c r="CQ35" s="310"/>
      <c r="CR35" s="311"/>
      <c r="CS35" s="311"/>
      <c r="CT35" s="309"/>
      <c r="CU35" s="310"/>
      <c r="CV35" s="311"/>
      <c r="CW35" s="311"/>
      <c r="CX35" s="309"/>
      <c r="CY35" s="310"/>
      <c r="CZ35" s="311"/>
      <c r="DA35" s="311"/>
      <c r="DB35" s="309"/>
      <c r="DC35" s="310"/>
      <c r="DD35" s="311"/>
      <c r="DE35" s="311"/>
      <c r="DF35" s="309"/>
      <c r="DG35" s="310"/>
      <c r="DH35" s="311"/>
      <c r="DI35" s="311"/>
      <c r="DJ35" s="309"/>
      <c r="DK35" s="310"/>
      <c r="DL35" s="311"/>
      <c r="DM35" s="311"/>
      <c r="DN35" s="309"/>
      <c r="DO35" s="310"/>
      <c r="DP35" s="311"/>
      <c r="DQ35" s="311"/>
      <c r="DR35" s="309"/>
      <c r="DS35" s="310"/>
      <c r="DT35" s="311"/>
      <c r="DU35" s="311"/>
      <c r="DV35" s="309"/>
      <c r="DW35" s="310"/>
      <c r="DX35" s="311"/>
      <c r="DY35" s="311"/>
      <c r="DZ35" s="309"/>
      <c r="EA35" s="310"/>
      <c r="EB35" s="311"/>
      <c r="EC35" s="311"/>
      <c r="ED35" s="309"/>
      <c r="EE35" s="310"/>
      <c r="EF35" s="311"/>
      <c r="EG35" s="311"/>
      <c r="EH35" s="309"/>
      <c r="EI35" s="310"/>
      <c r="EJ35" s="311"/>
      <c r="EK35" s="311"/>
      <c r="EL35" s="309"/>
      <c r="EM35" s="310"/>
      <c r="EN35" s="311"/>
      <c r="EO35" s="311"/>
      <c r="EP35" s="309"/>
      <c r="EQ35" s="310"/>
      <c r="ER35" s="311"/>
      <c r="ES35" s="311"/>
      <c r="ET35" s="309"/>
      <c r="EU35" s="310"/>
      <c r="EV35" s="311"/>
      <c r="EW35" s="311"/>
      <c r="EX35" s="309"/>
      <c r="EY35" s="310"/>
      <c r="EZ35" s="311"/>
      <c r="FA35" s="311"/>
      <c r="FB35" s="309"/>
      <c r="FC35" s="310"/>
      <c r="FD35" s="311"/>
      <c r="FE35" s="311"/>
      <c r="FF35" s="309"/>
      <c r="FG35" s="310"/>
      <c r="FH35" s="311"/>
      <c r="FI35" s="311"/>
      <c r="FJ35" s="309"/>
      <c r="FK35" s="310"/>
      <c r="FL35" s="311"/>
      <c r="FM35" s="311"/>
      <c r="FN35" s="309"/>
      <c r="FO35" s="310"/>
      <c r="FP35" s="311"/>
      <c r="FQ35" s="311"/>
      <c r="FR35" s="309"/>
      <c r="FS35" s="310"/>
      <c r="FT35" s="311"/>
      <c r="FU35" s="311"/>
      <c r="FV35" s="309"/>
      <c r="FW35" s="310"/>
      <c r="FX35" s="311"/>
      <c r="FY35" s="311"/>
      <c r="FZ35" s="309"/>
      <c r="GA35" s="310"/>
      <c r="GB35" s="311"/>
      <c r="GC35" s="311"/>
      <c r="GD35" s="309"/>
      <c r="GE35" s="310"/>
      <c r="GF35" s="311"/>
      <c r="GG35" s="311"/>
      <c r="GH35" s="309"/>
      <c r="GI35" s="310"/>
      <c r="GJ35" s="311"/>
      <c r="GK35" s="311"/>
      <c r="GL35" s="309"/>
      <c r="GM35" s="310"/>
      <c r="GN35" s="311"/>
      <c r="GO35" s="311"/>
      <c r="GP35" s="309"/>
      <c r="GQ35" s="310"/>
      <c r="GR35" s="311"/>
      <c r="GS35" s="311"/>
      <c r="GT35" s="309"/>
      <c r="GU35" s="310"/>
      <c r="GV35" s="311"/>
      <c r="GW35" s="311"/>
      <c r="GX35" s="309"/>
      <c r="GY35" s="310"/>
      <c r="GZ35" s="311"/>
      <c r="HA35" s="311"/>
      <c r="HB35" s="309"/>
      <c r="HC35" s="312">
        <f t="shared" si="66"/>
        <v>0</v>
      </c>
      <c r="HD35" s="313">
        <f t="shared" si="66"/>
        <v>0</v>
      </c>
      <c r="HE35" s="313">
        <f t="shared" si="66"/>
        <v>0</v>
      </c>
      <c r="HF35" s="314"/>
      <c r="HG35" s="312">
        <f>SUM(SUMIFS(K35:HB35,$K$13:$HB$13,{"エネルギー管理指定工場等*","県域*"}))</f>
        <v>0</v>
      </c>
      <c r="HH35" s="313">
        <f>SUM(SUMIFS(L35:HC35,$K$13:$HB$13,{"エネルギー管理指定工場等*","県域*"}))</f>
        <v>0</v>
      </c>
      <c r="HI35" s="313">
        <f>SUM(SUMIFS(M35:HD35,$K$13:$HB$13,{"エネルギー管理指定工場等*","県域*"}))</f>
        <v>0</v>
      </c>
      <c r="HJ35" s="314"/>
      <c r="HL35" s="219">
        <v>26</v>
      </c>
      <c r="HM35" s="714" t="str">
        <f t="shared" ca="1" si="49"/>
        <v/>
      </c>
      <c r="HN35" s="715" t="str">
        <f ca="1">IF(COUNTIF(HN$10:HN34,OFFSET(A1_原単位2027,5,HL35+2))&gt;=1,"",OFFSET(A1_原単位2027,5,HL35+2)&amp;"")</f>
        <v/>
      </c>
      <c r="HO35" s="716" t="str">
        <f t="shared" ca="1" si="50"/>
        <v/>
      </c>
      <c r="HP35" s="717" t="str">
        <f t="shared" ca="1" si="51"/>
        <v/>
      </c>
      <c r="HQ35" s="714" t="str">
        <f t="shared" ca="1" si="52"/>
        <v/>
      </c>
      <c r="HR35" s="715" t="str">
        <f ca="1">IF(COUNTIF(HR$10:HR34,OFFSET(A1_原単位2027,17,HL35+2))&gt;=1,"",OFFSET(A1_原単位2027,17,HL35+2)&amp;"")</f>
        <v/>
      </c>
      <c r="HS35" s="718" t="str">
        <f t="shared" ca="1" si="53"/>
        <v/>
      </c>
      <c r="HT35" s="719" t="str">
        <f t="shared" ca="1" si="54"/>
        <v/>
      </c>
      <c r="HU35" s="714" t="str">
        <f t="shared" ca="1" si="55"/>
        <v/>
      </c>
      <c r="HV35" s="715" t="str">
        <f ca="1">IF(COUNTIF(HV$10:HV34,OFFSET(A1_原単位2027,29,HL35+2))&gt;=1,"",OFFSET(A1_原単位2027,29,HL35+2)&amp;"")</f>
        <v/>
      </c>
      <c r="HW35" s="718" t="str">
        <f t="shared" ca="1" si="56"/>
        <v/>
      </c>
      <c r="HX35" s="719" t="str">
        <f t="shared" ca="1" si="57"/>
        <v/>
      </c>
      <c r="HY35" s="714" t="str">
        <f t="shared" ca="1" si="58"/>
        <v/>
      </c>
      <c r="HZ35" s="715" t="str">
        <f ca="1">IF(COUNTIF(HZ$10:HZ34,OFFSET(A1_原単位2027,41,HL35+2))&gt;=1,"",OFFSET(A1_原単位2027,41,HL35+2)&amp;"")</f>
        <v/>
      </c>
      <c r="IA35" s="720" t="str">
        <f t="shared" ca="1" si="59"/>
        <v/>
      </c>
      <c r="IB35" s="721" t="str">
        <f t="shared" ca="1" si="60"/>
        <v/>
      </c>
      <c r="IE35" s="159" t="str">
        <f t="shared" ca="1" si="61"/>
        <v/>
      </c>
      <c r="IF35" s="159" t="str">
        <f t="shared" ca="1" si="62"/>
        <v/>
      </c>
      <c r="IG35" s="159" t="str">
        <f t="shared" ca="1" si="63"/>
        <v/>
      </c>
      <c r="IH35" s="159" t="str">
        <f t="shared" ca="1" si="64"/>
        <v/>
      </c>
    </row>
    <row r="36" spans="2:242" s="164" customFormat="1" ht="20.100000000000001" customHeight="1">
      <c r="B36" s="302"/>
      <c r="C36" s="319"/>
      <c r="D36" s="303" t="s">
        <v>585</v>
      </c>
      <c r="E36" s="305"/>
      <c r="F36" s="303" t="s">
        <v>455</v>
      </c>
      <c r="G36" s="306">
        <v>24.2</v>
      </c>
      <c r="H36" s="307">
        <v>2.4199999999999999E-2</v>
      </c>
      <c r="I36" s="308"/>
      <c r="J36" s="309"/>
      <c r="K36" s="310"/>
      <c r="L36" s="311"/>
      <c r="M36" s="311"/>
      <c r="N36" s="309"/>
      <c r="O36" s="310"/>
      <c r="P36" s="311"/>
      <c r="Q36" s="311"/>
      <c r="R36" s="309"/>
      <c r="S36" s="310"/>
      <c r="T36" s="311"/>
      <c r="U36" s="311"/>
      <c r="V36" s="309"/>
      <c r="W36" s="310"/>
      <c r="X36" s="311"/>
      <c r="Y36" s="311"/>
      <c r="Z36" s="309"/>
      <c r="AA36" s="310"/>
      <c r="AB36" s="311"/>
      <c r="AC36" s="311"/>
      <c r="AD36" s="309"/>
      <c r="AE36" s="310"/>
      <c r="AF36" s="311"/>
      <c r="AG36" s="311"/>
      <c r="AH36" s="309"/>
      <c r="AI36" s="310"/>
      <c r="AJ36" s="311"/>
      <c r="AK36" s="311"/>
      <c r="AL36" s="309"/>
      <c r="AM36" s="310"/>
      <c r="AN36" s="311"/>
      <c r="AO36" s="311"/>
      <c r="AP36" s="309"/>
      <c r="AQ36" s="310"/>
      <c r="AR36" s="311"/>
      <c r="AS36" s="311"/>
      <c r="AT36" s="309"/>
      <c r="AU36" s="310"/>
      <c r="AV36" s="311"/>
      <c r="AW36" s="311"/>
      <c r="AX36" s="309"/>
      <c r="AY36" s="310"/>
      <c r="AZ36" s="311"/>
      <c r="BA36" s="311"/>
      <c r="BB36" s="309"/>
      <c r="BC36" s="310"/>
      <c r="BD36" s="311"/>
      <c r="BE36" s="311"/>
      <c r="BF36" s="309"/>
      <c r="BG36" s="310"/>
      <c r="BH36" s="311"/>
      <c r="BI36" s="311"/>
      <c r="BJ36" s="309"/>
      <c r="BK36" s="310"/>
      <c r="BL36" s="311"/>
      <c r="BM36" s="311"/>
      <c r="BN36" s="309"/>
      <c r="BO36" s="310"/>
      <c r="BP36" s="311"/>
      <c r="BQ36" s="311"/>
      <c r="BR36" s="309"/>
      <c r="BS36" s="310"/>
      <c r="BT36" s="311"/>
      <c r="BU36" s="311"/>
      <c r="BV36" s="309"/>
      <c r="BW36" s="310"/>
      <c r="BX36" s="311"/>
      <c r="BY36" s="311"/>
      <c r="BZ36" s="309"/>
      <c r="CA36" s="310"/>
      <c r="CB36" s="311"/>
      <c r="CC36" s="311"/>
      <c r="CD36" s="309"/>
      <c r="CE36" s="310"/>
      <c r="CF36" s="311"/>
      <c r="CG36" s="311"/>
      <c r="CH36" s="309"/>
      <c r="CI36" s="310"/>
      <c r="CJ36" s="311"/>
      <c r="CK36" s="311"/>
      <c r="CL36" s="309"/>
      <c r="CM36" s="310"/>
      <c r="CN36" s="311"/>
      <c r="CO36" s="311"/>
      <c r="CP36" s="309"/>
      <c r="CQ36" s="310"/>
      <c r="CR36" s="311"/>
      <c r="CS36" s="311"/>
      <c r="CT36" s="309"/>
      <c r="CU36" s="310"/>
      <c r="CV36" s="311"/>
      <c r="CW36" s="311"/>
      <c r="CX36" s="309"/>
      <c r="CY36" s="310"/>
      <c r="CZ36" s="311"/>
      <c r="DA36" s="311"/>
      <c r="DB36" s="309"/>
      <c r="DC36" s="310"/>
      <c r="DD36" s="311"/>
      <c r="DE36" s="311"/>
      <c r="DF36" s="309"/>
      <c r="DG36" s="310"/>
      <c r="DH36" s="311"/>
      <c r="DI36" s="311"/>
      <c r="DJ36" s="309"/>
      <c r="DK36" s="310"/>
      <c r="DL36" s="311"/>
      <c r="DM36" s="311"/>
      <c r="DN36" s="309"/>
      <c r="DO36" s="310"/>
      <c r="DP36" s="311"/>
      <c r="DQ36" s="311"/>
      <c r="DR36" s="309"/>
      <c r="DS36" s="310"/>
      <c r="DT36" s="311"/>
      <c r="DU36" s="311"/>
      <c r="DV36" s="309"/>
      <c r="DW36" s="310"/>
      <c r="DX36" s="311"/>
      <c r="DY36" s="311"/>
      <c r="DZ36" s="309"/>
      <c r="EA36" s="310"/>
      <c r="EB36" s="311"/>
      <c r="EC36" s="311"/>
      <c r="ED36" s="309"/>
      <c r="EE36" s="310"/>
      <c r="EF36" s="311"/>
      <c r="EG36" s="311"/>
      <c r="EH36" s="309"/>
      <c r="EI36" s="310"/>
      <c r="EJ36" s="311"/>
      <c r="EK36" s="311"/>
      <c r="EL36" s="309"/>
      <c r="EM36" s="310"/>
      <c r="EN36" s="311"/>
      <c r="EO36" s="311"/>
      <c r="EP36" s="309"/>
      <c r="EQ36" s="310"/>
      <c r="ER36" s="311"/>
      <c r="ES36" s="311"/>
      <c r="ET36" s="309"/>
      <c r="EU36" s="310"/>
      <c r="EV36" s="311"/>
      <c r="EW36" s="311"/>
      <c r="EX36" s="309"/>
      <c r="EY36" s="310"/>
      <c r="EZ36" s="311"/>
      <c r="FA36" s="311"/>
      <c r="FB36" s="309"/>
      <c r="FC36" s="310"/>
      <c r="FD36" s="311"/>
      <c r="FE36" s="311"/>
      <c r="FF36" s="309"/>
      <c r="FG36" s="310"/>
      <c r="FH36" s="311"/>
      <c r="FI36" s="311"/>
      <c r="FJ36" s="309"/>
      <c r="FK36" s="310"/>
      <c r="FL36" s="311"/>
      <c r="FM36" s="311"/>
      <c r="FN36" s="309"/>
      <c r="FO36" s="310"/>
      <c r="FP36" s="311"/>
      <c r="FQ36" s="311"/>
      <c r="FR36" s="309"/>
      <c r="FS36" s="310"/>
      <c r="FT36" s="311"/>
      <c r="FU36" s="311"/>
      <c r="FV36" s="309"/>
      <c r="FW36" s="310"/>
      <c r="FX36" s="311"/>
      <c r="FY36" s="311"/>
      <c r="FZ36" s="309"/>
      <c r="GA36" s="310"/>
      <c r="GB36" s="311"/>
      <c r="GC36" s="311"/>
      <c r="GD36" s="309"/>
      <c r="GE36" s="310"/>
      <c r="GF36" s="311"/>
      <c r="GG36" s="311"/>
      <c r="GH36" s="309"/>
      <c r="GI36" s="310"/>
      <c r="GJ36" s="311"/>
      <c r="GK36" s="311"/>
      <c r="GL36" s="309"/>
      <c r="GM36" s="310"/>
      <c r="GN36" s="311"/>
      <c r="GO36" s="311"/>
      <c r="GP36" s="309"/>
      <c r="GQ36" s="310"/>
      <c r="GR36" s="311"/>
      <c r="GS36" s="311"/>
      <c r="GT36" s="309"/>
      <c r="GU36" s="310"/>
      <c r="GV36" s="311"/>
      <c r="GW36" s="311"/>
      <c r="GX36" s="309"/>
      <c r="GY36" s="310"/>
      <c r="GZ36" s="311"/>
      <c r="HA36" s="311"/>
      <c r="HB36" s="309"/>
      <c r="HC36" s="312">
        <f t="shared" si="66"/>
        <v>0</v>
      </c>
      <c r="HD36" s="313">
        <f t="shared" si="66"/>
        <v>0</v>
      </c>
      <c r="HE36" s="313">
        <f t="shared" si="66"/>
        <v>0</v>
      </c>
      <c r="HF36" s="314"/>
      <c r="HG36" s="312">
        <f>SUM(SUMIFS(K36:HB36,$K$13:$HB$13,{"エネルギー管理指定工場等*","県域*"}))</f>
        <v>0</v>
      </c>
      <c r="HH36" s="313">
        <f>SUM(SUMIFS(L36:HC36,$K$13:$HB$13,{"エネルギー管理指定工場等*","県域*"}))</f>
        <v>0</v>
      </c>
      <c r="HI36" s="313">
        <f>SUM(SUMIFS(M36:HD36,$K$13:$HB$13,{"エネルギー管理指定工場等*","県域*"}))</f>
        <v>0</v>
      </c>
      <c r="HJ36" s="314"/>
      <c r="HL36" s="230">
        <v>27</v>
      </c>
      <c r="HM36" s="714" t="str">
        <f t="shared" ca="1" si="49"/>
        <v/>
      </c>
      <c r="HN36" s="715" t="str">
        <f ca="1">IF(COUNTIF(HN$10:HN35,OFFSET(A1_原単位2027,5,HL36+2))&gt;=1,"",OFFSET(A1_原単位2027,5,HL36+2)&amp;"")</f>
        <v/>
      </c>
      <c r="HO36" s="716" t="str">
        <f t="shared" ca="1" si="50"/>
        <v/>
      </c>
      <c r="HP36" s="717" t="str">
        <f t="shared" ca="1" si="51"/>
        <v/>
      </c>
      <c r="HQ36" s="714" t="str">
        <f t="shared" ca="1" si="52"/>
        <v/>
      </c>
      <c r="HR36" s="715" t="str">
        <f ca="1">IF(COUNTIF(HR$10:HR35,OFFSET(A1_原単位2027,17,HL36+2))&gt;=1,"",OFFSET(A1_原単位2027,17,HL36+2)&amp;"")</f>
        <v/>
      </c>
      <c r="HS36" s="718" t="str">
        <f t="shared" ca="1" si="53"/>
        <v/>
      </c>
      <c r="HT36" s="719" t="str">
        <f t="shared" ca="1" si="54"/>
        <v/>
      </c>
      <c r="HU36" s="714" t="str">
        <f t="shared" ca="1" si="55"/>
        <v/>
      </c>
      <c r="HV36" s="715" t="str">
        <f ca="1">IF(COUNTIF(HV$10:HV35,OFFSET(A1_原単位2027,29,HL36+2))&gt;=1,"",OFFSET(A1_原単位2027,29,HL36+2)&amp;"")</f>
        <v/>
      </c>
      <c r="HW36" s="718" t="str">
        <f t="shared" ca="1" si="56"/>
        <v/>
      </c>
      <c r="HX36" s="719" t="str">
        <f t="shared" ca="1" si="57"/>
        <v/>
      </c>
      <c r="HY36" s="714" t="str">
        <f t="shared" ca="1" si="58"/>
        <v/>
      </c>
      <c r="HZ36" s="715" t="str">
        <f ca="1">IF(COUNTIF(HZ$10:HZ35,OFFSET(A1_原単位2027,41,HL36+2))&gt;=1,"",OFFSET(A1_原単位2027,41,HL36+2)&amp;"")</f>
        <v/>
      </c>
      <c r="IA36" s="720" t="str">
        <f t="shared" ca="1" si="59"/>
        <v/>
      </c>
      <c r="IB36" s="721" t="str">
        <f t="shared" ca="1" si="60"/>
        <v/>
      </c>
      <c r="IE36" s="159" t="str">
        <f t="shared" ca="1" si="61"/>
        <v/>
      </c>
      <c r="IF36" s="159" t="str">
        <f t="shared" ca="1" si="62"/>
        <v/>
      </c>
      <c r="IG36" s="159" t="str">
        <f t="shared" ca="1" si="63"/>
        <v/>
      </c>
      <c r="IH36" s="159" t="str">
        <f t="shared" ca="1" si="64"/>
        <v/>
      </c>
    </row>
    <row r="37" spans="2:242" s="164" customFormat="1" ht="20.100000000000001" customHeight="1">
      <c r="B37" s="302"/>
      <c r="C37" s="318"/>
      <c r="D37" s="303" t="s">
        <v>586</v>
      </c>
      <c r="E37" s="305"/>
      <c r="F37" s="303" t="s">
        <v>455</v>
      </c>
      <c r="G37" s="306">
        <v>27.8</v>
      </c>
      <c r="H37" s="307">
        <v>2.5899999999999999E-2</v>
      </c>
      <c r="I37" s="308"/>
      <c r="J37" s="309"/>
      <c r="K37" s="310"/>
      <c r="L37" s="311"/>
      <c r="M37" s="311"/>
      <c r="N37" s="309"/>
      <c r="O37" s="310"/>
      <c r="P37" s="311"/>
      <c r="Q37" s="311"/>
      <c r="R37" s="309"/>
      <c r="S37" s="310"/>
      <c r="T37" s="311"/>
      <c r="U37" s="311"/>
      <c r="V37" s="309"/>
      <c r="W37" s="310"/>
      <c r="X37" s="311"/>
      <c r="Y37" s="311"/>
      <c r="Z37" s="309"/>
      <c r="AA37" s="310"/>
      <c r="AB37" s="311"/>
      <c r="AC37" s="311"/>
      <c r="AD37" s="309"/>
      <c r="AE37" s="310"/>
      <c r="AF37" s="311"/>
      <c r="AG37" s="311"/>
      <c r="AH37" s="309"/>
      <c r="AI37" s="310"/>
      <c r="AJ37" s="311"/>
      <c r="AK37" s="311"/>
      <c r="AL37" s="309"/>
      <c r="AM37" s="310"/>
      <c r="AN37" s="311"/>
      <c r="AO37" s="311"/>
      <c r="AP37" s="309"/>
      <c r="AQ37" s="310"/>
      <c r="AR37" s="311"/>
      <c r="AS37" s="311"/>
      <c r="AT37" s="309"/>
      <c r="AU37" s="310"/>
      <c r="AV37" s="311"/>
      <c r="AW37" s="311"/>
      <c r="AX37" s="309"/>
      <c r="AY37" s="310"/>
      <c r="AZ37" s="311"/>
      <c r="BA37" s="311"/>
      <c r="BB37" s="309"/>
      <c r="BC37" s="310"/>
      <c r="BD37" s="311"/>
      <c r="BE37" s="311"/>
      <c r="BF37" s="309"/>
      <c r="BG37" s="310"/>
      <c r="BH37" s="311"/>
      <c r="BI37" s="311"/>
      <c r="BJ37" s="309"/>
      <c r="BK37" s="310"/>
      <c r="BL37" s="311"/>
      <c r="BM37" s="311"/>
      <c r="BN37" s="309"/>
      <c r="BO37" s="310"/>
      <c r="BP37" s="311"/>
      <c r="BQ37" s="311"/>
      <c r="BR37" s="309"/>
      <c r="BS37" s="310"/>
      <c r="BT37" s="311"/>
      <c r="BU37" s="311"/>
      <c r="BV37" s="309"/>
      <c r="BW37" s="310"/>
      <c r="BX37" s="311"/>
      <c r="BY37" s="311"/>
      <c r="BZ37" s="309"/>
      <c r="CA37" s="310"/>
      <c r="CB37" s="311"/>
      <c r="CC37" s="311"/>
      <c r="CD37" s="309"/>
      <c r="CE37" s="310"/>
      <c r="CF37" s="311"/>
      <c r="CG37" s="311"/>
      <c r="CH37" s="309"/>
      <c r="CI37" s="310"/>
      <c r="CJ37" s="311"/>
      <c r="CK37" s="311"/>
      <c r="CL37" s="309"/>
      <c r="CM37" s="310"/>
      <c r="CN37" s="311"/>
      <c r="CO37" s="311"/>
      <c r="CP37" s="309"/>
      <c r="CQ37" s="310"/>
      <c r="CR37" s="311"/>
      <c r="CS37" s="311"/>
      <c r="CT37" s="309"/>
      <c r="CU37" s="310"/>
      <c r="CV37" s="311"/>
      <c r="CW37" s="311"/>
      <c r="CX37" s="309"/>
      <c r="CY37" s="310"/>
      <c r="CZ37" s="311"/>
      <c r="DA37" s="311"/>
      <c r="DB37" s="309"/>
      <c r="DC37" s="310"/>
      <c r="DD37" s="311"/>
      <c r="DE37" s="311"/>
      <c r="DF37" s="309"/>
      <c r="DG37" s="310"/>
      <c r="DH37" s="311"/>
      <c r="DI37" s="311"/>
      <c r="DJ37" s="309"/>
      <c r="DK37" s="310"/>
      <c r="DL37" s="311"/>
      <c r="DM37" s="311"/>
      <c r="DN37" s="309"/>
      <c r="DO37" s="310"/>
      <c r="DP37" s="311"/>
      <c r="DQ37" s="311"/>
      <c r="DR37" s="309"/>
      <c r="DS37" s="310"/>
      <c r="DT37" s="311"/>
      <c r="DU37" s="311"/>
      <c r="DV37" s="309"/>
      <c r="DW37" s="310"/>
      <c r="DX37" s="311"/>
      <c r="DY37" s="311"/>
      <c r="DZ37" s="309"/>
      <c r="EA37" s="310"/>
      <c r="EB37" s="311"/>
      <c r="EC37" s="311"/>
      <c r="ED37" s="309"/>
      <c r="EE37" s="310"/>
      <c r="EF37" s="311"/>
      <c r="EG37" s="311"/>
      <c r="EH37" s="309"/>
      <c r="EI37" s="310"/>
      <c r="EJ37" s="311"/>
      <c r="EK37" s="311"/>
      <c r="EL37" s="309"/>
      <c r="EM37" s="310"/>
      <c r="EN37" s="311"/>
      <c r="EO37" s="311"/>
      <c r="EP37" s="309"/>
      <c r="EQ37" s="310"/>
      <c r="ER37" s="311"/>
      <c r="ES37" s="311"/>
      <c r="ET37" s="309"/>
      <c r="EU37" s="310"/>
      <c r="EV37" s="311"/>
      <c r="EW37" s="311"/>
      <c r="EX37" s="309"/>
      <c r="EY37" s="310"/>
      <c r="EZ37" s="311"/>
      <c r="FA37" s="311"/>
      <c r="FB37" s="309"/>
      <c r="FC37" s="310"/>
      <c r="FD37" s="311"/>
      <c r="FE37" s="311"/>
      <c r="FF37" s="309"/>
      <c r="FG37" s="310"/>
      <c r="FH37" s="311"/>
      <c r="FI37" s="311"/>
      <c r="FJ37" s="309"/>
      <c r="FK37" s="310"/>
      <c r="FL37" s="311"/>
      <c r="FM37" s="311"/>
      <c r="FN37" s="309"/>
      <c r="FO37" s="310"/>
      <c r="FP37" s="311"/>
      <c r="FQ37" s="311"/>
      <c r="FR37" s="309"/>
      <c r="FS37" s="310"/>
      <c r="FT37" s="311"/>
      <c r="FU37" s="311"/>
      <c r="FV37" s="309"/>
      <c r="FW37" s="310"/>
      <c r="FX37" s="311"/>
      <c r="FY37" s="311"/>
      <c r="FZ37" s="309"/>
      <c r="GA37" s="310"/>
      <c r="GB37" s="311"/>
      <c r="GC37" s="311"/>
      <c r="GD37" s="309"/>
      <c r="GE37" s="310"/>
      <c r="GF37" s="311"/>
      <c r="GG37" s="311"/>
      <c r="GH37" s="309"/>
      <c r="GI37" s="310"/>
      <c r="GJ37" s="311"/>
      <c r="GK37" s="311"/>
      <c r="GL37" s="309"/>
      <c r="GM37" s="310"/>
      <c r="GN37" s="311"/>
      <c r="GO37" s="311"/>
      <c r="GP37" s="309"/>
      <c r="GQ37" s="310"/>
      <c r="GR37" s="311"/>
      <c r="GS37" s="311"/>
      <c r="GT37" s="309"/>
      <c r="GU37" s="310"/>
      <c r="GV37" s="311"/>
      <c r="GW37" s="311"/>
      <c r="GX37" s="309"/>
      <c r="GY37" s="310"/>
      <c r="GZ37" s="311"/>
      <c r="HA37" s="311"/>
      <c r="HB37" s="309"/>
      <c r="HC37" s="312">
        <f t="shared" si="66"/>
        <v>0</v>
      </c>
      <c r="HD37" s="313">
        <f t="shared" si="66"/>
        <v>0</v>
      </c>
      <c r="HE37" s="313">
        <f t="shared" si="66"/>
        <v>0</v>
      </c>
      <c r="HF37" s="314"/>
      <c r="HG37" s="312">
        <f>SUM(SUMIFS(K37:HB37,$K$13:$HB$13,{"エネルギー管理指定工場等*","県域*"}))</f>
        <v>0</v>
      </c>
      <c r="HH37" s="313">
        <f>SUM(SUMIFS(L37:HC37,$K$13:$HB$13,{"エネルギー管理指定工場等*","県域*"}))</f>
        <v>0</v>
      </c>
      <c r="HI37" s="313">
        <f>SUM(SUMIFS(M37:HD37,$K$13:$HB$13,{"エネルギー管理指定工場等*","県域*"}))</f>
        <v>0</v>
      </c>
      <c r="HJ37" s="314"/>
      <c r="HL37" s="219">
        <v>28</v>
      </c>
      <c r="HM37" s="714" t="str">
        <f t="shared" ca="1" si="49"/>
        <v/>
      </c>
      <c r="HN37" s="715" t="str">
        <f ca="1">IF(COUNTIF(HN$10:HN36,OFFSET(A1_原単位2027,5,HL37+2))&gt;=1,"",OFFSET(A1_原単位2027,5,HL37+2)&amp;"")</f>
        <v/>
      </c>
      <c r="HO37" s="716" t="str">
        <f t="shared" ca="1" si="50"/>
        <v/>
      </c>
      <c r="HP37" s="717" t="str">
        <f t="shared" ca="1" si="51"/>
        <v/>
      </c>
      <c r="HQ37" s="714" t="str">
        <f t="shared" ca="1" si="52"/>
        <v/>
      </c>
      <c r="HR37" s="715" t="str">
        <f ca="1">IF(COUNTIF(HR$10:HR36,OFFSET(A1_原単位2027,17,HL37+2))&gt;=1,"",OFFSET(A1_原単位2027,17,HL37+2)&amp;"")</f>
        <v/>
      </c>
      <c r="HS37" s="718" t="str">
        <f t="shared" ca="1" si="53"/>
        <v/>
      </c>
      <c r="HT37" s="719" t="str">
        <f t="shared" ca="1" si="54"/>
        <v/>
      </c>
      <c r="HU37" s="714" t="str">
        <f t="shared" ca="1" si="55"/>
        <v/>
      </c>
      <c r="HV37" s="715" t="str">
        <f ca="1">IF(COUNTIF(HV$10:HV36,OFFSET(A1_原単位2027,29,HL37+2))&gt;=1,"",OFFSET(A1_原単位2027,29,HL37+2)&amp;"")</f>
        <v/>
      </c>
      <c r="HW37" s="718" t="str">
        <f t="shared" ca="1" si="56"/>
        <v/>
      </c>
      <c r="HX37" s="719" t="str">
        <f t="shared" ca="1" si="57"/>
        <v/>
      </c>
      <c r="HY37" s="714" t="str">
        <f t="shared" ca="1" si="58"/>
        <v/>
      </c>
      <c r="HZ37" s="715" t="str">
        <f ca="1">IF(COUNTIF(HZ$10:HZ36,OFFSET(A1_原単位2027,41,HL37+2))&gt;=1,"",OFFSET(A1_原単位2027,41,HL37+2)&amp;"")</f>
        <v/>
      </c>
      <c r="IA37" s="720" t="str">
        <f t="shared" ca="1" si="59"/>
        <v/>
      </c>
      <c r="IB37" s="721" t="str">
        <f t="shared" ca="1" si="60"/>
        <v/>
      </c>
      <c r="IE37" s="159" t="str">
        <f t="shared" ca="1" si="61"/>
        <v/>
      </c>
      <c r="IF37" s="159" t="str">
        <f t="shared" ca="1" si="62"/>
        <v/>
      </c>
      <c r="IG37" s="159" t="str">
        <f t="shared" ca="1" si="63"/>
        <v/>
      </c>
      <c r="IH37" s="159" t="str">
        <f t="shared" ca="1" si="64"/>
        <v/>
      </c>
    </row>
    <row r="38" spans="2:242" s="164" customFormat="1" ht="20.100000000000001" customHeight="1">
      <c r="B38" s="302"/>
      <c r="C38" s="303" t="s">
        <v>370</v>
      </c>
      <c r="D38" s="304"/>
      <c r="E38" s="305"/>
      <c r="F38" s="303" t="s">
        <v>455</v>
      </c>
      <c r="G38" s="316">
        <v>29</v>
      </c>
      <c r="H38" s="307">
        <v>2.9899999999999999E-2</v>
      </c>
      <c r="I38" s="308"/>
      <c r="J38" s="309"/>
      <c r="K38" s="310"/>
      <c r="L38" s="311"/>
      <c r="M38" s="311"/>
      <c r="N38" s="309"/>
      <c r="O38" s="310"/>
      <c r="P38" s="311"/>
      <c r="Q38" s="311"/>
      <c r="R38" s="309"/>
      <c r="S38" s="310"/>
      <c r="T38" s="311"/>
      <c r="U38" s="311"/>
      <c r="V38" s="309"/>
      <c r="W38" s="310"/>
      <c r="X38" s="311"/>
      <c r="Y38" s="311"/>
      <c r="Z38" s="309"/>
      <c r="AA38" s="310"/>
      <c r="AB38" s="311"/>
      <c r="AC38" s="311"/>
      <c r="AD38" s="309"/>
      <c r="AE38" s="310"/>
      <c r="AF38" s="311"/>
      <c r="AG38" s="311"/>
      <c r="AH38" s="309"/>
      <c r="AI38" s="310"/>
      <c r="AJ38" s="311"/>
      <c r="AK38" s="311"/>
      <c r="AL38" s="309"/>
      <c r="AM38" s="310"/>
      <c r="AN38" s="311"/>
      <c r="AO38" s="311"/>
      <c r="AP38" s="309"/>
      <c r="AQ38" s="310"/>
      <c r="AR38" s="311"/>
      <c r="AS38" s="311"/>
      <c r="AT38" s="309"/>
      <c r="AU38" s="310"/>
      <c r="AV38" s="311"/>
      <c r="AW38" s="311"/>
      <c r="AX38" s="309"/>
      <c r="AY38" s="310"/>
      <c r="AZ38" s="311"/>
      <c r="BA38" s="311"/>
      <c r="BB38" s="309"/>
      <c r="BC38" s="310"/>
      <c r="BD38" s="311"/>
      <c r="BE38" s="311"/>
      <c r="BF38" s="309"/>
      <c r="BG38" s="310"/>
      <c r="BH38" s="311"/>
      <c r="BI38" s="311"/>
      <c r="BJ38" s="309"/>
      <c r="BK38" s="310"/>
      <c r="BL38" s="311"/>
      <c r="BM38" s="311"/>
      <c r="BN38" s="309"/>
      <c r="BO38" s="310"/>
      <c r="BP38" s="311"/>
      <c r="BQ38" s="311"/>
      <c r="BR38" s="309"/>
      <c r="BS38" s="310"/>
      <c r="BT38" s="311"/>
      <c r="BU38" s="311"/>
      <c r="BV38" s="309"/>
      <c r="BW38" s="310"/>
      <c r="BX38" s="311"/>
      <c r="BY38" s="311"/>
      <c r="BZ38" s="309"/>
      <c r="CA38" s="310"/>
      <c r="CB38" s="311"/>
      <c r="CC38" s="311"/>
      <c r="CD38" s="309"/>
      <c r="CE38" s="310"/>
      <c r="CF38" s="311"/>
      <c r="CG38" s="311"/>
      <c r="CH38" s="309"/>
      <c r="CI38" s="310"/>
      <c r="CJ38" s="311"/>
      <c r="CK38" s="311"/>
      <c r="CL38" s="309"/>
      <c r="CM38" s="310"/>
      <c r="CN38" s="311"/>
      <c r="CO38" s="311"/>
      <c r="CP38" s="309"/>
      <c r="CQ38" s="310"/>
      <c r="CR38" s="311"/>
      <c r="CS38" s="311"/>
      <c r="CT38" s="309"/>
      <c r="CU38" s="310"/>
      <c r="CV38" s="311"/>
      <c r="CW38" s="311"/>
      <c r="CX38" s="309"/>
      <c r="CY38" s="310"/>
      <c r="CZ38" s="311"/>
      <c r="DA38" s="311"/>
      <c r="DB38" s="309"/>
      <c r="DC38" s="310"/>
      <c r="DD38" s="311"/>
      <c r="DE38" s="311"/>
      <c r="DF38" s="309"/>
      <c r="DG38" s="310"/>
      <c r="DH38" s="311"/>
      <c r="DI38" s="311"/>
      <c r="DJ38" s="309"/>
      <c r="DK38" s="310"/>
      <c r="DL38" s="311"/>
      <c r="DM38" s="311"/>
      <c r="DN38" s="309"/>
      <c r="DO38" s="310"/>
      <c r="DP38" s="311"/>
      <c r="DQ38" s="311"/>
      <c r="DR38" s="309"/>
      <c r="DS38" s="310"/>
      <c r="DT38" s="311"/>
      <c r="DU38" s="311"/>
      <c r="DV38" s="309"/>
      <c r="DW38" s="310"/>
      <c r="DX38" s="311"/>
      <c r="DY38" s="311"/>
      <c r="DZ38" s="309"/>
      <c r="EA38" s="310"/>
      <c r="EB38" s="311"/>
      <c r="EC38" s="311"/>
      <c r="ED38" s="309"/>
      <c r="EE38" s="310"/>
      <c r="EF38" s="311"/>
      <c r="EG38" s="311"/>
      <c r="EH38" s="309"/>
      <c r="EI38" s="310"/>
      <c r="EJ38" s="311"/>
      <c r="EK38" s="311"/>
      <c r="EL38" s="309"/>
      <c r="EM38" s="310"/>
      <c r="EN38" s="311"/>
      <c r="EO38" s="311"/>
      <c r="EP38" s="309"/>
      <c r="EQ38" s="310"/>
      <c r="ER38" s="311"/>
      <c r="ES38" s="311"/>
      <c r="ET38" s="309"/>
      <c r="EU38" s="310"/>
      <c r="EV38" s="311"/>
      <c r="EW38" s="311"/>
      <c r="EX38" s="309"/>
      <c r="EY38" s="310"/>
      <c r="EZ38" s="311"/>
      <c r="FA38" s="311"/>
      <c r="FB38" s="309"/>
      <c r="FC38" s="310"/>
      <c r="FD38" s="311"/>
      <c r="FE38" s="311"/>
      <c r="FF38" s="309"/>
      <c r="FG38" s="310"/>
      <c r="FH38" s="311"/>
      <c r="FI38" s="311"/>
      <c r="FJ38" s="309"/>
      <c r="FK38" s="310"/>
      <c r="FL38" s="311"/>
      <c r="FM38" s="311"/>
      <c r="FN38" s="309"/>
      <c r="FO38" s="310"/>
      <c r="FP38" s="311"/>
      <c r="FQ38" s="311"/>
      <c r="FR38" s="309"/>
      <c r="FS38" s="310"/>
      <c r="FT38" s="311"/>
      <c r="FU38" s="311"/>
      <c r="FV38" s="309"/>
      <c r="FW38" s="310"/>
      <c r="FX38" s="311"/>
      <c r="FY38" s="311"/>
      <c r="FZ38" s="309"/>
      <c r="GA38" s="310"/>
      <c r="GB38" s="311"/>
      <c r="GC38" s="311"/>
      <c r="GD38" s="309"/>
      <c r="GE38" s="310"/>
      <c r="GF38" s="311"/>
      <c r="GG38" s="311"/>
      <c r="GH38" s="309"/>
      <c r="GI38" s="310"/>
      <c r="GJ38" s="311"/>
      <c r="GK38" s="311"/>
      <c r="GL38" s="309"/>
      <c r="GM38" s="310"/>
      <c r="GN38" s="311"/>
      <c r="GO38" s="311"/>
      <c r="GP38" s="309"/>
      <c r="GQ38" s="310"/>
      <c r="GR38" s="311"/>
      <c r="GS38" s="311"/>
      <c r="GT38" s="309"/>
      <c r="GU38" s="310"/>
      <c r="GV38" s="311"/>
      <c r="GW38" s="311"/>
      <c r="GX38" s="309"/>
      <c r="GY38" s="310"/>
      <c r="GZ38" s="311"/>
      <c r="HA38" s="311"/>
      <c r="HB38" s="309"/>
      <c r="HC38" s="312">
        <f t="shared" si="66"/>
        <v>0</v>
      </c>
      <c r="HD38" s="313">
        <f t="shared" si="66"/>
        <v>0</v>
      </c>
      <c r="HE38" s="313">
        <f t="shared" si="66"/>
        <v>0</v>
      </c>
      <c r="HF38" s="314"/>
      <c r="HG38" s="312">
        <f>SUM(SUMIFS(K38:HB38,$K$13:$HB$13,{"エネルギー管理指定工場等*","県域*"}))</f>
        <v>0</v>
      </c>
      <c r="HH38" s="313">
        <f>SUM(SUMIFS(L38:HC38,$K$13:$HB$13,{"エネルギー管理指定工場等*","県域*"}))</f>
        <v>0</v>
      </c>
      <c r="HI38" s="313">
        <f>SUM(SUMIFS(M38:HD38,$K$13:$HB$13,{"エネルギー管理指定工場等*","県域*"}))</f>
        <v>0</v>
      </c>
      <c r="HJ38" s="314"/>
      <c r="HL38" s="219">
        <v>29</v>
      </c>
      <c r="HM38" s="714" t="str">
        <f t="shared" ca="1" si="49"/>
        <v/>
      </c>
      <c r="HN38" s="715" t="str">
        <f ca="1">IF(COUNTIF(HN$10:HN37,OFFSET(A1_原単位2027,5,HL38+2))&gt;=1,"",OFFSET(A1_原単位2027,5,HL38+2)&amp;"")</f>
        <v/>
      </c>
      <c r="HO38" s="716" t="str">
        <f t="shared" ca="1" si="50"/>
        <v/>
      </c>
      <c r="HP38" s="717" t="str">
        <f t="shared" ca="1" si="51"/>
        <v/>
      </c>
      <c r="HQ38" s="714" t="str">
        <f t="shared" ca="1" si="52"/>
        <v/>
      </c>
      <c r="HR38" s="715" t="str">
        <f ca="1">IF(COUNTIF(HR$10:HR37,OFFSET(A1_原単位2027,17,HL38+2))&gt;=1,"",OFFSET(A1_原単位2027,17,HL38+2)&amp;"")</f>
        <v/>
      </c>
      <c r="HS38" s="718" t="str">
        <f t="shared" ca="1" si="53"/>
        <v/>
      </c>
      <c r="HT38" s="719" t="str">
        <f t="shared" ca="1" si="54"/>
        <v/>
      </c>
      <c r="HU38" s="714" t="str">
        <f t="shared" ca="1" si="55"/>
        <v/>
      </c>
      <c r="HV38" s="715" t="str">
        <f ca="1">IF(COUNTIF(HV$10:HV37,OFFSET(A1_原単位2027,29,HL38+2))&gt;=1,"",OFFSET(A1_原単位2027,29,HL38+2)&amp;"")</f>
        <v/>
      </c>
      <c r="HW38" s="718" t="str">
        <f t="shared" ca="1" si="56"/>
        <v/>
      </c>
      <c r="HX38" s="719" t="str">
        <f t="shared" ca="1" si="57"/>
        <v/>
      </c>
      <c r="HY38" s="714" t="str">
        <f t="shared" ca="1" si="58"/>
        <v/>
      </c>
      <c r="HZ38" s="715" t="str">
        <f ca="1">IF(COUNTIF(HZ$10:HZ37,OFFSET(A1_原単位2027,41,HL38+2))&gt;=1,"",OFFSET(A1_原単位2027,41,HL38+2)&amp;"")</f>
        <v/>
      </c>
      <c r="IA38" s="720" t="str">
        <f t="shared" ca="1" si="59"/>
        <v/>
      </c>
      <c r="IB38" s="721" t="str">
        <f t="shared" ca="1" si="60"/>
        <v/>
      </c>
      <c r="IE38" s="159" t="str">
        <f t="shared" ca="1" si="61"/>
        <v/>
      </c>
      <c r="IF38" s="159" t="str">
        <f t="shared" ca="1" si="62"/>
        <v/>
      </c>
      <c r="IG38" s="159" t="str">
        <f t="shared" ca="1" si="63"/>
        <v/>
      </c>
      <c r="IH38" s="159" t="str">
        <f t="shared" ca="1" si="64"/>
        <v/>
      </c>
    </row>
    <row r="39" spans="2:242" s="164" customFormat="1" ht="20.100000000000001" customHeight="1">
      <c r="B39" s="302"/>
      <c r="C39" s="303" t="s">
        <v>371</v>
      </c>
      <c r="D39" s="304"/>
      <c r="E39" s="305"/>
      <c r="F39" s="303" t="s">
        <v>455</v>
      </c>
      <c r="G39" s="306">
        <v>37.299999999999997</v>
      </c>
      <c r="H39" s="307">
        <v>2.0899999999999998E-2</v>
      </c>
      <c r="I39" s="308"/>
      <c r="J39" s="309"/>
      <c r="K39" s="310"/>
      <c r="L39" s="311"/>
      <c r="M39" s="311"/>
      <c r="N39" s="309"/>
      <c r="O39" s="310"/>
      <c r="P39" s="311"/>
      <c r="Q39" s="311"/>
      <c r="R39" s="309"/>
      <c r="S39" s="310"/>
      <c r="T39" s="311"/>
      <c r="U39" s="311"/>
      <c r="V39" s="309"/>
      <c r="W39" s="310"/>
      <c r="X39" s="311"/>
      <c r="Y39" s="311"/>
      <c r="Z39" s="309"/>
      <c r="AA39" s="310"/>
      <c r="AB39" s="311"/>
      <c r="AC39" s="311"/>
      <c r="AD39" s="309"/>
      <c r="AE39" s="310"/>
      <c r="AF39" s="311"/>
      <c r="AG39" s="311"/>
      <c r="AH39" s="309"/>
      <c r="AI39" s="310"/>
      <c r="AJ39" s="311"/>
      <c r="AK39" s="311"/>
      <c r="AL39" s="309"/>
      <c r="AM39" s="310"/>
      <c r="AN39" s="311"/>
      <c r="AO39" s="311"/>
      <c r="AP39" s="309"/>
      <c r="AQ39" s="310"/>
      <c r="AR39" s="311"/>
      <c r="AS39" s="311"/>
      <c r="AT39" s="309"/>
      <c r="AU39" s="310"/>
      <c r="AV39" s="311"/>
      <c r="AW39" s="311"/>
      <c r="AX39" s="309"/>
      <c r="AY39" s="310"/>
      <c r="AZ39" s="311"/>
      <c r="BA39" s="311"/>
      <c r="BB39" s="309"/>
      <c r="BC39" s="310"/>
      <c r="BD39" s="311"/>
      <c r="BE39" s="311"/>
      <c r="BF39" s="309"/>
      <c r="BG39" s="310"/>
      <c r="BH39" s="311"/>
      <c r="BI39" s="311"/>
      <c r="BJ39" s="309"/>
      <c r="BK39" s="310"/>
      <c r="BL39" s="311"/>
      <c r="BM39" s="311"/>
      <c r="BN39" s="309"/>
      <c r="BO39" s="310"/>
      <c r="BP39" s="311"/>
      <c r="BQ39" s="311"/>
      <c r="BR39" s="309"/>
      <c r="BS39" s="310"/>
      <c r="BT39" s="311"/>
      <c r="BU39" s="311"/>
      <c r="BV39" s="309"/>
      <c r="BW39" s="310"/>
      <c r="BX39" s="311"/>
      <c r="BY39" s="311"/>
      <c r="BZ39" s="309"/>
      <c r="CA39" s="310"/>
      <c r="CB39" s="311"/>
      <c r="CC39" s="311"/>
      <c r="CD39" s="309"/>
      <c r="CE39" s="310"/>
      <c r="CF39" s="311"/>
      <c r="CG39" s="311"/>
      <c r="CH39" s="309"/>
      <c r="CI39" s="310"/>
      <c r="CJ39" s="311"/>
      <c r="CK39" s="311"/>
      <c r="CL39" s="309"/>
      <c r="CM39" s="310"/>
      <c r="CN39" s="311"/>
      <c r="CO39" s="311"/>
      <c r="CP39" s="309"/>
      <c r="CQ39" s="310"/>
      <c r="CR39" s="311"/>
      <c r="CS39" s="311"/>
      <c r="CT39" s="309"/>
      <c r="CU39" s="310"/>
      <c r="CV39" s="311"/>
      <c r="CW39" s="311"/>
      <c r="CX39" s="309"/>
      <c r="CY39" s="310"/>
      <c r="CZ39" s="311"/>
      <c r="DA39" s="311"/>
      <c r="DB39" s="309"/>
      <c r="DC39" s="310"/>
      <c r="DD39" s="311"/>
      <c r="DE39" s="311"/>
      <c r="DF39" s="309"/>
      <c r="DG39" s="310"/>
      <c r="DH39" s="311"/>
      <c r="DI39" s="311"/>
      <c r="DJ39" s="309"/>
      <c r="DK39" s="310"/>
      <c r="DL39" s="311"/>
      <c r="DM39" s="311"/>
      <c r="DN39" s="309"/>
      <c r="DO39" s="310"/>
      <c r="DP39" s="311"/>
      <c r="DQ39" s="311"/>
      <c r="DR39" s="309"/>
      <c r="DS39" s="310"/>
      <c r="DT39" s="311"/>
      <c r="DU39" s="311"/>
      <c r="DV39" s="309"/>
      <c r="DW39" s="310"/>
      <c r="DX39" s="311"/>
      <c r="DY39" s="311"/>
      <c r="DZ39" s="309"/>
      <c r="EA39" s="310"/>
      <c r="EB39" s="311"/>
      <c r="EC39" s="311"/>
      <c r="ED39" s="309"/>
      <c r="EE39" s="310"/>
      <c r="EF39" s="311"/>
      <c r="EG39" s="311"/>
      <c r="EH39" s="309"/>
      <c r="EI39" s="310"/>
      <c r="EJ39" s="311"/>
      <c r="EK39" s="311"/>
      <c r="EL39" s="309"/>
      <c r="EM39" s="310"/>
      <c r="EN39" s="311"/>
      <c r="EO39" s="311"/>
      <c r="EP39" s="309"/>
      <c r="EQ39" s="310"/>
      <c r="ER39" s="311"/>
      <c r="ES39" s="311"/>
      <c r="ET39" s="309"/>
      <c r="EU39" s="310"/>
      <c r="EV39" s="311"/>
      <c r="EW39" s="311"/>
      <c r="EX39" s="309"/>
      <c r="EY39" s="310"/>
      <c r="EZ39" s="311"/>
      <c r="FA39" s="311"/>
      <c r="FB39" s="309"/>
      <c r="FC39" s="310"/>
      <c r="FD39" s="311"/>
      <c r="FE39" s="311"/>
      <c r="FF39" s="309"/>
      <c r="FG39" s="310"/>
      <c r="FH39" s="311"/>
      <c r="FI39" s="311"/>
      <c r="FJ39" s="309"/>
      <c r="FK39" s="310"/>
      <c r="FL39" s="311"/>
      <c r="FM39" s="311"/>
      <c r="FN39" s="309"/>
      <c r="FO39" s="310"/>
      <c r="FP39" s="311"/>
      <c r="FQ39" s="311"/>
      <c r="FR39" s="309"/>
      <c r="FS39" s="310"/>
      <c r="FT39" s="311"/>
      <c r="FU39" s="311"/>
      <c r="FV39" s="309"/>
      <c r="FW39" s="310"/>
      <c r="FX39" s="311"/>
      <c r="FY39" s="311"/>
      <c r="FZ39" s="309"/>
      <c r="GA39" s="310"/>
      <c r="GB39" s="311"/>
      <c r="GC39" s="311"/>
      <c r="GD39" s="309"/>
      <c r="GE39" s="310"/>
      <c r="GF39" s="311"/>
      <c r="GG39" s="311"/>
      <c r="GH39" s="309"/>
      <c r="GI39" s="310"/>
      <c r="GJ39" s="311"/>
      <c r="GK39" s="311"/>
      <c r="GL39" s="309"/>
      <c r="GM39" s="310"/>
      <c r="GN39" s="311"/>
      <c r="GO39" s="311"/>
      <c r="GP39" s="309"/>
      <c r="GQ39" s="310"/>
      <c r="GR39" s="311"/>
      <c r="GS39" s="311"/>
      <c r="GT39" s="309"/>
      <c r="GU39" s="310"/>
      <c r="GV39" s="311"/>
      <c r="GW39" s="311"/>
      <c r="GX39" s="309"/>
      <c r="GY39" s="310"/>
      <c r="GZ39" s="311"/>
      <c r="HA39" s="311"/>
      <c r="HB39" s="309"/>
      <c r="HC39" s="312">
        <f t="shared" si="66"/>
        <v>0</v>
      </c>
      <c r="HD39" s="313">
        <f t="shared" si="66"/>
        <v>0</v>
      </c>
      <c r="HE39" s="313">
        <f t="shared" si="66"/>
        <v>0</v>
      </c>
      <c r="HF39" s="314"/>
      <c r="HG39" s="312">
        <f>SUM(SUMIFS(K39:HB39,$K$13:$HB$13,{"エネルギー管理指定工場等*","県域*"}))</f>
        <v>0</v>
      </c>
      <c r="HH39" s="313">
        <f>SUM(SUMIFS(L39:HC39,$K$13:$HB$13,{"エネルギー管理指定工場等*","県域*"}))</f>
        <v>0</v>
      </c>
      <c r="HI39" s="313">
        <f>SUM(SUMIFS(M39:HD39,$K$13:$HB$13,{"エネルギー管理指定工場等*","県域*"}))</f>
        <v>0</v>
      </c>
      <c r="HJ39" s="314"/>
      <c r="HL39" s="230">
        <v>30</v>
      </c>
      <c r="HM39" s="714" t="str">
        <f t="shared" ca="1" si="49"/>
        <v/>
      </c>
      <c r="HN39" s="715" t="str">
        <f ca="1">IF(COUNTIF(HN$10:HN38,OFFSET(A1_原単位2027,5,HL39+2))&gt;=1,"",OFFSET(A1_原単位2027,5,HL39+2)&amp;"")</f>
        <v/>
      </c>
      <c r="HO39" s="716" t="str">
        <f t="shared" ca="1" si="50"/>
        <v/>
      </c>
      <c r="HP39" s="717" t="str">
        <f t="shared" ca="1" si="51"/>
        <v/>
      </c>
      <c r="HQ39" s="714" t="str">
        <f t="shared" ca="1" si="52"/>
        <v/>
      </c>
      <c r="HR39" s="715" t="str">
        <f ca="1">IF(COUNTIF(HR$10:HR38,OFFSET(A1_原単位2027,17,HL39+2))&gt;=1,"",OFFSET(A1_原単位2027,17,HL39+2)&amp;"")</f>
        <v/>
      </c>
      <c r="HS39" s="718" t="str">
        <f t="shared" ca="1" si="53"/>
        <v/>
      </c>
      <c r="HT39" s="719" t="str">
        <f t="shared" ca="1" si="54"/>
        <v/>
      </c>
      <c r="HU39" s="714" t="str">
        <f t="shared" ca="1" si="55"/>
        <v/>
      </c>
      <c r="HV39" s="715" t="str">
        <f ca="1">IF(COUNTIF(HV$10:HV38,OFFSET(A1_原単位2027,29,HL39+2))&gt;=1,"",OFFSET(A1_原単位2027,29,HL39+2)&amp;"")</f>
        <v/>
      </c>
      <c r="HW39" s="718" t="str">
        <f t="shared" ca="1" si="56"/>
        <v/>
      </c>
      <c r="HX39" s="719" t="str">
        <f t="shared" ca="1" si="57"/>
        <v/>
      </c>
      <c r="HY39" s="714" t="str">
        <f t="shared" ca="1" si="58"/>
        <v/>
      </c>
      <c r="HZ39" s="715" t="str">
        <f ca="1">IF(COUNTIF(HZ$10:HZ38,OFFSET(A1_原単位2027,41,HL39+2))&gt;=1,"",OFFSET(A1_原単位2027,41,HL39+2)&amp;"")</f>
        <v/>
      </c>
      <c r="IA39" s="720" t="str">
        <f t="shared" ca="1" si="59"/>
        <v/>
      </c>
      <c r="IB39" s="721" t="str">
        <f t="shared" ca="1" si="60"/>
        <v/>
      </c>
      <c r="IE39" s="159" t="str">
        <f t="shared" ca="1" si="61"/>
        <v/>
      </c>
      <c r="IF39" s="159" t="str">
        <f t="shared" ca="1" si="62"/>
        <v/>
      </c>
      <c r="IG39" s="159" t="str">
        <f t="shared" ca="1" si="63"/>
        <v/>
      </c>
      <c r="IH39" s="159" t="str">
        <f t="shared" ca="1" si="64"/>
        <v/>
      </c>
    </row>
    <row r="40" spans="2:242" s="164" customFormat="1" ht="20.100000000000001" customHeight="1">
      <c r="B40" s="302"/>
      <c r="C40" s="303" t="s">
        <v>372</v>
      </c>
      <c r="D40" s="304"/>
      <c r="E40" s="305"/>
      <c r="F40" s="303" t="s">
        <v>457</v>
      </c>
      <c r="G40" s="306">
        <v>18.399999999999999</v>
      </c>
      <c r="H40" s="307">
        <v>1.09E-2</v>
      </c>
      <c r="I40" s="308"/>
      <c r="J40" s="309"/>
      <c r="K40" s="310"/>
      <c r="L40" s="311"/>
      <c r="M40" s="311"/>
      <c r="N40" s="309"/>
      <c r="O40" s="310"/>
      <c r="P40" s="311"/>
      <c r="Q40" s="311"/>
      <c r="R40" s="309"/>
      <c r="S40" s="310"/>
      <c r="T40" s="311"/>
      <c r="U40" s="311"/>
      <c r="V40" s="309"/>
      <c r="W40" s="310"/>
      <c r="X40" s="311"/>
      <c r="Y40" s="311"/>
      <c r="Z40" s="309"/>
      <c r="AA40" s="310"/>
      <c r="AB40" s="311"/>
      <c r="AC40" s="311"/>
      <c r="AD40" s="309"/>
      <c r="AE40" s="310"/>
      <c r="AF40" s="311"/>
      <c r="AG40" s="311"/>
      <c r="AH40" s="309"/>
      <c r="AI40" s="310"/>
      <c r="AJ40" s="311"/>
      <c r="AK40" s="311"/>
      <c r="AL40" s="309"/>
      <c r="AM40" s="310"/>
      <c r="AN40" s="311"/>
      <c r="AO40" s="311"/>
      <c r="AP40" s="309"/>
      <c r="AQ40" s="310"/>
      <c r="AR40" s="311"/>
      <c r="AS40" s="311"/>
      <c r="AT40" s="309"/>
      <c r="AU40" s="310"/>
      <c r="AV40" s="311"/>
      <c r="AW40" s="311"/>
      <c r="AX40" s="309"/>
      <c r="AY40" s="310"/>
      <c r="AZ40" s="311"/>
      <c r="BA40" s="311"/>
      <c r="BB40" s="309"/>
      <c r="BC40" s="310"/>
      <c r="BD40" s="311"/>
      <c r="BE40" s="311"/>
      <c r="BF40" s="309"/>
      <c r="BG40" s="310"/>
      <c r="BH40" s="311"/>
      <c r="BI40" s="311"/>
      <c r="BJ40" s="309"/>
      <c r="BK40" s="310"/>
      <c r="BL40" s="311"/>
      <c r="BM40" s="311"/>
      <c r="BN40" s="309"/>
      <c r="BO40" s="310"/>
      <c r="BP40" s="311"/>
      <c r="BQ40" s="311"/>
      <c r="BR40" s="309"/>
      <c r="BS40" s="310"/>
      <c r="BT40" s="311"/>
      <c r="BU40" s="311"/>
      <c r="BV40" s="309"/>
      <c r="BW40" s="310"/>
      <c r="BX40" s="311"/>
      <c r="BY40" s="311"/>
      <c r="BZ40" s="309"/>
      <c r="CA40" s="310"/>
      <c r="CB40" s="311"/>
      <c r="CC40" s="311"/>
      <c r="CD40" s="309"/>
      <c r="CE40" s="310"/>
      <c r="CF40" s="311"/>
      <c r="CG40" s="311"/>
      <c r="CH40" s="309"/>
      <c r="CI40" s="310"/>
      <c r="CJ40" s="311"/>
      <c r="CK40" s="311"/>
      <c r="CL40" s="309"/>
      <c r="CM40" s="310"/>
      <c r="CN40" s="311"/>
      <c r="CO40" s="311"/>
      <c r="CP40" s="309"/>
      <c r="CQ40" s="310"/>
      <c r="CR40" s="311"/>
      <c r="CS40" s="311"/>
      <c r="CT40" s="309"/>
      <c r="CU40" s="310"/>
      <c r="CV40" s="311"/>
      <c r="CW40" s="311"/>
      <c r="CX40" s="309"/>
      <c r="CY40" s="310"/>
      <c r="CZ40" s="311"/>
      <c r="DA40" s="311"/>
      <c r="DB40" s="309"/>
      <c r="DC40" s="310"/>
      <c r="DD40" s="311"/>
      <c r="DE40" s="311"/>
      <c r="DF40" s="309"/>
      <c r="DG40" s="310"/>
      <c r="DH40" s="311"/>
      <c r="DI40" s="311"/>
      <c r="DJ40" s="309"/>
      <c r="DK40" s="310"/>
      <c r="DL40" s="311"/>
      <c r="DM40" s="311"/>
      <c r="DN40" s="309"/>
      <c r="DO40" s="310"/>
      <c r="DP40" s="311"/>
      <c r="DQ40" s="311"/>
      <c r="DR40" s="309"/>
      <c r="DS40" s="310"/>
      <c r="DT40" s="311"/>
      <c r="DU40" s="311"/>
      <c r="DV40" s="309"/>
      <c r="DW40" s="310"/>
      <c r="DX40" s="311"/>
      <c r="DY40" s="311"/>
      <c r="DZ40" s="309"/>
      <c r="EA40" s="310"/>
      <c r="EB40" s="311"/>
      <c r="EC40" s="311"/>
      <c r="ED40" s="309"/>
      <c r="EE40" s="310"/>
      <c r="EF40" s="311"/>
      <c r="EG40" s="311"/>
      <c r="EH40" s="309"/>
      <c r="EI40" s="310"/>
      <c r="EJ40" s="311"/>
      <c r="EK40" s="311"/>
      <c r="EL40" s="309"/>
      <c r="EM40" s="310"/>
      <c r="EN40" s="311"/>
      <c r="EO40" s="311"/>
      <c r="EP40" s="309"/>
      <c r="EQ40" s="310"/>
      <c r="ER40" s="311"/>
      <c r="ES40" s="311"/>
      <c r="ET40" s="309"/>
      <c r="EU40" s="310"/>
      <c r="EV40" s="311"/>
      <c r="EW40" s="311"/>
      <c r="EX40" s="309"/>
      <c r="EY40" s="310"/>
      <c r="EZ40" s="311"/>
      <c r="FA40" s="311"/>
      <c r="FB40" s="309"/>
      <c r="FC40" s="310"/>
      <c r="FD40" s="311"/>
      <c r="FE40" s="311"/>
      <c r="FF40" s="309"/>
      <c r="FG40" s="310"/>
      <c r="FH40" s="311"/>
      <c r="FI40" s="311"/>
      <c r="FJ40" s="309"/>
      <c r="FK40" s="310"/>
      <c r="FL40" s="311"/>
      <c r="FM40" s="311"/>
      <c r="FN40" s="309"/>
      <c r="FO40" s="310"/>
      <c r="FP40" s="311"/>
      <c r="FQ40" s="311"/>
      <c r="FR40" s="309"/>
      <c r="FS40" s="310"/>
      <c r="FT40" s="311"/>
      <c r="FU40" s="311"/>
      <c r="FV40" s="309"/>
      <c r="FW40" s="310"/>
      <c r="FX40" s="311"/>
      <c r="FY40" s="311"/>
      <c r="FZ40" s="309"/>
      <c r="GA40" s="310"/>
      <c r="GB40" s="311"/>
      <c r="GC40" s="311"/>
      <c r="GD40" s="309"/>
      <c r="GE40" s="310"/>
      <c r="GF40" s="311"/>
      <c r="GG40" s="311"/>
      <c r="GH40" s="309"/>
      <c r="GI40" s="310"/>
      <c r="GJ40" s="311"/>
      <c r="GK40" s="311"/>
      <c r="GL40" s="309"/>
      <c r="GM40" s="310"/>
      <c r="GN40" s="311"/>
      <c r="GO40" s="311"/>
      <c r="GP40" s="309"/>
      <c r="GQ40" s="310"/>
      <c r="GR40" s="311"/>
      <c r="GS40" s="311"/>
      <c r="GT40" s="309"/>
      <c r="GU40" s="310"/>
      <c r="GV40" s="311"/>
      <c r="GW40" s="311"/>
      <c r="GX40" s="309"/>
      <c r="GY40" s="310"/>
      <c r="GZ40" s="311"/>
      <c r="HA40" s="311"/>
      <c r="HB40" s="309"/>
      <c r="HC40" s="312">
        <f t="shared" si="66"/>
        <v>0</v>
      </c>
      <c r="HD40" s="313">
        <f t="shared" si="66"/>
        <v>0</v>
      </c>
      <c r="HE40" s="313">
        <f t="shared" si="66"/>
        <v>0</v>
      </c>
      <c r="HF40" s="314"/>
      <c r="HG40" s="312">
        <f>SUM(SUMIFS(K40:HB40,$K$13:$HB$13,{"エネルギー管理指定工場等*","県域*"}))</f>
        <v>0</v>
      </c>
      <c r="HH40" s="313">
        <f>SUM(SUMIFS(L40:HC40,$K$13:$HB$13,{"エネルギー管理指定工場等*","県域*"}))</f>
        <v>0</v>
      </c>
      <c r="HI40" s="313">
        <f>SUM(SUMIFS(M40:HD40,$K$13:$HB$13,{"エネルギー管理指定工場等*","県域*"}))</f>
        <v>0</v>
      </c>
      <c r="HJ40" s="314"/>
      <c r="HL40" s="219">
        <v>31</v>
      </c>
      <c r="HM40" s="714" t="str">
        <f t="shared" ca="1" si="49"/>
        <v/>
      </c>
      <c r="HN40" s="715" t="str">
        <f ca="1">IF(COUNTIF(HN$10:HN39,OFFSET(A1_原単位2027,5,HL40+2))&gt;=1,"",OFFSET(A1_原単位2027,5,HL40+2)&amp;"")</f>
        <v/>
      </c>
      <c r="HO40" s="716" t="str">
        <f t="shared" ca="1" si="50"/>
        <v/>
      </c>
      <c r="HP40" s="717" t="str">
        <f t="shared" ca="1" si="51"/>
        <v/>
      </c>
      <c r="HQ40" s="714" t="str">
        <f t="shared" ca="1" si="52"/>
        <v/>
      </c>
      <c r="HR40" s="715" t="str">
        <f ca="1">IF(COUNTIF(HR$10:HR39,OFFSET(A1_原単位2027,17,HL40+2))&gt;=1,"",OFFSET(A1_原単位2027,17,HL40+2)&amp;"")</f>
        <v/>
      </c>
      <c r="HS40" s="718" t="str">
        <f t="shared" ca="1" si="53"/>
        <v/>
      </c>
      <c r="HT40" s="719" t="str">
        <f t="shared" ca="1" si="54"/>
        <v/>
      </c>
      <c r="HU40" s="714" t="str">
        <f t="shared" ca="1" si="55"/>
        <v/>
      </c>
      <c r="HV40" s="715" t="str">
        <f ca="1">IF(COUNTIF(HV$10:HV39,OFFSET(A1_原単位2027,29,HL40+2))&gt;=1,"",OFFSET(A1_原単位2027,29,HL40+2)&amp;"")</f>
        <v/>
      </c>
      <c r="HW40" s="718" t="str">
        <f t="shared" ca="1" si="56"/>
        <v/>
      </c>
      <c r="HX40" s="719" t="str">
        <f t="shared" ca="1" si="57"/>
        <v/>
      </c>
      <c r="HY40" s="714" t="str">
        <f t="shared" ca="1" si="58"/>
        <v/>
      </c>
      <c r="HZ40" s="715" t="str">
        <f ca="1">IF(COUNTIF(HZ$10:HZ39,OFFSET(A1_原単位2027,41,HL40+2))&gt;=1,"",OFFSET(A1_原単位2027,41,HL40+2)&amp;"")</f>
        <v/>
      </c>
      <c r="IA40" s="720" t="str">
        <f t="shared" ca="1" si="59"/>
        <v/>
      </c>
      <c r="IB40" s="721" t="str">
        <f t="shared" ca="1" si="60"/>
        <v/>
      </c>
      <c r="IE40" s="159" t="str">
        <f t="shared" ca="1" si="61"/>
        <v/>
      </c>
      <c r="IF40" s="159" t="str">
        <f t="shared" ca="1" si="62"/>
        <v/>
      </c>
      <c r="IG40" s="159" t="str">
        <f t="shared" ca="1" si="63"/>
        <v/>
      </c>
      <c r="IH40" s="159" t="str">
        <f t="shared" ca="1" si="64"/>
        <v/>
      </c>
    </row>
    <row r="41" spans="2:242" s="164" customFormat="1" ht="20.100000000000001" customHeight="1">
      <c r="B41" s="302"/>
      <c r="C41" s="303" t="s">
        <v>373</v>
      </c>
      <c r="D41" s="304"/>
      <c r="E41" s="305"/>
      <c r="F41" s="303" t="s">
        <v>457</v>
      </c>
      <c r="G41" s="306">
        <v>3.23</v>
      </c>
      <c r="H41" s="307">
        <v>2.64E-2</v>
      </c>
      <c r="I41" s="308"/>
      <c r="J41" s="309"/>
      <c r="K41" s="310"/>
      <c r="L41" s="311"/>
      <c r="M41" s="311"/>
      <c r="N41" s="309"/>
      <c r="O41" s="310"/>
      <c r="P41" s="311"/>
      <c r="Q41" s="311"/>
      <c r="R41" s="309"/>
      <c r="S41" s="310"/>
      <c r="T41" s="311"/>
      <c r="U41" s="311"/>
      <c r="V41" s="309"/>
      <c r="W41" s="310"/>
      <c r="X41" s="311"/>
      <c r="Y41" s="311"/>
      <c r="Z41" s="309"/>
      <c r="AA41" s="310"/>
      <c r="AB41" s="311"/>
      <c r="AC41" s="311"/>
      <c r="AD41" s="309"/>
      <c r="AE41" s="310"/>
      <c r="AF41" s="311"/>
      <c r="AG41" s="311"/>
      <c r="AH41" s="309"/>
      <c r="AI41" s="310"/>
      <c r="AJ41" s="311"/>
      <c r="AK41" s="311"/>
      <c r="AL41" s="309"/>
      <c r="AM41" s="310"/>
      <c r="AN41" s="311"/>
      <c r="AO41" s="311"/>
      <c r="AP41" s="309"/>
      <c r="AQ41" s="310"/>
      <c r="AR41" s="311"/>
      <c r="AS41" s="311"/>
      <c r="AT41" s="309"/>
      <c r="AU41" s="310"/>
      <c r="AV41" s="311"/>
      <c r="AW41" s="311"/>
      <c r="AX41" s="309"/>
      <c r="AY41" s="310"/>
      <c r="AZ41" s="311"/>
      <c r="BA41" s="311"/>
      <c r="BB41" s="309"/>
      <c r="BC41" s="310"/>
      <c r="BD41" s="311"/>
      <c r="BE41" s="311"/>
      <c r="BF41" s="309"/>
      <c r="BG41" s="310"/>
      <c r="BH41" s="311"/>
      <c r="BI41" s="311"/>
      <c r="BJ41" s="309"/>
      <c r="BK41" s="310"/>
      <c r="BL41" s="311"/>
      <c r="BM41" s="311"/>
      <c r="BN41" s="309"/>
      <c r="BO41" s="310"/>
      <c r="BP41" s="311"/>
      <c r="BQ41" s="311"/>
      <c r="BR41" s="309"/>
      <c r="BS41" s="310"/>
      <c r="BT41" s="311"/>
      <c r="BU41" s="311"/>
      <c r="BV41" s="309"/>
      <c r="BW41" s="310"/>
      <c r="BX41" s="311"/>
      <c r="BY41" s="311"/>
      <c r="BZ41" s="309"/>
      <c r="CA41" s="310"/>
      <c r="CB41" s="311"/>
      <c r="CC41" s="311"/>
      <c r="CD41" s="309"/>
      <c r="CE41" s="310"/>
      <c r="CF41" s="311"/>
      <c r="CG41" s="311"/>
      <c r="CH41" s="309"/>
      <c r="CI41" s="310"/>
      <c r="CJ41" s="311"/>
      <c r="CK41" s="311"/>
      <c r="CL41" s="309"/>
      <c r="CM41" s="310"/>
      <c r="CN41" s="311"/>
      <c r="CO41" s="311"/>
      <c r="CP41" s="309"/>
      <c r="CQ41" s="310"/>
      <c r="CR41" s="311"/>
      <c r="CS41" s="311"/>
      <c r="CT41" s="309"/>
      <c r="CU41" s="310"/>
      <c r="CV41" s="311"/>
      <c r="CW41" s="311"/>
      <c r="CX41" s="309"/>
      <c r="CY41" s="310"/>
      <c r="CZ41" s="311"/>
      <c r="DA41" s="311"/>
      <c r="DB41" s="309"/>
      <c r="DC41" s="310"/>
      <c r="DD41" s="311"/>
      <c r="DE41" s="311"/>
      <c r="DF41" s="309"/>
      <c r="DG41" s="310"/>
      <c r="DH41" s="311"/>
      <c r="DI41" s="311"/>
      <c r="DJ41" s="309"/>
      <c r="DK41" s="310"/>
      <c r="DL41" s="311"/>
      <c r="DM41" s="311"/>
      <c r="DN41" s="309"/>
      <c r="DO41" s="310"/>
      <c r="DP41" s="311"/>
      <c r="DQ41" s="311"/>
      <c r="DR41" s="309"/>
      <c r="DS41" s="310"/>
      <c r="DT41" s="311"/>
      <c r="DU41" s="311"/>
      <c r="DV41" s="309"/>
      <c r="DW41" s="310"/>
      <c r="DX41" s="311"/>
      <c r="DY41" s="311"/>
      <c r="DZ41" s="309"/>
      <c r="EA41" s="310"/>
      <c r="EB41" s="311"/>
      <c r="EC41" s="311"/>
      <c r="ED41" s="309"/>
      <c r="EE41" s="310"/>
      <c r="EF41" s="311"/>
      <c r="EG41" s="311"/>
      <c r="EH41" s="309"/>
      <c r="EI41" s="310"/>
      <c r="EJ41" s="311"/>
      <c r="EK41" s="311"/>
      <c r="EL41" s="309"/>
      <c r="EM41" s="310"/>
      <c r="EN41" s="311"/>
      <c r="EO41" s="311"/>
      <c r="EP41" s="309"/>
      <c r="EQ41" s="310"/>
      <c r="ER41" s="311"/>
      <c r="ES41" s="311"/>
      <c r="ET41" s="309"/>
      <c r="EU41" s="310"/>
      <c r="EV41" s="311"/>
      <c r="EW41" s="311"/>
      <c r="EX41" s="309"/>
      <c r="EY41" s="310"/>
      <c r="EZ41" s="311"/>
      <c r="FA41" s="311"/>
      <c r="FB41" s="309"/>
      <c r="FC41" s="310"/>
      <c r="FD41" s="311"/>
      <c r="FE41" s="311"/>
      <c r="FF41" s="309"/>
      <c r="FG41" s="310"/>
      <c r="FH41" s="311"/>
      <c r="FI41" s="311"/>
      <c r="FJ41" s="309"/>
      <c r="FK41" s="310"/>
      <c r="FL41" s="311"/>
      <c r="FM41" s="311"/>
      <c r="FN41" s="309"/>
      <c r="FO41" s="310"/>
      <c r="FP41" s="311"/>
      <c r="FQ41" s="311"/>
      <c r="FR41" s="309"/>
      <c r="FS41" s="310"/>
      <c r="FT41" s="311"/>
      <c r="FU41" s="311"/>
      <c r="FV41" s="309"/>
      <c r="FW41" s="310"/>
      <c r="FX41" s="311"/>
      <c r="FY41" s="311"/>
      <c r="FZ41" s="309"/>
      <c r="GA41" s="310"/>
      <c r="GB41" s="311"/>
      <c r="GC41" s="311"/>
      <c r="GD41" s="309"/>
      <c r="GE41" s="310"/>
      <c r="GF41" s="311"/>
      <c r="GG41" s="311"/>
      <c r="GH41" s="309"/>
      <c r="GI41" s="310"/>
      <c r="GJ41" s="311"/>
      <c r="GK41" s="311"/>
      <c r="GL41" s="309"/>
      <c r="GM41" s="310"/>
      <c r="GN41" s="311"/>
      <c r="GO41" s="311"/>
      <c r="GP41" s="309"/>
      <c r="GQ41" s="310"/>
      <c r="GR41" s="311"/>
      <c r="GS41" s="311"/>
      <c r="GT41" s="309"/>
      <c r="GU41" s="310"/>
      <c r="GV41" s="311"/>
      <c r="GW41" s="311"/>
      <c r="GX41" s="309"/>
      <c r="GY41" s="310"/>
      <c r="GZ41" s="311"/>
      <c r="HA41" s="311"/>
      <c r="HB41" s="309"/>
      <c r="HC41" s="312">
        <f t="shared" si="66"/>
        <v>0</v>
      </c>
      <c r="HD41" s="313">
        <f t="shared" si="66"/>
        <v>0</v>
      </c>
      <c r="HE41" s="313">
        <f t="shared" si="66"/>
        <v>0</v>
      </c>
      <c r="HF41" s="314"/>
      <c r="HG41" s="312">
        <f>SUM(SUMIFS(K41:HB41,$K$13:$HB$13,{"エネルギー管理指定工場等*","県域*"}))</f>
        <v>0</v>
      </c>
      <c r="HH41" s="313">
        <f>SUM(SUMIFS(L41:HC41,$K$13:$HB$13,{"エネルギー管理指定工場等*","県域*"}))</f>
        <v>0</v>
      </c>
      <c r="HI41" s="313">
        <f>SUM(SUMIFS(M41:HD41,$K$13:$HB$13,{"エネルギー管理指定工場等*","県域*"}))</f>
        <v>0</v>
      </c>
      <c r="HJ41" s="314"/>
      <c r="HL41" s="230">
        <v>32</v>
      </c>
      <c r="HM41" s="714" t="str">
        <f t="shared" ca="1" si="49"/>
        <v/>
      </c>
      <c r="HN41" s="715" t="str">
        <f ca="1">IF(COUNTIF(HN$10:HN40,OFFSET(A1_原単位2027,5,HL41+2))&gt;=1,"",OFFSET(A1_原単位2027,5,HL41+2)&amp;"")</f>
        <v/>
      </c>
      <c r="HO41" s="716" t="str">
        <f t="shared" ca="1" si="50"/>
        <v/>
      </c>
      <c r="HP41" s="717" t="str">
        <f t="shared" ca="1" si="51"/>
        <v/>
      </c>
      <c r="HQ41" s="714" t="str">
        <f t="shared" ca="1" si="52"/>
        <v/>
      </c>
      <c r="HR41" s="715" t="str">
        <f ca="1">IF(COUNTIF(HR$10:HR40,OFFSET(A1_原単位2027,17,HL41+2))&gt;=1,"",OFFSET(A1_原単位2027,17,HL41+2)&amp;"")</f>
        <v/>
      </c>
      <c r="HS41" s="718" t="str">
        <f t="shared" ca="1" si="53"/>
        <v/>
      </c>
      <c r="HT41" s="719" t="str">
        <f t="shared" ca="1" si="54"/>
        <v/>
      </c>
      <c r="HU41" s="714" t="str">
        <f t="shared" ca="1" si="55"/>
        <v/>
      </c>
      <c r="HV41" s="715" t="str">
        <f ca="1">IF(COUNTIF(HV$10:HV40,OFFSET(A1_原単位2027,29,HL41+2))&gt;=1,"",OFFSET(A1_原単位2027,29,HL41+2)&amp;"")</f>
        <v/>
      </c>
      <c r="HW41" s="718" t="str">
        <f t="shared" ca="1" si="56"/>
        <v/>
      </c>
      <c r="HX41" s="719" t="str">
        <f t="shared" ca="1" si="57"/>
        <v/>
      </c>
      <c r="HY41" s="714" t="str">
        <f t="shared" ca="1" si="58"/>
        <v/>
      </c>
      <c r="HZ41" s="715" t="str">
        <f ca="1">IF(COUNTIF(HZ$10:HZ40,OFFSET(A1_原単位2027,41,HL41+2))&gt;=1,"",OFFSET(A1_原単位2027,41,HL41+2)&amp;"")</f>
        <v/>
      </c>
      <c r="IA41" s="720" t="str">
        <f t="shared" ca="1" si="59"/>
        <v/>
      </c>
      <c r="IB41" s="721" t="str">
        <f t="shared" ca="1" si="60"/>
        <v/>
      </c>
      <c r="IE41" s="159" t="str">
        <f t="shared" ca="1" si="61"/>
        <v/>
      </c>
      <c r="IF41" s="159" t="str">
        <f t="shared" ca="1" si="62"/>
        <v/>
      </c>
      <c r="IG41" s="159" t="str">
        <f t="shared" ca="1" si="63"/>
        <v/>
      </c>
      <c r="IH41" s="159" t="str">
        <f t="shared" ca="1" si="64"/>
        <v/>
      </c>
    </row>
    <row r="42" spans="2:242" s="164" customFormat="1" ht="20.100000000000001" customHeight="1">
      <c r="B42" s="302"/>
      <c r="C42" s="303" t="s">
        <v>587</v>
      </c>
      <c r="D42" s="304"/>
      <c r="E42" s="305"/>
      <c r="F42" s="303" t="s">
        <v>457</v>
      </c>
      <c r="G42" s="306">
        <v>3.45</v>
      </c>
      <c r="H42" s="307">
        <v>2.64E-2</v>
      </c>
      <c r="I42" s="308"/>
      <c r="J42" s="309"/>
      <c r="K42" s="310"/>
      <c r="L42" s="311"/>
      <c r="M42" s="311"/>
      <c r="N42" s="309"/>
      <c r="O42" s="310"/>
      <c r="P42" s="311"/>
      <c r="Q42" s="311"/>
      <c r="R42" s="309"/>
      <c r="S42" s="310"/>
      <c r="T42" s="311"/>
      <c r="U42" s="311"/>
      <c r="V42" s="309"/>
      <c r="W42" s="310"/>
      <c r="X42" s="311"/>
      <c r="Y42" s="311"/>
      <c r="Z42" s="309"/>
      <c r="AA42" s="310"/>
      <c r="AB42" s="311"/>
      <c r="AC42" s="311"/>
      <c r="AD42" s="309"/>
      <c r="AE42" s="310"/>
      <c r="AF42" s="311"/>
      <c r="AG42" s="311"/>
      <c r="AH42" s="309"/>
      <c r="AI42" s="310"/>
      <c r="AJ42" s="311"/>
      <c r="AK42" s="311"/>
      <c r="AL42" s="309"/>
      <c r="AM42" s="310"/>
      <c r="AN42" s="311"/>
      <c r="AO42" s="311"/>
      <c r="AP42" s="309"/>
      <c r="AQ42" s="310"/>
      <c r="AR42" s="311"/>
      <c r="AS42" s="311"/>
      <c r="AT42" s="309"/>
      <c r="AU42" s="310"/>
      <c r="AV42" s="311"/>
      <c r="AW42" s="311"/>
      <c r="AX42" s="309"/>
      <c r="AY42" s="310"/>
      <c r="AZ42" s="311"/>
      <c r="BA42" s="311"/>
      <c r="BB42" s="309"/>
      <c r="BC42" s="310"/>
      <c r="BD42" s="311"/>
      <c r="BE42" s="311"/>
      <c r="BF42" s="309"/>
      <c r="BG42" s="310"/>
      <c r="BH42" s="311"/>
      <c r="BI42" s="311"/>
      <c r="BJ42" s="309"/>
      <c r="BK42" s="310"/>
      <c r="BL42" s="311"/>
      <c r="BM42" s="311"/>
      <c r="BN42" s="309"/>
      <c r="BO42" s="310"/>
      <c r="BP42" s="311"/>
      <c r="BQ42" s="311"/>
      <c r="BR42" s="309"/>
      <c r="BS42" s="310"/>
      <c r="BT42" s="311"/>
      <c r="BU42" s="311"/>
      <c r="BV42" s="309"/>
      <c r="BW42" s="310"/>
      <c r="BX42" s="311"/>
      <c r="BY42" s="311"/>
      <c r="BZ42" s="309"/>
      <c r="CA42" s="310"/>
      <c r="CB42" s="311"/>
      <c r="CC42" s="311"/>
      <c r="CD42" s="309"/>
      <c r="CE42" s="310"/>
      <c r="CF42" s="311"/>
      <c r="CG42" s="311"/>
      <c r="CH42" s="309"/>
      <c r="CI42" s="310"/>
      <c r="CJ42" s="311"/>
      <c r="CK42" s="311"/>
      <c r="CL42" s="309"/>
      <c r="CM42" s="310"/>
      <c r="CN42" s="311"/>
      <c r="CO42" s="311"/>
      <c r="CP42" s="309"/>
      <c r="CQ42" s="310"/>
      <c r="CR42" s="311"/>
      <c r="CS42" s="311"/>
      <c r="CT42" s="309"/>
      <c r="CU42" s="310"/>
      <c r="CV42" s="311"/>
      <c r="CW42" s="311"/>
      <c r="CX42" s="309"/>
      <c r="CY42" s="310"/>
      <c r="CZ42" s="311"/>
      <c r="DA42" s="311"/>
      <c r="DB42" s="309"/>
      <c r="DC42" s="310"/>
      <c r="DD42" s="311"/>
      <c r="DE42" s="311"/>
      <c r="DF42" s="309"/>
      <c r="DG42" s="310"/>
      <c r="DH42" s="311"/>
      <c r="DI42" s="311"/>
      <c r="DJ42" s="309"/>
      <c r="DK42" s="310"/>
      <c r="DL42" s="311"/>
      <c r="DM42" s="311"/>
      <c r="DN42" s="309"/>
      <c r="DO42" s="310"/>
      <c r="DP42" s="311"/>
      <c r="DQ42" s="311"/>
      <c r="DR42" s="309"/>
      <c r="DS42" s="310"/>
      <c r="DT42" s="311"/>
      <c r="DU42" s="311"/>
      <c r="DV42" s="309"/>
      <c r="DW42" s="310"/>
      <c r="DX42" s="311"/>
      <c r="DY42" s="311"/>
      <c r="DZ42" s="309"/>
      <c r="EA42" s="310"/>
      <c r="EB42" s="311"/>
      <c r="EC42" s="311"/>
      <c r="ED42" s="309"/>
      <c r="EE42" s="310"/>
      <c r="EF42" s="311"/>
      <c r="EG42" s="311"/>
      <c r="EH42" s="309"/>
      <c r="EI42" s="310"/>
      <c r="EJ42" s="311"/>
      <c r="EK42" s="311"/>
      <c r="EL42" s="309"/>
      <c r="EM42" s="310"/>
      <c r="EN42" s="311"/>
      <c r="EO42" s="311"/>
      <c r="EP42" s="309"/>
      <c r="EQ42" s="310"/>
      <c r="ER42" s="311"/>
      <c r="ES42" s="311"/>
      <c r="ET42" s="309"/>
      <c r="EU42" s="310"/>
      <c r="EV42" s="311"/>
      <c r="EW42" s="311"/>
      <c r="EX42" s="309"/>
      <c r="EY42" s="310"/>
      <c r="EZ42" s="311"/>
      <c r="FA42" s="311"/>
      <c r="FB42" s="309"/>
      <c r="FC42" s="310"/>
      <c r="FD42" s="311"/>
      <c r="FE42" s="311"/>
      <c r="FF42" s="309"/>
      <c r="FG42" s="310"/>
      <c r="FH42" s="311"/>
      <c r="FI42" s="311"/>
      <c r="FJ42" s="309"/>
      <c r="FK42" s="310"/>
      <c r="FL42" s="311"/>
      <c r="FM42" s="311"/>
      <c r="FN42" s="309"/>
      <c r="FO42" s="310"/>
      <c r="FP42" s="311"/>
      <c r="FQ42" s="311"/>
      <c r="FR42" s="309"/>
      <c r="FS42" s="310"/>
      <c r="FT42" s="311"/>
      <c r="FU42" s="311"/>
      <c r="FV42" s="309"/>
      <c r="FW42" s="310"/>
      <c r="FX42" s="311"/>
      <c r="FY42" s="311"/>
      <c r="FZ42" s="309"/>
      <c r="GA42" s="310"/>
      <c r="GB42" s="311"/>
      <c r="GC42" s="311"/>
      <c r="GD42" s="309"/>
      <c r="GE42" s="310"/>
      <c r="GF42" s="311"/>
      <c r="GG42" s="311"/>
      <c r="GH42" s="309"/>
      <c r="GI42" s="310"/>
      <c r="GJ42" s="311"/>
      <c r="GK42" s="311"/>
      <c r="GL42" s="309"/>
      <c r="GM42" s="310"/>
      <c r="GN42" s="311"/>
      <c r="GO42" s="311"/>
      <c r="GP42" s="309"/>
      <c r="GQ42" s="310"/>
      <c r="GR42" s="311"/>
      <c r="GS42" s="311"/>
      <c r="GT42" s="309"/>
      <c r="GU42" s="310"/>
      <c r="GV42" s="311"/>
      <c r="GW42" s="311"/>
      <c r="GX42" s="309"/>
      <c r="GY42" s="310"/>
      <c r="GZ42" s="311"/>
      <c r="HA42" s="311"/>
      <c r="HB42" s="309"/>
      <c r="HC42" s="312">
        <f t="shared" si="66"/>
        <v>0</v>
      </c>
      <c r="HD42" s="313">
        <f t="shared" si="66"/>
        <v>0</v>
      </c>
      <c r="HE42" s="313">
        <f t="shared" si="66"/>
        <v>0</v>
      </c>
      <c r="HF42" s="314"/>
      <c r="HG42" s="312">
        <f>SUM(SUMIFS(K42:HB42,$K$13:$HB$13,{"エネルギー管理指定工場等*","県域*"}))</f>
        <v>0</v>
      </c>
      <c r="HH42" s="313">
        <f>SUM(SUMIFS(L42:HC42,$K$13:$HB$13,{"エネルギー管理指定工場等*","県域*"}))</f>
        <v>0</v>
      </c>
      <c r="HI42" s="313">
        <f>SUM(SUMIFS(M42:HD42,$K$13:$HB$13,{"エネルギー管理指定工場等*","県域*"}))</f>
        <v>0</v>
      </c>
      <c r="HJ42" s="314"/>
      <c r="HL42" s="219">
        <v>33</v>
      </c>
      <c r="HM42" s="714" t="str">
        <f t="shared" ref="HM42:HM59" ca="1" si="67">OFFSET(A1_原単位2026,6,$HL42+2)</f>
        <v/>
      </c>
      <c r="HN42" s="715" t="str">
        <f ca="1">IF(COUNTIF(HN$10:HN41,OFFSET(A1_原単位2027,5,HL42+2))&gt;=1,"",OFFSET(A1_原単位2027,5,HL42+2)&amp;"")</f>
        <v/>
      </c>
      <c r="HO42" s="716" t="str">
        <f t="shared" ca="1" si="50"/>
        <v/>
      </c>
      <c r="HP42" s="717" t="str">
        <f t="shared" ref="HP42:HP59" ca="1" si="68">IF(HN42="","",HYPERLINK("#"&amp;OFFSET(A1_原単位2027,66,$HL42+2),OFFSET(A1_原単位2027,62,$HL42+2)))</f>
        <v/>
      </c>
      <c r="HQ42" s="714" t="str">
        <f t="shared" ref="HQ42:HQ59" ca="1" si="69">OFFSET(A1_原単位2026,18,$HL42+2)</f>
        <v/>
      </c>
      <c r="HR42" s="715" t="str">
        <f ca="1">IF(COUNTIF(HR$10:HR41,OFFSET(A1_原単位2027,17,HL42+2))&gt;=1,"",OFFSET(A1_原単位2027,17,HL42+2)&amp;"")</f>
        <v/>
      </c>
      <c r="HS42" s="718" t="str">
        <f t="shared" ca="1" si="53"/>
        <v/>
      </c>
      <c r="HT42" s="719" t="str">
        <f t="shared" ref="HT42:HT59" ca="1" si="70">IF(HR42="","",HYPERLINK("#"&amp;OFFSET(A1_原単位2027,67,$HL42+2),OFFSET(A1_原単位2027,63,$HL42+2)))</f>
        <v/>
      </c>
      <c r="HU42" s="714" t="str">
        <f t="shared" ref="HU42:HU59" ca="1" si="71">OFFSET(A1_原単位2026,30,$HL42+2)</f>
        <v/>
      </c>
      <c r="HV42" s="715" t="str">
        <f ca="1">IF(COUNTIF(HV$10:HV41,OFFSET(A1_原単位2027,29,HL42+2))&gt;=1,"",OFFSET(A1_原単位2027,29,HL42+2)&amp;"")</f>
        <v/>
      </c>
      <c r="HW42" s="718" t="str">
        <f t="shared" ca="1" si="56"/>
        <v/>
      </c>
      <c r="HX42" s="719" t="str">
        <f t="shared" ref="HX42:HX59" ca="1" si="72">IF(HV42="","",HYPERLINK("#"&amp;OFFSET(A1_原単位2027,68,$HL42+2),OFFSET(A1_原単位2027,64,$HL42+2)))</f>
        <v/>
      </c>
      <c r="HY42" s="714" t="str">
        <f t="shared" ref="HY42:HY59" ca="1" si="73">OFFSET(A1_原単位2026,42,$HL42+2)</f>
        <v/>
      </c>
      <c r="HZ42" s="715" t="str">
        <f ca="1">IF(COUNTIF(HZ$10:HZ41,OFFSET(A1_原単位2027,41,HL42+2))&gt;=1,"",OFFSET(A1_原単位2027,41,HL42+2)&amp;"")</f>
        <v/>
      </c>
      <c r="IA42" s="720" t="str">
        <f t="shared" ca="1" si="59"/>
        <v/>
      </c>
      <c r="IB42" s="721" t="str">
        <f t="shared" ref="IB42:IB59" ca="1" si="74">IF(HZ42="","",HYPERLINK("#"&amp;OFFSET(A1_原単位2027,69,$HL42+2),OFFSET(A1_原単位2027,65,$HL42+2)))</f>
        <v/>
      </c>
      <c r="IE42" s="159" t="str">
        <f t="shared" ref="IE42:IE59" ca="1" si="75">IF($HN42="","",ADDRESS(ROW(貼付け_2027実績)+5,OFFSET(A1_原単位2027,7,$HL42+2)+COLUMN(貼付け_2027実績)+1,4))</f>
        <v/>
      </c>
      <c r="IF42" s="159" t="str">
        <f t="shared" ref="IF42:IF59" ca="1" si="76">IF($HR42="","",ADDRESS(ROW(貼付け_2027実績)+5,OFFSET(A1_原単位2027,19,$HL42+2)+COLUMN(貼付け_2027実績)+1,4))</f>
        <v/>
      </c>
      <c r="IG42" s="159" t="str">
        <f t="shared" ref="IG42:IG59" ca="1" si="77">IF($HV42="","",ADDRESS(ROW(貼付け_2027実績)+5,OFFSET(A1_原単位2027,31,$HL42+2)+COLUMN(貼付け_2027実績)+1,4))</f>
        <v/>
      </c>
      <c r="IH42" s="159" t="str">
        <f t="shared" ref="IH42:IH59" ca="1" si="78">IF($HZ42="","",ADDRESS(ROW(貼付け_2027実績)+5,OFFSET(A1_原単位2027,43,$HL42+2)+COLUMN(貼付け_2027実績)+1,4))</f>
        <v/>
      </c>
    </row>
    <row r="43" spans="2:242" s="164" customFormat="1" ht="20.100000000000001" customHeight="1">
      <c r="B43" s="302"/>
      <c r="C43" s="303" t="s">
        <v>375</v>
      </c>
      <c r="D43" s="304"/>
      <c r="E43" s="305"/>
      <c r="F43" s="303" t="s">
        <v>457</v>
      </c>
      <c r="G43" s="306">
        <v>7.53</v>
      </c>
      <c r="H43" s="307">
        <v>4.2000000000000003E-2</v>
      </c>
      <c r="I43" s="308"/>
      <c r="J43" s="309"/>
      <c r="K43" s="310"/>
      <c r="L43" s="311"/>
      <c r="M43" s="311"/>
      <c r="N43" s="309"/>
      <c r="O43" s="310"/>
      <c r="P43" s="311"/>
      <c r="Q43" s="311"/>
      <c r="R43" s="309"/>
      <c r="S43" s="310"/>
      <c r="T43" s="311"/>
      <c r="U43" s="311"/>
      <c r="V43" s="309"/>
      <c r="W43" s="310"/>
      <c r="X43" s="311"/>
      <c r="Y43" s="311"/>
      <c r="Z43" s="309"/>
      <c r="AA43" s="310"/>
      <c r="AB43" s="311"/>
      <c r="AC43" s="311"/>
      <c r="AD43" s="309"/>
      <c r="AE43" s="310"/>
      <c r="AF43" s="311"/>
      <c r="AG43" s="311"/>
      <c r="AH43" s="309"/>
      <c r="AI43" s="310"/>
      <c r="AJ43" s="311"/>
      <c r="AK43" s="311"/>
      <c r="AL43" s="309"/>
      <c r="AM43" s="310"/>
      <c r="AN43" s="311"/>
      <c r="AO43" s="311"/>
      <c r="AP43" s="309"/>
      <c r="AQ43" s="310"/>
      <c r="AR43" s="311"/>
      <c r="AS43" s="311"/>
      <c r="AT43" s="309"/>
      <c r="AU43" s="310"/>
      <c r="AV43" s="311"/>
      <c r="AW43" s="311"/>
      <c r="AX43" s="309"/>
      <c r="AY43" s="310"/>
      <c r="AZ43" s="311"/>
      <c r="BA43" s="311"/>
      <c r="BB43" s="309"/>
      <c r="BC43" s="310"/>
      <c r="BD43" s="311"/>
      <c r="BE43" s="311"/>
      <c r="BF43" s="309"/>
      <c r="BG43" s="310"/>
      <c r="BH43" s="311"/>
      <c r="BI43" s="311"/>
      <c r="BJ43" s="309"/>
      <c r="BK43" s="310"/>
      <c r="BL43" s="311"/>
      <c r="BM43" s="311"/>
      <c r="BN43" s="309"/>
      <c r="BO43" s="310"/>
      <c r="BP43" s="311"/>
      <c r="BQ43" s="311"/>
      <c r="BR43" s="309"/>
      <c r="BS43" s="310"/>
      <c r="BT43" s="311"/>
      <c r="BU43" s="311"/>
      <c r="BV43" s="309"/>
      <c r="BW43" s="310"/>
      <c r="BX43" s="311"/>
      <c r="BY43" s="311"/>
      <c r="BZ43" s="309"/>
      <c r="CA43" s="310"/>
      <c r="CB43" s="311"/>
      <c r="CC43" s="311"/>
      <c r="CD43" s="309"/>
      <c r="CE43" s="310"/>
      <c r="CF43" s="311"/>
      <c r="CG43" s="311"/>
      <c r="CH43" s="309"/>
      <c r="CI43" s="310"/>
      <c r="CJ43" s="311"/>
      <c r="CK43" s="311"/>
      <c r="CL43" s="309"/>
      <c r="CM43" s="310"/>
      <c r="CN43" s="311"/>
      <c r="CO43" s="311"/>
      <c r="CP43" s="309"/>
      <c r="CQ43" s="310"/>
      <c r="CR43" s="311"/>
      <c r="CS43" s="311"/>
      <c r="CT43" s="309"/>
      <c r="CU43" s="310"/>
      <c r="CV43" s="311"/>
      <c r="CW43" s="311"/>
      <c r="CX43" s="309"/>
      <c r="CY43" s="310"/>
      <c r="CZ43" s="311"/>
      <c r="DA43" s="311"/>
      <c r="DB43" s="309"/>
      <c r="DC43" s="310"/>
      <c r="DD43" s="311"/>
      <c r="DE43" s="311"/>
      <c r="DF43" s="309"/>
      <c r="DG43" s="310"/>
      <c r="DH43" s="311"/>
      <c r="DI43" s="311"/>
      <c r="DJ43" s="309"/>
      <c r="DK43" s="310"/>
      <c r="DL43" s="311"/>
      <c r="DM43" s="311"/>
      <c r="DN43" s="309"/>
      <c r="DO43" s="310"/>
      <c r="DP43" s="311"/>
      <c r="DQ43" s="311"/>
      <c r="DR43" s="309"/>
      <c r="DS43" s="310"/>
      <c r="DT43" s="311"/>
      <c r="DU43" s="311"/>
      <c r="DV43" s="309"/>
      <c r="DW43" s="310"/>
      <c r="DX43" s="311"/>
      <c r="DY43" s="311"/>
      <c r="DZ43" s="309"/>
      <c r="EA43" s="310"/>
      <c r="EB43" s="311"/>
      <c r="EC43" s="311"/>
      <c r="ED43" s="309"/>
      <c r="EE43" s="310"/>
      <c r="EF43" s="311"/>
      <c r="EG43" s="311"/>
      <c r="EH43" s="309"/>
      <c r="EI43" s="310"/>
      <c r="EJ43" s="311"/>
      <c r="EK43" s="311"/>
      <c r="EL43" s="309"/>
      <c r="EM43" s="310"/>
      <c r="EN43" s="311"/>
      <c r="EO43" s="311"/>
      <c r="EP43" s="309"/>
      <c r="EQ43" s="310"/>
      <c r="ER43" s="311"/>
      <c r="ES43" s="311"/>
      <c r="ET43" s="309"/>
      <c r="EU43" s="310"/>
      <c r="EV43" s="311"/>
      <c r="EW43" s="311"/>
      <c r="EX43" s="309"/>
      <c r="EY43" s="310"/>
      <c r="EZ43" s="311"/>
      <c r="FA43" s="311"/>
      <c r="FB43" s="309"/>
      <c r="FC43" s="310"/>
      <c r="FD43" s="311"/>
      <c r="FE43" s="311"/>
      <c r="FF43" s="309"/>
      <c r="FG43" s="310"/>
      <c r="FH43" s="311"/>
      <c r="FI43" s="311"/>
      <c r="FJ43" s="309"/>
      <c r="FK43" s="310"/>
      <c r="FL43" s="311"/>
      <c r="FM43" s="311"/>
      <c r="FN43" s="309"/>
      <c r="FO43" s="310"/>
      <c r="FP43" s="311"/>
      <c r="FQ43" s="311"/>
      <c r="FR43" s="309"/>
      <c r="FS43" s="310"/>
      <c r="FT43" s="311"/>
      <c r="FU43" s="311"/>
      <c r="FV43" s="309"/>
      <c r="FW43" s="310"/>
      <c r="FX43" s="311"/>
      <c r="FY43" s="311"/>
      <c r="FZ43" s="309"/>
      <c r="GA43" s="310"/>
      <c r="GB43" s="311"/>
      <c r="GC43" s="311"/>
      <c r="GD43" s="309"/>
      <c r="GE43" s="310"/>
      <c r="GF43" s="311"/>
      <c r="GG43" s="311"/>
      <c r="GH43" s="309"/>
      <c r="GI43" s="310"/>
      <c r="GJ43" s="311"/>
      <c r="GK43" s="311"/>
      <c r="GL43" s="309"/>
      <c r="GM43" s="310"/>
      <c r="GN43" s="311"/>
      <c r="GO43" s="311"/>
      <c r="GP43" s="309"/>
      <c r="GQ43" s="310"/>
      <c r="GR43" s="311"/>
      <c r="GS43" s="311"/>
      <c r="GT43" s="309"/>
      <c r="GU43" s="310"/>
      <c r="GV43" s="311"/>
      <c r="GW43" s="311"/>
      <c r="GX43" s="309"/>
      <c r="GY43" s="310"/>
      <c r="GZ43" s="311"/>
      <c r="HA43" s="311"/>
      <c r="HB43" s="309"/>
      <c r="HC43" s="312">
        <f t="shared" si="66"/>
        <v>0</v>
      </c>
      <c r="HD43" s="313">
        <f t="shared" si="66"/>
        <v>0</v>
      </c>
      <c r="HE43" s="313">
        <f t="shared" si="66"/>
        <v>0</v>
      </c>
      <c r="HF43" s="314"/>
      <c r="HG43" s="312">
        <f>SUM(SUMIFS(K43:HB43,$K$13:$HB$13,{"エネルギー管理指定工場等*","県域*"}))</f>
        <v>0</v>
      </c>
      <c r="HH43" s="313">
        <f>SUM(SUMIFS(L43:HC43,$K$13:$HB$13,{"エネルギー管理指定工場等*","県域*"}))</f>
        <v>0</v>
      </c>
      <c r="HI43" s="313">
        <f>SUM(SUMIFS(M43:HD43,$K$13:$HB$13,{"エネルギー管理指定工場等*","県域*"}))</f>
        <v>0</v>
      </c>
      <c r="HJ43" s="314"/>
      <c r="HL43" s="230">
        <v>34</v>
      </c>
      <c r="HM43" s="714" t="str">
        <f t="shared" ca="1" si="67"/>
        <v/>
      </c>
      <c r="HN43" s="715" t="str">
        <f ca="1">IF(COUNTIF(HN$10:HN42,OFFSET(A1_原単位2027,5,HL43+2))&gt;=1,"",OFFSET(A1_原単位2027,5,HL43+2)&amp;"")</f>
        <v/>
      </c>
      <c r="HO43" s="716" t="str">
        <f t="shared" ca="1" si="50"/>
        <v/>
      </c>
      <c r="HP43" s="717" t="str">
        <f t="shared" ca="1" si="68"/>
        <v/>
      </c>
      <c r="HQ43" s="714" t="str">
        <f t="shared" ca="1" si="69"/>
        <v/>
      </c>
      <c r="HR43" s="715" t="str">
        <f ca="1">IF(COUNTIF(HR$10:HR42,OFFSET(A1_原単位2027,17,HL43+2))&gt;=1,"",OFFSET(A1_原単位2027,17,HL43+2)&amp;"")</f>
        <v/>
      </c>
      <c r="HS43" s="718" t="str">
        <f t="shared" ca="1" si="53"/>
        <v/>
      </c>
      <c r="HT43" s="719" t="str">
        <f t="shared" ca="1" si="70"/>
        <v/>
      </c>
      <c r="HU43" s="714" t="str">
        <f t="shared" ca="1" si="71"/>
        <v/>
      </c>
      <c r="HV43" s="715" t="str">
        <f ca="1">IF(COUNTIF(HV$10:HV42,OFFSET(A1_原単位2027,29,HL43+2))&gt;=1,"",OFFSET(A1_原単位2027,29,HL43+2)&amp;"")</f>
        <v/>
      </c>
      <c r="HW43" s="718" t="str">
        <f t="shared" ca="1" si="56"/>
        <v/>
      </c>
      <c r="HX43" s="719" t="str">
        <f t="shared" ca="1" si="72"/>
        <v/>
      </c>
      <c r="HY43" s="714" t="str">
        <f t="shared" ca="1" si="73"/>
        <v/>
      </c>
      <c r="HZ43" s="715" t="str">
        <f ca="1">IF(COUNTIF(HZ$10:HZ42,OFFSET(A1_原単位2027,41,HL43+2))&gt;=1,"",OFFSET(A1_原単位2027,41,HL43+2)&amp;"")</f>
        <v/>
      </c>
      <c r="IA43" s="720" t="str">
        <f t="shared" ca="1" si="59"/>
        <v/>
      </c>
      <c r="IB43" s="721" t="str">
        <f t="shared" ca="1" si="74"/>
        <v/>
      </c>
      <c r="IE43" s="159" t="str">
        <f t="shared" ca="1" si="75"/>
        <v/>
      </c>
      <c r="IF43" s="159" t="str">
        <f t="shared" ca="1" si="76"/>
        <v/>
      </c>
      <c r="IG43" s="159" t="str">
        <f t="shared" ca="1" si="77"/>
        <v/>
      </c>
      <c r="IH43" s="159" t="str">
        <f t="shared" ca="1" si="78"/>
        <v/>
      </c>
    </row>
    <row r="44" spans="2:242" s="164" customFormat="1" ht="20.100000000000001" customHeight="1">
      <c r="B44" s="302"/>
      <c r="C44" s="303" t="s">
        <v>459</v>
      </c>
      <c r="D44" s="304"/>
      <c r="E44" s="305"/>
      <c r="F44" s="303" t="s">
        <v>457</v>
      </c>
      <c r="G44" s="308"/>
      <c r="H44" s="309"/>
      <c r="I44" s="310"/>
      <c r="J44" s="315"/>
      <c r="K44" s="310"/>
      <c r="L44" s="311"/>
      <c r="M44" s="311"/>
      <c r="N44" s="309"/>
      <c r="O44" s="310"/>
      <c r="P44" s="311"/>
      <c r="Q44" s="311"/>
      <c r="R44" s="309"/>
      <c r="S44" s="310"/>
      <c r="T44" s="311"/>
      <c r="U44" s="311"/>
      <c r="V44" s="309"/>
      <c r="W44" s="310"/>
      <c r="X44" s="311"/>
      <c r="Y44" s="311"/>
      <c r="Z44" s="309"/>
      <c r="AA44" s="310"/>
      <c r="AB44" s="311"/>
      <c r="AC44" s="311"/>
      <c r="AD44" s="309"/>
      <c r="AE44" s="310"/>
      <c r="AF44" s="311"/>
      <c r="AG44" s="311"/>
      <c r="AH44" s="309"/>
      <c r="AI44" s="310"/>
      <c r="AJ44" s="311"/>
      <c r="AK44" s="311"/>
      <c r="AL44" s="309"/>
      <c r="AM44" s="310"/>
      <c r="AN44" s="311"/>
      <c r="AO44" s="311"/>
      <c r="AP44" s="309"/>
      <c r="AQ44" s="310"/>
      <c r="AR44" s="311"/>
      <c r="AS44" s="311"/>
      <c r="AT44" s="309"/>
      <c r="AU44" s="310"/>
      <c r="AV44" s="311"/>
      <c r="AW44" s="311"/>
      <c r="AX44" s="309"/>
      <c r="AY44" s="310"/>
      <c r="AZ44" s="311"/>
      <c r="BA44" s="311"/>
      <c r="BB44" s="309"/>
      <c r="BC44" s="310"/>
      <c r="BD44" s="311"/>
      <c r="BE44" s="311"/>
      <c r="BF44" s="309"/>
      <c r="BG44" s="310"/>
      <c r="BH44" s="311"/>
      <c r="BI44" s="311"/>
      <c r="BJ44" s="309"/>
      <c r="BK44" s="310"/>
      <c r="BL44" s="311"/>
      <c r="BM44" s="311"/>
      <c r="BN44" s="309"/>
      <c r="BO44" s="310"/>
      <c r="BP44" s="311"/>
      <c r="BQ44" s="311"/>
      <c r="BR44" s="309"/>
      <c r="BS44" s="310"/>
      <c r="BT44" s="311"/>
      <c r="BU44" s="311"/>
      <c r="BV44" s="309"/>
      <c r="BW44" s="310"/>
      <c r="BX44" s="311"/>
      <c r="BY44" s="311"/>
      <c r="BZ44" s="309"/>
      <c r="CA44" s="310"/>
      <c r="CB44" s="311"/>
      <c r="CC44" s="311"/>
      <c r="CD44" s="309"/>
      <c r="CE44" s="310"/>
      <c r="CF44" s="311"/>
      <c r="CG44" s="311"/>
      <c r="CH44" s="309"/>
      <c r="CI44" s="310"/>
      <c r="CJ44" s="311"/>
      <c r="CK44" s="311"/>
      <c r="CL44" s="309"/>
      <c r="CM44" s="310"/>
      <c r="CN44" s="311"/>
      <c r="CO44" s="311"/>
      <c r="CP44" s="309"/>
      <c r="CQ44" s="310"/>
      <c r="CR44" s="311"/>
      <c r="CS44" s="311"/>
      <c r="CT44" s="309"/>
      <c r="CU44" s="310"/>
      <c r="CV44" s="311"/>
      <c r="CW44" s="311"/>
      <c r="CX44" s="309"/>
      <c r="CY44" s="310"/>
      <c r="CZ44" s="311"/>
      <c r="DA44" s="311"/>
      <c r="DB44" s="309"/>
      <c r="DC44" s="310"/>
      <c r="DD44" s="311"/>
      <c r="DE44" s="311"/>
      <c r="DF44" s="309"/>
      <c r="DG44" s="310"/>
      <c r="DH44" s="311"/>
      <c r="DI44" s="311"/>
      <c r="DJ44" s="309"/>
      <c r="DK44" s="310"/>
      <c r="DL44" s="311"/>
      <c r="DM44" s="311"/>
      <c r="DN44" s="309"/>
      <c r="DO44" s="310"/>
      <c r="DP44" s="311"/>
      <c r="DQ44" s="311"/>
      <c r="DR44" s="309"/>
      <c r="DS44" s="310"/>
      <c r="DT44" s="311"/>
      <c r="DU44" s="311"/>
      <c r="DV44" s="309"/>
      <c r="DW44" s="310"/>
      <c r="DX44" s="311"/>
      <c r="DY44" s="311"/>
      <c r="DZ44" s="309"/>
      <c r="EA44" s="310"/>
      <c r="EB44" s="311"/>
      <c r="EC44" s="311"/>
      <c r="ED44" s="309"/>
      <c r="EE44" s="310"/>
      <c r="EF44" s="311"/>
      <c r="EG44" s="311"/>
      <c r="EH44" s="309"/>
      <c r="EI44" s="310"/>
      <c r="EJ44" s="311"/>
      <c r="EK44" s="311"/>
      <c r="EL44" s="309"/>
      <c r="EM44" s="310"/>
      <c r="EN44" s="311"/>
      <c r="EO44" s="311"/>
      <c r="EP44" s="309"/>
      <c r="EQ44" s="310"/>
      <c r="ER44" s="311"/>
      <c r="ES44" s="311"/>
      <c r="ET44" s="309"/>
      <c r="EU44" s="310"/>
      <c r="EV44" s="311"/>
      <c r="EW44" s="311"/>
      <c r="EX44" s="309"/>
      <c r="EY44" s="310"/>
      <c r="EZ44" s="311"/>
      <c r="FA44" s="311"/>
      <c r="FB44" s="309"/>
      <c r="FC44" s="310"/>
      <c r="FD44" s="311"/>
      <c r="FE44" s="311"/>
      <c r="FF44" s="309"/>
      <c r="FG44" s="310"/>
      <c r="FH44" s="311"/>
      <c r="FI44" s="311"/>
      <c r="FJ44" s="309"/>
      <c r="FK44" s="310"/>
      <c r="FL44" s="311"/>
      <c r="FM44" s="311"/>
      <c r="FN44" s="309"/>
      <c r="FO44" s="310"/>
      <c r="FP44" s="311"/>
      <c r="FQ44" s="311"/>
      <c r="FR44" s="309"/>
      <c r="FS44" s="310"/>
      <c r="FT44" s="311"/>
      <c r="FU44" s="311"/>
      <c r="FV44" s="309"/>
      <c r="FW44" s="310"/>
      <c r="FX44" s="311"/>
      <c r="FY44" s="311"/>
      <c r="FZ44" s="309"/>
      <c r="GA44" s="310"/>
      <c r="GB44" s="311"/>
      <c r="GC44" s="311"/>
      <c r="GD44" s="309"/>
      <c r="GE44" s="310"/>
      <c r="GF44" s="311"/>
      <c r="GG44" s="311"/>
      <c r="GH44" s="309"/>
      <c r="GI44" s="310"/>
      <c r="GJ44" s="311"/>
      <c r="GK44" s="311"/>
      <c r="GL44" s="309"/>
      <c r="GM44" s="310"/>
      <c r="GN44" s="311"/>
      <c r="GO44" s="311"/>
      <c r="GP44" s="309"/>
      <c r="GQ44" s="310"/>
      <c r="GR44" s="311"/>
      <c r="GS44" s="311"/>
      <c r="GT44" s="309"/>
      <c r="GU44" s="310"/>
      <c r="GV44" s="311"/>
      <c r="GW44" s="311"/>
      <c r="GX44" s="309"/>
      <c r="GY44" s="310"/>
      <c r="GZ44" s="311"/>
      <c r="HA44" s="311"/>
      <c r="HB44" s="309"/>
      <c r="HC44" s="312">
        <f t="shared" si="66"/>
        <v>0</v>
      </c>
      <c r="HD44" s="313">
        <f t="shared" si="66"/>
        <v>0</v>
      </c>
      <c r="HE44" s="313">
        <f t="shared" si="66"/>
        <v>0</v>
      </c>
      <c r="HF44" s="314"/>
      <c r="HG44" s="312">
        <f>SUM(SUMIFS(K44:HB44,$K$13:$HB$13,{"エネルギー管理指定工場等*","県域*"}))</f>
        <v>0</v>
      </c>
      <c r="HH44" s="313">
        <f>SUM(SUMIFS(L44:HC44,$K$13:$HB$13,{"エネルギー管理指定工場等*","県域*"}))</f>
        <v>0</v>
      </c>
      <c r="HI44" s="313">
        <f>SUM(SUMIFS(M44:HD44,$K$13:$HB$13,{"エネルギー管理指定工場等*","県域*"}))</f>
        <v>0</v>
      </c>
      <c r="HJ44" s="314"/>
      <c r="HL44" s="219">
        <v>35</v>
      </c>
      <c r="HM44" s="714" t="str">
        <f t="shared" ca="1" si="67"/>
        <v/>
      </c>
      <c r="HN44" s="715" t="str">
        <f ca="1">IF(COUNTIF(HN$10:HN43,OFFSET(A1_原単位2027,5,HL44+2))&gt;=1,"",OFFSET(A1_原単位2027,5,HL44+2)&amp;"")</f>
        <v/>
      </c>
      <c r="HO44" s="716" t="str">
        <f t="shared" ca="1" si="50"/>
        <v/>
      </c>
      <c r="HP44" s="717" t="str">
        <f t="shared" ca="1" si="68"/>
        <v/>
      </c>
      <c r="HQ44" s="714" t="str">
        <f t="shared" ca="1" si="69"/>
        <v/>
      </c>
      <c r="HR44" s="715" t="str">
        <f ca="1">IF(COUNTIF(HR$10:HR43,OFFSET(A1_原単位2027,17,HL44+2))&gt;=1,"",OFFSET(A1_原単位2027,17,HL44+2)&amp;"")</f>
        <v/>
      </c>
      <c r="HS44" s="718" t="str">
        <f t="shared" ca="1" si="53"/>
        <v/>
      </c>
      <c r="HT44" s="719" t="str">
        <f t="shared" ca="1" si="70"/>
        <v/>
      </c>
      <c r="HU44" s="714" t="str">
        <f t="shared" ca="1" si="71"/>
        <v/>
      </c>
      <c r="HV44" s="715" t="str">
        <f ca="1">IF(COUNTIF(HV$10:HV43,OFFSET(A1_原単位2027,29,HL44+2))&gt;=1,"",OFFSET(A1_原単位2027,29,HL44+2)&amp;"")</f>
        <v/>
      </c>
      <c r="HW44" s="718" t="str">
        <f t="shared" ca="1" si="56"/>
        <v/>
      </c>
      <c r="HX44" s="719" t="str">
        <f t="shared" ca="1" si="72"/>
        <v/>
      </c>
      <c r="HY44" s="714" t="str">
        <f t="shared" ca="1" si="73"/>
        <v/>
      </c>
      <c r="HZ44" s="715" t="str">
        <f ca="1">IF(COUNTIF(HZ$10:HZ43,OFFSET(A1_原単位2027,41,HL44+2))&gt;=1,"",OFFSET(A1_原単位2027,41,HL44+2)&amp;"")</f>
        <v/>
      </c>
      <c r="IA44" s="720" t="str">
        <f t="shared" ca="1" si="59"/>
        <v/>
      </c>
      <c r="IB44" s="721" t="str">
        <f t="shared" ca="1" si="74"/>
        <v/>
      </c>
      <c r="IE44" s="159" t="str">
        <f t="shared" ca="1" si="75"/>
        <v/>
      </c>
      <c r="IF44" s="159" t="str">
        <f t="shared" ca="1" si="76"/>
        <v/>
      </c>
      <c r="IG44" s="159" t="str">
        <f t="shared" ca="1" si="77"/>
        <v/>
      </c>
      <c r="IH44" s="159" t="str">
        <f t="shared" ca="1" si="78"/>
        <v/>
      </c>
    </row>
    <row r="45" spans="2:242" s="164" customFormat="1" ht="20.100000000000001" customHeight="1">
      <c r="B45" s="320"/>
      <c r="C45" s="303" t="s">
        <v>1372</v>
      </c>
      <c r="D45" s="321"/>
      <c r="E45" s="322"/>
      <c r="F45" s="323"/>
      <c r="G45" s="310"/>
      <c r="H45" s="315"/>
      <c r="I45" s="310"/>
      <c r="J45" s="315"/>
      <c r="K45" s="310"/>
      <c r="L45" s="311"/>
      <c r="M45" s="311"/>
      <c r="N45" s="309"/>
      <c r="O45" s="310"/>
      <c r="P45" s="311"/>
      <c r="Q45" s="311"/>
      <c r="R45" s="309"/>
      <c r="S45" s="310"/>
      <c r="T45" s="311"/>
      <c r="U45" s="311"/>
      <c r="V45" s="309"/>
      <c r="W45" s="310"/>
      <c r="X45" s="311"/>
      <c r="Y45" s="311"/>
      <c r="Z45" s="309"/>
      <c r="AA45" s="310"/>
      <c r="AB45" s="311"/>
      <c r="AC45" s="311"/>
      <c r="AD45" s="309"/>
      <c r="AE45" s="310"/>
      <c r="AF45" s="311"/>
      <c r="AG45" s="311"/>
      <c r="AH45" s="309"/>
      <c r="AI45" s="310"/>
      <c r="AJ45" s="311"/>
      <c r="AK45" s="311"/>
      <c r="AL45" s="309"/>
      <c r="AM45" s="310"/>
      <c r="AN45" s="311"/>
      <c r="AO45" s="311"/>
      <c r="AP45" s="309"/>
      <c r="AQ45" s="310"/>
      <c r="AR45" s="311"/>
      <c r="AS45" s="311"/>
      <c r="AT45" s="309"/>
      <c r="AU45" s="310"/>
      <c r="AV45" s="311"/>
      <c r="AW45" s="311"/>
      <c r="AX45" s="309"/>
      <c r="AY45" s="310"/>
      <c r="AZ45" s="311"/>
      <c r="BA45" s="311"/>
      <c r="BB45" s="309"/>
      <c r="BC45" s="310"/>
      <c r="BD45" s="311"/>
      <c r="BE45" s="311"/>
      <c r="BF45" s="309"/>
      <c r="BG45" s="310"/>
      <c r="BH45" s="311"/>
      <c r="BI45" s="311"/>
      <c r="BJ45" s="309"/>
      <c r="BK45" s="310"/>
      <c r="BL45" s="311"/>
      <c r="BM45" s="311"/>
      <c r="BN45" s="309"/>
      <c r="BO45" s="310"/>
      <c r="BP45" s="311"/>
      <c r="BQ45" s="311"/>
      <c r="BR45" s="309"/>
      <c r="BS45" s="310"/>
      <c r="BT45" s="311"/>
      <c r="BU45" s="311"/>
      <c r="BV45" s="309"/>
      <c r="BW45" s="310"/>
      <c r="BX45" s="311"/>
      <c r="BY45" s="311"/>
      <c r="BZ45" s="309"/>
      <c r="CA45" s="310"/>
      <c r="CB45" s="311"/>
      <c r="CC45" s="311"/>
      <c r="CD45" s="309"/>
      <c r="CE45" s="310"/>
      <c r="CF45" s="311"/>
      <c r="CG45" s="311"/>
      <c r="CH45" s="309"/>
      <c r="CI45" s="310"/>
      <c r="CJ45" s="311"/>
      <c r="CK45" s="311"/>
      <c r="CL45" s="309"/>
      <c r="CM45" s="310"/>
      <c r="CN45" s="311"/>
      <c r="CO45" s="311"/>
      <c r="CP45" s="309"/>
      <c r="CQ45" s="310"/>
      <c r="CR45" s="311"/>
      <c r="CS45" s="311"/>
      <c r="CT45" s="309"/>
      <c r="CU45" s="310"/>
      <c r="CV45" s="311"/>
      <c r="CW45" s="311"/>
      <c r="CX45" s="309"/>
      <c r="CY45" s="310"/>
      <c r="CZ45" s="311"/>
      <c r="DA45" s="311"/>
      <c r="DB45" s="309"/>
      <c r="DC45" s="310"/>
      <c r="DD45" s="311"/>
      <c r="DE45" s="311"/>
      <c r="DF45" s="309"/>
      <c r="DG45" s="310"/>
      <c r="DH45" s="311"/>
      <c r="DI45" s="311"/>
      <c r="DJ45" s="309"/>
      <c r="DK45" s="310"/>
      <c r="DL45" s="311"/>
      <c r="DM45" s="311"/>
      <c r="DN45" s="309"/>
      <c r="DO45" s="310"/>
      <c r="DP45" s="311"/>
      <c r="DQ45" s="311"/>
      <c r="DR45" s="309"/>
      <c r="DS45" s="310"/>
      <c r="DT45" s="311"/>
      <c r="DU45" s="311"/>
      <c r="DV45" s="309"/>
      <c r="DW45" s="310"/>
      <c r="DX45" s="311"/>
      <c r="DY45" s="311"/>
      <c r="DZ45" s="309"/>
      <c r="EA45" s="310"/>
      <c r="EB45" s="311"/>
      <c r="EC45" s="311"/>
      <c r="ED45" s="309"/>
      <c r="EE45" s="310"/>
      <c r="EF45" s="311"/>
      <c r="EG45" s="311"/>
      <c r="EH45" s="309"/>
      <c r="EI45" s="310"/>
      <c r="EJ45" s="311"/>
      <c r="EK45" s="311"/>
      <c r="EL45" s="309"/>
      <c r="EM45" s="310"/>
      <c r="EN45" s="311"/>
      <c r="EO45" s="311"/>
      <c r="EP45" s="309"/>
      <c r="EQ45" s="310"/>
      <c r="ER45" s="311"/>
      <c r="ES45" s="311"/>
      <c r="ET45" s="309"/>
      <c r="EU45" s="310"/>
      <c r="EV45" s="311"/>
      <c r="EW45" s="311"/>
      <c r="EX45" s="309"/>
      <c r="EY45" s="310"/>
      <c r="EZ45" s="311"/>
      <c r="FA45" s="311"/>
      <c r="FB45" s="309"/>
      <c r="FC45" s="310"/>
      <c r="FD45" s="311"/>
      <c r="FE45" s="311"/>
      <c r="FF45" s="309"/>
      <c r="FG45" s="310"/>
      <c r="FH45" s="311"/>
      <c r="FI45" s="311"/>
      <c r="FJ45" s="309"/>
      <c r="FK45" s="310"/>
      <c r="FL45" s="311"/>
      <c r="FM45" s="311"/>
      <c r="FN45" s="309"/>
      <c r="FO45" s="310"/>
      <c r="FP45" s="311"/>
      <c r="FQ45" s="311"/>
      <c r="FR45" s="309"/>
      <c r="FS45" s="310"/>
      <c r="FT45" s="311"/>
      <c r="FU45" s="311"/>
      <c r="FV45" s="309"/>
      <c r="FW45" s="310"/>
      <c r="FX45" s="311"/>
      <c r="FY45" s="311"/>
      <c r="FZ45" s="309"/>
      <c r="GA45" s="310"/>
      <c r="GB45" s="311"/>
      <c r="GC45" s="311"/>
      <c r="GD45" s="309"/>
      <c r="GE45" s="310"/>
      <c r="GF45" s="311"/>
      <c r="GG45" s="311"/>
      <c r="GH45" s="309"/>
      <c r="GI45" s="310"/>
      <c r="GJ45" s="311"/>
      <c r="GK45" s="311"/>
      <c r="GL45" s="309"/>
      <c r="GM45" s="310"/>
      <c r="GN45" s="311"/>
      <c r="GO45" s="311"/>
      <c r="GP45" s="309"/>
      <c r="GQ45" s="310"/>
      <c r="GR45" s="311"/>
      <c r="GS45" s="311"/>
      <c r="GT45" s="309"/>
      <c r="GU45" s="310"/>
      <c r="GV45" s="311"/>
      <c r="GW45" s="311"/>
      <c r="GX45" s="309"/>
      <c r="GY45" s="310"/>
      <c r="GZ45" s="311"/>
      <c r="HA45" s="311"/>
      <c r="HB45" s="309"/>
      <c r="HC45" s="312">
        <f t="shared" si="66"/>
        <v>0</v>
      </c>
      <c r="HD45" s="313">
        <f t="shared" si="66"/>
        <v>0</v>
      </c>
      <c r="HE45" s="313">
        <f t="shared" si="66"/>
        <v>0</v>
      </c>
      <c r="HF45" s="314"/>
      <c r="HG45" s="312">
        <f>SUM(SUMIFS(K45:HB45,$K$13:$HB$13,{"エネルギー管理指定工場等*","県域*"}))</f>
        <v>0</v>
      </c>
      <c r="HH45" s="313">
        <f>SUM(SUMIFS(L45:HC45,$K$13:$HB$13,{"エネルギー管理指定工場等*","県域*"}))</f>
        <v>0</v>
      </c>
      <c r="HI45" s="313">
        <f>SUM(SUMIFS(M45:HD45,$K$13:$HB$13,{"エネルギー管理指定工場等*","県域*"}))</f>
        <v>0</v>
      </c>
      <c r="HJ45" s="314"/>
      <c r="HL45" s="219">
        <v>36</v>
      </c>
      <c r="HM45" s="714" t="str">
        <f t="shared" ca="1" si="67"/>
        <v/>
      </c>
      <c r="HN45" s="715" t="str">
        <f ca="1">IF(COUNTIF(HN$10:HN44,OFFSET(A1_原単位2027,5,HL45+2))&gt;=1,"",OFFSET(A1_原単位2027,5,HL45+2)&amp;"")</f>
        <v/>
      </c>
      <c r="HO45" s="716" t="str">
        <f t="shared" ca="1" si="50"/>
        <v/>
      </c>
      <c r="HP45" s="717" t="str">
        <f t="shared" ca="1" si="68"/>
        <v/>
      </c>
      <c r="HQ45" s="714" t="str">
        <f t="shared" ca="1" si="69"/>
        <v/>
      </c>
      <c r="HR45" s="715" t="str">
        <f ca="1">IF(COUNTIF(HR$10:HR44,OFFSET(A1_原単位2027,17,HL45+2))&gt;=1,"",OFFSET(A1_原単位2027,17,HL45+2)&amp;"")</f>
        <v/>
      </c>
      <c r="HS45" s="718" t="str">
        <f t="shared" ca="1" si="53"/>
        <v/>
      </c>
      <c r="HT45" s="719" t="str">
        <f t="shared" ca="1" si="70"/>
        <v/>
      </c>
      <c r="HU45" s="714" t="str">
        <f t="shared" ca="1" si="71"/>
        <v/>
      </c>
      <c r="HV45" s="715" t="str">
        <f ca="1">IF(COUNTIF(HV$10:HV44,OFFSET(A1_原単位2027,29,HL45+2))&gt;=1,"",OFFSET(A1_原単位2027,29,HL45+2)&amp;"")</f>
        <v/>
      </c>
      <c r="HW45" s="718" t="str">
        <f t="shared" ca="1" si="56"/>
        <v/>
      </c>
      <c r="HX45" s="719" t="str">
        <f t="shared" ca="1" si="72"/>
        <v/>
      </c>
      <c r="HY45" s="714" t="str">
        <f t="shared" ca="1" si="73"/>
        <v/>
      </c>
      <c r="HZ45" s="715" t="str">
        <f ca="1">IF(COUNTIF(HZ$10:HZ44,OFFSET(A1_原単位2027,41,HL45+2))&gt;=1,"",OFFSET(A1_原単位2027,41,HL45+2)&amp;"")</f>
        <v/>
      </c>
      <c r="IA45" s="720" t="str">
        <f t="shared" ca="1" si="59"/>
        <v/>
      </c>
      <c r="IB45" s="721" t="str">
        <f t="shared" ca="1" si="74"/>
        <v/>
      </c>
      <c r="IE45" s="159" t="str">
        <f t="shared" ca="1" si="75"/>
        <v/>
      </c>
      <c r="IF45" s="159" t="str">
        <f t="shared" ca="1" si="76"/>
        <v/>
      </c>
      <c r="IG45" s="159" t="str">
        <f t="shared" ca="1" si="77"/>
        <v/>
      </c>
      <c r="IH45" s="159" t="str">
        <f t="shared" ca="1" si="78"/>
        <v/>
      </c>
    </row>
    <row r="46" spans="2:242" s="164" customFormat="1" ht="20.100000000000001" customHeight="1">
      <c r="B46" s="324" t="s">
        <v>1373</v>
      </c>
      <c r="C46" s="303" t="s">
        <v>588</v>
      </c>
      <c r="D46" s="304"/>
      <c r="E46" s="305"/>
      <c r="F46" s="303" t="s">
        <v>455</v>
      </c>
      <c r="G46" s="306">
        <v>13.6</v>
      </c>
      <c r="H46" s="309"/>
      <c r="I46" s="308"/>
      <c r="J46" s="309"/>
      <c r="K46" s="310"/>
      <c r="L46" s="311"/>
      <c r="M46" s="311"/>
      <c r="N46" s="309"/>
      <c r="O46" s="310"/>
      <c r="P46" s="311"/>
      <c r="Q46" s="311"/>
      <c r="R46" s="309"/>
      <c r="S46" s="310"/>
      <c r="T46" s="311"/>
      <c r="U46" s="311"/>
      <c r="V46" s="309"/>
      <c r="W46" s="310"/>
      <c r="X46" s="311"/>
      <c r="Y46" s="311"/>
      <c r="Z46" s="309"/>
      <c r="AA46" s="310"/>
      <c r="AB46" s="311"/>
      <c r="AC46" s="311"/>
      <c r="AD46" s="309"/>
      <c r="AE46" s="310"/>
      <c r="AF46" s="311"/>
      <c r="AG46" s="311"/>
      <c r="AH46" s="309"/>
      <c r="AI46" s="310"/>
      <c r="AJ46" s="311"/>
      <c r="AK46" s="311"/>
      <c r="AL46" s="309"/>
      <c r="AM46" s="310"/>
      <c r="AN46" s="311"/>
      <c r="AO46" s="311"/>
      <c r="AP46" s="309"/>
      <c r="AQ46" s="310"/>
      <c r="AR46" s="311"/>
      <c r="AS46" s="311"/>
      <c r="AT46" s="309"/>
      <c r="AU46" s="310"/>
      <c r="AV46" s="311"/>
      <c r="AW46" s="311"/>
      <c r="AX46" s="309"/>
      <c r="AY46" s="310"/>
      <c r="AZ46" s="311"/>
      <c r="BA46" s="311"/>
      <c r="BB46" s="309"/>
      <c r="BC46" s="310"/>
      <c r="BD46" s="311"/>
      <c r="BE46" s="311"/>
      <c r="BF46" s="309"/>
      <c r="BG46" s="310"/>
      <c r="BH46" s="311"/>
      <c r="BI46" s="311"/>
      <c r="BJ46" s="309"/>
      <c r="BK46" s="310"/>
      <c r="BL46" s="311"/>
      <c r="BM46" s="311"/>
      <c r="BN46" s="309"/>
      <c r="BO46" s="310"/>
      <c r="BP46" s="311"/>
      <c r="BQ46" s="311"/>
      <c r="BR46" s="309"/>
      <c r="BS46" s="310"/>
      <c r="BT46" s="311"/>
      <c r="BU46" s="311"/>
      <c r="BV46" s="309"/>
      <c r="BW46" s="310"/>
      <c r="BX46" s="311"/>
      <c r="BY46" s="311"/>
      <c r="BZ46" s="309"/>
      <c r="CA46" s="310"/>
      <c r="CB46" s="311"/>
      <c r="CC46" s="311"/>
      <c r="CD46" s="309"/>
      <c r="CE46" s="310"/>
      <c r="CF46" s="311"/>
      <c r="CG46" s="311"/>
      <c r="CH46" s="309"/>
      <c r="CI46" s="310"/>
      <c r="CJ46" s="311"/>
      <c r="CK46" s="311"/>
      <c r="CL46" s="309"/>
      <c r="CM46" s="310"/>
      <c r="CN46" s="311"/>
      <c r="CO46" s="311"/>
      <c r="CP46" s="309"/>
      <c r="CQ46" s="310"/>
      <c r="CR46" s="311"/>
      <c r="CS46" s="311"/>
      <c r="CT46" s="309"/>
      <c r="CU46" s="310"/>
      <c r="CV46" s="311"/>
      <c r="CW46" s="311"/>
      <c r="CX46" s="309"/>
      <c r="CY46" s="310"/>
      <c r="CZ46" s="311"/>
      <c r="DA46" s="311"/>
      <c r="DB46" s="309"/>
      <c r="DC46" s="310"/>
      <c r="DD46" s="311"/>
      <c r="DE46" s="311"/>
      <c r="DF46" s="309"/>
      <c r="DG46" s="310"/>
      <c r="DH46" s="311"/>
      <c r="DI46" s="311"/>
      <c r="DJ46" s="309"/>
      <c r="DK46" s="310"/>
      <c r="DL46" s="311"/>
      <c r="DM46" s="311"/>
      <c r="DN46" s="309"/>
      <c r="DO46" s="310"/>
      <c r="DP46" s="311"/>
      <c r="DQ46" s="311"/>
      <c r="DR46" s="309"/>
      <c r="DS46" s="310"/>
      <c r="DT46" s="311"/>
      <c r="DU46" s="311"/>
      <c r="DV46" s="309"/>
      <c r="DW46" s="310"/>
      <c r="DX46" s="311"/>
      <c r="DY46" s="311"/>
      <c r="DZ46" s="309"/>
      <c r="EA46" s="310"/>
      <c r="EB46" s="311"/>
      <c r="EC46" s="311"/>
      <c r="ED46" s="309"/>
      <c r="EE46" s="310"/>
      <c r="EF46" s="311"/>
      <c r="EG46" s="311"/>
      <c r="EH46" s="309"/>
      <c r="EI46" s="310"/>
      <c r="EJ46" s="311"/>
      <c r="EK46" s="311"/>
      <c r="EL46" s="309"/>
      <c r="EM46" s="310"/>
      <c r="EN46" s="311"/>
      <c r="EO46" s="311"/>
      <c r="EP46" s="309"/>
      <c r="EQ46" s="310"/>
      <c r="ER46" s="311"/>
      <c r="ES46" s="311"/>
      <c r="ET46" s="309"/>
      <c r="EU46" s="310"/>
      <c r="EV46" s="311"/>
      <c r="EW46" s="311"/>
      <c r="EX46" s="309"/>
      <c r="EY46" s="310"/>
      <c r="EZ46" s="311"/>
      <c r="FA46" s="311"/>
      <c r="FB46" s="309"/>
      <c r="FC46" s="310"/>
      <c r="FD46" s="311"/>
      <c r="FE46" s="311"/>
      <c r="FF46" s="309"/>
      <c r="FG46" s="310"/>
      <c r="FH46" s="311"/>
      <c r="FI46" s="311"/>
      <c r="FJ46" s="309"/>
      <c r="FK46" s="310"/>
      <c r="FL46" s="311"/>
      <c r="FM46" s="311"/>
      <c r="FN46" s="309"/>
      <c r="FO46" s="310"/>
      <c r="FP46" s="311"/>
      <c r="FQ46" s="311"/>
      <c r="FR46" s="309"/>
      <c r="FS46" s="310"/>
      <c r="FT46" s="311"/>
      <c r="FU46" s="311"/>
      <c r="FV46" s="309"/>
      <c r="FW46" s="310"/>
      <c r="FX46" s="311"/>
      <c r="FY46" s="311"/>
      <c r="FZ46" s="309"/>
      <c r="GA46" s="310"/>
      <c r="GB46" s="311"/>
      <c r="GC46" s="311"/>
      <c r="GD46" s="309"/>
      <c r="GE46" s="310"/>
      <c r="GF46" s="311"/>
      <c r="GG46" s="311"/>
      <c r="GH46" s="309"/>
      <c r="GI46" s="310"/>
      <c r="GJ46" s="311"/>
      <c r="GK46" s="311"/>
      <c r="GL46" s="309"/>
      <c r="GM46" s="310"/>
      <c r="GN46" s="311"/>
      <c r="GO46" s="311"/>
      <c r="GP46" s="309"/>
      <c r="GQ46" s="310"/>
      <c r="GR46" s="311"/>
      <c r="GS46" s="311"/>
      <c r="GT46" s="309"/>
      <c r="GU46" s="310"/>
      <c r="GV46" s="311"/>
      <c r="GW46" s="311"/>
      <c r="GX46" s="309"/>
      <c r="GY46" s="310"/>
      <c r="GZ46" s="311"/>
      <c r="HA46" s="311"/>
      <c r="HB46" s="309"/>
      <c r="HC46" s="312">
        <f t="shared" si="66"/>
        <v>0</v>
      </c>
      <c r="HD46" s="313">
        <f t="shared" si="66"/>
        <v>0</v>
      </c>
      <c r="HE46" s="313">
        <f t="shared" si="66"/>
        <v>0</v>
      </c>
      <c r="HF46" s="314"/>
      <c r="HG46" s="312">
        <f>SUM(SUMIFS(K46:HB46,$K$13:$HB$13,{"エネルギー管理指定工場等*","県域*"}))</f>
        <v>0</v>
      </c>
      <c r="HH46" s="313">
        <f>SUM(SUMIFS(L46:HC46,$K$13:$HB$13,{"エネルギー管理指定工場等*","県域*"}))</f>
        <v>0</v>
      </c>
      <c r="HI46" s="313">
        <f>SUM(SUMIFS(M46:HD46,$K$13:$HB$13,{"エネルギー管理指定工場等*","県域*"}))</f>
        <v>0</v>
      </c>
      <c r="HJ46" s="314"/>
      <c r="HL46" s="230">
        <v>37</v>
      </c>
      <c r="HM46" s="714" t="str">
        <f t="shared" ca="1" si="67"/>
        <v/>
      </c>
      <c r="HN46" s="715" t="str">
        <f ca="1">IF(COUNTIF(HN$10:HN45,OFFSET(A1_原単位2027,5,HL46+2))&gt;=1,"",OFFSET(A1_原単位2027,5,HL46+2)&amp;"")</f>
        <v/>
      </c>
      <c r="HO46" s="716" t="str">
        <f t="shared" ca="1" si="50"/>
        <v/>
      </c>
      <c r="HP46" s="717" t="str">
        <f t="shared" ca="1" si="68"/>
        <v/>
      </c>
      <c r="HQ46" s="714" t="str">
        <f t="shared" ca="1" si="69"/>
        <v/>
      </c>
      <c r="HR46" s="715" t="str">
        <f ca="1">IF(COUNTIF(HR$10:HR45,OFFSET(A1_原単位2027,17,HL46+2))&gt;=1,"",OFFSET(A1_原単位2027,17,HL46+2)&amp;"")</f>
        <v/>
      </c>
      <c r="HS46" s="718" t="str">
        <f t="shared" ca="1" si="53"/>
        <v/>
      </c>
      <c r="HT46" s="719" t="str">
        <f t="shared" ca="1" si="70"/>
        <v/>
      </c>
      <c r="HU46" s="714" t="str">
        <f t="shared" ca="1" si="71"/>
        <v/>
      </c>
      <c r="HV46" s="715" t="str">
        <f ca="1">IF(COUNTIF(HV$10:HV45,OFFSET(A1_原単位2027,29,HL46+2))&gt;=1,"",OFFSET(A1_原単位2027,29,HL46+2)&amp;"")</f>
        <v/>
      </c>
      <c r="HW46" s="718" t="str">
        <f t="shared" ca="1" si="56"/>
        <v/>
      </c>
      <c r="HX46" s="719" t="str">
        <f t="shared" ca="1" si="72"/>
        <v/>
      </c>
      <c r="HY46" s="714" t="str">
        <f t="shared" ca="1" si="73"/>
        <v/>
      </c>
      <c r="HZ46" s="715" t="str">
        <f ca="1">IF(COUNTIF(HZ$10:HZ45,OFFSET(A1_原単位2027,41,HL46+2))&gt;=1,"",OFFSET(A1_原単位2027,41,HL46+2)&amp;"")</f>
        <v/>
      </c>
      <c r="IA46" s="720" t="str">
        <f t="shared" ca="1" si="59"/>
        <v/>
      </c>
      <c r="IB46" s="721" t="str">
        <f t="shared" ca="1" si="74"/>
        <v/>
      </c>
      <c r="IE46" s="159" t="str">
        <f t="shared" ca="1" si="75"/>
        <v/>
      </c>
      <c r="IF46" s="159" t="str">
        <f t="shared" ca="1" si="76"/>
        <v/>
      </c>
      <c r="IG46" s="159" t="str">
        <f t="shared" ca="1" si="77"/>
        <v/>
      </c>
      <c r="IH46" s="159" t="str">
        <f t="shared" ca="1" si="78"/>
        <v/>
      </c>
    </row>
    <row r="47" spans="2:242" s="164" customFormat="1" ht="20.100000000000001" customHeight="1">
      <c r="B47" s="302"/>
      <c r="C47" s="303" t="s">
        <v>589</v>
      </c>
      <c r="D47" s="304"/>
      <c r="E47" s="305"/>
      <c r="F47" s="303" t="s">
        <v>455</v>
      </c>
      <c r="G47" s="306">
        <v>13.2</v>
      </c>
      <c r="H47" s="309"/>
      <c r="I47" s="308"/>
      <c r="J47" s="309"/>
      <c r="K47" s="310"/>
      <c r="L47" s="311"/>
      <c r="M47" s="311"/>
      <c r="N47" s="309"/>
      <c r="O47" s="310"/>
      <c r="P47" s="311"/>
      <c r="Q47" s="311"/>
      <c r="R47" s="309"/>
      <c r="S47" s="310"/>
      <c r="T47" s="311"/>
      <c r="U47" s="311"/>
      <c r="V47" s="309"/>
      <c r="W47" s="310"/>
      <c r="X47" s="311"/>
      <c r="Y47" s="311"/>
      <c r="Z47" s="309"/>
      <c r="AA47" s="310"/>
      <c r="AB47" s="311"/>
      <c r="AC47" s="311"/>
      <c r="AD47" s="309"/>
      <c r="AE47" s="310"/>
      <c r="AF47" s="311"/>
      <c r="AG47" s="311"/>
      <c r="AH47" s="309"/>
      <c r="AI47" s="310"/>
      <c r="AJ47" s="311"/>
      <c r="AK47" s="311"/>
      <c r="AL47" s="309"/>
      <c r="AM47" s="310"/>
      <c r="AN47" s="311"/>
      <c r="AO47" s="311"/>
      <c r="AP47" s="309"/>
      <c r="AQ47" s="310"/>
      <c r="AR47" s="311"/>
      <c r="AS47" s="311"/>
      <c r="AT47" s="309"/>
      <c r="AU47" s="310"/>
      <c r="AV47" s="311"/>
      <c r="AW47" s="311"/>
      <c r="AX47" s="309"/>
      <c r="AY47" s="310"/>
      <c r="AZ47" s="311"/>
      <c r="BA47" s="311"/>
      <c r="BB47" s="309"/>
      <c r="BC47" s="310"/>
      <c r="BD47" s="311"/>
      <c r="BE47" s="311"/>
      <c r="BF47" s="309"/>
      <c r="BG47" s="310"/>
      <c r="BH47" s="311"/>
      <c r="BI47" s="311"/>
      <c r="BJ47" s="309"/>
      <c r="BK47" s="310"/>
      <c r="BL47" s="311"/>
      <c r="BM47" s="311"/>
      <c r="BN47" s="309"/>
      <c r="BO47" s="310"/>
      <c r="BP47" s="311"/>
      <c r="BQ47" s="311"/>
      <c r="BR47" s="309"/>
      <c r="BS47" s="310"/>
      <c r="BT47" s="311"/>
      <c r="BU47" s="311"/>
      <c r="BV47" s="309"/>
      <c r="BW47" s="310"/>
      <c r="BX47" s="311"/>
      <c r="BY47" s="311"/>
      <c r="BZ47" s="309"/>
      <c r="CA47" s="310"/>
      <c r="CB47" s="311"/>
      <c r="CC47" s="311"/>
      <c r="CD47" s="309"/>
      <c r="CE47" s="310"/>
      <c r="CF47" s="311"/>
      <c r="CG47" s="311"/>
      <c r="CH47" s="309"/>
      <c r="CI47" s="310"/>
      <c r="CJ47" s="311"/>
      <c r="CK47" s="311"/>
      <c r="CL47" s="309"/>
      <c r="CM47" s="310"/>
      <c r="CN47" s="311"/>
      <c r="CO47" s="311"/>
      <c r="CP47" s="309"/>
      <c r="CQ47" s="310"/>
      <c r="CR47" s="311"/>
      <c r="CS47" s="311"/>
      <c r="CT47" s="309"/>
      <c r="CU47" s="310"/>
      <c r="CV47" s="311"/>
      <c r="CW47" s="311"/>
      <c r="CX47" s="309"/>
      <c r="CY47" s="310"/>
      <c r="CZ47" s="311"/>
      <c r="DA47" s="311"/>
      <c r="DB47" s="309"/>
      <c r="DC47" s="310"/>
      <c r="DD47" s="311"/>
      <c r="DE47" s="311"/>
      <c r="DF47" s="309"/>
      <c r="DG47" s="310"/>
      <c r="DH47" s="311"/>
      <c r="DI47" s="311"/>
      <c r="DJ47" s="309"/>
      <c r="DK47" s="310"/>
      <c r="DL47" s="311"/>
      <c r="DM47" s="311"/>
      <c r="DN47" s="309"/>
      <c r="DO47" s="310"/>
      <c r="DP47" s="311"/>
      <c r="DQ47" s="311"/>
      <c r="DR47" s="309"/>
      <c r="DS47" s="310"/>
      <c r="DT47" s="311"/>
      <c r="DU47" s="311"/>
      <c r="DV47" s="309"/>
      <c r="DW47" s="310"/>
      <c r="DX47" s="311"/>
      <c r="DY47" s="311"/>
      <c r="DZ47" s="309"/>
      <c r="EA47" s="310"/>
      <c r="EB47" s="311"/>
      <c r="EC47" s="311"/>
      <c r="ED47" s="309"/>
      <c r="EE47" s="310"/>
      <c r="EF47" s="311"/>
      <c r="EG47" s="311"/>
      <c r="EH47" s="309"/>
      <c r="EI47" s="310"/>
      <c r="EJ47" s="311"/>
      <c r="EK47" s="311"/>
      <c r="EL47" s="309"/>
      <c r="EM47" s="310"/>
      <c r="EN47" s="311"/>
      <c r="EO47" s="311"/>
      <c r="EP47" s="309"/>
      <c r="EQ47" s="310"/>
      <c r="ER47" s="311"/>
      <c r="ES47" s="311"/>
      <c r="ET47" s="309"/>
      <c r="EU47" s="310"/>
      <c r="EV47" s="311"/>
      <c r="EW47" s="311"/>
      <c r="EX47" s="309"/>
      <c r="EY47" s="310"/>
      <c r="EZ47" s="311"/>
      <c r="FA47" s="311"/>
      <c r="FB47" s="309"/>
      <c r="FC47" s="310"/>
      <c r="FD47" s="311"/>
      <c r="FE47" s="311"/>
      <c r="FF47" s="309"/>
      <c r="FG47" s="310"/>
      <c r="FH47" s="311"/>
      <c r="FI47" s="311"/>
      <c r="FJ47" s="309"/>
      <c r="FK47" s="310"/>
      <c r="FL47" s="311"/>
      <c r="FM47" s="311"/>
      <c r="FN47" s="309"/>
      <c r="FO47" s="310"/>
      <c r="FP47" s="311"/>
      <c r="FQ47" s="311"/>
      <c r="FR47" s="309"/>
      <c r="FS47" s="310"/>
      <c r="FT47" s="311"/>
      <c r="FU47" s="311"/>
      <c r="FV47" s="309"/>
      <c r="FW47" s="310"/>
      <c r="FX47" s="311"/>
      <c r="FY47" s="311"/>
      <c r="FZ47" s="309"/>
      <c r="GA47" s="310"/>
      <c r="GB47" s="311"/>
      <c r="GC47" s="311"/>
      <c r="GD47" s="309"/>
      <c r="GE47" s="310"/>
      <c r="GF47" s="311"/>
      <c r="GG47" s="311"/>
      <c r="GH47" s="309"/>
      <c r="GI47" s="310"/>
      <c r="GJ47" s="311"/>
      <c r="GK47" s="311"/>
      <c r="GL47" s="309"/>
      <c r="GM47" s="310"/>
      <c r="GN47" s="311"/>
      <c r="GO47" s="311"/>
      <c r="GP47" s="309"/>
      <c r="GQ47" s="310"/>
      <c r="GR47" s="311"/>
      <c r="GS47" s="311"/>
      <c r="GT47" s="309"/>
      <c r="GU47" s="310"/>
      <c r="GV47" s="311"/>
      <c r="GW47" s="311"/>
      <c r="GX47" s="309"/>
      <c r="GY47" s="310"/>
      <c r="GZ47" s="311"/>
      <c r="HA47" s="311"/>
      <c r="HB47" s="309"/>
      <c r="HC47" s="312">
        <f t="shared" si="66"/>
        <v>0</v>
      </c>
      <c r="HD47" s="313">
        <f t="shared" si="66"/>
        <v>0</v>
      </c>
      <c r="HE47" s="313">
        <f t="shared" si="66"/>
        <v>0</v>
      </c>
      <c r="HF47" s="314"/>
      <c r="HG47" s="312">
        <f>SUM(SUMIFS(K47:HB47,$K$13:$HB$13,{"エネルギー管理指定工場等*","県域*"}))</f>
        <v>0</v>
      </c>
      <c r="HH47" s="313">
        <f>SUM(SUMIFS(L47:HC47,$K$13:$HB$13,{"エネルギー管理指定工場等*","県域*"}))</f>
        <v>0</v>
      </c>
      <c r="HI47" s="313">
        <f>SUM(SUMIFS(M47:HD47,$K$13:$HB$13,{"エネルギー管理指定工場等*","県域*"}))</f>
        <v>0</v>
      </c>
      <c r="HJ47" s="314"/>
      <c r="HL47" s="219">
        <v>38</v>
      </c>
      <c r="HM47" s="714" t="str">
        <f t="shared" ca="1" si="67"/>
        <v/>
      </c>
      <c r="HN47" s="715" t="str">
        <f ca="1">IF(COUNTIF(HN$10:HN46,OFFSET(A1_原単位2027,5,HL47+2))&gt;=1,"",OFFSET(A1_原単位2027,5,HL47+2)&amp;"")</f>
        <v/>
      </c>
      <c r="HO47" s="716" t="str">
        <f t="shared" ca="1" si="50"/>
        <v/>
      </c>
      <c r="HP47" s="717" t="str">
        <f t="shared" ca="1" si="68"/>
        <v/>
      </c>
      <c r="HQ47" s="714" t="str">
        <f t="shared" ca="1" si="69"/>
        <v/>
      </c>
      <c r="HR47" s="715" t="str">
        <f ca="1">IF(COUNTIF(HR$10:HR46,OFFSET(A1_原単位2027,17,HL47+2))&gt;=1,"",OFFSET(A1_原単位2027,17,HL47+2)&amp;"")</f>
        <v/>
      </c>
      <c r="HS47" s="718" t="str">
        <f t="shared" ca="1" si="53"/>
        <v/>
      </c>
      <c r="HT47" s="719" t="str">
        <f t="shared" ca="1" si="70"/>
        <v/>
      </c>
      <c r="HU47" s="714" t="str">
        <f t="shared" ca="1" si="71"/>
        <v/>
      </c>
      <c r="HV47" s="715" t="str">
        <f ca="1">IF(COUNTIF(HV$10:HV46,OFFSET(A1_原単位2027,29,HL47+2))&gt;=1,"",OFFSET(A1_原単位2027,29,HL47+2)&amp;"")</f>
        <v/>
      </c>
      <c r="HW47" s="718" t="str">
        <f t="shared" ca="1" si="56"/>
        <v/>
      </c>
      <c r="HX47" s="719" t="str">
        <f t="shared" ca="1" si="72"/>
        <v/>
      </c>
      <c r="HY47" s="714" t="str">
        <f t="shared" ca="1" si="73"/>
        <v/>
      </c>
      <c r="HZ47" s="715" t="str">
        <f ca="1">IF(COUNTIF(HZ$10:HZ46,OFFSET(A1_原単位2027,41,HL47+2))&gt;=1,"",OFFSET(A1_原単位2027,41,HL47+2)&amp;"")</f>
        <v/>
      </c>
      <c r="IA47" s="720" t="str">
        <f t="shared" ca="1" si="59"/>
        <v/>
      </c>
      <c r="IB47" s="721" t="str">
        <f t="shared" ca="1" si="74"/>
        <v/>
      </c>
      <c r="IE47" s="159" t="str">
        <f t="shared" ca="1" si="75"/>
        <v/>
      </c>
      <c r="IF47" s="159" t="str">
        <f t="shared" ca="1" si="76"/>
        <v/>
      </c>
      <c r="IG47" s="159" t="str">
        <f t="shared" ca="1" si="77"/>
        <v/>
      </c>
      <c r="IH47" s="159" t="str">
        <f t="shared" ca="1" si="78"/>
        <v/>
      </c>
    </row>
    <row r="48" spans="2:242" s="164" customFormat="1" ht="20.100000000000001" customHeight="1">
      <c r="B48" s="302"/>
      <c r="C48" s="303" t="s">
        <v>590</v>
      </c>
      <c r="D48" s="304"/>
      <c r="E48" s="305"/>
      <c r="F48" s="303" t="s">
        <v>455</v>
      </c>
      <c r="G48" s="306">
        <v>17.100000000000001</v>
      </c>
      <c r="H48" s="309"/>
      <c r="I48" s="308"/>
      <c r="J48" s="309"/>
      <c r="K48" s="310"/>
      <c r="L48" s="311"/>
      <c r="M48" s="311"/>
      <c r="N48" s="309"/>
      <c r="O48" s="310"/>
      <c r="P48" s="311"/>
      <c r="Q48" s="311"/>
      <c r="R48" s="309"/>
      <c r="S48" s="310"/>
      <c r="T48" s="311"/>
      <c r="U48" s="311"/>
      <c r="V48" s="309"/>
      <c r="W48" s="310"/>
      <c r="X48" s="311"/>
      <c r="Y48" s="311"/>
      <c r="Z48" s="309"/>
      <c r="AA48" s="310"/>
      <c r="AB48" s="311"/>
      <c r="AC48" s="311"/>
      <c r="AD48" s="309"/>
      <c r="AE48" s="310"/>
      <c r="AF48" s="311"/>
      <c r="AG48" s="311"/>
      <c r="AH48" s="309"/>
      <c r="AI48" s="310"/>
      <c r="AJ48" s="311"/>
      <c r="AK48" s="311"/>
      <c r="AL48" s="309"/>
      <c r="AM48" s="310"/>
      <c r="AN48" s="311"/>
      <c r="AO48" s="311"/>
      <c r="AP48" s="309"/>
      <c r="AQ48" s="310"/>
      <c r="AR48" s="311"/>
      <c r="AS48" s="311"/>
      <c r="AT48" s="309"/>
      <c r="AU48" s="310"/>
      <c r="AV48" s="311"/>
      <c r="AW48" s="311"/>
      <c r="AX48" s="309"/>
      <c r="AY48" s="310"/>
      <c r="AZ48" s="311"/>
      <c r="BA48" s="311"/>
      <c r="BB48" s="309"/>
      <c r="BC48" s="310"/>
      <c r="BD48" s="311"/>
      <c r="BE48" s="311"/>
      <c r="BF48" s="309"/>
      <c r="BG48" s="310"/>
      <c r="BH48" s="311"/>
      <c r="BI48" s="311"/>
      <c r="BJ48" s="309"/>
      <c r="BK48" s="310"/>
      <c r="BL48" s="311"/>
      <c r="BM48" s="311"/>
      <c r="BN48" s="309"/>
      <c r="BO48" s="310"/>
      <c r="BP48" s="311"/>
      <c r="BQ48" s="311"/>
      <c r="BR48" s="309"/>
      <c r="BS48" s="310"/>
      <c r="BT48" s="311"/>
      <c r="BU48" s="311"/>
      <c r="BV48" s="309"/>
      <c r="BW48" s="310"/>
      <c r="BX48" s="311"/>
      <c r="BY48" s="311"/>
      <c r="BZ48" s="309"/>
      <c r="CA48" s="310"/>
      <c r="CB48" s="311"/>
      <c r="CC48" s="311"/>
      <c r="CD48" s="309"/>
      <c r="CE48" s="310"/>
      <c r="CF48" s="311"/>
      <c r="CG48" s="311"/>
      <c r="CH48" s="309"/>
      <c r="CI48" s="310"/>
      <c r="CJ48" s="311"/>
      <c r="CK48" s="311"/>
      <c r="CL48" s="309"/>
      <c r="CM48" s="310"/>
      <c r="CN48" s="311"/>
      <c r="CO48" s="311"/>
      <c r="CP48" s="309"/>
      <c r="CQ48" s="310"/>
      <c r="CR48" s="311"/>
      <c r="CS48" s="311"/>
      <c r="CT48" s="309"/>
      <c r="CU48" s="310"/>
      <c r="CV48" s="311"/>
      <c r="CW48" s="311"/>
      <c r="CX48" s="309"/>
      <c r="CY48" s="310"/>
      <c r="CZ48" s="311"/>
      <c r="DA48" s="311"/>
      <c r="DB48" s="309"/>
      <c r="DC48" s="310"/>
      <c r="DD48" s="311"/>
      <c r="DE48" s="311"/>
      <c r="DF48" s="309"/>
      <c r="DG48" s="310"/>
      <c r="DH48" s="311"/>
      <c r="DI48" s="311"/>
      <c r="DJ48" s="309"/>
      <c r="DK48" s="310"/>
      <c r="DL48" s="311"/>
      <c r="DM48" s="311"/>
      <c r="DN48" s="309"/>
      <c r="DO48" s="310"/>
      <c r="DP48" s="311"/>
      <c r="DQ48" s="311"/>
      <c r="DR48" s="309"/>
      <c r="DS48" s="310"/>
      <c r="DT48" s="311"/>
      <c r="DU48" s="311"/>
      <c r="DV48" s="309"/>
      <c r="DW48" s="310"/>
      <c r="DX48" s="311"/>
      <c r="DY48" s="311"/>
      <c r="DZ48" s="309"/>
      <c r="EA48" s="310"/>
      <c r="EB48" s="311"/>
      <c r="EC48" s="311"/>
      <c r="ED48" s="309"/>
      <c r="EE48" s="310"/>
      <c r="EF48" s="311"/>
      <c r="EG48" s="311"/>
      <c r="EH48" s="309"/>
      <c r="EI48" s="310"/>
      <c r="EJ48" s="311"/>
      <c r="EK48" s="311"/>
      <c r="EL48" s="309"/>
      <c r="EM48" s="310"/>
      <c r="EN48" s="311"/>
      <c r="EO48" s="311"/>
      <c r="EP48" s="309"/>
      <c r="EQ48" s="310"/>
      <c r="ER48" s="311"/>
      <c r="ES48" s="311"/>
      <c r="ET48" s="309"/>
      <c r="EU48" s="310"/>
      <c r="EV48" s="311"/>
      <c r="EW48" s="311"/>
      <c r="EX48" s="309"/>
      <c r="EY48" s="310"/>
      <c r="EZ48" s="311"/>
      <c r="FA48" s="311"/>
      <c r="FB48" s="309"/>
      <c r="FC48" s="310"/>
      <c r="FD48" s="311"/>
      <c r="FE48" s="311"/>
      <c r="FF48" s="309"/>
      <c r="FG48" s="310"/>
      <c r="FH48" s="311"/>
      <c r="FI48" s="311"/>
      <c r="FJ48" s="309"/>
      <c r="FK48" s="310"/>
      <c r="FL48" s="311"/>
      <c r="FM48" s="311"/>
      <c r="FN48" s="309"/>
      <c r="FO48" s="310"/>
      <c r="FP48" s="311"/>
      <c r="FQ48" s="311"/>
      <c r="FR48" s="309"/>
      <c r="FS48" s="310"/>
      <c r="FT48" s="311"/>
      <c r="FU48" s="311"/>
      <c r="FV48" s="309"/>
      <c r="FW48" s="310"/>
      <c r="FX48" s="311"/>
      <c r="FY48" s="311"/>
      <c r="FZ48" s="309"/>
      <c r="GA48" s="310"/>
      <c r="GB48" s="311"/>
      <c r="GC48" s="311"/>
      <c r="GD48" s="309"/>
      <c r="GE48" s="310"/>
      <c r="GF48" s="311"/>
      <c r="GG48" s="311"/>
      <c r="GH48" s="309"/>
      <c r="GI48" s="310"/>
      <c r="GJ48" s="311"/>
      <c r="GK48" s="311"/>
      <c r="GL48" s="309"/>
      <c r="GM48" s="310"/>
      <c r="GN48" s="311"/>
      <c r="GO48" s="311"/>
      <c r="GP48" s="309"/>
      <c r="GQ48" s="310"/>
      <c r="GR48" s="311"/>
      <c r="GS48" s="311"/>
      <c r="GT48" s="309"/>
      <c r="GU48" s="310"/>
      <c r="GV48" s="311"/>
      <c r="GW48" s="311"/>
      <c r="GX48" s="309"/>
      <c r="GY48" s="310"/>
      <c r="GZ48" s="311"/>
      <c r="HA48" s="311"/>
      <c r="HB48" s="309"/>
      <c r="HC48" s="312">
        <f t="shared" si="66"/>
        <v>0</v>
      </c>
      <c r="HD48" s="313">
        <f t="shared" si="66"/>
        <v>0</v>
      </c>
      <c r="HE48" s="313">
        <f t="shared" si="66"/>
        <v>0</v>
      </c>
      <c r="HF48" s="314"/>
      <c r="HG48" s="312">
        <f>SUM(SUMIFS(K48:HB48,$K$13:$HB$13,{"エネルギー管理指定工場等*","県域*"}))</f>
        <v>0</v>
      </c>
      <c r="HH48" s="313">
        <f>SUM(SUMIFS(L48:HC48,$K$13:$HB$13,{"エネルギー管理指定工場等*","県域*"}))</f>
        <v>0</v>
      </c>
      <c r="HI48" s="313">
        <f>SUM(SUMIFS(M48:HD48,$K$13:$HB$13,{"エネルギー管理指定工場等*","県域*"}))</f>
        <v>0</v>
      </c>
      <c r="HJ48" s="314"/>
      <c r="HL48" s="219">
        <v>39</v>
      </c>
      <c r="HM48" s="714" t="str">
        <f t="shared" ca="1" si="67"/>
        <v/>
      </c>
      <c r="HN48" s="715" t="str">
        <f ca="1">IF(COUNTIF(HN$10:HN47,OFFSET(A1_原単位2027,5,HL48+2))&gt;=1,"",OFFSET(A1_原単位2027,5,HL48+2)&amp;"")</f>
        <v/>
      </c>
      <c r="HO48" s="716" t="str">
        <f t="shared" ca="1" si="50"/>
        <v/>
      </c>
      <c r="HP48" s="717" t="str">
        <f t="shared" ca="1" si="68"/>
        <v/>
      </c>
      <c r="HQ48" s="714" t="str">
        <f t="shared" ca="1" si="69"/>
        <v/>
      </c>
      <c r="HR48" s="715" t="str">
        <f ca="1">IF(COUNTIF(HR$10:HR47,OFFSET(A1_原単位2027,17,HL48+2))&gt;=1,"",OFFSET(A1_原単位2027,17,HL48+2)&amp;"")</f>
        <v/>
      </c>
      <c r="HS48" s="718" t="str">
        <f t="shared" ca="1" si="53"/>
        <v/>
      </c>
      <c r="HT48" s="719" t="str">
        <f t="shared" ca="1" si="70"/>
        <v/>
      </c>
      <c r="HU48" s="714" t="str">
        <f t="shared" ca="1" si="71"/>
        <v/>
      </c>
      <c r="HV48" s="715" t="str">
        <f ca="1">IF(COUNTIF(HV$10:HV47,OFFSET(A1_原単位2027,29,HL48+2))&gt;=1,"",OFFSET(A1_原単位2027,29,HL48+2)&amp;"")</f>
        <v/>
      </c>
      <c r="HW48" s="718" t="str">
        <f t="shared" ca="1" si="56"/>
        <v/>
      </c>
      <c r="HX48" s="719" t="str">
        <f t="shared" ca="1" si="72"/>
        <v/>
      </c>
      <c r="HY48" s="714" t="str">
        <f t="shared" ca="1" si="73"/>
        <v/>
      </c>
      <c r="HZ48" s="715" t="str">
        <f ca="1">IF(COUNTIF(HZ$10:HZ47,OFFSET(A1_原単位2027,41,HL48+2))&gt;=1,"",OFFSET(A1_原単位2027,41,HL48+2)&amp;"")</f>
        <v/>
      </c>
      <c r="IA48" s="720" t="str">
        <f t="shared" ca="1" si="59"/>
        <v/>
      </c>
      <c r="IB48" s="721" t="str">
        <f t="shared" ca="1" si="74"/>
        <v/>
      </c>
      <c r="IE48" s="159" t="str">
        <f t="shared" ca="1" si="75"/>
        <v/>
      </c>
      <c r="IF48" s="159" t="str">
        <f t="shared" ca="1" si="76"/>
        <v/>
      </c>
      <c r="IG48" s="159" t="str">
        <f t="shared" ca="1" si="77"/>
        <v/>
      </c>
      <c r="IH48" s="159" t="str">
        <f t="shared" ca="1" si="78"/>
        <v/>
      </c>
    </row>
    <row r="49" spans="2:242" s="164" customFormat="1" ht="20.100000000000001" customHeight="1">
      <c r="B49" s="302"/>
      <c r="C49" s="303" t="s">
        <v>381</v>
      </c>
      <c r="D49" s="304"/>
      <c r="E49" s="305"/>
      <c r="F49" s="303" t="s">
        <v>453</v>
      </c>
      <c r="G49" s="306">
        <v>23.4</v>
      </c>
      <c r="H49" s="309"/>
      <c r="I49" s="310"/>
      <c r="J49" s="315"/>
      <c r="K49" s="310"/>
      <c r="L49" s="311"/>
      <c r="M49" s="311"/>
      <c r="N49" s="309"/>
      <c r="O49" s="310"/>
      <c r="P49" s="311"/>
      <c r="Q49" s="311"/>
      <c r="R49" s="309"/>
      <c r="S49" s="310"/>
      <c r="T49" s="311"/>
      <c r="U49" s="311"/>
      <c r="V49" s="309"/>
      <c r="W49" s="310"/>
      <c r="X49" s="311"/>
      <c r="Y49" s="311"/>
      <c r="Z49" s="309"/>
      <c r="AA49" s="310"/>
      <c r="AB49" s="311"/>
      <c r="AC49" s="311"/>
      <c r="AD49" s="309"/>
      <c r="AE49" s="310"/>
      <c r="AF49" s="311"/>
      <c r="AG49" s="311"/>
      <c r="AH49" s="309"/>
      <c r="AI49" s="310"/>
      <c r="AJ49" s="311"/>
      <c r="AK49" s="311"/>
      <c r="AL49" s="309"/>
      <c r="AM49" s="310"/>
      <c r="AN49" s="311"/>
      <c r="AO49" s="311"/>
      <c r="AP49" s="309"/>
      <c r="AQ49" s="310"/>
      <c r="AR49" s="311"/>
      <c r="AS49" s="311"/>
      <c r="AT49" s="309"/>
      <c r="AU49" s="310"/>
      <c r="AV49" s="311"/>
      <c r="AW49" s="311"/>
      <c r="AX49" s="309"/>
      <c r="AY49" s="310"/>
      <c r="AZ49" s="311"/>
      <c r="BA49" s="311"/>
      <c r="BB49" s="309"/>
      <c r="BC49" s="310"/>
      <c r="BD49" s="311"/>
      <c r="BE49" s="311"/>
      <c r="BF49" s="309"/>
      <c r="BG49" s="310"/>
      <c r="BH49" s="311"/>
      <c r="BI49" s="311"/>
      <c r="BJ49" s="309"/>
      <c r="BK49" s="310"/>
      <c r="BL49" s="311"/>
      <c r="BM49" s="311"/>
      <c r="BN49" s="309"/>
      <c r="BO49" s="310"/>
      <c r="BP49" s="311"/>
      <c r="BQ49" s="311"/>
      <c r="BR49" s="309"/>
      <c r="BS49" s="310"/>
      <c r="BT49" s="311"/>
      <c r="BU49" s="311"/>
      <c r="BV49" s="309"/>
      <c r="BW49" s="310"/>
      <c r="BX49" s="311"/>
      <c r="BY49" s="311"/>
      <c r="BZ49" s="309"/>
      <c r="CA49" s="310"/>
      <c r="CB49" s="311"/>
      <c r="CC49" s="311"/>
      <c r="CD49" s="309"/>
      <c r="CE49" s="310"/>
      <c r="CF49" s="311"/>
      <c r="CG49" s="311"/>
      <c r="CH49" s="309"/>
      <c r="CI49" s="310"/>
      <c r="CJ49" s="311"/>
      <c r="CK49" s="311"/>
      <c r="CL49" s="309"/>
      <c r="CM49" s="310"/>
      <c r="CN49" s="311"/>
      <c r="CO49" s="311"/>
      <c r="CP49" s="309"/>
      <c r="CQ49" s="310"/>
      <c r="CR49" s="311"/>
      <c r="CS49" s="311"/>
      <c r="CT49" s="309"/>
      <c r="CU49" s="310"/>
      <c r="CV49" s="311"/>
      <c r="CW49" s="311"/>
      <c r="CX49" s="309"/>
      <c r="CY49" s="310"/>
      <c r="CZ49" s="311"/>
      <c r="DA49" s="311"/>
      <c r="DB49" s="309"/>
      <c r="DC49" s="310"/>
      <c r="DD49" s="311"/>
      <c r="DE49" s="311"/>
      <c r="DF49" s="309"/>
      <c r="DG49" s="310"/>
      <c r="DH49" s="311"/>
      <c r="DI49" s="311"/>
      <c r="DJ49" s="309"/>
      <c r="DK49" s="310"/>
      <c r="DL49" s="311"/>
      <c r="DM49" s="311"/>
      <c r="DN49" s="309"/>
      <c r="DO49" s="310"/>
      <c r="DP49" s="311"/>
      <c r="DQ49" s="311"/>
      <c r="DR49" s="309"/>
      <c r="DS49" s="310"/>
      <c r="DT49" s="311"/>
      <c r="DU49" s="311"/>
      <c r="DV49" s="309"/>
      <c r="DW49" s="310"/>
      <c r="DX49" s="311"/>
      <c r="DY49" s="311"/>
      <c r="DZ49" s="309"/>
      <c r="EA49" s="310"/>
      <c r="EB49" s="311"/>
      <c r="EC49" s="311"/>
      <c r="ED49" s="309"/>
      <c r="EE49" s="310"/>
      <c r="EF49" s="311"/>
      <c r="EG49" s="311"/>
      <c r="EH49" s="309"/>
      <c r="EI49" s="310"/>
      <c r="EJ49" s="311"/>
      <c r="EK49" s="311"/>
      <c r="EL49" s="309"/>
      <c r="EM49" s="310"/>
      <c r="EN49" s="311"/>
      <c r="EO49" s="311"/>
      <c r="EP49" s="309"/>
      <c r="EQ49" s="310"/>
      <c r="ER49" s="311"/>
      <c r="ES49" s="311"/>
      <c r="ET49" s="309"/>
      <c r="EU49" s="310"/>
      <c r="EV49" s="311"/>
      <c r="EW49" s="311"/>
      <c r="EX49" s="309"/>
      <c r="EY49" s="310"/>
      <c r="EZ49" s="311"/>
      <c r="FA49" s="311"/>
      <c r="FB49" s="309"/>
      <c r="FC49" s="310"/>
      <c r="FD49" s="311"/>
      <c r="FE49" s="311"/>
      <c r="FF49" s="309"/>
      <c r="FG49" s="310"/>
      <c r="FH49" s="311"/>
      <c r="FI49" s="311"/>
      <c r="FJ49" s="309"/>
      <c r="FK49" s="310"/>
      <c r="FL49" s="311"/>
      <c r="FM49" s="311"/>
      <c r="FN49" s="309"/>
      <c r="FO49" s="310"/>
      <c r="FP49" s="311"/>
      <c r="FQ49" s="311"/>
      <c r="FR49" s="309"/>
      <c r="FS49" s="310"/>
      <c r="FT49" s="311"/>
      <c r="FU49" s="311"/>
      <c r="FV49" s="309"/>
      <c r="FW49" s="310"/>
      <c r="FX49" s="311"/>
      <c r="FY49" s="311"/>
      <c r="FZ49" s="309"/>
      <c r="GA49" s="310"/>
      <c r="GB49" s="311"/>
      <c r="GC49" s="311"/>
      <c r="GD49" s="309"/>
      <c r="GE49" s="310"/>
      <c r="GF49" s="311"/>
      <c r="GG49" s="311"/>
      <c r="GH49" s="309"/>
      <c r="GI49" s="310"/>
      <c r="GJ49" s="311"/>
      <c r="GK49" s="311"/>
      <c r="GL49" s="309"/>
      <c r="GM49" s="310"/>
      <c r="GN49" s="311"/>
      <c r="GO49" s="311"/>
      <c r="GP49" s="309"/>
      <c r="GQ49" s="310"/>
      <c r="GR49" s="311"/>
      <c r="GS49" s="311"/>
      <c r="GT49" s="309"/>
      <c r="GU49" s="310"/>
      <c r="GV49" s="311"/>
      <c r="GW49" s="311"/>
      <c r="GX49" s="309"/>
      <c r="GY49" s="310"/>
      <c r="GZ49" s="311"/>
      <c r="HA49" s="311"/>
      <c r="HB49" s="309"/>
      <c r="HC49" s="312">
        <f t="shared" ref="HC49:HF80" si="79">K49+O49+S49+W49+AA49+AE49+AI49+AM49+AQ49+AU49+AY49+BC49+BG49+BK49+BO49+BS49+BW49+CA49+CE49+CI49+CM49+CQ49+CU49+CY49+DC49+DG49+DK49+DO49+DS49+DW49+EA49+EE49+EI49+EM49+EQ49+EU49+EY49+FC49+FG49+FK49+FO49+FS49+FW49+GA49+GE49+GI49+GM49+GQ49+GU49+GY49</f>
        <v>0</v>
      </c>
      <c r="HD49" s="313">
        <f t="shared" si="79"/>
        <v>0</v>
      </c>
      <c r="HE49" s="313">
        <f t="shared" si="79"/>
        <v>0</v>
      </c>
      <c r="HF49" s="314"/>
      <c r="HG49" s="312">
        <f>SUM(SUMIFS(K49:HB49,$K$13:$HB$13,{"エネルギー管理指定工場等*","県域*"}))</f>
        <v>0</v>
      </c>
      <c r="HH49" s="313">
        <f>SUM(SUMIFS(L49:HC49,$K$13:$HB$13,{"エネルギー管理指定工場等*","県域*"}))</f>
        <v>0</v>
      </c>
      <c r="HI49" s="313">
        <f>SUM(SUMIFS(M49:HD49,$K$13:$HB$13,{"エネルギー管理指定工場等*","県域*"}))</f>
        <v>0</v>
      </c>
      <c r="HJ49" s="314"/>
      <c r="HL49" s="230">
        <v>40</v>
      </c>
      <c r="HM49" s="714" t="str">
        <f t="shared" ca="1" si="67"/>
        <v/>
      </c>
      <c r="HN49" s="715" t="str">
        <f ca="1">IF(COUNTIF(HN$10:HN48,OFFSET(A1_原単位2027,5,HL49+2))&gt;=1,"",OFFSET(A1_原単位2027,5,HL49+2)&amp;"")</f>
        <v/>
      </c>
      <c r="HO49" s="716" t="str">
        <f t="shared" ca="1" si="50"/>
        <v/>
      </c>
      <c r="HP49" s="717" t="str">
        <f t="shared" ca="1" si="68"/>
        <v/>
      </c>
      <c r="HQ49" s="714" t="str">
        <f t="shared" ca="1" si="69"/>
        <v/>
      </c>
      <c r="HR49" s="715" t="str">
        <f ca="1">IF(COUNTIF(HR$10:HR48,OFFSET(A1_原単位2027,17,HL49+2))&gt;=1,"",OFFSET(A1_原単位2027,17,HL49+2)&amp;"")</f>
        <v/>
      </c>
      <c r="HS49" s="718" t="str">
        <f t="shared" ca="1" si="53"/>
        <v/>
      </c>
      <c r="HT49" s="719" t="str">
        <f t="shared" ca="1" si="70"/>
        <v/>
      </c>
      <c r="HU49" s="714" t="str">
        <f t="shared" ca="1" si="71"/>
        <v/>
      </c>
      <c r="HV49" s="715" t="str">
        <f ca="1">IF(COUNTIF(HV$10:HV48,OFFSET(A1_原単位2027,29,HL49+2))&gt;=1,"",OFFSET(A1_原単位2027,29,HL49+2)&amp;"")</f>
        <v/>
      </c>
      <c r="HW49" s="718" t="str">
        <f t="shared" ca="1" si="56"/>
        <v/>
      </c>
      <c r="HX49" s="719" t="str">
        <f t="shared" ca="1" si="72"/>
        <v/>
      </c>
      <c r="HY49" s="714" t="str">
        <f t="shared" ca="1" si="73"/>
        <v/>
      </c>
      <c r="HZ49" s="715" t="str">
        <f ca="1">IF(COUNTIF(HZ$10:HZ48,OFFSET(A1_原単位2027,41,HL49+2))&gt;=1,"",OFFSET(A1_原単位2027,41,HL49+2)&amp;"")</f>
        <v/>
      </c>
      <c r="IA49" s="720" t="str">
        <f t="shared" ca="1" si="59"/>
        <v/>
      </c>
      <c r="IB49" s="721" t="str">
        <f t="shared" ca="1" si="74"/>
        <v/>
      </c>
      <c r="IE49" s="159" t="str">
        <f t="shared" ca="1" si="75"/>
        <v/>
      </c>
      <c r="IF49" s="159" t="str">
        <f t="shared" ca="1" si="76"/>
        <v/>
      </c>
      <c r="IG49" s="159" t="str">
        <f t="shared" ca="1" si="77"/>
        <v/>
      </c>
      <c r="IH49" s="159" t="str">
        <f t="shared" ca="1" si="78"/>
        <v/>
      </c>
    </row>
    <row r="50" spans="2:242" s="164" customFormat="1" ht="20.100000000000001" customHeight="1">
      <c r="B50" s="302"/>
      <c r="C50" s="303" t="s">
        <v>382</v>
      </c>
      <c r="D50" s="304"/>
      <c r="E50" s="305"/>
      <c r="F50" s="303" t="s">
        <v>453</v>
      </c>
      <c r="G50" s="306">
        <v>35.6</v>
      </c>
      <c r="H50" s="309"/>
      <c r="I50" s="310"/>
      <c r="J50" s="315"/>
      <c r="K50" s="310"/>
      <c r="L50" s="311"/>
      <c r="M50" s="311"/>
      <c r="N50" s="309"/>
      <c r="O50" s="310"/>
      <c r="P50" s="311"/>
      <c r="Q50" s="311"/>
      <c r="R50" s="309"/>
      <c r="S50" s="310"/>
      <c r="T50" s="311"/>
      <c r="U50" s="311"/>
      <c r="V50" s="309"/>
      <c r="W50" s="310"/>
      <c r="X50" s="311"/>
      <c r="Y50" s="311"/>
      <c r="Z50" s="309"/>
      <c r="AA50" s="310"/>
      <c r="AB50" s="311"/>
      <c r="AC50" s="311"/>
      <c r="AD50" s="309"/>
      <c r="AE50" s="310"/>
      <c r="AF50" s="311"/>
      <c r="AG50" s="311"/>
      <c r="AH50" s="309"/>
      <c r="AI50" s="310"/>
      <c r="AJ50" s="311"/>
      <c r="AK50" s="311"/>
      <c r="AL50" s="309"/>
      <c r="AM50" s="310"/>
      <c r="AN50" s="311"/>
      <c r="AO50" s="311"/>
      <c r="AP50" s="309"/>
      <c r="AQ50" s="310"/>
      <c r="AR50" s="311"/>
      <c r="AS50" s="311"/>
      <c r="AT50" s="309"/>
      <c r="AU50" s="310"/>
      <c r="AV50" s="311"/>
      <c r="AW50" s="311"/>
      <c r="AX50" s="309"/>
      <c r="AY50" s="310"/>
      <c r="AZ50" s="311"/>
      <c r="BA50" s="311"/>
      <c r="BB50" s="309"/>
      <c r="BC50" s="310"/>
      <c r="BD50" s="311"/>
      <c r="BE50" s="311"/>
      <c r="BF50" s="309"/>
      <c r="BG50" s="310"/>
      <c r="BH50" s="311"/>
      <c r="BI50" s="311"/>
      <c r="BJ50" s="309"/>
      <c r="BK50" s="310"/>
      <c r="BL50" s="311"/>
      <c r="BM50" s="311"/>
      <c r="BN50" s="309"/>
      <c r="BO50" s="310"/>
      <c r="BP50" s="311"/>
      <c r="BQ50" s="311"/>
      <c r="BR50" s="309"/>
      <c r="BS50" s="310"/>
      <c r="BT50" s="311"/>
      <c r="BU50" s="311"/>
      <c r="BV50" s="309"/>
      <c r="BW50" s="310"/>
      <c r="BX50" s="311"/>
      <c r="BY50" s="311"/>
      <c r="BZ50" s="309"/>
      <c r="CA50" s="310"/>
      <c r="CB50" s="311"/>
      <c r="CC50" s="311"/>
      <c r="CD50" s="309"/>
      <c r="CE50" s="310"/>
      <c r="CF50" s="311"/>
      <c r="CG50" s="311"/>
      <c r="CH50" s="309"/>
      <c r="CI50" s="310"/>
      <c r="CJ50" s="311"/>
      <c r="CK50" s="311"/>
      <c r="CL50" s="309"/>
      <c r="CM50" s="310"/>
      <c r="CN50" s="311"/>
      <c r="CO50" s="311"/>
      <c r="CP50" s="309"/>
      <c r="CQ50" s="310"/>
      <c r="CR50" s="311"/>
      <c r="CS50" s="311"/>
      <c r="CT50" s="309"/>
      <c r="CU50" s="310"/>
      <c r="CV50" s="311"/>
      <c r="CW50" s="311"/>
      <c r="CX50" s="309"/>
      <c r="CY50" s="310"/>
      <c r="CZ50" s="311"/>
      <c r="DA50" s="311"/>
      <c r="DB50" s="309"/>
      <c r="DC50" s="310"/>
      <c r="DD50" s="311"/>
      <c r="DE50" s="311"/>
      <c r="DF50" s="309"/>
      <c r="DG50" s="310"/>
      <c r="DH50" s="311"/>
      <c r="DI50" s="311"/>
      <c r="DJ50" s="309"/>
      <c r="DK50" s="310"/>
      <c r="DL50" s="311"/>
      <c r="DM50" s="311"/>
      <c r="DN50" s="309"/>
      <c r="DO50" s="310"/>
      <c r="DP50" s="311"/>
      <c r="DQ50" s="311"/>
      <c r="DR50" s="309"/>
      <c r="DS50" s="310"/>
      <c r="DT50" s="311"/>
      <c r="DU50" s="311"/>
      <c r="DV50" s="309"/>
      <c r="DW50" s="310"/>
      <c r="DX50" s="311"/>
      <c r="DY50" s="311"/>
      <c r="DZ50" s="309"/>
      <c r="EA50" s="310"/>
      <c r="EB50" s="311"/>
      <c r="EC50" s="311"/>
      <c r="ED50" s="309"/>
      <c r="EE50" s="310"/>
      <c r="EF50" s="311"/>
      <c r="EG50" s="311"/>
      <c r="EH50" s="309"/>
      <c r="EI50" s="310"/>
      <c r="EJ50" s="311"/>
      <c r="EK50" s="311"/>
      <c r="EL50" s="309"/>
      <c r="EM50" s="310"/>
      <c r="EN50" s="311"/>
      <c r="EO50" s="311"/>
      <c r="EP50" s="309"/>
      <c r="EQ50" s="310"/>
      <c r="ER50" s="311"/>
      <c r="ES50" s="311"/>
      <c r="ET50" s="309"/>
      <c r="EU50" s="310"/>
      <c r="EV50" s="311"/>
      <c r="EW50" s="311"/>
      <c r="EX50" s="309"/>
      <c r="EY50" s="310"/>
      <c r="EZ50" s="311"/>
      <c r="FA50" s="311"/>
      <c r="FB50" s="309"/>
      <c r="FC50" s="310"/>
      <c r="FD50" s="311"/>
      <c r="FE50" s="311"/>
      <c r="FF50" s="309"/>
      <c r="FG50" s="310"/>
      <c r="FH50" s="311"/>
      <c r="FI50" s="311"/>
      <c r="FJ50" s="309"/>
      <c r="FK50" s="310"/>
      <c r="FL50" s="311"/>
      <c r="FM50" s="311"/>
      <c r="FN50" s="309"/>
      <c r="FO50" s="310"/>
      <c r="FP50" s="311"/>
      <c r="FQ50" s="311"/>
      <c r="FR50" s="309"/>
      <c r="FS50" s="310"/>
      <c r="FT50" s="311"/>
      <c r="FU50" s="311"/>
      <c r="FV50" s="309"/>
      <c r="FW50" s="310"/>
      <c r="FX50" s="311"/>
      <c r="FY50" s="311"/>
      <c r="FZ50" s="309"/>
      <c r="GA50" s="310"/>
      <c r="GB50" s="311"/>
      <c r="GC50" s="311"/>
      <c r="GD50" s="309"/>
      <c r="GE50" s="310"/>
      <c r="GF50" s="311"/>
      <c r="GG50" s="311"/>
      <c r="GH50" s="309"/>
      <c r="GI50" s="310"/>
      <c r="GJ50" s="311"/>
      <c r="GK50" s="311"/>
      <c r="GL50" s="309"/>
      <c r="GM50" s="310"/>
      <c r="GN50" s="311"/>
      <c r="GO50" s="311"/>
      <c r="GP50" s="309"/>
      <c r="GQ50" s="310"/>
      <c r="GR50" s="311"/>
      <c r="GS50" s="311"/>
      <c r="GT50" s="309"/>
      <c r="GU50" s="310"/>
      <c r="GV50" s="311"/>
      <c r="GW50" s="311"/>
      <c r="GX50" s="309"/>
      <c r="GY50" s="310"/>
      <c r="GZ50" s="311"/>
      <c r="HA50" s="311"/>
      <c r="HB50" s="309"/>
      <c r="HC50" s="312">
        <f t="shared" si="79"/>
        <v>0</v>
      </c>
      <c r="HD50" s="313">
        <f t="shared" si="79"/>
        <v>0</v>
      </c>
      <c r="HE50" s="313">
        <f t="shared" si="79"/>
        <v>0</v>
      </c>
      <c r="HF50" s="314"/>
      <c r="HG50" s="312">
        <f>SUM(SUMIFS(K50:HB50,$K$13:$HB$13,{"エネルギー管理指定工場等*","県域*"}))</f>
        <v>0</v>
      </c>
      <c r="HH50" s="313">
        <f>SUM(SUMIFS(L50:HC50,$K$13:$HB$13,{"エネルギー管理指定工場等*","県域*"}))</f>
        <v>0</v>
      </c>
      <c r="HI50" s="313">
        <f>SUM(SUMIFS(M50:HD50,$K$13:$HB$13,{"エネルギー管理指定工場等*","県域*"}))</f>
        <v>0</v>
      </c>
      <c r="HJ50" s="314"/>
      <c r="HL50" s="219">
        <v>41</v>
      </c>
      <c r="HM50" s="714" t="str">
        <f t="shared" ca="1" si="67"/>
        <v/>
      </c>
      <c r="HN50" s="715" t="str">
        <f ca="1">IF(COUNTIF(HN$10:HN49,OFFSET(A1_原単位2027,5,HL50+2))&gt;=1,"",OFFSET(A1_原単位2027,5,HL50+2)&amp;"")</f>
        <v/>
      </c>
      <c r="HO50" s="716" t="str">
        <f t="shared" ca="1" si="50"/>
        <v/>
      </c>
      <c r="HP50" s="717" t="str">
        <f t="shared" ca="1" si="68"/>
        <v/>
      </c>
      <c r="HQ50" s="714" t="str">
        <f t="shared" ca="1" si="69"/>
        <v/>
      </c>
      <c r="HR50" s="715" t="str">
        <f ca="1">IF(COUNTIF(HR$10:HR49,OFFSET(A1_原単位2027,17,HL50+2))&gt;=1,"",OFFSET(A1_原単位2027,17,HL50+2)&amp;"")</f>
        <v/>
      </c>
      <c r="HS50" s="718" t="str">
        <f t="shared" ca="1" si="53"/>
        <v/>
      </c>
      <c r="HT50" s="719" t="str">
        <f t="shared" ca="1" si="70"/>
        <v/>
      </c>
      <c r="HU50" s="714" t="str">
        <f t="shared" ca="1" si="71"/>
        <v/>
      </c>
      <c r="HV50" s="715" t="str">
        <f ca="1">IF(COUNTIF(HV$10:HV49,OFFSET(A1_原単位2027,29,HL50+2))&gt;=1,"",OFFSET(A1_原単位2027,29,HL50+2)&amp;"")</f>
        <v/>
      </c>
      <c r="HW50" s="718" t="str">
        <f t="shared" ca="1" si="56"/>
        <v/>
      </c>
      <c r="HX50" s="719" t="str">
        <f t="shared" ca="1" si="72"/>
        <v/>
      </c>
      <c r="HY50" s="714" t="str">
        <f t="shared" ca="1" si="73"/>
        <v/>
      </c>
      <c r="HZ50" s="715" t="str">
        <f ca="1">IF(COUNTIF(HZ$10:HZ49,OFFSET(A1_原単位2027,41,HL50+2))&gt;=1,"",OFFSET(A1_原単位2027,41,HL50+2)&amp;"")</f>
        <v/>
      </c>
      <c r="IA50" s="720" t="str">
        <f t="shared" ca="1" si="59"/>
        <v/>
      </c>
      <c r="IB50" s="721" t="str">
        <f t="shared" ca="1" si="74"/>
        <v/>
      </c>
      <c r="IE50" s="159" t="str">
        <f t="shared" ca="1" si="75"/>
        <v/>
      </c>
      <c r="IF50" s="159" t="str">
        <f t="shared" ca="1" si="76"/>
        <v/>
      </c>
      <c r="IG50" s="159" t="str">
        <f t="shared" ca="1" si="77"/>
        <v/>
      </c>
      <c r="IH50" s="159" t="str">
        <f t="shared" ca="1" si="78"/>
        <v/>
      </c>
    </row>
    <row r="51" spans="2:242" s="164" customFormat="1" ht="20.100000000000001" customHeight="1">
      <c r="B51" s="302"/>
      <c r="C51" s="303" t="s">
        <v>383</v>
      </c>
      <c r="D51" s="304"/>
      <c r="E51" s="305"/>
      <c r="F51" s="303" t="s">
        <v>457</v>
      </c>
      <c r="G51" s="306">
        <v>21.2</v>
      </c>
      <c r="H51" s="309"/>
      <c r="I51" s="308"/>
      <c r="J51" s="309"/>
      <c r="K51" s="310"/>
      <c r="L51" s="311"/>
      <c r="M51" s="311"/>
      <c r="N51" s="309"/>
      <c r="O51" s="310"/>
      <c r="P51" s="311"/>
      <c r="Q51" s="311"/>
      <c r="R51" s="309"/>
      <c r="S51" s="310"/>
      <c r="T51" s="311"/>
      <c r="U51" s="311"/>
      <c r="V51" s="309"/>
      <c r="W51" s="310"/>
      <c r="X51" s="311"/>
      <c r="Y51" s="311"/>
      <c r="Z51" s="309"/>
      <c r="AA51" s="310"/>
      <c r="AB51" s="311"/>
      <c r="AC51" s="311"/>
      <c r="AD51" s="309"/>
      <c r="AE51" s="310"/>
      <c r="AF51" s="311"/>
      <c r="AG51" s="311"/>
      <c r="AH51" s="309"/>
      <c r="AI51" s="310"/>
      <c r="AJ51" s="311"/>
      <c r="AK51" s="311"/>
      <c r="AL51" s="309"/>
      <c r="AM51" s="310"/>
      <c r="AN51" s="311"/>
      <c r="AO51" s="311"/>
      <c r="AP51" s="309"/>
      <c r="AQ51" s="310"/>
      <c r="AR51" s="311"/>
      <c r="AS51" s="311"/>
      <c r="AT51" s="309"/>
      <c r="AU51" s="310"/>
      <c r="AV51" s="311"/>
      <c r="AW51" s="311"/>
      <c r="AX51" s="309"/>
      <c r="AY51" s="310"/>
      <c r="AZ51" s="311"/>
      <c r="BA51" s="311"/>
      <c r="BB51" s="309"/>
      <c r="BC51" s="310"/>
      <c r="BD51" s="311"/>
      <c r="BE51" s="311"/>
      <c r="BF51" s="309"/>
      <c r="BG51" s="310"/>
      <c r="BH51" s="311"/>
      <c r="BI51" s="311"/>
      <c r="BJ51" s="309"/>
      <c r="BK51" s="310"/>
      <c r="BL51" s="311"/>
      <c r="BM51" s="311"/>
      <c r="BN51" s="309"/>
      <c r="BO51" s="310"/>
      <c r="BP51" s="311"/>
      <c r="BQ51" s="311"/>
      <c r="BR51" s="309"/>
      <c r="BS51" s="310"/>
      <c r="BT51" s="311"/>
      <c r="BU51" s="311"/>
      <c r="BV51" s="309"/>
      <c r="BW51" s="310"/>
      <c r="BX51" s="311"/>
      <c r="BY51" s="311"/>
      <c r="BZ51" s="309"/>
      <c r="CA51" s="310"/>
      <c r="CB51" s="311"/>
      <c r="CC51" s="311"/>
      <c r="CD51" s="309"/>
      <c r="CE51" s="310"/>
      <c r="CF51" s="311"/>
      <c r="CG51" s="311"/>
      <c r="CH51" s="309"/>
      <c r="CI51" s="310"/>
      <c r="CJ51" s="311"/>
      <c r="CK51" s="311"/>
      <c r="CL51" s="309"/>
      <c r="CM51" s="310"/>
      <c r="CN51" s="311"/>
      <c r="CO51" s="311"/>
      <c r="CP51" s="309"/>
      <c r="CQ51" s="310"/>
      <c r="CR51" s="311"/>
      <c r="CS51" s="311"/>
      <c r="CT51" s="309"/>
      <c r="CU51" s="310"/>
      <c r="CV51" s="311"/>
      <c r="CW51" s="311"/>
      <c r="CX51" s="309"/>
      <c r="CY51" s="310"/>
      <c r="CZ51" s="311"/>
      <c r="DA51" s="311"/>
      <c r="DB51" s="309"/>
      <c r="DC51" s="310"/>
      <c r="DD51" s="311"/>
      <c r="DE51" s="311"/>
      <c r="DF51" s="309"/>
      <c r="DG51" s="310"/>
      <c r="DH51" s="311"/>
      <c r="DI51" s="311"/>
      <c r="DJ51" s="309"/>
      <c r="DK51" s="310"/>
      <c r="DL51" s="311"/>
      <c r="DM51" s="311"/>
      <c r="DN51" s="309"/>
      <c r="DO51" s="310"/>
      <c r="DP51" s="311"/>
      <c r="DQ51" s="311"/>
      <c r="DR51" s="309"/>
      <c r="DS51" s="310"/>
      <c r="DT51" s="311"/>
      <c r="DU51" s="311"/>
      <c r="DV51" s="309"/>
      <c r="DW51" s="310"/>
      <c r="DX51" s="311"/>
      <c r="DY51" s="311"/>
      <c r="DZ51" s="309"/>
      <c r="EA51" s="310"/>
      <c r="EB51" s="311"/>
      <c r="EC51" s="311"/>
      <c r="ED51" s="309"/>
      <c r="EE51" s="310"/>
      <c r="EF51" s="311"/>
      <c r="EG51" s="311"/>
      <c r="EH51" s="309"/>
      <c r="EI51" s="310"/>
      <c r="EJ51" s="311"/>
      <c r="EK51" s="311"/>
      <c r="EL51" s="309"/>
      <c r="EM51" s="310"/>
      <c r="EN51" s="311"/>
      <c r="EO51" s="311"/>
      <c r="EP51" s="309"/>
      <c r="EQ51" s="310"/>
      <c r="ER51" s="311"/>
      <c r="ES51" s="311"/>
      <c r="ET51" s="309"/>
      <c r="EU51" s="310"/>
      <c r="EV51" s="311"/>
      <c r="EW51" s="311"/>
      <c r="EX51" s="309"/>
      <c r="EY51" s="310"/>
      <c r="EZ51" s="311"/>
      <c r="FA51" s="311"/>
      <c r="FB51" s="309"/>
      <c r="FC51" s="310"/>
      <c r="FD51" s="311"/>
      <c r="FE51" s="311"/>
      <c r="FF51" s="309"/>
      <c r="FG51" s="310"/>
      <c r="FH51" s="311"/>
      <c r="FI51" s="311"/>
      <c r="FJ51" s="309"/>
      <c r="FK51" s="310"/>
      <c r="FL51" s="311"/>
      <c r="FM51" s="311"/>
      <c r="FN51" s="309"/>
      <c r="FO51" s="310"/>
      <c r="FP51" s="311"/>
      <c r="FQ51" s="311"/>
      <c r="FR51" s="309"/>
      <c r="FS51" s="310"/>
      <c r="FT51" s="311"/>
      <c r="FU51" s="311"/>
      <c r="FV51" s="309"/>
      <c r="FW51" s="310"/>
      <c r="FX51" s="311"/>
      <c r="FY51" s="311"/>
      <c r="FZ51" s="309"/>
      <c r="GA51" s="310"/>
      <c r="GB51" s="311"/>
      <c r="GC51" s="311"/>
      <c r="GD51" s="309"/>
      <c r="GE51" s="310"/>
      <c r="GF51" s="311"/>
      <c r="GG51" s="311"/>
      <c r="GH51" s="309"/>
      <c r="GI51" s="310"/>
      <c r="GJ51" s="311"/>
      <c r="GK51" s="311"/>
      <c r="GL51" s="309"/>
      <c r="GM51" s="310"/>
      <c r="GN51" s="311"/>
      <c r="GO51" s="311"/>
      <c r="GP51" s="309"/>
      <c r="GQ51" s="310"/>
      <c r="GR51" s="311"/>
      <c r="GS51" s="311"/>
      <c r="GT51" s="309"/>
      <c r="GU51" s="310"/>
      <c r="GV51" s="311"/>
      <c r="GW51" s="311"/>
      <c r="GX51" s="309"/>
      <c r="GY51" s="310"/>
      <c r="GZ51" s="311"/>
      <c r="HA51" s="311"/>
      <c r="HB51" s="309"/>
      <c r="HC51" s="312">
        <f t="shared" si="79"/>
        <v>0</v>
      </c>
      <c r="HD51" s="313">
        <f t="shared" si="79"/>
        <v>0</v>
      </c>
      <c r="HE51" s="313">
        <f t="shared" si="79"/>
        <v>0</v>
      </c>
      <c r="HF51" s="314"/>
      <c r="HG51" s="312">
        <f>SUM(SUMIFS(K51:HB51,$K$13:$HB$13,{"エネルギー管理指定工場等*","県域*"}))</f>
        <v>0</v>
      </c>
      <c r="HH51" s="313">
        <f>SUM(SUMIFS(L51:HC51,$K$13:$HB$13,{"エネルギー管理指定工場等*","県域*"}))</f>
        <v>0</v>
      </c>
      <c r="HI51" s="313">
        <f>SUM(SUMIFS(M51:HD51,$K$13:$HB$13,{"エネルギー管理指定工場等*","県域*"}))</f>
        <v>0</v>
      </c>
      <c r="HJ51" s="314"/>
      <c r="HL51" s="219">
        <v>42</v>
      </c>
      <c r="HM51" s="714" t="str">
        <f t="shared" ca="1" si="67"/>
        <v/>
      </c>
      <c r="HN51" s="715" t="str">
        <f ca="1">IF(COUNTIF(HN$10:HN50,OFFSET(A1_原単位2027,5,HL51+2))&gt;=1,"",OFFSET(A1_原単位2027,5,HL51+2)&amp;"")</f>
        <v/>
      </c>
      <c r="HO51" s="716" t="str">
        <f t="shared" ca="1" si="50"/>
        <v/>
      </c>
      <c r="HP51" s="717" t="str">
        <f t="shared" ca="1" si="68"/>
        <v/>
      </c>
      <c r="HQ51" s="714" t="str">
        <f t="shared" ca="1" si="69"/>
        <v/>
      </c>
      <c r="HR51" s="715" t="str">
        <f ca="1">IF(COUNTIF(HR$10:HR50,OFFSET(A1_原単位2027,17,HL51+2))&gt;=1,"",OFFSET(A1_原単位2027,17,HL51+2)&amp;"")</f>
        <v/>
      </c>
      <c r="HS51" s="718" t="str">
        <f t="shared" ca="1" si="53"/>
        <v/>
      </c>
      <c r="HT51" s="719" t="str">
        <f t="shared" ca="1" si="70"/>
        <v/>
      </c>
      <c r="HU51" s="714" t="str">
        <f t="shared" ca="1" si="71"/>
        <v/>
      </c>
      <c r="HV51" s="715" t="str">
        <f ca="1">IF(COUNTIF(HV$10:HV50,OFFSET(A1_原単位2027,29,HL51+2))&gt;=1,"",OFFSET(A1_原単位2027,29,HL51+2)&amp;"")</f>
        <v/>
      </c>
      <c r="HW51" s="718" t="str">
        <f t="shared" ca="1" si="56"/>
        <v/>
      </c>
      <c r="HX51" s="719" t="str">
        <f t="shared" ca="1" si="72"/>
        <v/>
      </c>
      <c r="HY51" s="714" t="str">
        <f t="shared" ca="1" si="73"/>
        <v/>
      </c>
      <c r="HZ51" s="715" t="str">
        <f ca="1">IF(COUNTIF(HZ$10:HZ50,OFFSET(A1_原単位2027,41,HL51+2))&gt;=1,"",OFFSET(A1_原単位2027,41,HL51+2)&amp;"")</f>
        <v/>
      </c>
      <c r="IA51" s="720" t="str">
        <f t="shared" ca="1" si="59"/>
        <v/>
      </c>
      <c r="IB51" s="721" t="str">
        <f t="shared" ca="1" si="74"/>
        <v/>
      </c>
      <c r="IE51" s="159" t="str">
        <f t="shared" ca="1" si="75"/>
        <v/>
      </c>
      <c r="IF51" s="159" t="str">
        <f t="shared" ca="1" si="76"/>
        <v/>
      </c>
      <c r="IG51" s="159" t="str">
        <f t="shared" ca="1" si="77"/>
        <v/>
      </c>
      <c r="IH51" s="159" t="str">
        <f t="shared" ca="1" si="78"/>
        <v/>
      </c>
    </row>
    <row r="52" spans="2:242" s="164" customFormat="1" ht="20.100000000000001" customHeight="1">
      <c r="B52" s="302"/>
      <c r="C52" s="303" t="s">
        <v>591</v>
      </c>
      <c r="D52" s="304"/>
      <c r="E52" s="311"/>
      <c r="F52" s="303" t="s">
        <v>455</v>
      </c>
      <c r="G52" s="306">
        <v>13.2</v>
      </c>
      <c r="H52" s="309"/>
      <c r="I52" s="308"/>
      <c r="J52" s="309"/>
      <c r="K52" s="310"/>
      <c r="L52" s="311"/>
      <c r="M52" s="311"/>
      <c r="N52" s="309"/>
      <c r="O52" s="310"/>
      <c r="P52" s="311"/>
      <c r="Q52" s="311"/>
      <c r="R52" s="309"/>
      <c r="S52" s="310"/>
      <c r="T52" s="311"/>
      <c r="U52" s="311"/>
      <c r="V52" s="309"/>
      <c r="W52" s="310"/>
      <c r="X52" s="311"/>
      <c r="Y52" s="311"/>
      <c r="Z52" s="309"/>
      <c r="AA52" s="310"/>
      <c r="AB52" s="311"/>
      <c r="AC52" s="311"/>
      <c r="AD52" s="309"/>
      <c r="AE52" s="310"/>
      <c r="AF52" s="311"/>
      <c r="AG52" s="311"/>
      <c r="AH52" s="309"/>
      <c r="AI52" s="310"/>
      <c r="AJ52" s="311"/>
      <c r="AK52" s="311"/>
      <c r="AL52" s="309"/>
      <c r="AM52" s="310"/>
      <c r="AN52" s="311"/>
      <c r="AO52" s="311"/>
      <c r="AP52" s="309"/>
      <c r="AQ52" s="310"/>
      <c r="AR52" s="311"/>
      <c r="AS52" s="311"/>
      <c r="AT52" s="309"/>
      <c r="AU52" s="310"/>
      <c r="AV52" s="311"/>
      <c r="AW52" s="311"/>
      <c r="AX52" s="309"/>
      <c r="AY52" s="310"/>
      <c r="AZ52" s="311"/>
      <c r="BA52" s="311"/>
      <c r="BB52" s="309"/>
      <c r="BC52" s="310"/>
      <c r="BD52" s="311"/>
      <c r="BE52" s="311"/>
      <c r="BF52" s="309"/>
      <c r="BG52" s="310"/>
      <c r="BH52" s="311"/>
      <c r="BI52" s="311"/>
      <c r="BJ52" s="309"/>
      <c r="BK52" s="310"/>
      <c r="BL52" s="311"/>
      <c r="BM52" s="311"/>
      <c r="BN52" s="309"/>
      <c r="BO52" s="310"/>
      <c r="BP52" s="311"/>
      <c r="BQ52" s="311"/>
      <c r="BR52" s="309"/>
      <c r="BS52" s="310"/>
      <c r="BT52" s="311"/>
      <c r="BU52" s="311"/>
      <c r="BV52" s="309"/>
      <c r="BW52" s="310"/>
      <c r="BX52" s="311"/>
      <c r="BY52" s="311"/>
      <c r="BZ52" s="309"/>
      <c r="CA52" s="310"/>
      <c r="CB52" s="311"/>
      <c r="CC52" s="311"/>
      <c r="CD52" s="309"/>
      <c r="CE52" s="310"/>
      <c r="CF52" s="311"/>
      <c r="CG52" s="311"/>
      <c r="CH52" s="309"/>
      <c r="CI52" s="310"/>
      <c r="CJ52" s="311"/>
      <c r="CK52" s="311"/>
      <c r="CL52" s="309"/>
      <c r="CM52" s="310"/>
      <c r="CN52" s="311"/>
      <c r="CO52" s="311"/>
      <c r="CP52" s="309"/>
      <c r="CQ52" s="310"/>
      <c r="CR52" s="311"/>
      <c r="CS52" s="311"/>
      <c r="CT52" s="309"/>
      <c r="CU52" s="310"/>
      <c r="CV52" s="311"/>
      <c r="CW52" s="311"/>
      <c r="CX52" s="309"/>
      <c r="CY52" s="310"/>
      <c r="CZ52" s="311"/>
      <c r="DA52" s="311"/>
      <c r="DB52" s="309"/>
      <c r="DC52" s="310"/>
      <c r="DD52" s="311"/>
      <c r="DE52" s="311"/>
      <c r="DF52" s="309"/>
      <c r="DG52" s="310"/>
      <c r="DH52" s="311"/>
      <c r="DI52" s="311"/>
      <c r="DJ52" s="309"/>
      <c r="DK52" s="310"/>
      <c r="DL52" s="311"/>
      <c r="DM52" s="311"/>
      <c r="DN52" s="309"/>
      <c r="DO52" s="310"/>
      <c r="DP52" s="311"/>
      <c r="DQ52" s="311"/>
      <c r="DR52" s="309"/>
      <c r="DS52" s="310"/>
      <c r="DT52" s="311"/>
      <c r="DU52" s="311"/>
      <c r="DV52" s="309"/>
      <c r="DW52" s="310"/>
      <c r="DX52" s="311"/>
      <c r="DY52" s="311"/>
      <c r="DZ52" s="309"/>
      <c r="EA52" s="310"/>
      <c r="EB52" s="311"/>
      <c r="EC52" s="311"/>
      <c r="ED52" s="309"/>
      <c r="EE52" s="310"/>
      <c r="EF52" s="311"/>
      <c r="EG52" s="311"/>
      <c r="EH52" s="309"/>
      <c r="EI52" s="310"/>
      <c r="EJ52" s="311"/>
      <c r="EK52" s="311"/>
      <c r="EL52" s="309"/>
      <c r="EM52" s="310"/>
      <c r="EN52" s="311"/>
      <c r="EO52" s="311"/>
      <c r="EP52" s="309"/>
      <c r="EQ52" s="310"/>
      <c r="ER52" s="311"/>
      <c r="ES52" s="311"/>
      <c r="ET52" s="309"/>
      <c r="EU52" s="310"/>
      <c r="EV52" s="311"/>
      <c r="EW52" s="311"/>
      <c r="EX52" s="309"/>
      <c r="EY52" s="310"/>
      <c r="EZ52" s="311"/>
      <c r="FA52" s="311"/>
      <c r="FB52" s="309"/>
      <c r="FC52" s="310"/>
      <c r="FD52" s="311"/>
      <c r="FE52" s="311"/>
      <c r="FF52" s="309"/>
      <c r="FG52" s="310"/>
      <c r="FH52" s="311"/>
      <c r="FI52" s="311"/>
      <c r="FJ52" s="309"/>
      <c r="FK52" s="310"/>
      <c r="FL52" s="311"/>
      <c r="FM52" s="311"/>
      <c r="FN52" s="309"/>
      <c r="FO52" s="310"/>
      <c r="FP52" s="311"/>
      <c r="FQ52" s="311"/>
      <c r="FR52" s="309"/>
      <c r="FS52" s="310"/>
      <c r="FT52" s="311"/>
      <c r="FU52" s="311"/>
      <c r="FV52" s="309"/>
      <c r="FW52" s="310"/>
      <c r="FX52" s="311"/>
      <c r="FY52" s="311"/>
      <c r="FZ52" s="309"/>
      <c r="GA52" s="310"/>
      <c r="GB52" s="311"/>
      <c r="GC52" s="311"/>
      <c r="GD52" s="309"/>
      <c r="GE52" s="310"/>
      <c r="GF52" s="311"/>
      <c r="GG52" s="311"/>
      <c r="GH52" s="309"/>
      <c r="GI52" s="310"/>
      <c r="GJ52" s="311"/>
      <c r="GK52" s="311"/>
      <c r="GL52" s="309"/>
      <c r="GM52" s="310"/>
      <c r="GN52" s="311"/>
      <c r="GO52" s="311"/>
      <c r="GP52" s="309"/>
      <c r="GQ52" s="310"/>
      <c r="GR52" s="311"/>
      <c r="GS52" s="311"/>
      <c r="GT52" s="309"/>
      <c r="GU52" s="310"/>
      <c r="GV52" s="311"/>
      <c r="GW52" s="311"/>
      <c r="GX52" s="309"/>
      <c r="GY52" s="310"/>
      <c r="GZ52" s="311"/>
      <c r="HA52" s="311"/>
      <c r="HB52" s="309"/>
      <c r="HC52" s="312">
        <f t="shared" si="79"/>
        <v>0</v>
      </c>
      <c r="HD52" s="313">
        <f t="shared" si="79"/>
        <v>0</v>
      </c>
      <c r="HE52" s="313">
        <f t="shared" si="79"/>
        <v>0</v>
      </c>
      <c r="HF52" s="314"/>
      <c r="HG52" s="312">
        <f>SUM(SUMIFS(K52:HB52,$K$13:$HB$13,{"エネルギー管理指定工場等*","県域*"}))</f>
        <v>0</v>
      </c>
      <c r="HH52" s="313">
        <f>SUM(SUMIFS(L52:HC52,$K$13:$HB$13,{"エネルギー管理指定工場等*","県域*"}))</f>
        <v>0</v>
      </c>
      <c r="HI52" s="313">
        <f>SUM(SUMIFS(M52:HD52,$K$13:$HB$13,{"エネルギー管理指定工場等*","県域*"}))</f>
        <v>0</v>
      </c>
      <c r="HJ52" s="314"/>
      <c r="HL52" s="230">
        <v>43</v>
      </c>
      <c r="HM52" s="714" t="str">
        <f t="shared" ca="1" si="67"/>
        <v/>
      </c>
      <c r="HN52" s="715" t="str">
        <f ca="1">IF(COUNTIF(HN$10:HN51,OFFSET(A1_原単位2027,5,HL52+2))&gt;=1,"",OFFSET(A1_原単位2027,5,HL52+2)&amp;"")</f>
        <v/>
      </c>
      <c r="HO52" s="716" t="str">
        <f t="shared" ca="1" si="50"/>
        <v/>
      </c>
      <c r="HP52" s="717" t="str">
        <f t="shared" ca="1" si="68"/>
        <v/>
      </c>
      <c r="HQ52" s="714" t="str">
        <f t="shared" ca="1" si="69"/>
        <v/>
      </c>
      <c r="HR52" s="715" t="str">
        <f ca="1">IF(COUNTIF(HR$10:HR51,OFFSET(A1_原単位2027,17,HL52+2))&gt;=1,"",OFFSET(A1_原単位2027,17,HL52+2)&amp;"")</f>
        <v/>
      </c>
      <c r="HS52" s="718" t="str">
        <f t="shared" ca="1" si="53"/>
        <v/>
      </c>
      <c r="HT52" s="719" t="str">
        <f t="shared" ca="1" si="70"/>
        <v/>
      </c>
      <c r="HU52" s="714" t="str">
        <f t="shared" ca="1" si="71"/>
        <v/>
      </c>
      <c r="HV52" s="715" t="str">
        <f ca="1">IF(COUNTIF(HV$10:HV51,OFFSET(A1_原単位2027,29,HL52+2))&gt;=1,"",OFFSET(A1_原単位2027,29,HL52+2)&amp;"")</f>
        <v/>
      </c>
      <c r="HW52" s="718" t="str">
        <f t="shared" ca="1" si="56"/>
        <v/>
      </c>
      <c r="HX52" s="719" t="str">
        <f t="shared" ca="1" si="72"/>
        <v/>
      </c>
      <c r="HY52" s="714" t="str">
        <f t="shared" ca="1" si="73"/>
        <v/>
      </c>
      <c r="HZ52" s="715" t="str">
        <f ca="1">IF(COUNTIF(HZ$10:HZ51,OFFSET(A1_原単位2027,41,HL52+2))&gt;=1,"",OFFSET(A1_原単位2027,41,HL52+2)&amp;"")</f>
        <v/>
      </c>
      <c r="IA52" s="720" t="str">
        <f t="shared" ca="1" si="59"/>
        <v/>
      </c>
      <c r="IB52" s="721" t="str">
        <f t="shared" ca="1" si="74"/>
        <v/>
      </c>
      <c r="IE52" s="159" t="str">
        <f t="shared" ca="1" si="75"/>
        <v/>
      </c>
      <c r="IF52" s="159" t="str">
        <f t="shared" ca="1" si="76"/>
        <v/>
      </c>
      <c r="IG52" s="159" t="str">
        <f t="shared" ca="1" si="77"/>
        <v/>
      </c>
      <c r="IH52" s="159" t="str">
        <f t="shared" ca="1" si="78"/>
        <v/>
      </c>
    </row>
    <row r="53" spans="2:242" s="164" customFormat="1" ht="20.100000000000001" customHeight="1">
      <c r="B53" s="302"/>
      <c r="C53" s="303" t="s">
        <v>385</v>
      </c>
      <c r="D53" s="304"/>
      <c r="E53" s="305"/>
      <c r="F53" s="303" t="s">
        <v>455</v>
      </c>
      <c r="G53" s="316">
        <v>18</v>
      </c>
      <c r="H53" s="307">
        <v>1.6199999999999999E-2</v>
      </c>
      <c r="I53" s="308"/>
      <c r="J53" s="309"/>
      <c r="K53" s="310"/>
      <c r="L53" s="311"/>
      <c r="M53" s="311"/>
      <c r="N53" s="309"/>
      <c r="O53" s="310"/>
      <c r="P53" s="311"/>
      <c r="Q53" s="311"/>
      <c r="R53" s="309"/>
      <c r="S53" s="310"/>
      <c r="T53" s="311"/>
      <c r="U53" s="311"/>
      <c r="V53" s="309"/>
      <c r="W53" s="310"/>
      <c r="X53" s="311"/>
      <c r="Y53" s="311"/>
      <c r="Z53" s="309"/>
      <c r="AA53" s="310"/>
      <c r="AB53" s="311"/>
      <c r="AC53" s="311"/>
      <c r="AD53" s="309"/>
      <c r="AE53" s="310"/>
      <c r="AF53" s="311"/>
      <c r="AG53" s="311"/>
      <c r="AH53" s="309"/>
      <c r="AI53" s="310"/>
      <c r="AJ53" s="311"/>
      <c r="AK53" s="311"/>
      <c r="AL53" s="309"/>
      <c r="AM53" s="310"/>
      <c r="AN53" s="311"/>
      <c r="AO53" s="311"/>
      <c r="AP53" s="309"/>
      <c r="AQ53" s="310"/>
      <c r="AR53" s="311"/>
      <c r="AS53" s="311"/>
      <c r="AT53" s="309"/>
      <c r="AU53" s="310"/>
      <c r="AV53" s="311"/>
      <c r="AW53" s="311"/>
      <c r="AX53" s="309"/>
      <c r="AY53" s="310"/>
      <c r="AZ53" s="311"/>
      <c r="BA53" s="311"/>
      <c r="BB53" s="309"/>
      <c r="BC53" s="310"/>
      <c r="BD53" s="311"/>
      <c r="BE53" s="311"/>
      <c r="BF53" s="309"/>
      <c r="BG53" s="310"/>
      <c r="BH53" s="311"/>
      <c r="BI53" s="311"/>
      <c r="BJ53" s="309"/>
      <c r="BK53" s="310"/>
      <c r="BL53" s="311"/>
      <c r="BM53" s="311"/>
      <c r="BN53" s="309"/>
      <c r="BO53" s="310"/>
      <c r="BP53" s="311"/>
      <c r="BQ53" s="311"/>
      <c r="BR53" s="309"/>
      <c r="BS53" s="310"/>
      <c r="BT53" s="311"/>
      <c r="BU53" s="311"/>
      <c r="BV53" s="309"/>
      <c r="BW53" s="310"/>
      <c r="BX53" s="311"/>
      <c r="BY53" s="311"/>
      <c r="BZ53" s="309"/>
      <c r="CA53" s="310"/>
      <c r="CB53" s="311"/>
      <c r="CC53" s="311"/>
      <c r="CD53" s="309"/>
      <c r="CE53" s="310"/>
      <c r="CF53" s="311"/>
      <c r="CG53" s="311"/>
      <c r="CH53" s="309"/>
      <c r="CI53" s="310"/>
      <c r="CJ53" s="311"/>
      <c r="CK53" s="311"/>
      <c r="CL53" s="309"/>
      <c r="CM53" s="310"/>
      <c r="CN53" s="311"/>
      <c r="CO53" s="311"/>
      <c r="CP53" s="309"/>
      <c r="CQ53" s="310"/>
      <c r="CR53" s="311"/>
      <c r="CS53" s="311"/>
      <c r="CT53" s="309"/>
      <c r="CU53" s="310"/>
      <c r="CV53" s="311"/>
      <c r="CW53" s="311"/>
      <c r="CX53" s="309"/>
      <c r="CY53" s="310"/>
      <c r="CZ53" s="311"/>
      <c r="DA53" s="311"/>
      <c r="DB53" s="309"/>
      <c r="DC53" s="310"/>
      <c r="DD53" s="311"/>
      <c r="DE53" s="311"/>
      <c r="DF53" s="309"/>
      <c r="DG53" s="310"/>
      <c r="DH53" s="311"/>
      <c r="DI53" s="311"/>
      <c r="DJ53" s="309"/>
      <c r="DK53" s="310"/>
      <c r="DL53" s="311"/>
      <c r="DM53" s="311"/>
      <c r="DN53" s="309"/>
      <c r="DO53" s="310"/>
      <c r="DP53" s="311"/>
      <c r="DQ53" s="311"/>
      <c r="DR53" s="309"/>
      <c r="DS53" s="310"/>
      <c r="DT53" s="311"/>
      <c r="DU53" s="311"/>
      <c r="DV53" s="309"/>
      <c r="DW53" s="310"/>
      <c r="DX53" s="311"/>
      <c r="DY53" s="311"/>
      <c r="DZ53" s="309"/>
      <c r="EA53" s="310"/>
      <c r="EB53" s="311"/>
      <c r="EC53" s="311"/>
      <c r="ED53" s="309"/>
      <c r="EE53" s="310"/>
      <c r="EF53" s="311"/>
      <c r="EG53" s="311"/>
      <c r="EH53" s="309"/>
      <c r="EI53" s="310"/>
      <c r="EJ53" s="311"/>
      <c r="EK53" s="311"/>
      <c r="EL53" s="309"/>
      <c r="EM53" s="310"/>
      <c r="EN53" s="311"/>
      <c r="EO53" s="311"/>
      <c r="EP53" s="309"/>
      <c r="EQ53" s="310"/>
      <c r="ER53" s="311"/>
      <c r="ES53" s="311"/>
      <c r="ET53" s="309"/>
      <c r="EU53" s="310"/>
      <c r="EV53" s="311"/>
      <c r="EW53" s="311"/>
      <c r="EX53" s="309"/>
      <c r="EY53" s="310"/>
      <c r="EZ53" s="311"/>
      <c r="FA53" s="311"/>
      <c r="FB53" s="309"/>
      <c r="FC53" s="310"/>
      <c r="FD53" s="311"/>
      <c r="FE53" s="311"/>
      <c r="FF53" s="309"/>
      <c r="FG53" s="310"/>
      <c r="FH53" s="311"/>
      <c r="FI53" s="311"/>
      <c r="FJ53" s="309"/>
      <c r="FK53" s="310"/>
      <c r="FL53" s="311"/>
      <c r="FM53" s="311"/>
      <c r="FN53" s="309"/>
      <c r="FO53" s="310"/>
      <c r="FP53" s="311"/>
      <c r="FQ53" s="311"/>
      <c r="FR53" s="309"/>
      <c r="FS53" s="310"/>
      <c r="FT53" s="311"/>
      <c r="FU53" s="311"/>
      <c r="FV53" s="309"/>
      <c r="FW53" s="310"/>
      <c r="FX53" s="311"/>
      <c r="FY53" s="311"/>
      <c r="FZ53" s="309"/>
      <c r="GA53" s="310"/>
      <c r="GB53" s="311"/>
      <c r="GC53" s="311"/>
      <c r="GD53" s="309"/>
      <c r="GE53" s="310"/>
      <c r="GF53" s="311"/>
      <c r="GG53" s="311"/>
      <c r="GH53" s="309"/>
      <c r="GI53" s="310"/>
      <c r="GJ53" s="311"/>
      <c r="GK53" s="311"/>
      <c r="GL53" s="309"/>
      <c r="GM53" s="310"/>
      <c r="GN53" s="311"/>
      <c r="GO53" s="311"/>
      <c r="GP53" s="309"/>
      <c r="GQ53" s="310"/>
      <c r="GR53" s="311"/>
      <c r="GS53" s="311"/>
      <c r="GT53" s="309"/>
      <c r="GU53" s="310"/>
      <c r="GV53" s="311"/>
      <c r="GW53" s="311"/>
      <c r="GX53" s="309"/>
      <c r="GY53" s="310"/>
      <c r="GZ53" s="311"/>
      <c r="HA53" s="311"/>
      <c r="HB53" s="309"/>
      <c r="HC53" s="312">
        <f t="shared" si="79"/>
        <v>0</v>
      </c>
      <c r="HD53" s="313">
        <f t="shared" si="79"/>
        <v>0</v>
      </c>
      <c r="HE53" s="313">
        <f t="shared" si="79"/>
        <v>0</v>
      </c>
      <c r="HF53" s="314"/>
      <c r="HG53" s="312">
        <f>SUM(SUMIFS(K53:HB53,$K$13:$HB$13,{"エネルギー管理指定工場等*","県域*"}))</f>
        <v>0</v>
      </c>
      <c r="HH53" s="313">
        <f>SUM(SUMIFS(L53:HC53,$K$13:$HB$13,{"エネルギー管理指定工場等*","県域*"}))</f>
        <v>0</v>
      </c>
      <c r="HI53" s="313">
        <f>SUM(SUMIFS(M53:HD53,$K$13:$HB$13,{"エネルギー管理指定工場等*","県域*"}))</f>
        <v>0</v>
      </c>
      <c r="HJ53" s="314"/>
      <c r="HL53" s="219">
        <v>44</v>
      </c>
      <c r="HM53" s="714" t="str">
        <f t="shared" ca="1" si="67"/>
        <v/>
      </c>
      <c r="HN53" s="715" t="str">
        <f ca="1">IF(COUNTIF(HN$10:HN52,OFFSET(A1_原単位2027,5,HL53+2))&gt;=1,"",OFFSET(A1_原単位2027,5,HL53+2)&amp;"")</f>
        <v/>
      </c>
      <c r="HO53" s="716" t="str">
        <f t="shared" ca="1" si="50"/>
        <v/>
      </c>
      <c r="HP53" s="717" t="str">
        <f t="shared" ca="1" si="68"/>
        <v/>
      </c>
      <c r="HQ53" s="714" t="str">
        <f t="shared" ca="1" si="69"/>
        <v/>
      </c>
      <c r="HR53" s="715" t="str">
        <f ca="1">IF(COUNTIF(HR$10:HR52,OFFSET(A1_原単位2027,17,HL53+2))&gt;=1,"",OFFSET(A1_原単位2027,17,HL53+2)&amp;"")</f>
        <v/>
      </c>
      <c r="HS53" s="718" t="str">
        <f t="shared" ca="1" si="53"/>
        <v/>
      </c>
      <c r="HT53" s="719" t="str">
        <f t="shared" ca="1" si="70"/>
        <v/>
      </c>
      <c r="HU53" s="714" t="str">
        <f t="shared" ca="1" si="71"/>
        <v/>
      </c>
      <c r="HV53" s="715" t="str">
        <f ca="1">IF(COUNTIF(HV$10:HV52,OFFSET(A1_原単位2027,29,HL53+2))&gt;=1,"",OFFSET(A1_原単位2027,29,HL53+2)&amp;"")</f>
        <v/>
      </c>
      <c r="HW53" s="718" t="str">
        <f t="shared" ca="1" si="56"/>
        <v/>
      </c>
      <c r="HX53" s="719" t="str">
        <f t="shared" ca="1" si="72"/>
        <v/>
      </c>
      <c r="HY53" s="714" t="str">
        <f t="shared" ca="1" si="73"/>
        <v/>
      </c>
      <c r="HZ53" s="715" t="str">
        <f ca="1">IF(COUNTIF(HZ$10:HZ52,OFFSET(A1_原単位2027,41,HL53+2))&gt;=1,"",OFFSET(A1_原単位2027,41,HL53+2)&amp;"")</f>
        <v/>
      </c>
      <c r="IA53" s="720" t="str">
        <f t="shared" ca="1" si="59"/>
        <v/>
      </c>
      <c r="IB53" s="721" t="str">
        <f t="shared" ca="1" si="74"/>
        <v/>
      </c>
      <c r="IE53" s="159" t="str">
        <f t="shared" ca="1" si="75"/>
        <v/>
      </c>
      <c r="IF53" s="159" t="str">
        <f t="shared" ca="1" si="76"/>
        <v/>
      </c>
      <c r="IG53" s="159" t="str">
        <f t="shared" ca="1" si="77"/>
        <v/>
      </c>
      <c r="IH53" s="159" t="str">
        <f t="shared" ca="1" si="78"/>
        <v/>
      </c>
    </row>
    <row r="54" spans="2:242" s="164" customFormat="1" ht="20.100000000000001" customHeight="1">
      <c r="B54" s="302"/>
      <c r="C54" s="303" t="s">
        <v>386</v>
      </c>
      <c r="D54" s="304"/>
      <c r="E54" s="305"/>
      <c r="F54" s="303" t="s">
        <v>455</v>
      </c>
      <c r="G54" s="306">
        <v>26.9</v>
      </c>
      <c r="H54" s="307">
        <v>1.66E-2</v>
      </c>
      <c r="I54" s="308"/>
      <c r="J54" s="309"/>
      <c r="K54" s="310"/>
      <c r="L54" s="311"/>
      <c r="M54" s="311"/>
      <c r="N54" s="309"/>
      <c r="O54" s="310"/>
      <c r="P54" s="311"/>
      <c r="Q54" s="311"/>
      <c r="R54" s="309"/>
      <c r="S54" s="310"/>
      <c r="T54" s="311"/>
      <c r="U54" s="311"/>
      <c r="V54" s="309"/>
      <c r="W54" s="310"/>
      <c r="X54" s="311"/>
      <c r="Y54" s="311"/>
      <c r="Z54" s="309"/>
      <c r="AA54" s="310"/>
      <c r="AB54" s="311"/>
      <c r="AC54" s="311"/>
      <c r="AD54" s="309"/>
      <c r="AE54" s="310"/>
      <c r="AF54" s="311"/>
      <c r="AG54" s="311"/>
      <c r="AH54" s="309"/>
      <c r="AI54" s="310"/>
      <c r="AJ54" s="311"/>
      <c r="AK54" s="311"/>
      <c r="AL54" s="309"/>
      <c r="AM54" s="310"/>
      <c r="AN54" s="311"/>
      <c r="AO54" s="311"/>
      <c r="AP54" s="309"/>
      <c r="AQ54" s="310"/>
      <c r="AR54" s="311"/>
      <c r="AS54" s="311"/>
      <c r="AT54" s="309"/>
      <c r="AU54" s="310"/>
      <c r="AV54" s="311"/>
      <c r="AW54" s="311"/>
      <c r="AX54" s="309"/>
      <c r="AY54" s="310"/>
      <c r="AZ54" s="311"/>
      <c r="BA54" s="311"/>
      <c r="BB54" s="309"/>
      <c r="BC54" s="310"/>
      <c r="BD54" s="311"/>
      <c r="BE54" s="311"/>
      <c r="BF54" s="309"/>
      <c r="BG54" s="310"/>
      <c r="BH54" s="311"/>
      <c r="BI54" s="311"/>
      <c r="BJ54" s="309"/>
      <c r="BK54" s="310"/>
      <c r="BL54" s="311"/>
      <c r="BM54" s="311"/>
      <c r="BN54" s="309"/>
      <c r="BO54" s="310"/>
      <c r="BP54" s="311"/>
      <c r="BQ54" s="311"/>
      <c r="BR54" s="309"/>
      <c r="BS54" s="310"/>
      <c r="BT54" s="311"/>
      <c r="BU54" s="311"/>
      <c r="BV54" s="309"/>
      <c r="BW54" s="310"/>
      <c r="BX54" s="311"/>
      <c r="BY54" s="311"/>
      <c r="BZ54" s="309"/>
      <c r="CA54" s="310"/>
      <c r="CB54" s="311"/>
      <c r="CC54" s="311"/>
      <c r="CD54" s="309"/>
      <c r="CE54" s="310"/>
      <c r="CF54" s="311"/>
      <c r="CG54" s="311"/>
      <c r="CH54" s="309"/>
      <c r="CI54" s="310"/>
      <c r="CJ54" s="311"/>
      <c r="CK54" s="311"/>
      <c r="CL54" s="309"/>
      <c r="CM54" s="310"/>
      <c r="CN54" s="311"/>
      <c r="CO54" s="311"/>
      <c r="CP54" s="309"/>
      <c r="CQ54" s="310"/>
      <c r="CR54" s="311"/>
      <c r="CS54" s="311"/>
      <c r="CT54" s="309"/>
      <c r="CU54" s="310"/>
      <c r="CV54" s="311"/>
      <c r="CW54" s="311"/>
      <c r="CX54" s="309"/>
      <c r="CY54" s="310"/>
      <c r="CZ54" s="311"/>
      <c r="DA54" s="311"/>
      <c r="DB54" s="309"/>
      <c r="DC54" s="310"/>
      <c r="DD54" s="311"/>
      <c r="DE54" s="311"/>
      <c r="DF54" s="309"/>
      <c r="DG54" s="310"/>
      <c r="DH54" s="311"/>
      <c r="DI54" s="311"/>
      <c r="DJ54" s="309"/>
      <c r="DK54" s="310"/>
      <c r="DL54" s="311"/>
      <c r="DM54" s="311"/>
      <c r="DN54" s="309"/>
      <c r="DO54" s="310"/>
      <c r="DP54" s="311"/>
      <c r="DQ54" s="311"/>
      <c r="DR54" s="309"/>
      <c r="DS54" s="310"/>
      <c r="DT54" s="311"/>
      <c r="DU54" s="311"/>
      <c r="DV54" s="309"/>
      <c r="DW54" s="310"/>
      <c r="DX54" s="311"/>
      <c r="DY54" s="311"/>
      <c r="DZ54" s="309"/>
      <c r="EA54" s="310"/>
      <c r="EB54" s="311"/>
      <c r="EC54" s="311"/>
      <c r="ED54" s="309"/>
      <c r="EE54" s="310"/>
      <c r="EF54" s="311"/>
      <c r="EG54" s="311"/>
      <c r="EH54" s="309"/>
      <c r="EI54" s="310"/>
      <c r="EJ54" s="311"/>
      <c r="EK54" s="311"/>
      <c r="EL54" s="309"/>
      <c r="EM54" s="310"/>
      <c r="EN54" s="311"/>
      <c r="EO54" s="311"/>
      <c r="EP54" s="309"/>
      <c r="EQ54" s="310"/>
      <c r="ER54" s="311"/>
      <c r="ES54" s="311"/>
      <c r="ET54" s="309"/>
      <c r="EU54" s="310"/>
      <c r="EV54" s="311"/>
      <c r="EW54" s="311"/>
      <c r="EX54" s="309"/>
      <c r="EY54" s="310"/>
      <c r="EZ54" s="311"/>
      <c r="FA54" s="311"/>
      <c r="FB54" s="309"/>
      <c r="FC54" s="310"/>
      <c r="FD54" s="311"/>
      <c r="FE54" s="311"/>
      <c r="FF54" s="309"/>
      <c r="FG54" s="310"/>
      <c r="FH54" s="311"/>
      <c r="FI54" s="311"/>
      <c r="FJ54" s="309"/>
      <c r="FK54" s="310"/>
      <c r="FL54" s="311"/>
      <c r="FM54" s="311"/>
      <c r="FN54" s="309"/>
      <c r="FO54" s="310"/>
      <c r="FP54" s="311"/>
      <c r="FQ54" s="311"/>
      <c r="FR54" s="309"/>
      <c r="FS54" s="310"/>
      <c r="FT54" s="311"/>
      <c r="FU54" s="311"/>
      <c r="FV54" s="309"/>
      <c r="FW54" s="310"/>
      <c r="FX54" s="311"/>
      <c r="FY54" s="311"/>
      <c r="FZ54" s="309"/>
      <c r="GA54" s="310"/>
      <c r="GB54" s="311"/>
      <c r="GC54" s="311"/>
      <c r="GD54" s="309"/>
      <c r="GE54" s="310"/>
      <c r="GF54" s="311"/>
      <c r="GG54" s="311"/>
      <c r="GH54" s="309"/>
      <c r="GI54" s="310"/>
      <c r="GJ54" s="311"/>
      <c r="GK54" s="311"/>
      <c r="GL54" s="309"/>
      <c r="GM54" s="310"/>
      <c r="GN54" s="311"/>
      <c r="GO54" s="311"/>
      <c r="GP54" s="309"/>
      <c r="GQ54" s="310"/>
      <c r="GR54" s="311"/>
      <c r="GS54" s="311"/>
      <c r="GT54" s="309"/>
      <c r="GU54" s="310"/>
      <c r="GV54" s="311"/>
      <c r="GW54" s="311"/>
      <c r="GX54" s="309"/>
      <c r="GY54" s="310"/>
      <c r="GZ54" s="311"/>
      <c r="HA54" s="311"/>
      <c r="HB54" s="309"/>
      <c r="HC54" s="312">
        <f t="shared" si="79"/>
        <v>0</v>
      </c>
      <c r="HD54" s="313">
        <f t="shared" si="79"/>
        <v>0</v>
      </c>
      <c r="HE54" s="313">
        <f t="shared" si="79"/>
        <v>0</v>
      </c>
      <c r="HF54" s="314"/>
      <c r="HG54" s="312">
        <f>SUM(SUMIFS(K54:HB54,$K$13:$HB$13,{"エネルギー管理指定工場等*","県域*"}))</f>
        <v>0</v>
      </c>
      <c r="HH54" s="313">
        <f>SUM(SUMIFS(L54:HC54,$K$13:$HB$13,{"エネルギー管理指定工場等*","県域*"}))</f>
        <v>0</v>
      </c>
      <c r="HI54" s="313">
        <f>SUM(SUMIFS(M54:HD54,$K$13:$HB$13,{"エネルギー管理指定工場等*","県域*"}))</f>
        <v>0</v>
      </c>
      <c r="HJ54" s="314"/>
      <c r="HL54" s="219">
        <v>45</v>
      </c>
      <c r="HM54" s="714" t="str">
        <f t="shared" ca="1" si="67"/>
        <v/>
      </c>
      <c r="HN54" s="715" t="str">
        <f ca="1">IF(COUNTIF(HN$10:HN53,OFFSET(A1_原単位2027,5,HL54+2))&gt;=1,"",OFFSET(A1_原単位2027,5,HL54+2)&amp;"")</f>
        <v/>
      </c>
      <c r="HO54" s="716" t="str">
        <f t="shared" ca="1" si="50"/>
        <v/>
      </c>
      <c r="HP54" s="717" t="str">
        <f t="shared" ca="1" si="68"/>
        <v/>
      </c>
      <c r="HQ54" s="714" t="str">
        <f t="shared" ca="1" si="69"/>
        <v/>
      </c>
      <c r="HR54" s="715" t="str">
        <f ca="1">IF(COUNTIF(HR$10:HR53,OFFSET(A1_原単位2027,17,HL54+2))&gt;=1,"",OFFSET(A1_原単位2027,17,HL54+2)&amp;"")</f>
        <v/>
      </c>
      <c r="HS54" s="718" t="str">
        <f t="shared" ca="1" si="53"/>
        <v/>
      </c>
      <c r="HT54" s="719" t="str">
        <f t="shared" ca="1" si="70"/>
        <v/>
      </c>
      <c r="HU54" s="714" t="str">
        <f t="shared" ca="1" si="71"/>
        <v/>
      </c>
      <c r="HV54" s="715" t="str">
        <f ca="1">IF(COUNTIF(HV$10:HV53,OFFSET(A1_原単位2027,29,HL54+2))&gt;=1,"",OFFSET(A1_原単位2027,29,HL54+2)&amp;"")</f>
        <v/>
      </c>
      <c r="HW54" s="718" t="str">
        <f t="shared" ca="1" si="56"/>
        <v/>
      </c>
      <c r="HX54" s="719" t="str">
        <f t="shared" ca="1" si="72"/>
        <v/>
      </c>
      <c r="HY54" s="714" t="str">
        <f t="shared" ca="1" si="73"/>
        <v/>
      </c>
      <c r="HZ54" s="715" t="str">
        <f ca="1">IF(COUNTIF(HZ$10:HZ53,OFFSET(A1_原単位2027,41,HL54+2))&gt;=1,"",OFFSET(A1_原単位2027,41,HL54+2)&amp;"")</f>
        <v/>
      </c>
      <c r="IA54" s="720" t="str">
        <f t="shared" ca="1" si="59"/>
        <v/>
      </c>
      <c r="IB54" s="721" t="str">
        <f t="shared" ca="1" si="74"/>
        <v/>
      </c>
      <c r="IE54" s="159" t="str">
        <f t="shared" ca="1" si="75"/>
        <v/>
      </c>
      <c r="IF54" s="159" t="str">
        <f t="shared" ca="1" si="76"/>
        <v/>
      </c>
      <c r="IG54" s="159" t="str">
        <f t="shared" ca="1" si="77"/>
        <v/>
      </c>
      <c r="IH54" s="159" t="str">
        <f t="shared" ca="1" si="78"/>
        <v/>
      </c>
    </row>
    <row r="55" spans="2:242" s="164" customFormat="1" ht="20.100000000000001" customHeight="1">
      <c r="B55" s="302"/>
      <c r="C55" s="303" t="s">
        <v>592</v>
      </c>
      <c r="D55" s="304"/>
      <c r="E55" s="305"/>
      <c r="F55" s="303" t="s">
        <v>455</v>
      </c>
      <c r="G55" s="306">
        <v>33.200000000000003</v>
      </c>
      <c r="H55" s="307">
        <v>1.35E-2</v>
      </c>
      <c r="I55" s="308"/>
      <c r="J55" s="309"/>
      <c r="K55" s="310"/>
      <c r="L55" s="311"/>
      <c r="M55" s="311"/>
      <c r="N55" s="309"/>
      <c r="O55" s="310"/>
      <c r="P55" s="311"/>
      <c r="Q55" s="311"/>
      <c r="R55" s="309"/>
      <c r="S55" s="310"/>
      <c r="T55" s="311"/>
      <c r="U55" s="311"/>
      <c r="V55" s="309"/>
      <c r="W55" s="310"/>
      <c r="X55" s="311"/>
      <c r="Y55" s="311"/>
      <c r="Z55" s="309"/>
      <c r="AA55" s="310"/>
      <c r="AB55" s="311"/>
      <c r="AC55" s="311"/>
      <c r="AD55" s="309"/>
      <c r="AE55" s="310"/>
      <c r="AF55" s="311"/>
      <c r="AG55" s="311"/>
      <c r="AH55" s="309"/>
      <c r="AI55" s="310"/>
      <c r="AJ55" s="311"/>
      <c r="AK55" s="311"/>
      <c r="AL55" s="309"/>
      <c r="AM55" s="310"/>
      <c r="AN55" s="311"/>
      <c r="AO55" s="311"/>
      <c r="AP55" s="309"/>
      <c r="AQ55" s="310"/>
      <c r="AR55" s="311"/>
      <c r="AS55" s="311"/>
      <c r="AT55" s="309"/>
      <c r="AU55" s="310"/>
      <c r="AV55" s="311"/>
      <c r="AW55" s="311"/>
      <c r="AX55" s="309"/>
      <c r="AY55" s="310"/>
      <c r="AZ55" s="311"/>
      <c r="BA55" s="311"/>
      <c r="BB55" s="309"/>
      <c r="BC55" s="310"/>
      <c r="BD55" s="311"/>
      <c r="BE55" s="311"/>
      <c r="BF55" s="309"/>
      <c r="BG55" s="310"/>
      <c r="BH55" s="311"/>
      <c r="BI55" s="311"/>
      <c r="BJ55" s="309"/>
      <c r="BK55" s="310"/>
      <c r="BL55" s="311"/>
      <c r="BM55" s="311"/>
      <c r="BN55" s="309"/>
      <c r="BO55" s="310"/>
      <c r="BP55" s="311"/>
      <c r="BQ55" s="311"/>
      <c r="BR55" s="309"/>
      <c r="BS55" s="310"/>
      <c r="BT55" s="311"/>
      <c r="BU55" s="311"/>
      <c r="BV55" s="309"/>
      <c r="BW55" s="310"/>
      <c r="BX55" s="311"/>
      <c r="BY55" s="311"/>
      <c r="BZ55" s="309"/>
      <c r="CA55" s="310"/>
      <c r="CB55" s="311"/>
      <c r="CC55" s="311"/>
      <c r="CD55" s="309"/>
      <c r="CE55" s="310"/>
      <c r="CF55" s="311"/>
      <c r="CG55" s="311"/>
      <c r="CH55" s="309"/>
      <c r="CI55" s="310"/>
      <c r="CJ55" s="311"/>
      <c r="CK55" s="311"/>
      <c r="CL55" s="309"/>
      <c r="CM55" s="310"/>
      <c r="CN55" s="311"/>
      <c r="CO55" s="311"/>
      <c r="CP55" s="309"/>
      <c r="CQ55" s="310"/>
      <c r="CR55" s="311"/>
      <c r="CS55" s="311"/>
      <c r="CT55" s="309"/>
      <c r="CU55" s="310"/>
      <c r="CV55" s="311"/>
      <c r="CW55" s="311"/>
      <c r="CX55" s="309"/>
      <c r="CY55" s="310"/>
      <c r="CZ55" s="311"/>
      <c r="DA55" s="311"/>
      <c r="DB55" s="309"/>
      <c r="DC55" s="310"/>
      <c r="DD55" s="311"/>
      <c r="DE55" s="311"/>
      <c r="DF55" s="309"/>
      <c r="DG55" s="310"/>
      <c r="DH55" s="311"/>
      <c r="DI55" s="311"/>
      <c r="DJ55" s="309"/>
      <c r="DK55" s="310"/>
      <c r="DL55" s="311"/>
      <c r="DM55" s="311"/>
      <c r="DN55" s="309"/>
      <c r="DO55" s="310"/>
      <c r="DP55" s="311"/>
      <c r="DQ55" s="311"/>
      <c r="DR55" s="309"/>
      <c r="DS55" s="310"/>
      <c r="DT55" s="311"/>
      <c r="DU55" s="311"/>
      <c r="DV55" s="309"/>
      <c r="DW55" s="310"/>
      <c r="DX55" s="311"/>
      <c r="DY55" s="311"/>
      <c r="DZ55" s="309"/>
      <c r="EA55" s="310"/>
      <c r="EB55" s="311"/>
      <c r="EC55" s="311"/>
      <c r="ED55" s="309"/>
      <c r="EE55" s="310"/>
      <c r="EF55" s="311"/>
      <c r="EG55" s="311"/>
      <c r="EH55" s="309"/>
      <c r="EI55" s="310"/>
      <c r="EJ55" s="311"/>
      <c r="EK55" s="311"/>
      <c r="EL55" s="309"/>
      <c r="EM55" s="310"/>
      <c r="EN55" s="311"/>
      <c r="EO55" s="311"/>
      <c r="EP55" s="309"/>
      <c r="EQ55" s="310"/>
      <c r="ER55" s="311"/>
      <c r="ES55" s="311"/>
      <c r="ET55" s="309"/>
      <c r="EU55" s="310"/>
      <c r="EV55" s="311"/>
      <c r="EW55" s="311"/>
      <c r="EX55" s="309"/>
      <c r="EY55" s="310"/>
      <c r="EZ55" s="311"/>
      <c r="FA55" s="311"/>
      <c r="FB55" s="309"/>
      <c r="FC55" s="310"/>
      <c r="FD55" s="311"/>
      <c r="FE55" s="311"/>
      <c r="FF55" s="309"/>
      <c r="FG55" s="310"/>
      <c r="FH55" s="311"/>
      <c r="FI55" s="311"/>
      <c r="FJ55" s="309"/>
      <c r="FK55" s="310"/>
      <c r="FL55" s="311"/>
      <c r="FM55" s="311"/>
      <c r="FN55" s="309"/>
      <c r="FO55" s="310"/>
      <c r="FP55" s="311"/>
      <c r="FQ55" s="311"/>
      <c r="FR55" s="309"/>
      <c r="FS55" s="310"/>
      <c r="FT55" s="311"/>
      <c r="FU55" s="311"/>
      <c r="FV55" s="309"/>
      <c r="FW55" s="310"/>
      <c r="FX55" s="311"/>
      <c r="FY55" s="311"/>
      <c r="FZ55" s="309"/>
      <c r="GA55" s="310"/>
      <c r="GB55" s="311"/>
      <c r="GC55" s="311"/>
      <c r="GD55" s="309"/>
      <c r="GE55" s="310"/>
      <c r="GF55" s="311"/>
      <c r="GG55" s="311"/>
      <c r="GH55" s="309"/>
      <c r="GI55" s="310"/>
      <c r="GJ55" s="311"/>
      <c r="GK55" s="311"/>
      <c r="GL55" s="309"/>
      <c r="GM55" s="310"/>
      <c r="GN55" s="311"/>
      <c r="GO55" s="311"/>
      <c r="GP55" s="309"/>
      <c r="GQ55" s="310"/>
      <c r="GR55" s="311"/>
      <c r="GS55" s="311"/>
      <c r="GT55" s="309"/>
      <c r="GU55" s="310"/>
      <c r="GV55" s="311"/>
      <c r="GW55" s="311"/>
      <c r="GX55" s="309"/>
      <c r="GY55" s="310"/>
      <c r="GZ55" s="311"/>
      <c r="HA55" s="311"/>
      <c r="HB55" s="309"/>
      <c r="HC55" s="312">
        <f t="shared" si="79"/>
        <v>0</v>
      </c>
      <c r="HD55" s="313">
        <f t="shared" si="79"/>
        <v>0</v>
      </c>
      <c r="HE55" s="313">
        <f t="shared" si="79"/>
        <v>0</v>
      </c>
      <c r="HF55" s="314"/>
      <c r="HG55" s="312">
        <f>SUM(SUMIFS(K55:HB55,$K$13:$HB$13,{"エネルギー管理指定工場等*","県域*"}))</f>
        <v>0</v>
      </c>
      <c r="HH55" s="313">
        <f>SUM(SUMIFS(L55:HC55,$K$13:$HB$13,{"エネルギー管理指定工場等*","県域*"}))</f>
        <v>0</v>
      </c>
      <c r="HI55" s="313">
        <f>SUM(SUMIFS(M55:HD55,$K$13:$HB$13,{"エネルギー管理指定工場等*","県域*"}))</f>
        <v>0</v>
      </c>
      <c r="HJ55" s="314"/>
      <c r="HL55" s="230">
        <v>46</v>
      </c>
      <c r="HM55" s="714" t="str">
        <f t="shared" ca="1" si="67"/>
        <v/>
      </c>
      <c r="HN55" s="715" t="str">
        <f ca="1">IF(COUNTIF(HN$10:HN54,OFFSET(A1_原単位2027,5,HL55+2))&gt;=1,"",OFFSET(A1_原単位2027,5,HL55+2)&amp;"")</f>
        <v/>
      </c>
      <c r="HO55" s="716" t="str">
        <f t="shared" ca="1" si="50"/>
        <v/>
      </c>
      <c r="HP55" s="717" t="str">
        <f t="shared" ca="1" si="68"/>
        <v/>
      </c>
      <c r="HQ55" s="714" t="str">
        <f t="shared" ca="1" si="69"/>
        <v/>
      </c>
      <c r="HR55" s="715" t="str">
        <f ca="1">IF(COUNTIF(HR$10:HR54,OFFSET(A1_原単位2027,17,HL55+2))&gt;=1,"",OFFSET(A1_原単位2027,17,HL55+2)&amp;"")</f>
        <v/>
      </c>
      <c r="HS55" s="718" t="str">
        <f t="shared" ca="1" si="53"/>
        <v/>
      </c>
      <c r="HT55" s="719" t="str">
        <f t="shared" ca="1" si="70"/>
        <v/>
      </c>
      <c r="HU55" s="714" t="str">
        <f t="shared" ca="1" si="71"/>
        <v/>
      </c>
      <c r="HV55" s="715" t="str">
        <f ca="1">IF(COUNTIF(HV$10:HV54,OFFSET(A1_原単位2027,29,HL55+2))&gt;=1,"",OFFSET(A1_原単位2027,29,HL55+2)&amp;"")</f>
        <v/>
      </c>
      <c r="HW55" s="718" t="str">
        <f t="shared" ca="1" si="56"/>
        <v/>
      </c>
      <c r="HX55" s="719" t="str">
        <f t="shared" ca="1" si="72"/>
        <v/>
      </c>
      <c r="HY55" s="714" t="str">
        <f t="shared" ca="1" si="73"/>
        <v/>
      </c>
      <c r="HZ55" s="715" t="str">
        <f ca="1">IF(COUNTIF(HZ$10:HZ54,OFFSET(A1_原単位2027,41,HL55+2))&gt;=1,"",OFFSET(A1_原単位2027,41,HL55+2)&amp;"")</f>
        <v/>
      </c>
      <c r="IA55" s="720" t="str">
        <f t="shared" ca="1" si="59"/>
        <v/>
      </c>
      <c r="IB55" s="721" t="str">
        <f t="shared" ca="1" si="74"/>
        <v/>
      </c>
      <c r="IE55" s="159" t="str">
        <f t="shared" ca="1" si="75"/>
        <v/>
      </c>
      <c r="IF55" s="159" t="str">
        <f t="shared" ca="1" si="76"/>
        <v/>
      </c>
      <c r="IG55" s="159" t="str">
        <f t="shared" ca="1" si="77"/>
        <v/>
      </c>
      <c r="IH55" s="159" t="str">
        <f t="shared" ca="1" si="78"/>
        <v/>
      </c>
    </row>
    <row r="56" spans="2:242" s="164" customFormat="1" ht="20.100000000000001" customHeight="1">
      <c r="B56" s="302"/>
      <c r="C56" s="303" t="s">
        <v>593</v>
      </c>
      <c r="D56" s="304"/>
      <c r="E56" s="305"/>
      <c r="F56" s="303" t="s">
        <v>455</v>
      </c>
      <c r="G56" s="306">
        <v>29.3</v>
      </c>
      <c r="H56" s="307">
        <v>2.5700000000000001E-2</v>
      </c>
      <c r="I56" s="308"/>
      <c r="J56" s="309"/>
      <c r="K56" s="310"/>
      <c r="L56" s="311"/>
      <c r="M56" s="311"/>
      <c r="N56" s="309"/>
      <c r="O56" s="310"/>
      <c r="P56" s="311"/>
      <c r="Q56" s="311"/>
      <c r="R56" s="309"/>
      <c r="S56" s="310"/>
      <c r="T56" s="311"/>
      <c r="U56" s="311"/>
      <c r="V56" s="309"/>
      <c r="W56" s="310"/>
      <c r="X56" s="311"/>
      <c r="Y56" s="311"/>
      <c r="Z56" s="309"/>
      <c r="AA56" s="310"/>
      <c r="AB56" s="311"/>
      <c r="AC56" s="311"/>
      <c r="AD56" s="309"/>
      <c r="AE56" s="310"/>
      <c r="AF56" s="311"/>
      <c r="AG56" s="311"/>
      <c r="AH56" s="309"/>
      <c r="AI56" s="310"/>
      <c r="AJ56" s="311"/>
      <c r="AK56" s="311"/>
      <c r="AL56" s="309"/>
      <c r="AM56" s="310"/>
      <c r="AN56" s="311"/>
      <c r="AO56" s="311"/>
      <c r="AP56" s="309"/>
      <c r="AQ56" s="310"/>
      <c r="AR56" s="311"/>
      <c r="AS56" s="311"/>
      <c r="AT56" s="309"/>
      <c r="AU56" s="310"/>
      <c r="AV56" s="311"/>
      <c r="AW56" s="311"/>
      <c r="AX56" s="309"/>
      <c r="AY56" s="310"/>
      <c r="AZ56" s="311"/>
      <c r="BA56" s="311"/>
      <c r="BB56" s="309"/>
      <c r="BC56" s="310"/>
      <c r="BD56" s="311"/>
      <c r="BE56" s="311"/>
      <c r="BF56" s="309"/>
      <c r="BG56" s="310"/>
      <c r="BH56" s="311"/>
      <c r="BI56" s="311"/>
      <c r="BJ56" s="309"/>
      <c r="BK56" s="310"/>
      <c r="BL56" s="311"/>
      <c r="BM56" s="311"/>
      <c r="BN56" s="309"/>
      <c r="BO56" s="310"/>
      <c r="BP56" s="311"/>
      <c r="BQ56" s="311"/>
      <c r="BR56" s="309"/>
      <c r="BS56" s="310"/>
      <c r="BT56" s="311"/>
      <c r="BU56" s="311"/>
      <c r="BV56" s="309"/>
      <c r="BW56" s="310"/>
      <c r="BX56" s="311"/>
      <c r="BY56" s="311"/>
      <c r="BZ56" s="309"/>
      <c r="CA56" s="310"/>
      <c r="CB56" s="311"/>
      <c r="CC56" s="311"/>
      <c r="CD56" s="309"/>
      <c r="CE56" s="310"/>
      <c r="CF56" s="311"/>
      <c r="CG56" s="311"/>
      <c r="CH56" s="309"/>
      <c r="CI56" s="310"/>
      <c r="CJ56" s="311"/>
      <c r="CK56" s="311"/>
      <c r="CL56" s="309"/>
      <c r="CM56" s="310"/>
      <c r="CN56" s="311"/>
      <c r="CO56" s="311"/>
      <c r="CP56" s="309"/>
      <c r="CQ56" s="310"/>
      <c r="CR56" s="311"/>
      <c r="CS56" s="311"/>
      <c r="CT56" s="309"/>
      <c r="CU56" s="310"/>
      <c r="CV56" s="311"/>
      <c r="CW56" s="311"/>
      <c r="CX56" s="309"/>
      <c r="CY56" s="310"/>
      <c r="CZ56" s="311"/>
      <c r="DA56" s="311"/>
      <c r="DB56" s="309"/>
      <c r="DC56" s="310"/>
      <c r="DD56" s="311"/>
      <c r="DE56" s="311"/>
      <c r="DF56" s="309"/>
      <c r="DG56" s="310"/>
      <c r="DH56" s="311"/>
      <c r="DI56" s="311"/>
      <c r="DJ56" s="309"/>
      <c r="DK56" s="310"/>
      <c r="DL56" s="311"/>
      <c r="DM56" s="311"/>
      <c r="DN56" s="309"/>
      <c r="DO56" s="310"/>
      <c r="DP56" s="311"/>
      <c r="DQ56" s="311"/>
      <c r="DR56" s="309"/>
      <c r="DS56" s="310"/>
      <c r="DT56" s="311"/>
      <c r="DU56" s="311"/>
      <c r="DV56" s="309"/>
      <c r="DW56" s="310"/>
      <c r="DX56" s="311"/>
      <c r="DY56" s="311"/>
      <c r="DZ56" s="309"/>
      <c r="EA56" s="310"/>
      <c r="EB56" s="311"/>
      <c r="EC56" s="311"/>
      <c r="ED56" s="309"/>
      <c r="EE56" s="310"/>
      <c r="EF56" s="311"/>
      <c r="EG56" s="311"/>
      <c r="EH56" s="309"/>
      <c r="EI56" s="310"/>
      <c r="EJ56" s="311"/>
      <c r="EK56" s="311"/>
      <c r="EL56" s="309"/>
      <c r="EM56" s="310"/>
      <c r="EN56" s="311"/>
      <c r="EO56" s="311"/>
      <c r="EP56" s="309"/>
      <c r="EQ56" s="310"/>
      <c r="ER56" s="311"/>
      <c r="ES56" s="311"/>
      <c r="ET56" s="309"/>
      <c r="EU56" s="310"/>
      <c r="EV56" s="311"/>
      <c r="EW56" s="311"/>
      <c r="EX56" s="309"/>
      <c r="EY56" s="310"/>
      <c r="EZ56" s="311"/>
      <c r="FA56" s="311"/>
      <c r="FB56" s="309"/>
      <c r="FC56" s="310"/>
      <c r="FD56" s="311"/>
      <c r="FE56" s="311"/>
      <c r="FF56" s="309"/>
      <c r="FG56" s="310"/>
      <c r="FH56" s="311"/>
      <c r="FI56" s="311"/>
      <c r="FJ56" s="309"/>
      <c r="FK56" s="310"/>
      <c r="FL56" s="311"/>
      <c r="FM56" s="311"/>
      <c r="FN56" s="309"/>
      <c r="FO56" s="310"/>
      <c r="FP56" s="311"/>
      <c r="FQ56" s="311"/>
      <c r="FR56" s="309"/>
      <c r="FS56" s="310"/>
      <c r="FT56" s="311"/>
      <c r="FU56" s="311"/>
      <c r="FV56" s="309"/>
      <c r="FW56" s="310"/>
      <c r="FX56" s="311"/>
      <c r="FY56" s="311"/>
      <c r="FZ56" s="309"/>
      <c r="GA56" s="310"/>
      <c r="GB56" s="311"/>
      <c r="GC56" s="311"/>
      <c r="GD56" s="309"/>
      <c r="GE56" s="310"/>
      <c r="GF56" s="311"/>
      <c r="GG56" s="311"/>
      <c r="GH56" s="309"/>
      <c r="GI56" s="310"/>
      <c r="GJ56" s="311"/>
      <c r="GK56" s="311"/>
      <c r="GL56" s="309"/>
      <c r="GM56" s="310"/>
      <c r="GN56" s="311"/>
      <c r="GO56" s="311"/>
      <c r="GP56" s="309"/>
      <c r="GQ56" s="310"/>
      <c r="GR56" s="311"/>
      <c r="GS56" s="311"/>
      <c r="GT56" s="309"/>
      <c r="GU56" s="310"/>
      <c r="GV56" s="311"/>
      <c r="GW56" s="311"/>
      <c r="GX56" s="309"/>
      <c r="GY56" s="310"/>
      <c r="GZ56" s="311"/>
      <c r="HA56" s="311"/>
      <c r="HB56" s="309"/>
      <c r="HC56" s="312">
        <f t="shared" si="79"/>
        <v>0</v>
      </c>
      <c r="HD56" s="313">
        <f t="shared" si="79"/>
        <v>0</v>
      </c>
      <c r="HE56" s="313">
        <f t="shared" si="79"/>
        <v>0</v>
      </c>
      <c r="HF56" s="314"/>
      <c r="HG56" s="312">
        <f>SUM(SUMIFS(K56:HB56,$K$13:$HB$13,{"エネルギー管理指定工場等*","県域*"}))</f>
        <v>0</v>
      </c>
      <c r="HH56" s="313">
        <f>SUM(SUMIFS(L56:HC56,$K$13:$HB$13,{"エネルギー管理指定工場等*","県域*"}))</f>
        <v>0</v>
      </c>
      <c r="HI56" s="313">
        <f>SUM(SUMIFS(M56:HD56,$K$13:$HB$13,{"エネルギー管理指定工場等*","県域*"}))</f>
        <v>0</v>
      </c>
      <c r="HJ56" s="314"/>
      <c r="HL56" s="219">
        <v>47</v>
      </c>
      <c r="HM56" s="714" t="str">
        <f t="shared" ca="1" si="67"/>
        <v/>
      </c>
      <c r="HN56" s="715" t="str">
        <f ca="1">IF(COUNTIF(HN$10:HN55,OFFSET(A1_原単位2027,5,HL56+2))&gt;=1,"",OFFSET(A1_原単位2027,5,HL56+2)&amp;"")</f>
        <v/>
      </c>
      <c r="HO56" s="716" t="str">
        <f t="shared" ca="1" si="50"/>
        <v/>
      </c>
      <c r="HP56" s="717" t="str">
        <f t="shared" ca="1" si="68"/>
        <v/>
      </c>
      <c r="HQ56" s="714" t="str">
        <f t="shared" ca="1" si="69"/>
        <v/>
      </c>
      <c r="HR56" s="715" t="str">
        <f ca="1">IF(COUNTIF(HR$10:HR55,OFFSET(A1_原単位2027,17,HL56+2))&gt;=1,"",OFFSET(A1_原単位2027,17,HL56+2)&amp;"")</f>
        <v/>
      </c>
      <c r="HS56" s="718" t="str">
        <f t="shared" ca="1" si="53"/>
        <v/>
      </c>
      <c r="HT56" s="719" t="str">
        <f t="shared" ca="1" si="70"/>
        <v/>
      </c>
      <c r="HU56" s="714" t="str">
        <f t="shared" ca="1" si="71"/>
        <v/>
      </c>
      <c r="HV56" s="715" t="str">
        <f ca="1">IF(COUNTIF(HV$10:HV55,OFFSET(A1_原単位2027,29,HL56+2))&gt;=1,"",OFFSET(A1_原単位2027,29,HL56+2)&amp;"")</f>
        <v/>
      </c>
      <c r="HW56" s="718" t="str">
        <f t="shared" ca="1" si="56"/>
        <v/>
      </c>
      <c r="HX56" s="719" t="str">
        <f t="shared" ca="1" si="72"/>
        <v/>
      </c>
      <c r="HY56" s="714" t="str">
        <f t="shared" ca="1" si="73"/>
        <v/>
      </c>
      <c r="HZ56" s="715" t="str">
        <f ca="1">IF(COUNTIF(HZ$10:HZ55,OFFSET(A1_原単位2027,41,HL56+2))&gt;=1,"",OFFSET(A1_原単位2027,41,HL56+2)&amp;"")</f>
        <v/>
      </c>
      <c r="IA56" s="720" t="str">
        <f t="shared" ca="1" si="59"/>
        <v/>
      </c>
      <c r="IB56" s="721" t="str">
        <f t="shared" ca="1" si="74"/>
        <v/>
      </c>
      <c r="IE56" s="159" t="str">
        <f t="shared" ca="1" si="75"/>
        <v/>
      </c>
      <c r="IF56" s="159" t="str">
        <f t="shared" ca="1" si="76"/>
        <v/>
      </c>
      <c r="IG56" s="159" t="str">
        <f t="shared" ca="1" si="77"/>
        <v/>
      </c>
      <c r="IH56" s="159" t="str">
        <f t="shared" ca="1" si="78"/>
        <v/>
      </c>
    </row>
    <row r="57" spans="2:242" s="164" customFormat="1" ht="20.100000000000001" customHeight="1">
      <c r="B57" s="302"/>
      <c r="C57" s="303" t="s">
        <v>594</v>
      </c>
      <c r="D57" s="304"/>
      <c r="E57" s="305"/>
      <c r="F57" s="303" t="s">
        <v>455</v>
      </c>
      <c r="G57" s="306">
        <v>29.3</v>
      </c>
      <c r="H57" s="307">
        <v>2.3900000000000001E-2</v>
      </c>
      <c r="I57" s="308"/>
      <c r="J57" s="309"/>
      <c r="K57" s="310"/>
      <c r="L57" s="311"/>
      <c r="M57" s="311"/>
      <c r="N57" s="309"/>
      <c r="O57" s="310"/>
      <c r="P57" s="311"/>
      <c r="Q57" s="311"/>
      <c r="R57" s="309"/>
      <c r="S57" s="310"/>
      <c r="T57" s="311"/>
      <c r="U57" s="311"/>
      <c r="V57" s="309"/>
      <c r="W57" s="310"/>
      <c r="X57" s="311"/>
      <c r="Y57" s="311"/>
      <c r="Z57" s="309"/>
      <c r="AA57" s="310"/>
      <c r="AB57" s="311"/>
      <c r="AC57" s="311"/>
      <c r="AD57" s="309"/>
      <c r="AE57" s="310"/>
      <c r="AF57" s="311"/>
      <c r="AG57" s="311"/>
      <c r="AH57" s="309"/>
      <c r="AI57" s="310"/>
      <c r="AJ57" s="311"/>
      <c r="AK57" s="311"/>
      <c r="AL57" s="309"/>
      <c r="AM57" s="310"/>
      <c r="AN57" s="311"/>
      <c r="AO57" s="311"/>
      <c r="AP57" s="309"/>
      <c r="AQ57" s="310"/>
      <c r="AR57" s="311"/>
      <c r="AS57" s="311"/>
      <c r="AT57" s="309"/>
      <c r="AU57" s="310"/>
      <c r="AV57" s="311"/>
      <c r="AW57" s="311"/>
      <c r="AX57" s="309"/>
      <c r="AY57" s="310"/>
      <c r="AZ57" s="311"/>
      <c r="BA57" s="311"/>
      <c r="BB57" s="309"/>
      <c r="BC57" s="310"/>
      <c r="BD57" s="311"/>
      <c r="BE57" s="311"/>
      <c r="BF57" s="309"/>
      <c r="BG57" s="310"/>
      <c r="BH57" s="311"/>
      <c r="BI57" s="311"/>
      <c r="BJ57" s="309"/>
      <c r="BK57" s="310"/>
      <c r="BL57" s="311"/>
      <c r="BM57" s="311"/>
      <c r="BN57" s="309"/>
      <c r="BO57" s="310"/>
      <c r="BP57" s="311"/>
      <c r="BQ57" s="311"/>
      <c r="BR57" s="309"/>
      <c r="BS57" s="310"/>
      <c r="BT57" s="311"/>
      <c r="BU57" s="311"/>
      <c r="BV57" s="309"/>
      <c r="BW57" s="310"/>
      <c r="BX57" s="311"/>
      <c r="BY57" s="311"/>
      <c r="BZ57" s="309"/>
      <c r="CA57" s="310"/>
      <c r="CB57" s="311"/>
      <c r="CC57" s="311"/>
      <c r="CD57" s="309"/>
      <c r="CE57" s="310"/>
      <c r="CF57" s="311"/>
      <c r="CG57" s="311"/>
      <c r="CH57" s="309"/>
      <c r="CI57" s="310"/>
      <c r="CJ57" s="311"/>
      <c r="CK57" s="311"/>
      <c r="CL57" s="309"/>
      <c r="CM57" s="310"/>
      <c r="CN57" s="311"/>
      <c r="CO57" s="311"/>
      <c r="CP57" s="309"/>
      <c r="CQ57" s="310"/>
      <c r="CR57" s="311"/>
      <c r="CS57" s="311"/>
      <c r="CT57" s="309"/>
      <c r="CU57" s="310"/>
      <c r="CV57" s="311"/>
      <c r="CW57" s="311"/>
      <c r="CX57" s="309"/>
      <c r="CY57" s="310"/>
      <c r="CZ57" s="311"/>
      <c r="DA57" s="311"/>
      <c r="DB57" s="309"/>
      <c r="DC57" s="310"/>
      <c r="DD57" s="311"/>
      <c r="DE57" s="311"/>
      <c r="DF57" s="309"/>
      <c r="DG57" s="310"/>
      <c r="DH57" s="311"/>
      <c r="DI57" s="311"/>
      <c r="DJ57" s="309"/>
      <c r="DK57" s="310"/>
      <c r="DL57" s="311"/>
      <c r="DM57" s="311"/>
      <c r="DN57" s="309"/>
      <c r="DO57" s="310"/>
      <c r="DP57" s="311"/>
      <c r="DQ57" s="311"/>
      <c r="DR57" s="309"/>
      <c r="DS57" s="310"/>
      <c r="DT57" s="311"/>
      <c r="DU57" s="311"/>
      <c r="DV57" s="309"/>
      <c r="DW57" s="310"/>
      <c r="DX57" s="311"/>
      <c r="DY57" s="311"/>
      <c r="DZ57" s="309"/>
      <c r="EA57" s="310"/>
      <c r="EB57" s="311"/>
      <c r="EC57" s="311"/>
      <c r="ED57" s="309"/>
      <c r="EE57" s="310"/>
      <c r="EF57" s="311"/>
      <c r="EG57" s="311"/>
      <c r="EH57" s="309"/>
      <c r="EI57" s="310"/>
      <c r="EJ57" s="311"/>
      <c r="EK57" s="311"/>
      <c r="EL57" s="309"/>
      <c r="EM57" s="310"/>
      <c r="EN57" s="311"/>
      <c r="EO57" s="311"/>
      <c r="EP57" s="309"/>
      <c r="EQ57" s="310"/>
      <c r="ER57" s="311"/>
      <c r="ES57" s="311"/>
      <c r="ET57" s="309"/>
      <c r="EU57" s="310"/>
      <c r="EV57" s="311"/>
      <c r="EW57" s="311"/>
      <c r="EX57" s="309"/>
      <c r="EY57" s="310"/>
      <c r="EZ57" s="311"/>
      <c r="FA57" s="311"/>
      <c r="FB57" s="309"/>
      <c r="FC57" s="310"/>
      <c r="FD57" s="311"/>
      <c r="FE57" s="311"/>
      <c r="FF57" s="309"/>
      <c r="FG57" s="310"/>
      <c r="FH57" s="311"/>
      <c r="FI57" s="311"/>
      <c r="FJ57" s="309"/>
      <c r="FK57" s="310"/>
      <c r="FL57" s="311"/>
      <c r="FM57" s="311"/>
      <c r="FN57" s="309"/>
      <c r="FO57" s="310"/>
      <c r="FP57" s="311"/>
      <c r="FQ57" s="311"/>
      <c r="FR57" s="309"/>
      <c r="FS57" s="310"/>
      <c r="FT57" s="311"/>
      <c r="FU57" s="311"/>
      <c r="FV57" s="309"/>
      <c r="FW57" s="310"/>
      <c r="FX57" s="311"/>
      <c r="FY57" s="311"/>
      <c r="FZ57" s="309"/>
      <c r="GA57" s="310"/>
      <c r="GB57" s="311"/>
      <c r="GC57" s="311"/>
      <c r="GD57" s="309"/>
      <c r="GE57" s="310"/>
      <c r="GF57" s="311"/>
      <c r="GG57" s="311"/>
      <c r="GH57" s="309"/>
      <c r="GI57" s="310"/>
      <c r="GJ57" s="311"/>
      <c r="GK57" s="311"/>
      <c r="GL57" s="309"/>
      <c r="GM57" s="310"/>
      <c r="GN57" s="311"/>
      <c r="GO57" s="311"/>
      <c r="GP57" s="309"/>
      <c r="GQ57" s="310"/>
      <c r="GR57" s="311"/>
      <c r="GS57" s="311"/>
      <c r="GT57" s="309"/>
      <c r="GU57" s="310"/>
      <c r="GV57" s="311"/>
      <c r="GW57" s="311"/>
      <c r="GX57" s="309"/>
      <c r="GY57" s="310"/>
      <c r="GZ57" s="311"/>
      <c r="HA57" s="311"/>
      <c r="HB57" s="309"/>
      <c r="HC57" s="312">
        <f t="shared" si="79"/>
        <v>0</v>
      </c>
      <c r="HD57" s="313">
        <f t="shared" si="79"/>
        <v>0</v>
      </c>
      <c r="HE57" s="313">
        <f t="shared" si="79"/>
        <v>0</v>
      </c>
      <c r="HF57" s="314"/>
      <c r="HG57" s="312">
        <f>SUM(SUMIFS(K57:HB57,$K$13:$HB$13,{"エネルギー管理指定工場等*","県域*"}))</f>
        <v>0</v>
      </c>
      <c r="HH57" s="313">
        <f>SUM(SUMIFS(L57:HC57,$K$13:$HB$13,{"エネルギー管理指定工場等*","県域*"}))</f>
        <v>0</v>
      </c>
      <c r="HI57" s="313">
        <f>SUM(SUMIFS(M57:HD57,$K$13:$HB$13,{"エネルギー管理指定工場等*","県域*"}))</f>
        <v>0</v>
      </c>
      <c r="HJ57" s="314"/>
      <c r="HL57" s="230">
        <v>48</v>
      </c>
      <c r="HM57" s="714" t="str">
        <f t="shared" ca="1" si="67"/>
        <v/>
      </c>
      <c r="HN57" s="715" t="str">
        <f ca="1">IF(COUNTIF(HN$10:HN56,OFFSET(A1_原単位2027,5,HL57+2))&gt;=1,"",OFFSET(A1_原単位2027,5,HL57+2)&amp;"")</f>
        <v/>
      </c>
      <c r="HO57" s="716" t="str">
        <f t="shared" ca="1" si="50"/>
        <v/>
      </c>
      <c r="HP57" s="717" t="str">
        <f t="shared" ca="1" si="68"/>
        <v/>
      </c>
      <c r="HQ57" s="714" t="str">
        <f t="shared" ca="1" si="69"/>
        <v/>
      </c>
      <c r="HR57" s="715" t="str">
        <f ca="1">IF(COUNTIF(HR$10:HR56,OFFSET(A1_原単位2027,17,HL57+2))&gt;=1,"",OFFSET(A1_原単位2027,17,HL57+2)&amp;"")</f>
        <v/>
      </c>
      <c r="HS57" s="718" t="str">
        <f t="shared" ca="1" si="53"/>
        <v/>
      </c>
      <c r="HT57" s="719" t="str">
        <f t="shared" ca="1" si="70"/>
        <v/>
      </c>
      <c r="HU57" s="714" t="str">
        <f t="shared" ca="1" si="71"/>
        <v/>
      </c>
      <c r="HV57" s="715" t="str">
        <f ca="1">IF(COUNTIF(HV$10:HV56,OFFSET(A1_原単位2027,29,HL57+2))&gt;=1,"",OFFSET(A1_原単位2027,29,HL57+2)&amp;"")</f>
        <v/>
      </c>
      <c r="HW57" s="718" t="str">
        <f t="shared" ca="1" si="56"/>
        <v/>
      </c>
      <c r="HX57" s="719" t="str">
        <f t="shared" ca="1" si="72"/>
        <v/>
      </c>
      <c r="HY57" s="714" t="str">
        <f t="shared" ca="1" si="73"/>
        <v/>
      </c>
      <c r="HZ57" s="715" t="str">
        <f ca="1">IF(COUNTIF(HZ$10:HZ56,OFFSET(A1_原単位2027,41,HL57+2))&gt;=1,"",OFFSET(A1_原単位2027,41,HL57+2)&amp;"")</f>
        <v/>
      </c>
      <c r="IA57" s="720" t="str">
        <f t="shared" ca="1" si="59"/>
        <v/>
      </c>
      <c r="IB57" s="721" t="str">
        <f t="shared" ca="1" si="74"/>
        <v/>
      </c>
      <c r="IE57" s="159" t="str">
        <f t="shared" ca="1" si="75"/>
        <v/>
      </c>
      <c r="IF57" s="159" t="str">
        <f t="shared" ca="1" si="76"/>
        <v/>
      </c>
      <c r="IG57" s="159" t="str">
        <f t="shared" ca="1" si="77"/>
        <v/>
      </c>
      <c r="IH57" s="159" t="str">
        <f t="shared" ca="1" si="78"/>
        <v/>
      </c>
    </row>
    <row r="58" spans="2:242" s="164" customFormat="1" ht="20.100000000000001" customHeight="1">
      <c r="B58" s="302"/>
      <c r="C58" s="303" t="s">
        <v>595</v>
      </c>
      <c r="D58" s="304"/>
      <c r="E58" s="305"/>
      <c r="F58" s="303" t="s">
        <v>453</v>
      </c>
      <c r="G58" s="306">
        <v>40.200000000000003</v>
      </c>
      <c r="H58" s="307">
        <v>1.7899999999999999E-2</v>
      </c>
      <c r="I58" s="308"/>
      <c r="J58" s="309"/>
      <c r="K58" s="310"/>
      <c r="L58" s="311"/>
      <c r="M58" s="311"/>
      <c r="N58" s="309"/>
      <c r="O58" s="310"/>
      <c r="P58" s="311"/>
      <c r="Q58" s="311"/>
      <c r="R58" s="309"/>
      <c r="S58" s="310"/>
      <c r="T58" s="311"/>
      <c r="U58" s="311"/>
      <c r="V58" s="309"/>
      <c r="W58" s="310"/>
      <c r="X58" s="311"/>
      <c r="Y58" s="311"/>
      <c r="Z58" s="309"/>
      <c r="AA58" s="310"/>
      <c r="AB58" s="311"/>
      <c r="AC58" s="311"/>
      <c r="AD58" s="309"/>
      <c r="AE58" s="310"/>
      <c r="AF58" s="311"/>
      <c r="AG58" s="311"/>
      <c r="AH58" s="309"/>
      <c r="AI58" s="310"/>
      <c r="AJ58" s="311"/>
      <c r="AK58" s="311"/>
      <c r="AL58" s="309"/>
      <c r="AM58" s="310"/>
      <c r="AN58" s="311"/>
      <c r="AO58" s="311"/>
      <c r="AP58" s="309"/>
      <c r="AQ58" s="310"/>
      <c r="AR58" s="311"/>
      <c r="AS58" s="311"/>
      <c r="AT58" s="309"/>
      <c r="AU58" s="310"/>
      <c r="AV58" s="311"/>
      <c r="AW58" s="311"/>
      <c r="AX58" s="309"/>
      <c r="AY58" s="310"/>
      <c r="AZ58" s="311"/>
      <c r="BA58" s="311"/>
      <c r="BB58" s="309"/>
      <c r="BC58" s="310"/>
      <c r="BD58" s="311"/>
      <c r="BE58" s="311"/>
      <c r="BF58" s="309"/>
      <c r="BG58" s="310"/>
      <c r="BH58" s="311"/>
      <c r="BI58" s="311"/>
      <c r="BJ58" s="309"/>
      <c r="BK58" s="310"/>
      <c r="BL58" s="311"/>
      <c r="BM58" s="311"/>
      <c r="BN58" s="309"/>
      <c r="BO58" s="310"/>
      <c r="BP58" s="311"/>
      <c r="BQ58" s="311"/>
      <c r="BR58" s="309"/>
      <c r="BS58" s="310"/>
      <c r="BT58" s="311"/>
      <c r="BU58" s="311"/>
      <c r="BV58" s="309"/>
      <c r="BW58" s="310"/>
      <c r="BX58" s="311"/>
      <c r="BY58" s="311"/>
      <c r="BZ58" s="309"/>
      <c r="CA58" s="310"/>
      <c r="CB58" s="311"/>
      <c r="CC58" s="311"/>
      <c r="CD58" s="309"/>
      <c r="CE58" s="310"/>
      <c r="CF58" s="311"/>
      <c r="CG58" s="311"/>
      <c r="CH58" s="309"/>
      <c r="CI58" s="310"/>
      <c r="CJ58" s="311"/>
      <c r="CK58" s="311"/>
      <c r="CL58" s="309"/>
      <c r="CM58" s="310"/>
      <c r="CN58" s="311"/>
      <c r="CO58" s="311"/>
      <c r="CP58" s="309"/>
      <c r="CQ58" s="310"/>
      <c r="CR58" s="311"/>
      <c r="CS58" s="311"/>
      <c r="CT58" s="309"/>
      <c r="CU58" s="310"/>
      <c r="CV58" s="311"/>
      <c r="CW58" s="311"/>
      <c r="CX58" s="309"/>
      <c r="CY58" s="310"/>
      <c r="CZ58" s="311"/>
      <c r="DA58" s="311"/>
      <c r="DB58" s="309"/>
      <c r="DC58" s="310"/>
      <c r="DD58" s="311"/>
      <c r="DE58" s="311"/>
      <c r="DF58" s="309"/>
      <c r="DG58" s="310"/>
      <c r="DH58" s="311"/>
      <c r="DI58" s="311"/>
      <c r="DJ58" s="309"/>
      <c r="DK58" s="310"/>
      <c r="DL58" s="311"/>
      <c r="DM58" s="311"/>
      <c r="DN58" s="309"/>
      <c r="DO58" s="310"/>
      <c r="DP58" s="311"/>
      <c r="DQ58" s="311"/>
      <c r="DR58" s="309"/>
      <c r="DS58" s="310"/>
      <c r="DT58" s="311"/>
      <c r="DU58" s="311"/>
      <c r="DV58" s="309"/>
      <c r="DW58" s="310"/>
      <c r="DX58" s="311"/>
      <c r="DY58" s="311"/>
      <c r="DZ58" s="309"/>
      <c r="EA58" s="310"/>
      <c r="EB58" s="311"/>
      <c r="EC58" s="311"/>
      <c r="ED58" s="309"/>
      <c r="EE58" s="310"/>
      <c r="EF58" s="311"/>
      <c r="EG58" s="311"/>
      <c r="EH58" s="309"/>
      <c r="EI58" s="310"/>
      <c r="EJ58" s="311"/>
      <c r="EK58" s="311"/>
      <c r="EL58" s="309"/>
      <c r="EM58" s="310"/>
      <c r="EN58" s="311"/>
      <c r="EO58" s="311"/>
      <c r="EP58" s="309"/>
      <c r="EQ58" s="310"/>
      <c r="ER58" s="311"/>
      <c r="ES58" s="311"/>
      <c r="ET58" s="309"/>
      <c r="EU58" s="310"/>
      <c r="EV58" s="311"/>
      <c r="EW58" s="311"/>
      <c r="EX58" s="309"/>
      <c r="EY58" s="310"/>
      <c r="EZ58" s="311"/>
      <c r="FA58" s="311"/>
      <c r="FB58" s="309"/>
      <c r="FC58" s="310"/>
      <c r="FD58" s="311"/>
      <c r="FE58" s="311"/>
      <c r="FF58" s="309"/>
      <c r="FG58" s="310"/>
      <c r="FH58" s="311"/>
      <c r="FI58" s="311"/>
      <c r="FJ58" s="309"/>
      <c r="FK58" s="310"/>
      <c r="FL58" s="311"/>
      <c r="FM58" s="311"/>
      <c r="FN58" s="309"/>
      <c r="FO58" s="310"/>
      <c r="FP58" s="311"/>
      <c r="FQ58" s="311"/>
      <c r="FR58" s="309"/>
      <c r="FS58" s="310"/>
      <c r="FT58" s="311"/>
      <c r="FU58" s="311"/>
      <c r="FV58" s="309"/>
      <c r="FW58" s="310"/>
      <c r="FX58" s="311"/>
      <c r="FY58" s="311"/>
      <c r="FZ58" s="309"/>
      <c r="GA58" s="310"/>
      <c r="GB58" s="311"/>
      <c r="GC58" s="311"/>
      <c r="GD58" s="309"/>
      <c r="GE58" s="310"/>
      <c r="GF58" s="311"/>
      <c r="GG58" s="311"/>
      <c r="GH58" s="309"/>
      <c r="GI58" s="310"/>
      <c r="GJ58" s="311"/>
      <c r="GK58" s="311"/>
      <c r="GL58" s="309"/>
      <c r="GM58" s="310"/>
      <c r="GN58" s="311"/>
      <c r="GO58" s="311"/>
      <c r="GP58" s="309"/>
      <c r="GQ58" s="310"/>
      <c r="GR58" s="311"/>
      <c r="GS58" s="311"/>
      <c r="GT58" s="309"/>
      <c r="GU58" s="310"/>
      <c r="GV58" s="311"/>
      <c r="GW58" s="311"/>
      <c r="GX58" s="309"/>
      <c r="GY58" s="310"/>
      <c r="GZ58" s="311"/>
      <c r="HA58" s="311"/>
      <c r="HB58" s="309"/>
      <c r="HC58" s="312">
        <f t="shared" si="79"/>
        <v>0</v>
      </c>
      <c r="HD58" s="313">
        <f t="shared" si="79"/>
        <v>0</v>
      </c>
      <c r="HE58" s="313">
        <f t="shared" si="79"/>
        <v>0</v>
      </c>
      <c r="HF58" s="314"/>
      <c r="HG58" s="312">
        <f>SUM(SUMIFS(K58:HB58,$K$13:$HB$13,{"エネルギー管理指定工場等*","県域*"}))</f>
        <v>0</v>
      </c>
      <c r="HH58" s="313">
        <f>SUM(SUMIFS(L58:HC58,$K$13:$HB$13,{"エネルギー管理指定工場等*","県域*"}))</f>
        <v>0</v>
      </c>
      <c r="HI58" s="313">
        <f>SUM(SUMIFS(M58:HD58,$K$13:$HB$13,{"エネルギー管理指定工場等*","県域*"}))</f>
        <v>0</v>
      </c>
      <c r="HJ58" s="314"/>
      <c r="HL58" s="219">
        <v>49</v>
      </c>
      <c r="HM58" s="714" t="str">
        <f t="shared" ca="1" si="67"/>
        <v/>
      </c>
      <c r="HN58" s="715" t="str">
        <f ca="1">IF(COUNTIF(HN$10:HN57,OFFSET(A1_原単位2027,5,HL58+2))&gt;=1,"",OFFSET(A1_原単位2027,5,HL58+2)&amp;"")</f>
        <v/>
      </c>
      <c r="HO58" s="716" t="str">
        <f t="shared" ca="1" si="50"/>
        <v/>
      </c>
      <c r="HP58" s="717" t="str">
        <f t="shared" ca="1" si="68"/>
        <v/>
      </c>
      <c r="HQ58" s="714" t="str">
        <f t="shared" ca="1" si="69"/>
        <v/>
      </c>
      <c r="HR58" s="715" t="str">
        <f ca="1">IF(COUNTIF(HR$10:HR57,OFFSET(A1_原単位2027,17,HL58+2))&gt;=1,"",OFFSET(A1_原単位2027,17,HL58+2)&amp;"")</f>
        <v/>
      </c>
      <c r="HS58" s="718" t="str">
        <f t="shared" ca="1" si="53"/>
        <v/>
      </c>
      <c r="HT58" s="719" t="str">
        <f t="shared" ca="1" si="70"/>
        <v/>
      </c>
      <c r="HU58" s="714" t="str">
        <f t="shared" ca="1" si="71"/>
        <v/>
      </c>
      <c r="HV58" s="715" t="str">
        <f ca="1">IF(COUNTIF(HV$10:HV57,OFFSET(A1_原単位2027,29,HL58+2))&gt;=1,"",OFFSET(A1_原単位2027,29,HL58+2)&amp;"")</f>
        <v/>
      </c>
      <c r="HW58" s="718" t="str">
        <f t="shared" ca="1" si="56"/>
        <v/>
      </c>
      <c r="HX58" s="719" t="str">
        <f t="shared" ca="1" si="72"/>
        <v/>
      </c>
      <c r="HY58" s="714" t="str">
        <f t="shared" ca="1" si="73"/>
        <v/>
      </c>
      <c r="HZ58" s="715" t="str">
        <f ca="1">IF(COUNTIF(HZ$10:HZ57,OFFSET(A1_原単位2027,41,HL58+2))&gt;=1,"",OFFSET(A1_原単位2027,41,HL58+2)&amp;"")</f>
        <v/>
      </c>
      <c r="IA58" s="720" t="str">
        <f t="shared" ca="1" si="59"/>
        <v/>
      </c>
      <c r="IB58" s="721" t="str">
        <f t="shared" ca="1" si="74"/>
        <v/>
      </c>
      <c r="IE58" s="159" t="str">
        <f t="shared" ca="1" si="75"/>
        <v/>
      </c>
      <c r="IF58" s="159" t="str">
        <f t="shared" ca="1" si="76"/>
        <v/>
      </c>
      <c r="IG58" s="159" t="str">
        <f t="shared" ca="1" si="77"/>
        <v/>
      </c>
      <c r="IH58" s="159" t="str">
        <f t="shared" ca="1" si="78"/>
        <v/>
      </c>
    </row>
    <row r="59" spans="2:242" s="164" customFormat="1" ht="20.100000000000001" customHeight="1" thickBot="1">
      <c r="B59" s="302"/>
      <c r="C59" s="303" t="s">
        <v>596</v>
      </c>
      <c r="D59" s="304"/>
      <c r="E59" s="305"/>
      <c r="F59" s="303" t="s">
        <v>457</v>
      </c>
      <c r="G59" s="306">
        <v>21.2</v>
      </c>
      <c r="H59" s="309"/>
      <c r="I59" s="308"/>
      <c r="J59" s="309"/>
      <c r="K59" s="310"/>
      <c r="L59" s="311"/>
      <c r="M59" s="311"/>
      <c r="N59" s="309"/>
      <c r="O59" s="310"/>
      <c r="P59" s="311"/>
      <c r="Q59" s="311"/>
      <c r="R59" s="309"/>
      <c r="S59" s="310"/>
      <c r="T59" s="311"/>
      <c r="U59" s="311"/>
      <c r="V59" s="309"/>
      <c r="W59" s="310"/>
      <c r="X59" s="311"/>
      <c r="Y59" s="311"/>
      <c r="Z59" s="309"/>
      <c r="AA59" s="310"/>
      <c r="AB59" s="311"/>
      <c r="AC59" s="311"/>
      <c r="AD59" s="309"/>
      <c r="AE59" s="310"/>
      <c r="AF59" s="311"/>
      <c r="AG59" s="311"/>
      <c r="AH59" s="309"/>
      <c r="AI59" s="310"/>
      <c r="AJ59" s="311"/>
      <c r="AK59" s="311"/>
      <c r="AL59" s="309"/>
      <c r="AM59" s="310"/>
      <c r="AN59" s="311"/>
      <c r="AO59" s="311"/>
      <c r="AP59" s="309"/>
      <c r="AQ59" s="310"/>
      <c r="AR59" s="311"/>
      <c r="AS59" s="311"/>
      <c r="AT59" s="309"/>
      <c r="AU59" s="310"/>
      <c r="AV59" s="311"/>
      <c r="AW59" s="311"/>
      <c r="AX59" s="309"/>
      <c r="AY59" s="310"/>
      <c r="AZ59" s="311"/>
      <c r="BA59" s="311"/>
      <c r="BB59" s="309"/>
      <c r="BC59" s="310"/>
      <c r="BD59" s="311"/>
      <c r="BE59" s="311"/>
      <c r="BF59" s="309"/>
      <c r="BG59" s="310"/>
      <c r="BH59" s="311"/>
      <c r="BI59" s="311"/>
      <c r="BJ59" s="309"/>
      <c r="BK59" s="310"/>
      <c r="BL59" s="311"/>
      <c r="BM59" s="311"/>
      <c r="BN59" s="309"/>
      <c r="BO59" s="310"/>
      <c r="BP59" s="311"/>
      <c r="BQ59" s="311"/>
      <c r="BR59" s="309"/>
      <c r="BS59" s="310"/>
      <c r="BT59" s="311"/>
      <c r="BU59" s="311"/>
      <c r="BV59" s="309"/>
      <c r="BW59" s="310"/>
      <c r="BX59" s="311"/>
      <c r="BY59" s="311"/>
      <c r="BZ59" s="309"/>
      <c r="CA59" s="310"/>
      <c r="CB59" s="311"/>
      <c r="CC59" s="311"/>
      <c r="CD59" s="309"/>
      <c r="CE59" s="310"/>
      <c r="CF59" s="311"/>
      <c r="CG59" s="311"/>
      <c r="CH59" s="309"/>
      <c r="CI59" s="310"/>
      <c r="CJ59" s="311"/>
      <c r="CK59" s="311"/>
      <c r="CL59" s="309"/>
      <c r="CM59" s="310"/>
      <c r="CN59" s="311"/>
      <c r="CO59" s="311"/>
      <c r="CP59" s="309"/>
      <c r="CQ59" s="310"/>
      <c r="CR59" s="311"/>
      <c r="CS59" s="311"/>
      <c r="CT59" s="309"/>
      <c r="CU59" s="310"/>
      <c r="CV59" s="311"/>
      <c r="CW59" s="311"/>
      <c r="CX59" s="309"/>
      <c r="CY59" s="310"/>
      <c r="CZ59" s="311"/>
      <c r="DA59" s="311"/>
      <c r="DB59" s="309"/>
      <c r="DC59" s="310"/>
      <c r="DD59" s="311"/>
      <c r="DE59" s="311"/>
      <c r="DF59" s="309"/>
      <c r="DG59" s="310"/>
      <c r="DH59" s="311"/>
      <c r="DI59" s="311"/>
      <c r="DJ59" s="309"/>
      <c r="DK59" s="310"/>
      <c r="DL59" s="311"/>
      <c r="DM59" s="311"/>
      <c r="DN59" s="309"/>
      <c r="DO59" s="310"/>
      <c r="DP59" s="311"/>
      <c r="DQ59" s="311"/>
      <c r="DR59" s="309"/>
      <c r="DS59" s="310"/>
      <c r="DT59" s="311"/>
      <c r="DU59" s="311"/>
      <c r="DV59" s="309"/>
      <c r="DW59" s="310"/>
      <c r="DX59" s="311"/>
      <c r="DY59" s="311"/>
      <c r="DZ59" s="309"/>
      <c r="EA59" s="310"/>
      <c r="EB59" s="311"/>
      <c r="EC59" s="311"/>
      <c r="ED59" s="309"/>
      <c r="EE59" s="310"/>
      <c r="EF59" s="311"/>
      <c r="EG59" s="311"/>
      <c r="EH59" s="309"/>
      <c r="EI59" s="310"/>
      <c r="EJ59" s="311"/>
      <c r="EK59" s="311"/>
      <c r="EL59" s="309"/>
      <c r="EM59" s="310"/>
      <c r="EN59" s="311"/>
      <c r="EO59" s="311"/>
      <c r="EP59" s="309"/>
      <c r="EQ59" s="310"/>
      <c r="ER59" s="311"/>
      <c r="ES59" s="311"/>
      <c r="ET59" s="309"/>
      <c r="EU59" s="310"/>
      <c r="EV59" s="311"/>
      <c r="EW59" s="311"/>
      <c r="EX59" s="309"/>
      <c r="EY59" s="310"/>
      <c r="EZ59" s="311"/>
      <c r="FA59" s="311"/>
      <c r="FB59" s="309"/>
      <c r="FC59" s="310"/>
      <c r="FD59" s="311"/>
      <c r="FE59" s="311"/>
      <c r="FF59" s="309"/>
      <c r="FG59" s="310"/>
      <c r="FH59" s="311"/>
      <c r="FI59" s="311"/>
      <c r="FJ59" s="309"/>
      <c r="FK59" s="310"/>
      <c r="FL59" s="311"/>
      <c r="FM59" s="311"/>
      <c r="FN59" s="309"/>
      <c r="FO59" s="310"/>
      <c r="FP59" s="311"/>
      <c r="FQ59" s="311"/>
      <c r="FR59" s="309"/>
      <c r="FS59" s="310"/>
      <c r="FT59" s="311"/>
      <c r="FU59" s="311"/>
      <c r="FV59" s="309"/>
      <c r="FW59" s="310"/>
      <c r="FX59" s="311"/>
      <c r="FY59" s="311"/>
      <c r="FZ59" s="309"/>
      <c r="GA59" s="310"/>
      <c r="GB59" s="311"/>
      <c r="GC59" s="311"/>
      <c r="GD59" s="309"/>
      <c r="GE59" s="310"/>
      <c r="GF59" s="311"/>
      <c r="GG59" s="311"/>
      <c r="GH59" s="309"/>
      <c r="GI59" s="310"/>
      <c r="GJ59" s="311"/>
      <c r="GK59" s="311"/>
      <c r="GL59" s="309"/>
      <c r="GM59" s="310"/>
      <c r="GN59" s="311"/>
      <c r="GO59" s="311"/>
      <c r="GP59" s="309"/>
      <c r="GQ59" s="310"/>
      <c r="GR59" s="311"/>
      <c r="GS59" s="311"/>
      <c r="GT59" s="309"/>
      <c r="GU59" s="310"/>
      <c r="GV59" s="311"/>
      <c r="GW59" s="311"/>
      <c r="GX59" s="309"/>
      <c r="GY59" s="310"/>
      <c r="GZ59" s="311"/>
      <c r="HA59" s="311"/>
      <c r="HB59" s="309"/>
      <c r="HC59" s="312">
        <f t="shared" si="79"/>
        <v>0</v>
      </c>
      <c r="HD59" s="313">
        <f t="shared" si="79"/>
        <v>0</v>
      </c>
      <c r="HE59" s="313">
        <f t="shared" si="79"/>
        <v>0</v>
      </c>
      <c r="HF59" s="314"/>
      <c r="HG59" s="312">
        <f>SUM(SUMIFS(K59:HB59,$K$13:$HB$13,{"エネルギー管理指定工場等*","県域*"}))</f>
        <v>0</v>
      </c>
      <c r="HH59" s="313">
        <f>SUM(SUMIFS(L59:HC59,$K$13:$HB$13,{"エネルギー管理指定工場等*","県域*"}))</f>
        <v>0</v>
      </c>
      <c r="HI59" s="313">
        <f>SUM(SUMIFS(M59:HD59,$K$13:$HB$13,{"エネルギー管理指定工場等*","県域*"}))</f>
        <v>0</v>
      </c>
      <c r="HJ59" s="314"/>
      <c r="HL59" s="325">
        <v>50</v>
      </c>
      <c r="HM59" s="724" t="str">
        <f t="shared" ca="1" si="67"/>
        <v/>
      </c>
      <c r="HN59" s="725" t="str">
        <f ca="1">IF(COUNTIF(HN$10:HN58,OFFSET(A1_原単位2027,5,HL59+2))&gt;=1,"",OFFSET(A1_原単位2027,5,HL59+2)&amp;"")</f>
        <v/>
      </c>
      <c r="HO59" s="726" t="str">
        <f t="shared" ca="1" si="50"/>
        <v/>
      </c>
      <c r="HP59" s="727" t="str">
        <f t="shared" ca="1" si="68"/>
        <v/>
      </c>
      <c r="HQ59" s="724" t="str">
        <f t="shared" ca="1" si="69"/>
        <v/>
      </c>
      <c r="HR59" s="725" t="str">
        <f ca="1">IF(COUNTIF(HR$10:HR58,OFFSET(A1_原単位2027,17,HL59+2))&gt;=1,"",OFFSET(A1_原単位2027,17,HL59+2)&amp;"")</f>
        <v/>
      </c>
      <c r="HS59" s="728" t="str">
        <f t="shared" ca="1" si="53"/>
        <v/>
      </c>
      <c r="HT59" s="729" t="str">
        <f t="shared" ca="1" si="70"/>
        <v/>
      </c>
      <c r="HU59" s="724" t="str">
        <f t="shared" ca="1" si="71"/>
        <v/>
      </c>
      <c r="HV59" s="725" t="str">
        <f ca="1">IF(COUNTIF(HV$10:HV58,OFFSET(A1_原単位2027,29,HL59+2))&gt;=1,"",OFFSET(A1_原単位2027,29,HL59+2)&amp;"")</f>
        <v/>
      </c>
      <c r="HW59" s="728" t="str">
        <f t="shared" ca="1" si="56"/>
        <v/>
      </c>
      <c r="HX59" s="729" t="str">
        <f t="shared" ca="1" si="72"/>
        <v/>
      </c>
      <c r="HY59" s="724" t="str">
        <f t="shared" ca="1" si="73"/>
        <v/>
      </c>
      <c r="HZ59" s="725" t="str">
        <f ca="1">IF(COUNTIF(HZ$10:HZ58,OFFSET(A1_原単位2027,41,HL59+2))&gt;=1,"",OFFSET(A1_原単位2027,41,HL59+2)&amp;"")</f>
        <v/>
      </c>
      <c r="IA59" s="730" t="str">
        <f t="shared" ca="1" si="59"/>
        <v/>
      </c>
      <c r="IB59" s="731" t="str">
        <f t="shared" ca="1" si="74"/>
        <v/>
      </c>
      <c r="IE59" s="159" t="str">
        <f t="shared" ca="1" si="75"/>
        <v/>
      </c>
      <c r="IF59" s="159" t="str">
        <f t="shared" ca="1" si="76"/>
        <v/>
      </c>
      <c r="IG59" s="159" t="str">
        <f t="shared" ca="1" si="77"/>
        <v/>
      </c>
      <c r="IH59" s="159" t="str">
        <f t="shared" ca="1" si="78"/>
        <v/>
      </c>
    </row>
    <row r="60" spans="2:242" s="164" customFormat="1" ht="20.100000000000001" customHeight="1">
      <c r="B60" s="302"/>
      <c r="C60" s="303" t="s">
        <v>597</v>
      </c>
      <c r="D60" s="304"/>
      <c r="E60" s="305"/>
      <c r="F60" s="303" t="s">
        <v>455</v>
      </c>
      <c r="G60" s="306">
        <v>17.100000000000001</v>
      </c>
      <c r="H60" s="309"/>
      <c r="I60" s="308"/>
      <c r="J60" s="309"/>
      <c r="K60" s="310"/>
      <c r="L60" s="311"/>
      <c r="M60" s="311"/>
      <c r="N60" s="309"/>
      <c r="O60" s="310"/>
      <c r="P60" s="311"/>
      <c r="Q60" s="311"/>
      <c r="R60" s="309"/>
      <c r="S60" s="310"/>
      <c r="T60" s="311"/>
      <c r="U60" s="311"/>
      <c r="V60" s="309"/>
      <c r="W60" s="310"/>
      <c r="X60" s="311"/>
      <c r="Y60" s="311"/>
      <c r="Z60" s="309"/>
      <c r="AA60" s="310"/>
      <c r="AB60" s="311"/>
      <c r="AC60" s="311"/>
      <c r="AD60" s="309"/>
      <c r="AE60" s="310"/>
      <c r="AF60" s="311"/>
      <c r="AG60" s="311"/>
      <c r="AH60" s="309"/>
      <c r="AI60" s="310"/>
      <c r="AJ60" s="311"/>
      <c r="AK60" s="311"/>
      <c r="AL60" s="309"/>
      <c r="AM60" s="310"/>
      <c r="AN60" s="311"/>
      <c r="AO60" s="311"/>
      <c r="AP60" s="309"/>
      <c r="AQ60" s="310"/>
      <c r="AR60" s="311"/>
      <c r="AS60" s="311"/>
      <c r="AT60" s="309"/>
      <c r="AU60" s="310"/>
      <c r="AV60" s="311"/>
      <c r="AW60" s="311"/>
      <c r="AX60" s="309"/>
      <c r="AY60" s="310"/>
      <c r="AZ60" s="311"/>
      <c r="BA60" s="311"/>
      <c r="BB60" s="309"/>
      <c r="BC60" s="310"/>
      <c r="BD60" s="311"/>
      <c r="BE60" s="311"/>
      <c r="BF60" s="309"/>
      <c r="BG60" s="310"/>
      <c r="BH60" s="311"/>
      <c r="BI60" s="311"/>
      <c r="BJ60" s="309"/>
      <c r="BK60" s="310"/>
      <c r="BL60" s="311"/>
      <c r="BM60" s="311"/>
      <c r="BN60" s="309"/>
      <c r="BO60" s="310"/>
      <c r="BP60" s="311"/>
      <c r="BQ60" s="311"/>
      <c r="BR60" s="309"/>
      <c r="BS60" s="310"/>
      <c r="BT60" s="311"/>
      <c r="BU60" s="311"/>
      <c r="BV60" s="309"/>
      <c r="BW60" s="310"/>
      <c r="BX60" s="311"/>
      <c r="BY60" s="311"/>
      <c r="BZ60" s="309"/>
      <c r="CA60" s="310"/>
      <c r="CB60" s="311"/>
      <c r="CC60" s="311"/>
      <c r="CD60" s="309"/>
      <c r="CE60" s="310"/>
      <c r="CF60" s="311"/>
      <c r="CG60" s="311"/>
      <c r="CH60" s="309"/>
      <c r="CI60" s="310"/>
      <c r="CJ60" s="311"/>
      <c r="CK60" s="311"/>
      <c r="CL60" s="309"/>
      <c r="CM60" s="310"/>
      <c r="CN60" s="311"/>
      <c r="CO60" s="311"/>
      <c r="CP60" s="309"/>
      <c r="CQ60" s="310"/>
      <c r="CR60" s="311"/>
      <c r="CS60" s="311"/>
      <c r="CT60" s="309"/>
      <c r="CU60" s="310"/>
      <c r="CV60" s="311"/>
      <c r="CW60" s="311"/>
      <c r="CX60" s="309"/>
      <c r="CY60" s="310"/>
      <c r="CZ60" s="311"/>
      <c r="DA60" s="311"/>
      <c r="DB60" s="309"/>
      <c r="DC60" s="310"/>
      <c r="DD60" s="311"/>
      <c r="DE60" s="311"/>
      <c r="DF60" s="309"/>
      <c r="DG60" s="310"/>
      <c r="DH60" s="311"/>
      <c r="DI60" s="311"/>
      <c r="DJ60" s="309"/>
      <c r="DK60" s="310"/>
      <c r="DL60" s="311"/>
      <c r="DM60" s="311"/>
      <c r="DN60" s="309"/>
      <c r="DO60" s="310"/>
      <c r="DP60" s="311"/>
      <c r="DQ60" s="311"/>
      <c r="DR60" s="309"/>
      <c r="DS60" s="310"/>
      <c r="DT60" s="311"/>
      <c r="DU60" s="311"/>
      <c r="DV60" s="309"/>
      <c r="DW60" s="310"/>
      <c r="DX60" s="311"/>
      <c r="DY60" s="311"/>
      <c r="DZ60" s="309"/>
      <c r="EA60" s="310"/>
      <c r="EB60" s="311"/>
      <c r="EC60" s="311"/>
      <c r="ED60" s="309"/>
      <c r="EE60" s="310"/>
      <c r="EF60" s="311"/>
      <c r="EG60" s="311"/>
      <c r="EH60" s="309"/>
      <c r="EI60" s="310"/>
      <c r="EJ60" s="311"/>
      <c r="EK60" s="311"/>
      <c r="EL60" s="309"/>
      <c r="EM60" s="310"/>
      <c r="EN60" s="311"/>
      <c r="EO60" s="311"/>
      <c r="EP60" s="309"/>
      <c r="EQ60" s="310"/>
      <c r="ER60" s="311"/>
      <c r="ES60" s="311"/>
      <c r="ET60" s="309"/>
      <c r="EU60" s="310"/>
      <c r="EV60" s="311"/>
      <c r="EW60" s="311"/>
      <c r="EX60" s="309"/>
      <c r="EY60" s="310"/>
      <c r="EZ60" s="311"/>
      <c r="FA60" s="311"/>
      <c r="FB60" s="309"/>
      <c r="FC60" s="310"/>
      <c r="FD60" s="311"/>
      <c r="FE60" s="311"/>
      <c r="FF60" s="309"/>
      <c r="FG60" s="310"/>
      <c r="FH60" s="311"/>
      <c r="FI60" s="311"/>
      <c r="FJ60" s="309"/>
      <c r="FK60" s="310"/>
      <c r="FL60" s="311"/>
      <c r="FM60" s="311"/>
      <c r="FN60" s="309"/>
      <c r="FO60" s="310"/>
      <c r="FP60" s="311"/>
      <c r="FQ60" s="311"/>
      <c r="FR60" s="309"/>
      <c r="FS60" s="310"/>
      <c r="FT60" s="311"/>
      <c r="FU60" s="311"/>
      <c r="FV60" s="309"/>
      <c r="FW60" s="310"/>
      <c r="FX60" s="311"/>
      <c r="FY60" s="311"/>
      <c r="FZ60" s="309"/>
      <c r="GA60" s="310"/>
      <c r="GB60" s="311"/>
      <c r="GC60" s="311"/>
      <c r="GD60" s="309"/>
      <c r="GE60" s="310"/>
      <c r="GF60" s="311"/>
      <c r="GG60" s="311"/>
      <c r="GH60" s="309"/>
      <c r="GI60" s="310"/>
      <c r="GJ60" s="311"/>
      <c r="GK60" s="311"/>
      <c r="GL60" s="309"/>
      <c r="GM60" s="310"/>
      <c r="GN60" s="311"/>
      <c r="GO60" s="311"/>
      <c r="GP60" s="309"/>
      <c r="GQ60" s="310"/>
      <c r="GR60" s="311"/>
      <c r="GS60" s="311"/>
      <c r="GT60" s="309"/>
      <c r="GU60" s="310"/>
      <c r="GV60" s="311"/>
      <c r="GW60" s="311"/>
      <c r="GX60" s="309"/>
      <c r="GY60" s="310"/>
      <c r="GZ60" s="311"/>
      <c r="HA60" s="311"/>
      <c r="HB60" s="309"/>
      <c r="HC60" s="312">
        <f t="shared" si="79"/>
        <v>0</v>
      </c>
      <c r="HD60" s="313">
        <f t="shared" si="79"/>
        <v>0</v>
      </c>
      <c r="HE60" s="313">
        <f t="shared" si="79"/>
        <v>0</v>
      </c>
      <c r="HF60" s="314"/>
      <c r="HG60" s="312">
        <f>SUM(SUMIFS(K60:HB60,$K$13:$HB$13,{"エネルギー管理指定工場等*","県域*"}))</f>
        <v>0</v>
      </c>
      <c r="HH60" s="313">
        <f>SUM(SUMIFS(L60:HC60,$K$13:$HB$13,{"エネルギー管理指定工場等*","県域*"}))</f>
        <v>0</v>
      </c>
      <c r="HI60" s="313">
        <f>SUM(SUMIFS(M60:HD60,$K$13:$HB$13,{"エネルギー管理指定工場等*","県域*"}))</f>
        <v>0</v>
      </c>
      <c r="HJ60" s="314"/>
      <c r="IE60" s="579"/>
      <c r="IF60" s="579"/>
      <c r="IG60" s="579"/>
      <c r="IH60" s="579"/>
    </row>
    <row r="61" spans="2:242" s="164" customFormat="1" ht="20.100000000000001" customHeight="1">
      <c r="B61" s="302"/>
      <c r="C61" s="303" t="s">
        <v>598</v>
      </c>
      <c r="D61" s="304"/>
      <c r="E61" s="305"/>
      <c r="F61" s="303" t="s">
        <v>455</v>
      </c>
      <c r="G61" s="306">
        <v>142</v>
      </c>
      <c r="H61" s="309"/>
      <c r="I61" s="310"/>
      <c r="J61" s="315"/>
      <c r="K61" s="310"/>
      <c r="L61" s="311"/>
      <c r="M61" s="311"/>
      <c r="N61" s="309"/>
      <c r="O61" s="310"/>
      <c r="P61" s="311"/>
      <c r="Q61" s="311"/>
      <c r="R61" s="309"/>
      <c r="S61" s="310"/>
      <c r="T61" s="311"/>
      <c r="U61" s="311"/>
      <c r="V61" s="309"/>
      <c r="W61" s="310"/>
      <c r="X61" s="311"/>
      <c r="Y61" s="311"/>
      <c r="Z61" s="309"/>
      <c r="AA61" s="310"/>
      <c r="AB61" s="311"/>
      <c r="AC61" s="311"/>
      <c r="AD61" s="309"/>
      <c r="AE61" s="310"/>
      <c r="AF61" s="311"/>
      <c r="AG61" s="311"/>
      <c r="AH61" s="309"/>
      <c r="AI61" s="310"/>
      <c r="AJ61" s="311"/>
      <c r="AK61" s="311"/>
      <c r="AL61" s="309"/>
      <c r="AM61" s="310"/>
      <c r="AN61" s="311"/>
      <c r="AO61" s="311"/>
      <c r="AP61" s="309"/>
      <c r="AQ61" s="310"/>
      <c r="AR61" s="311"/>
      <c r="AS61" s="311"/>
      <c r="AT61" s="309"/>
      <c r="AU61" s="310"/>
      <c r="AV61" s="311"/>
      <c r="AW61" s="311"/>
      <c r="AX61" s="309"/>
      <c r="AY61" s="310"/>
      <c r="AZ61" s="311"/>
      <c r="BA61" s="311"/>
      <c r="BB61" s="309"/>
      <c r="BC61" s="310"/>
      <c r="BD61" s="311"/>
      <c r="BE61" s="311"/>
      <c r="BF61" s="309"/>
      <c r="BG61" s="310"/>
      <c r="BH61" s="311"/>
      <c r="BI61" s="311"/>
      <c r="BJ61" s="309"/>
      <c r="BK61" s="310"/>
      <c r="BL61" s="311"/>
      <c r="BM61" s="311"/>
      <c r="BN61" s="309"/>
      <c r="BO61" s="310"/>
      <c r="BP61" s="311"/>
      <c r="BQ61" s="311"/>
      <c r="BR61" s="309"/>
      <c r="BS61" s="310"/>
      <c r="BT61" s="311"/>
      <c r="BU61" s="311"/>
      <c r="BV61" s="309"/>
      <c r="BW61" s="310"/>
      <c r="BX61" s="311"/>
      <c r="BY61" s="311"/>
      <c r="BZ61" s="309"/>
      <c r="CA61" s="310"/>
      <c r="CB61" s="311"/>
      <c r="CC61" s="311"/>
      <c r="CD61" s="309"/>
      <c r="CE61" s="310"/>
      <c r="CF61" s="311"/>
      <c r="CG61" s="311"/>
      <c r="CH61" s="309"/>
      <c r="CI61" s="310"/>
      <c r="CJ61" s="311"/>
      <c r="CK61" s="311"/>
      <c r="CL61" s="309"/>
      <c r="CM61" s="310"/>
      <c r="CN61" s="311"/>
      <c r="CO61" s="311"/>
      <c r="CP61" s="309"/>
      <c r="CQ61" s="310"/>
      <c r="CR61" s="311"/>
      <c r="CS61" s="311"/>
      <c r="CT61" s="309"/>
      <c r="CU61" s="310"/>
      <c r="CV61" s="311"/>
      <c r="CW61" s="311"/>
      <c r="CX61" s="309"/>
      <c r="CY61" s="310"/>
      <c r="CZ61" s="311"/>
      <c r="DA61" s="311"/>
      <c r="DB61" s="309"/>
      <c r="DC61" s="310"/>
      <c r="DD61" s="311"/>
      <c r="DE61" s="311"/>
      <c r="DF61" s="309"/>
      <c r="DG61" s="310"/>
      <c r="DH61" s="311"/>
      <c r="DI61" s="311"/>
      <c r="DJ61" s="309"/>
      <c r="DK61" s="310"/>
      <c r="DL61" s="311"/>
      <c r="DM61" s="311"/>
      <c r="DN61" s="309"/>
      <c r="DO61" s="310"/>
      <c r="DP61" s="311"/>
      <c r="DQ61" s="311"/>
      <c r="DR61" s="309"/>
      <c r="DS61" s="310"/>
      <c r="DT61" s="311"/>
      <c r="DU61" s="311"/>
      <c r="DV61" s="309"/>
      <c r="DW61" s="310"/>
      <c r="DX61" s="311"/>
      <c r="DY61" s="311"/>
      <c r="DZ61" s="309"/>
      <c r="EA61" s="310"/>
      <c r="EB61" s="311"/>
      <c r="EC61" s="311"/>
      <c r="ED61" s="309"/>
      <c r="EE61" s="310"/>
      <c r="EF61" s="311"/>
      <c r="EG61" s="311"/>
      <c r="EH61" s="309"/>
      <c r="EI61" s="310"/>
      <c r="EJ61" s="311"/>
      <c r="EK61" s="311"/>
      <c r="EL61" s="309"/>
      <c r="EM61" s="310"/>
      <c r="EN61" s="311"/>
      <c r="EO61" s="311"/>
      <c r="EP61" s="309"/>
      <c r="EQ61" s="310"/>
      <c r="ER61" s="311"/>
      <c r="ES61" s="311"/>
      <c r="ET61" s="309"/>
      <c r="EU61" s="310"/>
      <c r="EV61" s="311"/>
      <c r="EW61" s="311"/>
      <c r="EX61" s="309"/>
      <c r="EY61" s="310"/>
      <c r="EZ61" s="311"/>
      <c r="FA61" s="311"/>
      <c r="FB61" s="309"/>
      <c r="FC61" s="310"/>
      <c r="FD61" s="311"/>
      <c r="FE61" s="311"/>
      <c r="FF61" s="309"/>
      <c r="FG61" s="310"/>
      <c r="FH61" s="311"/>
      <c r="FI61" s="311"/>
      <c r="FJ61" s="309"/>
      <c r="FK61" s="310"/>
      <c r="FL61" s="311"/>
      <c r="FM61" s="311"/>
      <c r="FN61" s="309"/>
      <c r="FO61" s="310"/>
      <c r="FP61" s="311"/>
      <c r="FQ61" s="311"/>
      <c r="FR61" s="309"/>
      <c r="FS61" s="310"/>
      <c r="FT61" s="311"/>
      <c r="FU61" s="311"/>
      <c r="FV61" s="309"/>
      <c r="FW61" s="310"/>
      <c r="FX61" s="311"/>
      <c r="FY61" s="311"/>
      <c r="FZ61" s="309"/>
      <c r="GA61" s="310"/>
      <c r="GB61" s="311"/>
      <c r="GC61" s="311"/>
      <c r="GD61" s="309"/>
      <c r="GE61" s="310"/>
      <c r="GF61" s="311"/>
      <c r="GG61" s="311"/>
      <c r="GH61" s="309"/>
      <c r="GI61" s="310"/>
      <c r="GJ61" s="311"/>
      <c r="GK61" s="311"/>
      <c r="GL61" s="309"/>
      <c r="GM61" s="310"/>
      <c r="GN61" s="311"/>
      <c r="GO61" s="311"/>
      <c r="GP61" s="309"/>
      <c r="GQ61" s="310"/>
      <c r="GR61" s="311"/>
      <c r="GS61" s="311"/>
      <c r="GT61" s="309"/>
      <c r="GU61" s="310"/>
      <c r="GV61" s="311"/>
      <c r="GW61" s="311"/>
      <c r="GX61" s="309"/>
      <c r="GY61" s="310"/>
      <c r="GZ61" s="311"/>
      <c r="HA61" s="311"/>
      <c r="HB61" s="309"/>
      <c r="HC61" s="312">
        <f t="shared" si="79"/>
        <v>0</v>
      </c>
      <c r="HD61" s="313">
        <f t="shared" si="79"/>
        <v>0</v>
      </c>
      <c r="HE61" s="313">
        <f t="shared" si="79"/>
        <v>0</v>
      </c>
      <c r="HF61" s="314"/>
      <c r="HG61" s="312">
        <f>SUM(SUMIFS(K61:HB61,$K$13:$HB$13,{"エネルギー管理指定工場等*","県域*"}))</f>
        <v>0</v>
      </c>
      <c r="HH61" s="313">
        <f>SUM(SUMIFS(L61:HC61,$K$13:$HB$13,{"エネルギー管理指定工場等*","県域*"}))</f>
        <v>0</v>
      </c>
      <c r="HI61" s="313">
        <f>SUM(SUMIFS(M61:HD61,$K$13:$HB$13,{"エネルギー管理指定工場等*","県域*"}))</f>
        <v>0</v>
      </c>
      <c r="HJ61" s="314"/>
      <c r="IE61" s="579"/>
      <c r="IF61" s="579"/>
      <c r="IG61" s="579"/>
      <c r="IH61" s="579"/>
    </row>
    <row r="62" spans="2:242" s="164" customFormat="1" ht="20.100000000000001" customHeight="1">
      <c r="B62" s="302"/>
      <c r="C62" s="303" t="s">
        <v>394</v>
      </c>
      <c r="D62" s="304"/>
      <c r="E62" s="305"/>
      <c r="F62" s="303" t="s">
        <v>455</v>
      </c>
      <c r="G62" s="306">
        <v>22.5</v>
      </c>
      <c r="H62" s="309"/>
      <c r="I62" s="310"/>
      <c r="J62" s="315"/>
      <c r="K62" s="310"/>
      <c r="L62" s="311"/>
      <c r="M62" s="311"/>
      <c r="N62" s="309"/>
      <c r="O62" s="310"/>
      <c r="P62" s="311"/>
      <c r="Q62" s="311"/>
      <c r="R62" s="309"/>
      <c r="S62" s="310"/>
      <c r="T62" s="311"/>
      <c r="U62" s="311"/>
      <c r="V62" s="309"/>
      <c r="W62" s="310"/>
      <c r="X62" s="311"/>
      <c r="Y62" s="311"/>
      <c r="Z62" s="309"/>
      <c r="AA62" s="310"/>
      <c r="AB62" s="311"/>
      <c r="AC62" s="311"/>
      <c r="AD62" s="309"/>
      <c r="AE62" s="310"/>
      <c r="AF62" s="311"/>
      <c r="AG62" s="311"/>
      <c r="AH62" s="309"/>
      <c r="AI62" s="310"/>
      <c r="AJ62" s="311"/>
      <c r="AK62" s="311"/>
      <c r="AL62" s="309"/>
      <c r="AM62" s="310"/>
      <c r="AN62" s="311"/>
      <c r="AO62" s="311"/>
      <c r="AP62" s="309"/>
      <c r="AQ62" s="310"/>
      <c r="AR62" s="311"/>
      <c r="AS62" s="311"/>
      <c r="AT62" s="309"/>
      <c r="AU62" s="310"/>
      <c r="AV62" s="311"/>
      <c r="AW62" s="311"/>
      <c r="AX62" s="309"/>
      <c r="AY62" s="310"/>
      <c r="AZ62" s="311"/>
      <c r="BA62" s="311"/>
      <c r="BB62" s="309"/>
      <c r="BC62" s="310"/>
      <c r="BD62" s="311"/>
      <c r="BE62" s="311"/>
      <c r="BF62" s="309"/>
      <c r="BG62" s="310"/>
      <c r="BH62" s="311"/>
      <c r="BI62" s="311"/>
      <c r="BJ62" s="309"/>
      <c r="BK62" s="310"/>
      <c r="BL62" s="311"/>
      <c r="BM62" s="311"/>
      <c r="BN62" s="309"/>
      <c r="BO62" s="310"/>
      <c r="BP62" s="311"/>
      <c r="BQ62" s="311"/>
      <c r="BR62" s="309"/>
      <c r="BS62" s="310"/>
      <c r="BT62" s="311"/>
      <c r="BU62" s="311"/>
      <c r="BV62" s="309"/>
      <c r="BW62" s="310"/>
      <c r="BX62" s="311"/>
      <c r="BY62" s="311"/>
      <c r="BZ62" s="309"/>
      <c r="CA62" s="310"/>
      <c r="CB62" s="311"/>
      <c r="CC62" s="311"/>
      <c r="CD62" s="309"/>
      <c r="CE62" s="310"/>
      <c r="CF62" s="311"/>
      <c r="CG62" s="311"/>
      <c r="CH62" s="309"/>
      <c r="CI62" s="310"/>
      <c r="CJ62" s="311"/>
      <c r="CK62" s="311"/>
      <c r="CL62" s="309"/>
      <c r="CM62" s="310"/>
      <c r="CN62" s="311"/>
      <c r="CO62" s="311"/>
      <c r="CP62" s="309"/>
      <c r="CQ62" s="310"/>
      <c r="CR62" s="311"/>
      <c r="CS62" s="311"/>
      <c r="CT62" s="309"/>
      <c r="CU62" s="310"/>
      <c r="CV62" s="311"/>
      <c r="CW62" s="311"/>
      <c r="CX62" s="309"/>
      <c r="CY62" s="310"/>
      <c r="CZ62" s="311"/>
      <c r="DA62" s="311"/>
      <c r="DB62" s="309"/>
      <c r="DC62" s="310"/>
      <c r="DD62" s="311"/>
      <c r="DE62" s="311"/>
      <c r="DF62" s="309"/>
      <c r="DG62" s="310"/>
      <c r="DH62" s="311"/>
      <c r="DI62" s="311"/>
      <c r="DJ62" s="309"/>
      <c r="DK62" s="310"/>
      <c r="DL62" s="311"/>
      <c r="DM62" s="311"/>
      <c r="DN62" s="309"/>
      <c r="DO62" s="310"/>
      <c r="DP62" s="311"/>
      <c r="DQ62" s="311"/>
      <c r="DR62" s="309"/>
      <c r="DS62" s="310"/>
      <c r="DT62" s="311"/>
      <c r="DU62" s="311"/>
      <c r="DV62" s="309"/>
      <c r="DW62" s="310"/>
      <c r="DX62" s="311"/>
      <c r="DY62" s="311"/>
      <c r="DZ62" s="309"/>
      <c r="EA62" s="310"/>
      <c r="EB62" s="311"/>
      <c r="EC62" s="311"/>
      <c r="ED62" s="309"/>
      <c r="EE62" s="310"/>
      <c r="EF62" s="311"/>
      <c r="EG62" s="311"/>
      <c r="EH62" s="309"/>
      <c r="EI62" s="310"/>
      <c r="EJ62" s="311"/>
      <c r="EK62" s="311"/>
      <c r="EL62" s="309"/>
      <c r="EM62" s="310"/>
      <c r="EN62" s="311"/>
      <c r="EO62" s="311"/>
      <c r="EP62" s="309"/>
      <c r="EQ62" s="310"/>
      <c r="ER62" s="311"/>
      <c r="ES62" s="311"/>
      <c r="ET62" s="309"/>
      <c r="EU62" s="310"/>
      <c r="EV62" s="311"/>
      <c r="EW62" s="311"/>
      <c r="EX62" s="309"/>
      <c r="EY62" s="310"/>
      <c r="EZ62" s="311"/>
      <c r="FA62" s="311"/>
      <c r="FB62" s="309"/>
      <c r="FC62" s="310"/>
      <c r="FD62" s="311"/>
      <c r="FE62" s="311"/>
      <c r="FF62" s="309"/>
      <c r="FG62" s="310"/>
      <c r="FH62" s="311"/>
      <c r="FI62" s="311"/>
      <c r="FJ62" s="309"/>
      <c r="FK62" s="310"/>
      <c r="FL62" s="311"/>
      <c r="FM62" s="311"/>
      <c r="FN62" s="309"/>
      <c r="FO62" s="310"/>
      <c r="FP62" s="311"/>
      <c r="FQ62" s="311"/>
      <c r="FR62" s="309"/>
      <c r="FS62" s="310"/>
      <c r="FT62" s="311"/>
      <c r="FU62" s="311"/>
      <c r="FV62" s="309"/>
      <c r="FW62" s="310"/>
      <c r="FX62" s="311"/>
      <c r="FY62" s="311"/>
      <c r="FZ62" s="309"/>
      <c r="GA62" s="310"/>
      <c r="GB62" s="311"/>
      <c r="GC62" s="311"/>
      <c r="GD62" s="309"/>
      <c r="GE62" s="310"/>
      <c r="GF62" s="311"/>
      <c r="GG62" s="311"/>
      <c r="GH62" s="309"/>
      <c r="GI62" s="310"/>
      <c r="GJ62" s="311"/>
      <c r="GK62" s="311"/>
      <c r="GL62" s="309"/>
      <c r="GM62" s="310"/>
      <c r="GN62" s="311"/>
      <c r="GO62" s="311"/>
      <c r="GP62" s="309"/>
      <c r="GQ62" s="310"/>
      <c r="GR62" s="311"/>
      <c r="GS62" s="311"/>
      <c r="GT62" s="309"/>
      <c r="GU62" s="310"/>
      <c r="GV62" s="311"/>
      <c r="GW62" s="311"/>
      <c r="GX62" s="309"/>
      <c r="GY62" s="310"/>
      <c r="GZ62" s="311"/>
      <c r="HA62" s="311"/>
      <c r="HB62" s="309"/>
      <c r="HC62" s="312">
        <f t="shared" si="79"/>
        <v>0</v>
      </c>
      <c r="HD62" s="313">
        <f t="shared" si="79"/>
        <v>0</v>
      </c>
      <c r="HE62" s="313">
        <f t="shared" si="79"/>
        <v>0</v>
      </c>
      <c r="HF62" s="314"/>
      <c r="HG62" s="312">
        <f>SUM(SUMIFS(K62:HB62,$K$13:$HB$13,{"エネルギー管理指定工場等*","県域*"}))</f>
        <v>0</v>
      </c>
      <c r="HH62" s="313">
        <f>SUM(SUMIFS(L62:HC62,$K$13:$HB$13,{"エネルギー管理指定工場等*","県域*"}))</f>
        <v>0</v>
      </c>
      <c r="HI62" s="313">
        <f>SUM(SUMIFS(M62:HD62,$K$13:$HB$13,{"エネルギー管理指定工場等*","県域*"}))</f>
        <v>0</v>
      </c>
      <c r="HJ62" s="314"/>
      <c r="IE62" s="579"/>
      <c r="IF62" s="579"/>
      <c r="IG62" s="579"/>
      <c r="IH62" s="579"/>
    </row>
    <row r="63" spans="2:242" s="164" customFormat="1" ht="20.100000000000001" customHeight="1">
      <c r="B63" s="302"/>
      <c r="C63" s="326" t="s">
        <v>599</v>
      </c>
      <c r="D63" s="303"/>
      <c r="E63" s="311"/>
      <c r="F63" s="323"/>
      <c r="G63" s="310"/>
      <c r="H63" s="315"/>
      <c r="I63" s="310"/>
      <c r="J63" s="315"/>
      <c r="K63" s="310"/>
      <c r="L63" s="311"/>
      <c r="M63" s="311"/>
      <c r="N63" s="309"/>
      <c r="O63" s="310"/>
      <c r="P63" s="311"/>
      <c r="Q63" s="311"/>
      <c r="R63" s="309"/>
      <c r="S63" s="310"/>
      <c r="T63" s="311"/>
      <c r="U63" s="311"/>
      <c r="V63" s="309"/>
      <c r="W63" s="310"/>
      <c r="X63" s="311"/>
      <c r="Y63" s="311"/>
      <c r="Z63" s="309"/>
      <c r="AA63" s="310"/>
      <c r="AB63" s="311"/>
      <c r="AC63" s="311"/>
      <c r="AD63" s="309"/>
      <c r="AE63" s="310"/>
      <c r="AF63" s="311"/>
      <c r="AG63" s="311"/>
      <c r="AH63" s="309"/>
      <c r="AI63" s="310"/>
      <c r="AJ63" s="311"/>
      <c r="AK63" s="311"/>
      <c r="AL63" s="309"/>
      <c r="AM63" s="310"/>
      <c r="AN63" s="311"/>
      <c r="AO63" s="311"/>
      <c r="AP63" s="309"/>
      <c r="AQ63" s="310"/>
      <c r="AR63" s="311"/>
      <c r="AS63" s="311"/>
      <c r="AT63" s="309"/>
      <c r="AU63" s="310"/>
      <c r="AV63" s="311"/>
      <c r="AW63" s="311"/>
      <c r="AX63" s="309"/>
      <c r="AY63" s="310"/>
      <c r="AZ63" s="311"/>
      <c r="BA63" s="311"/>
      <c r="BB63" s="309"/>
      <c r="BC63" s="310"/>
      <c r="BD63" s="311"/>
      <c r="BE63" s="311"/>
      <c r="BF63" s="309"/>
      <c r="BG63" s="310"/>
      <c r="BH63" s="311"/>
      <c r="BI63" s="311"/>
      <c r="BJ63" s="309"/>
      <c r="BK63" s="310"/>
      <c r="BL63" s="311"/>
      <c r="BM63" s="311"/>
      <c r="BN63" s="309"/>
      <c r="BO63" s="310"/>
      <c r="BP63" s="311"/>
      <c r="BQ63" s="311"/>
      <c r="BR63" s="309"/>
      <c r="BS63" s="310"/>
      <c r="BT63" s="311"/>
      <c r="BU63" s="311"/>
      <c r="BV63" s="309"/>
      <c r="BW63" s="310"/>
      <c r="BX63" s="311"/>
      <c r="BY63" s="311"/>
      <c r="BZ63" s="309"/>
      <c r="CA63" s="310"/>
      <c r="CB63" s="311"/>
      <c r="CC63" s="311"/>
      <c r="CD63" s="309"/>
      <c r="CE63" s="310"/>
      <c r="CF63" s="311"/>
      <c r="CG63" s="311"/>
      <c r="CH63" s="309"/>
      <c r="CI63" s="310"/>
      <c r="CJ63" s="311"/>
      <c r="CK63" s="311"/>
      <c r="CL63" s="309"/>
      <c r="CM63" s="310"/>
      <c r="CN63" s="311"/>
      <c r="CO63" s="311"/>
      <c r="CP63" s="309"/>
      <c r="CQ63" s="310"/>
      <c r="CR63" s="311"/>
      <c r="CS63" s="311"/>
      <c r="CT63" s="309"/>
      <c r="CU63" s="310"/>
      <c r="CV63" s="311"/>
      <c r="CW63" s="311"/>
      <c r="CX63" s="309"/>
      <c r="CY63" s="310"/>
      <c r="CZ63" s="311"/>
      <c r="DA63" s="311"/>
      <c r="DB63" s="309"/>
      <c r="DC63" s="310"/>
      <c r="DD63" s="311"/>
      <c r="DE63" s="311"/>
      <c r="DF63" s="309"/>
      <c r="DG63" s="310"/>
      <c r="DH63" s="311"/>
      <c r="DI63" s="311"/>
      <c r="DJ63" s="309"/>
      <c r="DK63" s="310"/>
      <c r="DL63" s="311"/>
      <c r="DM63" s="311"/>
      <c r="DN63" s="309"/>
      <c r="DO63" s="310"/>
      <c r="DP63" s="311"/>
      <c r="DQ63" s="311"/>
      <c r="DR63" s="309"/>
      <c r="DS63" s="310"/>
      <c r="DT63" s="311"/>
      <c r="DU63" s="311"/>
      <c r="DV63" s="309"/>
      <c r="DW63" s="310"/>
      <c r="DX63" s="311"/>
      <c r="DY63" s="311"/>
      <c r="DZ63" s="309"/>
      <c r="EA63" s="310"/>
      <c r="EB63" s="311"/>
      <c r="EC63" s="311"/>
      <c r="ED63" s="309"/>
      <c r="EE63" s="310"/>
      <c r="EF63" s="311"/>
      <c r="EG63" s="311"/>
      <c r="EH63" s="309"/>
      <c r="EI63" s="310"/>
      <c r="EJ63" s="311"/>
      <c r="EK63" s="311"/>
      <c r="EL63" s="309"/>
      <c r="EM63" s="310"/>
      <c r="EN63" s="311"/>
      <c r="EO63" s="311"/>
      <c r="EP63" s="309"/>
      <c r="EQ63" s="310"/>
      <c r="ER63" s="311"/>
      <c r="ES63" s="311"/>
      <c r="ET63" s="309"/>
      <c r="EU63" s="310"/>
      <c r="EV63" s="311"/>
      <c r="EW63" s="311"/>
      <c r="EX63" s="309"/>
      <c r="EY63" s="310"/>
      <c r="EZ63" s="311"/>
      <c r="FA63" s="311"/>
      <c r="FB63" s="309"/>
      <c r="FC63" s="310"/>
      <c r="FD63" s="311"/>
      <c r="FE63" s="311"/>
      <c r="FF63" s="309"/>
      <c r="FG63" s="310"/>
      <c r="FH63" s="311"/>
      <c r="FI63" s="311"/>
      <c r="FJ63" s="309"/>
      <c r="FK63" s="310"/>
      <c r="FL63" s="311"/>
      <c r="FM63" s="311"/>
      <c r="FN63" s="309"/>
      <c r="FO63" s="310"/>
      <c r="FP63" s="311"/>
      <c r="FQ63" s="311"/>
      <c r="FR63" s="309"/>
      <c r="FS63" s="310"/>
      <c r="FT63" s="311"/>
      <c r="FU63" s="311"/>
      <c r="FV63" s="309"/>
      <c r="FW63" s="310"/>
      <c r="FX63" s="311"/>
      <c r="FY63" s="311"/>
      <c r="FZ63" s="309"/>
      <c r="GA63" s="310"/>
      <c r="GB63" s="311"/>
      <c r="GC63" s="311"/>
      <c r="GD63" s="309"/>
      <c r="GE63" s="310"/>
      <c r="GF63" s="311"/>
      <c r="GG63" s="311"/>
      <c r="GH63" s="309"/>
      <c r="GI63" s="310"/>
      <c r="GJ63" s="311"/>
      <c r="GK63" s="311"/>
      <c r="GL63" s="309"/>
      <c r="GM63" s="310"/>
      <c r="GN63" s="311"/>
      <c r="GO63" s="311"/>
      <c r="GP63" s="309"/>
      <c r="GQ63" s="310"/>
      <c r="GR63" s="311"/>
      <c r="GS63" s="311"/>
      <c r="GT63" s="309"/>
      <c r="GU63" s="310"/>
      <c r="GV63" s="311"/>
      <c r="GW63" s="311"/>
      <c r="GX63" s="309"/>
      <c r="GY63" s="310"/>
      <c r="GZ63" s="311"/>
      <c r="HA63" s="311"/>
      <c r="HB63" s="309"/>
      <c r="HC63" s="312">
        <f t="shared" si="79"/>
        <v>0</v>
      </c>
      <c r="HD63" s="313">
        <f t="shared" si="79"/>
        <v>0</v>
      </c>
      <c r="HE63" s="313">
        <f t="shared" si="79"/>
        <v>0</v>
      </c>
      <c r="HF63" s="314"/>
      <c r="HG63" s="312">
        <f>SUM(SUMIFS(K63:HB63,$K$13:$HB$13,{"エネルギー管理指定工場等*","県域*"}))</f>
        <v>0</v>
      </c>
      <c r="HH63" s="313">
        <f>SUM(SUMIFS(L63:HC63,$K$13:$HB$13,{"エネルギー管理指定工場等*","県域*"}))</f>
        <v>0</v>
      </c>
      <c r="HI63" s="313">
        <f>SUM(SUMIFS(M63:HD63,$K$13:$HB$13,{"エネルギー管理指定工場等*","県域*"}))</f>
        <v>0</v>
      </c>
      <c r="HJ63" s="314"/>
      <c r="IE63" s="579"/>
      <c r="IF63" s="579"/>
      <c r="IG63" s="579"/>
      <c r="IH63" s="579"/>
    </row>
    <row r="64" spans="2:242" s="164" customFormat="1" ht="20.100000000000001" customHeight="1">
      <c r="B64" s="320"/>
      <c r="C64" s="326" t="s">
        <v>600</v>
      </c>
      <c r="D64" s="303"/>
      <c r="E64" s="311"/>
      <c r="F64" s="323"/>
      <c r="G64" s="310"/>
      <c r="H64" s="315"/>
      <c r="I64" s="308"/>
      <c r="J64" s="309"/>
      <c r="K64" s="310"/>
      <c r="L64" s="311"/>
      <c r="M64" s="311"/>
      <c r="N64" s="309"/>
      <c r="O64" s="310"/>
      <c r="P64" s="311"/>
      <c r="Q64" s="311"/>
      <c r="R64" s="309"/>
      <c r="S64" s="310"/>
      <c r="T64" s="311"/>
      <c r="U64" s="311"/>
      <c r="V64" s="309"/>
      <c r="W64" s="310"/>
      <c r="X64" s="311"/>
      <c r="Y64" s="311"/>
      <c r="Z64" s="309"/>
      <c r="AA64" s="310"/>
      <c r="AB64" s="311"/>
      <c r="AC64" s="311"/>
      <c r="AD64" s="309"/>
      <c r="AE64" s="310"/>
      <c r="AF64" s="311"/>
      <c r="AG64" s="311"/>
      <c r="AH64" s="309"/>
      <c r="AI64" s="310"/>
      <c r="AJ64" s="311"/>
      <c r="AK64" s="311"/>
      <c r="AL64" s="309"/>
      <c r="AM64" s="310"/>
      <c r="AN64" s="311"/>
      <c r="AO64" s="311"/>
      <c r="AP64" s="309"/>
      <c r="AQ64" s="310"/>
      <c r="AR64" s="311"/>
      <c r="AS64" s="311"/>
      <c r="AT64" s="309"/>
      <c r="AU64" s="310"/>
      <c r="AV64" s="311"/>
      <c r="AW64" s="311"/>
      <c r="AX64" s="309"/>
      <c r="AY64" s="310"/>
      <c r="AZ64" s="311"/>
      <c r="BA64" s="311"/>
      <c r="BB64" s="309"/>
      <c r="BC64" s="310"/>
      <c r="BD64" s="311"/>
      <c r="BE64" s="311"/>
      <c r="BF64" s="309"/>
      <c r="BG64" s="310"/>
      <c r="BH64" s="311"/>
      <c r="BI64" s="311"/>
      <c r="BJ64" s="309"/>
      <c r="BK64" s="310"/>
      <c r="BL64" s="311"/>
      <c r="BM64" s="311"/>
      <c r="BN64" s="309"/>
      <c r="BO64" s="310"/>
      <c r="BP64" s="311"/>
      <c r="BQ64" s="311"/>
      <c r="BR64" s="309"/>
      <c r="BS64" s="310"/>
      <c r="BT64" s="311"/>
      <c r="BU64" s="311"/>
      <c r="BV64" s="309"/>
      <c r="BW64" s="310"/>
      <c r="BX64" s="311"/>
      <c r="BY64" s="311"/>
      <c r="BZ64" s="309"/>
      <c r="CA64" s="310"/>
      <c r="CB64" s="311"/>
      <c r="CC64" s="311"/>
      <c r="CD64" s="309"/>
      <c r="CE64" s="310"/>
      <c r="CF64" s="311"/>
      <c r="CG64" s="311"/>
      <c r="CH64" s="309"/>
      <c r="CI64" s="310"/>
      <c r="CJ64" s="311"/>
      <c r="CK64" s="311"/>
      <c r="CL64" s="309"/>
      <c r="CM64" s="310"/>
      <c r="CN64" s="311"/>
      <c r="CO64" s="311"/>
      <c r="CP64" s="309"/>
      <c r="CQ64" s="310"/>
      <c r="CR64" s="311"/>
      <c r="CS64" s="311"/>
      <c r="CT64" s="309"/>
      <c r="CU64" s="310"/>
      <c r="CV64" s="311"/>
      <c r="CW64" s="311"/>
      <c r="CX64" s="309"/>
      <c r="CY64" s="310"/>
      <c r="CZ64" s="311"/>
      <c r="DA64" s="311"/>
      <c r="DB64" s="309"/>
      <c r="DC64" s="310"/>
      <c r="DD64" s="311"/>
      <c r="DE64" s="311"/>
      <c r="DF64" s="309"/>
      <c r="DG64" s="310"/>
      <c r="DH64" s="311"/>
      <c r="DI64" s="311"/>
      <c r="DJ64" s="309"/>
      <c r="DK64" s="310"/>
      <c r="DL64" s="311"/>
      <c r="DM64" s="311"/>
      <c r="DN64" s="309"/>
      <c r="DO64" s="310"/>
      <c r="DP64" s="311"/>
      <c r="DQ64" s="311"/>
      <c r="DR64" s="309"/>
      <c r="DS64" s="310"/>
      <c r="DT64" s="311"/>
      <c r="DU64" s="311"/>
      <c r="DV64" s="309"/>
      <c r="DW64" s="310"/>
      <c r="DX64" s="311"/>
      <c r="DY64" s="311"/>
      <c r="DZ64" s="309"/>
      <c r="EA64" s="310"/>
      <c r="EB64" s="311"/>
      <c r="EC64" s="311"/>
      <c r="ED64" s="309"/>
      <c r="EE64" s="310"/>
      <c r="EF64" s="311"/>
      <c r="EG64" s="311"/>
      <c r="EH64" s="309"/>
      <c r="EI64" s="310"/>
      <c r="EJ64" s="311"/>
      <c r="EK64" s="311"/>
      <c r="EL64" s="309"/>
      <c r="EM64" s="310"/>
      <c r="EN64" s="311"/>
      <c r="EO64" s="311"/>
      <c r="EP64" s="309"/>
      <c r="EQ64" s="310"/>
      <c r="ER64" s="311"/>
      <c r="ES64" s="311"/>
      <c r="ET64" s="309"/>
      <c r="EU64" s="310"/>
      <c r="EV64" s="311"/>
      <c r="EW64" s="311"/>
      <c r="EX64" s="309"/>
      <c r="EY64" s="310"/>
      <c r="EZ64" s="311"/>
      <c r="FA64" s="311"/>
      <c r="FB64" s="309"/>
      <c r="FC64" s="310"/>
      <c r="FD64" s="311"/>
      <c r="FE64" s="311"/>
      <c r="FF64" s="309"/>
      <c r="FG64" s="310"/>
      <c r="FH64" s="311"/>
      <c r="FI64" s="311"/>
      <c r="FJ64" s="309"/>
      <c r="FK64" s="310"/>
      <c r="FL64" s="311"/>
      <c r="FM64" s="311"/>
      <c r="FN64" s="309"/>
      <c r="FO64" s="310"/>
      <c r="FP64" s="311"/>
      <c r="FQ64" s="311"/>
      <c r="FR64" s="309"/>
      <c r="FS64" s="310"/>
      <c r="FT64" s="311"/>
      <c r="FU64" s="311"/>
      <c r="FV64" s="309"/>
      <c r="FW64" s="310"/>
      <c r="FX64" s="311"/>
      <c r="FY64" s="311"/>
      <c r="FZ64" s="309"/>
      <c r="GA64" s="310"/>
      <c r="GB64" s="311"/>
      <c r="GC64" s="311"/>
      <c r="GD64" s="309"/>
      <c r="GE64" s="310"/>
      <c r="GF64" s="311"/>
      <c r="GG64" s="311"/>
      <c r="GH64" s="309"/>
      <c r="GI64" s="310"/>
      <c r="GJ64" s="311"/>
      <c r="GK64" s="311"/>
      <c r="GL64" s="309"/>
      <c r="GM64" s="310"/>
      <c r="GN64" s="311"/>
      <c r="GO64" s="311"/>
      <c r="GP64" s="309"/>
      <c r="GQ64" s="310"/>
      <c r="GR64" s="311"/>
      <c r="GS64" s="311"/>
      <c r="GT64" s="309"/>
      <c r="GU64" s="310"/>
      <c r="GV64" s="311"/>
      <c r="GW64" s="311"/>
      <c r="GX64" s="309"/>
      <c r="GY64" s="310"/>
      <c r="GZ64" s="311"/>
      <c r="HA64" s="311"/>
      <c r="HB64" s="309"/>
      <c r="HC64" s="312">
        <f t="shared" si="79"/>
        <v>0</v>
      </c>
      <c r="HD64" s="313">
        <f t="shared" si="79"/>
        <v>0</v>
      </c>
      <c r="HE64" s="313">
        <f t="shared" si="79"/>
        <v>0</v>
      </c>
      <c r="HF64" s="314"/>
      <c r="HG64" s="312">
        <f>SUM(SUMIFS(K64:HB64,$K$13:$HB$13,{"エネルギー管理指定工場等*","県域*"}))</f>
        <v>0</v>
      </c>
      <c r="HH64" s="313">
        <f>SUM(SUMIFS(L64:HC64,$K$13:$HB$13,{"エネルギー管理指定工場等*","県域*"}))</f>
        <v>0</v>
      </c>
      <c r="HI64" s="313">
        <f>SUM(SUMIFS(M64:HD64,$K$13:$HB$13,{"エネルギー管理指定工場等*","県域*"}))</f>
        <v>0</v>
      </c>
      <c r="HJ64" s="314"/>
      <c r="IE64" s="579"/>
      <c r="IF64" s="579"/>
      <c r="IG64" s="579"/>
      <c r="IH64" s="579"/>
    </row>
    <row r="65" spans="2:242" s="164" customFormat="1" ht="59.4">
      <c r="B65" s="324" t="s">
        <v>1374</v>
      </c>
      <c r="C65" s="327" t="s">
        <v>1375</v>
      </c>
      <c r="D65" s="328" t="s">
        <v>601</v>
      </c>
      <c r="E65" s="305"/>
      <c r="F65" s="303" t="s">
        <v>461</v>
      </c>
      <c r="G65" s="306">
        <v>1.17</v>
      </c>
      <c r="H65" s="307">
        <v>6.54E-2</v>
      </c>
      <c r="I65" s="308"/>
      <c r="J65" s="309"/>
      <c r="K65" s="310"/>
      <c r="L65" s="329"/>
      <c r="M65" s="311"/>
      <c r="N65" s="315"/>
      <c r="O65" s="310"/>
      <c r="P65" s="329"/>
      <c r="Q65" s="311"/>
      <c r="R65" s="315"/>
      <c r="S65" s="310"/>
      <c r="T65" s="329"/>
      <c r="U65" s="311"/>
      <c r="V65" s="315"/>
      <c r="W65" s="310"/>
      <c r="X65" s="329"/>
      <c r="Y65" s="311"/>
      <c r="Z65" s="315"/>
      <c r="AA65" s="310"/>
      <c r="AB65" s="329"/>
      <c r="AC65" s="311"/>
      <c r="AD65" s="315"/>
      <c r="AE65" s="310"/>
      <c r="AF65" s="329"/>
      <c r="AG65" s="311"/>
      <c r="AH65" s="315"/>
      <c r="AI65" s="310"/>
      <c r="AJ65" s="329"/>
      <c r="AK65" s="311"/>
      <c r="AL65" s="315"/>
      <c r="AM65" s="310"/>
      <c r="AN65" s="329"/>
      <c r="AO65" s="311"/>
      <c r="AP65" s="315"/>
      <c r="AQ65" s="310"/>
      <c r="AR65" s="329"/>
      <c r="AS65" s="311"/>
      <c r="AT65" s="315"/>
      <c r="AU65" s="310"/>
      <c r="AV65" s="329"/>
      <c r="AW65" s="311"/>
      <c r="AX65" s="315"/>
      <c r="AY65" s="310"/>
      <c r="AZ65" s="329"/>
      <c r="BA65" s="311"/>
      <c r="BB65" s="315"/>
      <c r="BC65" s="310"/>
      <c r="BD65" s="329"/>
      <c r="BE65" s="311"/>
      <c r="BF65" s="315"/>
      <c r="BG65" s="310"/>
      <c r="BH65" s="329"/>
      <c r="BI65" s="311"/>
      <c r="BJ65" s="315"/>
      <c r="BK65" s="310"/>
      <c r="BL65" s="329"/>
      <c r="BM65" s="311"/>
      <c r="BN65" s="315"/>
      <c r="BO65" s="310"/>
      <c r="BP65" s="329"/>
      <c r="BQ65" s="311"/>
      <c r="BR65" s="315"/>
      <c r="BS65" s="310"/>
      <c r="BT65" s="329"/>
      <c r="BU65" s="311"/>
      <c r="BV65" s="315"/>
      <c r="BW65" s="310"/>
      <c r="BX65" s="329"/>
      <c r="BY65" s="311"/>
      <c r="BZ65" s="315"/>
      <c r="CA65" s="310"/>
      <c r="CB65" s="329"/>
      <c r="CC65" s="311"/>
      <c r="CD65" s="315"/>
      <c r="CE65" s="310"/>
      <c r="CF65" s="329"/>
      <c r="CG65" s="311"/>
      <c r="CH65" s="315"/>
      <c r="CI65" s="310"/>
      <c r="CJ65" s="329"/>
      <c r="CK65" s="311"/>
      <c r="CL65" s="315"/>
      <c r="CM65" s="310"/>
      <c r="CN65" s="329"/>
      <c r="CO65" s="311"/>
      <c r="CP65" s="315"/>
      <c r="CQ65" s="310"/>
      <c r="CR65" s="329"/>
      <c r="CS65" s="311"/>
      <c r="CT65" s="315"/>
      <c r="CU65" s="310"/>
      <c r="CV65" s="329"/>
      <c r="CW65" s="311"/>
      <c r="CX65" s="315"/>
      <c r="CY65" s="310"/>
      <c r="CZ65" s="329"/>
      <c r="DA65" s="311"/>
      <c r="DB65" s="315"/>
      <c r="DC65" s="310"/>
      <c r="DD65" s="329"/>
      <c r="DE65" s="311"/>
      <c r="DF65" s="315"/>
      <c r="DG65" s="310"/>
      <c r="DH65" s="329"/>
      <c r="DI65" s="311"/>
      <c r="DJ65" s="315"/>
      <c r="DK65" s="310"/>
      <c r="DL65" s="329"/>
      <c r="DM65" s="311"/>
      <c r="DN65" s="315"/>
      <c r="DO65" s="310"/>
      <c r="DP65" s="329"/>
      <c r="DQ65" s="311"/>
      <c r="DR65" s="315"/>
      <c r="DS65" s="310"/>
      <c r="DT65" s="329"/>
      <c r="DU65" s="311"/>
      <c r="DV65" s="315"/>
      <c r="DW65" s="310"/>
      <c r="DX65" s="329"/>
      <c r="DY65" s="311"/>
      <c r="DZ65" s="315"/>
      <c r="EA65" s="310"/>
      <c r="EB65" s="329"/>
      <c r="EC65" s="311"/>
      <c r="ED65" s="315"/>
      <c r="EE65" s="310"/>
      <c r="EF65" s="329"/>
      <c r="EG65" s="311"/>
      <c r="EH65" s="315"/>
      <c r="EI65" s="310"/>
      <c r="EJ65" s="329"/>
      <c r="EK65" s="311"/>
      <c r="EL65" s="315"/>
      <c r="EM65" s="310"/>
      <c r="EN65" s="329"/>
      <c r="EO65" s="311"/>
      <c r="EP65" s="315"/>
      <c r="EQ65" s="310"/>
      <c r="ER65" s="329"/>
      <c r="ES65" s="311"/>
      <c r="ET65" s="315"/>
      <c r="EU65" s="310"/>
      <c r="EV65" s="329"/>
      <c r="EW65" s="311"/>
      <c r="EX65" s="315"/>
      <c r="EY65" s="310"/>
      <c r="EZ65" s="329"/>
      <c r="FA65" s="311"/>
      <c r="FB65" s="315"/>
      <c r="FC65" s="310"/>
      <c r="FD65" s="329"/>
      <c r="FE65" s="311"/>
      <c r="FF65" s="315"/>
      <c r="FG65" s="310"/>
      <c r="FH65" s="329"/>
      <c r="FI65" s="311"/>
      <c r="FJ65" s="315"/>
      <c r="FK65" s="310"/>
      <c r="FL65" s="329"/>
      <c r="FM65" s="311"/>
      <c r="FN65" s="315"/>
      <c r="FO65" s="310"/>
      <c r="FP65" s="329"/>
      <c r="FQ65" s="311"/>
      <c r="FR65" s="315"/>
      <c r="FS65" s="310"/>
      <c r="FT65" s="329"/>
      <c r="FU65" s="311"/>
      <c r="FV65" s="315"/>
      <c r="FW65" s="310"/>
      <c r="FX65" s="329"/>
      <c r="FY65" s="311"/>
      <c r="FZ65" s="315"/>
      <c r="GA65" s="310"/>
      <c r="GB65" s="329"/>
      <c r="GC65" s="311"/>
      <c r="GD65" s="315"/>
      <c r="GE65" s="310"/>
      <c r="GF65" s="329"/>
      <c r="GG65" s="311"/>
      <c r="GH65" s="315"/>
      <c r="GI65" s="310"/>
      <c r="GJ65" s="329"/>
      <c r="GK65" s="311"/>
      <c r="GL65" s="315"/>
      <c r="GM65" s="310"/>
      <c r="GN65" s="329"/>
      <c r="GO65" s="311"/>
      <c r="GP65" s="315"/>
      <c r="GQ65" s="310"/>
      <c r="GR65" s="329"/>
      <c r="GS65" s="311"/>
      <c r="GT65" s="315"/>
      <c r="GU65" s="310"/>
      <c r="GV65" s="329"/>
      <c r="GW65" s="311"/>
      <c r="GX65" s="315"/>
      <c r="GY65" s="310"/>
      <c r="GZ65" s="329"/>
      <c r="HA65" s="311"/>
      <c r="HB65" s="315"/>
      <c r="HC65" s="312">
        <f t="shared" si="79"/>
        <v>0</v>
      </c>
      <c r="HD65" s="330"/>
      <c r="HE65" s="313">
        <f t="shared" si="79"/>
        <v>0</v>
      </c>
      <c r="HF65" s="331">
        <f t="shared" si="79"/>
        <v>0</v>
      </c>
      <c r="HG65" s="312">
        <f>SUM(SUMIFS(K65:HB65,$K$13:$HB$13,{"エネルギー管理指定工場等*","県域*"}))</f>
        <v>0</v>
      </c>
      <c r="HH65" s="330"/>
      <c r="HI65" s="313">
        <f>SUM(SUMIFS(M65:HD65,$K$13:$HB$13,{"エネルギー管理指定工場等*","県域*"}))</f>
        <v>0</v>
      </c>
      <c r="HJ65" s="331">
        <f>SUM(SUMIFS(N65:HE65,$K$13:$HB$13,{"エネルギー管理指定工場等*","県域*"}))</f>
        <v>0</v>
      </c>
      <c r="IE65" s="579"/>
      <c r="IF65" s="579"/>
      <c r="IG65" s="579"/>
      <c r="IH65" s="579"/>
    </row>
    <row r="66" spans="2:242" s="164" customFormat="1" ht="20.100000000000001" customHeight="1">
      <c r="B66" s="302"/>
      <c r="C66" s="319"/>
      <c r="D66" s="332"/>
      <c r="E66" s="333" t="s">
        <v>1376</v>
      </c>
      <c r="F66" s="303" t="s">
        <v>461</v>
      </c>
      <c r="G66" s="306">
        <v>1.17</v>
      </c>
      <c r="H66" s="315"/>
      <c r="I66" s="308"/>
      <c r="J66" s="309"/>
      <c r="K66" s="310"/>
      <c r="L66" s="329"/>
      <c r="M66" s="311"/>
      <c r="N66" s="315"/>
      <c r="O66" s="310"/>
      <c r="P66" s="329"/>
      <c r="Q66" s="311"/>
      <c r="R66" s="315"/>
      <c r="S66" s="310"/>
      <c r="T66" s="329"/>
      <c r="U66" s="311"/>
      <c r="V66" s="315"/>
      <c r="W66" s="310"/>
      <c r="X66" s="329"/>
      <c r="Y66" s="311"/>
      <c r="Z66" s="315"/>
      <c r="AA66" s="310"/>
      <c r="AB66" s="329"/>
      <c r="AC66" s="311"/>
      <c r="AD66" s="315"/>
      <c r="AE66" s="310"/>
      <c r="AF66" s="329"/>
      <c r="AG66" s="311"/>
      <c r="AH66" s="315"/>
      <c r="AI66" s="310"/>
      <c r="AJ66" s="329"/>
      <c r="AK66" s="311"/>
      <c r="AL66" s="315"/>
      <c r="AM66" s="310"/>
      <c r="AN66" s="329"/>
      <c r="AO66" s="311"/>
      <c r="AP66" s="315"/>
      <c r="AQ66" s="310"/>
      <c r="AR66" s="329"/>
      <c r="AS66" s="311"/>
      <c r="AT66" s="315"/>
      <c r="AU66" s="310"/>
      <c r="AV66" s="329"/>
      <c r="AW66" s="311"/>
      <c r="AX66" s="315"/>
      <c r="AY66" s="310"/>
      <c r="AZ66" s="329"/>
      <c r="BA66" s="311"/>
      <c r="BB66" s="315"/>
      <c r="BC66" s="310"/>
      <c r="BD66" s="329"/>
      <c r="BE66" s="311"/>
      <c r="BF66" s="315"/>
      <c r="BG66" s="310"/>
      <c r="BH66" s="329"/>
      <c r="BI66" s="311"/>
      <c r="BJ66" s="315"/>
      <c r="BK66" s="310"/>
      <c r="BL66" s="329"/>
      <c r="BM66" s="311"/>
      <c r="BN66" s="315"/>
      <c r="BO66" s="310"/>
      <c r="BP66" s="329"/>
      <c r="BQ66" s="311"/>
      <c r="BR66" s="315"/>
      <c r="BS66" s="310"/>
      <c r="BT66" s="329"/>
      <c r="BU66" s="311"/>
      <c r="BV66" s="315"/>
      <c r="BW66" s="310"/>
      <c r="BX66" s="329"/>
      <c r="BY66" s="311"/>
      <c r="BZ66" s="315"/>
      <c r="CA66" s="310"/>
      <c r="CB66" s="329"/>
      <c r="CC66" s="311"/>
      <c r="CD66" s="315"/>
      <c r="CE66" s="310"/>
      <c r="CF66" s="329"/>
      <c r="CG66" s="311"/>
      <c r="CH66" s="315"/>
      <c r="CI66" s="310"/>
      <c r="CJ66" s="329"/>
      <c r="CK66" s="311"/>
      <c r="CL66" s="315"/>
      <c r="CM66" s="310"/>
      <c r="CN66" s="329"/>
      <c r="CO66" s="311"/>
      <c r="CP66" s="315"/>
      <c r="CQ66" s="310"/>
      <c r="CR66" s="329"/>
      <c r="CS66" s="311"/>
      <c r="CT66" s="315"/>
      <c r="CU66" s="310"/>
      <c r="CV66" s="329"/>
      <c r="CW66" s="311"/>
      <c r="CX66" s="315"/>
      <c r="CY66" s="310"/>
      <c r="CZ66" s="329"/>
      <c r="DA66" s="311"/>
      <c r="DB66" s="315"/>
      <c r="DC66" s="310"/>
      <c r="DD66" s="329"/>
      <c r="DE66" s="311"/>
      <c r="DF66" s="315"/>
      <c r="DG66" s="310"/>
      <c r="DH66" s="329"/>
      <c r="DI66" s="311"/>
      <c r="DJ66" s="315"/>
      <c r="DK66" s="310"/>
      <c r="DL66" s="329"/>
      <c r="DM66" s="311"/>
      <c r="DN66" s="315"/>
      <c r="DO66" s="310"/>
      <c r="DP66" s="329"/>
      <c r="DQ66" s="311"/>
      <c r="DR66" s="315"/>
      <c r="DS66" s="310"/>
      <c r="DT66" s="329"/>
      <c r="DU66" s="311"/>
      <c r="DV66" s="315"/>
      <c r="DW66" s="310"/>
      <c r="DX66" s="329"/>
      <c r="DY66" s="311"/>
      <c r="DZ66" s="315"/>
      <c r="EA66" s="310"/>
      <c r="EB66" s="329"/>
      <c r="EC66" s="311"/>
      <c r="ED66" s="315"/>
      <c r="EE66" s="310"/>
      <c r="EF66" s="329"/>
      <c r="EG66" s="311"/>
      <c r="EH66" s="315"/>
      <c r="EI66" s="310"/>
      <c r="EJ66" s="329"/>
      <c r="EK66" s="311"/>
      <c r="EL66" s="315"/>
      <c r="EM66" s="310"/>
      <c r="EN66" s="329"/>
      <c r="EO66" s="311"/>
      <c r="EP66" s="315"/>
      <c r="EQ66" s="310"/>
      <c r="ER66" s="329"/>
      <c r="ES66" s="311"/>
      <c r="ET66" s="315"/>
      <c r="EU66" s="310"/>
      <c r="EV66" s="329"/>
      <c r="EW66" s="311"/>
      <c r="EX66" s="315"/>
      <c r="EY66" s="310"/>
      <c r="EZ66" s="329"/>
      <c r="FA66" s="311"/>
      <c r="FB66" s="315"/>
      <c r="FC66" s="310"/>
      <c r="FD66" s="329"/>
      <c r="FE66" s="311"/>
      <c r="FF66" s="315"/>
      <c r="FG66" s="310"/>
      <c r="FH66" s="329"/>
      <c r="FI66" s="311"/>
      <c r="FJ66" s="315"/>
      <c r="FK66" s="310"/>
      <c r="FL66" s="329"/>
      <c r="FM66" s="311"/>
      <c r="FN66" s="315"/>
      <c r="FO66" s="310"/>
      <c r="FP66" s="329"/>
      <c r="FQ66" s="311"/>
      <c r="FR66" s="315"/>
      <c r="FS66" s="310"/>
      <c r="FT66" s="329"/>
      <c r="FU66" s="311"/>
      <c r="FV66" s="315"/>
      <c r="FW66" s="310"/>
      <c r="FX66" s="329"/>
      <c r="FY66" s="311"/>
      <c r="FZ66" s="315"/>
      <c r="GA66" s="310"/>
      <c r="GB66" s="329"/>
      <c r="GC66" s="311"/>
      <c r="GD66" s="315"/>
      <c r="GE66" s="310"/>
      <c r="GF66" s="329"/>
      <c r="GG66" s="311"/>
      <c r="GH66" s="315"/>
      <c r="GI66" s="310"/>
      <c r="GJ66" s="329"/>
      <c r="GK66" s="311"/>
      <c r="GL66" s="315"/>
      <c r="GM66" s="310"/>
      <c r="GN66" s="329"/>
      <c r="GO66" s="311"/>
      <c r="GP66" s="315"/>
      <c r="GQ66" s="310"/>
      <c r="GR66" s="329"/>
      <c r="GS66" s="311"/>
      <c r="GT66" s="315"/>
      <c r="GU66" s="310"/>
      <c r="GV66" s="329"/>
      <c r="GW66" s="311"/>
      <c r="GX66" s="315"/>
      <c r="GY66" s="310"/>
      <c r="GZ66" s="329"/>
      <c r="HA66" s="311"/>
      <c r="HB66" s="315"/>
      <c r="HC66" s="312">
        <f t="shared" si="79"/>
        <v>0</v>
      </c>
      <c r="HD66" s="330"/>
      <c r="HE66" s="313">
        <f t="shared" si="79"/>
        <v>0</v>
      </c>
      <c r="HF66" s="331">
        <f t="shared" si="79"/>
        <v>0</v>
      </c>
      <c r="HG66" s="312">
        <f>SUM(SUMIFS(K66:HB66,$K$13:$HB$13,{"エネルギー管理指定工場等*","県域*"}))</f>
        <v>0</v>
      </c>
      <c r="HH66" s="330"/>
      <c r="HI66" s="313">
        <f>SUM(SUMIFS(M66:HD66,$K$13:$HB$13,{"エネルギー管理指定工場等*","県域*"}))</f>
        <v>0</v>
      </c>
      <c r="HJ66" s="331">
        <f>SUM(SUMIFS(N66:HE66,$K$13:$HB$13,{"エネルギー管理指定工場等*","県域*"}))</f>
        <v>0</v>
      </c>
      <c r="IE66" s="579"/>
      <c r="IF66" s="579"/>
      <c r="IG66" s="579"/>
      <c r="IH66" s="579"/>
    </row>
    <row r="67" spans="2:242" s="164" customFormat="1" ht="20.100000000000001" customHeight="1">
      <c r="B67" s="302"/>
      <c r="C67" s="319"/>
      <c r="D67" s="328" t="s">
        <v>602</v>
      </c>
      <c r="E67" s="305"/>
      <c r="F67" s="303" t="s">
        <v>461</v>
      </c>
      <c r="G67" s="306">
        <v>1.19</v>
      </c>
      <c r="H67" s="334"/>
      <c r="I67" s="308"/>
      <c r="J67" s="309"/>
      <c r="K67" s="310"/>
      <c r="L67" s="329"/>
      <c r="M67" s="311"/>
      <c r="N67" s="315"/>
      <c r="O67" s="310"/>
      <c r="P67" s="329"/>
      <c r="Q67" s="311"/>
      <c r="R67" s="315"/>
      <c r="S67" s="310"/>
      <c r="T67" s="329"/>
      <c r="U67" s="311"/>
      <c r="V67" s="315"/>
      <c r="W67" s="310"/>
      <c r="X67" s="329"/>
      <c r="Y67" s="311"/>
      <c r="Z67" s="315"/>
      <c r="AA67" s="310"/>
      <c r="AB67" s="329"/>
      <c r="AC67" s="311"/>
      <c r="AD67" s="315"/>
      <c r="AE67" s="310"/>
      <c r="AF67" s="329"/>
      <c r="AG67" s="311"/>
      <c r="AH67" s="315"/>
      <c r="AI67" s="310"/>
      <c r="AJ67" s="329"/>
      <c r="AK67" s="311"/>
      <c r="AL67" s="315"/>
      <c r="AM67" s="310"/>
      <c r="AN67" s="329"/>
      <c r="AO67" s="311"/>
      <c r="AP67" s="315"/>
      <c r="AQ67" s="310"/>
      <c r="AR67" s="329"/>
      <c r="AS67" s="311"/>
      <c r="AT67" s="315"/>
      <c r="AU67" s="310"/>
      <c r="AV67" s="329"/>
      <c r="AW67" s="311"/>
      <c r="AX67" s="315"/>
      <c r="AY67" s="310"/>
      <c r="AZ67" s="329"/>
      <c r="BA67" s="311"/>
      <c r="BB67" s="315"/>
      <c r="BC67" s="310"/>
      <c r="BD67" s="329"/>
      <c r="BE67" s="311"/>
      <c r="BF67" s="315"/>
      <c r="BG67" s="310"/>
      <c r="BH67" s="329"/>
      <c r="BI67" s="311"/>
      <c r="BJ67" s="315"/>
      <c r="BK67" s="310"/>
      <c r="BL67" s="329"/>
      <c r="BM67" s="311"/>
      <c r="BN67" s="315"/>
      <c r="BO67" s="310"/>
      <c r="BP67" s="329"/>
      <c r="BQ67" s="311"/>
      <c r="BR67" s="315"/>
      <c r="BS67" s="310"/>
      <c r="BT67" s="329"/>
      <c r="BU67" s="311"/>
      <c r="BV67" s="315"/>
      <c r="BW67" s="310"/>
      <c r="BX67" s="329"/>
      <c r="BY67" s="311"/>
      <c r="BZ67" s="315"/>
      <c r="CA67" s="310"/>
      <c r="CB67" s="329"/>
      <c r="CC67" s="311"/>
      <c r="CD67" s="315"/>
      <c r="CE67" s="310"/>
      <c r="CF67" s="329"/>
      <c r="CG67" s="311"/>
      <c r="CH67" s="315"/>
      <c r="CI67" s="310"/>
      <c r="CJ67" s="329"/>
      <c r="CK67" s="311"/>
      <c r="CL67" s="315"/>
      <c r="CM67" s="310"/>
      <c r="CN67" s="329"/>
      <c r="CO67" s="311"/>
      <c r="CP67" s="315"/>
      <c r="CQ67" s="310"/>
      <c r="CR67" s="329"/>
      <c r="CS67" s="311"/>
      <c r="CT67" s="315"/>
      <c r="CU67" s="310"/>
      <c r="CV67" s="329"/>
      <c r="CW67" s="311"/>
      <c r="CX67" s="315"/>
      <c r="CY67" s="310"/>
      <c r="CZ67" s="329"/>
      <c r="DA67" s="311"/>
      <c r="DB67" s="315"/>
      <c r="DC67" s="310"/>
      <c r="DD67" s="329"/>
      <c r="DE67" s="311"/>
      <c r="DF67" s="315"/>
      <c r="DG67" s="310"/>
      <c r="DH67" s="329"/>
      <c r="DI67" s="311"/>
      <c r="DJ67" s="315"/>
      <c r="DK67" s="310"/>
      <c r="DL67" s="329"/>
      <c r="DM67" s="311"/>
      <c r="DN67" s="315"/>
      <c r="DO67" s="310"/>
      <c r="DP67" s="329"/>
      <c r="DQ67" s="311"/>
      <c r="DR67" s="315"/>
      <c r="DS67" s="310"/>
      <c r="DT67" s="329"/>
      <c r="DU67" s="311"/>
      <c r="DV67" s="315"/>
      <c r="DW67" s="310"/>
      <c r="DX67" s="329"/>
      <c r="DY67" s="311"/>
      <c r="DZ67" s="315"/>
      <c r="EA67" s="310"/>
      <c r="EB67" s="329"/>
      <c r="EC67" s="311"/>
      <c r="ED67" s="315"/>
      <c r="EE67" s="310"/>
      <c r="EF67" s="329"/>
      <c r="EG67" s="311"/>
      <c r="EH67" s="315"/>
      <c r="EI67" s="310"/>
      <c r="EJ67" s="329"/>
      <c r="EK67" s="311"/>
      <c r="EL67" s="315"/>
      <c r="EM67" s="310"/>
      <c r="EN67" s="329"/>
      <c r="EO67" s="311"/>
      <c r="EP67" s="315"/>
      <c r="EQ67" s="310"/>
      <c r="ER67" s="329"/>
      <c r="ES67" s="311"/>
      <c r="ET67" s="315"/>
      <c r="EU67" s="310"/>
      <c r="EV67" s="329"/>
      <c r="EW67" s="311"/>
      <c r="EX67" s="315"/>
      <c r="EY67" s="310"/>
      <c r="EZ67" s="329"/>
      <c r="FA67" s="311"/>
      <c r="FB67" s="315"/>
      <c r="FC67" s="310"/>
      <c r="FD67" s="329"/>
      <c r="FE67" s="311"/>
      <c r="FF67" s="315"/>
      <c r="FG67" s="310"/>
      <c r="FH67" s="329"/>
      <c r="FI67" s="311"/>
      <c r="FJ67" s="315"/>
      <c r="FK67" s="310"/>
      <c r="FL67" s="329"/>
      <c r="FM67" s="311"/>
      <c r="FN67" s="315"/>
      <c r="FO67" s="310"/>
      <c r="FP67" s="329"/>
      <c r="FQ67" s="311"/>
      <c r="FR67" s="315"/>
      <c r="FS67" s="310"/>
      <c r="FT67" s="329"/>
      <c r="FU67" s="311"/>
      <c r="FV67" s="315"/>
      <c r="FW67" s="310"/>
      <c r="FX67" s="329"/>
      <c r="FY67" s="311"/>
      <c r="FZ67" s="315"/>
      <c r="GA67" s="310"/>
      <c r="GB67" s="329"/>
      <c r="GC67" s="311"/>
      <c r="GD67" s="315"/>
      <c r="GE67" s="310"/>
      <c r="GF67" s="329"/>
      <c r="GG67" s="311"/>
      <c r="GH67" s="315"/>
      <c r="GI67" s="310"/>
      <c r="GJ67" s="329"/>
      <c r="GK67" s="311"/>
      <c r="GL67" s="315"/>
      <c r="GM67" s="310"/>
      <c r="GN67" s="329"/>
      <c r="GO67" s="311"/>
      <c r="GP67" s="315"/>
      <c r="GQ67" s="310"/>
      <c r="GR67" s="329"/>
      <c r="GS67" s="311"/>
      <c r="GT67" s="315"/>
      <c r="GU67" s="310"/>
      <c r="GV67" s="329"/>
      <c r="GW67" s="311"/>
      <c r="GX67" s="315"/>
      <c r="GY67" s="310"/>
      <c r="GZ67" s="329"/>
      <c r="HA67" s="311"/>
      <c r="HB67" s="315"/>
      <c r="HC67" s="312">
        <f t="shared" si="79"/>
        <v>0</v>
      </c>
      <c r="HD67" s="330"/>
      <c r="HE67" s="313">
        <f t="shared" si="79"/>
        <v>0</v>
      </c>
      <c r="HF67" s="331">
        <f t="shared" si="79"/>
        <v>0</v>
      </c>
      <c r="HG67" s="312">
        <f>SUM(SUMIFS(K67:HB67,$K$13:$HB$13,{"エネルギー管理指定工場等*","県域*"}))</f>
        <v>0</v>
      </c>
      <c r="HH67" s="330"/>
      <c r="HI67" s="313">
        <f>SUM(SUMIFS(M67:HD67,$K$13:$HB$13,{"エネルギー管理指定工場等*","県域*"}))</f>
        <v>0</v>
      </c>
      <c r="HJ67" s="331">
        <f>SUM(SUMIFS(N67:HE67,$K$13:$HB$13,{"エネルギー管理指定工場等*","県域*"}))</f>
        <v>0</v>
      </c>
      <c r="IE67" s="579"/>
      <c r="IF67" s="579"/>
      <c r="IG67" s="579"/>
      <c r="IH67" s="579"/>
    </row>
    <row r="68" spans="2:242" s="164" customFormat="1" ht="20.100000000000001" customHeight="1">
      <c r="B68" s="302"/>
      <c r="C68" s="319"/>
      <c r="D68" s="332"/>
      <c r="E68" s="333" t="s">
        <v>603</v>
      </c>
      <c r="F68" s="303" t="s">
        <v>461</v>
      </c>
      <c r="G68" s="306">
        <v>1.19</v>
      </c>
      <c r="H68" s="334"/>
      <c r="I68" s="308"/>
      <c r="J68" s="309"/>
      <c r="K68" s="310"/>
      <c r="L68" s="329"/>
      <c r="M68" s="311"/>
      <c r="N68" s="315"/>
      <c r="O68" s="310"/>
      <c r="P68" s="329"/>
      <c r="Q68" s="311"/>
      <c r="R68" s="315"/>
      <c r="S68" s="310"/>
      <c r="T68" s="329"/>
      <c r="U68" s="311"/>
      <c r="V68" s="315"/>
      <c r="W68" s="310"/>
      <c r="X68" s="329"/>
      <c r="Y68" s="311"/>
      <c r="Z68" s="315"/>
      <c r="AA68" s="310"/>
      <c r="AB68" s="329"/>
      <c r="AC68" s="311"/>
      <c r="AD68" s="315"/>
      <c r="AE68" s="310"/>
      <c r="AF68" s="329"/>
      <c r="AG68" s="311"/>
      <c r="AH68" s="315"/>
      <c r="AI68" s="310"/>
      <c r="AJ68" s="329"/>
      <c r="AK68" s="311"/>
      <c r="AL68" s="315"/>
      <c r="AM68" s="310"/>
      <c r="AN68" s="329"/>
      <c r="AO68" s="311"/>
      <c r="AP68" s="315"/>
      <c r="AQ68" s="310"/>
      <c r="AR68" s="329"/>
      <c r="AS68" s="311"/>
      <c r="AT68" s="315"/>
      <c r="AU68" s="310"/>
      <c r="AV68" s="329"/>
      <c r="AW68" s="311"/>
      <c r="AX68" s="315"/>
      <c r="AY68" s="310"/>
      <c r="AZ68" s="329"/>
      <c r="BA68" s="311"/>
      <c r="BB68" s="315"/>
      <c r="BC68" s="310"/>
      <c r="BD68" s="329"/>
      <c r="BE68" s="311"/>
      <c r="BF68" s="315"/>
      <c r="BG68" s="310"/>
      <c r="BH68" s="329"/>
      <c r="BI68" s="311"/>
      <c r="BJ68" s="315"/>
      <c r="BK68" s="310"/>
      <c r="BL68" s="329"/>
      <c r="BM68" s="311"/>
      <c r="BN68" s="315"/>
      <c r="BO68" s="310"/>
      <c r="BP68" s="329"/>
      <c r="BQ68" s="311"/>
      <c r="BR68" s="315"/>
      <c r="BS68" s="310"/>
      <c r="BT68" s="329"/>
      <c r="BU68" s="311"/>
      <c r="BV68" s="315"/>
      <c r="BW68" s="310"/>
      <c r="BX68" s="329"/>
      <c r="BY68" s="311"/>
      <c r="BZ68" s="315"/>
      <c r="CA68" s="310"/>
      <c r="CB68" s="329"/>
      <c r="CC68" s="311"/>
      <c r="CD68" s="315"/>
      <c r="CE68" s="310"/>
      <c r="CF68" s="329"/>
      <c r="CG68" s="311"/>
      <c r="CH68" s="315"/>
      <c r="CI68" s="310"/>
      <c r="CJ68" s="329"/>
      <c r="CK68" s="311"/>
      <c r="CL68" s="315"/>
      <c r="CM68" s="310"/>
      <c r="CN68" s="329"/>
      <c r="CO68" s="311"/>
      <c r="CP68" s="315"/>
      <c r="CQ68" s="310"/>
      <c r="CR68" s="329"/>
      <c r="CS68" s="311"/>
      <c r="CT68" s="315"/>
      <c r="CU68" s="310"/>
      <c r="CV68" s="329"/>
      <c r="CW68" s="311"/>
      <c r="CX68" s="315"/>
      <c r="CY68" s="310"/>
      <c r="CZ68" s="329"/>
      <c r="DA68" s="311"/>
      <c r="DB68" s="315"/>
      <c r="DC68" s="310"/>
      <c r="DD68" s="329"/>
      <c r="DE68" s="311"/>
      <c r="DF68" s="315"/>
      <c r="DG68" s="310"/>
      <c r="DH68" s="329"/>
      <c r="DI68" s="311"/>
      <c r="DJ68" s="315"/>
      <c r="DK68" s="310"/>
      <c r="DL68" s="329"/>
      <c r="DM68" s="311"/>
      <c r="DN68" s="315"/>
      <c r="DO68" s="310"/>
      <c r="DP68" s="329"/>
      <c r="DQ68" s="311"/>
      <c r="DR68" s="315"/>
      <c r="DS68" s="310"/>
      <c r="DT68" s="329"/>
      <c r="DU68" s="311"/>
      <c r="DV68" s="315"/>
      <c r="DW68" s="310"/>
      <c r="DX68" s="329"/>
      <c r="DY68" s="311"/>
      <c r="DZ68" s="315"/>
      <c r="EA68" s="310"/>
      <c r="EB68" s="329"/>
      <c r="EC68" s="311"/>
      <c r="ED68" s="315"/>
      <c r="EE68" s="310"/>
      <c r="EF68" s="329"/>
      <c r="EG68" s="311"/>
      <c r="EH68" s="315"/>
      <c r="EI68" s="310"/>
      <c r="EJ68" s="329"/>
      <c r="EK68" s="311"/>
      <c r="EL68" s="315"/>
      <c r="EM68" s="310"/>
      <c r="EN68" s="329"/>
      <c r="EO68" s="311"/>
      <c r="EP68" s="315"/>
      <c r="EQ68" s="310"/>
      <c r="ER68" s="329"/>
      <c r="ES68" s="311"/>
      <c r="ET68" s="315"/>
      <c r="EU68" s="310"/>
      <c r="EV68" s="329"/>
      <c r="EW68" s="311"/>
      <c r="EX68" s="315"/>
      <c r="EY68" s="310"/>
      <c r="EZ68" s="329"/>
      <c r="FA68" s="311"/>
      <c r="FB68" s="315"/>
      <c r="FC68" s="310"/>
      <c r="FD68" s="329"/>
      <c r="FE68" s="311"/>
      <c r="FF68" s="315"/>
      <c r="FG68" s="310"/>
      <c r="FH68" s="329"/>
      <c r="FI68" s="311"/>
      <c r="FJ68" s="315"/>
      <c r="FK68" s="310"/>
      <c r="FL68" s="329"/>
      <c r="FM68" s="311"/>
      <c r="FN68" s="315"/>
      <c r="FO68" s="310"/>
      <c r="FP68" s="329"/>
      <c r="FQ68" s="311"/>
      <c r="FR68" s="315"/>
      <c r="FS68" s="310"/>
      <c r="FT68" s="329"/>
      <c r="FU68" s="311"/>
      <c r="FV68" s="315"/>
      <c r="FW68" s="310"/>
      <c r="FX68" s="329"/>
      <c r="FY68" s="311"/>
      <c r="FZ68" s="315"/>
      <c r="GA68" s="310"/>
      <c r="GB68" s="329"/>
      <c r="GC68" s="311"/>
      <c r="GD68" s="315"/>
      <c r="GE68" s="310"/>
      <c r="GF68" s="329"/>
      <c r="GG68" s="311"/>
      <c r="GH68" s="315"/>
      <c r="GI68" s="310"/>
      <c r="GJ68" s="329"/>
      <c r="GK68" s="311"/>
      <c r="GL68" s="315"/>
      <c r="GM68" s="310"/>
      <c r="GN68" s="329"/>
      <c r="GO68" s="311"/>
      <c r="GP68" s="315"/>
      <c r="GQ68" s="310"/>
      <c r="GR68" s="329"/>
      <c r="GS68" s="311"/>
      <c r="GT68" s="315"/>
      <c r="GU68" s="310"/>
      <c r="GV68" s="329"/>
      <c r="GW68" s="311"/>
      <c r="GX68" s="315"/>
      <c r="GY68" s="310"/>
      <c r="GZ68" s="329"/>
      <c r="HA68" s="311"/>
      <c r="HB68" s="315"/>
      <c r="HC68" s="312">
        <f t="shared" si="79"/>
        <v>0</v>
      </c>
      <c r="HD68" s="330"/>
      <c r="HE68" s="313">
        <f t="shared" si="79"/>
        <v>0</v>
      </c>
      <c r="HF68" s="331">
        <f t="shared" si="79"/>
        <v>0</v>
      </c>
      <c r="HG68" s="312">
        <f>SUM(SUMIFS(K68:HB68,$K$13:$HB$13,{"エネルギー管理指定工場等*","県域*"}))</f>
        <v>0</v>
      </c>
      <c r="HH68" s="330"/>
      <c r="HI68" s="313">
        <f>SUM(SUMIFS(M68:HD68,$K$13:$HB$13,{"エネルギー管理指定工場等*","県域*"}))</f>
        <v>0</v>
      </c>
      <c r="HJ68" s="331">
        <f>SUM(SUMIFS(N68:HE68,$K$13:$HB$13,{"エネルギー管理指定工場等*","県域*"}))</f>
        <v>0</v>
      </c>
      <c r="IE68" s="579"/>
      <c r="IF68" s="579"/>
      <c r="IG68" s="579"/>
      <c r="IH68" s="579"/>
    </row>
    <row r="69" spans="2:242" s="164" customFormat="1" ht="20.100000000000001" customHeight="1">
      <c r="B69" s="302"/>
      <c r="C69" s="319"/>
      <c r="D69" s="328" t="s">
        <v>604</v>
      </c>
      <c r="E69" s="305"/>
      <c r="F69" s="303" t="s">
        <v>461</v>
      </c>
      <c r="G69" s="306">
        <v>1.19</v>
      </c>
      <c r="H69" s="334"/>
      <c r="I69" s="308"/>
      <c r="J69" s="309"/>
      <c r="K69" s="310"/>
      <c r="L69" s="329"/>
      <c r="M69" s="311"/>
      <c r="N69" s="315"/>
      <c r="O69" s="310"/>
      <c r="P69" s="329"/>
      <c r="Q69" s="311"/>
      <c r="R69" s="315"/>
      <c r="S69" s="310"/>
      <c r="T69" s="329"/>
      <c r="U69" s="311"/>
      <c r="V69" s="315"/>
      <c r="W69" s="310"/>
      <c r="X69" s="329"/>
      <c r="Y69" s="311"/>
      <c r="Z69" s="315"/>
      <c r="AA69" s="310"/>
      <c r="AB69" s="329"/>
      <c r="AC69" s="311"/>
      <c r="AD69" s="315"/>
      <c r="AE69" s="310"/>
      <c r="AF69" s="329"/>
      <c r="AG69" s="311"/>
      <c r="AH69" s="315"/>
      <c r="AI69" s="310"/>
      <c r="AJ69" s="329"/>
      <c r="AK69" s="311"/>
      <c r="AL69" s="315"/>
      <c r="AM69" s="310"/>
      <c r="AN69" s="329"/>
      <c r="AO69" s="311"/>
      <c r="AP69" s="315"/>
      <c r="AQ69" s="310"/>
      <c r="AR69" s="329"/>
      <c r="AS69" s="311"/>
      <c r="AT69" s="315"/>
      <c r="AU69" s="310"/>
      <c r="AV69" s="329"/>
      <c r="AW69" s="311"/>
      <c r="AX69" s="315"/>
      <c r="AY69" s="310"/>
      <c r="AZ69" s="329"/>
      <c r="BA69" s="311"/>
      <c r="BB69" s="315"/>
      <c r="BC69" s="310"/>
      <c r="BD69" s="329"/>
      <c r="BE69" s="311"/>
      <c r="BF69" s="315"/>
      <c r="BG69" s="310"/>
      <c r="BH69" s="329"/>
      <c r="BI69" s="311"/>
      <c r="BJ69" s="315"/>
      <c r="BK69" s="310"/>
      <c r="BL69" s="329"/>
      <c r="BM69" s="311"/>
      <c r="BN69" s="315"/>
      <c r="BO69" s="310"/>
      <c r="BP69" s="329"/>
      <c r="BQ69" s="311"/>
      <c r="BR69" s="315"/>
      <c r="BS69" s="310"/>
      <c r="BT69" s="329"/>
      <c r="BU69" s="311"/>
      <c r="BV69" s="315"/>
      <c r="BW69" s="310"/>
      <c r="BX69" s="329"/>
      <c r="BY69" s="311"/>
      <c r="BZ69" s="315"/>
      <c r="CA69" s="310"/>
      <c r="CB69" s="329"/>
      <c r="CC69" s="311"/>
      <c r="CD69" s="315"/>
      <c r="CE69" s="310"/>
      <c r="CF69" s="329"/>
      <c r="CG69" s="311"/>
      <c r="CH69" s="315"/>
      <c r="CI69" s="310"/>
      <c r="CJ69" s="329"/>
      <c r="CK69" s="311"/>
      <c r="CL69" s="315"/>
      <c r="CM69" s="310"/>
      <c r="CN69" s="329"/>
      <c r="CO69" s="311"/>
      <c r="CP69" s="315"/>
      <c r="CQ69" s="310"/>
      <c r="CR69" s="329"/>
      <c r="CS69" s="311"/>
      <c r="CT69" s="315"/>
      <c r="CU69" s="310"/>
      <c r="CV69" s="329"/>
      <c r="CW69" s="311"/>
      <c r="CX69" s="315"/>
      <c r="CY69" s="310"/>
      <c r="CZ69" s="329"/>
      <c r="DA69" s="311"/>
      <c r="DB69" s="315"/>
      <c r="DC69" s="310"/>
      <c r="DD69" s="329"/>
      <c r="DE69" s="311"/>
      <c r="DF69" s="315"/>
      <c r="DG69" s="310"/>
      <c r="DH69" s="329"/>
      <c r="DI69" s="311"/>
      <c r="DJ69" s="315"/>
      <c r="DK69" s="310"/>
      <c r="DL69" s="329"/>
      <c r="DM69" s="311"/>
      <c r="DN69" s="315"/>
      <c r="DO69" s="310"/>
      <c r="DP69" s="329"/>
      <c r="DQ69" s="311"/>
      <c r="DR69" s="315"/>
      <c r="DS69" s="310"/>
      <c r="DT69" s="329"/>
      <c r="DU69" s="311"/>
      <c r="DV69" s="315"/>
      <c r="DW69" s="310"/>
      <c r="DX69" s="329"/>
      <c r="DY69" s="311"/>
      <c r="DZ69" s="315"/>
      <c r="EA69" s="310"/>
      <c r="EB69" s="329"/>
      <c r="EC69" s="311"/>
      <c r="ED69" s="315"/>
      <c r="EE69" s="310"/>
      <c r="EF69" s="329"/>
      <c r="EG69" s="311"/>
      <c r="EH69" s="315"/>
      <c r="EI69" s="310"/>
      <c r="EJ69" s="329"/>
      <c r="EK69" s="311"/>
      <c r="EL69" s="315"/>
      <c r="EM69" s="310"/>
      <c r="EN69" s="329"/>
      <c r="EO69" s="311"/>
      <c r="EP69" s="315"/>
      <c r="EQ69" s="310"/>
      <c r="ER69" s="329"/>
      <c r="ES69" s="311"/>
      <c r="ET69" s="315"/>
      <c r="EU69" s="310"/>
      <c r="EV69" s="329"/>
      <c r="EW69" s="311"/>
      <c r="EX69" s="315"/>
      <c r="EY69" s="310"/>
      <c r="EZ69" s="329"/>
      <c r="FA69" s="311"/>
      <c r="FB69" s="315"/>
      <c r="FC69" s="310"/>
      <c r="FD69" s="329"/>
      <c r="FE69" s="311"/>
      <c r="FF69" s="315"/>
      <c r="FG69" s="310"/>
      <c r="FH69" s="329"/>
      <c r="FI69" s="311"/>
      <c r="FJ69" s="315"/>
      <c r="FK69" s="310"/>
      <c r="FL69" s="329"/>
      <c r="FM69" s="311"/>
      <c r="FN69" s="315"/>
      <c r="FO69" s="310"/>
      <c r="FP69" s="329"/>
      <c r="FQ69" s="311"/>
      <c r="FR69" s="315"/>
      <c r="FS69" s="310"/>
      <c r="FT69" s="329"/>
      <c r="FU69" s="311"/>
      <c r="FV69" s="315"/>
      <c r="FW69" s="310"/>
      <c r="FX69" s="329"/>
      <c r="FY69" s="311"/>
      <c r="FZ69" s="315"/>
      <c r="GA69" s="310"/>
      <c r="GB69" s="329"/>
      <c r="GC69" s="311"/>
      <c r="GD69" s="315"/>
      <c r="GE69" s="310"/>
      <c r="GF69" s="329"/>
      <c r="GG69" s="311"/>
      <c r="GH69" s="315"/>
      <c r="GI69" s="310"/>
      <c r="GJ69" s="329"/>
      <c r="GK69" s="311"/>
      <c r="GL69" s="315"/>
      <c r="GM69" s="310"/>
      <c r="GN69" s="329"/>
      <c r="GO69" s="311"/>
      <c r="GP69" s="315"/>
      <c r="GQ69" s="310"/>
      <c r="GR69" s="329"/>
      <c r="GS69" s="311"/>
      <c r="GT69" s="315"/>
      <c r="GU69" s="310"/>
      <c r="GV69" s="329"/>
      <c r="GW69" s="311"/>
      <c r="GX69" s="315"/>
      <c r="GY69" s="310"/>
      <c r="GZ69" s="329"/>
      <c r="HA69" s="311"/>
      <c r="HB69" s="315"/>
      <c r="HC69" s="312">
        <f t="shared" si="79"/>
        <v>0</v>
      </c>
      <c r="HD69" s="330"/>
      <c r="HE69" s="313">
        <f t="shared" si="79"/>
        <v>0</v>
      </c>
      <c r="HF69" s="331">
        <f t="shared" si="79"/>
        <v>0</v>
      </c>
      <c r="HG69" s="312">
        <f>SUM(SUMIFS(K69:HB69,$K$13:$HB$13,{"エネルギー管理指定工場等*","県域*"}))</f>
        <v>0</v>
      </c>
      <c r="HH69" s="330"/>
      <c r="HI69" s="313">
        <f>SUM(SUMIFS(M69:HD69,$K$13:$HB$13,{"エネルギー管理指定工場等*","県域*"}))</f>
        <v>0</v>
      </c>
      <c r="HJ69" s="331">
        <f>SUM(SUMIFS(N69:HE69,$K$13:$HB$13,{"エネルギー管理指定工場等*","県域*"}))</f>
        <v>0</v>
      </c>
      <c r="IE69" s="579"/>
      <c r="IF69" s="579"/>
      <c r="IG69" s="579"/>
      <c r="IH69" s="579"/>
    </row>
    <row r="70" spans="2:242" s="164" customFormat="1" ht="20.100000000000001" customHeight="1">
      <c r="B70" s="302"/>
      <c r="C70" s="319"/>
      <c r="D70" s="332"/>
      <c r="E70" s="333" t="s">
        <v>1377</v>
      </c>
      <c r="F70" s="303" t="s">
        <v>461</v>
      </c>
      <c r="G70" s="306">
        <v>1.19</v>
      </c>
      <c r="H70" s="334"/>
      <c r="I70" s="308"/>
      <c r="J70" s="309"/>
      <c r="K70" s="310"/>
      <c r="L70" s="329"/>
      <c r="M70" s="311"/>
      <c r="N70" s="315"/>
      <c r="O70" s="310"/>
      <c r="P70" s="329"/>
      <c r="Q70" s="311"/>
      <c r="R70" s="315"/>
      <c r="S70" s="310"/>
      <c r="T70" s="329"/>
      <c r="U70" s="311"/>
      <c r="V70" s="315"/>
      <c r="W70" s="310"/>
      <c r="X70" s="329"/>
      <c r="Y70" s="311"/>
      <c r="Z70" s="315"/>
      <c r="AA70" s="310"/>
      <c r="AB70" s="329"/>
      <c r="AC70" s="311"/>
      <c r="AD70" s="315"/>
      <c r="AE70" s="310"/>
      <c r="AF70" s="329"/>
      <c r="AG70" s="311"/>
      <c r="AH70" s="315"/>
      <c r="AI70" s="310"/>
      <c r="AJ70" s="329"/>
      <c r="AK70" s="311"/>
      <c r="AL70" s="315"/>
      <c r="AM70" s="310"/>
      <c r="AN70" s="329"/>
      <c r="AO70" s="311"/>
      <c r="AP70" s="315"/>
      <c r="AQ70" s="310"/>
      <c r="AR70" s="329"/>
      <c r="AS70" s="311"/>
      <c r="AT70" s="315"/>
      <c r="AU70" s="310"/>
      <c r="AV70" s="329"/>
      <c r="AW70" s="311"/>
      <c r="AX70" s="315"/>
      <c r="AY70" s="310"/>
      <c r="AZ70" s="329"/>
      <c r="BA70" s="311"/>
      <c r="BB70" s="315"/>
      <c r="BC70" s="310"/>
      <c r="BD70" s="329"/>
      <c r="BE70" s="311"/>
      <c r="BF70" s="315"/>
      <c r="BG70" s="310"/>
      <c r="BH70" s="329"/>
      <c r="BI70" s="311"/>
      <c r="BJ70" s="315"/>
      <c r="BK70" s="310"/>
      <c r="BL70" s="329"/>
      <c r="BM70" s="311"/>
      <c r="BN70" s="315"/>
      <c r="BO70" s="310"/>
      <c r="BP70" s="329"/>
      <c r="BQ70" s="311"/>
      <c r="BR70" s="315"/>
      <c r="BS70" s="310"/>
      <c r="BT70" s="329"/>
      <c r="BU70" s="311"/>
      <c r="BV70" s="315"/>
      <c r="BW70" s="310"/>
      <c r="BX70" s="329"/>
      <c r="BY70" s="311"/>
      <c r="BZ70" s="315"/>
      <c r="CA70" s="310"/>
      <c r="CB70" s="329"/>
      <c r="CC70" s="311"/>
      <c r="CD70" s="315"/>
      <c r="CE70" s="310"/>
      <c r="CF70" s="329"/>
      <c r="CG70" s="311"/>
      <c r="CH70" s="315"/>
      <c r="CI70" s="310"/>
      <c r="CJ70" s="329"/>
      <c r="CK70" s="311"/>
      <c r="CL70" s="315"/>
      <c r="CM70" s="310"/>
      <c r="CN70" s="329"/>
      <c r="CO70" s="311"/>
      <c r="CP70" s="315"/>
      <c r="CQ70" s="310"/>
      <c r="CR70" s="329"/>
      <c r="CS70" s="311"/>
      <c r="CT70" s="315"/>
      <c r="CU70" s="310"/>
      <c r="CV70" s="329"/>
      <c r="CW70" s="311"/>
      <c r="CX70" s="315"/>
      <c r="CY70" s="310"/>
      <c r="CZ70" s="329"/>
      <c r="DA70" s="311"/>
      <c r="DB70" s="315"/>
      <c r="DC70" s="310"/>
      <c r="DD70" s="329"/>
      <c r="DE70" s="311"/>
      <c r="DF70" s="315"/>
      <c r="DG70" s="310"/>
      <c r="DH70" s="329"/>
      <c r="DI70" s="311"/>
      <c r="DJ70" s="315"/>
      <c r="DK70" s="310"/>
      <c r="DL70" s="329"/>
      <c r="DM70" s="311"/>
      <c r="DN70" s="315"/>
      <c r="DO70" s="310"/>
      <c r="DP70" s="329"/>
      <c r="DQ70" s="311"/>
      <c r="DR70" s="315"/>
      <c r="DS70" s="310"/>
      <c r="DT70" s="329"/>
      <c r="DU70" s="311"/>
      <c r="DV70" s="315"/>
      <c r="DW70" s="310"/>
      <c r="DX70" s="329"/>
      <c r="DY70" s="311"/>
      <c r="DZ70" s="315"/>
      <c r="EA70" s="310"/>
      <c r="EB70" s="329"/>
      <c r="EC70" s="311"/>
      <c r="ED70" s="315"/>
      <c r="EE70" s="310"/>
      <c r="EF70" s="329"/>
      <c r="EG70" s="311"/>
      <c r="EH70" s="315"/>
      <c r="EI70" s="310"/>
      <c r="EJ70" s="329"/>
      <c r="EK70" s="311"/>
      <c r="EL70" s="315"/>
      <c r="EM70" s="310"/>
      <c r="EN70" s="329"/>
      <c r="EO70" s="311"/>
      <c r="EP70" s="315"/>
      <c r="EQ70" s="310"/>
      <c r="ER70" s="329"/>
      <c r="ES70" s="311"/>
      <c r="ET70" s="315"/>
      <c r="EU70" s="310"/>
      <c r="EV70" s="329"/>
      <c r="EW70" s="311"/>
      <c r="EX70" s="315"/>
      <c r="EY70" s="310"/>
      <c r="EZ70" s="329"/>
      <c r="FA70" s="311"/>
      <c r="FB70" s="315"/>
      <c r="FC70" s="310"/>
      <c r="FD70" s="329"/>
      <c r="FE70" s="311"/>
      <c r="FF70" s="315"/>
      <c r="FG70" s="310"/>
      <c r="FH70" s="329"/>
      <c r="FI70" s="311"/>
      <c r="FJ70" s="315"/>
      <c r="FK70" s="310"/>
      <c r="FL70" s="329"/>
      <c r="FM70" s="311"/>
      <c r="FN70" s="315"/>
      <c r="FO70" s="310"/>
      <c r="FP70" s="329"/>
      <c r="FQ70" s="311"/>
      <c r="FR70" s="315"/>
      <c r="FS70" s="310"/>
      <c r="FT70" s="329"/>
      <c r="FU70" s="311"/>
      <c r="FV70" s="315"/>
      <c r="FW70" s="310"/>
      <c r="FX70" s="329"/>
      <c r="FY70" s="311"/>
      <c r="FZ70" s="315"/>
      <c r="GA70" s="310"/>
      <c r="GB70" s="329"/>
      <c r="GC70" s="311"/>
      <c r="GD70" s="315"/>
      <c r="GE70" s="310"/>
      <c r="GF70" s="329"/>
      <c r="GG70" s="311"/>
      <c r="GH70" s="315"/>
      <c r="GI70" s="310"/>
      <c r="GJ70" s="329"/>
      <c r="GK70" s="311"/>
      <c r="GL70" s="315"/>
      <c r="GM70" s="310"/>
      <c r="GN70" s="329"/>
      <c r="GO70" s="311"/>
      <c r="GP70" s="315"/>
      <c r="GQ70" s="310"/>
      <c r="GR70" s="329"/>
      <c r="GS70" s="311"/>
      <c r="GT70" s="315"/>
      <c r="GU70" s="310"/>
      <c r="GV70" s="329"/>
      <c r="GW70" s="311"/>
      <c r="GX70" s="315"/>
      <c r="GY70" s="310"/>
      <c r="GZ70" s="329"/>
      <c r="HA70" s="311"/>
      <c r="HB70" s="315"/>
      <c r="HC70" s="312">
        <f t="shared" si="79"/>
        <v>0</v>
      </c>
      <c r="HD70" s="330"/>
      <c r="HE70" s="313">
        <f t="shared" si="79"/>
        <v>0</v>
      </c>
      <c r="HF70" s="331">
        <f t="shared" si="79"/>
        <v>0</v>
      </c>
      <c r="HG70" s="312">
        <f>SUM(SUMIFS(K70:HB70,$K$13:$HB$13,{"エネルギー管理指定工場等*","県域*"}))</f>
        <v>0</v>
      </c>
      <c r="HH70" s="330"/>
      <c r="HI70" s="313">
        <f>SUM(SUMIFS(M70:HD70,$K$13:$HB$13,{"エネルギー管理指定工場等*","県域*"}))</f>
        <v>0</v>
      </c>
      <c r="HJ70" s="331">
        <f>SUM(SUMIFS(N70:HE70,$K$13:$HB$13,{"エネルギー管理指定工場等*","県域*"}))</f>
        <v>0</v>
      </c>
      <c r="IE70" s="579"/>
      <c r="IF70" s="579"/>
      <c r="IG70" s="579"/>
      <c r="IH70" s="579"/>
    </row>
    <row r="71" spans="2:242" s="164" customFormat="1" ht="20.100000000000001" customHeight="1">
      <c r="B71" s="302"/>
      <c r="C71" s="319"/>
      <c r="D71" s="328" t="s">
        <v>605</v>
      </c>
      <c r="E71" s="305"/>
      <c r="F71" s="303" t="s">
        <v>461</v>
      </c>
      <c r="G71" s="306">
        <v>1.19</v>
      </c>
      <c r="H71" s="334"/>
      <c r="I71" s="308"/>
      <c r="J71" s="309"/>
      <c r="K71" s="310"/>
      <c r="L71" s="329"/>
      <c r="M71" s="311"/>
      <c r="N71" s="315"/>
      <c r="O71" s="310"/>
      <c r="P71" s="329"/>
      <c r="Q71" s="311"/>
      <c r="R71" s="315"/>
      <c r="S71" s="310"/>
      <c r="T71" s="329"/>
      <c r="U71" s="311"/>
      <c r="V71" s="315"/>
      <c r="W71" s="310"/>
      <c r="X71" s="329"/>
      <c r="Y71" s="311"/>
      <c r="Z71" s="315"/>
      <c r="AA71" s="310"/>
      <c r="AB71" s="329"/>
      <c r="AC71" s="311"/>
      <c r="AD71" s="315"/>
      <c r="AE71" s="310"/>
      <c r="AF71" s="329"/>
      <c r="AG71" s="311"/>
      <c r="AH71" s="315"/>
      <c r="AI71" s="310"/>
      <c r="AJ71" s="329"/>
      <c r="AK71" s="311"/>
      <c r="AL71" s="315"/>
      <c r="AM71" s="310"/>
      <c r="AN71" s="329"/>
      <c r="AO71" s="311"/>
      <c r="AP71" s="315"/>
      <c r="AQ71" s="310"/>
      <c r="AR71" s="329"/>
      <c r="AS71" s="311"/>
      <c r="AT71" s="315"/>
      <c r="AU71" s="310"/>
      <c r="AV71" s="329"/>
      <c r="AW71" s="311"/>
      <c r="AX71" s="315"/>
      <c r="AY71" s="310"/>
      <c r="AZ71" s="329"/>
      <c r="BA71" s="311"/>
      <c r="BB71" s="315"/>
      <c r="BC71" s="310"/>
      <c r="BD71" s="329"/>
      <c r="BE71" s="311"/>
      <c r="BF71" s="315"/>
      <c r="BG71" s="310"/>
      <c r="BH71" s="329"/>
      <c r="BI71" s="311"/>
      <c r="BJ71" s="315"/>
      <c r="BK71" s="310"/>
      <c r="BL71" s="329"/>
      <c r="BM71" s="311"/>
      <c r="BN71" s="315"/>
      <c r="BO71" s="310"/>
      <c r="BP71" s="329"/>
      <c r="BQ71" s="311"/>
      <c r="BR71" s="315"/>
      <c r="BS71" s="310"/>
      <c r="BT71" s="329"/>
      <c r="BU71" s="311"/>
      <c r="BV71" s="315"/>
      <c r="BW71" s="310"/>
      <c r="BX71" s="329"/>
      <c r="BY71" s="311"/>
      <c r="BZ71" s="315"/>
      <c r="CA71" s="310"/>
      <c r="CB71" s="329"/>
      <c r="CC71" s="311"/>
      <c r="CD71" s="315"/>
      <c r="CE71" s="310"/>
      <c r="CF71" s="329"/>
      <c r="CG71" s="311"/>
      <c r="CH71" s="315"/>
      <c r="CI71" s="310"/>
      <c r="CJ71" s="329"/>
      <c r="CK71" s="311"/>
      <c r="CL71" s="315"/>
      <c r="CM71" s="310"/>
      <c r="CN71" s="329"/>
      <c r="CO71" s="311"/>
      <c r="CP71" s="315"/>
      <c r="CQ71" s="310"/>
      <c r="CR71" s="329"/>
      <c r="CS71" s="311"/>
      <c r="CT71" s="315"/>
      <c r="CU71" s="310"/>
      <c r="CV71" s="329"/>
      <c r="CW71" s="311"/>
      <c r="CX71" s="315"/>
      <c r="CY71" s="310"/>
      <c r="CZ71" s="329"/>
      <c r="DA71" s="311"/>
      <c r="DB71" s="315"/>
      <c r="DC71" s="310"/>
      <c r="DD71" s="329"/>
      <c r="DE71" s="311"/>
      <c r="DF71" s="315"/>
      <c r="DG71" s="310"/>
      <c r="DH71" s="329"/>
      <c r="DI71" s="311"/>
      <c r="DJ71" s="315"/>
      <c r="DK71" s="310"/>
      <c r="DL71" s="329"/>
      <c r="DM71" s="311"/>
      <c r="DN71" s="315"/>
      <c r="DO71" s="310"/>
      <c r="DP71" s="329"/>
      <c r="DQ71" s="311"/>
      <c r="DR71" s="315"/>
      <c r="DS71" s="310"/>
      <c r="DT71" s="329"/>
      <c r="DU71" s="311"/>
      <c r="DV71" s="315"/>
      <c r="DW71" s="310"/>
      <c r="DX71" s="329"/>
      <c r="DY71" s="311"/>
      <c r="DZ71" s="315"/>
      <c r="EA71" s="310"/>
      <c r="EB71" s="329"/>
      <c r="EC71" s="311"/>
      <c r="ED71" s="315"/>
      <c r="EE71" s="310"/>
      <c r="EF71" s="329"/>
      <c r="EG71" s="311"/>
      <c r="EH71" s="315"/>
      <c r="EI71" s="310"/>
      <c r="EJ71" s="329"/>
      <c r="EK71" s="311"/>
      <c r="EL71" s="315"/>
      <c r="EM71" s="310"/>
      <c r="EN71" s="329"/>
      <c r="EO71" s="311"/>
      <c r="EP71" s="315"/>
      <c r="EQ71" s="310"/>
      <c r="ER71" s="329"/>
      <c r="ES71" s="311"/>
      <c r="ET71" s="315"/>
      <c r="EU71" s="310"/>
      <c r="EV71" s="329"/>
      <c r="EW71" s="311"/>
      <c r="EX71" s="315"/>
      <c r="EY71" s="310"/>
      <c r="EZ71" s="329"/>
      <c r="FA71" s="311"/>
      <c r="FB71" s="315"/>
      <c r="FC71" s="310"/>
      <c r="FD71" s="329"/>
      <c r="FE71" s="311"/>
      <c r="FF71" s="315"/>
      <c r="FG71" s="310"/>
      <c r="FH71" s="329"/>
      <c r="FI71" s="311"/>
      <c r="FJ71" s="315"/>
      <c r="FK71" s="310"/>
      <c r="FL71" s="329"/>
      <c r="FM71" s="311"/>
      <c r="FN71" s="315"/>
      <c r="FO71" s="310"/>
      <c r="FP71" s="329"/>
      <c r="FQ71" s="311"/>
      <c r="FR71" s="315"/>
      <c r="FS71" s="310"/>
      <c r="FT71" s="329"/>
      <c r="FU71" s="311"/>
      <c r="FV71" s="315"/>
      <c r="FW71" s="310"/>
      <c r="FX71" s="329"/>
      <c r="FY71" s="311"/>
      <c r="FZ71" s="315"/>
      <c r="GA71" s="310"/>
      <c r="GB71" s="329"/>
      <c r="GC71" s="311"/>
      <c r="GD71" s="315"/>
      <c r="GE71" s="310"/>
      <c r="GF71" s="329"/>
      <c r="GG71" s="311"/>
      <c r="GH71" s="315"/>
      <c r="GI71" s="310"/>
      <c r="GJ71" s="329"/>
      <c r="GK71" s="311"/>
      <c r="GL71" s="315"/>
      <c r="GM71" s="310"/>
      <c r="GN71" s="329"/>
      <c r="GO71" s="311"/>
      <c r="GP71" s="315"/>
      <c r="GQ71" s="310"/>
      <c r="GR71" s="329"/>
      <c r="GS71" s="311"/>
      <c r="GT71" s="315"/>
      <c r="GU71" s="310"/>
      <c r="GV71" s="329"/>
      <c r="GW71" s="311"/>
      <c r="GX71" s="315"/>
      <c r="GY71" s="310"/>
      <c r="GZ71" s="329"/>
      <c r="HA71" s="311"/>
      <c r="HB71" s="315"/>
      <c r="HC71" s="312">
        <f t="shared" si="79"/>
        <v>0</v>
      </c>
      <c r="HD71" s="330"/>
      <c r="HE71" s="313">
        <f t="shared" si="79"/>
        <v>0</v>
      </c>
      <c r="HF71" s="331">
        <f t="shared" si="79"/>
        <v>0</v>
      </c>
      <c r="HG71" s="312">
        <f>SUM(SUMIFS(K71:HB71,$K$13:$HB$13,{"エネルギー管理指定工場等*","県域*"}))</f>
        <v>0</v>
      </c>
      <c r="HH71" s="330"/>
      <c r="HI71" s="313">
        <f>SUM(SUMIFS(M71:HD71,$K$13:$HB$13,{"エネルギー管理指定工場等*","県域*"}))</f>
        <v>0</v>
      </c>
      <c r="HJ71" s="331">
        <f>SUM(SUMIFS(N71:HE71,$K$13:$HB$13,{"エネルギー管理指定工場等*","県域*"}))</f>
        <v>0</v>
      </c>
      <c r="IE71" s="579"/>
      <c r="IF71" s="579"/>
      <c r="IG71" s="579"/>
      <c r="IH71" s="579"/>
    </row>
    <row r="72" spans="2:242" s="164" customFormat="1" ht="20.100000000000001" customHeight="1">
      <c r="B72" s="302"/>
      <c r="C72" s="319"/>
      <c r="D72" s="332"/>
      <c r="E72" s="333" t="s">
        <v>1377</v>
      </c>
      <c r="F72" s="303" t="s">
        <v>461</v>
      </c>
      <c r="G72" s="306">
        <v>1.19</v>
      </c>
      <c r="H72" s="334"/>
      <c r="I72" s="308"/>
      <c r="J72" s="309"/>
      <c r="K72" s="310"/>
      <c r="L72" s="329"/>
      <c r="M72" s="311"/>
      <c r="N72" s="315"/>
      <c r="O72" s="310"/>
      <c r="P72" s="329"/>
      <c r="Q72" s="311"/>
      <c r="R72" s="315"/>
      <c r="S72" s="310"/>
      <c r="T72" s="329"/>
      <c r="U72" s="311"/>
      <c r="V72" s="315"/>
      <c r="W72" s="310"/>
      <c r="X72" s="329"/>
      <c r="Y72" s="311"/>
      <c r="Z72" s="315"/>
      <c r="AA72" s="310"/>
      <c r="AB72" s="329"/>
      <c r="AC72" s="311"/>
      <c r="AD72" s="315"/>
      <c r="AE72" s="310"/>
      <c r="AF72" s="329"/>
      <c r="AG72" s="311"/>
      <c r="AH72" s="315"/>
      <c r="AI72" s="310"/>
      <c r="AJ72" s="329"/>
      <c r="AK72" s="311"/>
      <c r="AL72" s="315"/>
      <c r="AM72" s="310"/>
      <c r="AN72" s="329"/>
      <c r="AO72" s="311"/>
      <c r="AP72" s="315"/>
      <c r="AQ72" s="310"/>
      <c r="AR72" s="329"/>
      <c r="AS72" s="311"/>
      <c r="AT72" s="315"/>
      <c r="AU72" s="310"/>
      <c r="AV72" s="329"/>
      <c r="AW72" s="311"/>
      <c r="AX72" s="315"/>
      <c r="AY72" s="310"/>
      <c r="AZ72" s="329"/>
      <c r="BA72" s="311"/>
      <c r="BB72" s="315"/>
      <c r="BC72" s="310"/>
      <c r="BD72" s="329"/>
      <c r="BE72" s="311"/>
      <c r="BF72" s="315"/>
      <c r="BG72" s="310"/>
      <c r="BH72" s="329"/>
      <c r="BI72" s="311"/>
      <c r="BJ72" s="315"/>
      <c r="BK72" s="310"/>
      <c r="BL72" s="329"/>
      <c r="BM72" s="311"/>
      <c r="BN72" s="315"/>
      <c r="BO72" s="310"/>
      <c r="BP72" s="329"/>
      <c r="BQ72" s="311"/>
      <c r="BR72" s="315"/>
      <c r="BS72" s="310"/>
      <c r="BT72" s="329"/>
      <c r="BU72" s="311"/>
      <c r="BV72" s="315"/>
      <c r="BW72" s="310"/>
      <c r="BX72" s="329"/>
      <c r="BY72" s="311"/>
      <c r="BZ72" s="315"/>
      <c r="CA72" s="310"/>
      <c r="CB72" s="329"/>
      <c r="CC72" s="311"/>
      <c r="CD72" s="315"/>
      <c r="CE72" s="310"/>
      <c r="CF72" s="329"/>
      <c r="CG72" s="311"/>
      <c r="CH72" s="315"/>
      <c r="CI72" s="310"/>
      <c r="CJ72" s="329"/>
      <c r="CK72" s="311"/>
      <c r="CL72" s="315"/>
      <c r="CM72" s="310"/>
      <c r="CN72" s="329"/>
      <c r="CO72" s="311"/>
      <c r="CP72" s="315"/>
      <c r="CQ72" s="310"/>
      <c r="CR72" s="329"/>
      <c r="CS72" s="311"/>
      <c r="CT72" s="315"/>
      <c r="CU72" s="310"/>
      <c r="CV72" s="329"/>
      <c r="CW72" s="311"/>
      <c r="CX72" s="315"/>
      <c r="CY72" s="310"/>
      <c r="CZ72" s="329"/>
      <c r="DA72" s="311"/>
      <c r="DB72" s="315"/>
      <c r="DC72" s="310"/>
      <c r="DD72" s="329"/>
      <c r="DE72" s="311"/>
      <c r="DF72" s="315"/>
      <c r="DG72" s="310"/>
      <c r="DH72" s="329"/>
      <c r="DI72" s="311"/>
      <c r="DJ72" s="315"/>
      <c r="DK72" s="310"/>
      <c r="DL72" s="329"/>
      <c r="DM72" s="311"/>
      <c r="DN72" s="315"/>
      <c r="DO72" s="310"/>
      <c r="DP72" s="329"/>
      <c r="DQ72" s="311"/>
      <c r="DR72" s="315"/>
      <c r="DS72" s="310"/>
      <c r="DT72" s="329"/>
      <c r="DU72" s="311"/>
      <c r="DV72" s="315"/>
      <c r="DW72" s="310"/>
      <c r="DX72" s="329"/>
      <c r="DY72" s="311"/>
      <c r="DZ72" s="315"/>
      <c r="EA72" s="310"/>
      <c r="EB72" s="329"/>
      <c r="EC72" s="311"/>
      <c r="ED72" s="315"/>
      <c r="EE72" s="310"/>
      <c r="EF72" s="329"/>
      <c r="EG72" s="311"/>
      <c r="EH72" s="315"/>
      <c r="EI72" s="310"/>
      <c r="EJ72" s="329"/>
      <c r="EK72" s="311"/>
      <c r="EL72" s="315"/>
      <c r="EM72" s="310"/>
      <c r="EN72" s="329"/>
      <c r="EO72" s="311"/>
      <c r="EP72" s="315"/>
      <c r="EQ72" s="310"/>
      <c r="ER72" s="329"/>
      <c r="ES72" s="311"/>
      <c r="ET72" s="315"/>
      <c r="EU72" s="310"/>
      <c r="EV72" s="329"/>
      <c r="EW72" s="311"/>
      <c r="EX72" s="315"/>
      <c r="EY72" s="310"/>
      <c r="EZ72" s="329"/>
      <c r="FA72" s="311"/>
      <c r="FB72" s="315"/>
      <c r="FC72" s="310"/>
      <c r="FD72" s="329"/>
      <c r="FE72" s="311"/>
      <c r="FF72" s="315"/>
      <c r="FG72" s="310"/>
      <c r="FH72" s="329"/>
      <c r="FI72" s="311"/>
      <c r="FJ72" s="315"/>
      <c r="FK72" s="310"/>
      <c r="FL72" s="329"/>
      <c r="FM72" s="311"/>
      <c r="FN72" s="315"/>
      <c r="FO72" s="310"/>
      <c r="FP72" s="329"/>
      <c r="FQ72" s="311"/>
      <c r="FR72" s="315"/>
      <c r="FS72" s="310"/>
      <c r="FT72" s="329"/>
      <c r="FU72" s="311"/>
      <c r="FV72" s="315"/>
      <c r="FW72" s="310"/>
      <c r="FX72" s="329"/>
      <c r="FY72" s="311"/>
      <c r="FZ72" s="315"/>
      <c r="GA72" s="310"/>
      <c r="GB72" s="329"/>
      <c r="GC72" s="311"/>
      <c r="GD72" s="315"/>
      <c r="GE72" s="310"/>
      <c r="GF72" s="329"/>
      <c r="GG72" s="311"/>
      <c r="GH72" s="315"/>
      <c r="GI72" s="310"/>
      <c r="GJ72" s="329"/>
      <c r="GK72" s="311"/>
      <c r="GL72" s="315"/>
      <c r="GM72" s="310"/>
      <c r="GN72" s="329"/>
      <c r="GO72" s="311"/>
      <c r="GP72" s="315"/>
      <c r="GQ72" s="310"/>
      <c r="GR72" s="329"/>
      <c r="GS72" s="311"/>
      <c r="GT72" s="315"/>
      <c r="GU72" s="310"/>
      <c r="GV72" s="329"/>
      <c r="GW72" s="311"/>
      <c r="GX72" s="315"/>
      <c r="GY72" s="310"/>
      <c r="GZ72" s="329"/>
      <c r="HA72" s="311"/>
      <c r="HB72" s="315"/>
      <c r="HC72" s="312">
        <f t="shared" si="79"/>
        <v>0</v>
      </c>
      <c r="HD72" s="330"/>
      <c r="HE72" s="313">
        <f t="shared" si="79"/>
        <v>0</v>
      </c>
      <c r="HF72" s="331">
        <f t="shared" si="79"/>
        <v>0</v>
      </c>
      <c r="HG72" s="312">
        <f>SUM(SUMIFS(K72:HB72,$K$13:$HB$13,{"エネルギー管理指定工場等*","県域*"}))</f>
        <v>0</v>
      </c>
      <c r="HH72" s="330"/>
      <c r="HI72" s="313">
        <f>SUM(SUMIFS(M72:HD72,$K$13:$HB$13,{"エネルギー管理指定工場等*","県域*"}))</f>
        <v>0</v>
      </c>
      <c r="HJ72" s="331">
        <f>SUM(SUMIFS(N72:HE72,$K$13:$HB$13,{"エネルギー管理指定工場等*","県域*"}))</f>
        <v>0</v>
      </c>
      <c r="IE72" s="579"/>
      <c r="IF72" s="579"/>
      <c r="IG72" s="579"/>
      <c r="IH72" s="579"/>
    </row>
    <row r="73" spans="2:242" s="164" customFormat="1" ht="20.100000000000001" customHeight="1">
      <c r="B73" s="302"/>
      <c r="C73" s="319"/>
      <c r="D73" s="328" t="s">
        <v>606</v>
      </c>
      <c r="E73" s="335"/>
      <c r="F73" s="303" t="s">
        <v>461</v>
      </c>
      <c r="G73" s="336"/>
      <c r="H73" s="315"/>
      <c r="I73" s="308"/>
      <c r="J73" s="309"/>
      <c r="K73" s="310"/>
      <c r="L73" s="329"/>
      <c r="M73" s="311"/>
      <c r="N73" s="315"/>
      <c r="O73" s="310"/>
      <c r="P73" s="329"/>
      <c r="Q73" s="311"/>
      <c r="R73" s="315"/>
      <c r="S73" s="310"/>
      <c r="T73" s="329"/>
      <c r="U73" s="311"/>
      <c r="V73" s="315"/>
      <c r="W73" s="310"/>
      <c r="X73" s="329"/>
      <c r="Y73" s="311"/>
      <c r="Z73" s="315"/>
      <c r="AA73" s="310"/>
      <c r="AB73" s="329"/>
      <c r="AC73" s="311"/>
      <c r="AD73" s="315"/>
      <c r="AE73" s="310"/>
      <c r="AF73" s="329"/>
      <c r="AG73" s="311"/>
      <c r="AH73" s="315"/>
      <c r="AI73" s="310"/>
      <c r="AJ73" s="329"/>
      <c r="AK73" s="311"/>
      <c r="AL73" s="315"/>
      <c r="AM73" s="310"/>
      <c r="AN73" s="329"/>
      <c r="AO73" s="311"/>
      <c r="AP73" s="315"/>
      <c r="AQ73" s="310"/>
      <c r="AR73" s="329"/>
      <c r="AS73" s="311"/>
      <c r="AT73" s="315"/>
      <c r="AU73" s="310"/>
      <c r="AV73" s="329"/>
      <c r="AW73" s="311"/>
      <c r="AX73" s="315"/>
      <c r="AY73" s="310"/>
      <c r="AZ73" s="329"/>
      <c r="BA73" s="311"/>
      <c r="BB73" s="315"/>
      <c r="BC73" s="310"/>
      <c r="BD73" s="329"/>
      <c r="BE73" s="311"/>
      <c r="BF73" s="315"/>
      <c r="BG73" s="310"/>
      <c r="BH73" s="329"/>
      <c r="BI73" s="311"/>
      <c r="BJ73" s="315"/>
      <c r="BK73" s="310"/>
      <c r="BL73" s="329"/>
      <c r="BM73" s="311"/>
      <c r="BN73" s="315"/>
      <c r="BO73" s="310"/>
      <c r="BP73" s="329"/>
      <c r="BQ73" s="311"/>
      <c r="BR73" s="315"/>
      <c r="BS73" s="310"/>
      <c r="BT73" s="329"/>
      <c r="BU73" s="311"/>
      <c r="BV73" s="315"/>
      <c r="BW73" s="310"/>
      <c r="BX73" s="329"/>
      <c r="BY73" s="311"/>
      <c r="BZ73" s="315"/>
      <c r="CA73" s="310"/>
      <c r="CB73" s="329"/>
      <c r="CC73" s="311"/>
      <c r="CD73" s="315"/>
      <c r="CE73" s="310"/>
      <c r="CF73" s="329"/>
      <c r="CG73" s="311"/>
      <c r="CH73" s="315"/>
      <c r="CI73" s="310"/>
      <c r="CJ73" s="329"/>
      <c r="CK73" s="311"/>
      <c r="CL73" s="315"/>
      <c r="CM73" s="310"/>
      <c r="CN73" s="329"/>
      <c r="CO73" s="311"/>
      <c r="CP73" s="315"/>
      <c r="CQ73" s="310"/>
      <c r="CR73" s="329"/>
      <c r="CS73" s="311"/>
      <c r="CT73" s="315"/>
      <c r="CU73" s="310"/>
      <c r="CV73" s="329"/>
      <c r="CW73" s="311"/>
      <c r="CX73" s="315"/>
      <c r="CY73" s="310"/>
      <c r="CZ73" s="329"/>
      <c r="DA73" s="311"/>
      <c r="DB73" s="315"/>
      <c r="DC73" s="310"/>
      <c r="DD73" s="329"/>
      <c r="DE73" s="311"/>
      <c r="DF73" s="315"/>
      <c r="DG73" s="310"/>
      <c r="DH73" s="329"/>
      <c r="DI73" s="311"/>
      <c r="DJ73" s="315"/>
      <c r="DK73" s="310"/>
      <c r="DL73" s="329"/>
      <c r="DM73" s="311"/>
      <c r="DN73" s="315"/>
      <c r="DO73" s="310"/>
      <c r="DP73" s="329"/>
      <c r="DQ73" s="311"/>
      <c r="DR73" s="315"/>
      <c r="DS73" s="310"/>
      <c r="DT73" s="329"/>
      <c r="DU73" s="311"/>
      <c r="DV73" s="315"/>
      <c r="DW73" s="310"/>
      <c r="DX73" s="329"/>
      <c r="DY73" s="311"/>
      <c r="DZ73" s="315"/>
      <c r="EA73" s="310"/>
      <c r="EB73" s="329"/>
      <c r="EC73" s="311"/>
      <c r="ED73" s="315"/>
      <c r="EE73" s="310"/>
      <c r="EF73" s="329"/>
      <c r="EG73" s="311"/>
      <c r="EH73" s="315"/>
      <c r="EI73" s="310"/>
      <c r="EJ73" s="329"/>
      <c r="EK73" s="311"/>
      <c r="EL73" s="315"/>
      <c r="EM73" s="310"/>
      <c r="EN73" s="329"/>
      <c r="EO73" s="311"/>
      <c r="EP73" s="315"/>
      <c r="EQ73" s="310"/>
      <c r="ER73" s="329"/>
      <c r="ES73" s="311"/>
      <c r="ET73" s="315"/>
      <c r="EU73" s="310"/>
      <c r="EV73" s="329"/>
      <c r="EW73" s="311"/>
      <c r="EX73" s="315"/>
      <c r="EY73" s="310"/>
      <c r="EZ73" s="329"/>
      <c r="FA73" s="311"/>
      <c r="FB73" s="315"/>
      <c r="FC73" s="310"/>
      <c r="FD73" s="329"/>
      <c r="FE73" s="311"/>
      <c r="FF73" s="315"/>
      <c r="FG73" s="310"/>
      <c r="FH73" s="329"/>
      <c r="FI73" s="311"/>
      <c r="FJ73" s="315"/>
      <c r="FK73" s="310"/>
      <c r="FL73" s="329"/>
      <c r="FM73" s="311"/>
      <c r="FN73" s="315"/>
      <c r="FO73" s="310"/>
      <c r="FP73" s="329"/>
      <c r="FQ73" s="311"/>
      <c r="FR73" s="315"/>
      <c r="FS73" s="310"/>
      <c r="FT73" s="329"/>
      <c r="FU73" s="311"/>
      <c r="FV73" s="315"/>
      <c r="FW73" s="310"/>
      <c r="FX73" s="329"/>
      <c r="FY73" s="311"/>
      <c r="FZ73" s="315"/>
      <c r="GA73" s="310"/>
      <c r="GB73" s="329"/>
      <c r="GC73" s="311"/>
      <c r="GD73" s="315"/>
      <c r="GE73" s="310"/>
      <c r="GF73" s="329"/>
      <c r="GG73" s="311"/>
      <c r="GH73" s="315"/>
      <c r="GI73" s="310"/>
      <c r="GJ73" s="329"/>
      <c r="GK73" s="311"/>
      <c r="GL73" s="315"/>
      <c r="GM73" s="310"/>
      <c r="GN73" s="329"/>
      <c r="GO73" s="311"/>
      <c r="GP73" s="315"/>
      <c r="GQ73" s="310"/>
      <c r="GR73" s="329"/>
      <c r="GS73" s="311"/>
      <c r="GT73" s="315"/>
      <c r="GU73" s="310"/>
      <c r="GV73" s="329"/>
      <c r="GW73" s="311"/>
      <c r="GX73" s="315"/>
      <c r="GY73" s="310"/>
      <c r="GZ73" s="329"/>
      <c r="HA73" s="311"/>
      <c r="HB73" s="315"/>
      <c r="HC73" s="312">
        <f t="shared" si="79"/>
        <v>0</v>
      </c>
      <c r="HD73" s="330"/>
      <c r="HE73" s="313">
        <f t="shared" si="79"/>
        <v>0</v>
      </c>
      <c r="HF73" s="331">
        <f t="shared" si="79"/>
        <v>0</v>
      </c>
      <c r="HG73" s="312">
        <f>SUM(SUMIFS(K73:HB73,$K$13:$HB$13,{"エネルギー管理指定工場等*","県域*"}))</f>
        <v>0</v>
      </c>
      <c r="HH73" s="330"/>
      <c r="HI73" s="313">
        <f>SUM(SUMIFS(M73:HD73,$K$13:$HB$13,{"エネルギー管理指定工場等*","県域*"}))</f>
        <v>0</v>
      </c>
      <c r="HJ73" s="331">
        <f>SUM(SUMIFS(N73:HE73,$K$13:$HB$13,{"エネルギー管理指定工場等*","県域*"}))</f>
        <v>0</v>
      </c>
      <c r="IE73" s="579"/>
      <c r="IF73" s="579"/>
      <c r="IG73" s="579"/>
      <c r="IH73" s="579"/>
    </row>
    <row r="74" spans="2:242" s="164" customFormat="1" ht="20.100000000000001" customHeight="1">
      <c r="B74" s="302"/>
      <c r="C74" s="318"/>
      <c r="D74" s="332"/>
      <c r="E74" s="333" t="s">
        <v>1377</v>
      </c>
      <c r="F74" s="303" t="s">
        <v>461</v>
      </c>
      <c r="G74" s="336"/>
      <c r="H74" s="337"/>
      <c r="I74" s="308"/>
      <c r="J74" s="309"/>
      <c r="K74" s="336"/>
      <c r="L74" s="338"/>
      <c r="M74" s="339"/>
      <c r="N74" s="337"/>
      <c r="O74" s="336"/>
      <c r="P74" s="338"/>
      <c r="Q74" s="339"/>
      <c r="R74" s="337"/>
      <c r="S74" s="336"/>
      <c r="T74" s="338"/>
      <c r="U74" s="339"/>
      <c r="V74" s="337"/>
      <c r="W74" s="336"/>
      <c r="X74" s="338"/>
      <c r="Y74" s="339"/>
      <c r="Z74" s="337"/>
      <c r="AA74" s="336"/>
      <c r="AB74" s="338"/>
      <c r="AC74" s="339"/>
      <c r="AD74" s="337"/>
      <c r="AE74" s="336"/>
      <c r="AF74" s="338"/>
      <c r="AG74" s="339"/>
      <c r="AH74" s="337"/>
      <c r="AI74" s="336"/>
      <c r="AJ74" s="338"/>
      <c r="AK74" s="339"/>
      <c r="AL74" s="337"/>
      <c r="AM74" s="336"/>
      <c r="AN74" s="338"/>
      <c r="AO74" s="339"/>
      <c r="AP74" s="337"/>
      <c r="AQ74" s="336"/>
      <c r="AR74" s="338"/>
      <c r="AS74" s="339"/>
      <c r="AT74" s="337"/>
      <c r="AU74" s="336"/>
      <c r="AV74" s="338"/>
      <c r="AW74" s="339"/>
      <c r="AX74" s="337"/>
      <c r="AY74" s="336"/>
      <c r="AZ74" s="338"/>
      <c r="BA74" s="339"/>
      <c r="BB74" s="337"/>
      <c r="BC74" s="336"/>
      <c r="BD74" s="338"/>
      <c r="BE74" s="339"/>
      <c r="BF74" s="337"/>
      <c r="BG74" s="336"/>
      <c r="BH74" s="338"/>
      <c r="BI74" s="339"/>
      <c r="BJ74" s="337"/>
      <c r="BK74" s="336"/>
      <c r="BL74" s="338"/>
      <c r="BM74" s="339"/>
      <c r="BN74" s="337"/>
      <c r="BO74" s="336"/>
      <c r="BP74" s="338"/>
      <c r="BQ74" s="339"/>
      <c r="BR74" s="337"/>
      <c r="BS74" s="336"/>
      <c r="BT74" s="338"/>
      <c r="BU74" s="339"/>
      <c r="BV74" s="337"/>
      <c r="BW74" s="336"/>
      <c r="BX74" s="338"/>
      <c r="BY74" s="339"/>
      <c r="BZ74" s="337"/>
      <c r="CA74" s="336"/>
      <c r="CB74" s="338"/>
      <c r="CC74" s="339"/>
      <c r="CD74" s="337"/>
      <c r="CE74" s="336"/>
      <c r="CF74" s="338"/>
      <c r="CG74" s="339"/>
      <c r="CH74" s="337"/>
      <c r="CI74" s="336"/>
      <c r="CJ74" s="338"/>
      <c r="CK74" s="339"/>
      <c r="CL74" s="337"/>
      <c r="CM74" s="336"/>
      <c r="CN74" s="338"/>
      <c r="CO74" s="339"/>
      <c r="CP74" s="337"/>
      <c r="CQ74" s="336"/>
      <c r="CR74" s="338"/>
      <c r="CS74" s="339"/>
      <c r="CT74" s="337"/>
      <c r="CU74" s="336"/>
      <c r="CV74" s="338"/>
      <c r="CW74" s="339"/>
      <c r="CX74" s="337"/>
      <c r="CY74" s="336"/>
      <c r="CZ74" s="338"/>
      <c r="DA74" s="339"/>
      <c r="DB74" s="337"/>
      <c r="DC74" s="336"/>
      <c r="DD74" s="338"/>
      <c r="DE74" s="339"/>
      <c r="DF74" s="337"/>
      <c r="DG74" s="336"/>
      <c r="DH74" s="338"/>
      <c r="DI74" s="339"/>
      <c r="DJ74" s="337"/>
      <c r="DK74" s="336"/>
      <c r="DL74" s="338"/>
      <c r="DM74" s="339"/>
      <c r="DN74" s="337"/>
      <c r="DO74" s="336"/>
      <c r="DP74" s="338"/>
      <c r="DQ74" s="339"/>
      <c r="DR74" s="337"/>
      <c r="DS74" s="336"/>
      <c r="DT74" s="338"/>
      <c r="DU74" s="339"/>
      <c r="DV74" s="337"/>
      <c r="DW74" s="336"/>
      <c r="DX74" s="338"/>
      <c r="DY74" s="339"/>
      <c r="DZ74" s="337"/>
      <c r="EA74" s="336"/>
      <c r="EB74" s="338"/>
      <c r="EC74" s="339"/>
      <c r="ED74" s="337"/>
      <c r="EE74" s="336"/>
      <c r="EF74" s="338"/>
      <c r="EG74" s="339"/>
      <c r="EH74" s="337"/>
      <c r="EI74" s="336"/>
      <c r="EJ74" s="338"/>
      <c r="EK74" s="339"/>
      <c r="EL74" s="337"/>
      <c r="EM74" s="336"/>
      <c r="EN74" s="338"/>
      <c r="EO74" s="339"/>
      <c r="EP74" s="337"/>
      <c r="EQ74" s="336"/>
      <c r="ER74" s="338"/>
      <c r="ES74" s="339"/>
      <c r="ET74" s="337"/>
      <c r="EU74" s="336"/>
      <c r="EV74" s="338"/>
      <c r="EW74" s="339"/>
      <c r="EX74" s="337"/>
      <c r="EY74" s="336"/>
      <c r="EZ74" s="338"/>
      <c r="FA74" s="339"/>
      <c r="FB74" s="337"/>
      <c r="FC74" s="336"/>
      <c r="FD74" s="338"/>
      <c r="FE74" s="339"/>
      <c r="FF74" s="337"/>
      <c r="FG74" s="336"/>
      <c r="FH74" s="338"/>
      <c r="FI74" s="339"/>
      <c r="FJ74" s="337"/>
      <c r="FK74" s="336"/>
      <c r="FL74" s="338"/>
      <c r="FM74" s="339"/>
      <c r="FN74" s="337"/>
      <c r="FO74" s="336"/>
      <c r="FP74" s="338"/>
      <c r="FQ74" s="339"/>
      <c r="FR74" s="337"/>
      <c r="FS74" s="336"/>
      <c r="FT74" s="338"/>
      <c r="FU74" s="339"/>
      <c r="FV74" s="337"/>
      <c r="FW74" s="336"/>
      <c r="FX74" s="338"/>
      <c r="FY74" s="339"/>
      <c r="FZ74" s="337"/>
      <c r="GA74" s="336"/>
      <c r="GB74" s="338"/>
      <c r="GC74" s="339"/>
      <c r="GD74" s="337"/>
      <c r="GE74" s="336"/>
      <c r="GF74" s="338"/>
      <c r="GG74" s="339"/>
      <c r="GH74" s="337"/>
      <c r="GI74" s="336"/>
      <c r="GJ74" s="338"/>
      <c r="GK74" s="339"/>
      <c r="GL74" s="337"/>
      <c r="GM74" s="336"/>
      <c r="GN74" s="338"/>
      <c r="GO74" s="339"/>
      <c r="GP74" s="337"/>
      <c r="GQ74" s="336"/>
      <c r="GR74" s="338"/>
      <c r="GS74" s="339"/>
      <c r="GT74" s="337"/>
      <c r="GU74" s="336"/>
      <c r="GV74" s="338"/>
      <c r="GW74" s="339"/>
      <c r="GX74" s="337"/>
      <c r="GY74" s="336"/>
      <c r="GZ74" s="338"/>
      <c r="HA74" s="339"/>
      <c r="HB74" s="337"/>
      <c r="HC74" s="340">
        <f t="shared" si="79"/>
        <v>0</v>
      </c>
      <c r="HD74" s="341"/>
      <c r="HE74" s="342">
        <f t="shared" si="79"/>
        <v>0</v>
      </c>
      <c r="HF74" s="343">
        <f t="shared" si="79"/>
        <v>0</v>
      </c>
      <c r="HG74" s="340">
        <f>SUM(SUMIFS(K74:HB74,$K$13:$HB$13,{"エネルギー管理指定工場等*","県域*"}))</f>
        <v>0</v>
      </c>
      <c r="HH74" s="341"/>
      <c r="HI74" s="342">
        <f>SUM(SUMIFS(M74:HD74,$K$13:$HB$13,{"エネルギー管理指定工場等*","県域*"}))</f>
        <v>0</v>
      </c>
      <c r="HJ74" s="343">
        <f>SUM(SUMIFS(N74:HE74,$K$13:$HB$13,{"エネルギー管理指定工場等*","県域*"}))</f>
        <v>0</v>
      </c>
      <c r="IE74" s="579"/>
      <c r="IF74" s="579"/>
      <c r="IG74" s="579"/>
      <c r="IH74" s="579"/>
    </row>
    <row r="75" spans="2:242" s="164" customFormat="1" ht="39.6">
      <c r="B75" s="302"/>
      <c r="C75" s="327" t="s">
        <v>1378</v>
      </c>
      <c r="D75" s="303" t="s">
        <v>1379</v>
      </c>
      <c r="E75" s="305"/>
      <c r="F75" s="303" t="s">
        <v>461</v>
      </c>
      <c r="G75" s="336"/>
      <c r="H75" s="334"/>
      <c r="I75" s="308"/>
      <c r="J75" s="309"/>
      <c r="K75" s="336"/>
      <c r="L75" s="338"/>
      <c r="M75" s="339"/>
      <c r="N75" s="337"/>
      <c r="O75" s="336"/>
      <c r="P75" s="338"/>
      <c r="Q75" s="339"/>
      <c r="R75" s="337"/>
      <c r="S75" s="336"/>
      <c r="T75" s="338"/>
      <c r="U75" s="339"/>
      <c r="V75" s="337"/>
      <c r="W75" s="336"/>
      <c r="X75" s="338"/>
      <c r="Y75" s="339"/>
      <c r="Z75" s="337"/>
      <c r="AA75" s="336"/>
      <c r="AB75" s="338"/>
      <c r="AC75" s="339"/>
      <c r="AD75" s="337"/>
      <c r="AE75" s="336"/>
      <c r="AF75" s="338"/>
      <c r="AG75" s="339"/>
      <c r="AH75" s="337"/>
      <c r="AI75" s="336"/>
      <c r="AJ75" s="338"/>
      <c r="AK75" s="339"/>
      <c r="AL75" s="337"/>
      <c r="AM75" s="336"/>
      <c r="AN75" s="338"/>
      <c r="AO75" s="339"/>
      <c r="AP75" s="337"/>
      <c r="AQ75" s="336"/>
      <c r="AR75" s="338"/>
      <c r="AS75" s="339"/>
      <c r="AT75" s="337"/>
      <c r="AU75" s="336"/>
      <c r="AV75" s="338"/>
      <c r="AW75" s="339"/>
      <c r="AX75" s="337"/>
      <c r="AY75" s="336"/>
      <c r="AZ75" s="338"/>
      <c r="BA75" s="339"/>
      <c r="BB75" s="337"/>
      <c r="BC75" s="336"/>
      <c r="BD75" s="338"/>
      <c r="BE75" s="339"/>
      <c r="BF75" s="337"/>
      <c r="BG75" s="336"/>
      <c r="BH75" s="338"/>
      <c r="BI75" s="339"/>
      <c r="BJ75" s="337"/>
      <c r="BK75" s="336"/>
      <c r="BL75" s="338"/>
      <c r="BM75" s="339"/>
      <c r="BN75" s="337"/>
      <c r="BO75" s="336"/>
      <c r="BP75" s="338"/>
      <c r="BQ75" s="339"/>
      <c r="BR75" s="337"/>
      <c r="BS75" s="336"/>
      <c r="BT75" s="338"/>
      <c r="BU75" s="339"/>
      <c r="BV75" s="337"/>
      <c r="BW75" s="336"/>
      <c r="BX75" s="338"/>
      <c r="BY75" s="339"/>
      <c r="BZ75" s="337"/>
      <c r="CA75" s="336"/>
      <c r="CB75" s="338"/>
      <c r="CC75" s="339"/>
      <c r="CD75" s="337"/>
      <c r="CE75" s="336"/>
      <c r="CF75" s="338"/>
      <c r="CG75" s="339"/>
      <c r="CH75" s="337"/>
      <c r="CI75" s="336"/>
      <c r="CJ75" s="338"/>
      <c r="CK75" s="339"/>
      <c r="CL75" s="337"/>
      <c r="CM75" s="336"/>
      <c r="CN75" s="338"/>
      <c r="CO75" s="339"/>
      <c r="CP75" s="337"/>
      <c r="CQ75" s="336"/>
      <c r="CR75" s="338"/>
      <c r="CS75" s="339"/>
      <c r="CT75" s="337"/>
      <c r="CU75" s="336"/>
      <c r="CV75" s="338"/>
      <c r="CW75" s="339"/>
      <c r="CX75" s="337"/>
      <c r="CY75" s="336"/>
      <c r="CZ75" s="338"/>
      <c r="DA75" s="339"/>
      <c r="DB75" s="337"/>
      <c r="DC75" s="336"/>
      <c r="DD75" s="338"/>
      <c r="DE75" s="339"/>
      <c r="DF75" s="337"/>
      <c r="DG75" s="336"/>
      <c r="DH75" s="338"/>
      <c r="DI75" s="339"/>
      <c r="DJ75" s="337"/>
      <c r="DK75" s="336"/>
      <c r="DL75" s="338"/>
      <c r="DM75" s="339"/>
      <c r="DN75" s="337"/>
      <c r="DO75" s="336"/>
      <c r="DP75" s="338"/>
      <c r="DQ75" s="339"/>
      <c r="DR75" s="337"/>
      <c r="DS75" s="336"/>
      <c r="DT75" s="338"/>
      <c r="DU75" s="339"/>
      <c r="DV75" s="337"/>
      <c r="DW75" s="336"/>
      <c r="DX75" s="338"/>
      <c r="DY75" s="339"/>
      <c r="DZ75" s="337"/>
      <c r="EA75" s="336"/>
      <c r="EB75" s="338"/>
      <c r="EC75" s="339"/>
      <c r="ED75" s="337"/>
      <c r="EE75" s="336"/>
      <c r="EF75" s="338"/>
      <c r="EG75" s="339"/>
      <c r="EH75" s="337"/>
      <c r="EI75" s="336"/>
      <c r="EJ75" s="338"/>
      <c r="EK75" s="339"/>
      <c r="EL75" s="337"/>
      <c r="EM75" s="336"/>
      <c r="EN75" s="338"/>
      <c r="EO75" s="339"/>
      <c r="EP75" s="337"/>
      <c r="EQ75" s="336"/>
      <c r="ER75" s="338"/>
      <c r="ES75" s="339"/>
      <c r="ET75" s="337"/>
      <c r="EU75" s="336"/>
      <c r="EV75" s="338"/>
      <c r="EW75" s="339"/>
      <c r="EX75" s="337"/>
      <c r="EY75" s="336"/>
      <c r="EZ75" s="338"/>
      <c r="FA75" s="339"/>
      <c r="FB75" s="337"/>
      <c r="FC75" s="336"/>
      <c r="FD75" s="338"/>
      <c r="FE75" s="339"/>
      <c r="FF75" s="337"/>
      <c r="FG75" s="336"/>
      <c r="FH75" s="338"/>
      <c r="FI75" s="339"/>
      <c r="FJ75" s="337"/>
      <c r="FK75" s="336"/>
      <c r="FL75" s="338"/>
      <c r="FM75" s="339"/>
      <c r="FN75" s="337"/>
      <c r="FO75" s="336"/>
      <c r="FP75" s="338"/>
      <c r="FQ75" s="339"/>
      <c r="FR75" s="337"/>
      <c r="FS75" s="336"/>
      <c r="FT75" s="338"/>
      <c r="FU75" s="339"/>
      <c r="FV75" s="337"/>
      <c r="FW75" s="336"/>
      <c r="FX75" s="338"/>
      <c r="FY75" s="339"/>
      <c r="FZ75" s="337"/>
      <c r="GA75" s="336"/>
      <c r="GB75" s="338"/>
      <c r="GC75" s="339"/>
      <c r="GD75" s="337"/>
      <c r="GE75" s="336"/>
      <c r="GF75" s="338"/>
      <c r="GG75" s="339"/>
      <c r="GH75" s="337"/>
      <c r="GI75" s="336"/>
      <c r="GJ75" s="338"/>
      <c r="GK75" s="339"/>
      <c r="GL75" s="337"/>
      <c r="GM75" s="336"/>
      <c r="GN75" s="338"/>
      <c r="GO75" s="339"/>
      <c r="GP75" s="337"/>
      <c r="GQ75" s="336"/>
      <c r="GR75" s="338"/>
      <c r="GS75" s="339"/>
      <c r="GT75" s="337"/>
      <c r="GU75" s="336"/>
      <c r="GV75" s="338"/>
      <c r="GW75" s="339"/>
      <c r="GX75" s="337"/>
      <c r="GY75" s="336"/>
      <c r="GZ75" s="338"/>
      <c r="HA75" s="339"/>
      <c r="HB75" s="337"/>
      <c r="HC75" s="340">
        <f t="shared" si="79"/>
        <v>0</v>
      </c>
      <c r="HD75" s="341"/>
      <c r="HE75" s="342">
        <f t="shared" si="79"/>
        <v>0</v>
      </c>
      <c r="HF75" s="343">
        <f t="shared" si="79"/>
        <v>0</v>
      </c>
      <c r="HG75" s="340">
        <f>SUM(SUMIFS(K75:HB75,$K$13:$HB$13,{"エネルギー管理指定工場等*","県域*"}))</f>
        <v>0</v>
      </c>
      <c r="HH75" s="341"/>
      <c r="HI75" s="342">
        <f>SUM(SUMIFS(M75:HD75,$K$13:$HB$13,{"エネルギー管理指定工場等*","県域*"}))</f>
        <v>0</v>
      </c>
      <c r="HJ75" s="343">
        <f>SUM(SUMIFS(N75:HE75,$K$13:$HB$13,{"エネルギー管理指定工場等*","県域*"}))</f>
        <v>0</v>
      </c>
      <c r="IE75" s="579"/>
      <c r="IF75" s="579"/>
      <c r="IG75" s="579"/>
      <c r="IH75" s="579"/>
    </row>
    <row r="76" spans="2:242" s="164" customFormat="1" ht="20.100000000000001" customHeight="1">
      <c r="B76" s="302"/>
      <c r="C76" s="319"/>
      <c r="D76" s="303" t="s">
        <v>1380</v>
      </c>
      <c r="E76" s="305"/>
      <c r="F76" s="303" t="s">
        <v>461</v>
      </c>
      <c r="G76" s="336"/>
      <c r="H76" s="334"/>
      <c r="I76" s="308"/>
      <c r="J76" s="309"/>
      <c r="K76" s="336"/>
      <c r="L76" s="338"/>
      <c r="M76" s="339"/>
      <c r="N76" s="337"/>
      <c r="O76" s="336"/>
      <c r="P76" s="338"/>
      <c r="Q76" s="339"/>
      <c r="R76" s="337"/>
      <c r="S76" s="336"/>
      <c r="T76" s="338"/>
      <c r="U76" s="339"/>
      <c r="V76" s="337"/>
      <c r="W76" s="336"/>
      <c r="X76" s="338"/>
      <c r="Y76" s="339"/>
      <c r="Z76" s="337"/>
      <c r="AA76" s="336"/>
      <c r="AB76" s="338"/>
      <c r="AC76" s="339"/>
      <c r="AD76" s="337"/>
      <c r="AE76" s="336"/>
      <c r="AF76" s="338"/>
      <c r="AG76" s="339"/>
      <c r="AH76" s="337"/>
      <c r="AI76" s="336"/>
      <c r="AJ76" s="338"/>
      <c r="AK76" s="339"/>
      <c r="AL76" s="337"/>
      <c r="AM76" s="336"/>
      <c r="AN76" s="338"/>
      <c r="AO76" s="339"/>
      <c r="AP76" s="337"/>
      <c r="AQ76" s="336"/>
      <c r="AR76" s="338"/>
      <c r="AS76" s="339"/>
      <c r="AT76" s="337"/>
      <c r="AU76" s="336"/>
      <c r="AV76" s="338"/>
      <c r="AW76" s="339"/>
      <c r="AX76" s="337"/>
      <c r="AY76" s="336"/>
      <c r="AZ76" s="338"/>
      <c r="BA76" s="339"/>
      <c r="BB76" s="337"/>
      <c r="BC76" s="336"/>
      <c r="BD76" s="338"/>
      <c r="BE76" s="339"/>
      <c r="BF76" s="337"/>
      <c r="BG76" s="336"/>
      <c r="BH76" s="338"/>
      <c r="BI76" s="339"/>
      <c r="BJ76" s="337"/>
      <c r="BK76" s="336"/>
      <c r="BL76" s="338"/>
      <c r="BM76" s="339"/>
      <c r="BN76" s="337"/>
      <c r="BO76" s="336"/>
      <c r="BP76" s="338"/>
      <c r="BQ76" s="339"/>
      <c r="BR76" s="337"/>
      <c r="BS76" s="336"/>
      <c r="BT76" s="338"/>
      <c r="BU76" s="339"/>
      <c r="BV76" s="337"/>
      <c r="BW76" s="336"/>
      <c r="BX76" s="338"/>
      <c r="BY76" s="339"/>
      <c r="BZ76" s="337"/>
      <c r="CA76" s="336"/>
      <c r="CB76" s="338"/>
      <c r="CC76" s="339"/>
      <c r="CD76" s="337"/>
      <c r="CE76" s="336"/>
      <c r="CF76" s="338"/>
      <c r="CG76" s="339"/>
      <c r="CH76" s="337"/>
      <c r="CI76" s="336"/>
      <c r="CJ76" s="338"/>
      <c r="CK76" s="339"/>
      <c r="CL76" s="337"/>
      <c r="CM76" s="336"/>
      <c r="CN76" s="338"/>
      <c r="CO76" s="339"/>
      <c r="CP76" s="337"/>
      <c r="CQ76" s="336"/>
      <c r="CR76" s="338"/>
      <c r="CS76" s="339"/>
      <c r="CT76" s="337"/>
      <c r="CU76" s="336"/>
      <c r="CV76" s="338"/>
      <c r="CW76" s="339"/>
      <c r="CX76" s="337"/>
      <c r="CY76" s="336"/>
      <c r="CZ76" s="338"/>
      <c r="DA76" s="339"/>
      <c r="DB76" s="337"/>
      <c r="DC76" s="336"/>
      <c r="DD76" s="338"/>
      <c r="DE76" s="339"/>
      <c r="DF76" s="337"/>
      <c r="DG76" s="336"/>
      <c r="DH76" s="338"/>
      <c r="DI76" s="339"/>
      <c r="DJ76" s="337"/>
      <c r="DK76" s="336"/>
      <c r="DL76" s="338"/>
      <c r="DM76" s="339"/>
      <c r="DN76" s="337"/>
      <c r="DO76" s="336"/>
      <c r="DP76" s="338"/>
      <c r="DQ76" s="339"/>
      <c r="DR76" s="337"/>
      <c r="DS76" s="336"/>
      <c r="DT76" s="338"/>
      <c r="DU76" s="339"/>
      <c r="DV76" s="337"/>
      <c r="DW76" s="336"/>
      <c r="DX76" s="338"/>
      <c r="DY76" s="339"/>
      <c r="DZ76" s="337"/>
      <c r="EA76" s="336"/>
      <c r="EB76" s="338"/>
      <c r="EC76" s="339"/>
      <c r="ED76" s="337"/>
      <c r="EE76" s="336"/>
      <c r="EF76" s="338"/>
      <c r="EG76" s="339"/>
      <c r="EH76" s="337"/>
      <c r="EI76" s="336"/>
      <c r="EJ76" s="338"/>
      <c r="EK76" s="339"/>
      <c r="EL76" s="337"/>
      <c r="EM76" s="336"/>
      <c r="EN76" s="338"/>
      <c r="EO76" s="339"/>
      <c r="EP76" s="337"/>
      <c r="EQ76" s="336"/>
      <c r="ER76" s="338"/>
      <c r="ES76" s="339"/>
      <c r="ET76" s="337"/>
      <c r="EU76" s="336"/>
      <c r="EV76" s="338"/>
      <c r="EW76" s="339"/>
      <c r="EX76" s="337"/>
      <c r="EY76" s="336"/>
      <c r="EZ76" s="338"/>
      <c r="FA76" s="339"/>
      <c r="FB76" s="337"/>
      <c r="FC76" s="336"/>
      <c r="FD76" s="338"/>
      <c r="FE76" s="339"/>
      <c r="FF76" s="337"/>
      <c r="FG76" s="336"/>
      <c r="FH76" s="338"/>
      <c r="FI76" s="339"/>
      <c r="FJ76" s="337"/>
      <c r="FK76" s="336"/>
      <c r="FL76" s="338"/>
      <c r="FM76" s="339"/>
      <c r="FN76" s="337"/>
      <c r="FO76" s="336"/>
      <c r="FP76" s="338"/>
      <c r="FQ76" s="339"/>
      <c r="FR76" s="337"/>
      <c r="FS76" s="336"/>
      <c r="FT76" s="338"/>
      <c r="FU76" s="339"/>
      <c r="FV76" s="337"/>
      <c r="FW76" s="336"/>
      <c r="FX76" s="338"/>
      <c r="FY76" s="339"/>
      <c r="FZ76" s="337"/>
      <c r="GA76" s="336"/>
      <c r="GB76" s="338"/>
      <c r="GC76" s="339"/>
      <c r="GD76" s="337"/>
      <c r="GE76" s="336"/>
      <c r="GF76" s="338"/>
      <c r="GG76" s="339"/>
      <c r="GH76" s="337"/>
      <c r="GI76" s="336"/>
      <c r="GJ76" s="338"/>
      <c r="GK76" s="339"/>
      <c r="GL76" s="337"/>
      <c r="GM76" s="336"/>
      <c r="GN76" s="338"/>
      <c r="GO76" s="339"/>
      <c r="GP76" s="337"/>
      <c r="GQ76" s="336"/>
      <c r="GR76" s="338"/>
      <c r="GS76" s="339"/>
      <c r="GT76" s="337"/>
      <c r="GU76" s="336"/>
      <c r="GV76" s="338"/>
      <c r="GW76" s="339"/>
      <c r="GX76" s="337"/>
      <c r="GY76" s="336"/>
      <c r="GZ76" s="338"/>
      <c r="HA76" s="339"/>
      <c r="HB76" s="337"/>
      <c r="HC76" s="340">
        <f t="shared" si="79"/>
        <v>0</v>
      </c>
      <c r="HD76" s="341"/>
      <c r="HE76" s="342">
        <f t="shared" si="79"/>
        <v>0</v>
      </c>
      <c r="HF76" s="343">
        <f t="shared" si="79"/>
        <v>0</v>
      </c>
      <c r="HG76" s="340">
        <f>SUM(SUMIFS(K76:HB76,$K$13:$HB$13,{"エネルギー管理指定工場等*","県域*"}))</f>
        <v>0</v>
      </c>
      <c r="HH76" s="341"/>
      <c r="HI76" s="342">
        <f>SUM(SUMIFS(M76:HD76,$K$13:$HB$13,{"エネルギー管理指定工場等*","県域*"}))</f>
        <v>0</v>
      </c>
      <c r="HJ76" s="343">
        <f>SUM(SUMIFS(N76:HE76,$K$13:$HB$13,{"エネルギー管理指定工場等*","県域*"}))</f>
        <v>0</v>
      </c>
      <c r="IE76" s="579"/>
      <c r="IF76" s="579"/>
      <c r="IG76" s="579"/>
      <c r="IH76" s="579"/>
    </row>
    <row r="77" spans="2:242" s="164" customFormat="1" ht="20.100000000000001" customHeight="1">
      <c r="B77" s="302"/>
      <c r="C77" s="319"/>
      <c r="D77" s="303" t="s">
        <v>1381</v>
      </c>
      <c r="E77" s="305"/>
      <c r="F77" s="303" t="s">
        <v>461</v>
      </c>
      <c r="G77" s="336"/>
      <c r="H77" s="334"/>
      <c r="I77" s="308"/>
      <c r="J77" s="309"/>
      <c r="K77" s="336"/>
      <c r="L77" s="338"/>
      <c r="M77" s="339"/>
      <c r="N77" s="337"/>
      <c r="O77" s="336"/>
      <c r="P77" s="338"/>
      <c r="Q77" s="339"/>
      <c r="R77" s="337"/>
      <c r="S77" s="336"/>
      <c r="T77" s="338"/>
      <c r="U77" s="339"/>
      <c r="V77" s="337"/>
      <c r="W77" s="336"/>
      <c r="X77" s="338"/>
      <c r="Y77" s="339"/>
      <c r="Z77" s="337"/>
      <c r="AA77" s="336"/>
      <c r="AB77" s="338"/>
      <c r="AC77" s="339"/>
      <c r="AD77" s="337"/>
      <c r="AE77" s="336"/>
      <c r="AF77" s="338"/>
      <c r="AG77" s="339"/>
      <c r="AH77" s="337"/>
      <c r="AI77" s="336"/>
      <c r="AJ77" s="338"/>
      <c r="AK77" s="339"/>
      <c r="AL77" s="337"/>
      <c r="AM77" s="336"/>
      <c r="AN77" s="338"/>
      <c r="AO77" s="339"/>
      <c r="AP77" s="337"/>
      <c r="AQ77" s="336"/>
      <c r="AR77" s="338"/>
      <c r="AS77" s="339"/>
      <c r="AT77" s="337"/>
      <c r="AU77" s="336"/>
      <c r="AV77" s="338"/>
      <c r="AW77" s="339"/>
      <c r="AX77" s="337"/>
      <c r="AY77" s="336"/>
      <c r="AZ77" s="338"/>
      <c r="BA77" s="339"/>
      <c r="BB77" s="337"/>
      <c r="BC77" s="336"/>
      <c r="BD77" s="338"/>
      <c r="BE77" s="339"/>
      <c r="BF77" s="337"/>
      <c r="BG77" s="336"/>
      <c r="BH77" s="338"/>
      <c r="BI77" s="339"/>
      <c r="BJ77" s="337"/>
      <c r="BK77" s="336"/>
      <c r="BL77" s="338"/>
      <c r="BM77" s="339"/>
      <c r="BN77" s="337"/>
      <c r="BO77" s="336"/>
      <c r="BP77" s="338"/>
      <c r="BQ77" s="339"/>
      <c r="BR77" s="337"/>
      <c r="BS77" s="336"/>
      <c r="BT77" s="338"/>
      <c r="BU77" s="339"/>
      <c r="BV77" s="337"/>
      <c r="BW77" s="336"/>
      <c r="BX77" s="338"/>
      <c r="BY77" s="339"/>
      <c r="BZ77" s="337"/>
      <c r="CA77" s="336"/>
      <c r="CB77" s="338"/>
      <c r="CC77" s="339"/>
      <c r="CD77" s="337"/>
      <c r="CE77" s="336"/>
      <c r="CF77" s="338"/>
      <c r="CG77" s="339"/>
      <c r="CH77" s="337"/>
      <c r="CI77" s="336"/>
      <c r="CJ77" s="338"/>
      <c r="CK77" s="339"/>
      <c r="CL77" s="337"/>
      <c r="CM77" s="336"/>
      <c r="CN77" s="338"/>
      <c r="CO77" s="339"/>
      <c r="CP77" s="337"/>
      <c r="CQ77" s="336"/>
      <c r="CR77" s="338"/>
      <c r="CS77" s="339"/>
      <c r="CT77" s="337"/>
      <c r="CU77" s="336"/>
      <c r="CV77" s="338"/>
      <c r="CW77" s="339"/>
      <c r="CX77" s="337"/>
      <c r="CY77" s="336"/>
      <c r="CZ77" s="338"/>
      <c r="DA77" s="339"/>
      <c r="DB77" s="337"/>
      <c r="DC77" s="336"/>
      <c r="DD77" s="338"/>
      <c r="DE77" s="339"/>
      <c r="DF77" s="337"/>
      <c r="DG77" s="336"/>
      <c r="DH77" s="338"/>
      <c r="DI77" s="339"/>
      <c r="DJ77" s="337"/>
      <c r="DK77" s="336"/>
      <c r="DL77" s="338"/>
      <c r="DM77" s="339"/>
      <c r="DN77" s="337"/>
      <c r="DO77" s="336"/>
      <c r="DP77" s="338"/>
      <c r="DQ77" s="339"/>
      <c r="DR77" s="337"/>
      <c r="DS77" s="336"/>
      <c r="DT77" s="338"/>
      <c r="DU77" s="339"/>
      <c r="DV77" s="337"/>
      <c r="DW77" s="336"/>
      <c r="DX77" s="338"/>
      <c r="DY77" s="339"/>
      <c r="DZ77" s="337"/>
      <c r="EA77" s="336"/>
      <c r="EB77" s="338"/>
      <c r="EC77" s="339"/>
      <c r="ED77" s="337"/>
      <c r="EE77" s="336"/>
      <c r="EF77" s="338"/>
      <c r="EG77" s="339"/>
      <c r="EH77" s="337"/>
      <c r="EI77" s="336"/>
      <c r="EJ77" s="338"/>
      <c r="EK77" s="339"/>
      <c r="EL77" s="337"/>
      <c r="EM77" s="336"/>
      <c r="EN77" s="338"/>
      <c r="EO77" s="339"/>
      <c r="EP77" s="337"/>
      <c r="EQ77" s="336"/>
      <c r="ER77" s="338"/>
      <c r="ES77" s="339"/>
      <c r="ET77" s="337"/>
      <c r="EU77" s="336"/>
      <c r="EV77" s="338"/>
      <c r="EW77" s="339"/>
      <c r="EX77" s="337"/>
      <c r="EY77" s="336"/>
      <c r="EZ77" s="338"/>
      <c r="FA77" s="339"/>
      <c r="FB77" s="337"/>
      <c r="FC77" s="336"/>
      <c r="FD77" s="338"/>
      <c r="FE77" s="339"/>
      <c r="FF77" s="337"/>
      <c r="FG77" s="336"/>
      <c r="FH77" s="338"/>
      <c r="FI77" s="339"/>
      <c r="FJ77" s="337"/>
      <c r="FK77" s="336"/>
      <c r="FL77" s="338"/>
      <c r="FM77" s="339"/>
      <c r="FN77" s="337"/>
      <c r="FO77" s="336"/>
      <c r="FP77" s="338"/>
      <c r="FQ77" s="339"/>
      <c r="FR77" s="337"/>
      <c r="FS77" s="336"/>
      <c r="FT77" s="338"/>
      <c r="FU77" s="339"/>
      <c r="FV77" s="337"/>
      <c r="FW77" s="336"/>
      <c r="FX77" s="338"/>
      <c r="FY77" s="339"/>
      <c r="FZ77" s="337"/>
      <c r="GA77" s="336"/>
      <c r="GB77" s="338"/>
      <c r="GC77" s="339"/>
      <c r="GD77" s="337"/>
      <c r="GE77" s="336"/>
      <c r="GF77" s="338"/>
      <c r="GG77" s="339"/>
      <c r="GH77" s="337"/>
      <c r="GI77" s="336"/>
      <c r="GJ77" s="338"/>
      <c r="GK77" s="339"/>
      <c r="GL77" s="337"/>
      <c r="GM77" s="336"/>
      <c r="GN77" s="338"/>
      <c r="GO77" s="339"/>
      <c r="GP77" s="337"/>
      <c r="GQ77" s="336"/>
      <c r="GR77" s="338"/>
      <c r="GS77" s="339"/>
      <c r="GT77" s="337"/>
      <c r="GU77" s="336"/>
      <c r="GV77" s="338"/>
      <c r="GW77" s="339"/>
      <c r="GX77" s="337"/>
      <c r="GY77" s="336"/>
      <c r="GZ77" s="338"/>
      <c r="HA77" s="339"/>
      <c r="HB77" s="337"/>
      <c r="HC77" s="340">
        <f t="shared" si="79"/>
        <v>0</v>
      </c>
      <c r="HD77" s="341"/>
      <c r="HE77" s="342">
        <f t="shared" si="79"/>
        <v>0</v>
      </c>
      <c r="HF77" s="343">
        <f t="shared" si="79"/>
        <v>0</v>
      </c>
      <c r="HG77" s="340">
        <f>SUM(SUMIFS(K77:HB77,$K$13:$HB$13,{"エネルギー管理指定工場等*","県域*"}))</f>
        <v>0</v>
      </c>
      <c r="HH77" s="341"/>
      <c r="HI77" s="342">
        <f>SUM(SUMIFS(M77:HD77,$K$13:$HB$13,{"エネルギー管理指定工場等*","県域*"}))</f>
        <v>0</v>
      </c>
      <c r="HJ77" s="343">
        <f>SUM(SUMIFS(N77:HE77,$K$13:$HB$13,{"エネルギー管理指定工場等*","県域*"}))</f>
        <v>0</v>
      </c>
      <c r="IE77" s="579"/>
      <c r="IF77" s="579"/>
      <c r="IG77" s="579"/>
      <c r="IH77" s="579"/>
    </row>
    <row r="78" spans="2:242" s="164" customFormat="1" ht="20.100000000000001" customHeight="1">
      <c r="B78" s="302"/>
      <c r="C78" s="319"/>
      <c r="D78" s="303" t="s">
        <v>1382</v>
      </c>
      <c r="E78" s="305"/>
      <c r="F78" s="303" t="s">
        <v>461</v>
      </c>
      <c r="G78" s="336"/>
      <c r="H78" s="309"/>
      <c r="I78" s="308"/>
      <c r="J78" s="309"/>
      <c r="K78" s="336"/>
      <c r="L78" s="338"/>
      <c r="M78" s="339"/>
      <c r="N78" s="337"/>
      <c r="O78" s="336"/>
      <c r="P78" s="338"/>
      <c r="Q78" s="339"/>
      <c r="R78" s="337"/>
      <c r="S78" s="336"/>
      <c r="T78" s="338"/>
      <c r="U78" s="339"/>
      <c r="V78" s="337"/>
      <c r="W78" s="336"/>
      <c r="X78" s="338"/>
      <c r="Y78" s="339"/>
      <c r="Z78" s="337"/>
      <c r="AA78" s="336"/>
      <c r="AB78" s="338"/>
      <c r="AC78" s="339"/>
      <c r="AD78" s="337"/>
      <c r="AE78" s="336"/>
      <c r="AF78" s="338"/>
      <c r="AG78" s="339"/>
      <c r="AH78" s="337"/>
      <c r="AI78" s="336"/>
      <c r="AJ78" s="338"/>
      <c r="AK78" s="339"/>
      <c r="AL78" s="337"/>
      <c r="AM78" s="336"/>
      <c r="AN78" s="338"/>
      <c r="AO78" s="339"/>
      <c r="AP78" s="337"/>
      <c r="AQ78" s="336"/>
      <c r="AR78" s="338"/>
      <c r="AS78" s="339"/>
      <c r="AT78" s="337"/>
      <c r="AU78" s="336"/>
      <c r="AV78" s="338"/>
      <c r="AW78" s="339"/>
      <c r="AX78" s="337"/>
      <c r="AY78" s="336"/>
      <c r="AZ78" s="338"/>
      <c r="BA78" s="339"/>
      <c r="BB78" s="337"/>
      <c r="BC78" s="336"/>
      <c r="BD78" s="338"/>
      <c r="BE78" s="339"/>
      <c r="BF78" s="337"/>
      <c r="BG78" s="336"/>
      <c r="BH78" s="338"/>
      <c r="BI78" s="339"/>
      <c r="BJ78" s="337"/>
      <c r="BK78" s="336"/>
      <c r="BL78" s="338"/>
      <c r="BM78" s="339"/>
      <c r="BN78" s="337"/>
      <c r="BO78" s="336"/>
      <c r="BP78" s="338"/>
      <c r="BQ78" s="339"/>
      <c r="BR78" s="337"/>
      <c r="BS78" s="336"/>
      <c r="BT78" s="338"/>
      <c r="BU78" s="339"/>
      <c r="BV78" s="337"/>
      <c r="BW78" s="336"/>
      <c r="BX78" s="338"/>
      <c r="BY78" s="339"/>
      <c r="BZ78" s="337"/>
      <c r="CA78" s="336"/>
      <c r="CB78" s="338"/>
      <c r="CC78" s="339"/>
      <c r="CD78" s="337"/>
      <c r="CE78" s="336"/>
      <c r="CF78" s="338"/>
      <c r="CG78" s="339"/>
      <c r="CH78" s="337"/>
      <c r="CI78" s="336"/>
      <c r="CJ78" s="338"/>
      <c r="CK78" s="339"/>
      <c r="CL78" s="337"/>
      <c r="CM78" s="336"/>
      <c r="CN78" s="338"/>
      <c r="CO78" s="339"/>
      <c r="CP78" s="337"/>
      <c r="CQ78" s="336"/>
      <c r="CR78" s="338"/>
      <c r="CS78" s="339"/>
      <c r="CT78" s="337"/>
      <c r="CU78" s="336"/>
      <c r="CV78" s="338"/>
      <c r="CW78" s="339"/>
      <c r="CX78" s="337"/>
      <c r="CY78" s="336"/>
      <c r="CZ78" s="338"/>
      <c r="DA78" s="339"/>
      <c r="DB78" s="337"/>
      <c r="DC78" s="336"/>
      <c r="DD78" s="338"/>
      <c r="DE78" s="339"/>
      <c r="DF78" s="337"/>
      <c r="DG78" s="336"/>
      <c r="DH78" s="338"/>
      <c r="DI78" s="339"/>
      <c r="DJ78" s="337"/>
      <c r="DK78" s="336"/>
      <c r="DL78" s="338"/>
      <c r="DM78" s="339"/>
      <c r="DN78" s="337"/>
      <c r="DO78" s="336"/>
      <c r="DP78" s="338"/>
      <c r="DQ78" s="339"/>
      <c r="DR78" s="337"/>
      <c r="DS78" s="336"/>
      <c r="DT78" s="338"/>
      <c r="DU78" s="339"/>
      <c r="DV78" s="337"/>
      <c r="DW78" s="336"/>
      <c r="DX78" s="338"/>
      <c r="DY78" s="339"/>
      <c r="DZ78" s="337"/>
      <c r="EA78" s="336"/>
      <c r="EB78" s="338"/>
      <c r="EC78" s="339"/>
      <c r="ED78" s="337"/>
      <c r="EE78" s="336"/>
      <c r="EF78" s="338"/>
      <c r="EG78" s="339"/>
      <c r="EH78" s="337"/>
      <c r="EI78" s="336"/>
      <c r="EJ78" s="338"/>
      <c r="EK78" s="339"/>
      <c r="EL78" s="337"/>
      <c r="EM78" s="336"/>
      <c r="EN78" s="338"/>
      <c r="EO78" s="339"/>
      <c r="EP78" s="337"/>
      <c r="EQ78" s="336"/>
      <c r="ER78" s="338"/>
      <c r="ES78" s="339"/>
      <c r="ET78" s="337"/>
      <c r="EU78" s="336"/>
      <c r="EV78" s="338"/>
      <c r="EW78" s="339"/>
      <c r="EX78" s="337"/>
      <c r="EY78" s="336"/>
      <c r="EZ78" s="338"/>
      <c r="FA78" s="339"/>
      <c r="FB78" s="337"/>
      <c r="FC78" s="336"/>
      <c r="FD78" s="338"/>
      <c r="FE78" s="339"/>
      <c r="FF78" s="337"/>
      <c r="FG78" s="336"/>
      <c r="FH78" s="338"/>
      <c r="FI78" s="339"/>
      <c r="FJ78" s="337"/>
      <c r="FK78" s="336"/>
      <c r="FL78" s="338"/>
      <c r="FM78" s="339"/>
      <c r="FN78" s="337"/>
      <c r="FO78" s="336"/>
      <c r="FP78" s="338"/>
      <c r="FQ78" s="339"/>
      <c r="FR78" s="337"/>
      <c r="FS78" s="336"/>
      <c r="FT78" s="338"/>
      <c r="FU78" s="339"/>
      <c r="FV78" s="337"/>
      <c r="FW78" s="336"/>
      <c r="FX78" s="338"/>
      <c r="FY78" s="339"/>
      <c r="FZ78" s="337"/>
      <c r="GA78" s="336"/>
      <c r="GB78" s="338"/>
      <c r="GC78" s="339"/>
      <c r="GD78" s="337"/>
      <c r="GE78" s="336"/>
      <c r="GF78" s="338"/>
      <c r="GG78" s="339"/>
      <c r="GH78" s="337"/>
      <c r="GI78" s="336"/>
      <c r="GJ78" s="338"/>
      <c r="GK78" s="339"/>
      <c r="GL78" s="337"/>
      <c r="GM78" s="336"/>
      <c r="GN78" s="338"/>
      <c r="GO78" s="339"/>
      <c r="GP78" s="337"/>
      <c r="GQ78" s="336"/>
      <c r="GR78" s="338"/>
      <c r="GS78" s="339"/>
      <c r="GT78" s="337"/>
      <c r="GU78" s="336"/>
      <c r="GV78" s="338"/>
      <c r="GW78" s="339"/>
      <c r="GX78" s="337"/>
      <c r="GY78" s="336"/>
      <c r="GZ78" s="338"/>
      <c r="HA78" s="339"/>
      <c r="HB78" s="337"/>
      <c r="HC78" s="340">
        <f t="shared" si="79"/>
        <v>0</v>
      </c>
      <c r="HD78" s="341"/>
      <c r="HE78" s="342">
        <f t="shared" si="79"/>
        <v>0</v>
      </c>
      <c r="HF78" s="343">
        <f t="shared" si="79"/>
        <v>0</v>
      </c>
      <c r="HG78" s="340">
        <f>SUM(SUMIFS(K78:HB78,$K$13:$HB$13,{"エネルギー管理指定工場等*","県域*"}))</f>
        <v>0</v>
      </c>
      <c r="HH78" s="341"/>
      <c r="HI78" s="342">
        <f>SUM(SUMIFS(M78:HD78,$K$13:$HB$13,{"エネルギー管理指定工場等*","県域*"}))</f>
        <v>0</v>
      </c>
      <c r="HJ78" s="343">
        <f>SUM(SUMIFS(N78:HE78,$K$13:$HB$13,{"エネルギー管理指定工場等*","県域*"}))</f>
        <v>0</v>
      </c>
      <c r="IE78" s="579"/>
      <c r="IF78" s="579"/>
      <c r="IG78" s="579"/>
      <c r="IH78" s="579"/>
    </row>
    <row r="79" spans="2:242" s="164" customFormat="1" ht="20.100000000000001" customHeight="1">
      <c r="B79" s="302"/>
      <c r="C79" s="319"/>
      <c r="D79" s="303" t="s">
        <v>1383</v>
      </c>
      <c r="E79" s="311"/>
      <c r="F79" s="303" t="s">
        <v>461</v>
      </c>
      <c r="G79" s="336"/>
      <c r="H79" s="337"/>
      <c r="I79" s="308"/>
      <c r="J79" s="309"/>
      <c r="K79" s="336"/>
      <c r="L79" s="338"/>
      <c r="M79" s="339"/>
      <c r="N79" s="337"/>
      <c r="O79" s="336"/>
      <c r="P79" s="338"/>
      <c r="Q79" s="339"/>
      <c r="R79" s="337"/>
      <c r="S79" s="336"/>
      <c r="T79" s="338"/>
      <c r="U79" s="339"/>
      <c r="V79" s="337"/>
      <c r="W79" s="336"/>
      <c r="X79" s="338"/>
      <c r="Y79" s="339"/>
      <c r="Z79" s="337"/>
      <c r="AA79" s="336"/>
      <c r="AB79" s="338"/>
      <c r="AC79" s="339"/>
      <c r="AD79" s="337"/>
      <c r="AE79" s="336"/>
      <c r="AF79" s="338"/>
      <c r="AG79" s="339"/>
      <c r="AH79" s="337"/>
      <c r="AI79" s="336"/>
      <c r="AJ79" s="338"/>
      <c r="AK79" s="339"/>
      <c r="AL79" s="337"/>
      <c r="AM79" s="336"/>
      <c r="AN79" s="338"/>
      <c r="AO79" s="339"/>
      <c r="AP79" s="337"/>
      <c r="AQ79" s="336"/>
      <c r="AR79" s="338"/>
      <c r="AS79" s="339"/>
      <c r="AT79" s="337"/>
      <c r="AU79" s="336"/>
      <c r="AV79" s="338"/>
      <c r="AW79" s="339"/>
      <c r="AX79" s="337"/>
      <c r="AY79" s="336"/>
      <c r="AZ79" s="338"/>
      <c r="BA79" s="339"/>
      <c r="BB79" s="337"/>
      <c r="BC79" s="336"/>
      <c r="BD79" s="338"/>
      <c r="BE79" s="339"/>
      <c r="BF79" s="337"/>
      <c r="BG79" s="336"/>
      <c r="BH79" s="338"/>
      <c r="BI79" s="339"/>
      <c r="BJ79" s="337"/>
      <c r="BK79" s="336"/>
      <c r="BL79" s="338"/>
      <c r="BM79" s="339"/>
      <c r="BN79" s="337"/>
      <c r="BO79" s="336"/>
      <c r="BP79" s="338"/>
      <c r="BQ79" s="339"/>
      <c r="BR79" s="337"/>
      <c r="BS79" s="336"/>
      <c r="BT79" s="338"/>
      <c r="BU79" s="339"/>
      <c r="BV79" s="337"/>
      <c r="BW79" s="336"/>
      <c r="BX79" s="338"/>
      <c r="BY79" s="339"/>
      <c r="BZ79" s="337"/>
      <c r="CA79" s="336"/>
      <c r="CB79" s="338"/>
      <c r="CC79" s="339"/>
      <c r="CD79" s="337"/>
      <c r="CE79" s="336"/>
      <c r="CF79" s="338"/>
      <c r="CG79" s="339"/>
      <c r="CH79" s="337"/>
      <c r="CI79" s="336"/>
      <c r="CJ79" s="338"/>
      <c r="CK79" s="339"/>
      <c r="CL79" s="337"/>
      <c r="CM79" s="336"/>
      <c r="CN79" s="338"/>
      <c r="CO79" s="339"/>
      <c r="CP79" s="337"/>
      <c r="CQ79" s="336"/>
      <c r="CR79" s="338"/>
      <c r="CS79" s="339"/>
      <c r="CT79" s="337"/>
      <c r="CU79" s="336"/>
      <c r="CV79" s="338"/>
      <c r="CW79" s="339"/>
      <c r="CX79" s="337"/>
      <c r="CY79" s="336"/>
      <c r="CZ79" s="338"/>
      <c r="DA79" s="339"/>
      <c r="DB79" s="337"/>
      <c r="DC79" s="336"/>
      <c r="DD79" s="338"/>
      <c r="DE79" s="339"/>
      <c r="DF79" s="337"/>
      <c r="DG79" s="336"/>
      <c r="DH79" s="338"/>
      <c r="DI79" s="339"/>
      <c r="DJ79" s="337"/>
      <c r="DK79" s="336"/>
      <c r="DL79" s="338"/>
      <c r="DM79" s="339"/>
      <c r="DN79" s="337"/>
      <c r="DO79" s="336"/>
      <c r="DP79" s="338"/>
      <c r="DQ79" s="339"/>
      <c r="DR79" s="337"/>
      <c r="DS79" s="336"/>
      <c r="DT79" s="338"/>
      <c r="DU79" s="339"/>
      <c r="DV79" s="337"/>
      <c r="DW79" s="336"/>
      <c r="DX79" s="338"/>
      <c r="DY79" s="339"/>
      <c r="DZ79" s="337"/>
      <c r="EA79" s="336"/>
      <c r="EB79" s="338"/>
      <c r="EC79" s="339"/>
      <c r="ED79" s="337"/>
      <c r="EE79" s="336"/>
      <c r="EF79" s="338"/>
      <c r="EG79" s="339"/>
      <c r="EH79" s="337"/>
      <c r="EI79" s="336"/>
      <c r="EJ79" s="338"/>
      <c r="EK79" s="339"/>
      <c r="EL79" s="337"/>
      <c r="EM79" s="336"/>
      <c r="EN79" s="338"/>
      <c r="EO79" s="339"/>
      <c r="EP79" s="337"/>
      <c r="EQ79" s="336"/>
      <c r="ER79" s="338"/>
      <c r="ES79" s="339"/>
      <c r="ET79" s="337"/>
      <c r="EU79" s="336"/>
      <c r="EV79" s="338"/>
      <c r="EW79" s="339"/>
      <c r="EX79" s="337"/>
      <c r="EY79" s="336"/>
      <c r="EZ79" s="338"/>
      <c r="FA79" s="339"/>
      <c r="FB79" s="337"/>
      <c r="FC79" s="336"/>
      <c r="FD79" s="338"/>
      <c r="FE79" s="339"/>
      <c r="FF79" s="337"/>
      <c r="FG79" s="336"/>
      <c r="FH79" s="338"/>
      <c r="FI79" s="339"/>
      <c r="FJ79" s="337"/>
      <c r="FK79" s="336"/>
      <c r="FL79" s="338"/>
      <c r="FM79" s="339"/>
      <c r="FN79" s="337"/>
      <c r="FO79" s="336"/>
      <c r="FP79" s="338"/>
      <c r="FQ79" s="339"/>
      <c r="FR79" s="337"/>
      <c r="FS79" s="336"/>
      <c r="FT79" s="338"/>
      <c r="FU79" s="339"/>
      <c r="FV79" s="337"/>
      <c r="FW79" s="336"/>
      <c r="FX79" s="338"/>
      <c r="FY79" s="339"/>
      <c r="FZ79" s="337"/>
      <c r="GA79" s="336"/>
      <c r="GB79" s="338"/>
      <c r="GC79" s="339"/>
      <c r="GD79" s="337"/>
      <c r="GE79" s="336"/>
      <c r="GF79" s="338"/>
      <c r="GG79" s="339"/>
      <c r="GH79" s="337"/>
      <c r="GI79" s="336"/>
      <c r="GJ79" s="338"/>
      <c r="GK79" s="339"/>
      <c r="GL79" s="337"/>
      <c r="GM79" s="336"/>
      <c r="GN79" s="338"/>
      <c r="GO79" s="339"/>
      <c r="GP79" s="337"/>
      <c r="GQ79" s="336"/>
      <c r="GR79" s="338"/>
      <c r="GS79" s="339"/>
      <c r="GT79" s="337"/>
      <c r="GU79" s="336"/>
      <c r="GV79" s="338"/>
      <c r="GW79" s="339"/>
      <c r="GX79" s="337"/>
      <c r="GY79" s="336"/>
      <c r="GZ79" s="338"/>
      <c r="HA79" s="339"/>
      <c r="HB79" s="337"/>
      <c r="HC79" s="340">
        <f t="shared" si="79"/>
        <v>0</v>
      </c>
      <c r="HD79" s="341"/>
      <c r="HE79" s="342">
        <f t="shared" si="79"/>
        <v>0</v>
      </c>
      <c r="HF79" s="343">
        <f t="shared" si="79"/>
        <v>0</v>
      </c>
      <c r="HG79" s="340">
        <f>SUM(SUMIFS(K79:HB79,$K$13:$HB$13,{"エネルギー管理指定工場等*","県域*"}))</f>
        <v>0</v>
      </c>
      <c r="HH79" s="341"/>
      <c r="HI79" s="342">
        <f>SUM(SUMIFS(M79:HD79,$K$13:$HB$13,{"エネルギー管理指定工場等*","県域*"}))</f>
        <v>0</v>
      </c>
      <c r="HJ79" s="343">
        <f>SUM(SUMIFS(N79:HE79,$K$13:$HB$13,{"エネルギー管理指定工場等*","県域*"}))</f>
        <v>0</v>
      </c>
      <c r="IE79" s="579"/>
      <c r="IF79" s="579"/>
      <c r="IG79" s="579"/>
      <c r="IH79" s="579"/>
    </row>
    <row r="80" spans="2:242" s="164" customFormat="1" ht="20.100000000000001" customHeight="1">
      <c r="B80" s="320"/>
      <c r="C80" s="318"/>
      <c r="D80" s="303" t="s">
        <v>1384</v>
      </c>
      <c r="E80" s="311"/>
      <c r="F80" s="303" t="s">
        <v>461</v>
      </c>
      <c r="G80" s="310"/>
      <c r="H80" s="315"/>
      <c r="I80" s="308"/>
      <c r="J80" s="309"/>
      <c r="K80" s="310"/>
      <c r="L80" s="329"/>
      <c r="M80" s="311"/>
      <c r="N80" s="315"/>
      <c r="O80" s="310"/>
      <c r="P80" s="329"/>
      <c r="Q80" s="311"/>
      <c r="R80" s="315"/>
      <c r="S80" s="310"/>
      <c r="T80" s="329"/>
      <c r="U80" s="311"/>
      <c r="V80" s="315"/>
      <c r="W80" s="310"/>
      <c r="X80" s="329"/>
      <c r="Y80" s="311"/>
      <c r="Z80" s="315"/>
      <c r="AA80" s="310"/>
      <c r="AB80" s="329"/>
      <c r="AC80" s="311"/>
      <c r="AD80" s="315"/>
      <c r="AE80" s="310"/>
      <c r="AF80" s="329"/>
      <c r="AG80" s="311"/>
      <c r="AH80" s="315"/>
      <c r="AI80" s="310"/>
      <c r="AJ80" s="329"/>
      <c r="AK80" s="311"/>
      <c r="AL80" s="315"/>
      <c r="AM80" s="310"/>
      <c r="AN80" s="329"/>
      <c r="AO80" s="311"/>
      <c r="AP80" s="315"/>
      <c r="AQ80" s="310"/>
      <c r="AR80" s="329"/>
      <c r="AS80" s="311"/>
      <c r="AT80" s="315"/>
      <c r="AU80" s="310"/>
      <c r="AV80" s="329"/>
      <c r="AW80" s="311"/>
      <c r="AX80" s="315"/>
      <c r="AY80" s="310"/>
      <c r="AZ80" s="329"/>
      <c r="BA80" s="311"/>
      <c r="BB80" s="315"/>
      <c r="BC80" s="310"/>
      <c r="BD80" s="329"/>
      <c r="BE80" s="311"/>
      <c r="BF80" s="315"/>
      <c r="BG80" s="310"/>
      <c r="BH80" s="329"/>
      <c r="BI80" s="311"/>
      <c r="BJ80" s="315"/>
      <c r="BK80" s="310"/>
      <c r="BL80" s="329"/>
      <c r="BM80" s="311"/>
      <c r="BN80" s="315"/>
      <c r="BO80" s="310"/>
      <c r="BP80" s="329"/>
      <c r="BQ80" s="311"/>
      <c r="BR80" s="315"/>
      <c r="BS80" s="310"/>
      <c r="BT80" s="329"/>
      <c r="BU80" s="311"/>
      <c r="BV80" s="315"/>
      <c r="BW80" s="310"/>
      <c r="BX80" s="329"/>
      <c r="BY80" s="311"/>
      <c r="BZ80" s="315"/>
      <c r="CA80" s="310"/>
      <c r="CB80" s="329"/>
      <c r="CC80" s="311"/>
      <c r="CD80" s="315"/>
      <c r="CE80" s="310"/>
      <c r="CF80" s="329"/>
      <c r="CG80" s="311"/>
      <c r="CH80" s="315"/>
      <c r="CI80" s="310"/>
      <c r="CJ80" s="329"/>
      <c r="CK80" s="311"/>
      <c r="CL80" s="315"/>
      <c r="CM80" s="310"/>
      <c r="CN80" s="329"/>
      <c r="CO80" s="311"/>
      <c r="CP80" s="315"/>
      <c r="CQ80" s="310"/>
      <c r="CR80" s="329"/>
      <c r="CS80" s="311"/>
      <c r="CT80" s="315"/>
      <c r="CU80" s="310"/>
      <c r="CV80" s="329"/>
      <c r="CW80" s="311"/>
      <c r="CX80" s="315"/>
      <c r="CY80" s="310"/>
      <c r="CZ80" s="329"/>
      <c r="DA80" s="311"/>
      <c r="DB80" s="315"/>
      <c r="DC80" s="310"/>
      <c r="DD80" s="329"/>
      <c r="DE80" s="311"/>
      <c r="DF80" s="315"/>
      <c r="DG80" s="310"/>
      <c r="DH80" s="329"/>
      <c r="DI80" s="311"/>
      <c r="DJ80" s="315"/>
      <c r="DK80" s="310"/>
      <c r="DL80" s="329"/>
      <c r="DM80" s="311"/>
      <c r="DN80" s="315"/>
      <c r="DO80" s="310"/>
      <c r="DP80" s="329"/>
      <c r="DQ80" s="311"/>
      <c r="DR80" s="315"/>
      <c r="DS80" s="310"/>
      <c r="DT80" s="329"/>
      <c r="DU80" s="311"/>
      <c r="DV80" s="315"/>
      <c r="DW80" s="310"/>
      <c r="DX80" s="329"/>
      <c r="DY80" s="311"/>
      <c r="DZ80" s="315"/>
      <c r="EA80" s="310"/>
      <c r="EB80" s="329"/>
      <c r="EC80" s="311"/>
      <c r="ED80" s="315"/>
      <c r="EE80" s="310"/>
      <c r="EF80" s="329"/>
      <c r="EG80" s="311"/>
      <c r="EH80" s="315"/>
      <c r="EI80" s="310"/>
      <c r="EJ80" s="329"/>
      <c r="EK80" s="311"/>
      <c r="EL80" s="315"/>
      <c r="EM80" s="310"/>
      <c r="EN80" s="329"/>
      <c r="EO80" s="311"/>
      <c r="EP80" s="315"/>
      <c r="EQ80" s="310"/>
      <c r="ER80" s="329"/>
      <c r="ES80" s="311"/>
      <c r="ET80" s="315"/>
      <c r="EU80" s="310"/>
      <c r="EV80" s="329"/>
      <c r="EW80" s="311"/>
      <c r="EX80" s="315"/>
      <c r="EY80" s="310"/>
      <c r="EZ80" s="329"/>
      <c r="FA80" s="311"/>
      <c r="FB80" s="315"/>
      <c r="FC80" s="310"/>
      <c r="FD80" s="329"/>
      <c r="FE80" s="311"/>
      <c r="FF80" s="315"/>
      <c r="FG80" s="310"/>
      <c r="FH80" s="329"/>
      <c r="FI80" s="311"/>
      <c r="FJ80" s="315"/>
      <c r="FK80" s="310"/>
      <c r="FL80" s="329"/>
      <c r="FM80" s="311"/>
      <c r="FN80" s="315"/>
      <c r="FO80" s="310"/>
      <c r="FP80" s="329"/>
      <c r="FQ80" s="311"/>
      <c r="FR80" s="315"/>
      <c r="FS80" s="310"/>
      <c r="FT80" s="329"/>
      <c r="FU80" s="311"/>
      <c r="FV80" s="315"/>
      <c r="FW80" s="310"/>
      <c r="FX80" s="329"/>
      <c r="FY80" s="311"/>
      <c r="FZ80" s="315"/>
      <c r="GA80" s="310"/>
      <c r="GB80" s="329"/>
      <c r="GC80" s="311"/>
      <c r="GD80" s="315"/>
      <c r="GE80" s="310"/>
      <c r="GF80" s="329"/>
      <c r="GG80" s="311"/>
      <c r="GH80" s="315"/>
      <c r="GI80" s="310"/>
      <c r="GJ80" s="329"/>
      <c r="GK80" s="311"/>
      <c r="GL80" s="315"/>
      <c r="GM80" s="310"/>
      <c r="GN80" s="329"/>
      <c r="GO80" s="311"/>
      <c r="GP80" s="315"/>
      <c r="GQ80" s="310"/>
      <c r="GR80" s="329"/>
      <c r="GS80" s="311"/>
      <c r="GT80" s="315"/>
      <c r="GU80" s="310"/>
      <c r="GV80" s="329"/>
      <c r="GW80" s="311"/>
      <c r="GX80" s="315"/>
      <c r="GY80" s="310"/>
      <c r="GZ80" s="329"/>
      <c r="HA80" s="311"/>
      <c r="HB80" s="315"/>
      <c r="HC80" s="312">
        <f t="shared" si="79"/>
        <v>0</v>
      </c>
      <c r="HD80" s="330"/>
      <c r="HE80" s="313">
        <f t="shared" si="79"/>
        <v>0</v>
      </c>
      <c r="HF80" s="331">
        <f t="shared" si="79"/>
        <v>0</v>
      </c>
      <c r="HG80" s="312">
        <f>SUM(SUMIFS(K80:HB80,$K$13:$HB$13,{"エネルギー管理指定工場等*","県域*"}))</f>
        <v>0</v>
      </c>
      <c r="HH80" s="330"/>
      <c r="HI80" s="313">
        <f>SUM(SUMIFS(M80:HD80,$K$13:$HB$13,{"エネルギー管理指定工場等*","県域*"}))</f>
        <v>0</v>
      </c>
      <c r="HJ80" s="331">
        <f>SUM(SUMIFS(N80:HE80,$K$13:$HB$13,{"エネルギー管理指定工場等*","県域*"}))</f>
        <v>0</v>
      </c>
      <c r="IE80" s="579"/>
      <c r="IF80" s="579"/>
      <c r="IG80" s="579"/>
      <c r="IH80" s="579"/>
    </row>
    <row r="81" spans="2:242" s="164" customFormat="1" ht="59.4">
      <c r="B81" s="302" t="s">
        <v>607</v>
      </c>
      <c r="C81" s="344" t="s">
        <v>608</v>
      </c>
      <c r="D81" s="345" t="s">
        <v>609</v>
      </c>
      <c r="E81" s="270"/>
      <c r="F81" s="346" t="s">
        <v>610</v>
      </c>
      <c r="G81" s="320">
        <v>8.64</v>
      </c>
      <c r="H81" s="347"/>
      <c r="I81" s="348"/>
      <c r="J81" s="349"/>
      <c r="K81" s="348"/>
      <c r="L81" s="350"/>
      <c r="M81" s="350"/>
      <c r="N81" s="347"/>
      <c r="O81" s="348"/>
      <c r="P81" s="350"/>
      <c r="Q81" s="350"/>
      <c r="R81" s="347"/>
      <c r="S81" s="348"/>
      <c r="T81" s="350"/>
      <c r="U81" s="350"/>
      <c r="V81" s="347"/>
      <c r="W81" s="348"/>
      <c r="X81" s="350"/>
      <c r="Y81" s="350"/>
      <c r="Z81" s="347"/>
      <c r="AA81" s="348"/>
      <c r="AB81" s="350"/>
      <c r="AC81" s="350"/>
      <c r="AD81" s="347"/>
      <c r="AE81" s="348"/>
      <c r="AF81" s="350"/>
      <c r="AG81" s="350"/>
      <c r="AH81" s="347"/>
      <c r="AI81" s="348"/>
      <c r="AJ81" s="350"/>
      <c r="AK81" s="350"/>
      <c r="AL81" s="347"/>
      <c r="AM81" s="348"/>
      <c r="AN81" s="350"/>
      <c r="AO81" s="350"/>
      <c r="AP81" s="347"/>
      <c r="AQ81" s="348"/>
      <c r="AR81" s="350"/>
      <c r="AS81" s="350"/>
      <c r="AT81" s="347"/>
      <c r="AU81" s="348"/>
      <c r="AV81" s="350"/>
      <c r="AW81" s="350"/>
      <c r="AX81" s="347"/>
      <c r="AY81" s="348"/>
      <c r="AZ81" s="350"/>
      <c r="BA81" s="350"/>
      <c r="BB81" s="347"/>
      <c r="BC81" s="348"/>
      <c r="BD81" s="350"/>
      <c r="BE81" s="350"/>
      <c r="BF81" s="347"/>
      <c r="BG81" s="348"/>
      <c r="BH81" s="350"/>
      <c r="BI81" s="350"/>
      <c r="BJ81" s="347"/>
      <c r="BK81" s="348"/>
      <c r="BL81" s="350"/>
      <c r="BM81" s="350"/>
      <c r="BN81" s="347"/>
      <c r="BO81" s="348"/>
      <c r="BP81" s="350"/>
      <c r="BQ81" s="350"/>
      <c r="BR81" s="347"/>
      <c r="BS81" s="348"/>
      <c r="BT81" s="350"/>
      <c r="BU81" s="350"/>
      <c r="BV81" s="347"/>
      <c r="BW81" s="348"/>
      <c r="BX81" s="350"/>
      <c r="BY81" s="350"/>
      <c r="BZ81" s="347"/>
      <c r="CA81" s="348"/>
      <c r="CB81" s="350"/>
      <c r="CC81" s="350"/>
      <c r="CD81" s="347"/>
      <c r="CE81" s="348"/>
      <c r="CF81" s="350"/>
      <c r="CG81" s="350"/>
      <c r="CH81" s="347"/>
      <c r="CI81" s="348"/>
      <c r="CJ81" s="350"/>
      <c r="CK81" s="350"/>
      <c r="CL81" s="347"/>
      <c r="CM81" s="348"/>
      <c r="CN81" s="350"/>
      <c r="CO81" s="350"/>
      <c r="CP81" s="347"/>
      <c r="CQ81" s="348"/>
      <c r="CR81" s="350"/>
      <c r="CS81" s="350"/>
      <c r="CT81" s="347"/>
      <c r="CU81" s="348"/>
      <c r="CV81" s="350"/>
      <c r="CW81" s="350"/>
      <c r="CX81" s="347"/>
      <c r="CY81" s="348"/>
      <c r="CZ81" s="350"/>
      <c r="DA81" s="350"/>
      <c r="DB81" s="347"/>
      <c r="DC81" s="348"/>
      <c r="DD81" s="350"/>
      <c r="DE81" s="350"/>
      <c r="DF81" s="347"/>
      <c r="DG81" s="348"/>
      <c r="DH81" s="350"/>
      <c r="DI81" s="350"/>
      <c r="DJ81" s="347"/>
      <c r="DK81" s="348"/>
      <c r="DL81" s="350"/>
      <c r="DM81" s="350"/>
      <c r="DN81" s="347"/>
      <c r="DO81" s="348"/>
      <c r="DP81" s="350"/>
      <c r="DQ81" s="350"/>
      <c r="DR81" s="347"/>
      <c r="DS81" s="348"/>
      <c r="DT81" s="350"/>
      <c r="DU81" s="350"/>
      <c r="DV81" s="347"/>
      <c r="DW81" s="348"/>
      <c r="DX81" s="350"/>
      <c r="DY81" s="350"/>
      <c r="DZ81" s="347"/>
      <c r="EA81" s="348"/>
      <c r="EB81" s="350"/>
      <c r="EC81" s="350"/>
      <c r="ED81" s="347"/>
      <c r="EE81" s="348"/>
      <c r="EF81" s="350"/>
      <c r="EG81" s="350"/>
      <c r="EH81" s="347"/>
      <c r="EI81" s="348"/>
      <c r="EJ81" s="350"/>
      <c r="EK81" s="350"/>
      <c r="EL81" s="347"/>
      <c r="EM81" s="348"/>
      <c r="EN81" s="350"/>
      <c r="EO81" s="350"/>
      <c r="EP81" s="347"/>
      <c r="EQ81" s="348"/>
      <c r="ER81" s="350"/>
      <c r="ES81" s="350"/>
      <c r="ET81" s="347"/>
      <c r="EU81" s="348"/>
      <c r="EV81" s="350"/>
      <c r="EW81" s="350"/>
      <c r="EX81" s="347"/>
      <c r="EY81" s="348"/>
      <c r="EZ81" s="350"/>
      <c r="FA81" s="350"/>
      <c r="FB81" s="347"/>
      <c r="FC81" s="348"/>
      <c r="FD81" s="350"/>
      <c r="FE81" s="350"/>
      <c r="FF81" s="347"/>
      <c r="FG81" s="348"/>
      <c r="FH81" s="350"/>
      <c r="FI81" s="350"/>
      <c r="FJ81" s="347"/>
      <c r="FK81" s="348"/>
      <c r="FL81" s="350"/>
      <c r="FM81" s="350"/>
      <c r="FN81" s="347"/>
      <c r="FO81" s="348"/>
      <c r="FP81" s="350"/>
      <c r="FQ81" s="350"/>
      <c r="FR81" s="347"/>
      <c r="FS81" s="348"/>
      <c r="FT81" s="350"/>
      <c r="FU81" s="350"/>
      <c r="FV81" s="347"/>
      <c r="FW81" s="348"/>
      <c r="FX81" s="350"/>
      <c r="FY81" s="350"/>
      <c r="FZ81" s="347"/>
      <c r="GA81" s="348"/>
      <c r="GB81" s="350"/>
      <c r="GC81" s="350"/>
      <c r="GD81" s="347"/>
      <c r="GE81" s="348"/>
      <c r="GF81" s="350"/>
      <c r="GG81" s="350"/>
      <c r="GH81" s="347"/>
      <c r="GI81" s="348"/>
      <c r="GJ81" s="350"/>
      <c r="GK81" s="350"/>
      <c r="GL81" s="347"/>
      <c r="GM81" s="348"/>
      <c r="GN81" s="350"/>
      <c r="GO81" s="350"/>
      <c r="GP81" s="347"/>
      <c r="GQ81" s="348"/>
      <c r="GR81" s="350"/>
      <c r="GS81" s="350"/>
      <c r="GT81" s="347"/>
      <c r="GU81" s="348"/>
      <c r="GV81" s="350"/>
      <c r="GW81" s="350"/>
      <c r="GX81" s="347"/>
      <c r="GY81" s="348"/>
      <c r="GZ81" s="350"/>
      <c r="HA81" s="350"/>
      <c r="HB81" s="347"/>
      <c r="HC81" s="351">
        <f t="shared" ref="HC81:HC107" si="80">K81+O81+S81+W81+AA81+AE81+AI81+AM81+AQ81+AU81+AY81+BC81+BG81+BK81+BO81+BS81+BW81+CA81+CE81+CI81+CM81+CQ81+CU81+CY81+DC81+DG81+DK81+DO81+DS81+DW81+EA81+EE81+EI81+EM81+EQ81+EU81+EY81+FC81+FG81+FK81+FO81+FS81+FW81+GA81+GE81+GI81+GM81+GQ81+GU81+GY81</f>
        <v>0</v>
      </c>
      <c r="HD81" s="352"/>
      <c r="HE81" s="352"/>
      <c r="HF81" s="353"/>
      <c r="HG81" s="351">
        <f>SUM(SUMIFS(K81:HB81,$K$13:$HB$13,{"エネルギー管理指定工場等*","県域*"}))</f>
        <v>0</v>
      </c>
      <c r="HH81" s="352"/>
      <c r="HI81" s="352"/>
      <c r="HJ81" s="353"/>
      <c r="IE81" s="579"/>
      <c r="IF81" s="579"/>
      <c r="IG81" s="579"/>
      <c r="IH81" s="579"/>
    </row>
    <row r="82" spans="2:242" s="164" customFormat="1" ht="20.100000000000001" customHeight="1">
      <c r="B82" s="302"/>
      <c r="C82" s="318"/>
      <c r="D82" s="354"/>
      <c r="E82" s="326" t="s">
        <v>611</v>
      </c>
      <c r="F82" s="303" t="s">
        <v>610</v>
      </c>
      <c r="G82" s="306">
        <v>8.64</v>
      </c>
      <c r="H82" s="309"/>
      <c r="I82" s="308"/>
      <c r="J82" s="309"/>
      <c r="K82" s="310"/>
      <c r="L82" s="329"/>
      <c r="M82" s="329"/>
      <c r="N82" s="309"/>
      <c r="O82" s="310"/>
      <c r="P82" s="329"/>
      <c r="Q82" s="329"/>
      <c r="R82" s="309"/>
      <c r="S82" s="310"/>
      <c r="T82" s="329"/>
      <c r="U82" s="329"/>
      <c r="V82" s="309"/>
      <c r="W82" s="310"/>
      <c r="X82" s="329"/>
      <c r="Y82" s="329"/>
      <c r="Z82" s="309"/>
      <c r="AA82" s="310"/>
      <c r="AB82" s="329"/>
      <c r="AC82" s="329"/>
      <c r="AD82" s="309"/>
      <c r="AE82" s="310"/>
      <c r="AF82" s="329"/>
      <c r="AG82" s="329"/>
      <c r="AH82" s="309"/>
      <c r="AI82" s="310"/>
      <c r="AJ82" s="329"/>
      <c r="AK82" s="329"/>
      <c r="AL82" s="309"/>
      <c r="AM82" s="310"/>
      <c r="AN82" s="329"/>
      <c r="AO82" s="329"/>
      <c r="AP82" s="309"/>
      <c r="AQ82" s="310"/>
      <c r="AR82" s="329"/>
      <c r="AS82" s="329"/>
      <c r="AT82" s="309"/>
      <c r="AU82" s="310"/>
      <c r="AV82" s="329"/>
      <c r="AW82" s="329"/>
      <c r="AX82" s="309"/>
      <c r="AY82" s="310"/>
      <c r="AZ82" s="329"/>
      <c r="BA82" s="329"/>
      <c r="BB82" s="309"/>
      <c r="BC82" s="310"/>
      <c r="BD82" s="329"/>
      <c r="BE82" s="329"/>
      <c r="BF82" s="309"/>
      <c r="BG82" s="310"/>
      <c r="BH82" s="329"/>
      <c r="BI82" s="329"/>
      <c r="BJ82" s="309"/>
      <c r="BK82" s="310"/>
      <c r="BL82" s="329"/>
      <c r="BM82" s="329"/>
      <c r="BN82" s="309"/>
      <c r="BO82" s="310"/>
      <c r="BP82" s="329"/>
      <c r="BQ82" s="329"/>
      <c r="BR82" s="309"/>
      <c r="BS82" s="310"/>
      <c r="BT82" s="329"/>
      <c r="BU82" s="329"/>
      <c r="BV82" s="309"/>
      <c r="BW82" s="310"/>
      <c r="BX82" s="329"/>
      <c r="BY82" s="329"/>
      <c r="BZ82" s="309"/>
      <c r="CA82" s="310"/>
      <c r="CB82" s="329"/>
      <c r="CC82" s="329"/>
      <c r="CD82" s="309"/>
      <c r="CE82" s="310"/>
      <c r="CF82" s="329"/>
      <c r="CG82" s="329"/>
      <c r="CH82" s="309"/>
      <c r="CI82" s="310"/>
      <c r="CJ82" s="329"/>
      <c r="CK82" s="329"/>
      <c r="CL82" s="309"/>
      <c r="CM82" s="310"/>
      <c r="CN82" s="329"/>
      <c r="CO82" s="329"/>
      <c r="CP82" s="309"/>
      <c r="CQ82" s="310"/>
      <c r="CR82" s="329"/>
      <c r="CS82" s="329"/>
      <c r="CT82" s="309"/>
      <c r="CU82" s="310"/>
      <c r="CV82" s="329"/>
      <c r="CW82" s="329"/>
      <c r="CX82" s="309"/>
      <c r="CY82" s="310"/>
      <c r="CZ82" s="329"/>
      <c r="DA82" s="329"/>
      <c r="DB82" s="309"/>
      <c r="DC82" s="310"/>
      <c r="DD82" s="329"/>
      <c r="DE82" s="329"/>
      <c r="DF82" s="309"/>
      <c r="DG82" s="310"/>
      <c r="DH82" s="329"/>
      <c r="DI82" s="329"/>
      <c r="DJ82" s="309"/>
      <c r="DK82" s="310"/>
      <c r="DL82" s="329"/>
      <c r="DM82" s="329"/>
      <c r="DN82" s="309"/>
      <c r="DO82" s="310"/>
      <c r="DP82" s="329"/>
      <c r="DQ82" s="329"/>
      <c r="DR82" s="309"/>
      <c r="DS82" s="310"/>
      <c r="DT82" s="329"/>
      <c r="DU82" s="329"/>
      <c r="DV82" s="309"/>
      <c r="DW82" s="310"/>
      <c r="DX82" s="329"/>
      <c r="DY82" s="329"/>
      <c r="DZ82" s="309"/>
      <c r="EA82" s="310"/>
      <c r="EB82" s="329"/>
      <c r="EC82" s="329"/>
      <c r="ED82" s="309"/>
      <c r="EE82" s="310"/>
      <c r="EF82" s="329"/>
      <c r="EG82" s="329"/>
      <c r="EH82" s="309"/>
      <c r="EI82" s="310"/>
      <c r="EJ82" s="329"/>
      <c r="EK82" s="329"/>
      <c r="EL82" s="309"/>
      <c r="EM82" s="310"/>
      <c r="EN82" s="329"/>
      <c r="EO82" s="329"/>
      <c r="EP82" s="309"/>
      <c r="EQ82" s="310"/>
      <c r="ER82" s="329"/>
      <c r="ES82" s="329"/>
      <c r="ET82" s="309"/>
      <c r="EU82" s="310"/>
      <c r="EV82" s="329"/>
      <c r="EW82" s="329"/>
      <c r="EX82" s="309"/>
      <c r="EY82" s="310"/>
      <c r="EZ82" s="329"/>
      <c r="FA82" s="329"/>
      <c r="FB82" s="309"/>
      <c r="FC82" s="310"/>
      <c r="FD82" s="329"/>
      <c r="FE82" s="329"/>
      <c r="FF82" s="309"/>
      <c r="FG82" s="310"/>
      <c r="FH82" s="329"/>
      <c r="FI82" s="329"/>
      <c r="FJ82" s="309"/>
      <c r="FK82" s="310"/>
      <c r="FL82" s="329"/>
      <c r="FM82" s="329"/>
      <c r="FN82" s="309"/>
      <c r="FO82" s="310"/>
      <c r="FP82" s="329"/>
      <c r="FQ82" s="329"/>
      <c r="FR82" s="309"/>
      <c r="FS82" s="310"/>
      <c r="FT82" s="329"/>
      <c r="FU82" s="329"/>
      <c r="FV82" s="309"/>
      <c r="FW82" s="310"/>
      <c r="FX82" s="329"/>
      <c r="FY82" s="329"/>
      <c r="FZ82" s="309"/>
      <c r="GA82" s="310"/>
      <c r="GB82" s="329"/>
      <c r="GC82" s="329"/>
      <c r="GD82" s="309"/>
      <c r="GE82" s="310"/>
      <c r="GF82" s="329"/>
      <c r="GG82" s="329"/>
      <c r="GH82" s="309"/>
      <c r="GI82" s="310"/>
      <c r="GJ82" s="329"/>
      <c r="GK82" s="329"/>
      <c r="GL82" s="309"/>
      <c r="GM82" s="310"/>
      <c r="GN82" s="329"/>
      <c r="GO82" s="329"/>
      <c r="GP82" s="309"/>
      <c r="GQ82" s="310"/>
      <c r="GR82" s="329"/>
      <c r="GS82" s="329"/>
      <c r="GT82" s="309"/>
      <c r="GU82" s="310"/>
      <c r="GV82" s="329"/>
      <c r="GW82" s="329"/>
      <c r="GX82" s="309"/>
      <c r="GY82" s="310"/>
      <c r="GZ82" s="329"/>
      <c r="HA82" s="329"/>
      <c r="HB82" s="309"/>
      <c r="HC82" s="312">
        <f t="shared" si="80"/>
        <v>0</v>
      </c>
      <c r="HD82" s="330"/>
      <c r="HE82" s="330"/>
      <c r="HF82" s="314"/>
      <c r="HG82" s="312">
        <f>SUM(SUMIFS(K82:HB82,$K$13:$HB$13,{"エネルギー管理指定工場等*","県域*"}))</f>
        <v>0</v>
      </c>
      <c r="HH82" s="330"/>
      <c r="HI82" s="330"/>
      <c r="HJ82" s="314"/>
      <c r="IE82" s="579"/>
      <c r="IF82" s="579"/>
      <c r="IG82" s="579"/>
      <c r="IH82" s="579"/>
    </row>
    <row r="83" spans="2:242" s="164" customFormat="1" ht="20.100000000000001" customHeight="1">
      <c r="B83" s="302"/>
      <c r="C83" s="327" t="s">
        <v>1385</v>
      </c>
      <c r="D83" s="303" t="s">
        <v>612</v>
      </c>
      <c r="E83" s="305"/>
      <c r="F83" s="303" t="s">
        <v>610</v>
      </c>
      <c r="G83" s="306">
        <v>3.6</v>
      </c>
      <c r="H83" s="309"/>
      <c r="I83" s="310"/>
      <c r="J83" s="315"/>
      <c r="K83" s="310"/>
      <c r="L83" s="329"/>
      <c r="M83" s="329"/>
      <c r="N83" s="309"/>
      <c r="O83" s="310"/>
      <c r="P83" s="329"/>
      <c r="Q83" s="329"/>
      <c r="R83" s="309"/>
      <c r="S83" s="310"/>
      <c r="T83" s="329"/>
      <c r="U83" s="329"/>
      <c r="V83" s="309"/>
      <c r="W83" s="310"/>
      <c r="X83" s="329"/>
      <c r="Y83" s="329"/>
      <c r="Z83" s="309"/>
      <c r="AA83" s="310"/>
      <c r="AB83" s="329"/>
      <c r="AC83" s="329"/>
      <c r="AD83" s="309"/>
      <c r="AE83" s="310"/>
      <c r="AF83" s="329"/>
      <c r="AG83" s="329"/>
      <c r="AH83" s="309"/>
      <c r="AI83" s="310"/>
      <c r="AJ83" s="329"/>
      <c r="AK83" s="329"/>
      <c r="AL83" s="309"/>
      <c r="AM83" s="310"/>
      <c r="AN83" s="329"/>
      <c r="AO83" s="329"/>
      <c r="AP83" s="309"/>
      <c r="AQ83" s="310"/>
      <c r="AR83" s="329"/>
      <c r="AS83" s="329"/>
      <c r="AT83" s="309"/>
      <c r="AU83" s="310"/>
      <c r="AV83" s="329"/>
      <c r="AW83" s="329"/>
      <c r="AX83" s="309"/>
      <c r="AY83" s="310"/>
      <c r="AZ83" s="329"/>
      <c r="BA83" s="329"/>
      <c r="BB83" s="309"/>
      <c r="BC83" s="310"/>
      <c r="BD83" s="329"/>
      <c r="BE83" s="329"/>
      <c r="BF83" s="309"/>
      <c r="BG83" s="310"/>
      <c r="BH83" s="329"/>
      <c r="BI83" s="329"/>
      <c r="BJ83" s="309"/>
      <c r="BK83" s="310"/>
      <c r="BL83" s="329"/>
      <c r="BM83" s="329"/>
      <c r="BN83" s="309"/>
      <c r="BO83" s="310"/>
      <c r="BP83" s="329"/>
      <c r="BQ83" s="329"/>
      <c r="BR83" s="309"/>
      <c r="BS83" s="310"/>
      <c r="BT83" s="329"/>
      <c r="BU83" s="329"/>
      <c r="BV83" s="309"/>
      <c r="BW83" s="310"/>
      <c r="BX83" s="329"/>
      <c r="BY83" s="329"/>
      <c r="BZ83" s="309"/>
      <c r="CA83" s="310"/>
      <c r="CB83" s="329"/>
      <c r="CC83" s="329"/>
      <c r="CD83" s="309"/>
      <c r="CE83" s="310"/>
      <c r="CF83" s="329"/>
      <c r="CG83" s="329"/>
      <c r="CH83" s="309"/>
      <c r="CI83" s="310"/>
      <c r="CJ83" s="329"/>
      <c r="CK83" s="329"/>
      <c r="CL83" s="309"/>
      <c r="CM83" s="310"/>
      <c r="CN83" s="329"/>
      <c r="CO83" s="329"/>
      <c r="CP83" s="309"/>
      <c r="CQ83" s="310"/>
      <c r="CR83" s="329"/>
      <c r="CS83" s="329"/>
      <c r="CT83" s="309"/>
      <c r="CU83" s="310"/>
      <c r="CV83" s="329"/>
      <c r="CW83" s="329"/>
      <c r="CX83" s="309"/>
      <c r="CY83" s="310"/>
      <c r="CZ83" s="329"/>
      <c r="DA83" s="329"/>
      <c r="DB83" s="309"/>
      <c r="DC83" s="310"/>
      <c r="DD83" s="329"/>
      <c r="DE83" s="329"/>
      <c r="DF83" s="309"/>
      <c r="DG83" s="310"/>
      <c r="DH83" s="329"/>
      <c r="DI83" s="329"/>
      <c r="DJ83" s="309"/>
      <c r="DK83" s="310"/>
      <c r="DL83" s="329"/>
      <c r="DM83" s="329"/>
      <c r="DN83" s="309"/>
      <c r="DO83" s="310"/>
      <c r="DP83" s="329"/>
      <c r="DQ83" s="329"/>
      <c r="DR83" s="309"/>
      <c r="DS83" s="310"/>
      <c r="DT83" s="329"/>
      <c r="DU83" s="329"/>
      <c r="DV83" s="309"/>
      <c r="DW83" s="310"/>
      <c r="DX83" s="329"/>
      <c r="DY83" s="329"/>
      <c r="DZ83" s="309"/>
      <c r="EA83" s="310"/>
      <c r="EB83" s="329"/>
      <c r="EC83" s="329"/>
      <c r="ED83" s="309"/>
      <c r="EE83" s="310"/>
      <c r="EF83" s="329"/>
      <c r="EG83" s="329"/>
      <c r="EH83" s="309"/>
      <c r="EI83" s="310"/>
      <c r="EJ83" s="329"/>
      <c r="EK83" s="329"/>
      <c r="EL83" s="309"/>
      <c r="EM83" s="310"/>
      <c r="EN83" s="329"/>
      <c r="EO83" s="329"/>
      <c r="EP83" s="309"/>
      <c r="EQ83" s="310"/>
      <c r="ER83" s="329"/>
      <c r="ES83" s="329"/>
      <c r="ET83" s="309"/>
      <c r="EU83" s="310"/>
      <c r="EV83" s="329"/>
      <c r="EW83" s="329"/>
      <c r="EX83" s="309"/>
      <c r="EY83" s="310"/>
      <c r="EZ83" s="329"/>
      <c r="FA83" s="329"/>
      <c r="FB83" s="309"/>
      <c r="FC83" s="310"/>
      <c r="FD83" s="329"/>
      <c r="FE83" s="329"/>
      <c r="FF83" s="309"/>
      <c r="FG83" s="310"/>
      <c r="FH83" s="329"/>
      <c r="FI83" s="329"/>
      <c r="FJ83" s="309"/>
      <c r="FK83" s="310"/>
      <c r="FL83" s="329"/>
      <c r="FM83" s="329"/>
      <c r="FN83" s="309"/>
      <c r="FO83" s="310"/>
      <c r="FP83" s="329"/>
      <c r="FQ83" s="329"/>
      <c r="FR83" s="309"/>
      <c r="FS83" s="310"/>
      <c r="FT83" s="329"/>
      <c r="FU83" s="329"/>
      <c r="FV83" s="309"/>
      <c r="FW83" s="310"/>
      <c r="FX83" s="329"/>
      <c r="FY83" s="329"/>
      <c r="FZ83" s="309"/>
      <c r="GA83" s="310"/>
      <c r="GB83" s="329"/>
      <c r="GC83" s="329"/>
      <c r="GD83" s="309"/>
      <c r="GE83" s="310"/>
      <c r="GF83" s="329"/>
      <c r="GG83" s="329"/>
      <c r="GH83" s="309"/>
      <c r="GI83" s="310"/>
      <c r="GJ83" s="329"/>
      <c r="GK83" s="329"/>
      <c r="GL83" s="309"/>
      <c r="GM83" s="310"/>
      <c r="GN83" s="329"/>
      <c r="GO83" s="329"/>
      <c r="GP83" s="309"/>
      <c r="GQ83" s="310"/>
      <c r="GR83" s="329"/>
      <c r="GS83" s="329"/>
      <c r="GT83" s="309"/>
      <c r="GU83" s="310"/>
      <c r="GV83" s="329"/>
      <c r="GW83" s="329"/>
      <c r="GX83" s="309"/>
      <c r="GY83" s="310"/>
      <c r="GZ83" s="329"/>
      <c r="HA83" s="329"/>
      <c r="HB83" s="309"/>
      <c r="HC83" s="312">
        <f t="shared" si="80"/>
        <v>0</v>
      </c>
      <c r="HD83" s="330"/>
      <c r="HE83" s="330"/>
      <c r="HF83" s="314"/>
      <c r="HG83" s="312">
        <f>SUM(SUMIFS(K83:HB83,$K$13:$HB$13,{"エネルギー管理指定工場等*","県域*"}))</f>
        <v>0</v>
      </c>
      <c r="HH83" s="330"/>
      <c r="HI83" s="330"/>
      <c r="HJ83" s="314"/>
      <c r="IE83" s="579"/>
      <c r="IF83" s="579"/>
      <c r="IG83" s="579"/>
      <c r="IH83" s="579"/>
    </row>
    <row r="84" spans="2:242" s="164" customFormat="1" ht="20.100000000000001" customHeight="1">
      <c r="B84" s="302"/>
      <c r="C84" s="319"/>
      <c r="D84" s="303" t="s">
        <v>613</v>
      </c>
      <c r="E84" s="305"/>
      <c r="F84" s="303" t="s">
        <v>610</v>
      </c>
      <c r="G84" s="306">
        <v>3.6</v>
      </c>
      <c r="H84" s="309"/>
      <c r="I84" s="308"/>
      <c r="J84" s="309"/>
      <c r="K84" s="310"/>
      <c r="L84" s="329"/>
      <c r="M84" s="329"/>
      <c r="N84" s="309"/>
      <c r="O84" s="310"/>
      <c r="P84" s="329"/>
      <c r="Q84" s="329"/>
      <c r="R84" s="309"/>
      <c r="S84" s="310"/>
      <c r="T84" s="329"/>
      <c r="U84" s="329"/>
      <c r="V84" s="309"/>
      <c r="W84" s="310"/>
      <c r="X84" s="329"/>
      <c r="Y84" s="329"/>
      <c r="Z84" s="309"/>
      <c r="AA84" s="310"/>
      <c r="AB84" s="329"/>
      <c r="AC84" s="329"/>
      <c r="AD84" s="309"/>
      <c r="AE84" s="310"/>
      <c r="AF84" s="329"/>
      <c r="AG84" s="329"/>
      <c r="AH84" s="309"/>
      <c r="AI84" s="310"/>
      <c r="AJ84" s="329"/>
      <c r="AK84" s="329"/>
      <c r="AL84" s="309"/>
      <c r="AM84" s="310"/>
      <c r="AN84" s="329"/>
      <c r="AO84" s="329"/>
      <c r="AP84" s="309"/>
      <c r="AQ84" s="310"/>
      <c r="AR84" s="329"/>
      <c r="AS84" s="329"/>
      <c r="AT84" s="309"/>
      <c r="AU84" s="310"/>
      <c r="AV84" s="329"/>
      <c r="AW84" s="329"/>
      <c r="AX84" s="309"/>
      <c r="AY84" s="310"/>
      <c r="AZ84" s="329"/>
      <c r="BA84" s="329"/>
      <c r="BB84" s="309"/>
      <c r="BC84" s="310"/>
      <c r="BD84" s="329"/>
      <c r="BE84" s="329"/>
      <c r="BF84" s="309"/>
      <c r="BG84" s="310"/>
      <c r="BH84" s="329"/>
      <c r="BI84" s="329"/>
      <c r="BJ84" s="309"/>
      <c r="BK84" s="310"/>
      <c r="BL84" s="329"/>
      <c r="BM84" s="329"/>
      <c r="BN84" s="309"/>
      <c r="BO84" s="310"/>
      <c r="BP84" s="329"/>
      <c r="BQ84" s="329"/>
      <c r="BR84" s="309"/>
      <c r="BS84" s="310"/>
      <c r="BT84" s="329"/>
      <c r="BU84" s="329"/>
      <c r="BV84" s="309"/>
      <c r="BW84" s="310"/>
      <c r="BX84" s="329"/>
      <c r="BY84" s="329"/>
      <c r="BZ84" s="309"/>
      <c r="CA84" s="310"/>
      <c r="CB84" s="329"/>
      <c r="CC84" s="329"/>
      <c r="CD84" s="309"/>
      <c r="CE84" s="310"/>
      <c r="CF84" s="329"/>
      <c r="CG84" s="329"/>
      <c r="CH84" s="309"/>
      <c r="CI84" s="310"/>
      <c r="CJ84" s="329"/>
      <c r="CK84" s="329"/>
      <c r="CL84" s="309"/>
      <c r="CM84" s="310"/>
      <c r="CN84" s="329"/>
      <c r="CO84" s="329"/>
      <c r="CP84" s="309"/>
      <c r="CQ84" s="310"/>
      <c r="CR84" s="329"/>
      <c r="CS84" s="329"/>
      <c r="CT84" s="309"/>
      <c r="CU84" s="310"/>
      <c r="CV84" s="329"/>
      <c r="CW84" s="329"/>
      <c r="CX84" s="309"/>
      <c r="CY84" s="310"/>
      <c r="CZ84" s="329"/>
      <c r="DA84" s="329"/>
      <c r="DB84" s="309"/>
      <c r="DC84" s="310"/>
      <c r="DD84" s="329"/>
      <c r="DE84" s="329"/>
      <c r="DF84" s="309"/>
      <c r="DG84" s="310"/>
      <c r="DH84" s="329"/>
      <c r="DI84" s="329"/>
      <c r="DJ84" s="309"/>
      <c r="DK84" s="310"/>
      <c r="DL84" s="329"/>
      <c r="DM84" s="329"/>
      <c r="DN84" s="309"/>
      <c r="DO84" s="310"/>
      <c r="DP84" s="329"/>
      <c r="DQ84" s="329"/>
      <c r="DR84" s="309"/>
      <c r="DS84" s="310"/>
      <c r="DT84" s="329"/>
      <c r="DU84" s="329"/>
      <c r="DV84" s="309"/>
      <c r="DW84" s="310"/>
      <c r="DX84" s="329"/>
      <c r="DY84" s="329"/>
      <c r="DZ84" s="309"/>
      <c r="EA84" s="310"/>
      <c r="EB84" s="329"/>
      <c r="EC84" s="329"/>
      <c r="ED84" s="309"/>
      <c r="EE84" s="310"/>
      <c r="EF84" s="329"/>
      <c r="EG84" s="329"/>
      <c r="EH84" s="309"/>
      <c r="EI84" s="310"/>
      <c r="EJ84" s="329"/>
      <c r="EK84" s="329"/>
      <c r="EL84" s="309"/>
      <c r="EM84" s="310"/>
      <c r="EN84" s="329"/>
      <c r="EO84" s="329"/>
      <c r="EP84" s="309"/>
      <c r="EQ84" s="310"/>
      <c r="ER84" s="329"/>
      <c r="ES84" s="329"/>
      <c r="ET84" s="309"/>
      <c r="EU84" s="310"/>
      <c r="EV84" s="329"/>
      <c r="EW84" s="329"/>
      <c r="EX84" s="309"/>
      <c r="EY84" s="310"/>
      <c r="EZ84" s="329"/>
      <c r="FA84" s="329"/>
      <c r="FB84" s="309"/>
      <c r="FC84" s="310"/>
      <c r="FD84" s="329"/>
      <c r="FE84" s="329"/>
      <c r="FF84" s="309"/>
      <c r="FG84" s="310"/>
      <c r="FH84" s="329"/>
      <c r="FI84" s="329"/>
      <c r="FJ84" s="309"/>
      <c r="FK84" s="310"/>
      <c r="FL84" s="329"/>
      <c r="FM84" s="329"/>
      <c r="FN84" s="309"/>
      <c r="FO84" s="310"/>
      <c r="FP84" s="329"/>
      <c r="FQ84" s="329"/>
      <c r="FR84" s="309"/>
      <c r="FS84" s="310"/>
      <c r="FT84" s="329"/>
      <c r="FU84" s="329"/>
      <c r="FV84" s="309"/>
      <c r="FW84" s="310"/>
      <c r="FX84" s="329"/>
      <c r="FY84" s="329"/>
      <c r="FZ84" s="309"/>
      <c r="GA84" s="310"/>
      <c r="GB84" s="329"/>
      <c r="GC84" s="329"/>
      <c r="GD84" s="309"/>
      <c r="GE84" s="310"/>
      <c r="GF84" s="329"/>
      <c r="GG84" s="329"/>
      <c r="GH84" s="309"/>
      <c r="GI84" s="310"/>
      <c r="GJ84" s="329"/>
      <c r="GK84" s="329"/>
      <c r="GL84" s="309"/>
      <c r="GM84" s="310"/>
      <c r="GN84" s="329"/>
      <c r="GO84" s="329"/>
      <c r="GP84" s="309"/>
      <c r="GQ84" s="310"/>
      <c r="GR84" s="329"/>
      <c r="GS84" s="329"/>
      <c r="GT84" s="309"/>
      <c r="GU84" s="310"/>
      <c r="GV84" s="329"/>
      <c r="GW84" s="329"/>
      <c r="GX84" s="309"/>
      <c r="GY84" s="310"/>
      <c r="GZ84" s="329"/>
      <c r="HA84" s="329"/>
      <c r="HB84" s="309"/>
      <c r="HC84" s="312">
        <f t="shared" si="80"/>
        <v>0</v>
      </c>
      <c r="HD84" s="330"/>
      <c r="HE84" s="330"/>
      <c r="HF84" s="314"/>
      <c r="HG84" s="312">
        <f>SUM(SUMIFS(K84:HB84,$K$13:$HB$13,{"エネルギー管理指定工場等*","県域*"}))</f>
        <v>0</v>
      </c>
      <c r="HH84" s="330"/>
      <c r="HI84" s="330"/>
      <c r="HJ84" s="314"/>
      <c r="IE84" s="579"/>
      <c r="IF84" s="579"/>
      <c r="IG84" s="579"/>
      <c r="IH84" s="579"/>
    </row>
    <row r="85" spans="2:242" s="164" customFormat="1" ht="20.100000000000001" customHeight="1">
      <c r="B85" s="302"/>
      <c r="C85" s="319"/>
      <c r="D85" s="303" t="s">
        <v>614</v>
      </c>
      <c r="E85" s="305"/>
      <c r="F85" s="303" t="s">
        <v>610</v>
      </c>
      <c r="G85" s="306">
        <v>3.6</v>
      </c>
      <c r="H85" s="309"/>
      <c r="I85" s="310"/>
      <c r="J85" s="315"/>
      <c r="K85" s="310"/>
      <c r="L85" s="329"/>
      <c r="M85" s="329"/>
      <c r="N85" s="309"/>
      <c r="O85" s="310"/>
      <c r="P85" s="329"/>
      <c r="Q85" s="329"/>
      <c r="R85" s="309"/>
      <c r="S85" s="310"/>
      <c r="T85" s="329"/>
      <c r="U85" s="329"/>
      <c r="V85" s="309"/>
      <c r="W85" s="310"/>
      <c r="X85" s="329"/>
      <c r="Y85" s="329"/>
      <c r="Z85" s="309"/>
      <c r="AA85" s="310"/>
      <c r="AB85" s="329"/>
      <c r="AC85" s="329"/>
      <c r="AD85" s="309"/>
      <c r="AE85" s="310"/>
      <c r="AF85" s="329"/>
      <c r="AG85" s="329"/>
      <c r="AH85" s="309"/>
      <c r="AI85" s="310"/>
      <c r="AJ85" s="329"/>
      <c r="AK85" s="329"/>
      <c r="AL85" s="309"/>
      <c r="AM85" s="310"/>
      <c r="AN85" s="329"/>
      <c r="AO85" s="329"/>
      <c r="AP85" s="309"/>
      <c r="AQ85" s="310"/>
      <c r="AR85" s="329"/>
      <c r="AS85" s="329"/>
      <c r="AT85" s="309"/>
      <c r="AU85" s="310"/>
      <c r="AV85" s="329"/>
      <c r="AW85" s="329"/>
      <c r="AX85" s="309"/>
      <c r="AY85" s="310"/>
      <c r="AZ85" s="329"/>
      <c r="BA85" s="329"/>
      <c r="BB85" s="309"/>
      <c r="BC85" s="310"/>
      <c r="BD85" s="329"/>
      <c r="BE85" s="329"/>
      <c r="BF85" s="309"/>
      <c r="BG85" s="310"/>
      <c r="BH85" s="329"/>
      <c r="BI85" s="329"/>
      <c r="BJ85" s="309"/>
      <c r="BK85" s="310"/>
      <c r="BL85" s="329"/>
      <c r="BM85" s="329"/>
      <c r="BN85" s="309"/>
      <c r="BO85" s="310"/>
      <c r="BP85" s="329"/>
      <c r="BQ85" s="329"/>
      <c r="BR85" s="309"/>
      <c r="BS85" s="310"/>
      <c r="BT85" s="329"/>
      <c r="BU85" s="329"/>
      <c r="BV85" s="309"/>
      <c r="BW85" s="310"/>
      <c r="BX85" s="329"/>
      <c r="BY85" s="329"/>
      <c r="BZ85" s="309"/>
      <c r="CA85" s="310"/>
      <c r="CB85" s="329"/>
      <c r="CC85" s="329"/>
      <c r="CD85" s="309"/>
      <c r="CE85" s="310"/>
      <c r="CF85" s="329"/>
      <c r="CG85" s="329"/>
      <c r="CH85" s="309"/>
      <c r="CI85" s="310"/>
      <c r="CJ85" s="329"/>
      <c r="CK85" s="329"/>
      <c r="CL85" s="309"/>
      <c r="CM85" s="310"/>
      <c r="CN85" s="329"/>
      <c r="CO85" s="329"/>
      <c r="CP85" s="309"/>
      <c r="CQ85" s="310"/>
      <c r="CR85" s="329"/>
      <c r="CS85" s="329"/>
      <c r="CT85" s="309"/>
      <c r="CU85" s="310"/>
      <c r="CV85" s="329"/>
      <c r="CW85" s="329"/>
      <c r="CX85" s="309"/>
      <c r="CY85" s="310"/>
      <c r="CZ85" s="329"/>
      <c r="DA85" s="329"/>
      <c r="DB85" s="309"/>
      <c r="DC85" s="310"/>
      <c r="DD85" s="329"/>
      <c r="DE85" s="329"/>
      <c r="DF85" s="309"/>
      <c r="DG85" s="310"/>
      <c r="DH85" s="329"/>
      <c r="DI85" s="329"/>
      <c r="DJ85" s="309"/>
      <c r="DK85" s="310"/>
      <c r="DL85" s="329"/>
      <c r="DM85" s="329"/>
      <c r="DN85" s="309"/>
      <c r="DO85" s="310"/>
      <c r="DP85" s="329"/>
      <c r="DQ85" s="329"/>
      <c r="DR85" s="309"/>
      <c r="DS85" s="310"/>
      <c r="DT85" s="329"/>
      <c r="DU85" s="329"/>
      <c r="DV85" s="309"/>
      <c r="DW85" s="310"/>
      <c r="DX85" s="329"/>
      <c r="DY85" s="329"/>
      <c r="DZ85" s="309"/>
      <c r="EA85" s="310"/>
      <c r="EB85" s="329"/>
      <c r="EC85" s="329"/>
      <c r="ED85" s="309"/>
      <c r="EE85" s="310"/>
      <c r="EF85" s="329"/>
      <c r="EG85" s="329"/>
      <c r="EH85" s="309"/>
      <c r="EI85" s="310"/>
      <c r="EJ85" s="329"/>
      <c r="EK85" s="329"/>
      <c r="EL85" s="309"/>
      <c r="EM85" s="310"/>
      <c r="EN85" s="329"/>
      <c r="EO85" s="329"/>
      <c r="EP85" s="309"/>
      <c r="EQ85" s="310"/>
      <c r="ER85" s="329"/>
      <c r="ES85" s="329"/>
      <c r="ET85" s="309"/>
      <c r="EU85" s="310"/>
      <c r="EV85" s="329"/>
      <c r="EW85" s="329"/>
      <c r="EX85" s="309"/>
      <c r="EY85" s="310"/>
      <c r="EZ85" s="329"/>
      <c r="FA85" s="329"/>
      <c r="FB85" s="309"/>
      <c r="FC85" s="310"/>
      <c r="FD85" s="329"/>
      <c r="FE85" s="329"/>
      <c r="FF85" s="309"/>
      <c r="FG85" s="310"/>
      <c r="FH85" s="329"/>
      <c r="FI85" s="329"/>
      <c r="FJ85" s="309"/>
      <c r="FK85" s="310"/>
      <c r="FL85" s="329"/>
      <c r="FM85" s="329"/>
      <c r="FN85" s="309"/>
      <c r="FO85" s="310"/>
      <c r="FP85" s="329"/>
      <c r="FQ85" s="329"/>
      <c r="FR85" s="309"/>
      <c r="FS85" s="310"/>
      <c r="FT85" s="329"/>
      <c r="FU85" s="329"/>
      <c r="FV85" s="309"/>
      <c r="FW85" s="310"/>
      <c r="FX85" s="329"/>
      <c r="FY85" s="329"/>
      <c r="FZ85" s="309"/>
      <c r="GA85" s="310"/>
      <c r="GB85" s="329"/>
      <c r="GC85" s="329"/>
      <c r="GD85" s="309"/>
      <c r="GE85" s="310"/>
      <c r="GF85" s="329"/>
      <c r="GG85" s="329"/>
      <c r="GH85" s="309"/>
      <c r="GI85" s="310"/>
      <c r="GJ85" s="329"/>
      <c r="GK85" s="329"/>
      <c r="GL85" s="309"/>
      <c r="GM85" s="310"/>
      <c r="GN85" s="329"/>
      <c r="GO85" s="329"/>
      <c r="GP85" s="309"/>
      <c r="GQ85" s="310"/>
      <c r="GR85" s="329"/>
      <c r="GS85" s="329"/>
      <c r="GT85" s="309"/>
      <c r="GU85" s="310"/>
      <c r="GV85" s="329"/>
      <c r="GW85" s="329"/>
      <c r="GX85" s="309"/>
      <c r="GY85" s="310"/>
      <c r="GZ85" s="329"/>
      <c r="HA85" s="329"/>
      <c r="HB85" s="309"/>
      <c r="HC85" s="312">
        <f t="shared" si="80"/>
        <v>0</v>
      </c>
      <c r="HD85" s="330"/>
      <c r="HE85" s="330"/>
      <c r="HF85" s="314"/>
      <c r="HG85" s="312">
        <f>SUM(SUMIFS(K85:HB85,$K$13:$HB$13,{"エネルギー管理指定工場等*","県域*"}))</f>
        <v>0</v>
      </c>
      <c r="HH85" s="330"/>
      <c r="HI85" s="330"/>
      <c r="HJ85" s="314"/>
      <c r="IE85" s="579"/>
      <c r="IF85" s="579"/>
      <c r="IG85" s="579"/>
      <c r="IH85" s="579"/>
    </row>
    <row r="86" spans="2:242" s="164" customFormat="1" ht="20.100000000000001" customHeight="1">
      <c r="B86" s="302"/>
      <c r="C86" s="319"/>
      <c r="D86" s="328" t="s">
        <v>615</v>
      </c>
      <c r="E86" s="335"/>
      <c r="F86" s="303" t="s">
        <v>610</v>
      </c>
      <c r="G86" s="306">
        <v>8.64</v>
      </c>
      <c r="H86" s="315"/>
      <c r="I86" s="310"/>
      <c r="J86" s="315"/>
      <c r="K86" s="310"/>
      <c r="L86" s="329"/>
      <c r="M86" s="329"/>
      <c r="N86" s="309"/>
      <c r="O86" s="310"/>
      <c r="P86" s="329"/>
      <c r="Q86" s="329"/>
      <c r="R86" s="309"/>
      <c r="S86" s="310"/>
      <c r="T86" s="329"/>
      <c r="U86" s="329"/>
      <c r="V86" s="309"/>
      <c r="W86" s="310"/>
      <c r="X86" s="329"/>
      <c r="Y86" s="329"/>
      <c r="Z86" s="309"/>
      <c r="AA86" s="310"/>
      <c r="AB86" s="329"/>
      <c r="AC86" s="329"/>
      <c r="AD86" s="309"/>
      <c r="AE86" s="310"/>
      <c r="AF86" s="329"/>
      <c r="AG86" s="329"/>
      <c r="AH86" s="309"/>
      <c r="AI86" s="310"/>
      <c r="AJ86" s="329"/>
      <c r="AK86" s="329"/>
      <c r="AL86" s="309"/>
      <c r="AM86" s="310"/>
      <c r="AN86" s="329"/>
      <c r="AO86" s="329"/>
      <c r="AP86" s="309"/>
      <c r="AQ86" s="310"/>
      <c r="AR86" s="329"/>
      <c r="AS86" s="329"/>
      <c r="AT86" s="309"/>
      <c r="AU86" s="310"/>
      <c r="AV86" s="329"/>
      <c r="AW86" s="329"/>
      <c r="AX86" s="309"/>
      <c r="AY86" s="310"/>
      <c r="AZ86" s="329"/>
      <c r="BA86" s="329"/>
      <c r="BB86" s="309"/>
      <c r="BC86" s="310"/>
      <c r="BD86" s="329"/>
      <c r="BE86" s="329"/>
      <c r="BF86" s="309"/>
      <c r="BG86" s="310"/>
      <c r="BH86" s="329"/>
      <c r="BI86" s="329"/>
      <c r="BJ86" s="309"/>
      <c r="BK86" s="310"/>
      <c r="BL86" s="329"/>
      <c r="BM86" s="329"/>
      <c r="BN86" s="309"/>
      <c r="BO86" s="310"/>
      <c r="BP86" s="329"/>
      <c r="BQ86" s="329"/>
      <c r="BR86" s="309"/>
      <c r="BS86" s="310"/>
      <c r="BT86" s="329"/>
      <c r="BU86" s="329"/>
      <c r="BV86" s="309"/>
      <c r="BW86" s="310"/>
      <c r="BX86" s="329"/>
      <c r="BY86" s="329"/>
      <c r="BZ86" s="309"/>
      <c r="CA86" s="310"/>
      <c r="CB86" s="329"/>
      <c r="CC86" s="329"/>
      <c r="CD86" s="309"/>
      <c r="CE86" s="310"/>
      <c r="CF86" s="329"/>
      <c r="CG86" s="329"/>
      <c r="CH86" s="309"/>
      <c r="CI86" s="310"/>
      <c r="CJ86" s="329"/>
      <c r="CK86" s="329"/>
      <c r="CL86" s="309"/>
      <c r="CM86" s="310"/>
      <c r="CN86" s="329"/>
      <c r="CO86" s="329"/>
      <c r="CP86" s="309"/>
      <c r="CQ86" s="310"/>
      <c r="CR86" s="329"/>
      <c r="CS86" s="329"/>
      <c r="CT86" s="309"/>
      <c r="CU86" s="310"/>
      <c r="CV86" s="329"/>
      <c r="CW86" s="329"/>
      <c r="CX86" s="309"/>
      <c r="CY86" s="310"/>
      <c r="CZ86" s="329"/>
      <c r="DA86" s="329"/>
      <c r="DB86" s="309"/>
      <c r="DC86" s="310"/>
      <c r="DD86" s="329"/>
      <c r="DE86" s="329"/>
      <c r="DF86" s="309"/>
      <c r="DG86" s="310"/>
      <c r="DH86" s="329"/>
      <c r="DI86" s="329"/>
      <c r="DJ86" s="309"/>
      <c r="DK86" s="310"/>
      <c r="DL86" s="329"/>
      <c r="DM86" s="329"/>
      <c r="DN86" s="309"/>
      <c r="DO86" s="310"/>
      <c r="DP86" s="329"/>
      <c r="DQ86" s="329"/>
      <c r="DR86" s="309"/>
      <c r="DS86" s="310"/>
      <c r="DT86" s="329"/>
      <c r="DU86" s="329"/>
      <c r="DV86" s="309"/>
      <c r="DW86" s="310"/>
      <c r="DX86" s="329"/>
      <c r="DY86" s="329"/>
      <c r="DZ86" s="309"/>
      <c r="EA86" s="310"/>
      <c r="EB86" s="329"/>
      <c r="EC86" s="329"/>
      <c r="ED86" s="309"/>
      <c r="EE86" s="310"/>
      <c r="EF86" s="329"/>
      <c r="EG86" s="329"/>
      <c r="EH86" s="309"/>
      <c r="EI86" s="310"/>
      <c r="EJ86" s="329"/>
      <c r="EK86" s="329"/>
      <c r="EL86" s="309"/>
      <c r="EM86" s="310"/>
      <c r="EN86" s="329"/>
      <c r="EO86" s="329"/>
      <c r="EP86" s="309"/>
      <c r="EQ86" s="310"/>
      <c r="ER86" s="329"/>
      <c r="ES86" s="329"/>
      <c r="ET86" s="309"/>
      <c r="EU86" s="310"/>
      <c r="EV86" s="329"/>
      <c r="EW86" s="329"/>
      <c r="EX86" s="309"/>
      <c r="EY86" s="310"/>
      <c r="EZ86" s="329"/>
      <c r="FA86" s="329"/>
      <c r="FB86" s="309"/>
      <c r="FC86" s="310"/>
      <c r="FD86" s="329"/>
      <c r="FE86" s="329"/>
      <c r="FF86" s="309"/>
      <c r="FG86" s="310"/>
      <c r="FH86" s="329"/>
      <c r="FI86" s="329"/>
      <c r="FJ86" s="309"/>
      <c r="FK86" s="310"/>
      <c r="FL86" s="329"/>
      <c r="FM86" s="329"/>
      <c r="FN86" s="309"/>
      <c r="FO86" s="310"/>
      <c r="FP86" s="329"/>
      <c r="FQ86" s="329"/>
      <c r="FR86" s="309"/>
      <c r="FS86" s="310"/>
      <c r="FT86" s="329"/>
      <c r="FU86" s="329"/>
      <c r="FV86" s="309"/>
      <c r="FW86" s="310"/>
      <c r="FX86" s="329"/>
      <c r="FY86" s="329"/>
      <c r="FZ86" s="309"/>
      <c r="GA86" s="310"/>
      <c r="GB86" s="329"/>
      <c r="GC86" s="329"/>
      <c r="GD86" s="309"/>
      <c r="GE86" s="310"/>
      <c r="GF86" s="329"/>
      <c r="GG86" s="329"/>
      <c r="GH86" s="309"/>
      <c r="GI86" s="310"/>
      <c r="GJ86" s="329"/>
      <c r="GK86" s="329"/>
      <c r="GL86" s="309"/>
      <c r="GM86" s="310"/>
      <c r="GN86" s="329"/>
      <c r="GO86" s="329"/>
      <c r="GP86" s="309"/>
      <c r="GQ86" s="310"/>
      <c r="GR86" s="329"/>
      <c r="GS86" s="329"/>
      <c r="GT86" s="309"/>
      <c r="GU86" s="310"/>
      <c r="GV86" s="329"/>
      <c r="GW86" s="329"/>
      <c r="GX86" s="309"/>
      <c r="GY86" s="310"/>
      <c r="GZ86" s="329"/>
      <c r="HA86" s="329"/>
      <c r="HB86" s="309"/>
      <c r="HC86" s="312">
        <f t="shared" si="80"/>
        <v>0</v>
      </c>
      <c r="HD86" s="330"/>
      <c r="HE86" s="330"/>
      <c r="HF86" s="314"/>
      <c r="HG86" s="312">
        <f>SUM(SUMIFS(K86:HB86,$K$13:$HB$13,{"エネルギー管理指定工場等*","県域*"}))</f>
        <v>0</v>
      </c>
      <c r="HH86" s="330"/>
      <c r="HI86" s="330"/>
      <c r="HJ86" s="314"/>
      <c r="IE86" s="579"/>
      <c r="IF86" s="579"/>
      <c r="IG86" s="579"/>
      <c r="IH86" s="579"/>
    </row>
    <row r="87" spans="2:242" s="164" customFormat="1" ht="20.100000000000001" customHeight="1">
      <c r="B87" s="302"/>
      <c r="C87" s="319"/>
      <c r="D87" s="355"/>
      <c r="E87" s="333" t="s">
        <v>616</v>
      </c>
      <c r="F87" s="303" t="s">
        <v>610</v>
      </c>
      <c r="G87" s="306">
        <v>8.64</v>
      </c>
      <c r="H87" s="315"/>
      <c r="I87" s="308"/>
      <c r="J87" s="309"/>
      <c r="K87" s="310"/>
      <c r="L87" s="329"/>
      <c r="M87" s="329"/>
      <c r="N87" s="309"/>
      <c r="O87" s="310"/>
      <c r="P87" s="329"/>
      <c r="Q87" s="329"/>
      <c r="R87" s="309"/>
      <c r="S87" s="310"/>
      <c r="T87" s="329"/>
      <c r="U87" s="329"/>
      <c r="V87" s="309"/>
      <c r="W87" s="310"/>
      <c r="X87" s="329"/>
      <c r="Y87" s="329"/>
      <c r="Z87" s="309"/>
      <c r="AA87" s="310"/>
      <c r="AB87" s="329"/>
      <c r="AC87" s="329"/>
      <c r="AD87" s="309"/>
      <c r="AE87" s="310"/>
      <c r="AF87" s="329"/>
      <c r="AG87" s="329"/>
      <c r="AH87" s="309"/>
      <c r="AI87" s="310"/>
      <c r="AJ87" s="329"/>
      <c r="AK87" s="329"/>
      <c r="AL87" s="309"/>
      <c r="AM87" s="310"/>
      <c r="AN87" s="329"/>
      <c r="AO87" s="329"/>
      <c r="AP87" s="309"/>
      <c r="AQ87" s="310"/>
      <c r="AR87" s="329"/>
      <c r="AS87" s="329"/>
      <c r="AT87" s="309"/>
      <c r="AU87" s="310"/>
      <c r="AV87" s="329"/>
      <c r="AW87" s="329"/>
      <c r="AX87" s="309"/>
      <c r="AY87" s="310"/>
      <c r="AZ87" s="329"/>
      <c r="BA87" s="329"/>
      <c r="BB87" s="309"/>
      <c r="BC87" s="310"/>
      <c r="BD87" s="329"/>
      <c r="BE87" s="329"/>
      <c r="BF87" s="309"/>
      <c r="BG87" s="310"/>
      <c r="BH87" s="329"/>
      <c r="BI87" s="329"/>
      <c r="BJ87" s="309"/>
      <c r="BK87" s="310"/>
      <c r="BL87" s="329"/>
      <c r="BM87" s="329"/>
      <c r="BN87" s="309"/>
      <c r="BO87" s="310"/>
      <c r="BP87" s="329"/>
      <c r="BQ87" s="329"/>
      <c r="BR87" s="309"/>
      <c r="BS87" s="310"/>
      <c r="BT87" s="329"/>
      <c r="BU87" s="329"/>
      <c r="BV87" s="309"/>
      <c r="BW87" s="310"/>
      <c r="BX87" s="329"/>
      <c r="BY87" s="329"/>
      <c r="BZ87" s="309"/>
      <c r="CA87" s="310"/>
      <c r="CB87" s="329"/>
      <c r="CC87" s="329"/>
      <c r="CD87" s="309"/>
      <c r="CE87" s="310"/>
      <c r="CF87" s="329"/>
      <c r="CG87" s="329"/>
      <c r="CH87" s="309"/>
      <c r="CI87" s="310"/>
      <c r="CJ87" s="329"/>
      <c r="CK87" s="329"/>
      <c r="CL87" s="309"/>
      <c r="CM87" s="310"/>
      <c r="CN87" s="329"/>
      <c r="CO87" s="329"/>
      <c r="CP87" s="309"/>
      <c r="CQ87" s="310"/>
      <c r="CR87" s="329"/>
      <c r="CS87" s="329"/>
      <c r="CT87" s="309"/>
      <c r="CU87" s="310"/>
      <c r="CV87" s="329"/>
      <c r="CW87" s="329"/>
      <c r="CX87" s="309"/>
      <c r="CY87" s="310"/>
      <c r="CZ87" s="329"/>
      <c r="DA87" s="329"/>
      <c r="DB87" s="309"/>
      <c r="DC87" s="310"/>
      <c r="DD87" s="329"/>
      <c r="DE87" s="329"/>
      <c r="DF87" s="309"/>
      <c r="DG87" s="310"/>
      <c r="DH87" s="329"/>
      <c r="DI87" s="329"/>
      <c r="DJ87" s="309"/>
      <c r="DK87" s="310"/>
      <c r="DL87" s="329"/>
      <c r="DM87" s="329"/>
      <c r="DN87" s="309"/>
      <c r="DO87" s="310"/>
      <c r="DP87" s="329"/>
      <c r="DQ87" s="329"/>
      <c r="DR87" s="309"/>
      <c r="DS87" s="310"/>
      <c r="DT87" s="329"/>
      <c r="DU87" s="329"/>
      <c r="DV87" s="309"/>
      <c r="DW87" s="310"/>
      <c r="DX87" s="329"/>
      <c r="DY87" s="329"/>
      <c r="DZ87" s="309"/>
      <c r="EA87" s="310"/>
      <c r="EB87" s="329"/>
      <c r="EC87" s="329"/>
      <c r="ED87" s="309"/>
      <c r="EE87" s="310"/>
      <c r="EF87" s="329"/>
      <c r="EG87" s="329"/>
      <c r="EH87" s="309"/>
      <c r="EI87" s="310"/>
      <c r="EJ87" s="329"/>
      <c r="EK87" s="329"/>
      <c r="EL87" s="309"/>
      <c r="EM87" s="310"/>
      <c r="EN87" s="329"/>
      <c r="EO87" s="329"/>
      <c r="EP87" s="309"/>
      <c r="EQ87" s="310"/>
      <c r="ER87" s="329"/>
      <c r="ES87" s="329"/>
      <c r="ET87" s="309"/>
      <c r="EU87" s="310"/>
      <c r="EV87" s="329"/>
      <c r="EW87" s="329"/>
      <c r="EX87" s="309"/>
      <c r="EY87" s="310"/>
      <c r="EZ87" s="329"/>
      <c r="FA87" s="329"/>
      <c r="FB87" s="309"/>
      <c r="FC87" s="310"/>
      <c r="FD87" s="329"/>
      <c r="FE87" s="329"/>
      <c r="FF87" s="309"/>
      <c r="FG87" s="310"/>
      <c r="FH87" s="329"/>
      <c r="FI87" s="329"/>
      <c r="FJ87" s="309"/>
      <c r="FK87" s="310"/>
      <c r="FL87" s="329"/>
      <c r="FM87" s="329"/>
      <c r="FN87" s="309"/>
      <c r="FO87" s="310"/>
      <c r="FP87" s="329"/>
      <c r="FQ87" s="329"/>
      <c r="FR87" s="309"/>
      <c r="FS87" s="310"/>
      <c r="FT87" s="329"/>
      <c r="FU87" s="329"/>
      <c r="FV87" s="309"/>
      <c r="FW87" s="310"/>
      <c r="FX87" s="329"/>
      <c r="FY87" s="329"/>
      <c r="FZ87" s="309"/>
      <c r="GA87" s="310"/>
      <c r="GB87" s="329"/>
      <c r="GC87" s="329"/>
      <c r="GD87" s="309"/>
      <c r="GE87" s="310"/>
      <c r="GF87" s="329"/>
      <c r="GG87" s="329"/>
      <c r="GH87" s="309"/>
      <c r="GI87" s="310"/>
      <c r="GJ87" s="329"/>
      <c r="GK87" s="329"/>
      <c r="GL87" s="309"/>
      <c r="GM87" s="310"/>
      <c r="GN87" s="329"/>
      <c r="GO87" s="329"/>
      <c r="GP87" s="309"/>
      <c r="GQ87" s="310"/>
      <c r="GR87" s="329"/>
      <c r="GS87" s="329"/>
      <c r="GT87" s="309"/>
      <c r="GU87" s="310"/>
      <c r="GV87" s="329"/>
      <c r="GW87" s="329"/>
      <c r="GX87" s="309"/>
      <c r="GY87" s="310"/>
      <c r="GZ87" s="329"/>
      <c r="HA87" s="329"/>
      <c r="HB87" s="309"/>
      <c r="HC87" s="312">
        <f t="shared" si="80"/>
        <v>0</v>
      </c>
      <c r="HD87" s="330"/>
      <c r="HE87" s="330"/>
      <c r="HF87" s="314"/>
      <c r="HG87" s="312">
        <f>SUM(SUMIFS(K87:HB87,$K$13:$HB$13,{"エネルギー管理指定工場等*","県域*"}))</f>
        <v>0</v>
      </c>
      <c r="HH87" s="330"/>
      <c r="HI87" s="330"/>
      <c r="HJ87" s="314"/>
      <c r="IE87" s="579"/>
      <c r="IF87" s="579"/>
      <c r="IG87" s="579"/>
      <c r="IH87" s="579"/>
    </row>
    <row r="88" spans="2:242" s="164" customFormat="1" ht="20.100000000000001" customHeight="1">
      <c r="B88" s="302"/>
      <c r="C88" s="319"/>
      <c r="D88" s="355"/>
      <c r="E88" s="356" t="s">
        <v>617</v>
      </c>
      <c r="F88" s="303" t="s">
        <v>610</v>
      </c>
      <c r="G88" s="306">
        <v>8.64</v>
      </c>
      <c r="H88" s="315"/>
      <c r="I88" s="308"/>
      <c r="J88" s="309"/>
      <c r="K88" s="310"/>
      <c r="L88" s="329"/>
      <c r="M88" s="329"/>
      <c r="N88" s="309"/>
      <c r="O88" s="310"/>
      <c r="P88" s="329"/>
      <c r="Q88" s="329"/>
      <c r="R88" s="309"/>
      <c r="S88" s="310"/>
      <c r="T88" s="329"/>
      <c r="U88" s="329"/>
      <c r="V88" s="309"/>
      <c r="W88" s="310"/>
      <c r="X88" s="329"/>
      <c r="Y88" s="329"/>
      <c r="Z88" s="309"/>
      <c r="AA88" s="310"/>
      <c r="AB88" s="329"/>
      <c r="AC88" s="329"/>
      <c r="AD88" s="309"/>
      <c r="AE88" s="310"/>
      <c r="AF88" s="329"/>
      <c r="AG88" s="329"/>
      <c r="AH88" s="309"/>
      <c r="AI88" s="310"/>
      <c r="AJ88" s="329"/>
      <c r="AK88" s="329"/>
      <c r="AL88" s="309"/>
      <c r="AM88" s="310"/>
      <c r="AN88" s="329"/>
      <c r="AO88" s="329"/>
      <c r="AP88" s="309"/>
      <c r="AQ88" s="310"/>
      <c r="AR88" s="329"/>
      <c r="AS88" s="329"/>
      <c r="AT88" s="309"/>
      <c r="AU88" s="310"/>
      <c r="AV88" s="329"/>
      <c r="AW88" s="329"/>
      <c r="AX88" s="309"/>
      <c r="AY88" s="310"/>
      <c r="AZ88" s="329"/>
      <c r="BA88" s="329"/>
      <c r="BB88" s="309"/>
      <c r="BC88" s="310"/>
      <c r="BD88" s="329"/>
      <c r="BE88" s="329"/>
      <c r="BF88" s="309"/>
      <c r="BG88" s="310"/>
      <c r="BH88" s="329"/>
      <c r="BI88" s="329"/>
      <c r="BJ88" s="309"/>
      <c r="BK88" s="310"/>
      <c r="BL88" s="329"/>
      <c r="BM88" s="329"/>
      <c r="BN88" s="309"/>
      <c r="BO88" s="310"/>
      <c r="BP88" s="329"/>
      <c r="BQ88" s="329"/>
      <c r="BR88" s="309"/>
      <c r="BS88" s="310"/>
      <c r="BT88" s="329"/>
      <c r="BU88" s="329"/>
      <c r="BV88" s="309"/>
      <c r="BW88" s="310"/>
      <c r="BX88" s="329"/>
      <c r="BY88" s="329"/>
      <c r="BZ88" s="309"/>
      <c r="CA88" s="310"/>
      <c r="CB88" s="329"/>
      <c r="CC88" s="329"/>
      <c r="CD88" s="309"/>
      <c r="CE88" s="310"/>
      <c r="CF88" s="329"/>
      <c r="CG88" s="329"/>
      <c r="CH88" s="309"/>
      <c r="CI88" s="310"/>
      <c r="CJ88" s="329"/>
      <c r="CK88" s="329"/>
      <c r="CL88" s="309"/>
      <c r="CM88" s="310"/>
      <c r="CN88" s="329"/>
      <c r="CO88" s="329"/>
      <c r="CP88" s="309"/>
      <c r="CQ88" s="310"/>
      <c r="CR88" s="329"/>
      <c r="CS88" s="329"/>
      <c r="CT88" s="309"/>
      <c r="CU88" s="310"/>
      <c r="CV88" s="329"/>
      <c r="CW88" s="329"/>
      <c r="CX88" s="309"/>
      <c r="CY88" s="310"/>
      <c r="CZ88" s="329"/>
      <c r="DA88" s="329"/>
      <c r="DB88" s="309"/>
      <c r="DC88" s="310"/>
      <c r="DD88" s="329"/>
      <c r="DE88" s="329"/>
      <c r="DF88" s="309"/>
      <c r="DG88" s="310"/>
      <c r="DH88" s="329"/>
      <c r="DI88" s="329"/>
      <c r="DJ88" s="309"/>
      <c r="DK88" s="310"/>
      <c r="DL88" s="329"/>
      <c r="DM88" s="329"/>
      <c r="DN88" s="309"/>
      <c r="DO88" s="310"/>
      <c r="DP88" s="329"/>
      <c r="DQ88" s="329"/>
      <c r="DR88" s="309"/>
      <c r="DS88" s="310"/>
      <c r="DT88" s="329"/>
      <c r="DU88" s="329"/>
      <c r="DV88" s="309"/>
      <c r="DW88" s="310"/>
      <c r="DX88" s="329"/>
      <c r="DY88" s="329"/>
      <c r="DZ88" s="309"/>
      <c r="EA88" s="310"/>
      <c r="EB88" s="329"/>
      <c r="EC88" s="329"/>
      <c r="ED88" s="309"/>
      <c r="EE88" s="310"/>
      <c r="EF88" s="329"/>
      <c r="EG88" s="329"/>
      <c r="EH88" s="309"/>
      <c r="EI88" s="310"/>
      <c r="EJ88" s="329"/>
      <c r="EK88" s="329"/>
      <c r="EL88" s="309"/>
      <c r="EM88" s="310"/>
      <c r="EN88" s="329"/>
      <c r="EO88" s="329"/>
      <c r="EP88" s="309"/>
      <c r="EQ88" s="310"/>
      <c r="ER88" s="329"/>
      <c r="ES88" s="329"/>
      <c r="ET88" s="309"/>
      <c r="EU88" s="310"/>
      <c r="EV88" s="329"/>
      <c r="EW88" s="329"/>
      <c r="EX88" s="309"/>
      <c r="EY88" s="310"/>
      <c r="EZ88" s="329"/>
      <c r="FA88" s="329"/>
      <c r="FB88" s="309"/>
      <c r="FC88" s="310"/>
      <c r="FD88" s="329"/>
      <c r="FE88" s="329"/>
      <c r="FF88" s="309"/>
      <c r="FG88" s="310"/>
      <c r="FH88" s="329"/>
      <c r="FI88" s="329"/>
      <c r="FJ88" s="309"/>
      <c r="FK88" s="310"/>
      <c r="FL88" s="329"/>
      <c r="FM88" s="329"/>
      <c r="FN88" s="309"/>
      <c r="FO88" s="310"/>
      <c r="FP88" s="329"/>
      <c r="FQ88" s="329"/>
      <c r="FR88" s="309"/>
      <c r="FS88" s="310"/>
      <c r="FT88" s="329"/>
      <c r="FU88" s="329"/>
      <c r="FV88" s="309"/>
      <c r="FW88" s="310"/>
      <c r="FX88" s="329"/>
      <c r="FY88" s="329"/>
      <c r="FZ88" s="309"/>
      <c r="GA88" s="310"/>
      <c r="GB88" s="329"/>
      <c r="GC88" s="329"/>
      <c r="GD88" s="309"/>
      <c r="GE88" s="310"/>
      <c r="GF88" s="329"/>
      <c r="GG88" s="329"/>
      <c r="GH88" s="309"/>
      <c r="GI88" s="310"/>
      <c r="GJ88" s="329"/>
      <c r="GK88" s="329"/>
      <c r="GL88" s="309"/>
      <c r="GM88" s="310"/>
      <c r="GN88" s="329"/>
      <c r="GO88" s="329"/>
      <c r="GP88" s="309"/>
      <c r="GQ88" s="310"/>
      <c r="GR88" s="329"/>
      <c r="GS88" s="329"/>
      <c r="GT88" s="309"/>
      <c r="GU88" s="310"/>
      <c r="GV88" s="329"/>
      <c r="GW88" s="329"/>
      <c r="GX88" s="309"/>
      <c r="GY88" s="310"/>
      <c r="GZ88" s="329"/>
      <c r="HA88" s="329"/>
      <c r="HB88" s="309"/>
      <c r="HC88" s="312">
        <f t="shared" si="80"/>
        <v>0</v>
      </c>
      <c r="HD88" s="330"/>
      <c r="HE88" s="330"/>
      <c r="HF88" s="314"/>
      <c r="HG88" s="312">
        <f>SUM(SUMIFS(K88:HB88,$K$13:$HB$13,{"エネルギー管理指定工場等*","県域*"}))</f>
        <v>0</v>
      </c>
      <c r="HH88" s="330"/>
      <c r="HI88" s="330"/>
      <c r="HJ88" s="314"/>
      <c r="IE88" s="579"/>
      <c r="IF88" s="579"/>
      <c r="IG88" s="579"/>
      <c r="IH88" s="579"/>
    </row>
    <row r="89" spans="2:242" s="164" customFormat="1" ht="20.100000000000001" customHeight="1">
      <c r="B89" s="302"/>
      <c r="C89" s="319"/>
      <c r="D89" s="328" t="s">
        <v>618</v>
      </c>
      <c r="E89" s="335"/>
      <c r="F89" s="303" t="s">
        <v>610</v>
      </c>
      <c r="G89" s="310"/>
      <c r="H89" s="315"/>
      <c r="I89" s="310"/>
      <c r="J89" s="315"/>
      <c r="K89" s="310"/>
      <c r="L89" s="329"/>
      <c r="M89" s="329"/>
      <c r="N89" s="309"/>
      <c r="O89" s="310"/>
      <c r="P89" s="329"/>
      <c r="Q89" s="329"/>
      <c r="R89" s="309"/>
      <c r="S89" s="310"/>
      <c r="T89" s="329"/>
      <c r="U89" s="329"/>
      <c r="V89" s="309"/>
      <c r="W89" s="310"/>
      <c r="X89" s="329"/>
      <c r="Y89" s="329"/>
      <c r="Z89" s="309"/>
      <c r="AA89" s="310"/>
      <c r="AB89" s="329"/>
      <c r="AC89" s="329"/>
      <c r="AD89" s="309"/>
      <c r="AE89" s="310"/>
      <c r="AF89" s="329"/>
      <c r="AG89" s="329"/>
      <c r="AH89" s="309"/>
      <c r="AI89" s="310"/>
      <c r="AJ89" s="329"/>
      <c r="AK89" s="329"/>
      <c r="AL89" s="309"/>
      <c r="AM89" s="310"/>
      <c r="AN89" s="329"/>
      <c r="AO89" s="329"/>
      <c r="AP89" s="309"/>
      <c r="AQ89" s="310"/>
      <c r="AR89" s="329"/>
      <c r="AS89" s="329"/>
      <c r="AT89" s="309"/>
      <c r="AU89" s="310"/>
      <c r="AV89" s="329"/>
      <c r="AW89" s="329"/>
      <c r="AX89" s="309"/>
      <c r="AY89" s="310"/>
      <c r="AZ89" s="329"/>
      <c r="BA89" s="329"/>
      <c r="BB89" s="309"/>
      <c r="BC89" s="310"/>
      <c r="BD89" s="329"/>
      <c r="BE89" s="329"/>
      <c r="BF89" s="309"/>
      <c r="BG89" s="310"/>
      <c r="BH89" s="329"/>
      <c r="BI89" s="329"/>
      <c r="BJ89" s="309"/>
      <c r="BK89" s="310"/>
      <c r="BL89" s="329"/>
      <c r="BM89" s="329"/>
      <c r="BN89" s="309"/>
      <c r="BO89" s="310"/>
      <c r="BP89" s="329"/>
      <c r="BQ89" s="329"/>
      <c r="BR89" s="309"/>
      <c r="BS89" s="310"/>
      <c r="BT89" s="329"/>
      <c r="BU89" s="329"/>
      <c r="BV89" s="309"/>
      <c r="BW89" s="310"/>
      <c r="BX89" s="329"/>
      <c r="BY89" s="329"/>
      <c r="BZ89" s="309"/>
      <c r="CA89" s="310"/>
      <c r="CB89" s="329"/>
      <c r="CC89" s="329"/>
      <c r="CD89" s="309"/>
      <c r="CE89" s="310"/>
      <c r="CF89" s="329"/>
      <c r="CG89" s="329"/>
      <c r="CH89" s="309"/>
      <c r="CI89" s="310"/>
      <c r="CJ89" s="329"/>
      <c r="CK89" s="329"/>
      <c r="CL89" s="309"/>
      <c r="CM89" s="310"/>
      <c r="CN89" s="329"/>
      <c r="CO89" s="329"/>
      <c r="CP89" s="309"/>
      <c r="CQ89" s="310"/>
      <c r="CR89" s="329"/>
      <c r="CS89" s="329"/>
      <c r="CT89" s="309"/>
      <c r="CU89" s="310"/>
      <c r="CV89" s="329"/>
      <c r="CW89" s="329"/>
      <c r="CX89" s="309"/>
      <c r="CY89" s="310"/>
      <c r="CZ89" s="329"/>
      <c r="DA89" s="329"/>
      <c r="DB89" s="309"/>
      <c r="DC89" s="310"/>
      <c r="DD89" s="329"/>
      <c r="DE89" s="329"/>
      <c r="DF89" s="309"/>
      <c r="DG89" s="310"/>
      <c r="DH89" s="329"/>
      <c r="DI89" s="329"/>
      <c r="DJ89" s="309"/>
      <c r="DK89" s="310"/>
      <c r="DL89" s="329"/>
      <c r="DM89" s="329"/>
      <c r="DN89" s="309"/>
      <c r="DO89" s="310"/>
      <c r="DP89" s="329"/>
      <c r="DQ89" s="329"/>
      <c r="DR89" s="309"/>
      <c r="DS89" s="310"/>
      <c r="DT89" s="329"/>
      <c r="DU89" s="329"/>
      <c r="DV89" s="309"/>
      <c r="DW89" s="310"/>
      <c r="DX89" s="329"/>
      <c r="DY89" s="329"/>
      <c r="DZ89" s="309"/>
      <c r="EA89" s="310"/>
      <c r="EB89" s="329"/>
      <c r="EC89" s="329"/>
      <c r="ED89" s="309"/>
      <c r="EE89" s="310"/>
      <c r="EF89" s="329"/>
      <c r="EG89" s="329"/>
      <c r="EH89" s="309"/>
      <c r="EI89" s="310"/>
      <c r="EJ89" s="329"/>
      <c r="EK89" s="329"/>
      <c r="EL89" s="309"/>
      <c r="EM89" s="310"/>
      <c r="EN89" s="329"/>
      <c r="EO89" s="329"/>
      <c r="EP89" s="309"/>
      <c r="EQ89" s="310"/>
      <c r="ER89" s="329"/>
      <c r="ES89" s="329"/>
      <c r="ET89" s="309"/>
      <c r="EU89" s="310"/>
      <c r="EV89" s="329"/>
      <c r="EW89" s="329"/>
      <c r="EX89" s="309"/>
      <c r="EY89" s="310"/>
      <c r="EZ89" s="329"/>
      <c r="FA89" s="329"/>
      <c r="FB89" s="309"/>
      <c r="FC89" s="310"/>
      <c r="FD89" s="329"/>
      <c r="FE89" s="329"/>
      <c r="FF89" s="309"/>
      <c r="FG89" s="310"/>
      <c r="FH89" s="329"/>
      <c r="FI89" s="329"/>
      <c r="FJ89" s="309"/>
      <c r="FK89" s="310"/>
      <c r="FL89" s="329"/>
      <c r="FM89" s="329"/>
      <c r="FN89" s="309"/>
      <c r="FO89" s="310"/>
      <c r="FP89" s="329"/>
      <c r="FQ89" s="329"/>
      <c r="FR89" s="309"/>
      <c r="FS89" s="310"/>
      <c r="FT89" s="329"/>
      <c r="FU89" s="329"/>
      <c r="FV89" s="309"/>
      <c r="FW89" s="310"/>
      <c r="FX89" s="329"/>
      <c r="FY89" s="329"/>
      <c r="FZ89" s="309"/>
      <c r="GA89" s="310"/>
      <c r="GB89" s="329"/>
      <c r="GC89" s="329"/>
      <c r="GD89" s="309"/>
      <c r="GE89" s="310"/>
      <c r="GF89" s="329"/>
      <c r="GG89" s="329"/>
      <c r="GH89" s="309"/>
      <c r="GI89" s="310"/>
      <c r="GJ89" s="329"/>
      <c r="GK89" s="329"/>
      <c r="GL89" s="309"/>
      <c r="GM89" s="310"/>
      <c r="GN89" s="329"/>
      <c r="GO89" s="329"/>
      <c r="GP89" s="309"/>
      <c r="GQ89" s="310"/>
      <c r="GR89" s="329"/>
      <c r="GS89" s="329"/>
      <c r="GT89" s="309"/>
      <c r="GU89" s="310"/>
      <c r="GV89" s="329"/>
      <c r="GW89" s="329"/>
      <c r="GX89" s="309"/>
      <c r="GY89" s="310"/>
      <c r="GZ89" s="329"/>
      <c r="HA89" s="329"/>
      <c r="HB89" s="309"/>
      <c r="HC89" s="312">
        <f t="shared" si="80"/>
        <v>0</v>
      </c>
      <c r="HD89" s="330"/>
      <c r="HE89" s="330"/>
      <c r="HF89" s="314"/>
      <c r="HG89" s="312">
        <f>SUM(SUMIFS(K89:HB89,$K$13:$HB$13,{"エネルギー管理指定工場等*","県域*"}))</f>
        <v>0</v>
      </c>
      <c r="HH89" s="330"/>
      <c r="HI89" s="330"/>
      <c r="HJ89" s="314"/>
      <c r="IE89" s="579"/>
      <c r="IF89" s="579"/>
      <c r="IG89" s="579"/>
      <c r="IH89" s="579"/>
    </row>
    <row r="90" spans="2:242" s="164" customFormat="1" ht="20.100000000000001" customHeight="1">
      <c r="B90" s="302"/>
      <c r="C90" s="319"/>
      <c r="D90" s="355"/>
      <c r="E90" s="333" t="s">
        <v>616</v>
      </c>
      <c r="F90" s="303" t="s">
        <v>610</v>
      </c>
      <c r="G90" s="310"/>
      <c r="H90" s="315"/>
      <c r="I90" s="308"/>
      <c r="J90" s="309"/>
      <c r="K90" s="310"/>
      <c r="L90" s="329"/>
      <c r="M90" s="329"/>
      <c r="N90" s="309"/>
      <c r="O90" s="310"/>
      <c r="P90" s="329"/>
      <c r="Q90" s="329"/>
      <c r="R90" s="309"/>
      <c r="S90" s="310"/>
      <c r="T90" s="329"/>
      <c r="U90" s="329"/>
      <c r="V90" s="309"/>
      <c r="W90" s="310"/>
      <c r="X90" s="329"/>
      <c r="Y90" s="329"/>
      <c r="Z90" s="309"/>
      <c r="AA90" s="310"/>
      <c r="AB90" s="329"/>
      <c r="AC90" s="329"/>
      <c r="AD90" s="309"/>
      <c r="AE90" s="310"/>
      <c r="AF90" s="329"/>
      <c r="AG90" s="329"/>
      <c r="AH90" s="309"/>
      <c r="AI90" s="310"/>
      <c r="AJ90" s="329"/>
      <c r="AK90" s="329"/>
      <c r="AL90" s="309"/>
      <c r="AM90" s="310"/>
      <c r="AN90" s="329"/>
      <c r="AO90" s="329"/>
      <c r="AP90" s="309"/>
      <c r="AQ90" s="310"/>
      <c r="AR90" s="329"/>
      <c r="AS90" s="329"/>
      <c r="AT90" s="309"/>
      <c r="AU90" s="310"/>
      <c r="AV90" s="329"/>
      <c r="AW90" s="329"/>
      <c r="AX90" s="309"/>
      <c r="AY90" s="310"/>
      <c r="AZ90" s="329"/>
      <c r="BA90" s="329"/>
      <c r="BB90" s="309"/>
      <c r="BC90" s="310"/>
      <c r="BD90" s="329"/>
      <c r="BE90" s="329"/>
      <c r="BF90" s="309"/>
      <c r="BG90" s="310"/>
      <c r="BH90" s="329"/>
      <c r="BI90" s="329"/>
      <c r="BJ90" s="309"/>
      <c r="BK90" s="310"/>
      <c r="BL90" s="329"/>
      <c r="BM90" s="329"/>
      <c r="BN90" s="309"/>
      <c r="BO90" s="310"/>
      <c r="BP90" s="329"/>
      <c r="BQ90" s="329"/>
      <c r="BR90" s="309"/>
      <c r="BS90" s="310"/>
      <c r="BT90" s="329"/>
      <c r="BU90" s="329"/>
      <c r="BV90" s="309"/>
      <c r="BW90" s="310"/>
      <c r="BX90" s="329"/>
      <c r="BY90" s="329"/>
      <c r="BZ90" s="309"/>
      <c r="CA90" s="310"/>
      <c r="CB90" s="329"/>
      <c r="CC90" s="329"/>
      <c r="CD90" s="309"/>
      <c r="CE90" s="310"/>
      <c r="CF90" s="329"/>
      <c r="CG90" s="329"/>
      <c r="CH90" s="309"/>
      <c r="CI90" s="310"/>
      <c r="CJ90" s="329"/>
      <c r="CK90" s="329"/>
      <c r="CL90" s="309"/>
      <c r="CM90" s="310"/>
      <c r="CN90" s="329"/>
      <c r="CO90" s="329"/>
      <c r="CP90" s="309"/>
      <c r="CQ90" s="310"/>
      <c r="CR90" s="329"/>
      <c r="CS90" s="329"/>
      <c r="CT90" s="309"/>
      <c r="CU90" s="310"/>
      <c r="CV90" s="329"/>
      <c r="CW90" s="329"/>
      <c r="CX90" s="309"/>
      <c r="CY90" s="310"/>
      <c r="CZ90" s="329"/>
      <c r="DA90" s="329"/>
      <c r="DB90" s="309"/>
      <c r="DC90" s="310"/>
      <c r="DD90" s="329"/>
      <c r="DE90" s="329"/>
      <c r="DF90" s="309"/>
      <c r="DG90" s="310"/>
      <c r="DH90" s="329"/>
      <c r="DI90" s="329"/>
      <c r="DJ90" s="309"/>
      <c r="DK90" s="310"/>
      <c r="DL90" s="329"/>
      <c r="DM90" s="329"/>
      <c r="DN90" s="309"/>
      <c r="DO90" s="310"/>
      <c r="DP90" s="329"/>
      <c r="DQ90" s="329"/>
      <c r="DR90" s="309"/>
      <c r="DS90" s="310"/>
      <c r="DT90" s="329"/>
      <c r="DU90" s="329"/>
      <c r="DV90" s="309"/>
      <c r="DW90" s="310"/>
      <c r="DX90" s="329"/>
      <c r="DY90" s="329"/>
      <c r="DZ90" s="309"/>
      <c r="EA90" s="310"/>
      <c r="EB90" s="329"/>
      <c r="EC90" s="329"/>
      <c r="ED90" s="309"/>
      <c r="EE90" s="310"/>
      <c r="EF90" s="329"/>
      <c r="EG90" s="329"/>
      <c r="EH90" s="309"/>
      <c r="EI90" s="310"/>
      <c r="EJ90" s="329"/>
      <c r="EK90" s="329"/>
      <c r="EL90" s="309"/>
      <c r="EM90" s="310"/>
      <c r="EN90" s="329"/>
      <c r="EO90" s="329"/>
      <c r="EP90" s="309"/>
      <c r="EQ90" s="310"/>
      <c r="ER90" s="329"/>
      <c r="ES90" s="329"/>
      <c r="ET90" s="309"/>
      <c r="EU90" s="310"/>
      <c r="EV90" s="329"/>
      <c r="EW90" s="329"/>
      <c r="EX90" s="309"/>
      <c r="EY90" s="310"/>
      <c r="EZ90" s="329"/>
      <c r="FA90" s="329"/>
      <c r="FB90" s="309"/>
      <c r="FC90" s="310"/>
      <c r="FD90" s="329"/>
      <c r="FE90" s="329"/>
      <c r="FF90" s="309"/>
      <c r="FG90" s="310"/>
      <c r="FH90" s="329"/>
      <c r="FI90" s="329"/>
      <c r="FJ90" s="309"/>
      <c r="FK90" s="310"/>
      <c r="FL90" s="329"/>
      <c r="FM90" s="329"/>
      <c r="FN90" s="309"/>
      <c r="FO90" s="310"/>
      <c r="FP90" s="329"/>
      <c r="FQ90" s="329"/>
      <c r="FR90" s="309"/>
      <c r="FS90" s="310"/>
      <c r="FT90" s="329"/>
      <c r="FU90" s="329"/>
      <c r="FV90" s="309"/>
      <c r="FW90" s="310"/>
      <c r="FX90" s="329"/>
      <c r="FY90" s="329"/>
      <c r="FZ90" s="309"/>
      <c r="GA90" s="310"/>
      <c r="GB90" s="329"/>
      <c r="GC90" s="329"/>
      <c r="GD90" s="309"/>
      <c r="GE90" s="310"/>
      <c r="GF90" s="329"/>
      <c r="GG90" s="329"/>
      <c r="GH90" s="309"/>
      <c r="GI90" s="310"/>
      <c r="GJ90" s="329"/>
      <c r="GK90" s="329"/>
      <c r="GL90" s="309"/>
      <c r="GM90" s="310"/>
      <c r="GN90" s="329"/>
      <c r="GO90" s="329"/>
      <c r="GP90" s="309"/>
      <c r="GQ90" s="310"/>
      <c r="GR90" s="329"/>
      <c r="GS90" s="329"/>
      <c r="GT90" s="309"/>
      <c r="GU90" s="310"/>
      <c r="GV90" s="329"/>
      <c r="GW90" s="329"/>
      <c r="GX90" s="309"/>
      <c r="GY90" s="310"/>
      <c r="GZ90" s="329"/>
      <c r="HA90" s="329"/>
      <c r="HB90" s="309"/>
      <c r="HC90" s="312">
        <f t="shared" si="80"/>
        <v>0</v>
      </c>
      <c r="HD90" s="330"/>
      <c r="HE90" s="330"/>
      <c r="HF90" s="314"/>
      <c r="HG90" s="312">
        <f>SUM(SUMIFS(K90:HB90,$K$13:$HB$13,{"エネルギー管理指定工場等*","県域*"}))</f>
        <v>0</v>
      </c>
      <c r="HH90" s="330"/>
      <c r="HI90" s="330"/>
      <c r="HJ90" s="314"/>
      <c r="IE90" s="579"/>
      <c r="IF90" s="579"/>
      <c r="IG90" s="579"/>
      <c r="IH90" s="579"/>
    </row>
    <row r="91" spans="2:242" s="164" customFormat="1" ht="20.100000000000001" customHeight="1">
      <c r="B91" s="302"/>
      <c r="C91" s="319"/>
      <c r="D91" s="355"/>
      <c r="E91" s="333" t="s">
        <v>617</v>
      </c>
      <c r="F91" s="303" t="s">
        <v>610</v>
      </c>
      <c r="G91" s="310"/>
      <c r="H91" s="315"/>
      <c r="I91" s="308"/>
      <c r="J91" s="309"/>
      <c r="K91" s="310"/>
      <c r="L91" s="329"/>
      <c r="M91" s="329"/>
      <c r="N91" s="309"/>
      <c r="O91" s="310"/>
      <c r="P91" s="329"/>
      <c r="Q91" s="329"/>
      <c r="R91" s="309"/>
      <c r="S91" s="310"/>
      <c r="T91" s="329"/>
      <c r="U91" s="329"/>
      <c r="V91" s="309"/>
      <c r="W91" s="310"/>
      <c r="X91" s="329"/>
      <c r="Y91" s="329"/>
      <c r="Z91" s="309"/>
      <c r="AA91" s="310"/>
      <c r="AB91" s="329"/>
      <c r="AC91" s="329"/>
      <c r="AD91" s="309"/>
      <c r="AE91" s="310"/>
      <c r="AF91" s="329"/>
      <c r="AG91" s="329"/>
      <c r="AH91" s="309"/>
      <c r="AI91" s="310"/>
      <c r="AJ91" s="329"/>
      <c r="AK91" s="329"/>
      <c r="AL91" s="309"/>
      <c r="AM91" s="310"/>
      <c r="AN91" s="329"/>
      <c r="AO91" s="329"/>
      <c r="AP91" s="309"/>
      <c r="AQ91" s="310"/>
      <c r="AR91" s="329"/>
      <c r="AS91" s="329"/>
      <c r="AT91" s="309"/>
      <c r="AU91" s="310"/>
      <c r="AV91" s="329"/>
      <c r="AW91" s="329"/>
      <c r="AX91" s="309"/>
      <c r="AY91" s="310"/>
      <c r="AZ91" s="329"/>
      <c r="BA91" s="329"/>
      <c r="BB91" s="309"/>
      <c r="BC91" s="310"/>
      <c r="BD91" s="329"/>
      <c r="BE91" s="329"/>
      <c r="BF91" s="309"/>
      <c r="BG91" s="310"/>
      <c r="BH91" s="329"/>
      <c r="BI91" s="329"/>
      <c r="BJ91" s="309"/>
      <c r="BK91" s="310"/>
      <c r="BL91" s="329"/>
      <c r="BM91" s="329"/>
      <c r="BN91" s="309"/>
      <c r="BO91" s="310"/>
      <c r="BP91" s="329"/>
      <c r="BQ91" s="329"/>
      <c r="BR91" s="309"/>
      <c r="BS91" s="310"/>
      <c r="BT91" s="329"/>
      <c r="BU91" s="329"/>
      <c r="BV91" s="309"/>
      <c r="BW91" s="310"/>
      <c r="BX91" s="329"/>
      <c r="BY91" s="329"/>
      <c r="BZ91" s="309"/>
      <c r="CA91" s="310"/>
      <c r="CB91" s="329"/>
      <c r="CC91" s="329"/>
      <c r="CD91" s="309"/>
      <c r="CE91" s="310"/>
      <c r="CF91" s="329"/>
      <c r="CG91" s="329"/>
      <c r="CH91" s="309"/>
      <c r="CI91" s="310"/>
      <c r="CJ91" s="329"/>
      <c r="CK91" s="329"/>
      <c r="CL91" s="309"/>
      <c r="CM91" s="310"/>
      <c r="CN91" s="329"/>
      <c r="CO91" s="329"/>
      <c r="CP91" s="309"/>
      <c r="CQ91" s="310"/>
      <c r="CR91" s="329"/>
      <c r="CS91" s="329"/>
      <c r="CT91" s="309"/>
      <c r="CU91" s="310"/>
      <c r="CV91" s="329"/>
      <c r="CW91" s="329"/>
      <c r="CX91" s="309"/>
      <c r="CY91" s="310"/>
      <c r="CZ91" s="329"/>
      <c r="DA91" s="329"/>
      <c r="DB91" s="309"/>
      <c r="DC91" s="310"/>
      <c r="DD91" s="329"/>
      <c r="DE91" s="329"/>
      <c r="DF91" s="309"/>
      <c r="DG91" s="310"/>
      <c r="DH91" s="329"/>
      <c r="DI91" s="329"/>
      <c r="DJ91" s="309"/>
      <c r="DK91" s="310"/>
      <c r="DL91" s="329"/>
      <c r="DM91" s="329"/>
      <c r="DN91" s="309"/>
      <c r="DO91" s="310"/>
      <c r="DP91" s="329"/>
      <c r="DQ91" s="329"/>
      <c r="DR91" s="309"/>
      <c r="DS91" s="310"/>
      <c r="DT91" s="329"/>
      <c r="DU91" s="329"/>
      <c r="DV91" s="309"/>
      <c r="DW91" s="310"/>
      <c r="DX91" s="329"/>
      <c r="DY91" s="329"/>
      <c r="DZ91" s="309"/>
      <c r="EA91" s="310"/>
      <c r="EB91" s="329"/>
      <c r="EC91" s="329"/>
      <c r="ED91" s="309"/>
      <c r="EE91" s="310"/>
      <c r="EF91" s="329"/>
      <c r="EG91" s="329"/>
      <c r="EH91" s="309"/>
      <c r="EI91" s="310"/>
      <c r="EJ91" s="329"/>
      <c r="EK91" s="329"/>
      <c r="EL91" s="309"/>
      <c r="EM91" s="310"/>
      <c r="EN91" s="329"/>
      <c r="EO91" s="329"/>
      <c r="EP91" s="309"/>
      <c r="EQ91" s="310"/>
      <c r="ER91" s="329"/>
      <c r="ES91" s="329"/>
      <c r="ET91" s="309"/>
      <c r="EU91" s="310"/>
      <c r="EV91" s="329"/>
      <c r="EW91" s="329"/>
      <c r="EX91" s="309"/>
      <c r="EY91" s="310"/>
      <c r="EZ91" s="329"/>
      <c r="FA91" s="329"/>
      <c r="FB91" s="309"/>
      <c r="FC91" s="310"/>
      <c r="FD91" s="329"/>
      <c r="FE91" s="329"/>
      <c r="FF91" s="309"/>
      <c r="FG91" s="310"/>
      <c r="FH91" s="329"/>
      <c r="FI91" s="329"/>
      <c r="FJ91" s="309"/>
      <c r="FK91" s="310"/>
      <c r="FL91" s="329"/>
      <c r="FM91" s="329"/>
      <c r="FN91" s="309"/>
      <c r="FO91" s="310"/>
      <c r="FP91" s="329"/>
      <c r="FQ91" s="329"/>
      <c r="FR91" s="309"/>
      <c r="FS91" s="310"/>
      <c r="FT91" s="329"/>
      <c r="FU91" s="329"/>
      <c r="FV91" s="309"/>
      <c r="FW91" s="310"/>
      <c r="FX91" s="329"/>
      <c r="FY91" s="329"/>
      <c r="FZ91" s="309"/>
      <c r="GA91" s="310"/>
      <c r="GB91" s="329"/>
      <c r="GC91" s="329"/>
      <c r="GD91" s="309"/>
      <c r="GE91" s="310"/>
      <c r="GF91" s="329"/>
      <c r="GG91" s="329"/>
      <c r="GH91" s="309"/>
      <c r="GI91" s="310"/>
      <c r="GJ91" s="329"/>
      <c r="GK91" s="329"/>
      <c r="GL91" s="309"/>
      <c r="GM91" s="310"/>
      <c r="GN91" s="329"/>
      <c r="GO91" s="329"/>
      <c r="GP91" s="309"/>
      <c r="GQ91" s="310"/>
      <c r="GR91" s="329"/>
      <c r="GS91" s="329"/>
      <c r="GT91" s="309"/>
      <c r="GU91" s="310"/>
      <c r="GV91" s="329"/>
      <c r="GW91" s="329"/>
      <c r="GX91" s="309"/>
      <c r="GY91" s="310"/>
      <c r="GZ91" s="329"/>
      <c r="HA91" s="329"/>
      <c r="HB91" s="309"/>
      <c r="HC91" s="312">
        <f t="shared" si="80"/>
        <v>0</v>
      </c>
      <c r="HD91" s="330"/>
      <c r="HE91" s="330"/>
      <c r="HF91" s="314"/>
      <c r="HG91" s="312">
        <f>SUM(SUMIFS(K91:HB91,$K$13:$HB$13,{"エネルギー管理指定工場等*","県域*"}))</f>
        <v>0</v>
      </c>
      <c r="HH91" s="330"/>
      <c r="HI91" s="330"/>
      <c r="HJ91" s="314"/>
      <c r="IE91" s="579"/>
      <c r="IF91" s="579"/>
      <c r="IG91" s="579"/>
      <c r="IH91" s="579"/>
    </row>
    <row r="92" spans="2:242" s="164" customFormat="1" ht="20.100000000000001" customHeight="1">
      <c r="B92" s="302"/>
      <c r="C92" s="317" t="s">
        <v>619</v>
      </c>
      <c r="D92" s="328" t="s">
        <v>620</v>
      </c>
      <c r="E92" s="357"/>
      <c r="F92" s="303" t="s">
        <v>610</v>
      </c>
      <c r="G92" s="306">
        <v>3.6</v>
      </c>
      <c r="H92" s="309"/>
      <c r="I92" s="310"/>
      <c r="J92" s="315"/>
      <c r="K92" s="310"/>
      <c r="L92" s="329"/>
      <c r="M92" s="311"/>
      <c r="N92" s="309"/>
      <c r="O92" s="310"/>
      <c r="P92" s="329"/>
      <c r="Q92" s="311"/>
      <c r="R92" s="309"/>
      <c r="S92" s="310"/>
      <c r="T92" s="329"/>
      <c r="U92" s="311"/>
      <c r="V92" s="309"/>
      <c r="W92" s="310"/>
      <c r="X92" s="329"/>
      <c r="Y92" s="311"/>
      <c r="Z92" s="309"/>
      <c r="AA92" s="310"/>
      <c r="AB92" s="329"/>
      <c r="AC92" s="311"/>
      <c r="AD92" s="309"/>
      <c r="AE92" s="310"/>
      <c r="AF92" s="329"/>
      <c r="AG92" s="311"/>
      <c r="AH92" s="309"/>
      <c r="AI92" s="310"/>
      <c r="AJ92" s="329"/>
      <c r="AK92" s="311"/>
      <c r="AL92" s="309"/>
      <c r="AM92" s="310"/>
      <c r="AN92" s="329"/>
      <c r="AO92" s="311"/>
      <c r="AP92" s="309"/>
      <c r="AQ92" s="310"/>
      <c r="AR92" s="329"/>
      <c r="AS92" s="311"/>
      <c r="AT92" s="309"/>
      <c r="AU92" s="310"/>
      <c r="AV92" s="329"/>
      <c r="AW92" s="311"/>
      <c r="AX92" s="309"/>
      <c r="AY92" s="310"/>
      <c r="AZ92" s="329"/>
      <c r="BA92" s="311"/>
      <c r="BB92" s="309"/>
      <c r="BC92" s="310"/>
      <c r="BD92" s="329"/>
      <c r="BE92" s="311"/>
      <c r="BF92" s="309"/>
      <c r="BG92" s="310"/>
      <c r="BH92" s="329"/>
      <c r="BI92" s="311"/>
      <c r="BJ92" s="309"/>
      <c r="BK92" s="310"/>
      <c r="BL92" s="329"/>
      <c r="BM92" s="311"/>
      <c r="BN92" s="309"/>
      <c r="BO92" s="310"/>
      <c r="BP92" s="329"/>
      <c r="BQ92" s="311"/>
      <c r="BR92" s="309"/>
      <c r="BS92" s="310"/>
      <c r="BT92" s="329"/>
      <c r="BU92" s="311"/>
      <c r="BV92" s="309"/>
      <c r="BW92" s="310"/>
      <c r="BX92" s="329"/>
      <c r="BY92" s="311"/>
      <c r="BZ92" s="309"/>
      <c r="CA92" s="310"/>
      <c r="CB92" s="329"/>
      <c r="CC92" s="311"/>
      <c r="CD92" s="309"/>
      <c r="CE92" s="310"/>
      <c r="CF92" s="329"/>
      <c r="CG92" s="311"/>
      <c r="CH92" s="309"/>
      <c r="CI92" s="310"/>
      <c r="CJ92" s="329"/>
      <c r="CK92" s="311"/>
      <c r="CL92" s="309"/>
      <c r="CM92" s="310"/>
      <c r="CN92" s="329"/>
      <c r="CO92" s="311"/>
      <c r="CP92" s="309"/>
      <c r="CQ92" s="310"/>
      <c r="CR92" s="329"/>
      <c r="CS92" s="311"/>
      <c r="CT92" s="309"/>
      <c r="CU92" s="310"/>
      <c r="CV92" s="329"/>
      <c r="CW92" s="311"/>
      <c r="CX92" s="309"/>
      <c r="CY92" s="310"/>
      <c r="CZ92" s="329"/>
      <c r="DA92" s="311"/>
      <c r="DB92" s="309"/>
      <c r="DC92" s="310"/>
      <c r="DD92" s="329"/>
      <c r="DE92" s="311"/>
      <c r="DF92" s="309"/>
      <c r="DG92" s="310"/>
      <c r="DH92" s="329"/>
      <c r="DI92" s="311"/>
      <c r="DJ92" s="309"/>
      <c r="DK92" s="310"/>
      <c r="DL92" s="329"/>
      <c r="DM92" s="311"/>
      <c r="DN92" s="309"/>
      <c r="DO92" s="310"/>
      <c r="DP92" s="329"/>
      <c r="DQ92" s="311"/>
      <c r="DR92" s="309"/>
      <c r="DS92" s="310"/>
      <c r="DT92" s="329"/>
      <c r="DU92" s="311"/>
      <c r="DV92" s="309"/>
      <c r="DW92" s="310"/>
      <c r="DX92" s="329"/>
      <c r="DY92" s="311"/>
      <c r="DZ92" s="309"/>
      <c r="EA92" s="310"/>
      <c r="EB92" s="329"/>
      <c r="EC92" s="311"/>
      <c r="ED92" s="309"/>
      <c r="EE92" s="310"/>
      <c r="EF92" s="329"/>
      <c r="EG92" s="311"/>
      <c r="EH92" s="309"/>
      <c r="EI92" s="310"/>
      <c r="EJ92" s="329"/>
      <c r="EK92" s="311"/>
      <c r="EL92" s="309"/>
      <c r="EM92" s="310"/>
      <c r="EN92" s="329"/>
      <c r="EO92" s="311"/>
      <c r="EP92" s="309"/>
      <c r="EQ92" s="310"/>
      <c r="ER92" s="329"/>
      <c r="ES92" s="311"/>
      <c r="ET92" s="309"/>
      <c r="EU92" s="310"/>
      <c r="EV92" s="329"/>
      <c r="EW92" s="311"/>
      <c r="EX92" s="309"/>
      <c r="EY92" s="310"/>
      <c r="EZ92" s="329"/>
      <c r="FA92" s="311"/>
      <c r="FB92" s="309"/>
      <c r="FC92" s="310"/>
      <c r="FD92" s="329"/>
      <c r="FE92" s="311"/>
      <c r="FF92" s="309"/>
      <c r="FG92" s="310"/>
      <c r="FH92" s="329"/>
      <c r="FI92" s="311"/>
      <c r="FJ92" s="309"/>
      <c r="FK92" s="310"/>
      <c r="FL92" s="329"/>
      <c r="FM92" s="311"/>
      <c r="FN92" s="309"/>
      <c r="FO92" s="310"/>
      <c r="FP92" s="329"/>
      <c r="FQ92" s="311"/>
      <c r="FR92" s="309"/>
      <c r="FS92" s="310"/>
      <c r="FT92" s="329"/>
      <c r="FU92" s="311"/>
      <c r="FV92" s="309"/>
      <c r="FW92" s="310"/>
      <c r="FX92" s="329"/>
      <c r="FY92" s="311"/>
      <c r="FZ92" s="309"/>
      <c r="GA92" s="310"/>
      <c r="GB92" s="329"/>
      <c r="GC92" s="311"/>
      <c r="GD92" s="309"/>
      <c r="GE92" s="310"/>
      <c r="GF92" s="329"/>
      <c r="GG92" s="311"/>
      <c r="GH92" s="309"/>
      <c r="GI92" s="310"/>
      <c r="GJ92" s="329"/>
      <c r="GK92" s="311"/>
      <c r="GL92" s="309"/>
      <c r="GM92" s="310"/>
      <c r="GN92" s="329"/>
      <c r="GO92" s="311"/>
      <c r="GP92" s="309"/>
      <c r="GQ92" s="310"/>
      <c r="GR92" s="329"/>
      <c r="GS92" s="311"/>
      <c r="GT92" s="309"/>
      <c r="GU92" s="310"/>
      <c r="GV92" s="329"/>
      <c r="GW92" s="311"/>
      <c r="GX92" s="309"/>
      <c r="GY92" s="310"/>
      <c r="GZ92" s="329"/>
      <c r="HA92" s="311"/>
      <c r="HB92" s="309"/>
      <c r="HC92" s="312">
        <f t="shared" si="80"/>
        <v>0</v>
      </c>
      <c r="HD92" s="330"/>
      <c r="HE92" s="313">
        <f t="shared" ref="HE92:HE107" si="81">M92+Q92+U92+Y92+AC92+AG92+AK92+AO92+AS92+AW92+BA92+BE92+BI92+BM92+BQ92+BU92+BY92+CC92+CG92+CK92+CO92+CS92+CW92+DA92+DE92+DI92+DM92+DQ92+DU92+DY92+EC92+EG92+EK92+EO92+ES92+EW92+FA92+FE92+FI92+FM92+FQ92+FU92+FY92+GC92+GG92+GK92+GO92+GS92+GW92+HA92</f>
        <v>0</v>
      </c>
      <c r="HF92" s="314"/>
      <c r="HG92" s="312">
        <f>SUM(SUMIFS(K92:HB92,$K$13:$HB$13,{"エネルギー管理指定工場等*","県域*"}))</f>
        <v>0</v>
      </c>
      <c r="HH92" s="330"/>
      <c r="HI92" s="313">
        <f>SUM(SUMIFS(M92:HD92,$K$13:$HB$13,{"エネルギー管理指定工場等*","県域*"}))</f>
        <v>0</v>
      </c>
      <c r="HJ92" s="314"/>
      <c r="IE92" s="579"/>
      <c r="IF92" s="579"/>
      <c r="IG92" s="579"/>
      <c r="IH92" s="579"/>
    </row>
    <row r="93" spans="2:242" s="164" customFormat="1" ht="20.100000000000001" customHeight="1">
      <c r="B93" s="302"/>
      <c r="C93" s="319"/>
      <c r="D93" s="346"/>
      <c r="E93" s="270"/>
      <c r="F93" s="303" t="s">
        <v>463</v>
      </c>
      <c r="G93" s="308"/>
      <c r="H93" s="309"/>
      <c r="I93" s="310"/>
      <c r="J93" s="315"/>
      <c r="K93" s="310"/>
      <c r="L93" s="329"/>
      <c r="M93" s="329"/>
      <c r="N93" s="309"/>
      <c r="O93" s="310"/>
      <c r="P93" s="329"/>
      <c r="Q93" s="329"/>
      <c r="R93" s="309"/>
      <c r="S93" s="310"/>
      <c r="T93" s="329"/>
      <c r="U93" s="329"/>
      <c r="V93" s="309"/>
      <c r="W93" s="310"/>
      <c r="X93" s="329"/>
      <c r="Y93" s="329"/>
      <c r="Z93" s="309"/>
      <c r="AA93" s="310"/>
      <c r="AB93" s="329"/>
      <c r="AC93" s="329"/>
      <c r="AD93" s="309"/>
      <c r="AE93" s="310"/>
      <c r="AF93" s="329"/>
      <c r="AG93" s="329"/>
      <c r="AH93" s="309"/>
      <c r="AI93" s="310"/>
      <c r="AJ93" s="329"/>
      <c r="AK93" s="329"/>
      <c r="AL93" s="309"/>
      <c r="AM93" s="310"/>
      <c r="AN93" s="329"/>
      <c r="AO93" s="329"/>
      <c r="AP93" s="309"/>
      <c r="AQ93" s="310"/>
      <c r="AR93" s="329"/>
      <c r="AS93" s="329"/>
      <c r="AT93" s="309"/>
      <c r="AU93" s="310"/>
      <c r="AV93" s="329"/>
      <c r="AW93" s="329"/>
      <c r="AX93" s="309"/>
      <c r="AY93" s="310"/>
      <c r="AZ93" s="329"/>
      <c r="BA93" s="329"/>
      <c r="BB93" s="309"/>
      <c r="BC93" s="310"/>
      <c r="BD93" s="329"/>
      <c r="BE93" s="329"/>
      <c r="BF93" s="309"/>
      <c r="BG93" s="310"/>
      <c r="BH93" s="329"/>
      <c r="BI93" s="329"/>
      <c r="BJ93" s="309"/>
      <c r="BK93" s="310"/>
      <c r="BL93" s="329"/>
      <c r="BM93" s="329"/>
      <c r="BN93" s="309"/>
      <c r="BO93" s="310"/>
      <c r="BP93" s="329"/>
      <c r="BQ93" s="329"/>
      <c r="BR93" s="309"/>
      <c r="BS93" s="310"/>
      <c r="BT93" s="329"/>
      <c r="BU93" s="329"/>
      <c r="BV93" s="309"/>
      <c r="BW93" s="310"/>
      <c r="BX93" s="329"/>
      <c r="BY93" s="329"/>
      <c r="BZ93" s="309"/>
      <c r="CA93" s="310"/>
      <c r="CB93" s="329"/>
      <c r="CC93" s="329"/>
      <c r="CD93" s="309"/>
      <c r="CE93" s="310"/>
      <c r="CF93" s="329"/>
      <c r="CG93" s="329"/>
      <c r="CH93" s="309"/>
      <c r="CI93" s="310"/>
      <c r="CJ93" s="329"/>
      <c r="CK93" s="329"/>
      <c r="CL93" s="309"/>
      <c r="CM93" s="310"/>
      <c r="CN93" s="329"/>
      <c r="CO93" s="329"/>
      <c r="CP93" s="309"/>
      <c r="CQ93" s="310"/>
      <c r="CR93" s="329"/>
      <c r="CS93" s="329"/>
      <c r="CT93" s="309"/>
      <c r="CU93" s="310"/>
      <c r="CV93" s="329"/>
      <c r="CW93" s="329"/>
      <c r="CX93" s="309"/>
      <c r="CY93" s="310"/>
      <c r="CZ93" s="329"/>
      <c r="DA93" s="329"/>
      <c r="DB93" s="309"/>
      <c r="DC93" s="310"/>
      <c r="DD93" s="329"/>
      <c r="DE93" s="329"/>
      <c r="DF93" s="309"/>
      <c r="DG93" s="310"/>
      <c r="DH93" s="329"/>
      <c r="DI93" s="329"/>
      <c r="DJ93" s="309"/>
      <c r="DK93" s="310"/>
      <c r="DL93" s="329"/>
      <c r="DM93" s="329"/>
      <c r="DN93" s="309"/>
      <c r="DO93" s="310"/>
      <c r="DP93" s="329"/>
      <c r="DQ93" s="329"/>
      <c r="DR93" s="309"/>
      <c r="DS93" s="310"/>
      <c r="DT93" s="329"/>
      <c r="DU93" s="329"/>
      <c r="DV93" s="309"/>
      <c r="DW93" s="310"/>
      <c r="DX93" s="329"/>
      <c r="DY93" s="329"/>
      <c r="DZ93" s="309"/>
      <c r="EA93" s="310"/>
      <c r="EB93" s="329"/>
      <c r="EC93" s="329"/>
      <c r="ED93" s="309"/>
      <c r="EE93" s="310"/>
      <c r="EF93" s="329"/>
      <c r="EG93" s="329"/>
      <c r="EH93" s="309"/>
      <c r="EI93" s="310"/>
      <c r="EJ93" s="329"/>
      <c r="EK93" s="329"/>
      <c r="EL93" s="309"/>
      <c r="EM93" s="310"/>
      <c r="EN93" s="329"/>
      <c r="EO93" s="329"/>
      <c r="EP93" s="309"/>
      <c r="EQ93" s="310"/>
      <c r="ER93" s="329"/>
      <c r="ES93" s="329"/>
      <c r="ET93" s="309"/>
      <c r="EU93" s="310"/>
      <c r="EV93" s="329"/>
      <c r="EW93" s="329"/>
      <c r="EX93" s="309"/>
      <c r="EY93" s="310"/>
      <c r="EZ93" s="329"/>
      <c r="FA93" s="329"/>
      <c r="FB93" s="309"/>
      <c r="FC93" s="310"/>
      <c r="FD93" s="329"/>
      <c r="FE93" s="329"/>
      <c r="FF93" s="309"/>
      <c r="FG93" s="310"/>
      <c r="FH93" s="329"/>
      <c r="FI93" s="329"/>
      <c r="FJ93" s="309"/>
      <c r="FK93" s="310"/>
      <c r="FL93" s="329"/>
      <c r="FM93" s="329"/>
      <c r="FN93" s="309"/>
      <c r="FO93" s="310"/>
      <c r="FP93" s="329"/>
      <c r="FQ93" s="329"/>
      <c r="FR93" s="309"/>
      <c r="FS93" s="310"/>
      <c r="FT93" s="329"/>
      <c r="FU93" s="329"/>
      <c r="FV93" s="309"/>
      <c r="FW93" s="310"/>
      <c r="FX93" s="329"/>
      <c r="FY93" s="329"/>
      <c r="FZ93" s="309"/>
      <c r="GA93" s="310"/>
      <c r="GB93" s="329"/>
      <c r="GC93" s="329"/>
      <c r="GD93" s="309"/>
      <c r="GE93" s="310"/>
      <c r="GF93" s="329"/>
      <c r="GG93" s="329"/>
      <c r="GH93" s="309"/>
      <c r="GI93" s="310"/>
      <c r="GJ93" s="329"/>
      <c r="GK93" s="329"/>
      <c r="GL93" s="309"/>
      <c r="GM93" s="310"/>
      <c r="GN93" s="329"/>
      <c r="GO93" s="329"/>
      <c r="GP93" s="309"/>
      <c r="GQ93" s="310"/>
      <c r="GR93" s="329"/>
      <c r="GS93" s="329"/>
      <c r="GT93" s="309"/>
      <c r="GU93" s="310"/>
      <c r="GV93" s="329"/>
      <c r="GW93" s="329"/>
      <c r="GX93" s="309"/>
      <c r="GY93" s="310"/>
      <c r="GZ93" s="329"/>
      <c r="HA93" s="329"/>
      <c r="HB93" s="309"/>
      <c r="HC93" s="312">
        <f t="shared" si="80"/>
        <v>0</v>
      </c>
      <c r="HD93" s="330"/>
      <c r="HE93" s="330"/>
      <c r="HF93" s="314"/>
      <c r="HG93" s="312">
        <f>SUM(SUMIFS(K93:HB93,$K$13:$HB$13,{"エネルギー管理指定工場等*","県域*"}))</f>
        <v>0</v>
      </c>
      <c r="HH93" s="330"/>
      <c r="HI93" s="330"/>
      <c r="HJ93" s="314"/>
      <c r="IE93" s="579"/>
      <c r="IF93" s="579"/>
      <c r="IG93" s="579"/>
      <c r="IH93" s="579"/>
    </row>
    <row r="94" spans="2:242" s="164" customFormat="1" ht="20.100000000000001" customHeight="1">
      <c r="B94" s="302"/>
      <c r="C94" s="319"/>
      <c r="D94" s="328" t="s">
        <v>621</v>
      </c>
      <c r="E94" s="357"/>
      <c r="F94" s="303" t="s">
        <v>610</v>
      </c>
      <c r="G94" s="306">
        <v>3.6</v>
      </c>
      <c r="H94" s="309"/>
      <c r="I94" s="310"/>
      <c r="J94" s="315"/>
      <c r="K94" s="310"/>
      <c r="L94" s="329"/>
      <c r="M94" s="311"/>
      <c r="N94" s="309"/>
      <c r="O94" s="310"/>
      <c r="P94" s="329"/>
      <c r="Q94" s="311"/>
      <c r="R94" s="309"/>
      <c r="S94" s="310"/>
      <c r="T94" s="329"/>
      <c r="U94" s="311"/>
      <c r="V94" s="309"/>
      <c r="W94" s="310"/>
      <c r="X94" s="329"/>
      <c r="Y94" s="311"/>
      <c r="Z94" s="309"/>
      <c r="AA94" s="310"/>
      <c r="AB94" s="329"/>
      <c r="AC94" s="311"/>
      <c r="AD94" s="309"/>
      <c r="AE94" s="310"/>
      <c r="AF94" s="329"/>
      <c r="AG94" s="311"/>
      <c r="AH94" s="309"/>
      <c r="AI94" s="310"/>
      <c r="AJ94" s="329"/>
      <c r="AK94" s="311"/>
      <c r="AL94" s="309"/>
      <c r="AM94" s="310"/>
      <c r="AN94" s="329"/>
      <c r="AO94" s="311"/>
      <c r="AP94" s="309"/>
      <c r="AQ94" s="310"/>
      <c r="AR94" s="329"/>
      <c r="AS94" s="311"/>
      <c r="AT94" s="309"/>
      <c r="AU94" s="310"/>
      <c r="AV94" s="329"/>
      <c r="AW94" s="311"/>
      <c r="AX94" s="309"/>
      <c r="AY94" s="310"/>
      <c r="AZ94" s="329"/>
      <c r="BA94" s="311"/>
      <c r="BB94" s="309"/>
      <c r="BC94" s="310"/>
      <c r="BD94" s="329"/>
      <c r="BE94" s="311"/>
      <c r="BF94" s="309"/>
      <c r="BG94" s="310"/>
      <c r="BH94" s="329"/>
      <c r="BI94" s="311"/>
      <c r="BJ94" s="309"/>
      <c r="BK94" s="310"/>
      <c r="BL94" s="329"/>
      <c r="BM94" s="311"/>
      <c r="BN94" s="309"/>
      <c r="BO94" s="310"/>
      <c r="BP94" s="329"/>
      <c r="BQ94" s="311"/>
      <c r="BR94" s="309"/>
      <c r="BS94" s="310"/>
      <c r="BT94" s="329"/>
      <c r="BU94" s="311"/>
      <c r="BV94" s="309"/>
      <c r="BW94" s="310"/>
      <c r="BX94" s="329"/>
      <c r="BY94" s="311"/>
      <c r="BZ94" s="309"/>
      <c r="CA94" s="310"/>
      <c r="CB94" s="329"/>
      <c r="CC94" s="311"/>
      <c r="CD94" s="309"/>
      <c r="CE94" s="310"/>
      <c r="CF94" s="329"/>
      <c r="CG94" s="311"/>
      <c r="CH94" s="309"/>
      <c r="CI94" s="310"/>
      <c r="CJ94" s="329"/>
      <c r="CK94" s="311"/>
      <c r="CL94" s="309"/>
      <c r="CM94" s="310"/>
      <c r="CN94" s="329"/>
      <c r="CO94" s="311"/>
      <c r="CP94" s="309"/>
      <c r="CQ94" s="310"/>
      <c r="CR94" s="329"/>
      <c r="CS94" s="311"/>
      <c r="CT94" s="309"/>
      <c r="CU94" s="310"/>
      <c r="CV94" s="329"/>
      <c r="CW94" s="311"/>
      <c r="CX94" s="309"/>
      <c r="CY94" s="310"/>
      <c r="CZ94" s="329"/>
      <c r="DA94" s="311"/>
      <c r="DB94" s="309"/>
      <c r="DC94" s="310"/>
      <c r="DD94" s="329"/>
      <c r="DE94" s="311"/>
      <c r="DF94" s="309"/>
      <c r="DG94" s="310"/>
      <c r="DH94" s="329"/>
      <c r="DI94" s="311"/>
      <c r="DJ94" s="309"/>
      <c r="DK94" s="310"/>
      <c r="DL94" s="329"/>
      <c r="DM94" s="311"/>
      <c r="DN94" s="309"/>
      <c r="DO94" s="310"/>
      <c r="DP94" s="329"/>
      <c r="DQ94" s="311"/>
      <c r="DR94" s="309"/>
      <c r="DS94" s="310"/>
      <c r="DT94" s="329"/>
      <c r="DU94" s="311"/>
      <c r="DV94" s="309"/>
      <c r="DW94" s="310"/>
      <c r="DX94" s="329"/>
      <c r="DY94" s="311"/>
      <c r="DZ94" s="309"/>
      <c r="EA94" s="310"/>
      <c r="EB94" s="329"/>
      <c r="EC94" s="311"/>
      <c r="ED94" s="309"/>
      <c r="EE94" s="310"/>
      <c r="EF94" s="329"/>
      <c r="EG94" s="311"/>
      <c r="EH94" s="309"/>
      <c r="EI94" s="310"/>
      <c r="EJ94" s="329"/>
      <c r="EK94" s="311"/>
      <c r="EL94" s="309"/>
      <c r="EM94" s="310"/>
      <c r="EN94" s="329"/>
      <c r="EO94" s="311"/>
      <c r="EP94" s="309"/>
      <c r="EQ94" s="310"/>
      <c r="ER94" s="329"/>
      <c r="ES94" s="311"/>
      <c r="ET94" s="309"/>
      <c r="EU94" s="310"/>
      <c r="EV94" s="329"/>
      <c r="EW94" s="311"/>
      <c r="EX94" s="309"/>
      <c r="EY94" s="310"/>
      <c r="EZ94" s="329"/>
      <c r="FA94" s="311"/>
      <c r="FB94" s="309"/>
      <c r="FC94" s="310"/>
      <c r="FD94" s="329"/>
      <c r="FE94" s="311"/>
      <c r="FF94" s="309"/>
      <c r="FG94" s="310"/>
      <c r="FH94" s="329"/>
      <c r="FI94" s="311"/>
      <c r="FJ94" s="309"/>
      <c r="FK94" s="310"/>
      <c r="FL94" s="329"/>
      <c r="FM94" s="311"/>
      <c r="FN94" s="309"/>
      <c r="FO94" s="310"/>
      <c r="FP94" s="329"/>
      <c r="FQ94" s="311"/>
      <c r="FR94" s="309"/>
      <c r="FS94" s="310"/>
      <c r="FT94" s="329"/>
      <c r="FU94" s="311"/>
      <c r="FV94" s="309"/>
      <c r="FW94" s="310"/>
      <c r="FX94" s="329"/>
      <c r="FY94" s="311"/>
      <c r="FZ94" s="309"/>
      <c r="GA94" s="310"/>
      <c r="GB94" s="329"/>
      <c r="GC94" s="311"/>
      <c r="GD94" s="309"/>
      <c r="GE94" s="310"/>
      <c r="GF94" s="329"/>
      <c r="GG94" s="311"/>
      <c r="GH94" s="309"/>
      <c r="GI94" s="310"/>
      <c r="GJ94" s="329"/>
      <c r="GK94" s="311"/>
      <c r="GL94" s="309"/>
      <c r="GM94" s="310"/>
      <c r="GN94" s="329"/>
      <c r="GO94" s="311"/>
      <c r="GP94" s="309"/>
      <c r="GQ94" s="310"/>
      <c r="GR94" s="329"/>
      <c r="GS94" s="311"/>
      <c r="GT94" s="309"/>
      <c r="GU94" s="310"/>
      <c r="GV94" s="329"/>
      <c r="GW94" s="311"/>
      <c r="GX94" s="309"/>
      <c r="GY94" s="310"/>
      <c r="GZ94" s="329"/>
      <c r="HA94" s="311"/>
      <c r="HB94" s="309"/>
      <c r="HC94" s="312">
        <f t="shared" si="80"/>
        <v>0</v>
      </c>
      <c r="HD94" s="330"/>
      <c r="HE94" s="313">
        <f t="shared" ref="HE94" si="82">M94+Q94+U94+Y94+AC94+AG94+AK94+AO94+AS94+AW94+BA94+BE94+BI94+BM94+BQ94+BU94+BY94+CC94+CG94+CK94+CO94+CS94+CW94+DA94+DE94+DI94+DM94+DQ94+DU94+DY94+EC94+EG94+EK94+EO94+ES94+EW94+FA94+FE94+FI94+FM94+FQ94+FU94+FY94+GC94+GG94+GK94+GO94+GS94+GW94+HA94</f>
        <v>0</v>
      </c>
      <c r="HF94" s="314"/>
      <c r="HG94" s="312">
        <f>SUM(SUMIFS(K94:HB94,$K$13:$HB$13,{"エネルギー管理指定工場等*","県域*"}))</f>
        <v>0</v>
      </c>
      <c r="HH94" s="330"/>
      <c r="HI94" s="313">
        <f>SUM(SUMIFS(M94:HD94,$K$13:$HB$13,{"エネルギー管理指定工場等*","県域*"}))</f>
        <v>0</v>
      </c>
      <c r="HJ94" s="314"/>
      <c r="IE94" s="579"/>
      <c r="IF94" s="579"/>
      <c r="IG94" s="579"/>
      <c r="IH94" s="579"/>
    </row>
    <row r="95" spans="2:242" s="164" customFormat="1" ht="20.100000000000001" customHeight="1">
      <c r="B95" s="302"/>
      <c r="C95" s="319"/>
      <c r="D95" s="346"/>
      <c r="E95" s="270"/>
      <c r="F95" s="303" t="s">
        <v>463</v>
      </c>
      <c r="G95" s="308"/>
      <c r="H95" s="309"/>
      <c r="I95" s="310"/>
      <c r="J95" s="315"/>
      <c r="K95" s="310"/>
      <c r="L95" s="329"/>
      <c r="M95" s="329"/>
      <c r="N95" s="309"/>
      <c r="O95" s="310"/>
      <c r="P95" s="329"/>
      <c r="Q95" s="329"/>
      <c r="R95" s="309"/>
      <c r="S95" s="310"/>
      <c r="T95" s="329"/>
      <c r="U95" s="329"/>
      <c r="V95" s="309"/>
      <c r="W95" s="310"/>
      <c r="X95" s="329"/>
      <c r="Y95" s="329"/>
      <c r="Z95" s="309"/>
      <c r="AA95" s="310"/>
      <c r="AB95" s="329"/>
      <c r="AC95" s="329"/>
      <c r="AD95" s="309"/>
      <c r="AE95" s="310"/>
      <c r="AF95" s="329"/>
      <c r="AG95" s="329"/>
      <c r="AH95" s="309"/>
      <c r="AI95" s="310"/>
      <c r="AJ95" s="329"/>
      <c r="AK95" s="329"/>
      <c r="AL95" s="309"/>
      <c r="AM95" s="310"/>
      <c r="AN95" s="329"/>
      <c r="AO95" s="329"/>
      <c r="AP95" s="309"/>
      <c r="AQ95" s="310"/>
      <c r="AR95" s="329"/>
      <c r="AS95" s="329"/>
      <c r="AT95" s="309"/>
      <c r="AU95" s="310"/>
      <c r="AV95" s="329"/>
      <c r="AW95" s="329"/>
      <c r="AX95" s="309"/>
      <c r="AY95" s="310"/>
      <c r="AZ95" s="329"/>
      <c r="BA95" s="329"/>
      <c r="BB95" s="309"/>
      <c r="BC95" s="310"/>
      <c r="BD95" s="329"/>
      <c r="BE95" s="329"/>
      <c r="BF95" s="309"/>
      <c r="BG95" s="310"/>
      <c r="BH95" s="329"/>
      <c r="BI95" s="329"/>
      <c r="BJ95" s="309"/>
      <c r="BK95" s="310"/>
      <c r="BL95" s="329"/>
      <c r="BM95" s="329"/>
      <c r="BN95" s="309"/>
      <c r="BO95" s="310"/>
      <c r="BP95" s="329"/>
      <c r="BQ95" s="329"/>
      <c r="BR95" s="309"/>
      <c r="BS95" s="310"/>
      <c r="BT95" s="329"/>
      <c r="BU95" s="329"/>
      <c r="BV95" s="309"/>
      <c r="BW95" s="310"/>
      <c r="BX95" s="329"/>
      <c r="BY95" s="329"/>
      <c r="BZ95" s="309"/>
      <c r="CA95" s="310"/>
      <c r="CB95" s="329"/>
      <c r="CC95" s="329"/>
      <c r="CD95" s="309"/>
      <c r="CE95" s="310"/>
      <c r="CF95" s="329"/>
      <c r="CG95" s="329"/>
      <c r="CH95" s="309"/>
      <c r="CI95" s="310"/>
      <c r="CJ95" s="329"/>
      <c r="CK95" s="329"/>
      <c r="CL95" s="309"/>
      <c r="CM95" s="310"/>
      <c r="CN95" s="329"/>
      <c r="CO95" s="329"/>
      <c r="CP95" s="309"/>
      <c r="CQ95" s="310"/>
      <c r="CR95" s="329"/>
      <c r="CS95" s="329"/>
      <c r="CT95" s="309"/>
      <c r="CU95" s="310"/>
      <c r="CV95" s="329"/>
      <c r="CW95" s="329"/>
      <c r="CX95" s="309"/>
      <c r="CY95" s="310"/>
      <c r="CZ95" s="329"/>
      <c r="DA95" s="329"/>
      <c r="DB95" s="309"/>
      <c r="DC95" s="310"/>
      <c r="DD95" s="329"/>
      <c r="DE95" s="329"/>
      <c r="DF95" s="309"/>
      <c r="DG95" s="310"/>
      <c r="DH95" s="329"/>
      <c r="DI95" s="329"/>
      <c r="DJ95" s="309"/>
      <c r="DK95" s="310"/>
      <c r="DL95" s="329"/>
      <c r="DM95" s="329"/>
      <c r="DN95" s="309"/>
      <c r="DO95" s="310"/>
      <c r="DP95" s="329"/>
      <c r="DQ95" s="329"/>
      <c r="DR95" s="309"/>
      <c r="DS95" s="310"/>
      <c r="DT95" s="329"/>
      <c r="DU95" s="329"/>
      <c r="DV95" s="309"/>
      <c r="DW95" s="310"/>
      <c r="DX95" s="329"/>
      <c r="DY95" s="329"/>
      <c r="DZ95" s="309"/>
      <c r="EA95" s="310"/>
      <c r="EB95" s="329"/>
      <c r="EC95" s="329"/>
      <c r="ED95" s="309"/>
      <c r="EE95" s="310"/>
      <c r="EF95" s="329"/>
      <c r="EG95" s="329"/>
      <c r="EH95" s="309"/>
      <c r="EI95" s="310"/>
      <c r="EJ95" s="329"/>
      <c r="EK95" s="329"/>
      <c r="EL95" s="309"/>
      <c r="EM95" s="310"/>
      <c r="EN95" s="329"/>
      <c r="EO95" s="329"/>
      <c r="EP95" s="309"/>
      <c r="EQ95" s="310"/>
      <c r="ER95" s="329"/>
      <c r="ES95" s="329"/>
      <c r="ET95" s="309"/>
      <c r="EU95" s="310"/>
      <c r="EV95" s="329"/>
      <c r="EW95" s="329"/>
      <c r="EX95" s="309"/>
      <c r="EY95" s="310"/>
      <c r="EZ95" s="329"/>
      <c r="FA95" s="329"/>
      <c r="FB95" s="309"/>
      <c r="FC95" s="310"/>
      <c r="FD95" s="329"/>
      <c r="FE95" s="329"/>
      <c r="FF95" s="309"/>
      <c r="FG95" s="310"/>
      <c r="FH95" s="329"/>
      <c r="FI95" s="329"/>
      <c r="FJ95" s="309"/>
      <c r="FK95" s="310"/>
      <c r="FL95" s="329"/>
      <c r="FM95" s="329"/>
      <c r="FN95" s="309"/>
      <c r="FO95" s="310"/>
      <c r="FP95" s="329"/>
      <c r="FQ95" s="329"/>
      <c r="FR95" s="309"/>
      <c r="FS95" s="310"/>
      <c r="FT95" s="329"/>
      <c r="FU95" s="329"/>
      <c r="FV95" s="309"/>
      <c r="FW95" s="310"/>
      <c r="FX95" s="329"/>
      <c r="FY95" s="329"/>
      <c r="FZ95" s="309"/>
      <c r="GA95" s="310"/>
      <c r="GB95" s="329"/>
      <c r="GC95" s="329"/>
      <c r="GD95" s="309"/>
      <c r="GE95" s="310"/>
      <c r="GF95" s="329"/>
      <c r="GG95" s="329"/>
      <c r="GH95" s="309"/>
      <c r="GI95" s="310"/>
      <c r="GJ95" s="329"/>
      <c r="GK95" s="329"/>
      <c r="GL95" s="309"/>
      <c r="GM95" s="310"/>
      <c r="GN95" s="329"/>
      <c r="GO95" s="329"/>
      <c r="GP95" s="309"/>
      <c r="GQ95" s="310"/>
      <c r="GR95" s="329"/>
      <c r="GS95" s="329"/>
      <c r="GT95" s="309"/>
      <c r="GU95" s="310"/>
      <c r="GV95" s="329"/>
      <c r="GW95" s="329"/>
      <c r="GX95" s="309"/>
      <c r="GY95" s="310"/>
      <c r="GZ95" s="329"/>
      <c r="HA95" s="329"/>
      <c r="HB95" s="309"/>
      <c r="HC95" s="312">
        <f t="shared" si="80"/>
        <v>0</v>
      </c>
      <c r="HD95" s="330"/>
      <c r="HE95" s="330"/>
      <c r="HF95" s="314"/>
      <c r="HG95" s="312">
        <f>SUM(SUMIFS(K95:HB95,$K$13:$HB$13,{"エネルギー管理指定工場等*","県域*"}))</f>
        <v>0</v>
      </c>
      <c r="HH95" s="330"/>
      <c r="HI95" s="330"/>
      <c r="HJ95" s="314"/>
      <c r="IE95" s="579"/>
      <c r="IF95" s="579"/>
      <c r="IG95" s="579"/>
      <c r="IH95" s="579"/>
    </row>
    <row r="96" spans="2:242" s="164" customFormat="1" ht="20.100000000000001" customHeight="1">
      <c r="B96" s="302"/>
      <c r="C96" s="319"/>
      <c r="D96" s="328" t="s">
        <v>622</v>
      </c>
      <c r="E96" s="357"/>
      <c r="F96" s="303" t="s">
        <v>610</v>
      </c>
      <c r="G96" s="306">
        <v>3.6</v>
      </c>
      <c r="H96" s="309"/>
      <c r="I96" s="310"/>
      <c r="J96" s="315"/>
      <c r="K96" s="310"/>
      <c r="L96" s="329"/>
      <c r="M96" s="311"/>
      <c r="N96" s="309"/>
      <c r="O96" s="310"/>
      <c r="P96" s="329"/>
      <c r="Q96" s="311"/>
      <c r="R96" s="309"/>
      <c r="S96" s="310"/>
      <c r="T96" s="329"/>
      <c r="U96" s="311"/>
      <c r="V96" s="309"/>
      <c r="W96" s="310"/>
      <c r="X96" s="329"/>
      <c r="Y96" s="311"/>
      <c r="Z96" s="309"/>
      <c r="AA96" s="310"/>
      <c r="AB96" s="329"/>
      <c r="AC96" s="311"/>
      <c r="AD96" s="309"/>
      <c r="AE96" s="310"/>
      <c r="AF96" s="329"/>
      <c r="AG96" s="311"/>
      <c r="AH96" s="309"/>
      <c r="AI96" s="310"/>
      <c r="AJ96" s="329"/>
      <c r="AK96" s="311"/>
      <c r="AL96" s="309"/>
      <c r="AM96" s="310"/>
      <c r="AN96" s="329"/>
      <c r="AO96" s="311"/>
      <c r="AP96" s="309"/>
      <c r="AQ96" s="310"/>
      <c r="AR96" s="329"/>
      <c r="AS96" s="311"/>
      <c r="AT96" s="309"/>
      <c r="AU96" s="310"/>
      <c r="AV96" s="329"/>
      <c r="AW96" s="311"/>
      <c r="AX96" s="309"/>
      <c r="AY96" s="310"/>
      <c r="AZ96" s="329"/>
      <c r="BA96" s="311"/>
      <c r="BB96" s="309"/>
      <c r="BC96" s="310"/>
      <c r="BD96" s="329"/>
      <c r="BE96" s="311"/>
      <c r="BF96" s="309"/>
      <c r="BG96" s="310"/>
      <c r="BH96" s="329"/>
      <c r="BI96" s="311"/>
      <c r="BJ96" s="309"/>
      <c r="BK96" s="310"/>
      <c r="BL96" s="329"/>
      <c r="BM96" s="311"/>
      <c r="BN96" s="309"/>
      <c r="BO96" s="310"/>
      <c r="BP96" s="329"/>
      <c r="BQ96" s="311"/>
      <c r="BR96" s="309"/>
      <c r="BS96" s="310"/>
      <c r="BT96" s="329"/>
      <c r="BU96" s="311"/>
      <c r="BV96" s="309"/>
      <c r="BW96" s="310"/>
      <c r="BX96" s="329"/>
      <c r="BY96" s="311"/>
      <c r="BZ96" s="309"/>
      <c r="CA96" s="310"/>
      <c r="CB96" s="329"/>
      <c r="CC96" s="311"/>
      <c r="CD96" s="309"/>
      <c r="CE96" s="310"/>
      <c r="CF96" s="329"/>
      <c r="CG96" s="311"/>
      <c r="CH96" s="309"/>
      <c r="CI96" s="310"/>
      <c r="CJ96" s="329"/>
      <c r="CK96" s="311"/>
      <c r="CL96" s="309"/>
      <c r="CM96" s="310"/>
      <c r="CN96" s="329"/>
      <c r="CO96" s="311"/>
      <c r="CP96" s="309"/>
      <c r="CQ96" s="310"/>
      <c r="CR96" s="329"/>
      <c r="CS96" s="311"/>
      <c r="CT96" s="309"/>
      <c r="CU96" s="310"/>
      <c r="CV96" s="329"/>
      <c r="CW96" s="311"/>
      <c r="CX96" s="309"/>
      <c r="CY96" s="310"/>
      <c r="CZ96" s="329"/>
      <c r="DA96" s="311"/>
      <c r="DB96" s="309"/>
      <c r="DC96" s="310"/>
      <c r="DD96" s="329"/>
      <c r="DE96" s="311"/>
      <c r="DF96" s="309"/>
      <c r="DG96" s="310"/>
      <c r="DH96" s="329"/>
      <c r="DI96" s="311"/>
      <c r="DJ96" s="309"/>
      <c r="DK96" s="310"/>
      <c r="DL96" s="329"/>
      <c r="DM96" s="311"/>
      <c r="DN96" s="309"/>
      <c r="DO96" s="310"/>
      <c r="DP96" s="329"/>
      <c r="DQ96" s="311"/>
      <c r="DR96" s="309"/>
      <c r="DS96" s="310"/>
      <c r="DT96" s="329"/>
      <c r="DU96" s="311"/>
      <c r="DV96" s="309"/>
      <c r="DW96" s="310"/>
      <c r="DX96" s="329"/>
      <c r="DY96" s="311"/>
      <c r="DZ96" s="309"/>
      <c r="EA96" s="310"/>
      <c r="EB96" s="329"/>
      <c r="EC96" s="311"/>
      <c r="ED96" s="309"/>
      <c r="EE96" s="310"/>
      <c r="EF96" s="329"/>
      <c r="EG96" s="311"/>
      <c r="EH96" s="309"/>
      <c r="EI96" s="310"/>
      <c r="EJ96" s="329"/>
      <c r="EK96" s="311"/>
      <c r="EL96" s="309"/>
      <c r="EM96" s="310"/>
      <c r="EN96" s="329"/>
      <c r="EO96" s="311"/>
      <c r="EP96" s="309"/>
      <c r="EQ96" s="310"/>
      <c r="ER96" s="329"/>
      <c r="ES96" s="311"/>
      <c r="ET96" s="309"/>
      <c r="EU96" s="310"/>
      <c r="EV96" s="329"/>
      <c r="EW96" s="311"/>
      <c r="EX96" s="309"/>
      <c r="EY96" s="310"/>
      <c r="EZ96" s="329"/>
      <c r="FA96" s="311"/>
      <c r="FB96" s="309"/>
      <c r="FC96" s="310"/>
      <c r="FD96" s="329"/>
      <c r="FE96" s="311"/>
      <c r="FF96" s="309"/>
      <c r="FG96" s="310"/>
      <c r="FH96" s="329"/>
      <c r="FI96" s="311"/>
      <c r="FJ96" s="309"/>
      <c r="FK96" s="310"/>
      <c r="FL96" s="329"/>
      <c r="FM96" s="311"/>
      <c r="FN96" s="309"/>
      <c r="FO96" s="310"/>
      <c r="FP96" s="329"/>
      <c r="FQ96" s="311"/>
      <c r="FR96" s="309"/>
      <c r="FS96" s="310"/>
      <c r="FT96" s="329"/>
      <c r="FU96" s="311"/>
      <c r="FV96" s="309"/>
      <c r="FW96" s="310"/>
      <c r="FX96" s="329"/>
      <c r="FY96" s="311"/>
      <c r="FZ96" s="309"/>
      <c r="GA96" s="310"/>
      <c r="GB96" s="329"/>
      <c r="GC96" s="311"/>
      <c r="GD96" s="309"/>
      <c r="GE96" s="310"/>
      <c r="GF96" s="329"/>
      <c r="GG96" s="311"/>
      <c r="GH96" s="309"/>
      <c r="GI96" s="310"/>
      <c r="GJ96" s="329"/>
      <c r="GK96" s="311"/>
      <c r="GL96" s="309"/>
      <c r="GM96" s="310"/>
      <c r="GN96" s="329"/>
      <c r="GO96" s="311"/>
      <c r="GP96" s="309"/>
      <c r="GQ96" s="310"/>
      <c r="GR96" s="329"/>
      <c r="GS96" s="311"/>
      <c r="GT96" s="309"/>
      <c r="GU96" s="310"/>
      <c r="GV96" s="329"/>
      <c r="GW96" s="311"/>
      <c r="GX96" s="309"/>
      <c r="GY96" s="310"/>
      <c r="GZ96" s="329"/>
      <c r="HA96" s="311"/>
      <c r="HB96" s="309"/>
      <c r="HC96" s="312">
        <f t="shared" si="80"/>
        <v>0</v>
      </c>
      <c r="HD96" s="330"/>
      <c r="HE96" s="313">
        <f t="shared" si="81"/>
        <v>0</v>
      </c>
      <c r="HF96" s="314"/>
      <c r="HG96" s="312">
        <f>SUM(SUMIFS(K96:HB96,$K$13:$HB$13,{"エネルギー管理指定工場等*","県域*"}))</f>
        <v>0</v>
      </c>
      <c r="HH96" s="330"/>
      <c r="HI96" s="313">
        <f>SUM(SUMIFS(M96:HD96,$K$13:$HB$13,{"エネルギー管理指定工場等*","県域*"}))</f>
        <v>0</v>
      </c>
      <c r="HJ96" s="314"/>
      <c r="IE96" s="579"/>
      <c r="IF96" s="579"/>
      <c r="IG96" s="579"/>
      <c r="IH96" s="579"/>
    </row>
    <row r="97" spans="2:242" s="164" customFormat="1" ht="20.100000000000001" customHeight="1">
      <c r="B97" s="302"/>
      <c r="C97" s="319"/>
      <c r="D97" s="346"/>
      <c r="E97" s="270"/>
      <c r="F97" s="303" t="s">
        <v>463</v>
      </c>
      <c r="G97" s="308"/>
      <c r="H97" s="309"/>
      <c r="I97" s="310"/>
      <c r="J97" s="315"/>
      <c r="K97" s="310"/>
      <c r="L97" s="329"/>
      <c r="M97" s="329"/>
      <c r="N97" s="309"/>
      <c r="O97" s="310"/>
      <c r="P97" s="329"/>
      <c r="Q97" s="329"/>
      <c r="R97" s="309"/>
      <c r="S97" s="310"/>
      <c r="T97" s="329"/>
      <c r="U97" s="329"/>
      <c r="V97" s="309"/>
      <c r="W97" s="310"/>
      <c r="X97" s="329"/>
      <c r="Y97" s="329"/>
      <c r="Z97" s="309"/>
      <c r="AA97" s="310"/>
      <c r="AB97" s="329"/>
      <c r="AC97" s="329"/>
      <c r="AD97" s="309"/>
      <c r="AE97" s="310"/>
      <c r="AF97" s="329"/>
      <c r="AG97" s="329"/>
      <c r="AH97" s="309"/>
      <c r="AI97" s="310"/>
      <c r="AJ97" s="329"/>
      <c r="AK97" s="329"/>
      <c r="AL97" s="309"/>
      <c r="AM97" s="310"/>
      <c r="AN97" s="329"/>
      <c r="AO97" s="329"/>
      <c r="AP97" s="309"/>
      <c r="AQ97" s="310"/>
      <c r="AR97" s="329"/>
      <c r="AS97" s="329"/>
      <c r="AT97" s="309"/>
      <c r="AU97" s="310"/>
      <c r="AV97" s="329"/>
      <c r="AW97" s="329"/>
      <c r="AX97" s="309"/>
      <c r="AY97" s="310"/>
      <c r="AZ97" s="329"/>
      <c r="BA97" s="329"/>
      <c r="BB97" s="309"/>
      <c r="BC97" s="310"/>
      <c r="BD97" s="329"/>
      <c r="BE97" s="329"/>
      <c r="BF97" s="309"/>
      <c r="BG97" s="310"/>
      <c r="BH97" s="329"/>
      <c r="BI97" s="329"/>
      <c r="BJ97" s="309"/>
      <c r="BK97" s="310"/>
      <c r="BL97" s="329"/>
      <c r="BM97" s="329"/>
      <c r="BN97" s="309"/>
      <c r="BO97" s="310"/>
      <c r="BP97" s="329"/>
      <c r="BQ97" s="329"/>
      <c r="BR97" s="309"/>
      <c r="BS97" s="310"/>
      <c r="BT97" s="329"/>
      <c r="BU97" s="329"/>
      <c r="BV97" s="309"/>
      <c r="BW97" s="310"/>
      <c r="BX97" s="329"/>
      <c r="BY97" s="329"/>
      <c r="BZ97" s="309"/>
      <c r="CA97" s="310"/>
      <c r="CB97" s="329"/>
      <c r="CC97" s="329"/>
      <c r="CD97" s="309"/>
      <c r="CE97" s="310"/>
      <c r="CF97" s="329"/>
      <c r="CG97" s="329"/>
      <c r="CH97" s="309"/>
      <c r="CI97" s="310"/>
      <c r="CJ97" s="329"/>
      <c r="CK97" s="329"/>
      <c r="CL97" s="309"/>
      <c r="CM97" s="310"/>
      <c r="CN97" s="329"/>
      <c r="CO97" s="329"/>
      <c r="CP97" s="309"/>
      <c r="CQ97" s="310"/>
      <c r="CR97" s="329"/>
      <c r="CS97" s="329"/>
      <c r="CT97" s="309"/>
      <c r="CU97" s="310"/>
      <c r="CV97" s="329"/>
      <c r="CW97" s="329"/>
      <c r="CX97" s="309"/>
      <c r="CY97" s="310"/>
      <c r="CZ97" s="329"/>
      <c r="DA97" s="329"/>
      <c r="DB97" s="309"/>
      <c r="DC97" s="310"/>
      <c r="DD97" s="329"/>
      <c r="DE97" s="329"/>
      <c r="DF97" s="309"/>
      <c r="DG97" s="310"/>
      <c r="DH97" s="329"/>
      <c r="DI97" s="329"/>
      <c r="DJ97" s="309"/>
      <c r="DK97" s="310"/>
      <c r="DL97" s="329"/>
      <c r="DM97" s="329"/>
      <c r="DN97" s="309"/>
      <c r="DO97" s="310"/>
      <c r="DP97" s="329"/>
      <c r="DQ97" s="329"/>
      <c r="DR97" s="309"/>
      <c r="DS97" s="310"/>
      <c r="DT97" s="329"/>
      <c r="DU97" s="329"/>
      <c r="DV97" s="309"/>
      <c r="DW97" s="310"/>
      <c r="DX97" s="329"/>
      <c r="DY97" s="329"/>
      <c r="DZ97" s="309"/>
      <c r="EA97" s="310"/>
      <c r="EB97" s="329"/>
      <c r="EC97" s="329"/>
      <c r="ED97" s="309"/>
      <c r="EE97" s="310"/>
      <c r="EF97" s="329"/>
      <c r="EG97" s="329"/>
      <c r="EH97" s="309"/>
      <c r="EI97" s="310"/>
      <c r="EJ97" s="329"/>
      <c r="EK97" s="329"/>
      <c r="EL97" s="309"/>
      <c r="EM97" s="310"/>
      <c r="EN97" s="329"/>
      <c r="EO97" s="329"/>
      <c r="EP97" s="309"/>
      <c r="EQ97" s="310"/>
      <c r="ER97" s="329"/>
      <c r="ES97" s="329"/>
      <c r="ET97" s="309"/>
      <c r="EU97" s="310"/>
      <c r="EV97" s="329"/>
      <c r="EW97" s="329"/>
      <c r="EX97" s="309"/>
      <c r="EY97" s="310"/>
      <c r="EZ97" s="329"/>
      <c r="FA97" s="329"/>
      <c r="FB97" s="309"/>
      <c r="FC97" s="310"/>
      <c r="FD97" s="329"/>
      <c r="FE97" s="329"/>
      <c r="FF97" s="309"/>
      <c r="FG97" s="310"/>
      <c r="FH97" s="329"/>
      <c r="FI97" s="329"/>
      <c r="FJ97" s="309"/>
      <c r="FK97" s="310"/>
      <c r="FL97" s="329"/>
      <c r="FM97" s="329"/>
      <c r="FN97" s="309"/>
      <c r="FO97" s="310"/>
      <c r="FP97" s="329"/>
      <c r="FQ97" s="329"/>
      <c r="FR97" s="309"/>
      <c r="FS97" s="310"/>
      <c r="FT97" s="329"/>
      <c r="FU97" s="329"/>
      <c r="FV97" s="309"/>
      <c r="FW97" s="310"/>
      <c r="FX97" s="329"/>
      <c r="FY97" s="329"/>
      <c r="FZ97" s="309"/>
      <c r="GA97" s="310"/>
      <c r="GB97" s="329"/>
      <c r="GC97" s="329"/>
      <c r="GD97" s="309"/>
      <c r="GE97" s="310"/>
      <c r="GF97" s="329"/>
      <c r="GG97" s="329"/>
      <c r="GH97" s="309"/>
      <c r="GI97" s="310"/>
      <c r="GJ97" s="329"/>
      <c r="GK97" s="329"/>
      <c r="GL97" s="309"/>
      <c r="GM97" s="310"/>
      <c r="GN97" s="329"/>
      <c r="GO97" s="329"/>
      <c r="GP97" s="309"/>
      <c r="GQ97" s="310"/>
      <c r="GR97" s="329"/>
      <c r="GS97" s="329"/>
      <c r="GT97" s="309"/>
      <c r="GU97" s="310"/>
      <c r="GV97" s="329"/>
      <c r="GW97" s="329"/>
      <c r="GX97" s="309"/>
      <c r="GY97" s="310"/>
      <c r="GZ97" s="329"/>
      <c r="HA97" s="329"/>
      <c r="HB97" s="309"/>
      <c r="HC97" s="312">
        <f t="shared" si="80"/>
        <v>0</v>
      </c>
      <c r="HD97" s="330"/>
      <c r="HE97" s="330"/>
      <c r="HF97" s="314"/>
      <c r="HG97" s="312">
        <f>SUM(SUMIFS(K97:HB97,$K$13:$HB$13,{"エネルギー管理指定工場等*","県域*"}))</f>
        <v>0</v>
      </c>
      <c r="HH97" s="330"/>
      <c r="HI97" s="330"/>
      <c r="HJ97" s="314"/>
      <c r="IE97" s="579"/>
      <c r="IF97" s="579"/>
      <c r="IG97" s="579"/>
      <c r="IH97" s="579"/>
    </row>
    <row r="98" spans="2:242" s="164" customFormat="1" ht="20.100000000000001" customHeight="1">
      <c r="B98" s="302"/>
      <c r="C98" s="319"/>
      <c r="D98" s="328" t="s">
        <v>623</v>
      </c>
      <c r="E98" s="357"/>
      <c r="F98" s="303" t="s">
        <v>610</v>
      </c>
      <c r="G98" s="306">
        <v>3.6</v>
      </c>
      <c r="H98" s="309"/>
      <c r="I98" s="310"/>
      <c r="J98" s="315"/>
      <c r="K98" s="310"/>
      <c r="L98" s="329"/>
      <c r="M98" s="311"/>
      <c r="N98" s="309"/>
      <c r="O98" s="310"/>
      <c r="P98" s="329"/>
      <c r="Q98" s="311"/>
      <c r="R98" s="309"/>
      <c r="S98" s="310"/>
      <c r="T98" s="329"/>
      <c r="U98" s="311"/>
      <c r="V98" s="309"/>
      <c r="W98" s="310"/>
      <c r="X98" s="329"/>
      <c r="Y98" s="311"/>
      <c r="Z98" s="309"/>
      <c r="AA98" s="310"/>
      <c r="AB98" s="329"/>
      <c r="AC98" s="311"/>
      <c r="AD98" s="309"/>
      <c r="AE98" s="310"/>
      <c r="AF98" s="329"/>
      <c r="AG98" s="311"/>
      <c r="AH98" s="309"/>
      <c r="AI98" s="310"/>
      <c r="AJ98" s="329"/>
      <c r="AK98" s="311"/>
      <c r="AL98" s="309"/>
      <c r="AM98" s="310"/>
      <c r="AN98" s="329"/>
      <c r="AO98" s="311"/>
      <c r="AP98" s="309"/>
      <c r="AQ98" s="310"/>
      <c r="AR98" s="329"/>
      <c r="AS98" s="311"/>
      <c r="AT98" s="309"/>
      <c r="AU98" s="310"/>
      <c r="AV98" s="329"/>
      <c r="AW98" s="311"/>
      <c r="AX98" s="309"/>
      <c r="AY98" s="310"/>
      <c r="AZ98" s="329"/>
      <c r="BA98" s="311"/>
      <c r="BB98" s="309"/>
      <c r="BC98" s="310"/>
      <c r="BD98" s="329"/>
      <c r="BE98" s="311"/>
      <c r="BF98" s="309"/>
      <c r="BG98" s="310"/>
      <c r="BH98" s="329"/>
      <c r="BI98" s="311"/>
      <c r="BJ98" s="309"/>
      <c r="BK98" s="310"/>
      <c r="BL98" s="329"/>
      <c r="BM98" s="311"/>
      <c r="BN98" s="309"/>
      <c r="BO98" s="310"/>
      <c r="BP98" s="329"/>
      <c r="BQ98" s="311"/>
      <c r="BR98" s="309"/>
      <c r="BS98" s="310"/>
      <c r="BT98" s="329"/>
      <c r="BU98" s="311"/>
      <c r="BV98" s="309"/>
      <c r="BW98" s="310"/>
      <c r="BX98" s="329"/>
      <c r="BY98" s="311"/>
      <c r="BZ98" s="309"/>
      <c r="CA98" s="310"/>
      <c r="CB98" s="329"/>
      <c r="CC98" s="311"/>
      <c r="CD98" s="309"/>
      <c r="CE98" s="310"/>
      <c r="CF98" s="329"/>
      <c r="CG98" s="311"/>
      <c r="CH98" s="309"/>
      <c r="CI98" s="310"/>
      <c r="CJ98" s="329"/>
      <c r="CK98" s="311"/>
      <c r="CL98" s="309"/>
      <c r="CM98" s="310"/>
      <c r="CN98" s="329"/>
      <c r="CO98" s="311"/>
      <c r="CP98" s="309"/>
      <c r="CQ98" s="310"/>
      <c r="CR98" s="329"/>
      <c r="CS98" s="311"/>
      <c r="CT98" s="309"/>
      <c r="CU98" s="310"/>
      <c r="CV98" s="329"/>
      <c r="CW98" s="311"/>
      <c r="CX98" s="309"/>
      <c r="CY98" s="310"/>
      <c r="CZ98" s="329"/>
      <c r="DA98" s="311"/>
      <c r="DB98" s="309"/>
      <c r="DC98" s="310"/>
      <c r="DD98" s="329"/>
      <c r="DE98" s="311"/>
      <c r="DF98" s="309"/>
      <c r="DG98" s="310"/>
      <c r="DH98" s="329"/>
      <c r="DI98" s="311"/>
      <c r="DJ98" s="309"/>
      <c r="DK98" s="310"/>
      <c r="DL98" s="329"/>
      <c r="DM98" s="311"/>
      <c r="DN98" s="309"/>
      <c r="DO98" s="310"/>
      <c r="DP98" s="329"/>
      <c r="DQ98" s="311"/>
      <c r="DR98" s="309"/>
      <c r="DS98" s="310"/>
      <c r="DT98" s="329"/>
      <c r="DU98" s="311"/>
      <c r="DV98" s="309"/>
      <c r="DW98" s="310"/>
      <c r="DX98" s="329"/>
      <c r="DY98" s="311"/>
      <c r="DZ98" s="309"/>
      <c r="EA98" s="310"/>
      <c r="EB98" s="329"/>
      <c r="EC98" s="311"/>
      <c r="ED98" s="309"/>
      <c r="EE98" s="310"/>
      <c r="EF98" s="329"/>
      <c r="EG98" s="311"/>
      <c r="EH98" s="309"/>
      <c r="EI98" s="310"/>
      <c r="EJ98" s="329"/>
      <c r="EK98" s="311"/>
      <c r="EL98" s="309"/>
      <c r="EM98" s="310"/>
      <c r="EN98" s="329"/>
      <c r="EO98" s="311"/>
      <c r="EP98" s="309"/>
      <c r="EQ98" s="310"/>
      <c r="ER98" s="329"/>
      <c r="ES98" s="311"/>
      <c r="ET98" s="309"/>
      <c r="EU98" s="310"/>
      <c r="EV98" s="329"/>
      <c r="EW98" s="311"/>
      <c r="EX98" s="309"/>
      <c r="EY98" s="310"/>
      <c r="EZ98" s="329"/>
      <c r="FA98" s="311"/>
      <c r="FB98" s="309"/>
      <c r="FC98" s="310"/>
      <c r="FD98" s="329"/>
      <c r="FE98" s="311"/>
      <c r="FF98" s="309"/>
      <c r="FG98" s="310"/>
      <c r="FH98" s="329"/>
      <c r="FI98" s="311"/>
      <c r="FJ98" s="309"/>
      <c r="FK98" s="310"/>
      <c r="FL98" s="329"/>
      <c r="FM98" s="311"/>
      <c r="FN98" s="309"/>
      <c r="FO98" s="310"/>
      <c r="FP98" s="329"/>
      <c r="FQ98" s="311"/>
      <c r="FR98" s="309"/>
      <c r="FS98" s="310"/>
      <c r="FT98" s="329"/>
      <c r="FU98" s="311"/>
      <c r="FV98" s="309"/>
      <c r="FW98" s="310"/>
      <c r="FX98" s="329"/>
      <c r="FY98" s="311"/>
      <c r="FZ98" s="309"/>
      <c r="GA98" s="310"/>
      <c r="GB98" s="329"/>
      <c r="GC98" s="311"/>
      <c r="GD98" s="309"/>
      <c r="GE98" s="310"/>
      <c r="GF98" s="329"/>
      <c r="GG98" s="311"/>
      <c r="GH98" s="309"/>
      <c r="GI98" s="310"/>
      <c r="GJ98" s="329"/>
      <c r="GK98" s="311"/>
      <c r="GL98" s="309"/>
      <c r="GM98" s="310"/>
      <c r="GN98" s="329"/>
      <c r="GO98" s="311"/>
      <c r="GP98" s="309"/>
      <c r="GQ98" s="310"/>
      <c r="GR98" s="329"/>
      <c r="GS98" s="311"/>
      <c r="GT98" s="309"/>
      <c r="GU98" s="310"/>
      <c r="GV98" s="329"/>
      <c r="GW98" s="311"/>
      <c r="GX98" s="309"/>
      <c r="GY98" s="310"/>
      <c r="GZ98" s="329"/>
      <c r="HA98" s="311"/>
      <c r="HB98" s="309"/>
      <c r="HC98" s="312">
        <f t="shared" si="80"/>
        <v>0</v>
      </c>
      <c r="HD98" s="330"/>
      <c r="HE98" s="313">
        <f t="shared" si="81"/>
        <v>0</v>
      </c>
      <c r="HF98" s="314"/>
      <c r="HG98" s="312">
        <f>SUM(SUMIFS(K98:HB98,$K$13:$HB$13,{"エネルギー管理指定工場等*","県域*"}))</f>
        <v>0</v>
      </c>
      <c r="HH98" s="330"/>
      <c r="HI98" s="313">
        <f>SUM(SUMIFS(M98:HD98,$K$13:$HB$13,{"エネルギー管理指定工場等*","県域*"}))</f>
        <v>0</v>
      </c>
      <c r="HJ98" s="314"/>
      <c r="IE98" s="579"/>
      <c r="IF98" s="579"/>
      <c r="IG98" s="579"/>
      <c r="IH98" s="579"/>
    </row>
    <row r="99" spans="2:242" s="164" customFormat="1" ht="20.100000000000001" customHeight="1">
      <c r="B99" s="302"/>
      <c r="C99" s="318"/>
      <c r="D99" s="346"/>
      <c r="E99" s="270"/>
      <c r="F99" s="303" t="s">
        <v>463</v>
      </c>
      <c r="G99" s="308"/>
      <c r="H99" s="309"/>
      <c r="I99" s="310"/>
      <c r="J99" s="315"/>
      <c r="K99" s="310"/>
      <c r="L99" s="329"/>
      <c r="M99" s="329"/>
      <c r="N99" s="309"/>
      <c r="O99" s="310"/>
      <c r="P99" s="329"/>
      <c r="Q99" s="329"/>
      <c r="R99" s="309"/>
      <c r="S99" s="310"/>
      <c r="T99" s="329"/>
      <c r="U99" s="329"/>
      <c r="V99" s="309"/>
      <c r="W99" s="310"/>
      <c r="X99" s="329"/>
      <c r="Y99" s="329"/>
      <c r="Z99" s="309"/>
      <c r="AA99" s="310"/>
      <c r="AB99" s="329"/>
      <c r="AC99" s="329"/>
      <c r="AD99" s="309"/>
      <c r="AE99" s="310"/>
      <c r="AF99" s="329"/>
      <c r="AG99" s="329"/>
      <c r="AH99" s="309"/>
      <c r="AI99" s="310"/>
      <c r="AJ99" s="329"/>
      <c r="AK99" s="329"/>
      <c r="AL99" s="309"/>
      <c r="AM99" s="310"/>
      <c r="AN99" s="329"/>
      <c r="AO99" s="329"/>
      <c r="AP99" s="309"/>
      <c r="AQ99" s="310"/>
      <c r="AR99" s="329"/>
      <c r="AS99" s="329"/>
      <c r="AT99" s="309"/>
      <c r="AU99" s="310"/>
      <c r="AV99" s="329"/>
      <c r="AW99" s="329"/>
      <c r="AX99" s="309"/>
      <c r="AY99" s="310"/>
      <c r="AZ99" s="329"/>
      <c r="BA99" s="329"/>
      <c r="BB99" s="309"/>
      <c r="BC99" s="310"/>
      <c r="BD99" s="329"/>
      <c r="BE99" s="329"/>
      <c r="BF99" s="309"/>
      <c r="BG99" s="310"/>
      <c r="BH99" s="329"/>
      <c r="BI99" s="329"/>
      <c r="BJ99" s="309"/>
      <c r="BK99" s="310"/>
      <c r="BL99" s="329"/>
      <c r="BM99" s="329"/>
      <c r="BN99" s="309"/>
      <c r="BO99" s="310"/>
      <c r="BP99" s="329"/>
      <c r="BQ99" s="329"/>
      <c r="BR99" s="309"/>
      <c r="BS99" s="310"/>
      <c r="BT99" s="329"/>
      <c r="BU99" s="329"/>
      <c r="BV99" s="309"/>
      <c r="BW99" s="310"/>
      <c r="BX99" s="329"/>
      <c r="BY99" s="329"/>
      <c r="BZ99" s="309"/>
      <c r="CA99" s="310"/>
      <c r="CB99" s="329"/>
      <c r="CC99" s="329"/>
      <c r="CD99" s="309"/>
      <c r="CE99" s="310"/>
      <c r="CF99" s="329"/>
      <c r="CG99" s="329"/>
      <c r="CH99" s="309"/>
      <c r="CI99" s="310"/>
      <c r="CJ99" s="329"/>
      <c r="CK99" s="329"/>
      <c r="CL99" s="309"/>
      <c r="CM99" s="310"/>
      <c r="CN99" s="329"/>
      <c r="CO99" s="329"/>
      <c r="CP99" s="309"/>
      <c r="CQ99" s="310"/>
      <c r="CR99" s="329"/>
      <c r="CS99" s="329"/>
      <c r="CT99" s="309"/>
      <c r="CU99" s="310"/>
      <c r="CV99" s="329"/>
      <c r="CW99" s="329"/>
      <c r="CX99" s="309"/>
      <c r="CY99" s="310"/>
      <c r="CZ99" s="329"/>
      <c r="DA99" s="329"/>
      <c r="DB99" s="309"/>
      <c r="DC99" s="310"/>
      <c r="DD99" s="329"/>
      <c r="DE99" s="329"/>
      <c r="DF99" s="309"/>
      <c r="DG99" s="310"/>
      <c r="DH99" s="329"/>
      <c r="DI99" s="329"/>
      <c r="DJ99" s="309"/>
      <c r="DK99" s="310"/>
      <c r="DL99" s="329"/>
      <c r="DM99" s="329"/>
      <c r="DN99" s="309"/>
      <c r="DO99" s="310"/>
      <c r="DP99" s="329"/>
      <c r="DQ99" s="329"/>
      <c r="DR99" s="309"/>
      <c r="DS99" s="310"/>
      <c r="DT99" s="329"/>
      <c r="DU99" s="329"/>
      <c r="DV99" s="309"/>
      <c r="DW99" s="310"/>
      <c r="DX99" s="329"/>
      <c r="DY99" s="329"/>
      <c r="DZ99" s="309"/>
      <c r="EA99" s="310"/>
      <c r="EB99" s="329"/>
      <c r="EC99" s="329"/>
      <c r="ED99" s="309"/>
      <c r="EE99" s="310"/>
      <c r="EF99" s="329"/>
      <c r="EG99" s="329"/>
      <c r="EH99" s="309"/>
      <c r="EI99" s="310"/>
      <c r="EJ99" s="329"/>
      <c r="EK99" s="329"/>
      <c r="EL99" s="309"/>
      <c r="EM99" s="310"/>
      <c r="EN99" s="329"/>
      <c r="EO99" s="329"/>
      <c r="EP99" s="309"/>
      <c r="EQ99" s="310"/>
      <c r="ER99" s="329"/>
      <c r="ES99" s="329"/>
      <c r="ET99" s="309"/>
      <c r="EU99" s="310"/>
      <c r="EV99" s="329"/>
      <c r="EW99" s="329"/>
      <c r="EX99" s="309"/>
      <c r="EY99" s="310"/>
      <c r="EZ99" s="329"/>
      <c r="FA99" s="329"/>
      <c r="FB99" s="309"/>
      <c r="FC99" s="310"/>
      <c r="FD99" s="329"/>
      <c r="FE99" s="329"/>
      <c r="FF99" s="309"/>
      <c r="FG99" s="310"/>
      <c r="FH99" s="329"/>
      <c r="FI99" s="329"/>
      <c r="FJ99" s="309"/>
      <c r="FK99" s="310"/>
      <c r="FL99" s="329"/>
      <c r="FM99" s="329"/>
      <c r="FN99" s="309"/>
      <c r="FO99" s="310"/>
      <c r="FP99" s="329"/>
      <c r="FQ99" s="329"/>
      <c r="FR99" s="309"/>
      <c r="FS99" s="310"/>
      <c r="FT99" s="329"/>
      <c r="FU99" s="329"/>
      <c r="FV99" s="309"/>
      <c r="FW99" s="310"/>
      <c r="FX99" s="329"/>
      <c r="FY99" s="329"/>
      <c r="FZ99" s="309"/>
      <c r="GA99" s="310"/>
      <c r="GB99" s="329"/>
      <c r="GC99" s="329"/>
      <c r="GD99" s="309"/>
      <c r="GE99" s="310"/>
      <c r="GF99" s="329"/>
      <c r="GG99" s="329"/>
      <c r="GH99" s="309"/>
      <c r="GI99" s="310"/>
      <c r="GJ99" s="329"/>
      <c r="GK99" s="329"/>
      <c r="GL99" s="309"/>
      <c r="GM99" s="310"/>
      <c r="GN99" s="329"/>
      <c r="GO99" s="329"/>
      <c r="GP99" s="309"/>
      <c r="GQ99" s="310"/>
      <c r="GR99" s="329"/>
      <c r="GS99" s="329"/>
      <c r="GT99" s="309"/>
      <c r="GU99" s="310"/>
      <c r="GV99" s="329"/>
      <c r="GW99" s="329"/>
      <c r="GX99" s="309"/>
      <c r="GY99" s="310"/>
      <c r="GZ99" s="329"/>
      <c r="HA99" s="329"/>
      <c r="HB99" s="309"/>
      <c r="HC99" s="312">
        <f t="shared" si="80"/>
        <v>0</v>
      </c>
      <c r="HD99" s="330"/>
      <c r="HE99" s="330"/>
      <c r="HF99" s="314"/>
      <c r="HG99" s="312">
        <f>SUM(SUMIFS(K99:HB99,$K$13:$HB$13,{"エネルギー管理指定工場等*","県域*"}))</f>
        <v>0</v>
      </c>
      <c r="HH99" s="330"/>
      <c r="HI99" s="330"/>
      <c r="HJ99" s="314"/>
      <c r="IE99" s="579"/>
      <c r="IF99" s="579"/>
      <c r="IG99" s="579"/>
      <c r="IH99" s="579"/>
    </row>
    <row r="100" spans="2:242" s="164" customFormat="1" ht="99">
      <c r="B100" s="302"/>
      <c r="C100" s="327" t="s">
        <v>1386</v>
      </c>
      <c r="D100" s="358"/>
      <c r="E100" s="335"/>
      <c r="F100" s="303" t="s">
        <v>610</v>
      </c>
      <c r="G100" s="310"/>
      <c r="H100" s="315"/>
      <c r="I100" s="310"/>
      <c r="J100" s="315"/>
      <c r="K100" s="310"/>
      <c r="L100" s="329"/>
      <c r="M100" s="311"/>
      <c r="N100" s="309"/>
      <c r="O100" s="310"/>
      <c r="P100" s="329"/>
      <c r="Q100" s="311"/>
      <c r="R100" s="309"/>
      <c r="S100" s="310"/>
      <c r="T100" s="329"/>
      <c r="U100" s="311"/>
      <c r="V100" s="309"/>
      <c r="W100" s="310"/>
      <c r="X100" s="329"/>
      <c r="Y100" s="311"/>
      <c r="Z100" s="309"/>
      <c r="AA100" s="310"/>
      <c r="AB100" s="329"/>
      <c r="AC100" s="311"/>
      <c r="AD100" s="309"/>
      <c r="AE100" s="310"/>
      <c r="AF100" s="329"/>
      <c r="AG100" s="311"/>
      <c r="AH100" s="309"/>
      <c r="AI100" s="310"/>
      <c r="AJ100" s="329"/>
      <c r="AK100" s="311"/>
      <c r="AL100" s="309"/>
      <c r="AM100" s="310"/>
      <c r="AN100" s="329"/>
      <c r="AO100" s="311"/>
      <c r="AP100" s="309"/>
      <c r="AQ100" s="310"/>
      <c r="AR100" s="329"/>
      <c r="AS100" s="311"/>
      <c r="AT100" s="309"/>
      <c r="AU100" s="310"/>
      <c r="AV100" s="329"/>
      <c r="AW100" s="311"/>
      <c r="AX100" s="309"/>
      <c r="AY100" s="310"/>
      <c r="AZ100" s="329"/>
      <c r="BA100" s="311"/>
      <c r="BB100" s="309"/>
      <c r="BC100" s="310"/>
      <c r="BD100" s="329"/>
      <c r="BE100" s="311"/>
      <c r="BF100" s="309"/>
      <c r="BG100" s="310"/>
      <c r="BH100" s="329"/>
      <c r="BI100" s="311"/>
      <c r="BJ100" s="309"/>
      <c r="BK100" s="310"/>
      <c r="BL100" s="329"/>
      <c r="BM100" s="311"/>
      <c r="BN100" s="309"/>
      <c r="BO100" s="310"/>
      <c r="BP100" s="329"/>
      <c r="BQ100" s="311"/>
      <c r="BR100" s="309"/>
      <c r="BS100" s="310"/>
      <c r="BT100" s="329"/>
      <c r="BU100" s="311"/>
      <c r="BV100" s="309"/>
      <c r="BW100" s="310"/>
      <c r="BX100" s="329"/>
      <c r="BY100" s="311"/>
      <c r="BZ100" s="309"/>
      <c r="CA100" s="310"/>
      <c r="CB100" s="329"/>
      <c r="CC100" s="311"/>
      <c r="CD100" s="309"/>
      <c r="CE100" s="310"/>
      <c r="CF100" s="329"/>
      <c r="CG100" s="311"/>
      <c r="CH100" s="309"/>
      <c r="CI100" s="310"/>
      <c r="CJ100" s="329"/>
      <c r="CK100" s="311"/>
      <c r="CL100" s="309"/>
      <c r="CM100" s="310"/>
      <c r="CN100" s="329"/>
      <c r="CO100" s="311"/>
      <c r="CP100" s="309"/>
      <c r="CQ100" s="310"/>
      <c r="CR100" s="329"/>
      <c r="CS100" s="311"/>
      <c r="CT100" s="309"/>
      <c r="CU100" s="310"/>
      <c r="CV100" s="329"/>
      <c r="CW100" s="311"/>
      <c r="CX100" s="309"/>
      <c r="CY100" s="310"/>
      <c r="CZ100" s="329"/>
      <c r="DA100" s="311"/>
      <c r="DB100" s="309"/>
      <c r="DC100" s="310"/>
      <c r="DD100" s="329"/>
      <c r="DE100" s="311"/>
      <c r="DF100" s="309"/>
      <c r="DG100" s="310"/>
      <c r="DH100" s="329"/>
      <c r="DI100" s="311"/>
      <c r="DJ100" s="309"/>
      <c r="DK100" s="310"/>
      <c r="DL100" s="329"/>
      <c r="DM100" s="311"/>
      <c r="DN100" s="309"/>
      <c r="DO100" s="310"/>
      <c r="DP100" s="329"/>
      <c r="DQ100" s="311"/>
      <c r="DR100" s="309"/>
      <c r="DS100" s="310"/>
      <c r="DT100" s="329"/>
      <c r="DU100" s="311"/>
      <c r="DV100" s="309"/>
      <c r="DW100" s="310"/>
      <c r="DX100" s="329"/>
      <c r="DY100" s="311"/>
      <c r="DZ100" s="309"/>
      <c r="EA100" s="310"/>
      <c r="EB100" s="329"/>
      <c r="EC100" s="311"/>
      <c r="ED100" s="309"/>
      <c r="EE100" s="310"/>
      <c r="EF100" s="329"/>
      <c r="EG100" s="311"/>
      <c r="EH100" s="309"/>
      <c r="EI100" s="310"/>
      <c r="EJ100" s="329"/>
      <c r="EK100" s="311"/>
      <c r="EL100" s="309"/>
      <c r="EM100" s="310"/>
      <c r="EN100" s="329"/>
      <c r="EO100" s="311"/>
      <c r="EP100" s="309"/>
      <c r="EQ100" s="310"/>
      <c r="ER100" s="329"/>
      <c r="ES100" s="311"/>
      <c r="ET100" s="309"/>
      <c r="EU100" s="310"/>
      <c r="EV100" s="329"/>
      <c r="EW100" s="311"/>
      <c r="EX100" s="309"/>
      <c r="EY100" s="310"/>
      <c r="EZ100" s="329"/>
      <c r="FA100" s="311"/>
      <c r="FB100" s="309"/>
      <c r="FC100" s="310"/>
      <c r="FD100" s="329"/>
      <c r="FE100" s="311"/>
      <c r="FF100" s="309"/>
      <c r="FG100" s="310"/>
      <c r="FH100" s="329"/>
      <c r="FI100" s="311"/>
      <c r="FJ100" s="309"/>
      <c r="FK100" s="310"/>
      <c r="FL100" s="329"/>
      <c r="FM100" s="311"/>
      <c r="FN100" s="309"/>
      <c r="FO100" s="310"/>
      <c r="FP100" s="329"/>
      <c r="FQ100" s="311"/>
      <c r="FR100" s="309"/>
      <c r="FS100" s="310"/>
      <c r="FT100" s="329"/>
      <c r="FU100" s="311"/>
      <c r="FV100" s="309"/>
      <c r="FW100" s="310"/>
      <c r="FX100" s="329"/>
      <c r="FY100" s="311"/>
      <c r="FZ100" s="309"/>
      <c r="GA100" s="310"/>
      <c r="GB100" s="329"/>
      <c r="GC100" s="311"/>
      <c r="GD100" s="309"/>
      <c r="GE100" s="310"/>
      <c r="GF100" s="329"/>
      <c r="GG100" s="311"/>
      <c r="GH100" s="309"/>
      <c r="GI100" s="310"/>
      <c r="GJ100" s="329"/>
      <c r="GK100" s="311"/>
      <c r="GL100" s="309"/>
      <c r="GM100" s="310"/>
      <c r="GN100" s="329"/>
      <c r="GO100" s="311"/>
      <c r="GP100" s="309"/>
      <c r="GQ100" s="310"/>
      <c r="GR100" s="329"/>
      <c r="GS100" s="311"/>
      <c r="GT100" s="309"/>
      <c r="GU100" s="310"/>
      <c r="GV100" s="329"/>
      <c r="GW100" s="311"/>
      <c r="GX100" s="309"/>
      <c r="GY100" s="310"/>
      <c r="GZ100" s="329"/>
      <c r="HA100" s="311"/>
      <c r="HB100" s="309"/>
      <c r="HC100" s="312">
        <f t="shared" si="80"/>
        <v>0</v>
      </c>
      <c r="HD100" s="330"/>
      <c r="HE100" s="313">
        <f t="shared" si="81"/>
        <v>0</v>
      </c>
      <c r="HF100" s="314"/>
      <c r="HG100" s="312">
        <f>SUM(SUMIFS(K100:HB100,$K$13:$HB$13,{"エネルギー管理指定工場等*","県域*"}))</f>
        <v>0</v>
      </c>
      <c r="HH100" s="330"/>
      <c r="HI100" s="313">
        <f>SUM(SUMIFS(M100:HD100,$K$13:$HB$13,{"エネルギー管理指定工場等*","県域*"}))</f>
        <v>0</v>
      </c>
      <c r="HJ100" s="314"/>
      <c r="IE100" s="579"/>
      <c r="IF100" s="579"/>
      <c r="IG100" s="579"/>
      <c r="IH100" s="579"/>
    </row>
    <row r="101" spans="2:242" s="164" customFormat="1" ht="20.100000000000001" customHeight="1">
      <c r="B101" s="302"/>
      <c r="C101" s="319"/>
      <c r="D101" s="359"/>
      <c r="E101" s="360"/>
      <c r="F101" s="303" t="s">
        <v>463</v>
      </c>
      <c r="G101" s="310"/>
      <c r="H101" s="315"/>
      <c r="I101" s="310"/>
      <c r="J101" s="315"/>
      <c r="K101" s="310"/>
      <c r="L101" s="329"/>
      <c r="M101" s="329"/>
      <c r="N101" s="309"/>
      <c r="O101" s="310"/>
      <c r="P101" s="329"/>
      <c r="Q101" s="329"/>
      <c r="R101" s="309"/>
      <c r="S101" s="310"/>
      <c r="T101" s="329"/>
      <c r="U101" s="329"/>
      <c r="V101" s="309"/>
      <c r="W101" s="310"/>
      <c r="X101" s="329"/>
      <c r="Y101" s="329"/>
      <c r="Z101" s="309"/>
      <c r="AA101" s="310"/>
      <c r="AB101" s="329"/>
      <c r="AC101" s="329"/>
      <c r="AD101" s="309"/>
      <c r="AE101" s="310"/>
      <c r="AF101" s="329"/>
      <c r="AG101" s="329"/>
      <c r="AH101" s="309"/>
      <c r="AI101" s="310"/>
      <c r="AJ101" s="329"/>
      <c r="AK101" s="329"/>
      <c r="AL101" s="309"/>
      <c r="AM101" s="310"/>
      <c r="AN101" s="329"/>
      <c r="AO101" s="329"/>
      <c r="AP101" s="309"/>
      <c r="AQ101" s="310"/>
      <c r="AR101" s="329"/>
      <c r="AS101" s="329"/>
      <c r="AT101" s="309"/>
      <c r="AU101" s="310"/>
      <c r="AV101" s="329"/>
      <c r="AW101" s="329"/>
      <c r="AX101" s="309"/>
      <c r="AY101" s="310"/>
      <c r="AZ101" s="329"/>
      <c r="BA101" s="329"/>
      <c r="BB101" s="309"/>
      <c r="BC101" s="310"/>
      <c r="BD101" s="329"/>
      <c r="BE101" s="329"/>
      <c r="BF101" s="309"/>
      <c r="BG101" s="310"/>
      <c r="BH101" s="329"/>
      <c r="BI101" s="329"/>
      <c r="BJ101" s="309"/>
      <c r="BK101" s="310"/>
      <c r="BL101" s="329"/>
      <c r="BM101" s="329"/>
      <c r="BN101" s="309"/>
      <c r="BO101" s="310"/>
      <c r="BP101" s="329"/>
      <c r="BQ101" s="329"/>
      <c r="BR101" s="309"/>
      <c r="BS101" s="310"/>
      <c r="BT101" s="329"/>
      <c r="BU101" s="329"/>
      <c r="BV101" s="309"/>
      <c r="BW101" s="310"/>
      <c r="BX101" s="329"/>
      <c r="BY101" s="329"/>
      <c r="BZ101" s="309"/>
      <c r="CA101" s="310"/>
      <c r="CB101" s="329"/>
      <c r="CC101" s="329"/>
      <c r="CD101" s="309"/>
      <c r="CE101" s="310"/>
      <c r="CF101" s="329"/>
      <c r="CG101" s="329"/>
      <c r="CH101" s="309"/>
      <c r="CI101" s="310"/>
      <c r="CJ101" s="329"/>
      <c r="CK101" s="329"/>
      <c r="CL101" s="309"/>
      <c r="CM101" s="310"/>
      <c r="CN101" s="329"/>
      <c r="CO101" s="329"/>
      <c r="CP101" s="309"/>
      <c r="CQ101" s="310"/>
      <c r="CR101" s="329"/>
      <c r="CS101" s="329"/>
      <c r="CT101" s="309"/>
      <c r="CU101" s="310"/>
      <c r="CV101" s="329"/>
      <c r="CW101" s="329"/>
      <c r="CX101" s="309"/>
      <c r="CY101" s="310"/>
      <c r="CZ101" s="329"/>
      <c r="DA101" s="329"/>
      <c r="DB101" s="309"/>
      <c r="DC101" s="310"/>
      <c r="DD101" s="329"/>
      <c r="DE101" s="329"/>
      <c r="DF101" s="309"/>
      <c r="DG101" s="310"/>
      <c r="DH101" s="329"/>
      <c r="DI101" s="329"/>
      <c r="DJ101" s="309"/>
      <c r="DK101" s="310"/>
      <c r="DL101" s="329"/>
      <c r="DM101" s="329"/>
      <c r="DN101" s="309"/>
      <c r="DO101" s="310"/>
      <c r="DP101" s="329"/>
      <c r="DQ101" s="329"/>
      <c r="DR101" s="309"/>
      <c r="DS101" s="310"/>
      <c r="DT101" s="329"/>
      <c r="DU101" s="329"/>
      <c r="DV101" s="309"/>
      <c r="DW101" s="310"/>
      <c r="DX101" s="329"/>
      <c r="DY101" s="329"/>
      <c r="DZ101" s="309"/>
      <c r="EA101" s="310"/>
      <c r="EB101" s="329"/>
      <c r="EC101" s="329"/>
      <c r="ED101" s="309"/>
      <c r="EE101" s="310"/>
      <c r="EF101" s="329"/>
      <c r="EG101" s="329"/>
      <c r="EH101" s="309"/>
      <c r="EI101" s="310"/>
      <c r="EJ101" s="329"/>
      <c r="EK101" s="329"/>
      <c r="EL101" s="309"/>
      <c r="EM101" s="310"/>
      <c r="EN101" s="329"/>
      <c r="EO101" s="329"/>
      <c r="EP101" s="309"/>
      <c r="EQ101" s="310"/>
      <c r="ER101" s="329"/>
      <c r="ES101" s="329"/>
      <c r="ET101" s="309"/>
      <c r="EU101" s="310"/>
      <c r="EV101" s="329"/>
      <c r="EW101" s="329"/>
      <c r="EX101" s="309"/>
      <c r="EY101" s="310"/>
      <c r="EZ101" s="329"/>
      <c r="FA101" s="329"/>
      <c r="FB101" s="309"/>
      <c r="FC101" s="310"/>
      <c r="FD101" s="329"/>
      <c r="FE101" s="329"/>
      <c r="FF101" s="309"/>
      <c r="FG101" s="310"/>
      <c r="FH101" s="329"/>
      <c r="FI101" s="329"/>
      <c r="FJ101" s="309"/>
      <c r="FK101" s="310"/>
      <c r="FL101" s="329"/>
      <c r="FM101" s="329"/>
      <c r="FN101" s="309"/>
      <c r="FO101" s="310"/>
      <c r="FP101" s="329"/>
      <c r="FQ101" s="329"/>
      <c r="FR101" s="309"/>
      <c r="FS101" s="310"/>
      <c r="FT101" s="329"/>
      <c r="FU101" s="329"/>
      <c r="FV101" s="309"/>
      <c r="FW101" s="310"/>
      <c r="FX101" s="329"/>
      <c r="FY101" s="329"/>
      <c r="FZ101" s="309"/>
      <c r="GA101" s="310"/>
      <c r="GB101" s="329"/>
      <c r="GC101" s="329"/>
      <c r="GD101" s="309"/>
      <c r="GE101" s="310"/>
      <c r="GF101" s="329"/>
      <c r="GG101" s="329"/>
      <c r="GH101" s="309"/>
      <c r="GI101" s="310"/>
      <c r="GJ101" s="329"/>
      <c r="GK101" s="329"/>
      <c r="GL101" s="309"/>
      <c r="GM101" s="310"/>
      <c r="GN101" s="329"/>
      <c r="GO101" s="329"/>
      <c r="GP101" s="309"/>
      <c r="GQ101" s="310"/>
      <c r="GR101" s="329"/>
      <c r="GS101" s="329"/>
      <c r="GT101" s="309"/>
      <c r="GU101" s="310"/>
      <c r="GV101" s="329"/>
      <c r="GW101" s="329"/>
      <c r="GX101" s="309"/>
      <c r="GY101" s="310"/>
      <c r="GZ101" s="329"/>
      <c r="HA101" s="329"/>
      <c r="HB101" s="309"/>
      <c r="HC101" s="312">
        <f t="shared" si="80"/>
        <v>0</v>
      </c>
      <c r="HD101" s="330"/>
      <c r="HE101" s="330"/>
      <c r="HF101" s="314"/>
      <c r="HG101" s="312">
        <f>SUM(SUMIFS(K101:HB101,$K$13:$HB$13,{"エネルギー管理指定工場等*","県域*"}))</f>
        <v>0</v>
      </c>
      <c r="HH101" s="330"/>
      <c r="HI101" s="330"/>
      <c r="HJ101" s="314"/>
      <c r="IE101" s="579"/>
      <c r="IF101" s="579"/>
      <c r="IG101" s="579"/>
      <c r="IH101" s="579"/>
    </row>
    <row r="102" spans="2:242" s="164" customFormat="1" ht="19.8">
      <c r="B102" s="302"/>
      <c r="C102" s="327"/>
      <c r="D102" s="358"/>
      <c r="E102" s="335"/>
      <c r="F102" s="303" t="s">
        <v>610</v>
      </c>
      <c r="G102" s="310"/>
      <c r="H102" s="315"/>
      <c r="I102" s="310"/>
      <c r="J102" s="315"/>
      <c r="K102" s="310"/>
      <c r="L102" s="329"/>
      <c r="M102" s="311"/>
      <c r="N102" s="309"/>
      <c r="O102" s="310"/>
      <c r="P102" s="329"/>
      <c r="Q102" s="311"/>
      <c r="R102" s="309"/>
      <c r="S102" s="310"/>
      <c r="T102" s="329"/>
      <c r="U102" s="311"/>
      <c r="V102" s="309"/>
      <c r="W102" s="310"/>
      <c r="X102" s="329"/>
      <c r="Y102" s="311"/>
      <c r="Z102" s="309"/>
      <c r="AA102" s="310"/>
      <c r="AB102" s="329"/>
      <c r="AC102" s="311"/>
      <c r="AD102" s="309"/>
      <c r="AE102" s="310"/>
      <c r="AF102" s="329"/>
      <c r="AG102" s="311"/>
      <c r="AH102" s="309"/>
      <c r="AI102" s="310"/>
      <c r="AJ102" s="329"/>
      <c r="AK102" s="311"/>
      <c r="AL102" s="309"/>
      <c r="AM102" s="310"/>
      <c r="AN102" s="329"/>
      <c r="AO102" s="311"/>
      <c r="AP102" s="309"/>
      <c r="AQ102" s="310"/>
      <c r="AR102" s="329"/>
      <c r="AS102" s="311"/>
      <c r="AT102" s="309"/>
      <c r="AU102" s="310"/>
      <c r="AV102" s="329"/>
      <c r="AW102" s="311"/>
      <c r="AX102" s="309"/>
      <c r="AY102" s="310"/>
      <c r="AZ102" s="329"/>
      <c r="BA102" s="311"/>
      <c r="BB102" s="309"/>
      <c r="BC102" s="310"/>
      <c r="BD102" s="329"/>
      <c r="BE102" s="311"/>
      <c r="BF102" s="309"/>
      <c r="BG102" s="310"/>
      <c r="BH102" s="329"/>
      <c r="BI102" s="311"/>
      <c r="BJ102" s="309"/>
      <c r="BK102" s="310"/>
      <c r="BL102" s="329"/>
      <c r="BM102" s="311"/>
      <c r="BN102" s="309"/>
      <c r="BO102" s="310"/>
      <c r="BP102" s="329"/>
      <c r="BQ102" s="311"/>
      <c r="BR102" s="309"/>
      <c r="BS102" s="310"/>
      <c r="BT102" s="329"/>
      <c r="BU102" s="311"/>
      <c r="BV102" s="309"/>
      <c r="BW102" s="310"/>
      <c r="BX102" s="329"/>
      <c r="BY102" s="311"/>
      <c r="BZ102" s="309"/>
      <c r="CA102" s="310"/>
      <c r="CB102" s="329"/>
      <c r="CC102" s="311"/>
      <c r="CD102" s="309"/>
      <c r="CE102" s="310"/>
      <c r="CF102" s="329"/>
      <c r="CG102" s="311"/>
      <c r="CH102" s="309"/>
      <c r="CI102" s="310"/>
      <c r="CJ102" s="329"/>
      <c r="CK102" s="311"/>
      <c r="CL102" s="309"/>
      <c r="CM102" s="310"/>
      <c r="CN102" s="329"/>
      <c r="CO102" s="311"/>
      <c r="CP102" s="309"/>
      <c r="CQ102" s="310"/>
      <c r="CR102" s="329"/>
      <c r="CS102" s="311"/>
      <c r="CT102" s="309"/>
      <c r="CU102" s="310"/>
      <c r="CV102" s="329"/>
      <c r="CW102" s="311"/>
      <c r="CX102" s="309"/>
      <c r="CY102" s="310"/>
      <c r="CZ102" s="329"/>
      <c r="DA102" s="311"/>
      <c r="DB102" s="309"/>
      <c r="DC102" s="310"/>
      <c r="DD102" s="329"/>
      <c r="DE102" s="311"/>
      <c r="DF102" s="309"/>
      <c r="DG102" s="310"/>
      <c r="DH102" s="329"/>
      <c r="DI102" s="311"/>
      <c r="DJ102" s="309"/>
      <c r="DK102" s="310"/>
      <c r="DL102" s="329"/>
      <c r="DM102" s="311"/>
      <c r="DN102" s="309"/>
      <c r="DO102" s="310"/>
      <c r="DP102" s="329"/>
      <c r="DQ102" s="311"/>
      <c r="DR102" s="309"/>
      <c r="DS102" s="310"/>
      <c r="DT102" s="329"/>
      <c r="DU102" s="311"/>
      <c r="DV102" s="309"/>
      <c r="DW102" s="310"/>
      <c r="DX102" s="329"/>
      <c r="DY102" s="311"/>
      <c r="DZ102" s="309"/>
      <c r="EA102" s="310"/>
      <c r="EB102" s="329"/>
      <c r="EC102" s="311"/>
      <c r="ED102" s="309"/>
      <c r="EE102" s="310"/>
      <c r="EF102" s="329"/>
      <c r="EG102" s="311"/>
      <c r="EH102" s="309"/>
      <c r="EI102" s="310"/>
      <c r="EJ102" s="329"/>
      <c r="EK102" s="311"/>
      <c r="EL102" s="309"/>
      <c r="EM102" s="310"/>
      <c r="EN102" s="329"/>
      <c r="EO102" s="311"/>
      <c r="EP102" s="309"/>
      <c r="EQ102" s="310"/>
      <c r="ER102" s="329"/>
      <c r="ES102" s="311"/>
      <c r="ET102" s="309"/>
      <c r="EU102" s="310"/>
      <c r="EV102" s="329"/>
      <c r="EW102" s="311"/>
      <c r="EX102" s="309"/>
      <c r="EY102" s="310"/>
      <c r="EZ102" s="329"/>
      <c r="FA102" s="311"/>
      <c r="FB102" s="309"/>
      <c r="FC102" s="310"/>
      <c r="FD102" s="329"/>
      <c r="FE102" s="311"/>
      <c r="FF102" s="309"/>
      <c r="FG102" s="310"/>
      <c r="FH102" s="329"/>
      <c r="FI102" s="311"/>
      <c r="FJ102" s="309"/>
      <c r="FK102" s="310"/>
      <c r="FL102" s="329"/>
      <c r="FM102" s="311"/>
      <c r="FN102" s="309"/>
      <c r="FO102" s="310"/>
      <c r="FP102" s="329"/>
      <c r="FQ102" s="311"/>
      <c r="FR102" s="309"/>
      <c r="FS102" s="310"/>
      <c r="FT102" s="329"/>
      <c r="FU102" s="311"/>
      <c r="FV102" s="309"/>
      <c r="FW102" s="310"/>
      <c r="FX102" s="329"/>
      <c r="FY102" s="311"/>
      <c r="FZ102" s="309"/>
      <c r="GA102" s="310"/>
      <c r="GB102" s="329"/>
      <c r="GC102" s="311"/>
      <c r="GD102" s="309"/>
      <c r="GE102" s="310"/>
      <c r="GF102" s="329"/>
      <c r="GG102" s="311"/>
      <c r="GH102" s="309"/>
      <c r="GI102" s="310"/>
      <c r="GJ102" s="329"/>
      <c r="GK102" s="311"/>
      <c r="GL102" s="309"/>
      <c r="GM102" s="310"/>
      <c r="GN102" s="329"/>
      <c r="GO102" s="311"/>
      <c r="GP102" s="309"/>
      <c r="GQ102" s="310"/>
      <c r="GR102" s="329"/>
      <c r="GS102" s="311"/>
      <c r="GT102" s="309"/>
      <c r="GU102" s="310"/>
      <c r="GV102" s="329"/>
      <c r="GW102" s="311"/>
      <c r="GX102" s="309"/>
      <c r="GY102" s="310"/>
      <c r="GZ102" s="329"/>
      <c r="HA102" s="311"/>
      <c r="HB102" s="309"/>
      <c r="HC102" s="312">
        <f t="shared" si="80"/>
        <v>0</v>
      </c>
      <c r="HD102" s="330"/>
      <c r="HE102" s="313">
        <f t="shared" si="81"/>
        <v>0</v>
      </c>
      <c r="HF102" s="314"/>
      <c r="HG102" s="312">
        <f>SUM(SUMIFS(K102:HB102,$K$13:$HB$13,{"エネルギー管理指定工場等*","県域*"}))</f>
        <v>0</v>
      </c>
      <c r="HH102" s="330"/>
      <c r="HI102" s="313">
        <f>SUM(SUMIFS(M102:HD102,$K$13:$HB$13,{"エネルギー管理指定工場等*","県域*"}))</f>
        <v>0</v>
      </c>
      <c r="HJ102" s="314"/>
      <c r="IE102" s="579"/>
      <c r="IF102" s="579"/>
      <c r="IG102" s="579"/>
      <c r="IH102" s="579"/>
    </row>
    <row r="103" spans="2:242" s="164" customFormat="1" ht="20.100000000000001" customHeight="1">
      <c r="B103" s="302"/>
      <c r="C103" s="318"/>
      <c r="D103" s="359"/>
      <c r="E103" s="360"/>
      <c r="F103" s="303" t="s">
        <v>463</v>
      </c>
      <c r="G103" s="310"/>
      <c r="H103" s="315"/>
      <c r="I103" s="310"/>
      <c r="J103" s="315"/>
      <c r="K103" s="310"/>
      <c r="L103" s="329"/>
      <c r="M103" s="329"/>
      <c r="N103" s="309"/>
      <c r="O103" s="310"/>
      <c r="P103" s="329"/>
      <c r="Q103" s="329"/>
      <c r="R103" s="309"/>
      <c r="S103" s="310"/>
      <c r="T103" s="329"/>
      <c r="U103" s="329"/>
      <c r="V103" s="309"/>
      <c r="W103" s="310"/>
      <c r="X103" s="329"/>
      <c r="Y103" s="329"/>
      <c r="Z103" s="309"/>
      <c r="AA103" s="310"/>
      <c r="AB103" s="329"/>
      <c r="AC103" s="329"/>
      <c r="AD103" s="309"/>
      <c r="AE103" s="310"/>
      <c r="AF103" s="329"/>
      <c r="AG103" s="329"/>
      <c r="AH103" s="309"/>
      <c r="AI103" s="310"/>
      <c r="AJ103" s="329"/>
      <c r="AK103" s="329"/>
      <c r="AL103" s="309"/>
      <c r="AM103" s="310"/>
      <c r="AN103" s="329"/>
      <c r="AO103" s="329"/>
      <c r="AP103" s="309"/>
      <c r="AQ103" s="310"/>
      <c r="AR103" s="329"/>
      <c r="AS103" s="329"/>
      <c r="AT103" s="309"/>
      <c r="AU103" s="310"/>
      <c r="AV103" s="329"/>
      <c r="AW103" s="329"/>
      <c r="AX103" s="309"/>
      <c r="AY103" s="310"/>
      <c r="AZ103" s="329"/>
      <c r="BA103" s="329"/>
      <c r="BB103" s="309"/>
      <c r="BC103" s="310"/>
      <c r="BD103" s="329"/>
      <c r="BE103" s="329"/>
      <c r="BF103" s="309"/>
      <c r="BG103" s="310"/>
      <c r="BH103" s="329"/>
      <c r="BI103" s="329"/>
      <c r="BJ103" s="309"/>
      <c r="BK103" s="310"/>
      <c r="BL103" s="329"/>
      <c r="BM103" s="329"/>
      <c r="BN103" s="309"/>
      <c r="BO103" s="310"/>
      <c r="BP103" s="329"/>
      <c r="BQ103" s="329"/>
      <c r="BR103" s="309"/>
      <c r="BS103" s="310"/>
      <c r="BT103" s="329"/>
      <c r="BU103" s="329"/>
      <c r="BV103" s="309"/>
      <c r="BW103" s="310"/>
      <c r="BX103" s="329"/>
      <c r="BY103" s="329"/>
      <c r="BZ103" s="309"/>
      <c r="CA103" s="310"/>
      <c r="CB103" s="329"/>
      <c r="CC103" s="329"/>
      <c r="CD103" s="309"/>
      <c r="CE103" s="310"/>
      <c r="CF103" s="329"/>
      <c r="CG103" s="329"/>
      <c r="CH103" s="309"/>
      <c r="CI103" s="310"/>
      <c r="CJ103" s="329"/>
      <c r="CK103" s="329"/>
      <c r="CL103" s="309"/>
      <c r="CM103" s="310"/>
      <c r="CN103" s="329"/>
      <c r="CO103" s="329"/>
      <c r="CP103" s="309"/>
      <c r="CQ103" s="310"/>
      <c r="CR103" s="329"/>
      <c r="CS103" s="329"/>
      <c r="CT103" s="309"/>
      <c r="CU103" s="310"/>
      <c r="CV103" s="329"/>
      <c r="CW103" s="329"/>
      <c r="CX103" s="309"/>
      <c r="CY103" s="310"/>
      <c r="CZ103" s="329"/>
      <c r="DA103" s="329"/>
      <c r="DB103" s="309"/>
      <c r="DC103" s="310"/>
      <c r="DD103" s="329"/>
      <c r="DE103" s="329"/>
      <c r="DF103" s="309"/>
      <c r="DG103" s="310"/>
      <c r="DH103" s="329"/>
      <c r="DI103" s="329"/>
      <c r="DJ103" s="309"/>
      <c r="DK103" s="310"/>
      <c r="DL103" s="329"/>
      <c r="DM103" s="329"/>
      <c r="DN103" s="309"/>
      <c r="DO103" s="310"/>
      <c r="DP103" s="329"/>
      <c r="DQ103" s="329"/>
      <c r="DR103" s="309"/>
      <c r="DS103" s="310"/>
      <c r="DT103" s="329"/>
      <c r="DU103" s="329"/>
      <c r="DV103" s="309"/>
      <c r="DW103" s="310"/>
      <c r="DX103" s="329"/>
      <c r="DY103" s="329"/>
      <c r="DZ103" s="309"/>
      <c r="EA103" s="310"/>
      <c r="EB103" s="329"/>
      <c r="EC103" s="329"/>
      <c r="ED103" s="309"/>
      <c r="EE103" s="310"/>
      <c r="EF103" s="329"/>
      <c r="EG103" s="329"/>
      <c r="EH103" s="309"/>
      <c r="EI103" s="310"/>
      <c r="EJ103" s="329"/>
      <c r="EK103" s="329"/>
      <c r="EL103" s="309"/>
      <c r="EM103" s="310"/>
      <c r="EN103" s="329"/>
      <c r="EO103" s="329"/>
      <c r="EP103" s="309"/>
      <c r="EQ103" s="310"/>
      <c r="ER103" s="329"/>
      <c r="ES103" s="329"/>
      <c r="ET103" s="309"/>
      <c r="EU103" s="310"/>
      <c r="EV103" s="329"/>
      <c r="EW103" s="329"/>
      <c r="EX103" s="309"/>
      <c r="EY103" s="310"/>
      <c r="EZ103" s="329"/>
      <c r="FA103" s="329"/>
      <c r="FB103" s="309"/>
      <c r="FC103" s="310"/>
      <c r="FD103" s="329"/>
      <c r="FE103" s="329"/>
      <c r="FF103" s="309"/>
      <c r="FG103" s="310"/>
      <c r="FH103" s="329"/>
      <c r="FI103" s="329"/>
      <c r="FJ103" s="309"/>
      <c r="FK103" s="310"/>
      <c r="FL103" s="329"/>
      <c r="FM103" s="329"/>
      <c r="FN103" s="309"/>
      <c r="FO103" s="310"/>
      <c r="FP103" s="329"/>
      <c r="FQ103" s="329"/>
      <c r="FR103" s="309"/>
      <c r="FS103" s="310"/>
      <c r="FT103" s="329"/>
      <c r="FU103" s="329"/>
      <c r="FV103" s="309"/>
      <c r="FW103" s="310"/>
      <c r="FX103" s="329"/>
      <c r="FY103" s="329"/>
      <c r="FZ103" s="309"/>
      <c r="GA103" s="310"/>
      <c r="GB103" s="329"/>
      <c r="GC103" s="329"/>
      <c r="GD103" s="309"/>
      <c r="GE103" s="310"/>
      <c r="GF103" s="329"/>
      <c r="GG103" s="329"/>
      <c r="GH103" s="309"/>
      <c r="GI103" s="310"/>
      <c r="GJ103" s="329"/>
      <c r="GK103" s="329"/>
      <c r="GL103" s="309"/>
      <c r="GM103" s="310"/>
      <c r="GN103" s="329"/>
      <c r="GO103" s="329"/>
      <c r="GP103" s="309"/>
      <c r="GQ103" s="310"/>
      <c r="GR103" s="329"/>
      <c r="GS103" s="329"/>
      <c r="GT103" s="309"/>
      <c r="GU103" s="310"/>
      <c r="GV103" s="329"/>
      <c r="GW103" s="329"/>
      <c r="GX103" s="309"/>
      <c r="GY103" s="310"/>
      <c r="GZ103" s="329"/>
      <c r="HA103" s="329"/>
      <c r="HB103" s="309"/>
      <c r="HC103" s="312">
        <f t="shared" si="80"/>
        <v>0</v>
      </c>
      <c r="HD103" s="330"/>
      <c r="HE103" s="330"/>
      <c r="HF103" s="314"/>
      <c r="HG103" s="312">
        <f>SUM(SUMIFS(K103:HB103,$K$13:$HB$13,{"エネルギー管理指定工場等*","県域*"}))</f>
        <v>0</v>
      </c>
      <c r="HH103" s="330"/>
      <c r="HI103" s="330"/>
      <c r="HJ103" s="314"/>
      <c r="IE103" s="579"/>
      <c r="IF103" s="579"/>
      <c r="IG103" s="579"/>
      <c r="IH103" s="579"/>
    </row>
    <row r="104" spans="2:242" s="164" customFormat="1" ht="20.100000000000001" customHeight="1">
      <c r="B104" s="302"/>
      <c r="C104" s="327" t="s">
        <v>1387</v>
      </c>
      <c r="D104" s="303" t="s">
        <v>1388</v>
      </c>
      <c r="E104" s="335"/>
      <c r="F104" s="303" t="s">
        <v>610</v>
      </c>
      <c r="G104" s="306">
        <v>8.64</v>
      </c>
      <c r="H104" s="315"/>
      <c r="I104" s="310"/>
      <c r="J104" s="315"/>
      <c r="K104" s="310"/>
      <c r="L104" s="329"/>
      <c r="M104" s="311"/>
      <c r="N104" s="309"/>
      <c r="O104" s="310"/>
      <c r="P104" s="329"/>
      <c r="Q104" s="311"/>
      <c r="R104" s="309"/>
      <c r="S104" s="310"/>
      <c r="T104" s="329"/>
      <c r="U104" s="311"/>
      <c r="V104" s="309"/>
      <c r="W104" s="310"/>
      <c r="X104" s="329"/>
      <c r="Y104" s="311"/>
      <c r="Z104" s="309"/>
      <c r="AA104" s="310"/>
      <c r="AB104" s="329"/>
      <c r="AC104" s="311"/>
      <c r="AD104" s="309"/>
      <c r="AE104" s="310"/>
      <c r="AF104" s="329"/>
      <c r="AG104" s="311"/>
      <c r="AH104" s="309"/>
      <c r="AI104" s="310"/>
      <c r="AJ104" s="329"/>
      <c r="AK104" s="311"/>
      <c r="AL104" s="309"/>
      <c r="AM104" s="310"/>
      <c r="AN104" s="329"/>
      <c r="AO104" s="311"/>
      <c r="AP104" s="309"/>
      <c r="AQ104" s="310"/>
      <c r="AR104" s="329"/>
      <c r="AS104" s="311"/>
      <c r="AT104" s="309"/>
      <c r="AU104" s="310"/>
      <c r="AV104" s="329"/>
      <c r="AW104" s="311"/>
      <c r="AX104" s="309"/>
      <c r="AY104" s="310"/>
      <c r="AZ104" s="329"/>
      <c r="BA104" s="311"/>
      <c r="BB104" s="309"/>
      <c r="BC104" s="310"/>
      <c r="BD104" s="329"/>
      <c r="BE104" s="311"/>
      <c r="BF104" s="309"/>
      <c r="BG104" s="310"/>
      <c r="BH104" s="329"/>
      <c r="BI104" s="311"/>
      <c r="BJ104" s="309"/>
      <c r="BK104" s="310"/>
      <c r="BL104" s="329"/>
      <c r="BM104" s="311"/>
      <c r="BN104" s="309"/>
      <c r="BO104" s="310"/>
      <c r="BP104" s="329"/>
      <c r="BQ104" s="311"/>
      <c r="BR104" s="309"/>
      <c r="BS104" s="310"/>
      <c r="BT104" s="329"/>
      <c r="BU104" s="311"/>
      <c r="BV104" s="309"/>
      <c r="BW104" s="310"/>
      <c r="BX104" s="329"/>
      <c r="BY104" s="311"/>
      <c r="BZ104" s="309"/>
      <c r="CA104" s="310"/>
      <c r="CB104" s="329"/>
      <c r="CC104" s="311"/>
      <c r="CD104" s="309"/>
      <c r="CE104" s="310"/>
      <c r="CF104" s="329"/>
      <c r="CG104" s="311"/>
      <c r="CH104" s="309"/>
      <c r="CI104" s="310"/>
      <c r="CJ104" s="329"/>
      <c r="CK104" s="311"/>
      <c r="CL104" s="309"/>
      <c r="CM104" s="310"/>
      <c r="CN104" s="329"/>
      <c r="CO104" s="311"/>
      <c r="CP104" s="309"/>
      <c r="CQ104" s="310"/>
      <c r="CR104" s="329"/>
      <c r="CS104" s="311"/>
      <c r="CT104" s="309"/>
      <c r="CU104" s="310"/>
      <c r="CV104" s="329"/>
      <c r="CW104" s="311"/>
      <c r="CX104" s="309"/>
      <c r="CY104" s="310"/>
      <c r="CZ104" s="329"/>
      <c r="DA104" s="311"/>
      <c r="DB104" s="309"/>
      <c r="DC104" s="310"/>
      <c r="DD104" s="329"/>
      <c r="DE104" s="311"/>
      <c r="DF104" s="309"/>
      <c r="DG104" s="310"/>
      <c r="DH104" s="329"/>
      <c r="DI104" s="311"/>
      <c r="DJ104" s="309"/>
      <c r="DK104" s="310"/>
      <c r="DL104" s="329"/>
      <c r="DM104" s="311"/>
      <c r="DN104" s="309"/>
      <c r="DO104" s="310"/>
      <c r="DP104" s="329"/>
      <c r="DQ104" s="311"/>
      <c r="DR104" s="309"/>
      <c r="DS104" s="310"/>
      <c r="DT104" s="329"/>
      <c r="DU104" s="311"/>
      <c r="DV104" s="309"/>
      <c r="DW104" s="310"/>
      <c r="DX104" s="329"/>
      <c r="DY104" s="311"/>
      <c r="DZ104" s="309"/>
      <c r="EA104" s="310"/>
      <c r="EB104" s="329"/>
      <c r="EC104" s="311"/>
      <c r="ED104" s="309"/>
      <c r="EE104" s="310"/>
      <c r="EF104" s="329"/>
      <c r="EG104" s="311"/>
      <c r="EH104" s="309"/>
      <c r="EI104" s="310"/>
      <c r="EJ104" s="329"/>
      <c r="EK104" s="311"/>
      <c r="EL104" s="309"/>
      <c r="EM104" s="310"/>
      <c r="EN104" s="329"/>
      <c r="EO104" s="311"/>
      <c r="EP104" s="309"/>
      <c r="EQ104" s="310"/>
      <c r="ER104" s="329"/>
      <c r="ES104" s="311"/>
      <c r="ET104" s="309"/>
      <c r="EU104" s="310"/>
      <c r="EV104" s="329"/>
      <c r="EW104" s="311"/>
      <c r="EX104" s="309"/>
      <c r="EY104" s="310"/>
      <c r="EZ104" s="329"/>
      <c r="FA104" s="311"/>
      <c r="FB104" s="309"/>
      <c r="FC104" s="310"/>
      <c r="FD104" s="329"/>
      <c r="FE104" s="311"/>
      <c r="FF104" s="309"/>
      <c r="FG104" s="310"/>
      <c r="FH104" s="329"/>
      <c r="FI104" s="311"/>
      <c r="FJ104" s="309"/>
      <c r="FK104" s="310"/>
      <c r="FL104" s="329"/>
      <c r="FM104" s="311"/>
      <c r="FN104" s="309"/>
      <c r="FO104" s="310"/>
      <c r="FP104" s="329"/>
      <c r="FQ104" s="311"/>
      <c r="FR104" s="309"/>
      <c r="FS104" s="310"/>
      <c r="FT104" s="329"/>
      <c r="FU104" s="311"/>
      <c r="FV104" s="309"/>
      <c r="FW104" s="310"/>
      <c r="FX104" s="329"/>
      <c r="FY104" s="311"/>
      <c r="FZ104" s="309"/>
      <c r="GA104" s="310"/>
      <c r="GB104" s="329"/>
      <c r="GC104" s="311"/>
      <c r="GD104" s="309"/>
      <c r="GE104" s="310"/>
      <c r="GF104" s="329"/>
      <c r="GG104" s="311"/>
      <c r="GH104" s="309"/>
      <c r="GI104" s="310"/>
      <c r="GJ104" s="329"/>
      <c r="GK104" s="311"/>
      <c r="GL104" s="309"/>
      <c r="GM104" s="310"/>
      <c r="GN104" s="329"/>
      <c r="GO104" s="311"/>
      <c r="GP104" s="309"/>
      <c r="GQ104" s="310"/>
      <c r="GR104" s="329"/>
      <c r="GS104" s="311"/>
      <c r="GT104" s="309"/>
      <c r="GU104" s="310"/>
      <c r="GV104" s="329"/>
      <c r="GW104" s="311"/>
      <c r="GX104" s="309"/>
      <c r="GY104" s="310"/>
      <c r="GZ104" s="329"/>
      <c r="HA104" s="311"/>
      <c r="HB104" s="309"/>
      <c r="HC104" s="312">
        <f t="shared" si="80"/>
        <v>0</v>
      </c>
      <c r="HD104" s="330"/>
      <c r="HE104" s="313">
        <f t="shared" si="81"/>
        <v>0</v>
      </c>
      <c r="HF104" s="314"/>
      <c r="HG104" s="312">
        <f>SUM(SUMIFS(K104:HB104,$K$13:$HB$13,{"エネルギー管理指定工場等*","県域*"}))</f>
        <v>0</v>
      </c>
      <c r="HH104" s="330"/>
      <c r="HI104" s="313">
        <f>SUM(SUMIFS(M104:HD104,$K$13:$HB$13,{"エネルギー管理指定工場等*","県域*"}))</f>
        <v>0</v>
      </c>
      <c r="HJ104" s="314"/>
      <c r="IE104" s="579"/>
      <c r="IF104" s="579"/>
      <c r="IG104" s="579"/>
      <c r="IH104" s="579"/>
    </row>
    <row r="105" spans="2:242" s="164" customFormat="1" ht="20.100000000000001" customHeight="1">
      <c r="B105" s="302"/>
      <c r="C105" s="318"/>
      <c r="D105" s="303" t="s">
        <v>624</v>
      </c>
      <c r="E105" s="335"/>
      <c r="F105" s="303" t="s">
        <v>610</v>
      </c>
      <c r="G105" s="306">
        <v>8.64</v>
      </c>
      <c r="H105" s="315"/>
      <c r="I105" s="310"/>
      <c r="J105" s="315"/>
      <c r="K105" s="310"/>
      <c r="L105" s="329"/>
      <c r="M105" s="311"/>
      <c r="N105" s="309"/>
      <c r="O105" s="310"/>
      <c r="P105" s="329"/>
      <c r="Q105" s="311"/>
      <c r="R105" s="309"/>
      <c r="S105" s="310"/>
      <c r="T105" s="329"/>
      <c r="U105" s="311"/>
      <c r="V105" s="309"/>
      <c r="W105" s="310"/>
      <c r="X105" s="329"/>
      <c r="Y105" s="311"/>
      <c r="Z105" s="309"/>
      <c r="AA105" s="310"/>
      <c r="AB105" s="329"/>
      <c r="AC105" s="311"/>
      <c r="AD105" s="309"/>
      <c r="AE105" s="310"/>
      <c r="AF105" s="329"/>
      <c r="AG105" s="311"/>
      <c r="AH105" s="309"/>
      <c r="AI105" s="310"/>
      <c r="AJ105" s="329"/>
      <c r="AK105" s="311"/>
      <c r="AL105" s="309"/>
      <c r="AM105" s="310"/>
      <c r="AN105" s="329"/>
      <c r="AO105" s="311"/>
      <c r="AP105" s="309"/>
      <c r="AQ105" s="310"/>
      <c r="AR105" s="329"/>
      <c r="AS105" s="311"/>
      <c r="AT105" s="309"/>
      <c r="AU105" s="310"/>
      <c r="AV105" s="329"/>
      <c r="AW105" s="311"/>
      <c r="AX105" s="309"/>
      <c r="AY105" s="310"/>
      <c r="AZ105" s="329"/>
      <c r="BA105" s="311"/>
      <c r="BB105" s="309"/>
      <c r="BC105" s="310"/>
      <c r="BD105" s="329"/>
      <c r="BE105" s="311"/>
      <c r="BF105" s="309"/>
      <c r="BG105" s="310"/>
      <c r="BH105" s="329"/>
      <c r="BI105" s="311"/>
      <c r="BJ105" s="309"/>
      <c r="BK105" s="310"/>
      <c r="BL105" s="329"/>
      <c r="BM105" s="311"/>
      <c r="BN105" s="309"/>
      <c r="BO105" s="310"/>
      <c r="BP105" s="329"/>
      <c r="BQ105" s="311"/>
      <c r="BR105" s="309"/>
      <c r="BS105" s="310"/>
      <c r="BT105" s="329"/>
      <c r="BU105" s="311"/>
      <c r="BV105" s="309"/>
      <c r="BW105" s="310"/>
      <c r="BX105" s="329"/>
      <c r="BY105" s="311"/>
      <c r="BZ105" s="309"/>
      <c r="CA105" s="310"/>
      <c r="CB105" s="329"/>
      <c r="CC105" s="311"/>
      <c r="CD105" s="309"/>
      <c r="CE105" s="310"/>
      <c r="CF105" s="329"/>
      <c r="CG105" s="311"/>
      <c r="CH105" s="309"/>
      <c r="CI105" s="310"/>
      <c r="CJ105" s="329"/>
      <c r="CK105" s="311"/>
      <c r="CL105" s="309"/>
      <c r="CM105" s="310"/>
      <c r="CN105" s="329"/>
      <c r="CO105" s="311"/>
      <c r="CP105" s="309"/>
      <c r="CQ105" s="310"/>
      <c r="CR105" s="329"/>
      <c r="CS105" s="311"/>
      <c r="CT105" s="309"/>
      <c r="CU105" s="310"/>
      <c r="CV105" s="329"/>
      <c r="CW105" s="311"/>
      <c r="CX105" s="309"/>
      <c r="CY105" s="310"/>
      <c r="CZ105" s="329"/>
      <c r="DA105" s="311"/>
      <c r="DB105" s="309"/>
      <c r="DC105" s="310"/>
      <c r="DD105" s="329"/>
      <c r="DE105" s="311"/>
      <c r="DF105" s="309"/>
      <c r="DG105" s="310"/>
      <c r="DH105" s="329"/>
      <c r="DI105" s="311"/>
      <c r="DJ105" s="309"/>
      <c r="DK105" s="310"/>
      <c r="DL105" s="329"/>
      <c r="DM105" s="311"/>
      <c r="DN105" s="309"/>
      <c r="DO105" s="310"/>
      <c r="DP105" s="329"/>
      <c r="DQ105" s="311"/>
      <c r="DR105" s="309"/>
      <c r="DS105" s="310"/>
      <c r="DT105" s="329"/>
      <c r="DU105" s="311"/>
      <c r="DV105" s="309"/>
      <c r="DW105" s="310"/>
      <c r="DX105" s="329"/>
      <c r="DY105" s="311"/>
      <c r="DZ105" s="309"/>
      <c r="EA105" s="310"/>
      <c r="EB105" s="329"/>
      <c r="EC105" s="311"/>
      <c r="ED105" s="309"/>
      <c r="EE105" s="310"/>
      <c r="EF105" s="329"/>
      <c r="EG105" s="311"/>
      <c r="EH105" s="309"/>
      <c r="EI105" s="310"/>
      <c r="EJ105" s="329"/>
      <c r="EK105" s="311"/>
      <c r="EL105" s="309"/>
      <c r="EM105" s="310"/>
      <c r="EN105" s="329"/>
      <c r="EO105" s="311"/>
      <c r="EP105" s="309"/>
      <c r="EQ105" s="310"/>
      <c r="ER105" s="329"/>
      <c r="ES105" s="311"/>
      <c r="ET105" s="309"/>
      <c r="EU105" s="310"/>
      <c r="EV105" s="329"/>
      <c r="EW105" s="311"/>
      <c r="EX105" s="309"/>
      <c r="EY105" s="310"/>
      <c r="EZ105" s="329"/>
      <c r="FA105" s="311"/>
      <c r="FB105" s="309"/>
      <c r="FC105" s="310"/>
      <c r="FD105" s="329"/>
      <c r="FE105" s="311"/>
      <c r="FF105" s="309"/>
      <c r="FG105" s="310"/>
      <c r="FH105" s="329"/>
      <c r="FI105" s="311"/>
      <c r="FJ105" s="309"/>
      <c r="FK105" s="310"/>
      <c r="FL105" s="329"/>
      <c r="FM105" s="311"/>
      <c r="FN105" s="309"/>
      <c r="FO105" s="310"/>
      <c r="FP105" s="329"/>
      <c r="FQ105" s="311"/>
      <c r="FR105" s="309"/>
      <c r="FS105" s="310"/>
      <c r="FT105" s="329"/>
      <c r="FU105" s="311"/>
      <c r="FV105" s="309"/>
      <c r="FW105" s="310"/>
      <c r="FX105" s="329"/>
      <c r="FY105" s="311"/>
      <c r="FZ105" s="309"/>
      <c r="GA105" s="310"/>
      <c r="GB105" s="329"/>
      <c r="GC105" s="311"/>
      <c r="GD105" s="309"/>
      <c r="GE105" s="310"/>
      <c r="GF105" s="329"/>
      <c r="GG105" s="311"/>
      <c r="GH105" s="309"/>
      <c r="GI105" s="310"/>
      <c r="GJ105" s="329"/>
      <c r="GK105" s="311"/>
      <c r="GL105" s="309"/>
      <c r="GM105" s="310"/>
      <c r="GN105" s="329"/>
      <c r="GO105" s="311"/>
      <c r="GP105" s="309"/>
      <c r="GQ105" s="310"/>
      <c r="GR105" s="329"/>
      <c r="GS105" s="311"/>
      <c r="GT105" s="309"/>
      <c r="GU105" s="310"/>
      <c r="GV105" s="329"/>
      <c r="GW105" s="311"/>
      <c r="GX105" s="309"/>
      <c r="GY105" s="310"/>
      <c r="GZ105" s="329"/>
      <c r="HA105" s="311"/>
      <c r="HB105" s="309"/>
      <c r="HC105" s="312">
        <f t="shared" si="80"/>
        <v>0</v>
      </c>
      <c r="HD105" s="330"/>
      <c r="HE105" s="313">
        <f t="shared" si="81"/>
        <v>0</v>
      </c>
      <c r="HF105" s="314"/>
      <c r="HG105" s="312">
        <f>SUM(SUMIFS(K105:HB105,$K$13:$HB$13,{"エネルギー管理指定工場等*","県域*"}))</f>
        <v>0</v>
      </c>
      <c r="HH105" s="330"/>
      <c r="HI105" s="313">
        <f>SUM(SUMIFS(M105:HD105,$K$13:$HB$13,{"エネルギー管理指定工場等*","県域*"}))</f>
        <v>0</v>
      </c>
      <c r="HJ105" s="314"/>
      <c r="IE105" s="579"/>
      <c r="IF105" s="579"/>
      <c r="IG105" s="579"/>
      <c r="IH105" s="579"/>
    </row>
    <row r="106" spans="2:242" s="164" customFormat="1" ht="20.100000000000001" customHeight="1">
      <c r="B106" s="302"/>
      <c r="C106" s="327" t="s">
        <v>1389</v>
      </c>
      <c r="D106" s="303" t="s">
        <v>1388</v>
      </c>
      <c r="E106" s="335"/>
      <c r="F106" s="303" t="s">
        <v>610</v>
      </c>
      <c r="G106" s="306">
        <v>8.64</v>
      </c>
      <c r="H106" s="315"/>
      <c r="I106" s="310"/>
      <c r="J106" s="315"/>
      <c r="K106" s="310"/>
      <c r="L106" s="329"/>
      <c r="M106" s="311"/>
      <c r="N106" s="309"/>
      <c r="O106" s="310"/>
      <c r="P106" s="329"/>
      <c r="Q106" s="311"/>
      <c r="R106" s="309"/>
      <c r="S106" s="310"/>
      <c r="T106" s="329"/>
      <c r="U106" s="311"/>
      <c r="V106" s="309"/>
      <c r="W106" s="310"/>
      <c r="X106" s="329"/>
      <c r="Y106" s="311"/>
      <c r="Z106" s="309"/>
      <c r="AA106" s="310"/>
      <c r="AB106" s="329"/>
      <c r="AC106" s="311"/>
      <c r="AD106" s="309"/>
      <c r="AE106" s="310"/>
      <c r="AF106" s="329"/>
      <c r="AG106" s="311"/>
      <c r="AH106" s="309"/>
      <c r="AI106" s="310"/>
      <c r="AJ106" s="329"/>
      <c r="AK106" s="311"/>
      <c r="AL106" s="309"/>
      <c r="AM106" s="310"/>
      <c r="AN106" s="329"/>
      <c r="AO106" s="311"/>
      <c r="AP106" s="309"/>
      <c r="AQ106" s="310"/>
      <c r="AR106" s="329"/>
      <c r="AS106" s="311"/>
      <c r="AT106" s="309"/>
      <c r="AU106" s="310"/>
      <c r="AV106" s="329"/>
      <c r="AW106" s="311"/>
      <c r="AX106" s="309"/>
      <c r="AY106" s="310"/>
      <c r="AZ106" s="329"/>
      <c r="BA106" s="311"/>
      <c r="BB106" s="309"/>
      <c r="BC106" s="310"/>
      <c r="BD106" s="329"/>
      <c r="BE106" s="311"/>
      <c r="BF106" s="309"/>
      <c r="BG106" s="310"/>
      <c r="BH106" s="329"/>
      <c r="BI106" s="311"/>
      <c r="BJ106" s="309"/>
      <c r="BK106" s="310"/>
      <c r="BL106" s="329"/>
      <c r="BM106" s="311"/>
      <c r="BN106" s="309"/>
      <c r="BO106" s="310"/>
      <c r="BP106" s="329"/>
      <c r="BQ106" s="311"/>
      <c r="BR106" s="309"/>
      <c r="BS106" s="310"/>
      <c r="BT106" s="329"/>
      <c r="BU106" s="311"/>
      <c r="BV106" s="309"/>
      <c r="BW106" s="310"/>
      <c r="BX106" s="329"/>
      <c r="BY106" s="311"/>
      <c r="BZ106" s="309"/>
      <c r="CA106" s="310"/>
      <c r="CB106" s="329"/>
      <c r="CC106" s="311"/>
      <c r="CD106" s="309"/>
      <c r="CE106" s="310"/>
      <c r="CF106" s="329"/>
      <c r="CG106" s="311"/>
      <c r="CH106" s="309"/>
      <c r="CI106" s="310"/>
      <c r="CJ106" s="329"/>
      <c r="CK106" s="311"/>
      <c r="CL106" s="309"/>
      <c r="CM106" s="310"/>
      <c r="CN106" s="329"/>
      <c r="CO106" s="311"/>
      <c r="CP106" s="309"/>
      <c r="CQ106" s="310"/>
      <c r="CR106" s="329"/>
      <c r="CS106" s="311"/>
      <c r="CT106" s="309"/>
      <c r="CU106" s="310"/>
      <c r="CV106" s="329"/>
      <c r="CW106" s="311"/>
      <c r="CX106" s="309"/>
      <c r="CY106" s="310"/>
      <c r="CZ106" s="329"/>
      <c r="DA106" s="311"/>
      <c r="DB106" s="309"/>
      <c r="DC106" s="310"/>
      <c r="DD106" s="329"/>
      <c r="DE106" s="311"/>
      <c r="DF106" s="309"/>
      <c r="DG106" s="310"/>
      <c r="DH106" s="329"/>
      <c r="DI106" s="311"/>
      <c r="DJ106" s="309"/>
      <c r="DK106" s="310"/>
      <c r="DL106" s="329"/>
      <c r="DM106" s="311"/>
      <c r="DN106" s="309"/>
      <c r="DO106" s="310"/>
      <c r="DP106" s="329"/>
      <c r="DQ106" s="311"/>
      <c r="DR106" s="309"/>
      <c r="DS106" s="310"/>
      <c r="DT106" s="329"/>
      <c r="DU106" s="311"/>
      <c r="DV106" s="309"/>
      <c r="DW106" s="310"/>
      <c r="DX106" s="329"/>
      <c r="DY106" s="311"/>
      <c r="DZ106" s="309"/>
      <c r="EA106" s="310"/>
      <c r="EB106" s="329"/>
      <c r="EC106" s="311"/>
      <c r="ED106" s="309"/>
      <c r="EE106" s="310"/>
      <c r="EF106" s="329"/>
      <c r="EG106" s="311"/>
      <c r="EH106" s="309"/>
      <c r="EI106" s="310"/>
      <c r="EJ106" s="329"/>
      <c r="EK106" s="311"/>
      <c r="EL106" s="309"/>
      <c r="EM106" s="310"/>
      <c r="EN106" s="329"/>
      <c r="EO106" s="311"/>
      <c r="EP106" s="309"/>
      <c r="EQ106" s="310"/>
      <c r="ER106" s="329"/>
      <c r="ES106" s="311"/>
      <c r="ET106" s="309"/>
      <c r="EU106" s="310"/>
      <c r="EV106" s="329"/>
      <c r="EW106" s="311"/>
      <c r="EX106" s="309"/>
      <c r="EY106" s="310"/>
      <c r="EZ106" s="329"/>
      <c r="FA106" s="311"/>
      <c r="FB106" s="309"/>
      <c r="FC106" s="310"/>
      <c r="FD106" s="329"/>
      <c r="FE106" s="311"/>
      <c r="FF106" s="309"/>
      <c r="FG106" s="310"/>
      <c r="FH106" s="329"/>
      <c r="FI106" s="311"/>
      <c r="FJ106" s="309"/>
      <c r="FK106" s="310"/>
      <c r="FL106" s="329"/>
      <c r="FM106" s="311"/>
      <c r="FN106" s="309"/>
      <c r="FO106" s="310"/>
      <c r="FP106" s="329"/>
      <c r="FQ106" s="311"/>
      <c r="FR106" s="309"/>
      <c r="FS106" s="310"/>
      <c r="FT106" s="329"/>
      <c r="FU106" s="311"/>
      <c r="FV106" s="309"/>
      <c r="FW106" s="310"/>
      <c r="FX106" s="329"/>
      <c r="FY106" s="311"/>
      <c r="FZ106" s="309"/>
      <c r="GA106" s="310"/>
      <c r="GB106" s="329"/>
      <c r="GC106" s="311"/>
      <c r="GD106" s="309"/>
      <c r="GE106" s="310"/>
      <c r="GF106" s="329"/>
      <c r="GG106" s="311"/>
      <c r="GH106" s="309"/>
      <c r="GI106" s="310"/>
      <c r="GJ106" s="329"/>
      <c r="GK106" s="311"/>
      <c r="GL106" s="309"/>
      <c r="GM106" s="310"/>
      <c r="GN106" s="329"/>
      <c r="GO106" s="311"/>
      <c r="GP106" s="309"/>
      <c r="GQ106" s="310"/>
      <c r="GR106" s="329"/>
      <c r="GS106" s="311"/>
      <c r="GT106" s="309"/>
      <c r="GU106" s="310"/>
      <c r="GV106" s="329"/>
      <c r="GW106" s="311"/>
      <c r="GX106" s="309"/>
      <c r="GY106" s="310"/>
      <c r="GZ106" s="329"/>
      <c r="HA106" s="311"/>
      <c r="HB106" s="309"/>
      <c r="HC106" s="312">
        <f t="shared" si="80"/>
        <v>0</v>
      </c>
      <c r="HD106" s="330"/>
      <c r="HE106" s="313">
        <f t="shared" si="81"/>
        <v>0</v>
      </c>
      <c r="HF106" s="314"/>
      <c r="HG106" s="312">
        <f>SUM(SUMIFS(K106:HB106,$K$13:$HB$13,{"エネルギー管理指定工場等*","県域*"}))</f>
        <v>0</v>
      </c>
      <c r="HH106" s="330"/>
      <c r="HI106" s="313">
        <f>SUM(SUMIFS(M106:HD106,$K$13:$HB$13,{"エネルギー管理指定工場等*","県域*"}))</f>
        <v>0</v>
      </c>
      <c r="HJ106" s="314"/>
      <c r="IE106" s="579"/>
      <c r="IF106" s="579"/>
      <c r="IG106" s="579"/>
      <c r="IH106" s="579"/>
    </row>
    <row r="107" spans="2:242" s="164" customFormat="1" ht="20.100000000000001" customHeight="1" thickBot="1">
      <c r="B107" s="361"/>
      <c r="C107" s="362"/>
      <c r="D107" s="363" t="s">
        <v>624</v>
      </c>
      <c r="E107" s="335"/>
      <c r="F107" s="363" t="s">
        <v>610</v>
      </c>
      <c r="G107" s="364">
        <v>8.64</v>
      </c>
      <c r="H107" s="365"/>
      <c r="I107" s="366"/>
      <c r="J107" s="365"/>
      <c r="K107" s="366"/>
      <c r="L107" s="367"/>
      <c r="M107" s="368"/>
      <c r="N107" s="369"/>
      <c r="O107" s="366"/>
      <c r="P107" s="367"/>
      <c r="Q107" s="368"/>
      <c r="R107" s="369"/>
      <c r="S107" s="366"/>
      <c r="T107" s="367"/>
      <c r="U107" s="368"/>
      <c r="V107" s="369"/>
      <c r="W107" s="366"/>
      <c r="X107" s="367"/>
      <c r="Y107" s="368"/>
      <c r="Z107" s="369"/>
      <c r="AA107" s="366"/>
      <c r="AB107" s="367"/>
      <c r="AC107" s="368"/>
      <c r="AD107" s="369"/>
      <c r="AE107" s="366"/>
      <c r="AF107" s="367"/>
      <c r="AG107" s="368"/>
      <c r="AH107" s="369"/>
      <c r="AI107" s="366"/>
      <c r="AJ107" s="367"/>
      <c r="AK107" s="368"/>
      <c r="AL107" s="369"/>
      <c r="AM107" s="366"/>
      <c r="AN107" s="367"/>
      <c r="AO107" s="368"/>
      <c r="AP107" s="369"/>
      <c r="AQ107" s="366"/>
      <c r="AR107" s="367"/>
      <c r="AS107" s="368"/>
      <c r="AT107" s="369"/>
      <c r="AU107" s="366"/>
      <c r="AV107" s="367"/>
      <c r="AW107" s="368"/>
      <c r="AX107" s="369"/>
      <c r="AY107" s="366"/>
      <c r="AZ107" s="367"/>
      <c r="BA107" s="368"/>
      <c r="BB107" s="369"/>
      <c r="BC107" s="366"/>
      <c r="BD107" s="367"/>
      <c r="BE107" s="368"/>
      <c r="BF107" s="369"/>
      <c r="BG107" s="366"/>
      <c r="BH107" s="367"/>
      <c r="BI107" s="368"/>
      <c r="BJ107" s="369"/>
      <c r="BK107" s="366"/>
      <c r="BL107" s="367"/>
      <c r="BM107" s="368"/>
      <c r="BN107" s="369"/>
      <c r="BO107" s="366"/>
      <c r="BP107" s="367"/>
      <c r="BQ107" s="368"/>
      <c r="BR107" s="369"/>
      <c r="BS107" s="366"/>
      <c r="BT107" s="367"/>
      <c r="BU107" s="368"/>
      <c r="BV107" s="369"/>
      <c r="BW107" s="366"/>
      <c r="BX107" s="367"/>
      <c r="BY107" s="368"/>
      <c r="BZ107" s="369"/>
      <c r="CA107" s="366"/>
      <c r="CB107" s="367"/>
      <c r="CC107" s="368"/>
      <c r="CD107" s="369"/>
      <c r="CE107" s="366"/>
      <c r="CF107" s="367"/>
      <c r="CG107" s="368"/>
      <c r="CH107" s="369"/>
      <c r="CI107" s="366"/>
      <c r="CJ107" s="367"/>
      <c r="CK107" s="368"/>
      <c r="CL107" s="369"/>
      <c r="CM107" s="366"/>
      <c r="CN107" s="367"/>
      <c r="CO107" s="368"/>
      <c r="CP107" s="369"/>
      <c r="CQ107" s="366"/>
      <c r="CR107" s="367"/>
      <c r="CS107" s="368"/>
      <c r="CT107" s="369"/>
      <c r="CU107" s="366"/>
      <c r="CV107" s="367"/>
      <c r="CW107" s="368"/>
      <c r="CX107" s="369"/>
      <c r="CY107" s="366"/>
      <c r="CZ107" s="367"/>
      <c r="DA107" s="368"/>
      <c r="DB107" s="369"/>
      <c r="DC107" s="366"/>
      <c r="DD107" s="367"/>
      <c r="DE107" s="368"/>
      <c r="DF107" s="369"/>
      <c r="DG107" s="366"/>
      <c r="DH107" s="367"/>
      <c r="DI107" s="368"/>
      <c r="DJ107" s="369"/>
      <c r="DK107" s="366"/>
      <c r="DL107" s="367"/>
      <c r="DM107" s="368"/>
      <c r="DN107" s="369"/>
      <c r="DO107" s="366"/>
      <c r="DP107" s="367"/>
      <c r="DQ107" s="368"/>
      <c r="DR107" s="369"/>
      <c r="DS107" s="366"/>
      <c r="DT107" s="367"/>
      <c r="DU107" s="368"/>
      <c r="DV107" s="369"/>
      <c r="DW107" s="366"/>
      <c r="DX107" s="367"/>
      <c r="DY107" s="368"/>
      <c r="DZ107" s="369"/>
      <c r="EA107" s="366"/>
      <c r="EB107" s="367"/>
      <c r="EC107" s="368"/>
      <c r="ED107" s="369"/>
      <c r="EE107" s="366"/>
      <c r="EF107" s="367"/>
      <c r="EG107" s="368"/>
      <c r="EH107" s="369"/>
      <c r="EI107" s="366"/>
      <c r="EJ107" s="367"/>
      <c r="EK107" s="368"/>
      <c r="EL107" s="369"/>
      <c r="EM107" s="366"/>
      <c r="EN107" s="367"/>
      <c r="EO107" s="368"/>
      <c r="EP107" s="369"/>
      <c r="EQ107" s="366"/>
      <c r="ER107" s="367"/>
      <c r="ES107" s="368"/>
      <c r="ET107" s="369"/>
      <c r="EU107" s="366"/>
      <c r="EV107" s="367"/>
      <c r="EW107" s="368"/>
      <c r="EX107" s="369"/>
      <c r="EY107" s="366"/>
      <c r="EZ107" s="367"/>
      <c r="FA107" s="368"/>
      <c r="FB107" s="369"/>
      <c r="FC107" s="366"/>
      <c r="FD107" s="367"/>
      <c r="FE107" s="368"/>
      <c r="FF107" s="369"/>
      <c r="FG107" s="366"/>
      <c r="FH107" s="367"/>
      <c r="FI107" s="368"/>
      <c r="FJ107" s="369"/>
      <c r="FK107" s="366"/>
      <c r="FL107" s="367"/>
      <c r="FM107" s="368"/>
      <c r="FN107" s="369"/>
      <c r="FO107" s="366"/>
      <c r="FP107" s="367"/>
      <c r="FQ107" s="368"/>
      <c r="FR107" s="369"/>
      <c r="FS107" s="366"/>
      <c r="FT107" s="367"/>
      <c r="FU107" s="368"/>
      <c r="FV107" s="369"/>
      <c r="FW107" s="366"/>
      <c r="FX107" s="367"/>
      <c r="FY107" s="368"/>
      <c r="FZ107" s="369"/>
      <c r="GA107" s="366"/>
      <c r="GB107" s="367"/>
      <c r="GC107" s="368"/>
      <c r="GD107" s="369"/>
      <c r="GE107" s="366"/>
      <c r="GF107" s="367"/>
      <c r="GG107" s="368"/>
      <c r="GH107" s="369"/>
      <c r="GI107" s="366"/>
      <c r="GJ107" s="367"/>
      <c r="GK107" s="368"/>
      <c r="GL107" s="369"/>
      <c r="GM107" s="366"/>
      <c r="GN107" s="367"/>
      <c r="GO107" s="368"/>
      <c r="GP107" s="369"/>
      <c r="GQ107" s="366"/>
      <c r="GR107" s="367"/>
      <c r="GS107" s="368"/>
      <c r="GT107" s="369"/>
      <c r="GU107" s="366"/>
      <c r="GV107" s="367"/>
      <c r="GW107" s="368"/>
      <c r="GX107" s="369"/>
      <c r="GY107" s="366"/>
      <c r="GZ107" s="367"/>
      <c r="HA107" s="368"/>
      <c r="HB107" s="369"/>
      <c r="HC107" s="370">
        <f t="shared" si="80"/>
        <v>0</v>
      </c>
      <c r="HD107" s="371"/>
      <c r="HE107" s="372">
        <f t="shared" si="81"/>
        <v>0</v>
      </c>
      <c r="HF107" s="373"/>
      <c r="HG107" s="370">
        <f>SUM(SUMIFS(K107:HB107,$K$13:$HB$13,{"エネルギー管理指定工場等*","県域*"}))</f>
        <v>0</v>
      </c>
      <c r="HH107" s="371"/>
      <c r="HI107" s="372">
        <f>SUM(SUMIFS(M107:HD107,$K$13:$HB$13,{"エネルギー管理指定工場等*","県域*"}))</f>
        <v>0</v>
      </c>
      <c r="HJ107" s="373"/>
      <c r="IE107" s="579"/>
      <c r="IF107" s="579"/>
      <c r="IG107" s="579"/>
      <c r="IH107" s="579"/>
    </row>
    <row r="108" spans="2:242" s="164" customFormat="1" ht="20.100000000000001" customHeight="1">
      <c r="B108" s="290" t="s">
        <v>625</v>
      </c>
      <c r="C108" s="374" t="s">
        <v>626</v>
      </c>
      <c r="D108" s="375"/>
      <c r="E108" s="376"/>
      <c r="F108" s="376"/>
      <c r="G108" s="258"/>
      <c r="H108" s="256"/>
      <c r="I108" s="377"/>
      <c r="J108" s="378"/>
      <c r="K108" s="297"/>
      <c r="L108" s="379"/>
      <c r="M108" s="380"/>
      <c r="N108" s="381"/>
      <c r="O108" s="297"/>
      <c r="P108" s="379"/>
      <c r="Q108" s="380"/>
      <c r="R108" s="381"/>
      <c r="S108" s="297"/>
      <c r="T108" s="379"/>
      <c r="U108" s="380"/>
      <c r="V108" s="381"/>
      <c r="W108" s="297"/>
      <c r="X108" s="379"/>
      <c r="Y108" s="380"/>
      <c r="Z108" s="381"/>
      <c r="AA108" s="297"/>
      <c r="AB108" s="379"/>
      <c r="AC108" s="380"/>
      <c r="AD108" s="381"/>
      <c r="AE108" s="297"/>
      <c r="AF108" s="379"/>
      <c r="AG108" s="380"/>
      <c r="AH108" s="381"/>
      <c r="AI108" s="297"/>
      <c r="AJ108" s="379"/>
      <c r="AK108" s="380"/>
      <c r="AL108" s="381"/>
      <c r="AM108" s="297"/>
      <c r="AN108" s="379"/>
      <c r="AO108" s="380"/>
      <c r="AP108" s="381"/>
      <c r="AQ108" s="297"/>
      <c r="AR108" s="379"/>
      <c r="AS108" s="380"/>
      <c r="AT108" s="381"/>
      <c r="AU108" s="297"/>
      <c r="AV108" s="379"/>
      <c r="AW108" s="380"/>
      <c r="AX108" s="381"/>
      <c r="AY108" s="297"/>
      <c r="AZ108" s="379"/>
      <c r="BA108" s="380"/>
      <c r="BB108" s="381"/>
      <c r="BC108" s="297"/>
      <c r="BD108" s="379"/>
      <c r="BE108" s="380"/>
      <c r="BF108" s="381"/>
      <c r="BG108" s="297"/>
      <c r="BH108" s="379"/>
      <c r="BI108" s="380"/>
      <c r="BJ108" s="381"/>
      <c r="BK108" s="297"/>
      <c r="BL108" s="379"/>
      <c r="BM108" s="380"/>
      <c r="BN108" s="381"/>
      <c r="BO108" s="297"/>
      <c r="BP108" s="379"/>
      <c r="BQ108" s="380"/>
      <c r="BR108" s="381"/>
      <c r="BS108" s="297"/>
      <c r="BT108" s="379"/>
      <c r="BU108" s="380"/>
      <c r="BV108" s="381"/>
      <c r="BW108" s="297"/>
      <c r="BX108" s="379"/>
      <c r="BY108" s="380"/>
      <c r="BZ108" s="381"/>
      <c r="CA108" s="297"/>
      <c r="CB108" s="379"/>
      <c r="CC108" s="380"/>
      <c r="CD108" s="381"/>
      <c r="CE108" s="297"/>
      <c r="CF108" s="379"/>
      <c r="CG108" s="380"/>
      <c r="CH108" s="381"/>
      <c r="CI108" s="297"/>
      <c r="CJ108" s="379"/>
      <c r="CK108" s="380"/>
      <c r="CL108" s="381"/>
      <c r="CM108" s="297"/>
      <c r="CN108" s="379"/>
      <c r="CO108" s="380"/>
      <c r="CP108" s="381"/>
      <c r="CQ108" s="297"/>
      <c r="CR108" s="379"/>
      <c r="CS108" s="380"/>
      <c r="CT108" s="381"/>
      <c r="CU108" s="297"/>
      <c r="CV108" s="379"/>
      <c r="CW108" s="380"/>
      <c r="CX108" s="381"/>
      <c r="CY108" s="297"/>
      <c r="CZ108" s="379"/>
      <c r="DA108" s="380"/>
      <c r="DB108" s="381"/>
      <c r="DC108" s="297"/>
      <c r="DD108" s="379"/>
      <c r="DE108" s="380"/>
      <c r="DF108" s="381"/>
      <c r="DG108" s="297"/>
      <c r="DH108" s="379"/>
      <c r="DI108" s="380"/>
      <c r="DJ108" s="381"/>
      <c r="DK108" s="297"/>
      <c r="DL108" s="379"/>
      <c r="DM108" s="380"/>
      <c r="DN108" s="381"/>
      <c r="DO108" s="297"/>
      <c r="DP108" s="379"/>
      <c r="DQ108" s="380"/>
      <c r="DR108" s="381"/>
      <c r="DS108" s="297"/>
      <c r="DT108" s="379"/>
      <c r="DU108" s="380"/>
      <c r="DV108" s="381"/>
      <c r="DW108" s="297"/>
      <c r="DX108" s="379"/>
      <c r="DY108" s="380"/>
      <c r="DZ108" s="381"/>
      <c r="EA108" s="297"/>
      <c r="EB108" s="379"/>
      <c r="EC108" s="380"/>
      <c r="ED108" s="381"/>
      <c r="EE108" s="297"/>
      <c r="EF108" s="379"/>
      <c r="EG108" s="380"/>
      <c r="EH108" s="381"/>
      <c r="EI108" s="297"/>
      <c r="EJ108" s="379"/>
      <c r="EK108" s="380"/>
      <c r="EL108" s="381"/>
      <c r="EM108" s="297"/>
      <c r="EN108" s="379"/>
      <c r="EO108" s="380"/>
      <c r="EP108" s="381"/>
      <c r="EQ108" s="297"/>
      <c r="ER108" s="379"/>
      <c r="ES108" s="380"/>
      <c r="ET108" s="381"/>
      <c r="EU108" s="297"/>
      <c r="EV108" s="379"/>
      <c r="EW108" s="380"/>
      <c r="EX108" s="381"/>
      <c r="EY108" s="297"/>
      <c r="EZ108" s="379"/>
      <c r="FA108" s="380"/>
      <c r="FB108" s="381"/>
      <c r="FC108" s="297"/>
      <c r="FD108" s="379"/>
      <c r="FE108" s="380"/>
      <c r="FF108" s="381"/>
      <c r="FG108" s="297"/>
      <c r="FH108" s="379"/>
      <c r="FI108" s="380"/>
      <c r="FJ108" s="381"/>
      <c r="FK108" s="297"/>
      <c r="FL108" s="379"/>
      <c r="FM108" s="380"/>
      <c r="FN108" s="381"/>
      <c r="FO108" s="297"/>
      <c r="FP108" s="379"/>
      <c r="FQ108" s="380"/>
      <c r="FR108" s="381"/>
      <c r="FS108" s="297"/>
      <c r="FT108" s="379"/>
      <c r="FU108" s="380"/>
      <c r="FV108" s="381"/>
      <c r="FW108" s="297"/>
      <c r="FX108" s="379"/>
      <c r="FY108" s="380"/>
      <c r="FZ108" s="381"/>
      <c r="GA108" s="297"/>
      <c r="GB108" s="379"/>
      <c r="GC108" s="380"/>
      <c r="GD108" s="381"/>
      <c r="GE108" s="297"/>
      <c r="GF108" s="379"/>
      <c r="GG108" s="380"/>
      <c r="GH108" s="381"/>
      <c r="GI108" s="297"/>
      <c r="GJ108" s="379"/>
      <c r="GK108" s="380"/>
      <c r="GL108" s="381"/>
      <c r="GM108" s="297"/>
      <c r="GN108" s="379"/>
      <c r="GO108" s="380"/>
      <c r="GP108" s="381"/>
      <c r="GQ108" s="297"/>
      <c r="GR108" s="379"/>
      <c r="GS108" s="380"/>
      <c r="GT108" s="381"/>
      <c r="GU108" s="297"/>
      <c r="GV108" s="379"/>
      <c r="GW108" s="380"/>
      <c r="GX108" s="381"/>
      <c r="GY108" s="297"/>
      <c r="GZ108" s="379"/>
      <c r="HA108" s="380"/>
      <c r="HB108" s="381"/>
      <c r="HC108" s="156"/>
      <c r="HD108" s="156"/>
      <c r="HE108" s="156"/>
      <c r="HF108" s="156"/>
      <c r="HG108" s="156"/>
      <c r="HH108" s="156"/>
      <c r="HI108" s="156"/>
      <c r="HJ108" s="156"/>
      <c r="IE108" s="579"/>
      <c r="IF108" s="579"/>
      <c r="IG108" s="579"/>
      <c r="IH108" s="579"/>
    </row>
    <row r="109" spans="2:242" s="164" customFormat="1" ht="20.100000000000001" customHeight="1">
      <c r="B109" s="302"/>
      <c r="C109" s="303" t="s">
        <v>510</v>
      </c>
      <c r="D109" s="382"/>
      <c r="E109" s="304"/>
      <c r="F109" s="304"/>
      <c r="G109" s="304"/>
      <c r="H109" s="383"/>
      <c r="I109" s="384"/>
      <c r="J109" s="385"/>
      <c r="K109" s="310"/>
      <c r="L109" s="386"/>
      <c r="M109" s="387"/>
      <c r="N109" s="388"/>
      <c r="O109" s="310"/>
      <c r="P109" s="386"/>
      <c r="Q109" s="387"/>
      <c r="R109" s="388"/>
      <c r="S109" s="310"/>
      <c r="T109" s="386"/>
      <c r="U109" s="387"/>
      <c r="V109" s="388"/>
      <c r="W109" s="310"/>
      <c r="X109" s="386"/>
      <c r="Y109" s="387"/>
      <c r="Z109" s="388"/>
      <c r="AA109" s="310"/>
      <c r="AB109" s="386"/>
      <c r="AC109" s="387"/>
      <c r="AD109" s="388"/>
      <c r="AE109" s="310"/>
      <c r="AF109" s="386"/>
      <c r="AG109" s="387"/>
      <c r="AH109" s="388"/>
      <c r="AI109" s="310"/>
      <c r="AJ109" s="386"/>
      <c r="AK109" s="387"/>
      <c r="AL109" s="388"/>
      <c r="AM109" s="310"/>
      <c r="AN109" s="386"/>
      <c r="AO109" s="387"/>
      <c r="AP109" s="388"/>
      <c r="AQ109" s="310"/>
      <c r="AR109" s="386"/>
      <c r="AS109" s="387"/>
      <c r="AT109" s="388"/>
      <c r="AU109" s="310"/>
      <c r="AV109" s="386"/>
      <c r="AW109" s="387"/>
      <c r="AX109" s="388"/>
      <c r="AY109" s="310"/>
      <c r="AZ109" s="386"/>
      <c r="BA109" s="387"/>
      <c r="BB109" s="388"/>
      <c r="BC109" s="310"/>
      <c r="BD109" s="386"/>
      <c r="BE109" s="387"/>
      <c r="BF109" s="388"/>
      <c r="BG109" s="310"/>
      <c r="BH109" s="386"/>
      <c r="BI109" s="387"/>
      <c r="BJ109" s="388"/>
      <c r="BK109" s="310"/>
      <c r="BL109" s="386"/>
      <c r="BM109" s="387"/>
      <c r="BN109" s="388"/>
      <c r="BO109" s="310"/>
      <c r="BP109" s="386"/>
      <c r="BQ109" s="387"/>
      <c r="BR109" s="388"/>
      <c r="BS109" s="310"/>
      <c r="BT109" s="386"/>
      <c r="BU109" s="387"/>
      <c r="BV109" s="388"/>
      <c r="BW109" s="310"/>
      <c r="BX109" s="386"/>
      <c r="BY109" s="387"/>
      <c r="BZ109" s="388"/>
      <c r="CA109" s="310"/>
      <c r="CB109" s="386"/>
      <c r="CC109" s="387"/>
      <c r="CD109" s="388"/>
      <c r="CE109" s="310"/>
      <c r="CF109" s="386"/>
      <c r="CG109" s="387"/>
      <c r="CH109" s="388"/>
      <c r="CI109" s="310"/>
      <c r="CJ109" s="386"/>
      <c r="CK109" s="387"/>
      <c r="CL109" s="388"/>
      <c r="CM109" s="310"/>
      <c r="CN109" s="386"/>
      <c r="CO109" s="387"/>
      <c r="CP109" s="388"/>
      <c r="CQ109" s="310"/>
      <c r="CR109" s="386"/>
      <c r="CS109" s="387"/>
      <c r="CT109" s="388"/>
      <c r="CU109" s="310"/>
      <c r="CV109" s="386"/>
      <c r="CW109" s="387"/>
      <c r="CX109" s="388"/>
      <c r="CY109" s="310"/>
      <c r="CZ109" s="386"/>
      <c r="DA109" s="387"/>
      <c r="DB109" s="388"/>
      <c r="DC109" s="310"/>
      <c r="DD109" s="386"/>
      <c r="DE109" s="387"/>
      <c r="DF109" s="388"/>
      <c r="DG109" s="310"/>
      <c r="DH109" s="386"/>
      <c r="DI109" s="387"/>
      <c r="DJ109" s="388"/>
      <c r="DK109" s="310"/>
      <c r="DL109" s="386"/>
      <c r="DM109" s="387"/>
      <c r="DN109" s="388"/>
      <c r="DO109" s="310"/>
      <c r="DP109" s="386"/>
      <c r="DQ109" s="387"/>
      <c r="DR109" s="388"/>
      <c r="DS109" s="310"/>
      <c r="DT109" s="386"/>
      <c r="DU109" s="387"/>
      <c r="DV109" s="388"/>
      <c r="DW109" s="310"/>
      <c r="DX109" s="386"/>
      <c r="DY109" s="387"/>
      <c r="DZ109" s="388"/>
      <c r="EA109" s="310"/>
      <c r="EB109" s="386"/>
      <c r="EC109" s="387"/>
      <c r="ED109" s="388"/>
      <c r="EE109" s="310"/>
      <c r="EF109" s="386"/>
      <c r="EG109" s="387"/>
      <c r="EH109" s="388"/>
      <c r="EI109" s="310"/>
      <c r="EJ109" s="386"/>
      <c r="EK109" s="387"/>
      <c r="EL109" s="388"/>
      <c r="EM109" s="310"/>
      <c r="EN109" s="386"/>
      <c r="EO109" s="387"/>
      <c r="EP109" s="388"/>
      <c r="EQ109" s="310"/>
      <c r="ER109" s="386"/>
      <c r="ES109" s="387"/>
      <c r="ET109" s="388"/>
      <c r="EU109" s="310"/>
      <c r="EV109" s="386"/>
      <c r="EW109" s="387"/>
      <c r="EX109" s="388"/>
      <c r="EY109" s="310"/>
      <c r="EZ109" s="386"/>
      <c r="FA109" s="387"/>
      <c r="FB109" s="388"/>
      <c r="FC109" s="310"/>
      <c r="FD109" s="386"/>
      <c r="FE109" s="387"/>
      <c r="FF109" s="388"/>
      <c r="FG109" s="310"/>
      <c r="FH109" s="386"/>
      <c r="FI109" s="387"/>
      <c r="FJ109" s="388"/>
      <c r="FK109" s="310"/>
      <c r="FL109" s="386"/>
      <c r="FM109" s="387"/>
      <c r="FN109" s="388"/>
      <c r="FO109" s="310"/>
      <c r="FP109" s="386"/>
      <c r="FQ109" s="387"/>
      <c r="FR109" s="388"/>
      <c r="FS109" s="310"/>
      <c r="FT109" s="386"/>
      <c r="FU109" s="387"/>
      <c r="FV109" s="388"/>
      <c r="FW109" s="310"/>
      <c r="FX109" s="386"/>
      <c r="FY109" s="387"/>
      <c r="FZ109" s="388"/>
      <c r="GA109" s="310"/>
      <c r="GB109" s="386"/>
      <c r="GC109" s="387"/>
      <c r="GD109" s="388"/>
      <c r="GE109" s="310"/>
      <c r="GF109" s="386"/>
      <c r="GG109" s="387"/>
      <c r="GH109" s="388"/>
      <c r="GI109" s="310"/>
      <c r="GJ109" s="386"/>
      <c r="GK109" s="387"/>
      <c r="GL109" s="388"/>
      <c r="GM109" s="310"/>
      <c r="GN109" s="386"/>
      <c r="GO109" s="387"/>
      <c r="GP109" s="388"/>
      <c r="GQ109" s="310"/>
      <c r="GR109" s="386"/>
      <c r="GS109" s="387"/>
      <c r="GT109" s="388"/>
      <c r="GU109" s="310"/>
      <c r="GV109" s="386"/>
      <c r="GW109" s="387"/>
      <c r="GX109" s="388"/>
      <c r="GY109" s="310"/>
      <c r="GZ109" s="386"/>
      <c r="HA109" s="387"/>
      <c r="HB109" s="388"/>
      <c r="HC109" s="156"/>
      <c r="HD109" s="156"/>
      <c r="HE109" s="156"/>
      <c r="HF109" s="156"/>
      <c r="HG109" s="156"/>
      <c r="HH109" s="156"/>
      <c r="HI109" s="156"/>
      <c r="HJ109" s="156"/>
      <c r="IE109" s="579"/>
      <c r="IF109" s="579"/>
      <c r="IG109" s="579"/>
      <c r="IH109" s="579"/>
    </row>
    <row r="110" spans="2:242" s="164" customFormat="1" ht="20.100000000000001" customHeight="1" thickBot="1">
      <c r="B110" s="361"/>
      <c r="C110" s="389" t="s">
        <v>1357</v>
      </c>
      <c r="D110" s="390"/>
      <c r="E110" s="278"/>
      <c r="F110" s="278"/>
      <c r="G110" s="391"/>
      <c r="H110" s="392"/>
      <c r="I110" s="393"/>
      <c r="J110" s="394"/>
      <c r="K110" s="366"/>
      <c r="L110" s="395"/>
      <c r="M110" s="396"/>
      <c r="N110" s="397"/>
      <c r="O110" s="366"/>
      <c r="P110" s="395"/>
      <c r="Q110" s="396"/>
      <c r="R110" s="397"/>
      <c r="S110" s="366"/>
      <c r="T110" s="395"/>
      <c r="U110" s="396"/>
      <c r="V110" s="397"/>
      <c r="W110" s="366"/>
      <c r="X110" s="395"/>
      <c r="Y110" s="396"/>
      <c r="Z110" s="397"/>
      <c r="AA110" s="366"/>
      <c r="AB110" s="395"/>
      <c r="AC110" s="396"/>
      <c r="AD110" s="397"/>
      <c r="AE110" s="366"/>
      <c r="AF110" s="395"/>
      <c r="AG110" s="396"/>
      <c r="AH110" s="397"/>
      <c r="AI110" s="366"/>
      <c r="AJ110" s="395"/>
      <c r="AK110" s="396"/>
      <c r="AL110" s="397"/>
      <c r="AM110" s="366"/>
      <c r="AN110" s="395"/>
      <c r="AO110" s="396"/>
      <c r="AP110" s="397"/>
      <c r="AQ110" s="366"/>
      <c r="AR110" s="395"/>
      <c r="AS110" s="396"/>
      <c r="AT110" s="397"/>
      <c r="AU110" s="366"/>
      <c r="AV110" s="395"/>
      <c r="AW110" s="396"/>
      <c r="AX110" s="397"/>
      <c r="AY110" s="366"/>
      <c r="AZ110" s="395"/>
      <c r="BA110" s="396"/>
      <c r="BB110" s="397"/>
      <c r="BC110" s="366"/>
      <c r="BD110" s="395"/>
      <c r="BE110" s="396"/>
      <c r="BF110" s="397"/>
      <c r="BG110" s="366"/>
      <c r="BH110" s="395"/>
      <c r="BI110" s="396"/>
      <c r="BJ110" s="397"/>
      <c r="BK110" s="366"/>
      <c r="BL110" s="395"/>
      <c r="BM110" s="396"/>
      <c r="BN110" s="397"/>
      <c r="BO110" s="366"/>
      <c r="BP110" s="395"/>
      <c r="BQ110" s="396"/>
      <c r="BR110" s="397"/>
      <c r="BS110" s="366"/>
      <c r="BT110" s="395"/>
      <c r="BU110" s="396"/>
      <c r="BV110" s="397"/>
      <c r="BW110" s="366"/>
      <c r="BX110" s="395"/>
      <c r="BY110" s="396"/>
      <c r="BZ110" s="397"/>
      <c r="CA110" s="366"/>
      <c r="CB110" s="395"/>
      <c r="CC110" s="396"/>
      <c r="CD110" s="397"/>
      <c r="CE110" s="366"/>
      <c r="CF110" s="395"/>
      <c r="CG110" s="396"/>
      <c r="CH110" s="397"/>
      <c r="CI110" s="366"/>
      <c r="CJ110" s="395"/>
      <c r="CK110" s="396"/>
      <c r="CL110" s="397"/>
      <c r="CM110" s="366"/>
      <c r="CN110" s="395"/>
      <c r="CO110" s="396"/>
      <c r="CP110" s="397"/>
      <c r="CQ110" s="366"/>
      <c r="CR110" s="395"/>
      <c r="CS110" s="396"/>
      <c r="CT110" s="397"/>
      <c r="CU110" s="366"/>
      <c r="CV110" s="395"/>
      <c r="CW110" s="396"/>
      <c r="CX110" s="397"/>
      <c r="CY110" s="366"/>
      <c r="CZ110" s="395"/>
      <c r="DA110" s="396"/>
      <c r="DB110" s="397"/>
      <c r="DC110" s="366"/>
      <c r="DD110" s="395"/>
      <c r="DE110" s="396"/>
      <c r="DF110" s="397"/>
      <c r="DG110" s="366"/>
      <c r="DH110" s="395"/>
      <c r="DI110" s="396"/>
      <c r="DJ110" s="397"/>
      <c r="DK110" s="366"/>
      <c r="DL110" s="395"/>
      <c r="DM110" s="396"/>
      <c r="DN110" s="397"/>
      <c r="DO110" s="366"/>
      <c r="DP110" s="395"/>
      <c r="DQ110" s="396"/>
      <c r="DR110" s="397"/>
      <c r="DS110" s="366"/>
      <c r="DT110" s="395"/>
      <c r="DU110" s="396"/>
      <c r="DV110" s="397"/>
      <c r="DW110" s="366"/>
      <c r="DX110" s="395"/>
      <c r="DY110" s="396"/>
      <c r="DZ110" s="397"/>
      <c r="EA110" s="366"/>
      <c r="EB110" s="395"/>
      <c r="EC110" s="396"/>
      <c r="ED110" s="397"/>
      <c r="EE110" s="366"/>
      <c r="EF110" s="395"/>
      <c r="EG110" s="396"/>
      <c r="EH110" s="397"/>
      <c r="EI110" s="366"/>
      <c r="EJ110" s="395"/>
      <c r="EK110" s="396"/>
      <c r="EL110" s="397"/>
      <c r="EM110" s="366"/>
      <c r="EN110" s="395"/>
      <c r="EO110" s="396"/>
      <c r="EP110" s="397"/>
      <c r="EQ110" s="366"/>
      <c r="ER110" s="395"/>
      <c r="ES110" s="396"/>
      <c r="ET110" s="397"/>
      <c r="EU110" s="366"/>
      <c r="EV110" s="395"/>
      <c r="EW110" s="396"/>
      <c r="EX110" s="397"/>
      <c r="EY110" s="366"/>
      <c r="EZ110" s="395"/>
      <c r="FA110" s="396"/>
      <c r="FB110" s="397"/>
      <c r="FC110" s="366"/>
      <c r="FD110" s="395"/>
      <c r="FE110" s="396"/>
      <c r="FF110" s="397"/>
      <c r="FG110" s="366"/>
      <c r="FH110" s="395"/>
      <c r="FI110" s="396"/>
      <c r="FJ110" s="397"/>
      <c r="FK110" s="366"/>
      <c r="FL110" s="395"/>
      <c r="FM110" s="396"/>
      <c r="FN110" s="397"/>
      <c r="FO110" s="366"/>
      <c r="FP110" s="395"/>
      <c r="FQ110" s="396"/>
      <c r="FR110" s="397"/>
      <c r="FS110" s="366"/>
      <c r="FT110" s="395"/>
      <c r="FU110" s="396"/>
      <c r="FV110" s="397"/>
      <c r="FW110" s="366"/>
      <c r="FX110" s="395"/>
      <c r="FY110" s="396"/>
      <c r="FZ110" s="397"/>
      <c r="GA110" s="366"/>
      <c r="GB110" s="395"/>
      <c r="GC110" s="396"/>
      <c r="GD110" s="397"/>
      <c r="GE110" s="366"/>
      <c r="GF110" s="395"/>
      <c r="GG110" s="396"/>
      <c r="GH110" s="397"/>
      <c r="GI110" s="366"/>
      <c r="GJ110" s="395"/>
      <c r="GK110" s="396"/>
      <c r="GL110" s="397"/>
      <c r="GM110" s="366"/>
      <c r="GN110" s="395"/>
      <c r="GO110" s="396"/>
      <c r="GP110" s="397"/>
      <c r="GQ110" s="366"/>
      <c r="GR110" s="395"/>
      <c r="GS110" s="396"/>
      <c r="GT110" s="397"/>
      <c r="GU110" s="366"/>
      <c r="GV110" s="395"/>
      <c r="GW110" s="396"/>
      <c r="GX110" s="397"/>
      <c r="GY110" s="366"/>
      <c r="GZ110" s="395"/>
      <c r="HA110" s="396"/>
      <c r="HB110" s="397"/>
      <c r="HC110" s="156"/>
      <c r="HD110" s="156"/>
      <c r="HE110" s="156"/>
      <c r="HF110" s="156"/>
      <c r="HG110" s="156"/>
      <c r="HH110" s="156"/>
      <c r="HI110" s="156"/>
      <c r="HJ110" s="156"/>
      <c r="IE110" s="579"/>
      <c r="IF110" s="579"/>
      <c r="IG110" s="579"/>
      <c r="IH110" s="579"/>
    </row>
    <row r="111" spans="2:242" s="164" customFormat="1" ht="20.100000000000001" customHeight="1" thickBot="1">
      <c r="B111" s="398" t="s">
        <v>1390</v>
      </c>
      <c r="C111" s="399" t="s">
        <v>628</v>
      </c>
      <c r="D111" s="399" t="s">
        <v>464</v>
      </c>
      <c r="E111" s="399" t="s">
        <v>1391</v>
      </c>
      <c r="F111" s="400" t="s">
        <v>1392</v>
      </c>
      <c r="G111" s="400" t="s">
        <v>465</v>
      </c>
      <c r="H111" s="401" t="s">
        <v>629</v>
      </c>
      <c r="I111" s="402"/>
      <c r="J111" s="403"/>
      <c r="K111" s="404" t="s">
        <v>1369</v>
      </c>
      <c r="L111" s="405" t="s">
        <v>1370</v>
      </c>
      <c r="M111" s="405" t="s">
        <v>1371</v>
      </c>
      <c r="N111" s="406"/>
      <c r="O111" s="404" t="s">
        <v>1369</v>
      </c>
      <c r="P111" s="405" t="s">
        <v>1370</v>
      </c>
      <c r="Q111" s="405" t="s">
        <v>1371</v>
      </c>
      <c r="R111" s="406"/>
      <c r="S111" s="404" t="s">
        <v>1369</v>
      </c>
      <c r="T111" s="405" t="s">
        <v>1370</v>
      </c>
      <c r="U111" s="405" t="s">
        <v>1371</v>
      </c>
      <c r="V111" s="406"/>
      <c r="W111" s="404" t="s">
        <v>1369</v>
      </c>
      <c r="X111" s="405" t="s">
        <v>1370</v>
      </c>
      <c r="Y111" s="405" t="s">
        <v>1371</v>
      </c>
      <c r="Z111" s="406"/>
      <c r="AA111" s="404" t="s">
        <v>1369</v>
      </c>
      <c r="AB111" s="405" t="s">
        <v>1370</v>
      </c>
      <c r="AC111" s="405" t="s">
        <v>1371</v>
      </c>
      <c r="AD111" s="406"/>
      <c r="AE111" s="404" t="s">
        <v>1369</v>
      </c>
      <c r="AF111" s="405" t="s">
        <v>1370</v>
      </c>
      <c r="AG111" s="405" t="s">
        <v>1371</v>
      </c>
      <c r="AH111" s="282"/>
      <c r="AI111" s="404" t="s">
        <v>1369</v>
      </c>
      <c r="AJ111" s="405" t="s">
        <v>1370</v>
      </c>
      <c r="AK111" s="405" t="s">
        <v>1371</v>
      </c>
      <c r="AL111" s="282"/>
      <c r="AM111" s="404" t="s">
        <v>1369</v>
      </c>
      <c r="AN111" s="405" t="s">
        <v>1370</v>
      </c>
      <c r="AO111" s="405" t="s">
        <v>1371</v>
      </c>
      <c r="AP111" s="282"/>
      <c r="AQ111" s="404" t="s">
        <v>1369</v>
      </c>
      <c r="AR111" s="405" t="s">
        <v>1370</v>
      </c>
      <c r="AS111" s="405" t="s">
        <v>1371</v>
      </c>
      <c r="AT111" s="282"/>
      <c r="AU111" s="404" t="s">
        <v>1369</v>
      </c>
      <c r="AV111" s="405" t="s">
        <v>1370</v>
      </c>
      <c r="AW111" s="405" t="s">
        <v>1371</v>
      </c>
      <c r="AX111" s="282"/>
      <c r="AY111" s="404" t="s">
        <v>1369</v>
      </c>
      <c r="AZ111" s="405" t="s">
        <v>1370</v>
      </c>
      <c r="BA111" s="405" t="s">
        <v>1371</v>
      </c>
      <c r="BB111" s="282"/>
      <c r="BC111" s="404" t="s">
        <v>1369</v>
      </c>
      <c r="BD111" s="405" t="s">
        <v>1370</v>
      </c>
      <c r="BE111" s="405" t="s">
        <v>1371</v>
      </c>
      <c r="BF111" s="282"/>
      <c r="BG111" s="404" t="s">
        <v>1369</v>
      </c>
      <c r="BH111" s="405" t="s">
        <v>1370</v>
      </c>
      <c r="BI111" s="405" t="s">
        <v>1371</v>
      </c>
      <c r="BJ111" s="282"/>
      <c r="BK111" s="404" t="s">
        <v>1369</v>
      </c>
      <c r="BL111" s="405" t="s">
        <v>1370</v>
      </c>
      <c r="BM111" s="405" t="s">
        <v>1371</v>
      </c>
      <c r="BN111" s="282"/>
      <c r="BO111" s="404" t="s">
        <v>1369</v>
      </c>
      <c r="BP111" s="405" t="s">
        <v>1370</v>
      </c>
      <c r="BQ111" s="405" t="s">
        <v>1371</v>
      </c>
      <c r="BR111" s="282"/>
      <c r="BS111" s="404" t="s">
        <v>1369</v>
      </c>
      <c r="BT111" s="405" t="s">
        <v>1370</v>
      </c>
      <c r="BU111" s="405" t="s">
        <v>1371</v>
      </c>
      <c r="BV111" s="282"/>
      <c r="BW111" s="404" t="s">
        <v>630</v>
      </c>
      <c r="BX111" s="405" t="s">
        <v>570</v>
      </c>
      <c r="BY111" s="405" t="s">
        <v>571</v>
      </c>
      <c r="BZ111" s="282" t="s">
        <v>572</v>
      </c>
      <c r="CA111" s="404" t="s">
        <v>630</v>
      </c>
      <c r="CB111" s="405" t="s">
        <v>570</v>
      </c>
      <c r="CC111" s="405" t="s">
        <v>571</v>
      </c>
      <c r="CD111" s="282" t="s">
        <v>572</v>
      </c>
      <c r="CE111" s="404" t="s">
        <v>630</v>
      </c>
      <c r="CF111" s="405" t="s">
        <v>570</v>
      </c>
      <c r="CG111" s="405" t="s">
        <v>571</v>
      </c>
      <c r="CH111" s="282" t="s">
        <v>572</v>
      </c>
      <c r="CI111" s="404" t="s">
        <v>630</v>
      </c>
      <c r="CJ111" s="405" t="s">
        <v>570</v>
      </c>
      <c r="CK111" s="405" t="s">
        <v>571</v>
      </c>
      <c r="CL111" s="282" t="s">
        <v>572</v>
      </c>
      <c r="CM111" s="404" t="s">
        <v>630</v>
      </c>
      <c r="CN111" s="405" t="s">
        <v>570</v>
      </c>
      <c r="CO111" s="405" t="s">
        <v>571</v>
      </c>
      <c r="CP111" s="282" t="s">
        <v>572</v>
      </c>
      <c r="CQ111" s="404" t="s">
        <v>630</v>
      </c>
      <c r="CR111" s="405" t="s">
        <v>570</v>
      </c>
      <c r="CS111" s="405" t="s">
        <v>571</v>
      </c>
      <c r="CT111" s="282" t="s">
        <v>572</v>
      </c>
      <c r="CU111" s="404" t="s">
        <v>630</v>
      </c>
      <c r="CV111" s="405" t="s">
        <v>570</v>
      </c>
      <c r="CW111" s="405" t="s">
        <v>571</v>
      </c>
      <c r="CX111" s="282" t="s">
        <v>572</v>
      </c>
      <c r="CY111" s="404" t="s">
        <v>630</v>
      </c>
      <c r="CZ111" s="405" t="s">
        <v>570</v>
      </c>
      <c r="DA111" s="405" t="s">
        <v>571</v>
      </c>
      <c r="DB111" s="282" t="s">
        <v>572</v>
      </c>
      <c r="DC111" s="404" t="s">
        <v>630</v>
      </c>
      <c r="DD111" s="405" t="s">
        <v>570</v>
      </c>
      <c r="DE111" s="405" t="s">
        <v>571</v>
      </c>
      <c r="DF111" s="282" t="s">
        <v>572</v>
      </c>
      <c r="DG111" s="404" t="s">
        <v>630</v>
      </c>
      <c r="DH111" s="405" t="s">
        <v>570</v>
      </c>
      <c r="DI111" s="405" t="s">
        <v>571</v>
      </c>
      <c r="DJ111" s="282" t="s">
        <v>572</v>
      </c>
      <c r="DK111" s="404" t="s">
        <v>630</v>
      </c>
      <c r="DL111" s="405" t="s">
        <v>570</v>
      </c>
      <c r="DM111" s="405" t="s">
        <v>571</v>
      </c>
      <c r="DN111" s="282" t="s">
        <v>572</v>
      </c>
      <c r="DO111" s="404" t="s">
        <v>630</v>
      </c>
      <c r="DP111" s="405" t="s">
        <v>570</v>
      </c>
      <c r="DQ111" s="405" t="s">
        <v>571</v>
      </c>
      <c r="DR111" s="282" t="s">
        <v>572</v>
      </c>
      <c r="DS111" s="404" t="s">
        <v>630</v>
      </c>
      <c r="DT111" s="405" t="s">
        <v>570</v>
      </c>
      <c r="DU111" s="405" t="s">
        <v>571</v>
      </c>
      <c r="DV111" s="282" t="s">
        <v>572</v>
      </c>
      <c r="DW111" s="404" t="s">
        <v>630</v>
      </c>
      <c r="DX111" s="405" t="s">
        <v>570</v>
      </c>
      <c r="DY111" s="405" t="s">
        <v>571</v>
      </c>
      <c r="DZ111" s="282" t="s">
        <v>572</v>
      </c>
      <c r="EA111" s="404" t="s">
        <v>630</v>
      </c>
      <c r="EB111" s="405" t="s">
        <v>570</v>
      </c>
      <c r="EC111" s="405" t="s">
        <v>571</v>
      </c>
      <c r="ED111" s="282" t="s">
        <v>572</v>
      </c>
      <c r="EE111" s="404" t="s">
        <v>630</v>
      </c>
      <c r="EF111" s="405" t="s">
        <v>570</v>
      </c>
      <c r="EG111" s="405" t="s">
        <v>571</v>
      </c>
      <c r="EH111" s="282" t="s">
        <v>572</v>
      </c>
      <c r="EI111" s="404" t="s">
        <v>630</v>
      </c>
      <c r="EJ111" s="405" t="s">
        <v>570</v>
      </c>
      <c r="EK111" s="405" t="s">
        <v>571</v>
      </c>
      <c r="EL111" s="282" t="s">
        <v>572</v>
      </c>
      <c r="EM111" s="404" t="s">
        <v>630</v>
      </c>
      <c r="EN111" s="405" t="s">
        <v>570</v>
      </c>
      <c r="EO111" s="405" t="s">
        <v>571</v>
      </c>
      <c r="EP111" s="282" t="s">
        <v>572</v>
      </c>
      <c r="EQ111" s="404" t="s">
        <v>630</v>
      </c>
      <c r="ER111" s="405" t="s">
        <v>570</v>
      </c>
      <c r="ES111" s="405" t="s">
        <v>571</v>
      </c>
      <c r="ET111" s="282" t="s">
        <v>572</v>
      </c>
      <c r="EU111" s="404" t="s">
        <v>630</v>
      </c>
      <c r="EV111" s="405" t="s">
        <v>570</v>
      </c>
      <c r="EW111" s="405" t="s">
        <v>571</v>
      </c>
      <c r="EX111" s="282" t="s">
        <v>572</v>
      </c>
      <c r="EY111" s="404" t="s">
        <v>630</v>
      </c>
      <c r="EZ111" s="405" t="s">
        <v>570</v>
      </c>
      <c r="FA111" s="405" t="s">
        <v>571</v>
      </c>
      <c r="FB111" s="282" t="s">
        <v>572</v>
      </c>
      <c r="FC111" s="404" t="s">
        <v>630</v>
      </c>
      <c r="FD111" s="405" t="s">
        <v>570</v>
      </c>
      <c r="FE111" s="405" t="s">
        <v>571</v>
      </c>
      <c r="FF111" s="282" t="s">
        <v>572</v>
      </c>
      <c r="FG111" s="404" t="s">
        <v>630</v>
      </c>
      <c r="FH111" s="405" t="s">
        <v>570</v>
      </c>
      <c r="FI111" s="405" t="s">
        <v>571</v>
      </c>
      <c r="FJ111" s="282" t="s">
        <v>572</v>
      </c>
      <c r="FK111" s="404" t="s">
        <v>630</v>
      </c>
      <c r="FL111" s="405" t="s">
        <v>570</v>
      </c>
      <c r="FM111" s="405" t="s">
        <v>571</v>
      </c>
      <c r="FN111" s="282" t="s">
        <v>572</v>
      </c>
      <c r="FO111" s="404" t="s">
        <v>630</v>
      </c>
      <c r="FP111" s="405" t="s">
        <v>570</v>
      </c>
      <c r="FQ111" s="405" t="s">
        <v>571</v>
      </c>
      <c r="FR111" s="282" t="s">
        <v>572</v>
      </c>
      <c r="FS111" s="404" t="s">
        <v>630</v>
      </c>
      <c r="FT111" s="405" t="s">
        <v>570</v>
      </c>
      <c r="FU111" s="405" t="s">
        <v>571</v>
      </c>
      <c r="FV111" s="282" t="s">
        <v>572</v>
      </c>
      <c r="FW111" s="404" t="s">
        <v>630</v>
      </c>
      <c r="FX111" s="405" t="s">
        <v>570</v>
      </c>
      <c r="FY111" s="405" t="s">
        <v>571</v>
      </c>
      <c r="FZ111" s="282" t="s">
        <v>572</v>
      </c>
      <c r="GA111" s="404" t="s">
        <v>630</v>
      </c>
      <c r="GB111" s="405" t="s">
        <v>570</v>
      </c>
      <c r="GC111" s="405" t="s">
        <v>571</v>
      </c>
      <c r="GD111" s="282" t="s">
        <v>572</v>
      </c>
      <c r="GE111" s="404" t="s">
        <v>630</v>
      </c>
      <c r="GF111" s="405" t="s">
        <v>570</v>
      </c>
      <c r="GG111" s="405" t="s">
        <v>571</v>
      </c>
      <c r="GH111" s="282" t="s">
        <v>572</v>
      </c>
      <c r="GI111" s="404" t="s">
        <v>630</v>
      </c>
      <c r="GJ111" s="405" t="s">
        <v>570</v>
      </c>
      <c r="GK111" s="405" t="s">
        <v>571</v>
      </c>
      <c r="GL111" s="282" t="s">
        <v>572</v>
      </c>
      <c r="GM111" s="404" t="s">
        <v>630</v>
      </c>
      <c r="GN111" s="405" t="s">
        <v>570</v>
      </c>
      <c r="GO111" s="405" t="s">
        <v>571</v>
      </c>
      <c r="GP111" s="282" t="s">
        <v>572</v>
      </c>
      <c r="GQ111" s="404" t="s">
        <v>630</v>
      </c>
      <c r="GR111" s="405" t="s">
        <v>570</v>
      </c>
      <c r="GS111" s="405" t="s">
        <v>571</v>
      </c>
      <c r="GT111" s="282" t="s">
        <v>572</v>
      </c>
      <c r="GU111" s="404" t="s">
        <v>630</v>
      </c>
      <c r="GV111" s="405" t="s">
        <v>570</v>
      </c>
      <c r="GW111" s="405" t="s">
        <v>571</v>
      </c>
      <c r="GX111" s="282" t="s">
        <v>572</v>
      </c>
      <c r="GY111" s="404" t="s">
        <v>630</v>
      </c>
      <c r="GZ111" s="405" t="s">
        <v>570</v>
      </c>
      <c r="HA111" s="405" t="s">
        <v>571</v>
      </c>
      <c r="HB111" s="282" t="s">
        <v>572</v>
      </c>
      <c r="HC111" s="407" t="s">
        <v>630</v>
      </c>
      <c r="HD111" s="408" t="s">
        <v>570</v>
      </c>
      <c r="HE111" s="408" t="s">
        <v>571</v>
      </c>
      <c r="HF111" s="409" t="s">
        <v>572</v>
      </c>
      <c r="HG111" s="407" t="s">
        <v>630</v>
      </c>
      <c r="HH111" s="408" t="s">
        <v>570</v>
      </c>
      <c r="HI111" s="408" t="s">
        <v>571</v>
      </c>
      <c r="HJ111" s="409" t="s">
        <v>572</v>
      </c>
      <c r="IE111" s="579"/>
      <c r="IF111" s="579"/>
      <c r="IG111" s="579"/>
      <c r="IH111" s="579"/>
    </row>
    <row r="112" spans="2:242" s="164" customFormat="1" ht="20.100000000000001" customHeight="1">
      <c r="B112" s="410" t="s">
        <v>1393</v>
      </c>
      <c r="C112" s="411"/>
      <c r="D112" s="411"/>
      <c r="E112" s="411"/>
      <c r="F112" s="411"/>
      <c r="G112" s="412"/>
      <c r="H112" s="413"/>
      <c r="I112" s="414"/>
      <c r="J112" s="415"/>
      <c r="K112" s="416"/>
      <c r="L112" s="411"/>
      <c r="M112" s="411"/>
      <c r="N112" s="417"/>
      <c r="O112" s="416"/>
      <c r="P112" s="411"/>
      <c r="Q112" s="411"/>
      <c r="R112" s="417"/>
      <c r="S112" s="416"/>
      <c r="T112" s="411"/>
      <c r="U112" s="411"/>
      <c r="V112" s="417"/>
      <c r="W112" s="416"/>
      <c r="X112" s="411"/>
      <c r="Y112" s="411"/>
      <c r="Z112" s="417"/>
      <c r="AA112" s="416"/>
      <c r="AB112" s="411"/>
      <c r="AC112" s="411"/>
      <c r="AD112" s="417"/>
      <c r="AE112" s="416"/>
      <c r="AF112" s="411"/>
      <c r="AG112" s="411"/>
      <c r="AH112" s="417"/>
      <c r="AI112" s="416"/>
      <c r="AJ112" s="411"/>
      <c r="AK112" s="411"/>
      <c r="AL112" s="417"/>
      <c r="AM112" s="416"/>
      <c r="AN112" s="411"/>
      <c r="AO112" s="411"/>
      <c r="AP112" s="417"/>
      <c r="AQ112" s="416"/>
      <c r="AR112" s="411"/>
      <c r="AS112" s="411"/>
      <c r="AT112" s="417"/>
      <c r="AU112" s="416"/>
      <c r="AV112" s="411"/>
      <c r="AW112" s="411"/>
      <c r="AX112" s="417"/>
      <c r="AY112" s="416"/>
      <c r="AZ112" s="411"/>
      <c r="BA112" s="411"/>
      <c r="BB112" s="417"/>
      <c r="BC112" s="416"/>
      <c r="BD112" s="411"/>
      <c r="BE112" s="411"/>
      <c r="BF112" s="417"/>
      <c r="BG112" s="416"/>
      <c r="BH112" s="411"/>
      <c r="BI112" s="411"/>
      <c r="BJ112" s="417"/>
      <c r="BK112" s="416"/>
      <c r="BL112" s="411"/>
      <c r="BM112" s="411"/>
      <c r="BN112" s="417"/>
      <c r="BO112" s="416"/>
      <c r="BP112" s="411"/>
      <c r="BQ112" s="411"/>
      <c r="BR112" s="417"/>
      <c r="BS112" s="416"/>
      <c r="BT112" s="411"/>
      <c r="BU112" s="411"/>
      <c r="BV112" s="417"/>
      <c r="BW112" s="416"/>
      <c r="BX112" s="411"/>
      <c r="BY112" s="411"/>
      <c r="BZ112" s="417"/>
      <c r="CA112" s="416"/>
      <c r="CB112" s="411"/>
      <c r="CC112" s="411"/>
      <c r="CD112" s="417"/>
      <c r="CE112" s="416"/>
      <c r="CF112" s="411"/>
      <c r="CG112" s="411"/>
      <c r="CH112" s="417"/>
      <c r="CI112" s="416"/>
      <c r="CJ112" s="411"/>
      <c r="CK112" s="411"/>
      <c r="CL112" s="417"/>
      <c r="CM112" s="416"/>
      <c r="CN112" s="411"/>
      <c r="CO112" s="411"/>
      <c r="CP112" s="417"/>
      <c r="CQ112" s="416"/>
      <c r="CR112" s="411"/>
      <c r="CS112" s="411"/>
      <c r="CT112" s="417"/>
      <c r="CU112" s="416"/>
      <c r="CV112" s="411"/>
      <c r="CW112" s="411"/>
      <c r="CX112" s="417"/>
      <c r="CY112" s="416"/>
      <c r="CZ112" s="411"/>
      <c r="DA112" s="411"/>
      <c r="DB112" s="417"/>
      <c r="DC112" s="416"/>
      <c r="DD112" s="411"/>
      <c r="DE112" s="411"/>
      <c r="DF112" s="417"/>
      <c r="DG112" s="416"/>
      <c r="DH112" s="411"/>
      <c r="DI112" s="411"/>
      <c r="DJ112" s="417"/>
      <c r="DK112" s="416"/>
      <c r="DL112" s="411"/>
      <c r="DM112" s="411"/>
      <c r="DN112" s="417"/>
      <c r="DO112" s="416"/>
      <c r="DP112" s="411"/>
      <c r="DQ112" s="411"/>
      <c r="DR112" s="417"/>
      <c r="DS112" s="416"/>
      <c r="DT112" s="411"/>
      <c r="DU112" s="411"/>
      <c r="DV112" s="417"/>
      <c r="DW112" s="416"/>
      <c r="DX112" s="411"/>
      <c r="DY112" s="411"/>
      <c r="DZ112" s="417"/>
      <c r="EA112" s="416"/>
      <c r="EB112" s="411"/>
      <c r="EC112" s="411"/>
      <c r="ED112" s="417"/>
      <c r="EE112" s="416"/>
      <c r="EF112" s="411"/>
      <c r="EG112" s="411"/>
      <c r="EH112" s="417"/>
      <c r="EI112" s="416"/>
      <c r="EJ112" s="411"/>
      <c r="EK112" s="411"/>
      <c r="EL112" s="417"/>
      <c r="EM112" s="416"/>
      <c r="EN112" s="411"/>
      <c r="EO112" s="411"/>
      <c r="EP112" s="417"/>
      <c r="EQ112" s="416"/>
      <c r="ER112" s="411"/>
      <c r="ES112" s="411"/>
      <c r="ET112" s="417"/>
      <c r="EU112" s="416"/>
      <c r="EV112" s="411"/>
      <c r="EW112" s="411"/>
      <c r="EX112" s="417"/>
      <c r="EY112" s="416"/>
      <c r="EZ112" s="411"/>
      <c r="FA112" s="411"/>
      <c r="FB112" s="417"/>
      <c r="FC112" s="416"/>
      <c r="FD112" s="411"/>
      <c r="FE112" s="411"/>
      <c r="FF112" s="417"/>
      <c r="FG112" s="416"/>
      <c r="FH112" s="411"/>
      <c r="FI112" s="411"/>
      <c r="FJ112" s="417"/>
      <c r="FK112" s="416"/>
      <c r="FL112" s="411"/>
      <c r="FM112" s="411"/>
      <c r="FN112" s="417"/>
      <c r="FO112" s="416"/>
      <c r="FP112" s="411"/>
      <c r="FQ112" s="411"/>
      <c r="FR112" s="417"/>
      <c r="FS112" s="416"/>
      <c r="FT112" s="411"/>
      <c r="FU112" s="411"/>
      <c r="FV112" s="417"/>
      <c r="FW112" s="416"/>
      <c r="FX112" s="411"/>
      <c r="FY112" s="411"/>
      <c r="FZ112" s="417"/>
      <c r="GA112" s="416"/>
      <c r="GB112" s="411"/>
      <c r="GC112" s="411"/>
      <c r="GD112" s="417"/>
      <c r="GE112" s="416"/>
      <c r="GF112" s="411"/>
      <c r="GG112" s="411"/>
      <c r="GH112" s="417"/>
      <c r="GI112" s="416"/>
      <c r="GJ112" s="411"/>
      <c r="GK112" s="411"/>
      <c r="GL112" s="417"/>
      <c r="GM112" s="416"/>
      <c r="GN112" s="411"/>
      <c r="GO112" s="411"/>
      <c r="GP112" s="417"/>
      <c r="GQ112" s="416"/>
      <c r="GR112" s="411"/>
      <c r="GS112" s="411"/>
      <c r="GT112" s="417"/>
      <c r="GU112" s="416"/>
      <c r="GV112" s="411"/>
      <c r="GW112" s="411"/>
      <c r="GX112" s="417"/>
      <c r="GY112" s="416"/>
      <c r="GZ112" s="411"/>
      <c r="HA112" s="411"/>
      <c r="HB112" s="417"/>
      <c r="HC112" s="418">
        <f t="shared" ref="HC112:HF143" si="83">K112+O112+S112+W112+AA112+AE112+AI112+AM112+AQ112+AU112+AY112+BC112+BG112+BK112+BO112+BS112+BW112+CA112+CE112+CI112+CM112+CQ112+CU112+CY112+DC112+DG112+DK112+DO112+DS112+DW112+EA112+EE112+EI112+EM112+EQ112+EU112+EY112+FC112+FG112+FK112+FO112+FS112+FW112+GA112+GE112+GI112+GM112+GQ112+GU112+GY112</f>
        <v>0</v>
      </c>
      <c r="HD112" s="419">
        <f t="shared" si="83"/>
        <v>0</v>
      </c>
      <c r="HE112" s="419">
        <f t="shared" si="83"/>
        <v>0</v>
      </c>
      <c r="HF112" s="420"/>
      <c r="HG112" s="418">
        <f>SUM(SUMIFS(K112:HB112,$K$13:$HB$13,{"エネルギー管理指定工場等*","県域*"}))</f>
        <v>0</v>
      </c>
      <c r="HH112" s="419">
        <f>SUM(SUMIFS(L112:HC112,$K$13:$HB$13,{"エネルギー管理指定工場等*","県域*"}))</f>
        <v>0</v>
      </c>
      <c r="HI112" s="419">
        <f>SUM(SUMIFS(M112:HD112,$K$13:$HB$13,{"エネルギー管理指定工場等*","県域*"}))</f>
        <v>0</v>
      </c>
      <c r="HJ112" s="420"/>
      <c r="IE112" s="579"/>
      <c r="IF112" s="579"/>
      <c r="IG112" s="579"/>
      <c r="IH112" s="579"/>
    </row>
    <row r="113" spans="2:242" s="164" customFormat="1" ht="20.100000000000001" customHeight="1">
      <c r="B113" s="421" t="s">
        <v>1394</v>
      </c>
      <c r="C113" s="422"/>
      <c r="D113" s="422"/>
      <c r="E113" s="422"/>
      <c r="F113" s="422"/>
      <c r="G113" s="423"/>
      <c r="H113" s="424"/>
      <c r="I113" s="425"/>
      <c r="J113" s="426"/>
      <c r="K113" s="427"/>
      <c r="L113" s="422"/>
      <c r="M113" s="422"/>
      <c r="N113" s="428"/>
      <c r="O113" s="427"/>
      <c r="P113" s="422"/>
      <c r="Q113" s="422"/>
      <c r="R113" s="428"/>
      <c r="S113" s="427"/>
      <c r="T113" s="422"/>
      <c r="U113" s="422"/>
      <c r="V113" s="428"/>
      <c r="W113" s="427"/>
      <c r="X113" s="422"/>
      <c r="Y113" s="422"/>
      <c r="Z113" s="428"/>
      <c r="AA113" s="427"/>
      <c r="AB113" s="422"/>
      <c r="AC113" s="422"/>
      <c r="AD113" s="428"/>
      <c r="AE113" s="427"/>
      <c r="AF113" s="422"/>
      <c r="AG113" s="422"/>
      <c r="AH113" s="428"/>
      <c r="AI113" s="427"/>
      <c r="AJ113" s="422"/>
      <c r="AK113" s="422"/>
      <c r="AL113" s="428"/>
      <c r="AM113" s="427"/>
      <c r="AN113" s="422"/>
      <c r="AO113" s="422"/>
      <c r="AP113" s="428"/>
      <c r="AQ113" s="427"/>
      <c r="AR113" s="422"/>
      <c r="AS113" s="422"/>
      <c r="AT113" s="428"/>
      <c r="AU113" s="427"/>
      <c r="AV113" s="422"/>
      <c r="AW113" s="422"/>
      <c r="AX113" s="428"/>
      <c r="AY113" s="427"/>
      <c r="AZ113" s="422"/>
      <c r="BA113" s="422"/>
      <c r="BB113" s="428"/>
      <c r="BC113" s="427"/>
      <c r="BD113" s="422"/>
      <c r="BE113" s="422"/>
      <c r="BF113" s="428"/>
      <c r="BG113" s="427"/>
      <c r="BH113" s="422"/>
      <c r="BI113" s="422"/>
      <c r="BJ113" s="428"/>
      <c r="BK113" s="427"/>
      <c r="BL113" s="422"/>
      <c r="BM113" s="422"/>
      <c r="BN113" s="428"/>
      <c r="BO113" s="427"/>
      <c r="BP113" s="422"/>
      <c r="BQ113" s="422"/>
      <c r="BR113" s="428"/>
      <c r="BS113" s="427"/>
      <c r="BT113" s="422"/>
      <c r="BU113" s="422"/>
      <c r="BV113" s="428"/>
      <c r="BW113" s="427"/>
      <c r="BX113" s="422"/>
      <c r="BY113" s="422"/>
      <c r="BZ113" s="428"/>
      <c r="CA113" s="427"/>
      <c r="CB113" s="422"/>
      <c r="CC113" s="422"/>
      <c r="CD113" s="428"/>
      <c r="CE113" s="427"/>
      <c r="CF113" s="422"/>
      <c r="CG113" s="422"/>
      <c r="CH113" s="428"/>
      <c r="CI113" s="427"/>
      <c r="CJ113" s="422"/>
      <c r="CK113" s="422"/>
      <c r="CL113" s="428"/>
      <c r="CM113" s="427"/>
      <c r="CN113" s="422"/>
      <c r="CO113" s="422"/>
      <c r="CP113" s="428"/>
      <c r="CQ113" s="427"/>
      <c r="CR113" s="422"/>
      <c r="CS113" s="422"/>
      <c r="CT113" s="428"/>
      <c r="CU113" s="427"/>
      <c r="CV113" s="422"/>
      <c r="CW113" s="422"/>
      <c r="CX113" s="428"/>
      <c r="CY113" s="427"/>
      <c r="CZ113" s="422"/>
      <c r="DA113" s="422"/>
      <c r="DB113" s="428"/>
      <c r="DC113" s="427"/>
      <c r="DD113" s="422"/>
      <c r="DE113" s="422"/>
      <c r="DF113" s="428"/>
      <c r="DG113" s="427"/>
      <c r="DH113" s="422"/>
      <c r="DI113" s="422"/>
      <c r="DJ113" s="428"/>
      <c r="DK113" s="427"/>
      <c r="DL113" s="422"/>
      <c r="DM113" s="422"/>
      <c r="DN113" s="428"/>
      <c r="DO113" s="427"/>
      <c r="DP113" s="422"/>
      <c r="DQ113" s="422"/>
      <c r="DR113" s="428"/>
      <c r="DS113" s="427"/>
      <c r="DT113" s="422"/>
      <c r="DU113" s="422"/>
      <c r="DV113" s="428"/>
      <c r="DW113" s="427"/>
      <c r="DX113" s="422"/>
      <c r="DY113" s="422"/>
      <c r="DZ113" s="428"/>
      <c r="EA113" s="427"/>
      <c r="EB113" s="422"/>
      <c r="EC113" s="422"/>
      <c r="ED113" s="428"/>
      <c r="EE113" s="427"/>
      <c r="EF113" s="422"/>
      <c r="EG113" s="422"/>
      <c r="EH113" s="428"/>
      <c r="EI113" s="427"/>
      <c r="EJ113" s="422"/>
      <c r="EK113" s="422"/>
      <c r="EL113" s="428"/>
      <c r="EM113" s="427"/>
      <c r="EN113" s="422"/>
      <c r="EO113" s="422"/>
      <c r="EP113" s="428"/>
      <c r="EQ113" s="427"/>
      <c r="ER113" s="422"/>
      <c r="ES113" s="422"/>
      <c r="ET113" s="428"/>
      <c r="EU113" s="427"/>
      <c r="EV113" s="422"/>
      <c r="EW113" s="422"/>
      <c r="EX113" s="428"/>
      <c r="EY113" s="427"/>
      <c r="EZ113" s="422"/>
      <c r="FA113" s="422"/>
      <c r="FB113" s="428"/>
      <c r="FC113" s="427"/>
      <c r="FD113" s="422"/>
      <c r="FE113" s="422"/>
      <c r="FF113" s="428"/>
      <c r="FG113" s="427"/>
      <c r="FH113" s="422"/>
      <c r="FI113" s="422"/>
      <c r="FJ113" s="428"/>
      <c r="FK113" s="427"/>
      <c r="FL113" s="422"/>
      <c r="FM113" s="422"/>
      <c r="FN113" s="428"/>
      <c r="FO113" s="427"/>
      <c r="FP113" s="422"/>
      <c r="FQ113" s="422"/>
      <c r="FR113" s="428"/>
      <c r="FS113" s="427"/>
      <c r="FT113" s="422"/>
      <c r="FU113" s="422"/>
      <c r="FV113" s="428"/>
      <c r="FW113" s="427"/>
      <c r="FX113" s="422"/>
      <c r="FY113" s="422"/>
      <c r="FZ113" s="428"/>
      <c r="GA113" s="427"/>
      <c r="GB113" s="422"/>
      <c r="GC113" s="422"/>
      <c r="GD113" s="428"/>
      <c r="GE113" s="427"/>
      <c r="GF113" s="422"/>
      <c r="GG113" s="422"/>
      <c r="GH113" s="428"/>
      <c r="GI113" s="427"/>
      <c r="GJ113" s="422"/>
      <c r="GK113" s="422"/>
      <c r="GL113" s="428"/>
      <c r="GM113" s="427"/>
      <c r="GN113" s="422"/>
      <c r="GO113" s="422"/>
      <c r="GP113" s="428"/>
      <c r="GQ113" s="427"/>
      <c r="GR113" s="422"/>
      <c r="GS113" s="422"/>
      <c r="GT113" s="428"/>
      <c r="GU113" s="427"/>
      <c r="GV113" s="422"/>
      <c r="GW113" s="422"/>
      <c r="GX113" s="428"/>
      <c r="GY113" s="427"/>
      <c r="GZ113" s="422"/>
      <c r="HA113" s="422"/>
      <c r="HB113" s="428"/>
      <c r="HC113" s="429">
        <f t="shared" si="83"/>
        <v>0</v>
      </c>
      <c r="HD113" s="430">
        <f t="shared" si="83"/>
        <v>0</v>
      </c>
      <c r="HE113" s="430">
        <f t="shared" si="83"/>
        <v>0</v>
      </c>
      <c r="HF113" s="431"/>
      <c r="HG113" s="429">
        <f>SUM(SUMIFS(K113:HB113,$K$13:$HB$13,{"エネルギー管理指定工場等*","県域*"}))</f>
        <v>0</v>
      </c>
      <c r="HH113" s="432">
        <f>SUM(SUMIFS(L113:HC113,$K$13:$HB$13,{"エネルギー管理指定工場等*","県域*"}))</f>
        <v>0</v>
      </c>
      <c r="HI113" s="432">
        <f>SUM(SUMIFS(M113:HD113,$K$13:$HB$13,{"エネルギー管理指定工場等*","県域*"}))</f>
        <v>0</v>
      </c>
      <c r="HJ113" s="433"/>
      <c r="IE113" s="579"/>
      <c r="IF113" s="579"/>
      <c r="IG113" s="579"/>
      <c r="IH113" s="579"/>
    </row>
    <row r="114" spans="2:242" s="164" customFormat="1" ht="20.100000000000001" customHeight="1">
      <c r="B114" s="421" t="s">
        <v>1395</v>
      </c>
      <c r="C114" s="422"/>
      <c r="D114" s="422"/>
      <c r="E114" s="422"/>
      <c r="F114" s="422"/>
      <c r="G114" s="423"/>
      <c r="H114" s="424"/>
      <c r="I114" s="425"/>
      <c r="J114" s="426"/>
      <c r="K114" s="427"/>
      <c r="L114" s="422"/>
      <c r="M114" s="422"/>
      <c r="N114" s="428"/>
      <c r="O114" s="427"/>
      <c r="P114" s="422"/>
      <c r="Q114" s="422"/>
      <c r="R114" s="428"/>
      <c r="S114" s="427"/>
      <c r="T114" s="422"/>
      <c r="U114" s="422"/>
      <c r="V114" s="428"/>
      <c r="W114" s="427"/>
      <c r="X114" s="422"/>
      <c r="Y114" s="422"/>
      <c r="Z114" s="428"/>
      <c r="AA114" s="427"/>
      <c r="AB114" s="422"/>
      <c r="AC114" s="422"/>
      <c r="AD114" s="428"/>
      <c r="AE114" s="427"/>
      <c r="AF114" s="422"/>
      <c r="AG114" s="422"/>
      <c r="AH114" s="428"/>
      <c r="AI114" s="427"/>
      <c r="AJ114" s="422"/>
      <c r="AK114" s="422"/>
      <c r="AL114" s="428"/>
      <c r="AM114" s="427"/>
      <c r="AN114" s="422"/>
      <c r="AO114" s="422"/>
      <c r="AP114" s="428"/>
      <c r="AQ114" s="427"/>
      <c r="AR114" s="422"/>
      <c r="AS114" s="422"/>
      <c r="AT114" s="428"/>
      <c r="AU114" s="427"/>
      <c r="AV114" s="422"/>
      <c r="AW114" s="422"/>
      <c r="AX114" s="428"/>
      <c r="AY114" s="427"/>
      <c r="AZ114" s="422"/>
      <c r="BA114" s="422"/>
      <c r="BB114" s="428"/>
      <c r="BC114" s="427"/>
      <c r="BD114" s="422"/>
      <c r="BE114" s="422"/>
      <c r="BF114" s="428"/>
      <c r="BG114" s="427"/>
      <c r="BH114" s="422"/>
      <c r="BI114" s="422"/>
      <c r="BJ114" s="428"/>
      <c r="BK114" s="427"/>
      <c r="BL114" s="422"/>
      <c r="BM114" s="422"/>
      <c r="BN114" s="428"/>
      <c r="BO114" s="427"/>
      <c r="BP114" s="422"/>
      <c r="BQ114" s="422"/>
      <c r="BR114" s="428"/>
      <c r="BS114" s="427"/>
      <c r="BT114" s="422"/>
      <c r="BU114" s="422"/>
      <c r="BV114" s="428"/>
      <c r="BW114" s="427"/>
      <c r="BX114" s="422"/>
      <c r="BY114" s="422"/>
      <c r="BZ114" s="428"/>
      <c r="CA114" s="427"/>
      <c r="CB114" s="422"/>
      <c r="CC114" s="422"/>
      <c r="CD114" s="428"/>
      <c r="CE114" s="427"/>
      <c r="CF114" s="422"/>
      <c r="CG114" s="422"/>
      <c r="CH114" s="428"/>
      <c r="CI114" s="427"/>
      <c r="CJ114" s="422"/>
      <c r="CK114" s="422"/>
      <c r="CL114" s="428"/>
      <c r="CM114" s="427"/>
      <c r="CN114" s="422"/>
      <c r="CO114" s="422"/>
      <c r="CP114" s="428"/>
      <c r="CQ114" s="427"/>
      <c r="CR114" s="422"/>
      <c r="CS114" s="422"/>
      <c r="CT114" s="428"/>
      <c r="CU114" s="427"/>
      <c r="CV114" s="422"/>
      <c r="CW114" s="422"/>
      <c r="CX114" s="428"/>
      <c r="CY114" s="427"/>
      <c r="CZ114" s="422"/>
      <c r="DA114" s="422"/>
      <c r="DB114" s="428"/>
      <c r="DC114" s="427"/>
      <c r="DD114" s="422"/>
      <c r="DE114" s="422"/>
      <c r="DF114" s="428"/>
      <c r="DG114" s="427"/>
      <c r="DH114" s="422"/>
      <c r="DI114" s="422"/>
      <c r="DJ114" s="428"/>
      <c r="DK114" s="427"/>
      <c r="DL114" s="422"/>
      <c r="DM114" s="422"/>
      <c r="DN114" s="428"/>
      <c r="DO114" s="427"/>
      <c r="DP114" s="422"/>
      <c r="DQ114" s="422"/>
      <c r="DR114" s="428"/>
      <c r="DS114" s="427"/>
      <c r="DT114" s="422"/>
      <c r="DU114" s="422"/>
      <c r="DV114" s="428"/>
      <c r="DW114" s="427"/>
      <c r="DX114" s="422"/>
      <c r="DY114" s="422"/>
      <c r="DZ114" s="428"/>
      <c r="EA114" s="427"/>
      <c r="EB114" s="422"/>
      <c r="EC114" s="422"/>
      <c r="ED114" s="428"/>
      <c r="EE114" s="427"/>
      <c r="EF114" s="422"/>
      <c r="EG114" s="422"/>
      <c r="EH114" s="428"/>
      <c r="EI114" s="427"/>
      <c r="EJ114" s="422"/>
      <c r="EK114" s="422"/>
      <c r="EL114" s="428"/>
      <c r="EM114" s="427"/>
      <c r="EN114" s="422"/>
      <c r="EO114" s="422"/>
      <c r="EP114" s="428"/>
      <c r="EQ114" s="427"/>
      <c r="ER114" s="422"/>
      <c r="ES114" s="422"/>
      <c r="ET114" s="428"/>
      <c r="EU114" s="427"/>
      <c r="EV114" s="422"/>
      <c r="EW114" s="422"/>
      <c r="EX114" s="428"/>
      <c r="EY114" s="427"/>
      <c r="EZ114" s="422"/>
      <c r="FA114" s="422"/>
      <c r="FB114" s="428"/>
      <c r="FC114" s="427"/>
      <c r="FD114" s="422"/>
      <c r="FE114" s="422"/>
      <c r="FF114" s="428"/>
      <c r="FG114" s="427"/>
      <c r="FH114" s="422"/>
      <c r="FI114" s="422"/>
      <c r="FJ114" s="428"/>
      <c r="FK114" s="427"/>
      <c r="FL114" s="422"/>
      <c r="FM114" s="422"/>
      <c r="FN114" s="428"/>
      <c r="FO114" s="427"/>
      <c r="FP114" s="422"/>
      <c r="FQ114" s="422"/>
      <c r="FR114" s="428"/>
      <c r="FS114" s="427"/>
      <c r="FT114" s="422"/>
      <c r="FU114" s="422"/>
      <c r="FV114" s="428"/>
      <c r="FW114" s="427"/>
      <c r="FX114" s="422"/>
      <c r="FY114" s="422"/>
      <c r="FZ114" s="428"/>
      <c r="GA114" s="427"/>
      <c r="GB114" s="422"/>
      <c r="GC114" s="422"/>
      <c r="GD114" s="428"/>
      <c r="GE114" s="427"/>
      <c r="GF114" s="422"/>
      <c r="GG114" s="422"/>
      <c r="GH114" s="428"/>
      <c r="GI114" s="427"/>
      <c r="GJ114" s="422"/>
      <c r="GK114" s="422"/>
      <c r="GL114" s="428"/>
      <c r="GM114" s="427"/>
      <c r="GN114" s="422"/>
      <c r="GO114" s="422"/>
      <c r="GP114" s="428"/>
      <c r="GQ114" s="427"/>
      <c r="GR114" s="422"/>
      <c r="GS114" s="422"/>
      <c r="GT114" s="428"/>
      <c r="GU114" s="427"/>
      <c r="GV114" s="422"/>
      <c r="GW114" s="422"/>
      <c r="GX114" s="428"/>
      <c r="GY114" s="427"/>
      <c r="GZ114" s="422"/>
      <c r="HA114" s="422"/>
      <c r="HB114" s="428"/>
      <c r="HC114" s="434">
        <f t="shared" si="83"/>
        <v>0</v>
      </c>
      <c r="HD114" s="432">
        <f t="shared" si="83"/>
        <v>0</v>
      </c>
      <c r="HE114" s="432">
        <f t="shared" si="83"/>
        <v>0</v>
      </c>
      <c r="HF114" s="433"/>
      <c r="HG114" s="434">
        <f>SUM(SUMIFS(K114:HB114,$K$13:$HB$13,{"エネルギー管理指定工場等*","県域*"}))</f>
        <v>0</v>
      </c>
      <c r="HH114" s="432">
        <f>SUM(SUMIFS(L114:HC114,$K$13:$HB$13,{"エネルギー管理指定工場等*","県域*"}))</f>
        <v>0</v>
      </c>
      <c r="HI114" s="432">
        <f>SUM(SUMIFS(M114:HD114,$K$13:$HB$13,{"エネルギー管理指定工場等*","県域*"}))</f>
        <v>0</v>
      </c>
      <c r="HJ114" s="433"/>
      <c r="IE114" s="579"/>
      <c r="IF114" s="579"/>
      <c r="IG114" s="579"/>
      <c r="IH114" s="579"/>
    </row>
    <row r="115" spans="2:242" s="164" customFormat="1" ht="20.100000000000001" customHeight="1">
      <c r="B115" s="421" t="s">
        <v>1396</v>
      </c>
      <c r="C115" s="422"/>
      <c r="D115" s="422"/>
      <c r="E115" s="422"/>
      <c r="F115" s="422"/>
      <c r="G115" s="423"/>
      <c r="H115" s="424"/>
      <c r="I115" s="425"/>
      <c r="J115" s="426"/>
      <c r="K115" s="427"/>
      <c r="L115" s="422"/>
      <c r="M115" s="422"/>
      <c r="N115" s="428"/>
      <c r="O115" s="427"/>
      <c r="P115" s="422"/>
      <c r="Q115" s="422"/>
      <c r="R115" s="428"/>
      <c r="S115" s="427"/>
      <c r="T115" s="422"/>
      <c r="U115" s="422"/>
      <c r="V115" s="428"/>
      <c r="W115" s="427"/>
      <c r="X115" s="422"/>
      <c r="Y115" s="422"/>
      <c r="Z115" s="428"/>
      <c r="AA115" s="427"/>
      <c r="AB115" s="422"/>
      <c r="AC115" s="422"/>
      <c r="AD115" s="428"/>
      <c r="AE115" s="427"/>
      <c r="AF115" s="422"/>
      <c r="AG115" s="422"/>
      <c r="AH115" s="428"/>
      <c r="AI115" s="427"/>
      <c r="AJ115" s="422"/>
      <c r="AK115" s="422"/>
      <c r="AL115" s="428"/>
      <c r="AM115" s="427"/>
      <c r="AN115" s="422"/>
      <c r="AO115" s="422"/>
      <c r="AP115" s="428"/>
      <c r="AQ115" s="427"/>
      <c r="AR115" s="422"/>
      <c r="AS115" s="422"/>
      <c r="AT115" s="428"/>
      <c r="AU115" s="427"/>
      <c r="AV115" s="422"/>
      <c r="AW115" s="422"/>
      <c r="AX115" s="428"/>
      <c r="AY115" s="427"/>
      <c r="AZ115" s="422"/>
      <c r="BA115" s="422"/>
      <c r="BB115" s="428"/>
      <c r="BC115" s="427"/>
      <c r="BD115" s="422"/>
      <c r="BE115" s="422"/>
      <c r="BF115" s="428"/>
      <c r="BG115" s="427"/>
      <c r="BH115" s="422"/>
      <c r="BI115" s="422"/>
      <c r="BJ115" s="428"/>
      <c r="BK115" s="427"/>
      <c r="BL115" s="422"/>
      <c r="BM115" s="422"/>
      <c r="BN115" s="428"/>
      <c r="BO115" s="427"/>
      <c r="BP115" s="422"/>
      <c r="BQ115" s="422"/>
      <c r="BR115" s="428"/>
      <c r="BS115" s="427"/>
      <c r="BT115" s="422"/>
      <c r="BU115" s="422"/>
      <c r="BV115" s="428"/>
      <c r="BW115" s="427"/>
      <c r="BX115" s="422"/>
      <c r="BY115" s="422"/>
      <c r="BZ115" s="428"/>
      <c r="CA115" s="427"/>
      <c r="CB115" s="422"/>
      <c r="CC115" s="422"/>
      <c r="CD115" s="428"/>
      <c r="CE115" s="427"/>
      <c r="CF115" s="422"/>
      <c r="CG115" s="422"/>
      <c r="CH115" s="428"/>
      <c r="CI115" s="427"/>
      <c r="CJ115" s="422"/>
      <c r="CK115" s="422"/>
      <c r="CL115" s="428"/>
      <c r="CM115" s="427"/>
      <c r="CN115" s="422"/>
      <c r="CO115" s="422"/>
      <c r="CP115" s="428"/>
      <c r="CQ115" s="427"/>
      <c r="CR115" s="422"/>
      <c r="CS115" s="422"/>
      <c r="CT115" s="428"/>
      <c r="CU115" s="427"/>
      <c r="CV115" s="422"/>
      <c r="CW115" s="422"/>
      <c r="CX115" s="428"/>
      <c r="CY115" s="427"/>
      <c r="CZ115" s="422"/>
      <c r="DA115" s="422"/>
      <c r="DB115" s="428"/>
      <c r="DC115" s="427"/>
      <c r="DD115" s="422"/>
      <c r="DE115" s="422"/>
      <c r="DF115" s="428"/>
      <c r="DG115" s="427"/>
      <c r="DH115" s="422"/>
      <c r="DI115" s="422"/>
      <c r="DJ115" s="428"/>
      <c r="DK115" s="427"/>
      <c r="DL115" s="422"/>
      <c r="DM115" s="422"/>
      <c r="DN115" s="428"/>
      <c r="DO115" s="427"/>
      <c r="DP115" s="422"/>
      <c r="DQ115" s="422"/>
      <c r="DR115" s="428"/>
      <c r="DS115" s="427"/>
      <c r="DT115" s="422"/>
      <c r="DU115" s="422"/>
      <c r="DV115" s="428"/>
      <c r="DW115" s="427"/>
      <c r="DX115" s="422"/>
      <c r="DY115" s="422"/>
      <c r="DZ115" s="428"/>
      <c r="EA115" s="427"/>
      <c r="EB115" s="422"/>
      <c r="EC115" s="422"/>
      <c r="ED115" s="428"/>
      <c r="EE115" s="427"/>
      <c r="EF115" s="422"/>
      <c r="EG115" s="422"/>
      <c r="EH115" s="428"/>
      <c r="EI115" s="427"/>
      <c r="EJ115" s="422"/>
      <c r="EK115" s="422"/>
      <c r="EL115" s="428"/>
      <c r="EM115" s="427"/>
      <c r="EN115" s="422"/>
      <c r="EO115" s="422"/>
      <c r="EP115" s="428"/>
      <c r="EQ115" s="427"/>
      <c r="ER115" s="422"/>
      <c r="ES115" s="422"/>
      <c r="ET115" s="428"/>
      <c r="EU115" s="427"/>
      <c r="EV115" s="422"/>
      <c r="EW115" s="422"/>
      <c r="EX115" s="428"/>
      <c r="EY115" s="427"/>
      <c r="EZ115" s="422"/>
      <c r="FA115" s="422"/>
      <c r="FB115" s="428"/>
      <c r="FC115" s="427"/>
      <c r="FD115" s="422"/>
      <c r="FE115" s="422"/>
      <c r="FF115" s="428"/>
      <c r="FG115" s="427"/>
      <c r="FH115" s="422"/>
      <c r="FI115" s="422"/>
      <c r="FJ115" s="428"/>
      <c r="FK115" s="427"/>
      <c r="FL115" s="422"/>
      <c r="FM115" s="422"/>
      <c r="FN115" s="428"/>
      <c r="FO115" s="427"/>
      <c r="FP115" s="422"/>
      <c r="FQ115" s="422"/>
      <c r="FR115" s="428"/>
      <c r="FS115" s="427"/>
      <c r="FT115" s="422"/>
      <c r="FU115" s="422"/>
      <c r="FV115" s="428"/>
      <c r="FW115" s="427"/>
      <c r="FX115" s="422"/>
      <c r="FY115" s="422"/>
      <c r="FZ115" s="428"/>
      <c r="GA115" s="427"/>
      <c r="GB115" s="422"/>
      <c r="GC115" s="422"/>
      <c r="GD115" s="428"/>
      <c r="GE115" s="427"/>
      <c r="GF115" s="422"/>
      <c r="GG115" s="422"/>
      <c r="GH115" s="428"/>
      <c r="GI115" s="427"/>
      <c r="GJ115" s="422"/>
      <c r="GK115" s="422"/>
      <c r="GL115" s="428"/>
      <c r="GM115" s="427"/>
      <c r="GN115" s="422"/>
      <c r="GO115" s="422"/>
      <c r="GP115" s="428"/>
      <c r="GQ115" s="427"/>
      <c r="GR115" s="422"/>
      <c r="GS115" s="422"/>
      <c r="GT115" s="428"/>
      <c r="GU115" s="427"/>
      <c r="GV115" s="422"/>
      <c r="GW115" s="422"/>
      <c r="GX115" s="428"/>
      <c r="GY115" s="427"/>
      <c r="GZ115" s="422"/>
      <c r="HA115" s="422"/>
      <c r="HB115" s="428"/>
      <c r="HC115" s="434">
        <f t="shared" si="83"/>
        <v>0</v>
      </c>
      <c r="HD115" s="432">
        <f t="shared" si="83"/>
        <v>0</v>
      </c>
      <c r="HE115" s="432">
        <f t="shared" si="83"/>
        <v>0</v>
      </c>
      <c r="HF115" s="433"/>
      <c r="HG115" s="434">
        <f>SUM(SUMIFS(K115:HB115,$K$13:$HB$13,{"エネルギー管理指定工場等*","県域*"}))</f>
        <v>0</v>
      </c>
      <c r="HH115" s="432">
        <f>SUM(SUMIFS(L115:HC115,$K$13:$HB$13,{"エネルギー管理指定工場等*","県域*"}))</f>
        <v>0</v>
      </c>
      <c r="HI115" s="432">
        <f>SUM(SUMIFS(M115:HD115,$K$13:$HB$13,{"エネルギー管理指定工場等*","県域*"}))</f>
        <v>0</v>
      </c>
      <c r="HJ115" s="433"/>
      <c r="IE115" s="579"/>
      <c r="IF115" s="579"/>
      <c r="IG115" s="579"/>
      <c r="IH115" s="579"/>
    </row>
    <row r="116" spans="2:242" s="164" customFormat="1" ht="20.100000000000001" customHeight="1">
      <c r="B116" s="421" t="s">
        <v>1397</v>
      </c>
      <c r="C116" s="422"/>
      <c r="D116" s="422"/>
      <c r="E116" s="422"/>
      <c r="F116" s="422"/>
      <c r="G116" s="423"/>
      <c r="H116" s="424"/>
      <c r="I116" s="435"/>
      <c r="J116" s="436"/>
      <c r="K116" s="427"/>
      <c r="L116" s="422"/>
      <c r="M116" s="422"/>
      <c r="N116" s="428"/>
      <c r="O116" s="427"/>
      <c r="P116" s="422"/>
      <c r="Q116" s="422"/>
      <c r="R116" s="428"/>
      <c r="S116" s="427"/>
      <c r="T116" s="422"/>
      <c r="U116" s="422"/>
      <c r="V116" s="428"/>
      <c r="W116" s="427"/>
      <c r="X116" s="422"/>
      <c r="Y116" s="422"/>
      <c r="Z116" s="428"/>
      <c r="AA116" s="427"/>
      <c r="AB116" s="422"/>
      <c r="AC116" s="422"/>
      <c r="AD116" s="428"/>
      <c r="AE116" s="427"/>
      <c r="AF116" s="422"/>
      <c r="AG116" s="422"/>
      <c r="AH116" s="428"/>
      <c r="AI116" s="427"/>
      <c r="AJ116" s="422"/>
      <c r="AK116" s="422"/>
      <c r="AL116" s="428"/>
      <c r="AM116" s="427"/>
      <c r="AN116" s="422"/>
      <c r="AO116" s="422"/>
      <c r="AP116" s="428"/>
      <c r="AQ116" s="427"/>
      <c r="AR116" s="422"/>
      <c r="AS116" s="422"/>
      <c r="AT116" s="428"/>
      <c r="AU116" s="427"/>
      <c r="AV116" s="422"/>
      <c r="AW116" s="422"/>
      <c r="AX116" s="428"/>
      <c r="AY116" s="427"/>
      <c r="AZ116" s="422"/>
      <c r="BA116" s="422"/>
      <c r="BB116" s="428"/>
      <c r="BC116" s="427"/>
      <c r="BD116" s="422"/>
      <c r="BE116" s="422"/>
      <c r="BF116" s="428"/>
      <c r="BG116" s="427"/>
      <c r="BH116" s="422"/>
      <c r="BI116" s="422"/>
      <c r="BJ116" s="428"/>
      <c r="BK116" s="427"/>
      <c r="BL116" s="422"/>
      <c r="BM116" s="422"/>
      <c r="BN116" s="428"/>
      <c r="BO116" s="427"/>
      <c r="BP116" s="422"/>
      <c r="BQ116" s="422"/>
      <c r="BR116" s="428"/>
      <c r="BS116" s="427"/>
      <c r="BT116" s="422"/>
      <c r="BU116" s="422"/>
      <c r="BV116" s="428"/>
      <c r="BW116" s="427"/>
      <c r="BX116" s="422"/>
      <c r="BY116" s="422"/>
      <c r="BZ116" s="428"/>
      <c r="CA116" s="427"/>
      <c r="CB116" s="422"/>
      <c r="CC116" s="422"/>
      <c r="CD116" s="428"/>
      <c r="CE116" s="427"/>
      <c r="CF116" s="422"/>
      <c r="CG116" s="422"/>
      <c r="CH116" s="428"/>
      <c r="CI116" s="427"/>
      <c r="CJ116" s="422"/>
      <c r="CK116" s="422"/>
      <c r="CL116" s="428"/>
      <c r="CM116" s="427"/>
      <c r="CN116" s="422"/>
      <c r="CO116" s="422"/>
      <c r="CP116" s="428"/>
      <c r="CQ116" s="427"/>
      <c r="CR116" s="422"/>
      <c r="CS116" s="422"/>
      <c r="CT116" s="428"/>
      <c r="CU116" s="427"/>
      <c r="CV116" s="422"/>
      <c r="CW116" s="422"/>
      <c r="CX116" s="428"/>
      <c r="CY116" s="427"/>
      <c r="CZ116" s="422"/>
      <c r="DA116" s="422"/>
      <c r="DB116" s="428"/>
      <c r="DC116" s="427"/>
      <c r="DD116" s="422"/>
      <c r="DE116" s="422"/>
      <c r="DF116" s="428"/>
      <c r="DG116" s="427"/>
      <c r="DH116" s="422"/>
      <c r="DI116" s="422"/>
      <c r="DJ116" s="428"/>
      <c r="DK116" s="427"/>
      <c r="DL116" s="422"/>
      <c r="DM116" s="422"/>
      <c r="DN116" s="428"/>
      <c r="DO116" s="427"/>
      <c r="DP116" s="422"/>
      <c r="DQ116" s="422"/>
      <c r="DR116" s="428"/>
      <c r="DS116" s="427"/>
      <c r="DT116" s="422"/>
      <c r="DU116" s="422"/>
      <c r="DV116" s="428"/>
      <c r="DW116" s="427"/>
      <c r="DX116" s="422"/>
      <c r="DY116" s="422"/>
      <c r="DZ116" s="428"/>
      <c r="EA116" s="427"/>
      <c r="EB116" s="422"/>
      <c r="EC116" s="422"/>
      <c r="ED116" s="428"/>
      <c r="EE116" s="427"/>
      <c r="EF116" s="422"/>
      <c r="EG116" s="422"/>
      <c r="EH116" s="428"/>
      <c r="EI116" s="427"/>
      <c r="EJ116" s="422"/>
      <c r="EK116" s="422"/>
      <c r="EL116" s="428"/>
      <c r="EM116" s="427"/>
      <c r="EN116" s="422"/>
      <c r="EO116" s="422"/>
      <c r="EP116" s="428"/>
      <c r="EQ116" s="427"/>
      <c r="ER116" s="422"/>
      <c r="ES116" s="422"/>
      <c r="ET116" s="428"/>
      <c r="EU116" s="427"/>
      <c r="EV116" s="422"/>
      <c r="EW116" s="422"/>
      <c r="EX116" s="428"/>
      <c r="EY116" s="427"/>
      <c r="EZ116" s="422"/>
      <c r="FA116" s="422"/>
      <c r="FB116" s="428"/>
      <c r="FC116" s="427"/>
      <c r="FD116" s="422"/>
      <c r="FE116" s="422"/>
      <c r="FF116" s="428"/>
      <c r="FG116" s="427"/>
      <c r="FH116" s="422"/>
      <c r="FI116" s="422"/>
      <c r="FJ116" s="428"/>
      <c r="FK116" s="427"/>
      <c r="FL116" s="422"/>
      <c r="FM116" s="422"/>
      <c r="FN116" s="428"/>
      <c r="FO116" s="427"/>
      <c r="FP116" s="422"/>
      <c r="FQ116" s="422"/>
      <c r="FR116" s="428"/>
      <c r="FS116" s="427"/>
      <c r="FT116" s="422"/>
      <c r="FU116" s="422"/>
      <c r="FV116" s="428"/>
      <c r="FW116" s="427"/>
      <c r="FX116" s="422"/>
      <c r="FY116" s="422"/>
      <c r="FZ116" s="428"/>
      <c r="GA116" s="427"/>
      <c r="GB116" s="422"/>
      <c r="GC116" s="422"/>
      <c r="GD116" s="428"/>
      <c r="GE116" s="427"/>
      <c r="GF116" s="422"/>
      <c r="GG116" s="422"/>
      <c r="GH116" s="428"/>
      <c r="GI116" s="427"/>
      <c r="GJ116" s="422"/>
      <c r="GK116" s="422"/>
      <c r="GL116" s="428"/>
      <c r="GM116" s="427"/>
      <c r="GN116" s="422"/>
      <c r="GO116" s="422"/>
      <c r="GP116" s="428"/>
      <c r="GQ116" s="427"/>
      <c r="GR116" s="422"/>
      <c r="GS116" s="422"/>
      <c r="GT116" s="428"/>
      <c r="GU116" s="427"/>
      <c r="GV116" s="422"/>
      <c r="GW116" s="422"/>
      <c r="GX116" s="428"/>
      <c r="GY116" s="427"/>
      <c r="GZ116" s="422"/>
      <c r="HA116" s="422"/>
      <c r="HB116" s="428"/>
      <c r="HC116" s="434">
        <f t="shared" si="83"/>
        <v>0</v>
      </c>
      <c r="HD116" s="432">
        <f t="shared" si="83"/>
        <v>0</v>
      </c>
      <c r="HE116" s="432">
        <f t="shared" si="83"/>
        <v>0</v>
      </c>
      <c r="HF116" s="433"/>
      <c r="HG116" s="434">
        <f>SUM(SUMIFS(K116:HB116,$K$13:$HB$13,{"エネルギー管理指定工場等*","県域*"}))</f>
        <v>0</v>
      </c>
      <c r="HH116" s="432">
        <f>SUM(SUMIFS(L116:HC116,$K$13:$HB$13,{"エネルギー管理指定工場等*","県域*"}))</f>
        <v>0</v>
      </c>
      <c r="HI116" s="432">
        <f>SUM(SUMIFS(M116:HD116,$K$13:$HB$13,{"エネルギー管理指定工場等*","県域*"}))</f>
        <v>0</v>
      </c>
      <c r="HJ116" s="433"/>
      <c r="IE116" s="579"/>
      <c r="IF116" s="579"/>
      <c r="IG116" s="579"/>
      <c r="IH116" s="579"/>
    </row>
    <row r="117" spans="2:242" s="164" customFormat="1" ht="20.100000000000001" customHeight="1">
      <c r="B117" s="421" t="s">
        <v>1398</v>
      </c>
      <c r="C117" s="437"/>
      <c r="D117" s="437"/>
      <c r="E117" s="437"/>
      <c r="F117" s="422"/>
      <c r="G117" s="423"/>
      <c r="H117" s="438"/>
      <c r="I117" s="439"/>
      <c r="J117" s="440"/>
      <c r="K117" s="441"/>
      <c r="L117" s="437"/>
      <c r="M117" s="437"/>
      <c r="N117" s="442"/>
      <c r="O117" s="441"/>
      <c r="P117" s="437"/>
      <c r="Q117" s="437"/>
      <c r="R117" s="442"/>
      <c r="S117" s="441"/>
      <c r="T117" s="437"/>
      <c r="U117" s="437"/>
      <c r="V117" s="442"/>
      <c r="W117" s="441"/>
      <c r="X117" s="437"/>
      <c r="Y117" s="437"/>
      <c r="Z117" s="442"/>
      <c r="AA117" s="441"/>
      <c r="AB117" s="437"/>
      <c r="AC117" s="437"/>
      <c r="AD117" s="442"/>
      <c r="AE117" s="441"/>
      <c r="AF117" s="437"/>
      <c r="AG117" s="437"/>
      <c r="AH117" s="442"/>
      <c r="AI117" s="441"/>
      <c r="AJ117" s="437"/>
      <c r="AK117" s="437"/>
      <c r="AL117" s="442"/>
      <c r="AM117" s="441"/>
      <c r="AN117" s="437"/>
      <c r="AO117" s="437"/>
      <c r="AP117" s="442"/>
      <c r="AQ117" s="441"/>
      <c r="AR117" s="437"/>
      <c r="AS117" s="437"/>
      <c r="AT117" s="442"/>
      <c r="AU117" s="441"/>
      <c r="AV117" s="437"/>
      <c r="AW117" s="437"/>
      <c r="AX117" s="442"/>
      <c r="AY117" s="441"/>
      <c r="AZ117" s="437"/>
      <c r="BA117" s="437"/>
      <c r="BB117" s="442"/>
      <c r="BC117" s="441"/>
      <c r="BD117" s="437"/>
      <c r="BE117" s="437"/>
      <c r="BF117" s="442"/>
      <c r="BG117" s="441"/>
      <c r="BH117" s="437"/>
      <c r="BI117" s="437"/>
      <c r="BJ117" s="442"/>
      <c r="BK117" s="441"/>
      <c r="BL117" s="437"/>
      <c r="BM117" s="437"/>
      <c r="BN117" s="442"/>
      <c r="BO117" s="441"/>
      <c r="BP117" s="437"/>
      <c r="BQ117" s="437"/>
      <c r="BR117" s="442"/>
      <c r="BS117" s="441"/>
      <c r="BT117" s="437"/>
      <c r="BU117" s="437"/>
      <c r="BV117" s="442"/>
      <c r="BW117" s="441"/>
      <c r="BX117" s="437"/>
      <c r="BY117" s="437"/>
      <c r="BZ117" s="442"/>
      <c r="CA117" s="441"/>
      <c r="CB117" s="437"/>
      <c r="CC117" s="437"/>
      <c r="CD117" s="442"/>
      <c r="CE117" s="441"/>
      <c r="CF117" s="437"/>
      <c r="CG117" s="437"/>
      <c r="CH117" s="442"/>
      <c r="CI117" s="441"/>
      <c r="CJ117" s="437"/>
      <c r="CK117" s="437"/>
      <c r="CL117" s="442"/>
      <c r="CM117" s="441"/>
      <c r="CN117" s="437"/>
      <c r="CO117" s="437"/>
      <c r="CP117" s="442"/>
      <c r="CQ117" s="441"/>
      <c r="CR117" s="437"/>
      <c r="CS117" s="437"/>
      <c r="CT117" s="442"/>
      <c r="CU117" s="441"/>
      <c r="CV117" s="437"/>
      <c r="CW117" s="437"/>
      <c r="CX117" s="442"/>
      <c r="CY117" s="441"/>
      <c r="CZ117" s="437"/>
      <c r="DA117" s="437"/>
      <c r="DB117" s="442"/>
      <c r="DC117" s="441"/>
      <c r="DD117" s="437"/>
      <c r="DE117" s="437"/>
      <c r="DF117" s="442"/>
      <c r="DG117" s="441"/>
      <c r="DH117" s="437"/>
      <c r="DI117" s="437"/>
      <c r="DJ117" s="442"/>
      <c r="DK117" s="441"/>
      <c r="DL117" s="437"/>
      <c r="DM117" s="437"/>
      <c r="DN117" s="442"/>
      <c r="DO117" s="441"/>
      <c r="DP117" s="437"/>
      <c r="DQ117" s="437"/>
      <c r="DR117" s="442"/>
      <c r="DS117" s="441"/>
      <c r="DT117" s="437"/>
      <c r="DU117" s="437"/>
      <c r="DV117" s="442"/>
      <c r="DW117" s="441"/>
      <c r="DX117" s="437"/>
      <c r="DY117" s="437"/>
      <c r="DZ117" s="442"/>
      <c r="EA117" s="441"/>
      <c r="EB117" s="437"/>
      <c r="EC117" s="437"/>
      <c r="ED117" s="442"/>
      <c r="EE117" s="441"/>
      <c r="EF117" s="437"/>
      <c r="EG117" s="437"/>
      <c r="EH117" s="442"/>
      <c r="EI117" s="441"/>
      <c r="EJ117" s="437"/>
      <c r="EK117" s="437"/>
      <c r="EL117" s="442"/>
      <c r="EM117" s="441"/>
      <c r="EN117" s="437"/>
      <c r="EO117" s="437"/>
      <c r="EP117" s="442"/>
      <c r="EQ117" s="441"/>
      <c r="ER117" s="437"/>
      <c r="ES117" s="437"/>
      <c r="ET117" s="442"/>
      <c r="EU117" s="441"/>
      <c r="EV117" s="437"/>
      <c r="EW117" s="437"/>
      <c r="EX117" s="442"/>
      <c r="EY117" s="441"/>
      <c r="EZ117" s="437"/>
      <c r="FA117" s="437"/>
      <c r="FB117" s="442"/>
      <c r="FC117" s="441"/>
      <c r="FD117" s="437"/>
      <c r="FE117" s="437"/>
      <c r="FF117" s="442"/>
      <c r="FG117" s="441"/>
      <c r="FH117" s="437"/>
      <c r="FI117" s="437"/>
      <c r="FJ117" s="442"/>
      <c r="FK117" s="441"/>
      <c r="FL117" s="437"/>
      <c r="FM117" s="437"/>
      <c r="FN117" s="442"/>
      <c r="FO117" s="441"/>
      <c r="FP117" s="437"/>
      <c r="FQ117" s="437"/>
      <c r="FR117" s="442"/>
      <c r="FS117" s="441"/>
      <c r="FT117" s="437"/>
      <c r="FU117" s="437"/>
      <c r="FV117" s="442"/>
      <c r="FW117" s="441"/>
      <c r="FX117" s="437"/>
      <c r="FY117" s="437"/>
      <c r="FZ117" s="442"/>
      <c r="GA117" s="441"/>
      <c r="GB117" s="437"/>
      <c r="GC117" s="437"/>
      <c r="GD117" s="442"/>
      <c r="GE117" s="441"/>
      <c r="GF117" s="437"/>
      <c r="GG117" s="437"/>
      <c r="GH117" s="442"/>
      <c r="GI117" s="441"/>
      <c r="GJ117" s="437"/>
      <c r="GK117" s="437"/>
      <c r="GL117" s="442"/>
      <c r="GM117" s="441"/>
      <c r="GN117" s="437"/>
      <c r="GO117" s="437"/>
      <c r="GP117" s="442"/>
      <c r="GQ117" s="441"/>
      <c r="GR117" s="437"/>
      <c r="GS117" s="437"/>
      <c r="GT117" s="442"/>
      <c r="GU117" s="441"/>
      <c r="GV117" s="437"/>
      <c r="GW117" s="437"/>
      <c r="GX117" s="442"/>
      <c r="GY117" s="441"/>
      <c r="GZ117" s="437"/>
      <c r="HA117" s="437"/>
      <c r="HB117" s="442"/>
      <c r="HC117" s="429">
        <f t="shared" si="83"/>
        <v>0</v>
      </c>
      <c r="HD117" s="430">
        <f t="shared" si="83"/>
        <v>0</v>
      </c>
      <c r="HE117" s="430">
        <f t="shared" si="83"/>
        <v>0</v>
      </c>
      <c r="HF117" s="431"/>
      <c r="HG117" s="429">
        <f>SUM(SUMIFS(K117:HB117,$K$13:$HB$13,{"エネルギー管理指定工場等*","県域*"}))</f>
        <v>0</v>
      </c>
      <c r="HH117" s="430">
        <f>SUM(SUMIFS(L117:HC117,$K$13:$HB$13,{"エネルギー管理指定工場等*","県域*"}))</f>
        <v>0</v>
      </c>
      <c r="HI117" s="430">
        <f>SUM(SUMIFS(M117:HD117,$K$13:$HB$13,{"エネルギー管理指定工場等*","県域*"}))</f>
        <v>0</v>
      </c>
      <c r="HJ117" s="431"/>
      <c r="IE117" s="579"/>
      <c r="IF117" s="579"/>
      <c r="IG117" s="579"/>
      <c r="IH117" s="579"/>
    </row>
    <row r="118" spans="2:242" s="164" customFormat="1" ht="20.100000000000001" customHeight="1">
      <c r="B118" s="421" t="s">
        <v>1399</v>
      </c>
      <c r="C118" s="422"/>
      <c r="D118" s="422"/>
      <c r="E118" s="422"/>
      <c r="F118" s="422"/>
      <c r="G118" s="423"/>
      <c r="H118" s="424"/>
      <c r="I118" s="425"/>
      <c r="J118" s="426"/>
      <c r="K118" s="427"/>
      <c r="L118" s="422"/>
      <c r="M118" s="422"/>
      <c r="N118" s="428"/>
      <c r="O118" s="427"/>
      <c r="P118" s="422"/>
      <c r="Q118" s="422"/>
      <c r="R118" s="428"/>
      <c r="S118" s="427"/>
      <c r="T118" s="422"/>
      <c r="U118" s="422"/>
      <c r="V118" s="428"/>
      <c r="W118" s="427"/>
      <c r="X118" s="422"/>
      <c r="Y118" s="422"/>
      <c r="Z118" s="428"/>
      <c r="AA118" s="427"/>
      <c r="AB118" s="422"/>
      <c r="AC118" s="422"/>
      <c r="AD118" s="428"/>
      <c r="AE118" s="427"/>
      <c r="AF118" s="422"/>
      <c r="AG118" s="422"/>
      <c r="AH118" s="428"/>
      <c r="AI118" s="427"/>
      <c r="AJ118" s="422"/>
      <c r="AK118" s="422"/>
      <c r="AL118" s="428"/>
      <c r="AM118" s="427"/>
      <c r="AN118" s="422"/>
      <c r="AO118" s="422"/>
      <c r="AP118" s="428"/>
      <c r="AQ118" s="427"/>
      <c r="AR118" s="422"/>
      <c r="AS118" s="422"/>
      <c r="AT118" s="428"/>
      <c r="AU118" s="427"/>
      <c r="AV118" s="422"/>
      <c r="AW118" s="422"/>
      <c r="AX118" s="428"/>
      <c r="AY118" s="427"/>
      <c r="AZ118" s="422"/>
      <c r="BA118" s="422"/>
      <c r="BB118" s="428"/>
      <c r="BC118" s="427"/>
      <c r="BD118" s="422"/>
      <c r="BE118" s="422"/>
      <c r="BF118" s="428"/>
      <c r="BG118" s="427"/>
      <c r="BH118" s="422"/>
      <c r="BI118" s="422"/>
      <c r="BJ118" s="428"/>
      <c r="BK118" s="427"/>
      <c r="BL118" s="422"/>
      <c r="BM118" s="422"/>
      <c r="BN118" s="428"/>
      <c r="BO118" s="427"/>
      <c r="BP118" s="422"/>
      <c r="BQ118" s="422"/>
      <c r="BR118" s="428"/>
      <c r="BS118" s="427"/>
      <c r="BT118" s="422"/>
      <c r="BU118" s="422"/>
      <c r="BV118" s="428"/>
      <c r="BW118" s="427"/>
      <c r="BX118" s="422"/>
      <c r="BY118" s="422"/>
      <c r="BZ118" s="428"/>
      <c r="CA118" s="427"/>
      <c r="CB118" s="422"/>
      <c r="CC118" s="422"/>
      <c r="CD118" s="428"/>
      <c r="CE118" s="427"/>
      <c r="CF118" s="422"/>
      <c r="CG118" s="422"/>
      <c r="CH118" s="428"/>
      <c r="CI118" s="427"/>
      <c r="CJ118" s="422"/>
      <c r="CK118" s="422"/>
      <c r="CL118" s="428"/>
      <c r="CM118" s="427"/>
      <c r="CN118" s="422"/>
      <c r="CO118" s="422"/>
      <c r="CP118" s="428"/>
      <c r="CQ118" s="427"/>
      <c r="CR118" s="422"/>
      <c r="CS118" s="422"/>
      <c r="CT118" s="428"/>
      <c r="CU118" s="427"/>
      <c r="CV118" s="422"/>
      <c r="CW118" s="422"/>
      <c r="CX118" s="428"/>
      <c r="CY118" s="427"/>
      <c r="CZ118" s="422"/>
      <c r="DA118" s="422"/>
      <c r="DB118" s="428"/>
      <c r="DC118" s="427"/>
      <c r="DD118" s="422"/>
      <c r="DE118" s="422"/>
      <c r="DF118" s="428"/>
      <c r="DG118" s="427"/>
      <c r="DH118" s="422"/>
      <c r="DI118" s="422"/>
      <c r="DJ118" s="428"/>
      <c r="DK118" s="427"/>
      <c r="DL118" s="422"/>
      <c r="DM118" s="422"/>
      <c r="DN118" s="428"/>
      <c r="DO118" s="427"/>
      <c r="DP118" s="422"/>
      <c r="DQ118" s="422"/>
      <c r="DR118" s="428"/>
      <c r="DS118" s="427"/>
      <c r="DT118" s="422"/>
      <c r="DU118" s="422"/>
      <c r="DV118" s="428"/>
      <c r="DW118" s="427"/>
      <c r="DX118" s="422"/>
      <c r="DY118" s="422"/>
      <c r="DZ118" s="428"/>
      <c r="EA118" s="427"/>
      <c r="EB118" s="422"/>
      <c r="EC118" s="422"/>
      <c r="ED118" s="428"/>
      <c r="EE118" s="427"/>
      <c r="EF118" s="422"/>
      <c r="EG118" s="422"/>
      <c r="EH118" s="428"/>
      <c r="EI118" s="427"/>
      <c r="EJ118" s="422"/>
      <c r="EK118" s="422"/>
      <c r="EL118" s="428"/>
      <c r="EM118" s="427"/>
      <c r="EN118" s="422"/>
      <c r="EO118" s="422"/>
      <c r="EP118" s="428"/>
      <c r="EQ118" s="427"/>
      <c r="ER118" s="422"/>
      <c r="ES118" s="422"/>
      <c r="ET118" s="428"/>
      <c r="EU118" s="427"/>
      <c r="EV118" s="422"/>
      <c r="EW118" s="422"/>
      <c r="EX118" s="428"/>
      <c r="EY118" s="427"/>
      <c r="EZ118" s="422"/>
      <c r="FA118" s="422"/>
      <c r="FB118" s="428"/>
      <c r="FC118" s="427"/>
      <c r="FD118" s="422"/>
      <c r="FE118" s="422"/>
      <c r="FF118" s="428"/>
      <c r="FG118" s="427"/>
      <c r="FH118" s="422"/>
      <c r="FI118" s="422"/>
      <c r="FJ118" s="428"/>
      <c r="FK118" s="427"/>
      <c r="FL118" s="422"/>
      <c r="FM118" s="422"/>
      <c r="FN118" s="428"/>
      <c r="FO118" s="427"/>
      <c r="FP118" s="422"/>
      <c r="FQ118" s="422"/>
      <c r="FR118" s="428"/>
      <c r="FS118" s="427"/>
      <c r="FT118" s="422"/>
      <c r="FU118" s="422"/>
      <c r="FV118" s="428"/>
      <c r="FW118" s="427"/>
      <c r="FX118" s="422"/>
      <c r="FY118" s="422"/>
      <c r="FZ118" s="428"/>
      <c r="GA118" s="427"/>
      <c r="GB118" s="422"/>
      <c r="GC118" s="422"/>
      <c r="GD118" s="428"/>
      <c r="GE118" s="427"/>
      <c r="GF118" s="422"/>
      <c r="GG118" s="422"/>
      <c r="GH118" s="428"/>
      <c r="GI118" s="427"/>
      <c r="GJ118" s="422"/>
      <c r="GK118" s="422"/>
      <c r="GL118" s="428"/>
      <c r="GM118" s="427"/>
      <c r="GN118" s="422"/>
      <c r="GO118" s="422"/>
      <c r="GP118" s="428"/>
      <c r="GQ118" s="427"/>
      <c r="GR118" s="422"/>
      <c r="GS118" s="422"/>
      <c r="GT118" s="428"/>
      <c r="GU118" s="427"/>
      <c r="GV118" s="422"/>
      <c r="GW118" s="422"/>
      <c r="GX118" s="428"/>
      <c r="GY118" s="427"/>
      <c r="GZ118" s="422"/>
      <c r="HA118" s="422"/>
      <c r="HB118" s="428"/>
      <c r="HC118" s="434">
        <f t="shared" si="83"/>
        <v>0</v>
      </c>
      <c r="HD118" s="432">
        <f t="shared" si="83"/>
        <v>0</v>
      </c>
      <c r="HE118" s="432">
        <f t="shared" si="83"/>
        <v>0</v>
      </c>
      <c r="HF118" s="433"/>
      <c r="HG118" s="434">
        <f>SUM(SUMIFS(K118:HB118,$K$13:$HB$13,{"エネルギー管理指定工場等*","県域*"}))</f>
        <v>0</v>
      </c>
      <c r="HH118" s="432">
        <f>SUM(SUMIFS(L118:HC118,$K$13:$HB$13,{"エネルギー管理指定工場等*","県域*"}))</f>
        <v>0</v>
      </c>
      <c r="HI118" s="432">
        <f>SUM(SUMIFS(M118:HD118,$K$13:$HB$13,{"エネルギー管理指定工場等*","県域*"}))</f>
        <v>0</v>
      </c>
      <c r="HJ118" s="433"/>
      <c r="IE118" s="579"/>
      <c r="IF118" s="579"/>
      <c r="IG118" s="579"/>
      <c r="IH118" s="579"/>
    </row>
    <row r="119" spans="2:242" s="164" customFormat="1" ht="20.100000000000001" customHeight="1">
      <c r="B119" s="421" t="s">
        <v>1400</v>
      </c>
      <c r="C119" s="422"/>
      <c r="D119" s="422"/>
      <c r="E119" s="422"/>
      <c r="F119" s="422"/>
      <c r="G119" s="423"/>
      <c r="H119" s="424"/>
      <c r="I119" s="425"/>
      <c r="J119" s="426"/>
      <c r="K119" s="427"/>
      <c r="L119" s="422"/>
      <c r="M119" s="422"/>
      <c r="N119" s="428"/>
      <c r="O119" s="427"/>
      <c r="P119" s="422"/>
      <c r="Q119" s="422"/>
      <c r="R119" s="428"/>
      <c r="S119" s="427"/>
      <c r="T119" s="422"/>
      <c r="U119" s="422"/>
      <c r="V119" s="428"/>
      <c r="W119" s="427"/>
      <c r="X119" s="422"/>
      <c r="Y119" s="422"/>
      <c r="Z119" s="428"/>
      <c r="AA119" s="427"/>
      <c r="AB119" s="422"/>
      <c r="AC119" s="422"/>
      <c r="AD119" s="428"/>
      <c r="AE119" s="427"/>
      <c r="AF119" s="422"/>
      <c r="AG119" s="422"/>
      <c r="AH119" s="428"/>
      <c r="AI119" s="427"/>
      <c r="AJ119" s="422"/>
      <c r="AK119" s="422"/>
      <c r="AL119" s="428"/>
      <c r="AM119" s="427"/>
      <c r="AN119" s="422"/>
      <c r="AO119" s="422"/>
      <c r="AP119" s="428"/>
      <c r="AQ119" s="427"/>
      <c r="AR119" s="422"/>
      <c r="AS119" s="422"/>
      <c r="AT119" s="428"/>
      <c r="AU119" s="427"/>
      <c r="AV119" s="422"/>
      <c r="AW119" s="422"/>
      <c r="AX119" s="428"/>
      <c r="AY119" s="427"/>
      <c r="AZ119" s="422"/>
      <c r="BA119" s="422"/>
      <c r="BB119" s="428"/>
      <c r="BC119" s="427"/>
      <c r="BD119" s="422"/>
      <c r="BE119" s="422"/>
      <c r="BF119" s="428"/>
      <c r="BG119" s="427"/>
      <c r="BH119" s="422"/>
      <c r="BI119" s="422"/>
      <c r="BJ119" s="428"/>
      <c r="BK119" s="427"/>
      <c r="BL119" s="422"/>
      <c r="BM119" s="422"/>
      <c r="BN119" s="428"/>
      <c r="BO119" s="427"/>
      <c r="BP119" s="422"/>
      <c r="BQ119" s="422"/>
      <c r="BR119" s="428"/>
      <c r="BS119" s="427"/>
      <c r="BT119" s="422"/>
      <c r="BU119" s="422"/>
      <c r="BV119" s="428"/>
      <c r="BW119" s="427"/>
      <c r="BX119" s="422"/>
      <c r="BY119" s="422"/>
      <c r="BZ119" s="428"/>
      <c r="CA119" s="427"/>
      <c r="CB119" s="422"/>
      <c r="CC119" s="422"/>
      <c r="CD119" s="428"/>
      <c r="CE119" s="427"/>
      <c r="CF119" s="422"/>
      <c r="CG119" s="422"/>
      <c r="CH119" s="428"/>
      <c r="CI119" s="427"/>
      <c r="CJ119" s="422"/>
      <c r="CK119" s="422"/>
      <c r="CL119" s="428"/>
      <c r="CM119" s="427"/>
      <c r="CN119" s="422"/>
      <c r="CO119" s="422"/>
      <c r="CP119" s="428"/>
      <c r="CQ119" s="427"/>
      <c r="CR119" s="422"/>
      <c r="CS119" s="422"/>
      <c r="CT119" s="428"/>
      <c r="CU119" s="427"/>
      <c r="CV119" s="422"/>
      <c r="CW119" s="422"/>
      <c r="CX119" s="428"/>
      <c r="CY119" s="427"/>
      <c r="CZ119" s="422"/>
      <c r="DA119" s="422"/>
      <c r="DB119" s="428"/>
      <c r="DC119" s="427"/>
      <c r="DD119" s="422"/>
      <c r="DE119" s="422"/>
      <c r="DF119" s="428"/>
      <c r="DG119" s="427"/>
      <c r="DH119" s="422"/>
      <c r="DI119" s="422"/>
      <c r="DJ119" s="428"/>
      <c r="DK119" s="427"/>
      <c r="DL119" s="422"/>
      <c r="DM119" s="422"/>
      <c r="DN119" s="428"/>
      <c r="DO119" s="427"/>
      <c r="DP119" s="422"/>
      <c r="DQ119" s="422"/>
      <c r="DR119" s="428"/>
      <c r="DS119" s="427"/>
      <c r="DT119" s="422"/>
      <c r="DU119" s="422"/>
      <c r="DV119" s="428"/>
      <c r="DW119" s="427"/>
      <c r="DX119" s="422"/>
      <c r="DY119" s="422"/>
      <c r="DZ119" s="428"/>
      <c r="EA119" s="427"/>
      <c r="EB119" s="422"/>
      <c r="EC119" s="422"/>
      <c r="ED119" s="428"/>
      <c r="EE119" s="427"/>
      <c r="EF119" s="422"/>
      <c r="EG119" s="422"/>
      <c r="EH119" s="428"/>
      <c r="EI119" s="427"/>
      <c r="EJ119" s="422"/>
      <c r="EK119" s="422"/>
      <c r="EL119" s="428"/>
      <c r="EM119" s="427"/>
      <c r="EN119" s="422"/>
      <c r="EO119" s="422"/>
      <c r="EP119" s="428"/>
      <c r="EQ119" s="427"/>
      <c r="ER119" s="422"/>
      <c r="ES119" s="422"/>
      <c r="ET119" s="428"/>
      <c r="EU119" s="427"/>
      <c r="EV119" s="422"/>
      <c r="EW119" s="422"/>
      <c r="EX119" s="428"/>
      <c r="EY119" s="427"/>
      <c r="EZ119" s="422"/>
      <c r="FA119" s="422"/>
      <c r="FB119" s="428"/>
      <c r="FC119" s="427"/>
      <c r="FD119" s="422"/>
      <c r="FE119" s="422"/>
      <c r="FF119" s="428"/>
      <c r="FG119" s="427"/>
      <c r="FH119" s="422"/>
      <c r="FI119" s="422"/>
      <c r="FJ119" s="428"/>
      <c r="FK119" s="427"/>
      <c r="FL119" s="422"/>
      <c r="FM119" s="422"/>
      <c r="FN119" s="428"/>
      <c r="FO119" s="427"/>
      <c r="FP119" s="422"/>
      <c r="FQ119" s="422"/>
      <c r="FR119" s="428"/>
      <c r="FS119" s="427"/>
      <c r="FT119" s="422"/>
      <c r="FU119" s="422"/>
      <c r="FV119" s="428"/>
      <c r="FW119" s="427"/>
      <c r="FX119" s="422"/>
      <c r="FY119" s="422"/>
      <c r="FZ119" s="428"/>
      <c r="GA119" s="427"/>
      <c r="GB119" s="422"/>
      <c r="GC119" s="422"/>
      <c r="GD119" s="428"/>
      <c r="GE119" s="427"/>
      <c r="GF119" s="422"/>
      <c r="GG119" s="422"/>
      <c r="GH119" s="428"/>
      <c r="GI119" s="427"/>
      <c r="GJ119" s="422"/>
      <c r="GK119" s="422"/>
      <c r="GL119" s="428"/>
      <c r="GM119" s="427"/>
      <c r="GN119" s="422"/>
      <c r="GO119" s="422"/>
      <c r="GP119" s="428"/>
      <c r="GQ119" s="427"/>
      <c r="GR119" s="422"/>
      <c r="GS119" s="422"/>
      <c r="GT119" s="428"/>
      <c r="GU119" s="427"/>
      <c r="GV119" s="422"/>
      <c r="GW119" s="422"/>
      <c r="GX119" s="428"/>
      <c r="GY119" s="427"/>
      <c r="GZ119" s="422"/>
      <c r="HA119" s="422"/>
      <c r="HB119" s="428"/>
      <c r="HC119" s="434">
        <f t="shared" si="83"/>
        <v>0</v>
      </c>
      <c r="HD119" s="432">
        <f t="shared" si="83"/>
        <v>0</v>
      </c>
      <c r="HE119" s="432">
        <f t="shared" si="83"/>
        <v>0</v>
      </c>
      <c r="HF119" s="433"/>
      <c r="HG119" s="434">
        <f>SUM(SUMIFS(K119:HB119,$K$13:$HB$13,{"エネルギー管理指定工場等*","県域*"}))</f>
        <v>0</v>
      </c>
      <c r="HH119" s="432">
        <f>SUM(SUMIFS(L119:HC119,$K$13:$HB$13,{"エネルギー管理指定工場等*","県域*"}))</f>
        <v>0</v>
      </c>
      <c r="HI119" s="432">
        <f>SUM(SUMIFS(M119:HD119,$K$13:$HB$13,{"エネルギー管理指定工場等*","県域*"}))</f>
        <v>0</v>
      </c>
      <c r="HJ119" s="433"/>
      <c r="IE119" s="579"/>
      <c r="IF119" s="579"/>
      <c r="IG119" s="579"/>
      <c r="IH119" s="579"/>
    </row>
    <row r="120" spans="2:242" s="164" customFormat="1" ht="20.100000000000001" customHeight="1">
      <c r="B120" s="421" t="s">
        <v>1401</v>
      </c>
      <c r="C120" s="422"/>
      <c r="D120" s="422"/>
      <c r="E120" s="422"/>
      <c r="F120" s="422"/>
      <c r="G120" s="423"/>
      <c r="H120" s="424"/>
      <c r="I120" s="425"/>
      <c r="J120" s="426"/>
      <c r="K120" s="427"/>
      <c r="L120" s="422"/>
      <c r="M120" s="422"/>
      <c r="N120" s="428"/>
      <c r="O120" s="427"/>
      <c r="P120" s="422"/>
      <c r="Q120" s="422"/>
      <c r="R120" s="428"/>
      <c r="S120" s="427"/>
      <c r="T120" s="422"/>
      <c r="U120" s="422"/>
      <c r="V120" s="428"/>
      <c r="W120" s="427"/>
      <c r="X120" s="422"/>
      <c r="Y120" s="422"/>
      <c r="Z120" s="428"/>
      <c r="AA120" s="427"/>
      <c r="AB120" s="422"/>
      <c r="AC120" s="422"/>
      <c r="AD120" s="428"/>
      <c r="AE120" s="427"/>
      <c r="AF120" s="422"/>
      <c r="AG120" s="422"/>
      <c r="AH120" s="428"/>
      <c r="AI120" s="427"/>
      <c r="AJ120" s="422"/>
      <c r="AK120" s="422"/>
      <c r="AL120" s="428"/>
      <c r="AM120" s="427"/>
      <c r="AN120" s="422"/>
      <c r="AO120" s="422"/>
      <c r="AP120" s="428"/>
      <c r="AQ120" s="427"/>
      <c r="AR120" s="422"/>
      <c r="AS120" s="422"/>
      <c r="AT120" s="428"/>
      <c r="AU120" s="427"/>
      <c r="AV120" s="422"/>
      <c r="AW120" s="422"/>
      <c r="AX120" s="428"/>
      <c r="AY120" s="427"/>
      <c r="AZ120" s="422"/>
      <c r="BA120" s="422"/>
      <c r="BB120" s="428"/>
      <c r="BC120" s="427"/>
      <c r="BD120" s="422"/>
      <c r="BE120" s="422"/>
      <c r="BF120" s="428"/>
      <c r="BG120" s="427"/>
      <c r="BH120" s="422"/>
      <c r="BI120" s="422"/>
      <c r="BJ120" s="428"/>
      <c r="BK120" s="427"/>
      <c r="BL120" s="422"/>
      <c r="BM120" s="422"/>
      <c r="BN120" s="428"/>
      <c r="BO120" s="427"/>
      <c r="BP120" s="422"/>
      <c r="BQ120" s="422"/>
      <c r="BR120" s="428"/>
      <c r="BS120" s="427"/>
      <c r="BT120" s="422"/>
      <c r="BU120" s="422"/>
      <c r="BV120" s="428"/>
      <c r="BW120" s="427"/>
      <c r="BX120" s="422"/>
      <c r="BY120" s="422"/>
      <c r="BZ120" s="428"/>
      <c r="CA120" s="427"/>
      <c r="CB120" s="422"/>
      <c r="CC120" s="422"/>
      <c r="CD120" s="428"/>
      <c r="CE120" s="427"/>
      <c r="CF120" s="422"/>
      <c r="CG120" s="422"/>
      <c r="CH120" s="428"/>
      <c r="CI120" s="427"/>
      <c r="CJ120" s="422"/>
      <c r="CK120" s="422"/>
      <c r="CL120" s="428"/>
      <c r="CM120" s="427"/>
      <c r="CN120" s="422"/>
      <c r="CO120" s="422"/>
      <c r="CP120" s="428"/>
      <c r="CQ120" s="427"/>
      <c r="CR120" s="422"/>
      <c r="CS120" s="422"/>
      <c r="CT120" s="428"/>
      <c r="CU120" s="427"/>
      <c r="CV120" s="422"/>
      <c r="CW120" s="422"/>
      <c r="CX120" s="428"/>
      <c r="CY120" s="427"/>
      <c r="CZ120" s="422"/>
      <c r="DA120" s="422"/>
      <c r="DB120" s="428"/>
      <c r="DC120" s="427"/>
      <c r="DD120" s="422"/>
      <c r="DE120" s="422"/>
      <c r="DF120" s="428"/>
      <c r="DG120" s="427"/>
      <c r="DH120" s="422"/>
      <c r="DI120" s="422"/>
      <c r="DJ120" s="428"/>
      <c r="DK120" s="427"/>
      <c r="DL120" s="422"/>
      <c r="DM120" s="422"/>
      <c r="DN120" s="428"/>
      <c r="DO120" s="427"/>
      <c r="DP120" s="422"/>
      <c r="DQ120" s="422"/>
      <c r="DR120" s="428"/>
      <c r="DS120" s="427"/>
      <c r="DT120" s="422"/>
      <c r="DU120" s="422"/>
      <c r="DV120" s="428"/>
      <c r="DW120" s="427"/>
      <c r="DX120" s="422"/>
      <c r="DY120" s="422"/>
      <c r="DZ120" s="428"/>
      <c r="EA120" s="427"/>
      <c r="EB120" s="422"/>
      <c r="EC120" s="422"/>
      <c r="ED120" s="428"/>
      <c r="EE120" s="427"/>
      <c r="EF120" s="422"/>
      <c r="EG120" s="422"/>
      <c r="EH120" s="428"/>
      <c r="EI120" s="427"/>
      <c r="EJ120" s="422"/>
      <c r="EK120" s="422"/>
      <c r="EL120" s="428"/>
      <c r="EM120" s="427"/>
      <c r="EN120" s="422"/>
      <c r="EO120" s="422"/>
      <c r="EP120" s="428"/>
      <c r="EQ120" s="427"/>
      <c r="ER120" s="422"/>
      <c r="ES120" s="422"/>
      <c r="ET120" s="428"/>
      <c r="EU120" s="427"/>
      <c r="EV120" s="422"/>
      <c r="EW120" s="422"/>
      <c r="EX120" s="428"/>
      <c r="EY120" s="427"/>
      <c r="EZ120" s="422"/>
      <c r="FA120" s="422"/>
      <c r="FB120" s="428"/>
      <c r="FC120" s="427"/>
      <c r="FD120" s="422"/>
      <c r="FE120" s="422"/>
      <c r="FF120" s="428"/>
      <c r="FG120" s="427"/>
      <c r="FH120" s="422"/>
      <c r="FI120" s="422"/>
      <c r="FJ120" s="428"/>
      <c r="FK120" s="427"/>
      <c r="FL120" s="422"/>
      <c r="FM120" s="422"/>
      <c r="FN120" s="428"/>
      <c r="FO120" s="427"/>
      <c r="FP120" s="422"/>
      <c r="FQ120" s="422"/>
      <c r="FR120" s="428"/>
      <c r="FS120" s="427"/>
      <c r="FT120" s="422"/>
      <c r="FU120" s="422"/>
      <c r="FV120" s="428"/>
      <c r="FW120" s="427"/>
      <c r="FX120" s="422"/>
      <c r="FY120" s="422"/>
      <c r="FZ120" s="428"/>
      <c r="GA120" s="427"/>
      <c r="GB120" s="422"/>
      <c r="GC120" s="422"/>
      <c r="GD120" s="428"/>
      <c r="GE120" s="427"/>
      <c r="GF120" s="422"/>
      <c r="GG120" s="422"/>
      <c r="GH120" s="428"/>
      <c r="GI120" s="427"/>
      <c r="GJ120" s="422"/>
      <c r="GK120" s="422"/>
      <c r="GL120" s="428"/>
      <c r="GM120" s="427"/>
      <c r="GN120" s="422"/>
      <c r="GO120" s="422"/>
      <c r="GP120" s="428"/>
      <c r="GQ120" s="427"/>
      <c r="GR120" s="422"/>
      <c r="GS120" s="422"/>
      <c r="GT120" s="428"/>
      <c r="GU120" s="427"/>
      <c r="GV120" s="422"/>
      <c r="GW120" s="422"/>
      <c r="GX120" s="428"/>
      <c r="GY120" s="427"/>
      <c r="GZ120" s="422"/>
      <c r="HA120" s="422"/>
      <c r="HB120" s="428"/>
      <c r="HC120" s="434">
        <f t="shared" si="83"/>
        <v>0</v>
      </c>
      <c r="HD120" s="432">
        <f t="shared" si="83"/>
        <v>0</v>
      </c>
      <c r="HE120" s="432">
        <f t="shared" si="83"/>
        <v>0</v>
      </c>
      <c r="HF120" s="433"/>
      <c r="HG120" s="434">
        <f>SUM(SUMIFS(K120:HB120,$K$13:$HB$13,{"エネルギー管理指定工場等*","県域*"}))</f>
        <v>0</v>
      </c>
      <c r="HH120" s="432">
        <f>SUM(SUMIFS(L120:HC120,$K$13:$HB$13,{"エネルギー管理指定工場等*","県域*"}))</f>
        <v>0</v>
      </c>
      <c r="HI120" s="432">
        <f>SUM(SUMIFS(M120:HD120,$K$13:$HB$13,{"エネルギー管理指定工場等*","県域*"}))</f>
        <v>0</v>
      </c>
      <c r="HJ120" s="433"/>
      <c r="IE120" s="579"/>
      <c r="IF120" s="579"/>
      <c r="IG120" s="579"/>
      <c r="IH120" s="579"/>
    </row>
    <row r="121" spans="2:242" s="164" customFormat="1" ht="20.100000000000001" customHeight="1">
      <c r="B121" s="443" t="s">
        <v>1402</v>
      </c>
      <c r="C121" s="422"/>
      <c r="D121" s="422"/>
      <c r="E121" s="422"/>
      <c r="F121" s="444"/>
      <c r="G121" s="445"/>
      <c r="H121" s="424"/>
      <c r="I121" s="425"/>
      <c r="J121" s="426"/>
      <c r="K121" s="427"/>
      <c r="L121" s="422"/>
      <c r="M121" s="422"/>
      <c r="N121" s="428"/>
      <c r="O121" s="427"/>
      <c r="P121" s="422"/>
      <c r="Q121" s="422"/>
      <c r="R121" s="428"/>
      <c r="S121" s="427"/>
      <c r="T121" s="422"/>
      <c r="U121" s="422"/>
      <c r="V121" s="428"/>
      <c r="W121" s="427"/>
      <c r="X121" s="422"/>
      <c r="Y121" s="422"/>
      <c r="Z121" s="428"/>
      <c r="AA121" s="427"/>
      <c r="AB121" s="422"/>
      <c r="AC121" s="422"/>
      <c r="AD121" s="428"/>
      <c r="AE121" s="427"/>
      <c r="AF121" s="422"/>
      <c r="AG121" s="422"/>
      <c r="AH121" s="428"/>
      <c r="AI121" s="427"/>
      <c r="AJ121" s="422"/>
      <c r="AK121" s="422"/>
      <c r="AL121" s="428"/>
      <c r="AM121" s="427"/>
      <c r="AN121" s="422"/>
      <c r="AO121" s="422"/>
      <c r="AP121" s="428"/>
      <c r="AQ121" s="427"/>
      <c r="AR121" s="422"/>
      <c r="AS121" s="422"/>
      <c r="AT121" s="428"/>
      <c r="AU121" s="427"/>
      <c r="AV121" s="422"/>
      <c r="AW121" s="422"/>
      <c r="AX121" s="428"/>
      <c r="AY121" s="427"/>
      <c r="AZ121" s="422"/>
      <c r="BA121" s="422"/>
      <c r="BB121" s="428"/>
      <c r="BC121" s="427"/>
      <c r="BD121" s="422"/>
      <c r="BE121" s="422"/>
      <c r="BF121" s="428"/>
      <c r="BG121" s="427"/>
      <c r="BH121" s="422"/>
      <c r="BI121" s="422"/>
      <c r="BJ121" s="428"/>
      <c r="BK121" s="427"/>
      <c r="BL121" s="422"/>
      <c r="BM121" s="422"/>
      <c r="BN121" s="428"/>
      <c r="BO121" s="427"/>
      <c r="BP121" s="422"/>
      <c r="BQ121" s="422"/>
      <c r="BR121" s="428"/>
      <c r="BS121" s="427"/>
      <c r="BT121" s="422"/>
      <c r="BU121" s="422"/>
      <c r="BV121" s="428"/>
      <c r="BW121" s="427"/>
      <c r="BX121" s="422"/>
      <c r="BY121" s="422"/>
      <c r="BZ121" s="428"/>
      <c r="CA121" s="427"/>
      <c r="CB121" s="422"/>
      <c r="CC121" s="422"/>
      <c r="CD121" s="428"/>
      <c r="CE121" s="427"/>
      <c r="CF121" s="422"/>
      <c r="CG121" s="422"/>
      <c r="CH121" s="428"/>
      <c r="CI121" s="427"/>
      <c r="CJ121" s="422"/>
      <c r="CK121" s="422"/>
      <c r="CL121" s="428"/>
      <c r="CM121" s="427"/>
      <c r="CN121" s="422"/>
      <c r="CO121" s="422"/>
      <c r="CP121" s="428"/>
      <c r="CQ121" s="427"/>
      <c r="CR121" s="422"/>
      <c r="CS121" s="422"/>
      <c r="CT121" s="428"/>
      <c r="CU121" s="427"/>
      <c r="CV121" s="422"/>
      <c r="CW121" s="422"/>
      <c r="CX121" s="428"/>
      <c r="CY121" s="427"/>
      <c r="CZ121" s="422"/>
      <c r="DA121" s="422"/>
      <c r="DB121" s="428"/>
      <c r="DC121" s="427"/>
      <c r="DD121" s="422"/>
      <c r="DE121" s="422"/>
      <c r="DF121" s="428"/>
      <c r="DG121" s="427"/>
      <c r="DH121" s="422"/>
      <c r="DI121" s="422"/>
      <c r="DJ121" s="428"/>
      <c r="DK121" s="427"/>
      <c r="DL121" s="422"/>
      <c r="DM121" s="422"/>
      <c r="DN121" s="428"/>
      <c r="DO121" s="427"/>
      <c r="DP121" s="422"/>
      <c r="DQ121" s="422"/>
      <c r="DR121" s="428"/>
      <c r="DS121" s="427"/>
      <c r="DT121" s="422"/>
      <c r="DU121" s="422"/>
      <c r="DV121" s="428"/>
      <c r="DW121" s="427"/>
      <c r="DX121" s="422"/>
      <c r="DY121" s="422"/>
      <c r="DZ121" s="428"/>
      <c r="EA121" s="427"/>
      <c r="EB121" s="422"/>
      <c r="EC121" s="422"/>
      <c r="ED121" s="428"/>
      <c r="EE121" s="427"/>
      <c r="EF121" s="422"/>
      <c r="EG121" s="422"/>
      <c r="EH121" s="428"/>
      <c r="EI121" s="427"/>
      <c r="EJ121" s="422"/>
      <c r="EK121" s="422"/>
      <c r="EL121" s="428"/>
      <c r="EM121" s="427"/>
      <c r="EN121" s="422"/>
      <c r="EO121" s="422"/>
      <c r="EP121" s="428"/>
      <c r="EQ121" s="427"/>
      <c r="ER121" s="422"/>
      <c r="ES121" s="422"/>
      <c r="ET121" s="428"/>
      <c r="EU121" s="427"/>
      <c r="EV121" s="422"/>
      <c r="EW121" s="422"/>
      <c r="EX121" s="428"/>
      <c r="EY121" s="427"/>
      <c r="EZ121" s="422"/>
      <c r="FA121" s="422"/>
      <c r="FB121" s="428"/>
      <c r="FC121" s="427"/>
      <c r="FD121" s="422"/>
      <c r="FE121" s="422"/>
      <c r="FF121" s="428"/>
      <c r="FG121" s="427"/>
      <c r="FH121" s="422"/>
      <c r="FI121" s="422"/>
      <c r="FJ121" s="428"/>
      <c r="FK121" s="427"/>
      <c r="FL121" s="422"/>
      <c r="FM121" s="422"/>
      <c r="FN121" s="428"/>
      <c r="FO121" s="427"/>
      <c r="FP121" s="422"/>
      <c r="FQ121" s="422"/>
      <c r="FR121" s="428"/>
      <c r="FS121" s="427"/>
      <c r="FT121" s="422"/>
      <c r="FU121" s="422"/>
      <c r="FV121" s="428"/>
      <c r="FW121" s="427"/>
      <c r="FX121" s="422"/>
      <c r="FY121" s="422"/>
      <c r="FZ121" s="428"/>
      <c r="GA121" s="427"/>
      <c r="GB121" s="422"/>
      <c r="GC121" s="422"/>
      <c r="GD121" s="428"/>
      <c r="GE121" s="427"/>
      <c r="GF121" s="422"/>
      <c r="GG121" s="422"/>
      <c r="GH121" s="428"/>
      <c r="GI121" s="427"/>
      <c r="GJ121" s="422"/>
      <c r="GK121" s="422"/>
      <c r="GL121" s="428"/>
      <c r="GM121" s="427"/>
      <c r="GN121" s="422"/>
      <c r="GO121" s="422"/>
      <c r="GP121" s="428"/>
      <c r="GQ121" s="427"/>
      <c r="GR121" s="422"/>
      <c r="GS121" s="422"/>
      <c r="GT121" s="428"/>
      <c r="GU121" s="427"/>
      <c r="GV121" s="422"/>
      <c r="GW121" s="422"/>
      <c r="GX121" s="428"/>
      <c r="GY121" s="427"/>
      <c r="GZ121" s="422"/>
      <c r="HA121" s="422"/>
      <c r="HB121" s="428"/>
      <c r="HC121" s="446">
        <f t="shared" si="83"/>
        <v>0</v>
      </c>
      <c r="HD121" s="447">
        <f t="shared" si="83"/>
        <v>0</v>
      </c>
      <c r="HE121" s="447">
        <f t="shared" si="83"/>
        <v>0</v>
      </c>
      <c r="HF121" s="448"/>
      <c r="HG121" s="446">
        <f>SUM(SUMIFS(K121:HB121,$K$13:$HB$13,{"エネルギー管理指定工場等*","県域*"}))</f>
        <v>0</v>
      </c>
      <c r="HH121" s="447">
        <f>SUM(SUMIFS(L121:HC121,$K$13:$HB$13,{"エネルギー管理指定工場等*","県域*"}))</f>
        <v>0</v>
      </c>
      <c r="HI121" s="447">
        <f>SUM(SUMIFS(M121:HD121,$K$13:$HB$13,{"エネルギー管理指定工場等*","県域*"}))</f>
        <v>0</v>
      </c>
      <c r="HJ121" s="448"/>
      <c r="IE121" s="579"/>
      <c r="IF121" s="579"/>
      <c r="IG121" s="579"/>
      <c r="IH121" s="579"/>
    </row>
    <row r="122" spans="2:242" s="164" customFormat="1" ht="20.100000000000001" customHeight="1">
      <c r="B122" s="410" t="s">
        <v>1403</v>
      </c>
      <c r="C122" s="411"/>
      <c r="D122" s="411"/>
      <c r="E122" s="411"/>
      <c r="F122" s="411"/>
      <c r="G122" s="411"/>
      <c r="H122" s="436"/>
      <c r="I122" s="425"/>
      <c r="J122" s="426"/>
      <c r="K122" s="416"/>
      <c r="L122" s="449"/>
      <c r="M122" s="411"/>
      <c r="N122" s="450"/>
      <c r="O122" s="416"/>
      <c r="P122" s="449"/>
      <c r="Q122" s="411"/>
      <c r="R122" s="450"/>
      <c r="S122" s="416"/>
      <c r="T122" s="449"/>
      <c r="U122" s="411"/>
      <c r="V122" s="450"/>
      <c r="W122" s="416"/>
      <c r="X122" s="449"/>
      <c r="Y122" s="411"/>
      <c r="Z122" s="450"/>
      <c r="AA122" s="416"/>
      <c r="AB122" s="449"/>
      <c r="AC122" s="411"/>
      <c r="AD122" s="450"/>
      <c r="AE122" s="416"/>
      <c r="AF122" s="449"/>
      <c r="AG122" s="411"/>
      <c r="AH122" s="450"/>
      <c r="AI122" s="416"/>
      <c r="AJ122" s="449"/>
      <c r="AK122" s="411"/>
      <c r="AL122" s="450"/>
      <c r="AM122" s="416"/>
      <c r="AN122" s="449"/>
      <c r="AO122" s="411"/>
      <c r="AP122" s="450"/>
      <c r="AQ122" s="416"/>
      <c r="AR122" s="449"/>
      <c r="AS122" s="411"/>
      <c r="AT122" s="450"/>
      <c r="AU122" s="416"/>
      <c r="AV122" s="449"/>
      <c r="AW122" s="411"/>
      <c r="AX122" s="450"/>
      <c r="AY122" s="416"/>
      <c r="AZ122" s="449"/>
      <c r="BA122" s="411"/>
      <c r="BB122" s="450"/>
      <c r="BC122" s="416"/>
      <c r="BD122" s="449"/>
      <c r="BE122" s="411"/>
      <c r="BF122" s="450"/>
      <c r="BG122" s="416"/>
      <c r="BH122" s="449"/>
      <c r="BI122" s="411"/>
      <c r="BJ122" s="450"/>
      <c r="BK122" s="416"/>
      <c r="BL122" s="449"/>
      <c r="BM122" s="411"/>
      <c r="BN122" s="450"/>
      <c r="BO122" s="416"/>
      <c r="BP122" s="449"/>
      <c r="BQ122" s="411"/>
      <c r="BR122" s="450"/>
      <c r="BS122" s="416"/>
      <c r="BT122" s="449"/>
      <c r="BU122" s="411"/>
      <c r="BV122" s="450"/>
      <c r="BW122" s="416"/>
      <c r="BX122" s="449"/>
      <c r="BY122" s="411"/>
      <c r="BZ122" s="411"/>
      <c r="CA122" s="416"/>
      <c r="CB122" s="449"/>
      <c r="CC122" s="411"/>
      <c r="CD122" s="411"/>
      <c r="CE122" s="416"/>
      <c r="CF122" s="449"/>
      <c r="CG122" s="411"/>
      <c r="CH122" s="411"/>
      <c r="CI122" s="416"/>
      <c r="CJ122" s="449"/>
      <c r="CK122" s="411"/>
      <c r="CL122" s="411"/>
      <c r="CM122" s="416"/>
      <c r="CN122" s="449"/>
      <c r="CO122" s="411"/>
      <c r="CP122" s="411"/>
      <c r="CQ122" s="416"/>
      <c r="CR122" s="449"/>
      <c r="CS122" s="411"/>
      <c r="CT122" s="411"/>
      <c r="CU122" s="416"/>
      <c r="CV122" s="449"/>
      <c r="CW122" s="411"/>
      <c r="CX122" s="411"/>
      <c r="CY122" s="416"/>
      <c r="CZ122" s="449"/>
      <c r="DA122" s="411"/>
      <c r="DB122" s="411"/>
      <c r="DC122" s="416"/>
      <c r="DD122" s="449"/>
      <c r="DE122" s="411"/>
      <c r="DF122" s="411"/>
      <c r="DG122" s="416"/>
      <c r="DH122" s="449"/>
      <c r="DI122" s="411"/>
      <c r="DJ122" s="411"/>
      <c r="DK122" s="416"/>
      <c r="DL122" s="449"/>
      <c r="DM122" s="411"/>
      <c r="DN122" s="411"/>
      <c r="DO122" s="416"/>
      <c r="DP122" s="449"/>
      <c r="DQ122" s="411"/>
      <c r="DR122" s="411"/>
      <c r="DS122" s="416"/>
      <c r="DT122" s="449"/>
      <c r="DU122" s="411"/>
      <c r="DV122" s="411"/>
      <c r="DW122" s="416"/>
      <c r="DX122" s="449"/>
      <c r="DY122" s="411"/>
      <c r="DZ122" s="411"/>
      <c r="EA122" s="416"/>
      <c r="EB122" s="449"/>
      <c r="EC122" s="411"/>
      <c r="ED122" s="411"/>
      <c r="EE122" s="416"/>
      <c r="EF122" s="449"/>
      <c r="EG122" s="411"/>
      <c r="EH122" s="411"/>
      <c r="EI122" s="416"/>
      <c r="EJ122" s="449"/>
      <c r="EK122" s="411"/>
      <c r="EL122" s="411"/>
      <c r="EM122" s="416"/>
      <c r="EN122" s="449"/>
      <c r="EO122" s="411"/>
      <c r="EP122" s="411"/>
      <c r="EQ122" s="416"/>
      <c r="ER122" s="449"/>
      <c r="ES122" s="411"/>
      <c r="ET122" s="411"/>
      <c r="EU122" s="416"/>
      <c r="EV122" s="449"/>
      <c r="EW122" s="411"/>
      <c r="EX122" s="411"/>
      <c r="EY122" s="416"/>
      <c r="EZ122" s="449"/>
      <c r="FA122" s="411"/>
      <c r="FB122" s="411"/>
      <c r="FC122" s="416"/>
      <c r="FD122" s="449"/>
      <c r="FE122" s="411"/>
      <c r="FF122" s="411"/>
      <c r="FG122" s="416"/>
      <c r="FH122" s="449"/>
      <c r="FI122" s="411"/>
      <c r="FJ122" s="411"/>
      <c r="FK122" s="416"/>
      <c r="FL122" s="449"/>
      <c r="FM122" s="411"/>
      <c r="FN122" s="411"/>
      <c r="FO122" s="416"/>
      <c r="FP122" s="449"/>
      <c r="FQ122" s="411"/>
      <c r="FR122" s="411"/>
      <c r="FS122" s="416"/>
      <c r="FT122" s="449"/>
      <c r="FU122" s="411"/>
      <c r="FV122" s="411"/>
      <c r="FW122" s="416"/>
      <c r="FX122" s="449"/>
      <c r="FY122" s="411"/>
      <c r="FZ122" s="411"/>
      <c r="GA122" s="416"/>
      <c r="GB122" s="449"/>
      <c r="GC122" s="411"/>
      <c r="GD122" s="411"/>
      <c r="GE122" s="416"/>
      <c r="GF122" s="449"/>
      <c r="GG122" s="411"/>
      <c r="GH122" s="411"/>
      <c r="GI122" s="416"/>
      <c r="GJ122" s="449"/>
      <c r="GK122" s="411"/>
      <c r="GL122" s="411"/>
      <c r="GM122" s="416"/>
      <c r="GN122" s="449"/>
      <c r="GO122" s="411"/>
      <c r="GP122" s="411"/>
      <c r="GQ122" s="416"/>
      <c r="GR122" s="449"/>
      <c r="GS122" s="411"/>
      <c r="GT122" s="411"/>
      <c r="GU122" s="416"/>
      <c r="GV122" s="449"/>
      <c r="GW122" s="411"/>
      <c r="GX122" s="411"/>
      <c r="GY122" s="416"/>
      <c r="GZ122" s="449"/>
      <c r="HA122" s="411"/>
      <c r="HB122" s="411"/>
      <c r="HC122" s="418">
        <f t="shared" si="83"/>
        <v>0</v>
      </c>
      <c r="HD122" s="451"/>
      <c r="HE122" s="419">
        <f t="shared" si="83"/>
        <v>0</v>
      </c>
      <c r="HF122" s="419">
        <f t="shared" si="83"/>
        <v>0</v>
      </c>
      <c r="HG122" s="418">
        <f>SUM(SUMIFS(K122:HB122,$K$13:$HB$13,{"エネルギー管理指定工場等*","県域*"}))</f>
        <v>0</v>
      </c>
      <c r="HH122" s="451"/>
      <c r="HI122" s="419">
        <f>SUM(SUMIFS(M122:HD122,$K$13:$HB$13,{"エネルギー管理指定工場等*","県域*"}))</f>
        <v>0</v>
      </c>
      <c r="HJ122" s="452">
        <f>SUM(SUMIFS(N122:HE122,$K$13:$HB$13,{"エネルギー管理指定工場等*","県域*"}))</f>
        <v>0</v>
      </c>
      <c r="IE122" s="579"/>
      <c r="IF122" s="579"/>
      <c r="IG122" s="579"/>
      <c r="IH122" s="579"/>
    </row>
    <row r="123" spans="2:242" s="164" customFormat="1" ht="20.100000000000001" customHeight="1">
      <c r="B123" s="421" t="s">
        <v>1404</v>
      </c>
      <c r="C123" s="422"/>
      <c r="D123" s="422"/>
      <c r="E123" s="422"/>
      <c r="F123" s="422"/>
      <c r="G123" s="422"/>
      <c r="H123" s="453"/>
      <c r="I123" s="425"/>
      <c r="J123" s="426"/>
      <c r="K123" s="427"/>
      <c r="L123" s="454"/>
      <c r="M123" s="422"/>
      <c r="N123" s="455"/>
      <c r="O123" s="427"/>
      <c r="P123" s="454"/>
      <c r="Q123" s="422"/>
      <c r="R123" s="455"/>
      <c r="S123" s="427"/>
      <c r="T123" s="454"/>
      <c r="U123" s="422"/>
      <c r="V123" s="455"/>
      <c r="W123" s="427"/>
      <c r="X123" s="454"/>
      <c r="Y123" s="422"/>
      <c r="Z123" s="455"/>
      <c r="AA123" s="427"/>
      <c r="AB123" s="454"/>
      <c r="AC123" s="422"/>
      <c r="AD123" s="455"/>
      <c r="AE123" s="427"/>
      <c r="AF123" s="454"/>
      <c r="AG123" s="422"/>
      <c r="AH123" s="455"/>
      <c r="AI123" s="427"/>
      <c r="AJ123" s="454"/>
      <c r="AK123" s="422"/>
      <c r="AL123" s="455"/>
      <c r="AM123" s="427"/>
      <c r="AN123" s="454"/>
      <c r="AO123" s="422"/>
      <c r="AP123" s="455"/>
      <c r="AQ123" s="427"/>
      <c r="AR123" s="454"/>
      <c r="AS123" s="422"/>
      <c r="AT123" s="455"/>
      <c r="AU123" s="427"/>
      <c r="AV123" s="454"/>
      <c r="AW123" s="422"/>
      <c r="AX123" s="455"/>
      <c r="AY123" s="427"/>
      <c r="AZ123" s="454"/>
      <c r="BA123" s="422"/>
      <c r="BB123" s="455"/>
      <c r="BC123" s="427"/>
      <c r="BD123" s="454"/>
      <c r="BE123" s="422"/>
      <c r="BF123" s="455"/>
      <c r="BG123" s="427"/>
      <c r="BH123" s="454"/>
      <c r="BI123" s="422"/>
      <c r="BJ123" s="455"/>
      <c r="BK123" s="427"/>
      <c r="BL123" s="454"/>
      <c r="BM123" s="422"/>
      <c r="BN123" s="455"/>
      <c r="BO123" s="427"/>
      <c r="BP123" s="454"/>
      <c r="BQ123" s="422"/>
      <c r="BR123" s="455"/>
      <c r="BS123" s="427"/>
      <c r="BT123" s="454"/>
      <c r="BU123" s="422"/>
      <c r="BV123" s="455"/>
      <c r="BW123" s="427"/>
      <c r="BX123" s="454"/>
      <c r="BY123" s="422"/>
      <c r="BZ123" s="422"/>
      <c r="CA123" s="427"/>
      <c r="CB123" s="454"/>
      <c r="CC123" s="422"/>
      <c r="CD123" s="422"/>
      <c r="CE123" s="427"/>
      <c r="CF123" s="454"/>
      <c r="CG123" s="422"/>
      <c r="CH123" s="422"/>
      <c r="CI123" s="427"/>
      <c r="CJ123" s="454"/>
      <c r="CK123" s="422"/>
      <c r="CL123" s="422"/>
      <c r="CM123" s="427"/>
      <c r="CN123" s="454"/>
      <c r="CO123" s="422"/>
      <c r="CP123" s="422"/>
      <c r="CQ123" s="427"/>
      <c r="CR123" s="454"/>
      <c r="CS123" s="422"/>
      <c r="CT123" s="422"/>
      <c r="CU123" s="427"/>
      <c r="CV123" s="454"/>
      <c r="CW123" s="422"/>
      <c r="CX123" s="422"/>
      <c r="CY123" s="427"/>
      <c r="CZ123" s="454"/>
      <c r="DA123" s="422"/>
      <c r="DB123" s="422"/>
      <c r="DC123" s="427"/>
      <c r="DD123" s="454"/>
      <c r="DE123" s="422"/>
      <c r="DF123" s="422"/>
      <c r="DG123" s="427"/>
      <c r="DH123" s="454"/>
      <c r="DI123" s="422"/>
      <c r="DJ123" s="422"/>
      <c r="DK123" s="427"/>
      <c r="DL123" s="454"/>
      <c r="DM123" s="422"/>
      <c r="DN123" s="422"/>
      <c r="DO123" s="427"/>
      <c r="DP123" s="454"/>
      <c r="DQ123" s="422"/>
      <c r="DR123" s="422"/>
      <c r="DS123" s="427"/>
      <c r="DT123" s="454"/>
      <c r="DU123" s="422"/>
      <c r="DV123" s="422"/>
      <c r="DW123" s="427"/>
      <c r="DX123" s="454"/>
      <c r="DY123" s="422"/>
      <c r="DZ123" s="422"/>
      <c r="EA123" s="427"/>
      <c r="EB123" s="454"/>
      <c r="EC123" s="422"/>
      <c r="ED123" s="422"/>
      <c r="EE123" s="427"/>
      <c r="EF123" s="454"/>
      <c r="EG123" s="422"/>
      <c r="EH123" s="422"/>
      <c r="EI123" s="427"/>
      <c r="EJ123" s="454"/>
      <c r="EK123" s="422"/>
      <c r="EL123" s="422"/>
      <c r="EM123" s="427"/>
      <c r="EN123" s="454"/>
      <c r="EO123" s="422"/>
      <c r="EP123" s="422"/>
      <c r="EQ123" s="427"/>
      <c r="ER123" s="454"/>
      <c r="ES123" s="422"/>
      <c r="ET123" s="422"/>
      <c r="EU123" s="427"/>
      <c r="EV123" s="454"/>
      <c r="EW123" s="422"/>
      <c r="EX123" s="422"/>
      <c r="EY123" s="427"/>
      <c r="EZ123" s="454"/>
      <c r="FA123" s="422"/>
      <c r="FB123" s="422"/>
      <c r="FC123" s="427"/>
      <c r="FD123" s="454"/>
      <c r="FE123" s="422"/>
      <c r="FF123" s="422"/>
      <c r="FG123" s="427"/>
      <c r="FH123" s="454"/>
      <c r="FI123" s="422"/>
      <c r="FJ123" s="422"/>
      <c r="FK123" s="427"/>
      <c r="FL123" s="454"/>
      <c r="FM123" s="422"/>
      <c r="FN123" s="422"/>
      <c r="FO123" s="427"/>
      <c r="FP123" s="454"/>
      <c r="FQ123" s="422"/>
      <c r="FR123" s="422"/>
      <c r="FS123" s="427"/>
      <c r="FT123" s="454"/>
      <c r="FU123" s="422"/>
      <c r="FV123" s="422"/>
      <c r="FW123" s="427"/>
      <c r="FX123" s="454"/>
      <c r="FY123" s="422"/>
      <c r="FZ123" s="422"/>
      <c r="GA123" s="427"/>
      <c r="GB123" s="454"/>
      <c r="GC123" s="422"/>
      <c r="GD123" s="422"/>
      <c r="GE123" s="427"/>
      <c r="GF123" s="454"/>
      <c r="GG123" s="422"/>
      <c r="GH123" s="422"/>
      <c r="GI123" s="427"/>
      <c r="GJ123" s="454"/>
      <c r="GK123" s="422"/>
      <c r="GL123" s="422"/>
      <c r="GM123" s="427"/>
      <c r="GN123" s="454"/>
      <c r="GO123" s="422"/>
      <c r="GP123" s="422"/>
      <c r="GQ123" s="427"/>
      <c r="GR123" s="454"/>
      <c r="GS123" s="422"/>
      <c r="GT123" s="422"/>
      <c r="GU123" s="427"/>
      <c r="GV123" s="454"/>
      <c r="GW123" s="422"/>
      <c r="GX123" s="422"/>
      <c r="GY123" s="427"/>
      <c r="GZ123" s="454"/>
      <c r="HA123" s="422"/>
      <c r="HB123" s="422"/>
      <c r="HC123" s="434">
        <f t="shared" si="83"/>
        <v>0</v>
      </c>
      <c r="HD123" s="456"/>
      <c r="HE123" s="432">
        <f t="shared" si="83"/>
        <v>0</v>
      </c>
      <c r="HF123" s="432">
        <f t="shared" si="83"/>
        <v>0</v>
      </c>
      <c r="HG123" s="434">
        <f>SUM(SUMIFS(K123:HB123,$K$13:$HB$13,{"エネルギー管理指定工場等*","県域*"}))</f>
        <v>0</v>
      </c>
      <c r="HH123" s="456"/>
      <c r="HI123" s="432">
        <f>SUM(SUMIFS(M123:HD123,$K$13:$HB$13,{"エネルギー管理指定工場等*","県域*"}))</f>
        <v>0</v>
      </c>
      <c r="HJ123" s="457">
        <f>SUM(SUMIFS(N123:HE123,$K$13:$HB$13,{"エネルギー管理指定工場等*","県域*"}))</f>
        <v>0</v>
      </c>
      <c r="IE123" s="579"/>
      <c r="IF123" s="579"/>
      <c r="IG123" s="579"/>
      <c r="IH123" s="579"/>
    </row>
    <row r="124" spans="2:242" s="164" customFormat="1" ht="20.100000000000001" customHeight="1">
      <c r="B124" s="443" t="s">
        <v>1405</v>
      </c>
      <c r="C124" s="458"/>
      <c r="D124" s="458"/>
      <c r="E124" s="458"/>
      <c r="F124" s="444"/>
      <c r="G124" s="444"/>
      <c r="H124" s="459"/>
      <c r="I124" s="425"/>
      <c r="J124" s="426"/>
      <c r="K124" s="460"/>
      <c r="L124" s="461"/>
      <c r="M124" s="458"/>
      <c r="N124" s="462"/>
      <c r="O124" s="460"/>
      <c r="P124" s="461"/>
      <c r="Q124" s="458"/>
      <c r="R124" s="462"/>
      <c r="S124" s="460"/>
      <c r="T124" s="461"/>
      <c r="U124" s="458"/>
      <c r="V124" s="462"/>
      <c r="W124" s="460"/>
      <c r="X124" s="461"/>
      <c r="Y124" s="458"/>
      <c r="Z124" s="462"/>
      <c r="AA124" s="460"/>
      <c r="AB124" s="461"/>
      <c r="AC124" s="458"/>
      <c r="AD124" s="462"/>
      <c r="AE124" s="460"/>
      <c r="AF124" s="461"/>
      <c r="AG124" s="458"/>
      <c r="AH124" s="462"/>
      <c r="AI124" s="460"/>
      <c r="AJ124" s="461"/>
      <c r="AK124" s="458"/>
      <c r="AL124" s="462"/>
      <c r="AM124" s="460"/>
      <c r="AN124" s="461"/>
      <c r="AO124" s="458"/>
      <c r="AP124" s="462"/>
      <c r="AQ124" s="460"/>
      <c r="AR124" s="461"/>
      <c r="AS124" s="458"/>
      <c r="AT124" s="462"/>
      <c r="AU124" s="460"/>
      <c r="AV124" s="461"/>
      <c r="AW124" s="458"/>
      <c r="AX124" s="462"/>
      <c r="AY124" s="460"/>
      <c r="AZ124" s="461"/>
      <c r="BA124" s="458"/>
      <c r="BB124" s="462"/>
      <c r="BC124" s="460"/>
      <c r="BD124" s="461"/>
      <c r="BE124" s="458"/>
      <c r="BF124" s="462"/>
      <c r="BG124" s="460"/>
      <c r="BH124" s="461"/>
      <c r="BI124" s="458"/>
      <c r="BJ124" s="462"/>
      <c r="BK124" s="460"/>
      <c r="BL124" s="461"/>
      <c r="BM124" s="458"/>
      <c r="BN124" s="462"/>
      <c r="BO124" s="460"/>
      <c r="BP124" s="461"/>
      <c r="BQ124" s="458"/>
      <c r="BR124" s="462"/>
      <c r="BS124" s="460"/>
      <c r="BT124" s="461"/>
      <c r="BU124" s="458"/>
      <c r="BV124" s="462"/>
      <c r="BW124" s="460"/>
      <c r="BX124" s="461"/>
      <c r="BY124" s="458"/>
      <c r="BZ124" s="458"/>
      <c r="CA124" s="460"/>
      <c r="CB124" s="461"/>
      <c r="CC124" s="458"/>
      <c r="CD124" s="458"/>
      <c r="CE124" s="460"/>
      <c r="CF124" s="461"/>
      <c r="CG124" s="458"/>
      <c r="CH124" s="458"/>
      <c r="CI124" s="460"/>
      <c r="CJ124" s="461"/>
      <c r="CK124" s="458"/>
      <c r="CL124" s="458"/>
      <c r="CM124" s="460"/>
      <c r="CN124" s="461"/>
      <c r="CO124" s="458"/>
      <c r="CP124" s="458"/>
      <c r="CQ124" s="460"/>
      <c r="CR124" s="461"/>
      <c r="CS124" s="458"/>
      <c r="CT124" s="458"/>
      <c r="CU124" s="460"/>
      <c r="CV124" s="461"/>
      <c r="CW124" s="458"/>
      <c r="CX124" s="458"/>
      <c r="CY124" s="460"/>
      <c r="CZ124" s="461"/>
      <c r="DA124" s="458"/>
      <c r="DB124" s="458"/>
      <c r="DC124" s="460"/>
      <c r="DD124" s="461"/>
      <c r="DE124" s="458"/>
      <c r="DF124" s="458"/>
      <c r="DG124" s="460"/>
      <c r="DH124" s="461"/>
      <c r="DI124" s="458"/>
      <c r="DJ124" s="458"/>
      <c r="DK124" s="460"/>
      <c r="DL124" s="461"/>
      <c r="DM124" s="458"/>
      <c r="DN124" s="458"/>
      <c r="DO124" s="460"/>
      <c r="DP124" s="461"/>
      <c r="DQ124" s="458"/>
      <c r="DR124" s="458"/>
      <c r="DS124" s="460"/>
      <c r="DT124" s="461"/>
      <c r="DU124" s="458"/>
      <c r="DV124" s="458"/>
      <c r="DW124" s="460"/>
      <c r="DX124" s="461"/>
      <c r="DY124" s="458"/>
      <c r="DZ124" s="458"/>
      <c r="EA124" s="460"/>
      <c r="EB124" s="461"/>
      <c r="EC124" s="458"/>
      <c r="ED124" s="458"/>
      <c r="EE124" s="460"/>
      <c r="EF124" s="461"/>
      <c r="EG124" s="458"/>
      <c r="EH124" s="458"/>
      <c r="EI124" s="460"/>
      <c r="EJ124" s="461"/>
      <c r="EK124" s="458"/>
      <c r="EL124" s="458"/>
      <c r="EM124" s="460"/>
      <c r="EN124" s="461"/>
      <c r="EO124" s="458"/>
      <c r="EP124" s="458"/>
      <c r="EQ124" s="460"/>
      <c r="ER124" s="461"/>
      <c r="ES124" s="458"/>
      <c r="ET124" s="458"/>
      <c r="EU124" s="460"/>
      <c r="EV124" s="461"/>
      <c r="EW124" s="458"/>
      <c r="EX124" s="458"/>
      <c r="EY124" s="460"/>
      <c r="EZ124" s="461"/>
      <c r="FA124" s="458"/>
      <c r="FB124" s="458"/>
      <c r="FC124" s="460"/>
      <c r="FD124" s="461"/>
      <c r="FE124" s="458"/>
      <c r="FF124" s="458"/>
      <c r="FG124" s="460"/>
      <c r="FH124" s="461"/>
      <c r="FI124" s="458"/>
      <c r="FJ124" s="458"/>
      <c r="FK124" s="460"/>
      <c r="FL124" s="461"/>
      <c r="FM124" s="458"/>
      <c r="FN124" s="458"/>
      <c r="FO124" s="460"/>
      <c r="FP124" s="461"/>
      <c r="FQ124" s="458"/>
      <c r="FR124" s="458"/>
      <c r="FS124" s="460"/>
      <c r="FT124" s="461"/>
      <c r="FU124" s="458"/>
      <c r="FV124" s="458"/>
      <c r="FW124" s="460"/>
      <c r="FX124" s="461"/>
      <c r="FY124" s="458"/>
      <c r="FZ124" s="458"/>
      <c r="GA124" s="460"/>
      <c r="GB124" s="461"/>
      <c r="GC124" s="458"/>
      <c r="GD124" s="458"/>
      <c r="GE124" s="460"/>
      <c r="GF124" s="461"/>
      <c r="GG124" s="458"/>
      <c r="GH124" s="458"/>
      <c r="GI124" s="460"/>
      <c r="GJ124" s="461"/>
      <c r="GK124" s="458"/>
      <c r="GL124" s="458"/>
      <c r="GM124" s="460"/>
      <c r="GN124" s="461"/>
      <c r="GO124" s="458"/>
      <c r="GP124" s="458"/>
      <c r="GQ124" s="460"/>
      <c r="GR124" s="461"/>
      <c r="GS124" s="458"/>
      <c r="GT124" s="458"/>
      <c r="GU124" s="460"/>
      <c r="GV124" s="461"/>
      <c r="GW124" s="458"/>
      <c r="GX124" s="458"/>
      <c r="GY124" s="460"/>
      <c r="GZ124" s="461"/>
      <c r="HA124" s="458"/>
      <c r="HB124" s="458"/>
      <c r="HC124" s="463">
        <f t="shared" si="83"/>
        <v>0</v>
      </c>
      <c r="HD124" s="464"/>
      <c r="HE124" s="465">
        <f t="shared" si="83"/>
        <v>0</v>
      </c>
      <c r="HF124" s="465">
        <f t="shared" si="83"/>
        <v>0</v>
      </c>
      <c r="HG124" s="463">
        <f>SUM(SUMIFS(K124:HB124,$K$13:$HB$13,{"エネルギー管理指定工場等*","県域*"}))</f>
        <v>0</v>
      </c>
      <c r="HH124" s="464"/>
      <c r="HI124" s="465">
        <f>SUM(SUMIFS(M124:HD124,$K$13:$HB$13,{"エネルギー管理指定工場等*","県域*"}))</f>
        <v>0</v>
      </c>
      <c r="HJ124" s="466">
        <f>SUM(SUMIFS(N124:HE124,$K$13:$HB$13,{"エネルギー管理指定工場等*","県域*"}))</f>
        <v>0</v>
      </c>
      <c r="IE124" s="579"/>
      <c r="IF124" s="579"/>
      <c r="IG124" s="579"/>
      <c r="IH124" s="579"/>
    </row>
    <row r="125" spans="2:242" s="164" customFormat="1" ht="20.100000000000001" customHeight="1">
      <c r="B125" s="410" t="s">
        <v>1406</v>
      </c>
      <c r="C125" s="411"/>
      <c r="D125" s="411"/>
      <c r="E125" s="411"/>
      <c r="F125" s="411"/>
      <c r="G125" s="411"/>
      <c r="H125" s="436"/>
      <c r="I125" s="425"/>
      <c r="J125" s="426"/>
      <c r="K125" s="416"/>
      <c r="L125" s="449"/>
      <c r="M125" s="411"/>
      <c r="N125" s="450"/>
      <c r="O125" s="416"/>
      <c r="P125" s="449"/>
      <c r="Q125" s="411"/>
      <c r="R125" s="450"/>
      <c r="S125" s="416"/>
      <c r="T125" s="449"/>
      <c r="U125" s="411"/>
      <c r="V125" s="450"/>
      <c r="W125" s="416"/>
      <c r="X125" s="449"/>
      <c r="Y125" s="411"/>
      <c r="Z125" s="450"/>
      <c r="AA125" s="416"/>
      <c r="AB125" s="449"/>
      <c r="AC125" s="411"/>
      <c r="AD125" s="450"/>
      <c r="AE125" s="416"/>
      <c r="AF125" s="449"/>
      <c r="AG125" s="411"/>
      <c r="AH125" s="450"/>
      <c r="AI125" s="416"/>
      <c r="AJ125" s="449"/>
      <c r="AK125" s="411"/>
      <c r="AL125" s="450"/>
      <c r="AM125" s="416"/>
      <c r="AN125" s="449"/>
      <c r="AO125" s="411"/>
      <c r="AP125" s="450"/>
      <c r="AQ125" s="416"/>
      <c r="AR125" s="449"/>
      <c r="AS125" s="411"/>
      <c r="AT125" s="450"/>
      <c r="AU125" s="416"/>
      <c r="AV125" s="449"/>
      <c r="AW125" s="411"/>
      <c r="AX125" s="450"/>
      <c r="AY125" s="416"/>
      <c r="AZ125" s="449"/>
      <c r="BA125" s="411"/>
      <c r="BB125" s="450"/>
      <c r="BC125" s="416"/>
      <c r="BD125" s="449"/>
      <c r="BE125" s="411"/>
      <c r="BF125" s="450"/>
      <c r="BG125" s="416"/>
      <c r="BH125" s="449"/>
      <c r="BI125" s="411"/>
      <c r="BJ125" s="450"/>
      <c r="BK125" s="416"/>
      <c r="BL125" s="449"/>
      <c r="BM125" s="411"/>
      <c r="BN125" s="450"/>
      <c r="BO125" s="416"/>
      <c r="BP125" s="449"/>
      <c r="BQ125" s="411"/>
      <c r="BR125" s="450"/>
      <c r="BS125" s="416"/>
      <c r="BT125" s="449"/>
      <c r="BU125" s="411"/>
      <c r="BV125" s="450"/>
      <c r="BW125" s="416"/>
      <c r="BX125" s="449"/>
      <c r="BY125" s="411"/>
      <c r="BZ125" s="411"/>
      <c r="CA125" s="416"/>
      <c r="CB125" s="449"/>
      <c r="CC125" s="411"/>
      <c r="CD125" s="411"/>
      <c r="CE125" s="416"/>
      <c r="CF125" s="449"/>
      <c r="CG125" s="411"/>
      <c r="CH125" s="411"/>
      <c r="CI125" s="416"/>
      <c r="CJ125" s="449"/>
      <c r="CK125" s="411"/>
      <c r="CL125" s="411"/>
      <c r="CM125" s="416"/>
      <c r="CN125" s="449"/>
      <c r="CO125" s="411"/>
      <c r="CP125" s="411"/>
      <c r="CQ125" s="416"/>
      <c r="CR125" s="449"/>
      <c r="CS125" s="411"/>
      <c r="CT125" s="411"/>
      <c r="CU125" s="416"/>
      <c r="CV125" s="449"/>
      <c r="CW125" s="411"/>
      <c r="CX125" s="411"/>
      <c r="CY125" s="416"/>
      <c r="CZ125" s="449"/>
      <c r="DA125" s="411"/>
      <c r="DB125" s="411"/>
      <c r="DC125" s="416"/>
      <c r="DD125" s="449"/>
      <c r="DE125" s="411"/>
      <c r="DF125" s="411"/>
      <c r="DG125" s="416"/>
      <c r="DH125" s="449"/>
      <c r="DI125" s="411"/>
      <c r="DJ125" s="411"/>
      <c r="DK125" s="416"/>
      <c r="DL125" s="449"/>
      <c r="DM125" s="411"/>
      <c r="DN125" s="411"/>
      <c r="DO125" s="416"/>
      <c r="DP125" s="449"/>
      <c r="DQ125" s="411"/>
      <c r="DR125" s="411"/>
      <c r="DS125" s="416"/>
      <c r="DT125" s="449"/>
      <c r="DU125" s="411"/>
      <c r="DV125" s="411"/>
      <c r="DW125" s="416"/>
      <c r="DX125" s="449"/>
      <c r="DY125" s="411"/>
      <c r="DZ125" s="411"/>
      <c r="EA125" s="416"/>
      <c r="EB125" s="449"/>
      <c r="EC125" s="411"/>
      <c r="ED125" s="411"/>
      <c r="EE125" s="416"/>
      <c r="EF125" s="449"/>
      <c r="EG125" s="411"/>
      <c r="EH125" s="411"/>
      <c r="EI125" s="416"/>
      <c r="EJ125" s="449"/>
      <c r="EK125" s="411"/>
      <c r="EL125" s="411"/>
      <c r="EM125" s="416"/>
      <c r="EN125" s="449"/>
      <c r="EO125" s="411"/>
      <c r="EP125" s="411"/>
      <c r="EQ125" s="416"/>
      <c r="ER125" s="449"/>
      <c r="ES125" s="411"/>
      <c r="ET125" s="411"/>
      <c r="EU125" s="416"/>
      <c r="EV125" s="449"/>
      <c r="EW125" s="411"/>
      <c r="EX125" s="411"/>
      <c r="EY125" s="416"/>
      <c r="EZ125" s="449"/>
      <c r="FA125" s="411"/>
      <c r="FB125" s="411"/>
      <c r="FC125" s="416"/>
      <c r="FD125" s="449"/>
      <c r="FE125" s="411"/>
      <c r="FF125" s="411"/>
      <c r="FG125" s="416"/>
      <c r="FH125" s="449"/>
      <c r="FI125" s="411"/>
      <c r="FJ125" s="411"/>
      <c r="FK125" s="416"/>
      <c r="FL125" s="449"/>
      <c r="FM125" s="411"/>
      <c r="FN125" s="411"/>
      <c r="FO125" s="416"/>
      <c r="FP125" s="449"/>
      <c r="FQ125" s="411"/>
      <c r="FR125" s="411"/>
      <c r="FS125" s="416"/>
      <c r="FT125" s="449"/>
      <c r="FU125" s="411"/>
      <c r="FV125" s="411"/>
      <c r="FW125" s="416"/>
      <c r="FX125" s="449"/>
      <c r="FY125" s="411"/>
      <c r="FZ125" s="411"/>
      <c r="GA125" s="416"/>
      <c r="GB125" s="449"/>
      <c r="GC125" s="411"/>
      <c r="GD125" s="411"/>
      <c r="GE125" s="416"/>
      <c r="GF125" s="449"/>
      <c r="GG125" s="411"/>
      <c r="GH125" s="411"/>
      <c r="GI125" s="416"/>
      <c r="GJ125" s="449"/>
      <c r="GK125" s="411"/>
      <c r="GL125" s="411"/>
      <c r="GM125" s="416"/>
      <c r="GN125" s="449"/>
      <c r="GO125" s="411"/>
      <c r="GP125" s="411"/>
      <c r="GQ125" s="416"/>
      <c r="GR125" s="449"/>
      <c r="GS125" s="411"/>
      <c r="GT125" s="411"/>
      <c r="GU125" s="416"/>
      <c r="GV125" s="449"/>
      <c r="GW125" s="411"/>
      <c r="GX125" s="411"/>
      <c r="GY125" s="416"/>
      <c r="GZ125" s="449"/>
      <c r="HA125" s="411"/>
      <c r="HB125" s="411"/>
      <c r="HC125" s="418">
        <f t="shared" si="83"/>
        <v>0</v>
      </c>
      <c r="HD125" s="451"/>
      <c r="HE125" s="419">
        <f t="shared" si="83"/>
        <v>0</v>
      </c>
      <c r="HF125" s="419">
        <f t="shared" si="83"/>
        <v>0</v>
      </c>
      <c r="HG125" s="418">
        <f>SUM(SUMIFS(K125:HB125,$K$13:$HB$13,{"エネルギー管理指定工場等*","県域*"}))</f>
        <v>0</v>
      </c>
      <c r="HH125" s="451"/>
      <c r="HI125" s="419">
        <f>SUM(SUMIFS(M125:HD125,$K$13:$HB$13,{"エネルギー管理指定工場等*","県域*"}))</f>
        <v>0</v>
      </c>
      <c r="HJ125" s="452">
        <f>SUM(SUMIFS(N125:HE125,$K$13:$HB$13,{"エネルギー管理指定工場等*","県域*"}))</f>
        <v>0</v>
      </c>
      <c r="IE125" s="579"/>
      <c r="IF125" s="579"/>
      <c r="IG125" s="579"/>
      <c r="IH125" s="579"/>
    </row>
    <row r="126" spans="2:242" s="164" customFormat="1" ht="20.100000000000001" customHeight="1">
      <c r="B126" s="421" t="s">
        <v>1407</v>
      </c>
      <c r="C126" s="422"/>
      <c r="D126" s="422"/>
      <c r="E126" s="422"/>
      <c r="F126" s="422"/>
      <c r="G126" s="422"/>
      <c r="H126" s="453"/>
      <c r="I126" s="425"/>
      <c r="J126" s="426"/>
      <c r="K126" s="427"/>
      <c r="L126" s="454"/>
      <c r="M126" s="422"/>
      <c r="N126" s="455"/>
      <c r="O126" s="427"/>
      <c r="P126" s="454"/>
      <c r="Q126" s="422"/>
      <c r="R126" s="455"/>
      <c r="S126" s="427"/>
      <c r="T126" s="454"/>
      <c r="U126" s="422"/>
      <c r="V126" s="455"/>
      <c r="W126" s="427"/>
      <c r="X126" s="454"/>
      <c r="Y126" s="422"/>
      <c r="Z126" s="455"/>
      <c r="AA126" s="427"/>
      <c r="AB126" s="454"/>
      <c r="AC126" s="422"/>
      <c r="AD126" s="455"/>
      <c r="AE126" s="427"/>
      <c r="AF126" s="454"/>
      <c r="AG126" s="422"/>
      <c r="AH126" s="455"/>
      <c r="AI126" s="427"/>
      <c r="AJ126" s="454"/>
      <c r="AK126" s="422"/>
      <c r="AL126" s="455"/>
      <c r="AM126" s="427"/>
      <c r="AN126" s="454"/>
      <c r="AO126" s="422"/>
      <c r="AP126" s="455"/>
      <c r="AQ126" s="427"/>
      <c r="AR126" s="454"/>
      <c r="AS126" s="422"/>
      <c r="AT126" s="455"/>
      <c r="AU126" s="427"/>
      <c r="AV126" s="454"/>
      <c r="AW126" s="422"/>
      <c r="AX126" s="455"/>
      <c r="AY126" s="427"/>
      <c r="AZ126" s="454"/>
      <c r="BA126" s="422"/>
      <c r="BB126" s="455"/>
      <c r="BC126" s="427"/>
      <c r="BD126" s="454"/>
      <c r="BE126" s="422"/>
      <c r="BF126" s="455"/>
      <c r="BG126" s="427"/>
      <c r="BH126" s="454"/>
      <c r="BI126" s="422"/>
      <c r="BJ126" s="455"/>
      <c r="BK126" s="427"/>
      <c r="BL126" s="454"/>
      <c r="BM126" s="422"/>
      <c r="BN126" s="455"/>
      <c r="BO126" s="427"/>
      <c r="BP126" s="454"/>
      <c r="BQ126" s="422"/>
      <c r="BR126" s="455"/>
      <c r="BS126" s="427"/>
      <c r="BT126" s="454"/>
      <c r="BU126" s="422"/>
      <c r="BV126" s="455"/>
      <c r="BW126" s="427"/>
      <c r="BX126" s="454"/>
      <c r="BY126" s="422"/>
      <c r="BZ126" s="422"/>
      <c r="CA126" s="427"/>
      <c r="CB126" s="454"/>
      <c r="CC126" s="422"/>
      <c r="CD126" s="422"/>
      <c r="CE126" s="427"/>
      <c r="CF126" s="454"/>
      <c r="CG126" s="422"/>
      <c r="CH126" s="422"/>
      <c r="CI126" s="427"/>
      <c r="CJ126" s="454"/>
      <c r="CK126" s="422"/>
      <c r="CL126" s="422"/>
      <c r="CM126" s="427"/>
      <c r="CN126" s="454"/>
      <c r="CO126" s="422"/>
      <c r="CP126" s="422"/>
      <c r="CQ126" s="427"/>
      <c r="CR126" s="454"/>
      <c r="CS126" s="422"/>
      <c r="CT126" s="422"/>
      <c r="CU126" s="427"/>
      <c r="CV126" s="454"/>
      <c r="CW126" s="422"/>
      <c r="CX126" s="422"/>
      <c r="CY126" s="427"/>
      <c r="CZ126" s="454"/>
      <c r="DA126" s="422"/>
      <c r="DB126" s="422"/>
      <c r="DC126" s="427"/>
      <c r="DD126" s="454"/>
      <c r="DE126" s="422"/>
      <c r="DF126" s="422"/>
      <c r="DG126" s="427"/>
      <c r="DH126" s="454"/>
      <c r="DI126" s="422"/>
      <c r="DJ126" s="422"/>
      <c r="DK126" s="427"/>
      <c r="DL126" s="454"/>
      <c r="DM126" s="422"/>
      <c r="DN126" s="422"/>
      <c r="DO126" s="427"/>
      <c r="DP126" s="454"/>
      <c r="DQ126" s="422"/>
      <c r="DR126" s="422"/>
      <c r="DS126" s="427"/>
      <c r="DT126" s="454"/>
      <c r="DU126" s="422"/>
      <c r="DV126" s="422"/>
      <c r="DW126" s="427"/>
      <c r="DX126" s="454"/>
      <c r="DY126" s="422"/>
      <c r="DZ126" s="422"/>
      <c r="EA126" s="427"/>
      <c r="EB126" s="454"/>
      <c r="EC126" s="422"/>
      <c r="ED126" s="422"/>
      <c r="EE126" s="427"/>
      <c r="EF126" s="454"/>
      <c r="EG126" s="422"/>
      <c r="EH126" s="422"/>
      <c r="EI126" s="427"/>
      <c r="EJ126" s="454"/>
      <c r="EK126" s="422"/>
      <c r="EL126" s="422"/>
      <c r="EM126" s="427"/>
      <c r="EN126" s="454"/>
      <c r="EO126" s="422"/>
      <c r="EP126" s="422"/>
      <c r="EQ126" s="427"/>
      <c r="ER126" s="454"/>
      <c r="ES126" s="422"/>
      <c r="ET126" s="422"/>
      <c r="EU126" s="427"/>
      <c r="EV126" s="454"/>
      <c r="EW126" s="422"/>
      <c r="EX126" s="422"/>
      <c r="EY126" s="427"/>
      <c r="EZ126" s="454"/>
      <c r="FA126" s="422"/>
      <c r="FB126" s="422"/>
      <c r="FC126" s="427"/>
      <c r="FD126" s="454"/>
      <c r="FE126" s="422"/>
      <c r="FF126" s="422"/>
      <c r="FG126" s="427"/>
      <c r="FH126" s="454"/>
      <c r="FI126" s="422"/>
      <c r="FJ126" s="422"/>
      <c r="FK126" s="427"/>
      <c r="FL126" s="454"/>
      <c r="FM126" s="422"/>
      <c r="FN126" s="422"/>
      <c r="FO126" s="427"/>
      <c r="FP126" s="454"/>
      <c r="FQ126" s="422"/>
      <c r="FR126" s="422"/>
      <c r="FS126" s="427"/>
      <c r="FT126" s="454"/>
      <c r="FU126" s="422"/>
      <c r="FV126" s="422"/>
      <c r="FW126" s="427"/>
      <c r="FX126" s="454"/>
      <c r="FY126" s="422"/>
      <c r="FZ126" s="422"/>
      <c r="GA126" s="427"/>
      <c r="GB126" s="454"/>
      <c r="GC126" s="422"/>
      <c r="GD126" s="422"/>
      <c r="GE126" s="427"/>
      <c r="GF126" s="454"/>
      <c r="GG126" s="422"/>
      <c r="GH126" s="422"/>
      <c r="GI126" s="427"/>
      <c r="GJ126" s="454"/>
      <c r="GK126" s="422"/>
      <c r="GL126" s="422"/>
      <c r="GM126" s="427"/>
      <c r="GN126" s="454"/>
      <c r="GO126" s="422"/>
      <c r="GP126" s="422"/>
      <c r="GQ126" s="427"/>
      <c r="GR126" s="454"/>
      <c r="GS126" s="422"/>
      <c r="GT126" s="422"/>
      <c r="GU126" s="427"/>
      <c r="GV126" s="454"/>
      <c r="GW126" s="422"/>
      <c r="GX126" s="422"/>
      <c r="GY126" s="427"/>
      <c r="GZ126" s="454"/>
      <c r="HA126" s="422"/>
      <c r="HB126" s="422"/>
      <c r="HC126" s="434">
        <f t="shared" si="83"/>
        <v>0</v>
      </c>
      <c r="HD126" s="456"/>
      <c r="HE126" s="432">
        <f t="shared" si="83"/>
        <v>0</v>
      </c>
      <c r="HF126" s="432">
        <f t="shared" si="83"/>
        <v>0</v>
      </c>
      <c r="HG126" s="434">
        <f>SUM(SUMIFS(K126:HB126,$K$13:$HB$13,{"エネルギー管理指定工場等*","県域*"}))</f>
        <v>0</v>
      </c>
      <c r="HH126" s="456"/>
      <c r="HI126" s="432">
        <f>SUM(SUMIFS(M126:HD126,$K$13:$HB$13,{"エネルギー管理指定工場等*","県域*"}))</f>
        <v>0</v>
      </c>
      <c r="HJ126" s="457">
        <f>SUM(SUMIFS(N126:HE126,$K$13:$HB$13,{"エネルギー管理指定工場等*","県域*"}))</f>
        <v>0</v>
      </c>
      <c r="IE126" s="579"/>
      <c r="IF126" s="579"/>
      <c r="IG126" s="579"/>
      <c r="IH126" s="579"/>
    </row>
    <row r="127" spans="2:242" s="164" customFormat="1" ht="20.100000000000001" customHeight="1">
      <c r="B127" s="443" t="s">
        <v>1408</v>
      </c>
      <c r="C127" s="444"/>
      <c r="D127" s="444"/>
      <c r="E127" s="444"/>
      <c r="F127" s="444"/>
      <c r="G127" s="444"/>
      <c r="H127" s="467"/>
      <c r="I127" s="425"/>
      <c r="J127" s="426"/>
      <c r="K127" s="468"/>
      <c r="L127" s="469"/>
      <c r="M127" s="444"/>
      <c r="N127" s="470"/>
      <c r="O127" s="468"/>
      <c r="P127" s="469"/>
      <c r="Q127" s="444"/>
      <c r="R127" s="470"/>
      <c r="S127" s="468"/>
      <c r="T127" s="469"/>
      <c r="U127" s="444"/>
      <c r="V127" s="470"/>
      <c r="W127" s="468"/>
      <c r="X127" s="469"/>
      <c r="Y127" s="444"/>
      <c r="Z127" s="470"/>
      <c r="AA127" s="468"/>
      <c r="AB127" s="469"/>
      <c r="AC127" s="444"/>
      <c r="AD127" s="470"/>
      <c r="AE127" s="468"/>
      <c r="AF127" s="469"/>
      <c r="AG127" s="444"/>
      <c r="AH127" s="470"/>
      <c r="AI127" s="468"/>
      <c r="AJ127" s="469"/>
      <c r="AK127" s="444"/>
      <c r="AL127" s="470"/>
      <c r="AM127" s="468"/>
      <c r="AN127" s="469"/>
      <c r="AO127" s="444"/>
      <c r="AP127" s="470"/>
      <c r="AQ127" s="468"/>
      <c r="AR127" s="469"/>
      <c r="AS127" s="444"/>
      <c r="AT127" s="470"/>
      <c r="AU127" s="468"/>
      <c r="AV127" s="469"/>
      <c r="AW127" s="444"/>
      <c r="AX127" s="470"/>
      <c r="AY127" s="468"/>
      <c r="AZ127" s="469"/>
      <c r="BA127" s="444"/>
      <c r="BB127" s="470"/>
      <c r="BC127" s="468"/>
      <c r="BD127" s="469"/>
      <c r="BE127" s="444"/>
      <c r="BF127" s="470"/>
      <c r="BG127" s="468"/>
      <c r="BH127" s="469"/>
      <c r="BI127" s="444"/>
      <c r="BJ127" s="470"/>
      <c r="BK127" s="468"/>
      <c r="BL127" s="469"/>
      <c r="BM127" s="444"/>
      <c r="BN127" s="470"/>
      <c r="BO127" s="468"/>
      <c r="BP127" s="469"/>
      <c r="BQ127" s="444"/>
      <c r="BR127" s="470"/>
      <c r="BS127" s="468"/>
      <c r="BT127" s="469"/>
      <c r="BU127" s="444"/>
      <c r="BV127" s="470"/>
      <c r="BW127" s="468"/>
      <c r="BX127" s="469"/>
      <c r="BY127" s="444"/>
      <c r="BZ127" s="444"/>
      <c r="CA127" s="468"/>
      <c r="CB127" s="469"/>
      <c r="CC127" s="444"/>
      <c r="CD127" s="444"/>
      <c r="CE127" s="468"/>
      <c r="CF127" s="469"/>
      <c r="CG127" s="444"/>
      <c r="CH127" s="444"/>
      <c r="CI127" s="468"/>
      <c r="CJ127" s="469"/>
      <c r="CK127" s="444"/>
      <c r="CL127" s="444"/>
      <c r="CM127" s="468"/>
      <c r="CN127" s="469"/>
      <c r="CO127" s="444"/>
      <c r="CP127" s="444"/>
      <c r="CQ127" s="468"/>
      <c r="CR127" s="469"/>
      <c r="CS127" s="444"/>
      <c r="CT127" s="444"/>
      <c r="CU127" s="468"/>
      <c r="CV127" s="469"/>
      <c r="CW127" s="444"/>
      <c r="CX127" s="444"/>
      <c r="CY127" s="468"/>
      <c r="CZ127" s="469"/>
      <c r="DA127" s="444"/>
      <c r="DB127" s="444"/>
      <c r="DC127" s="468"/>
      <c r="DD127" s="469"/>
      <c r="DE127" s="444"/>
      <c r="DF127" s="444"/>
      <c r="DG127" s="468"/>
      <c r="DH127" s="469"/>
      <c r="DI127" s="444"/>
      <c r="DJ127" s="444"/>
      <c r="DK127" s="468"/>
      <c r="DL127" s="469"/>
      <c r="DM127" s="444"/>
      <c r="DN127" s="444"/>
      <c r="DO127" s="468"/>
      <c r="DP127" s="469"/>
      <c r="DQ127" s="444"/>
      <c r="DR127" s="444"/>
      <c r="DS127" s="468"/>
      <c r="DT127" s="469"/>
      <c r="DU127" s="444"/>
      <c r="DV127" s="444"/>
      <c r="DW127" s="468"/>
      <c r="DX127" s="469"/>
      <c r="DY127" s="444"/>
      <c r="DZ127" s="444"/>
      <c r="EA127" s="468"/>
      <c r="EB127" s="469"/>
      <c r="EC127" s="444"/>
      <c r="ED127" s="444"/>
      <c r="EE127" s="468"/>
      <c r="EF127" s="469"/>
      <c r="EG127" s="444"/>
      <c r="EH127" s="444"/>
      <c r="EI127" s="468"/>
      <c r="EJ127" s="469"/>
      <c r="EK127" s="444"/>
      <c r="EL127" s="444"/>
      <c r="EM127" s="468"/>
      <c r="EN127" s="469"/>
      <c r="EO127" s="444"/>
      <c r="EP127" s="444"/>
      <c r="EQ127" s="468"/>
      <c r="ER127" s="469"/>
      <c r="ES127" s="444"/>
      <c r="ET127" s="444"/>
      <c r="EU127" s="468"/>
      <c r="EV127" s="469"/>
      <c r="EW127" s="444"/>
      <c r="EX127" s="444"/>
      <c r="EY127" s="468"/>
      <c r="EZ127" s="469"/>
      <c r="FA127" s="444"/>
      <c r="FB127" s="444"/>
      <c r="FC127" s="468"/>
      <c r="FD127" s="469"/>
      <c r="FE127" s="444"/>
      <c r="FF127" s="444"/>
      <c r="FG127" s="468"/>
      <c r="FH127" s="469"/>
      <c r="FI127" s="444"/>
      <c r="FJ127" s="444"/>
      <c r="FK127" s="468"/>
      <c r="FL127" s="469"/>
      <c r="FM127" s="444"/>
      <c r="FN127" s="444"/>
      <c r="FO127" s="468"/>
      <c r="FP127" s="469"/>
      <c r="FQ127" s="444"/>
      <c r="FR127" s="444"/>
      <c r="FS127" s="468"/>
      <c r="FT127" s="469"/>
      <c r="FU127" s="444"/>
      <c r="FV127" s="444"/>
      <c r="FW127" s="468"/>
      <c r="FX127" s="469"/>
      <c r="FY127" s="444"/>
      <c r="FZ127" s="444"/>
      <c r="GA127" s="468"/>
      <c r="GB127" s="469"/>
      <c r="GC127" s="444"/>
      <c r="GD127" s="444"/>
      <c r="GE127" s="468"/>
      <c r="GF127" s="469"/>
      <c r="GG127" s="444"/>
      <c r="GH127" s="444"/>
      <c r="GI127" s="468"/>
      <c r="GJ127" s="469"/>
      <c r="GK127" s="444"/>
      <c r="GL127" s="444"/>
      <c r="GM127" s="468"/>
      <c r="GN127" s="469"/>
      <c r="GO127" s="444"/>
      <c r="GP127" s="444"/>
      <c r="GQ127" s="468"/>
      <c r="GR127" s="469"/>
      <c r="GS127" s="444"/>
      <c r="GT127" s="444"/>
      <c r="GU127" s="468"/>
      <c r="GV127" s="469"/>
      <c r="GW127" s="444"/>
      <c r="GX127" s="444"/>
      <c r="GY127" s="468"/>
      <c r="GZ127" s="469"/>
      <c r="HA127" s="444"/>
      <c r="HB127" s="444"/>
      <c r="HC127" s="446">
        <f t="shared" si="83"/>
        <v>0</v>
      </c>
      <c r="HD127" s="471"/>
      <c r="HE127" s="447">
        <f t="shared" si="83"/>
        <v>0</v>
      </c>
      <c r="HF127" s="447">
        <f t="shared" si="83"/>
        <v>0</v>
      </c>
      <c r="HG127" s="446">
        <f>SUM(SUMIFS(K127:HB127,$K$13:$HB$13,{"エネルギー管理指定工場等*","県域*"}))</f>
        <v>0</v>
      </c>
      <c r="HH127" s="471"/>
      <c r="HI127" s="447">
        <f>SUM(SUMIFS(M127:HD127,$K$13:$HB$13,{"エネルギー管理指定工場等*","県域*"}))</f>
        <v>0</v>
      </c>
      <c r="HJ127" s="472">
        <f>SUM(SUMIFS(N127:HE127,$K$13:$HB$13,{"エネルギー管理指定工場等*","県域*"}))</f>
        <v>0</v>
      </c>
      <c r="IE127" s="579"/>
      <c r="IF127" s="579"/>
      <c r="IG127" s="579"/>
      <c r="IH127" s="579"/>
    </row>
    <row r="128" spans="2:242" s="164" customFormat="1" ht="20.100000000000001" customHeight="1">
      <c r="B128" s="410" t="s">
        <v>1409</v>
      </c>
      <c r="C128" s="473"/>
      <c r="D128" s="473"/>
      <c r="E128" s="473"/>
      <c r="F128" s="411"/>
      <c r="G128" s="411"/>
      <c r="H128" s="474"/>
      <c r="I128" s="425"/>
      <c r="J128" s="426"/>
      <c r="K128" s="475"/>
      <c r="L128" s="476"/>
      <c r="M128" s="473"/>
      <c r="N128" s="477"/>
      <c r="O128" s="475"/>
      <c r="P128" s="476"/>
      <c r="Q128" s="473"/>
      <c r="R128" s="477"/>
      <c r="S128" s="475"/>
      <c r="T128" s="476"/>
      <c r="U128" s="473"/>
      <c r="V128" s="477"/>
      <c r="W128" s="475"/>
      <c r="X128" s="476"/>
      <c r="Y128" s="473"/>
      <c r="Z128" s="477"/>
      <c r="AA128" s="475"/>
      <c r="AB128" s="476"/>
      <c r="AC128" s="473"/>
      <c r="AD128" s="477"/>
      <c r="AE128" s="475"/>
      <c r="AF128" s="476"/>
      <c r="AG128" s="473"/>
      <c r="AH128" s="477"/>
      <c r="AI128" s="475"/>
      <c r="AJ128" s="476"/>
      <c r="AK128" s="473"/>
      <c r="AL128" s="477"/>
      <c r="AM128" s="475"/>
      <c r="AN128" s="476"/>
      <c r="AO128" s="473"/>
      <c r="AP128" s="477"/>
      <c r="AQ128" s="475"/>
      <c r="AR128" s="476"/>
      <c r="AS128" s="473"/>
      <c r="AT128" s="477"/>
      <c r="AU128" s="475"/>
      <c r="AV128" s="476"/>
      <c r="AW128" s="473"/>
      <c r="AX128" s="477"/>
      <c r="AY128" s="475"/>
      <c r="AZ128" s="476"/>
      <c r="BA128" s="473"/>
      <c r="BB128" s="477"/>
      <c r="BC128" s="475"/>
      <c r="BD128" s="476"/>
      <c r="BE128" s="473"/>
      <c r="BF128" s="477"/>
      <c r="BG128" s="475"/>
      <c r="BH128" s="476"/>
      <c r="BI128" s="473"/>
      <c r="BJ128" s="477"/>
      <c r="BK128" s="475"/>
      <c r="BL128" s="476"/>
      <c r="BM128" s="473"/>
      <c r="BN128" s="477"/>
      <c r="BO128" s="475"/>
      <c r="BP128" s="476"/>
      <c r="BQ128" s="473"/>
      <c r="BR128" s="477"/>
      <c r="BS128" s="475"/>
      <c r="BT128" s="476"/>
      <c r="BU128" s="473"/>
      <c r="BV128" s="477"/>
      <c r="BW128" s="475"/>
      <c r="BX128" s="476"/>
      <c r="BY128" s="473"/>
      <c r="BZ128" s="473"/>
      <c r="CA128" s="475"/>
      <c r="CB128" s="476"/>
      <c r="CC128" s="473"/>
      <c r="CD128" s="473"/>
      <c r="CE128" s="475"/>
      <c r="CF128" s="476"/>
      <c r="CG128" s="473"/>
      <c r="CH128" s="473"/>
      <c r="CI128" s="475"/>
      <c r="CJ128" s="476"/>
      <c r="CK128" s="473"/>
      <c r="CL128" s="473"/>
      <c r="CM128" s="475"/>
      <c r="CN128" s="476"/>
      <c r="CO128" s="473"/>
      <c r="CP128" s="473"/>
      <c r="CQ128" s="475"/>
      <c r="CR128" s="476"/>
      <c r="CS128" s="473"/>
      <c r="CT128" s="473"/>
      <c r="CU128" s="475"/>
      <c r="CV128" s="476"/>
      <c r="CW128" s="473"/>
      <c r="CX128" s="473"/>
      <c r="CY128" s="475"/>
      <c r="CZ128" s="476"/>
      <c r="DA128" s="473"/>
      <c r="DB128" s="473"/>
      <c r="DC128" s="475"/>
      <c r="DD128" s="476"/>
      <c r="DE128" s="473"/>
      <c r="DF128" s="473"/>
      <c r="DG128" s="475"/>
      <c r="DH128" s="476"/>
      <c r="DI128" s="473"/>
      <c r="DJ128" s="473"/>
      <c r="DK128" s="475"/>
      <c r="DL128" s="476"/>
      <c r="DM128" s="473"/>
      <c r="DN128" s="473"/>
      <c r="DO128" s="475"/>
      <c r="DP128" s="476"/>
      <c r="DQ128" s="473"/>
      <c r="DR128" s="473"/>
      <c r="DS128" s="475"/>
      <c r="DT128" s="476"/>
      <c r="DU128" s="473"/>
      <c r="DV128" s="473"/>
      <c r="DW128" s="475"/>
      <c r="DX128" s="476"/>
      <c r="DY128" s="473"/>
      <c r="DZ128" s="473"/>
      <c r="EA128" s="475"/>
      <c r="EB128" s="476"/>
      <c r="EC128" s="473"/>
      <c r="ED128" s="473"/>
      <c r="EE128" s="475"/>
      <c r="EF128" s="476"/>
      <c r="EG128" s="473"/>
      <c r="EH128" s="473"/>
      <c r="EI128" s="475"/>
      <c r="EJ128" s="476"/>
      <c r="EK128" s="473"/>
      <c r="EL128" s="473"/>
      <c r="EM128" s="475"/>
      <c r="EN128" s="476"/>
      <c r="EO128" s="473"/>
      <c r="EP128" s="473"/>
      <c r="EQ128" s="475"/>
      <c r="ER128" s="476"/>
      <c r="ES128" s="473"/>
      <c r="ET128" s="473"/>
      <c r="EU128" s="475"/>
      <c r="EV128" s="476"/>
      <c r="EW128" s="473"/>
      <c r="EX128" s="473"/>
      <c r="EY128" s="475"/>
      <c r="EZ128" s="476"/>
      <c r="FA128" s="473"/>
      <c r="FB128" s="473"/>
      <c r="FC128" s="475"/>
      <c r="FD128" s="476"/>
      <c r="FE128" s="473"/>
      <c r="FF128" s="473"/>
      <c r="FG128" s="475"/>
      <c r="FH128" s="476"/>
      <c r="FI128" s="473"/>
      <c r="FJ128" s="473"/>
      <c r="FK128" s="475"/>
      <c r="FL128" s="476"/>
      <c r="FM128" s="473"/>
      <c r="FN128" s="473"/>
      <c r="FO128" s="475"/>
      <c r="FP128" s="476"/>
      <c r="FQ128" s="473"/>
      <c r="FR128" s="473"/>
      <c r="FS128" s="475"/>
      <c r="FT128" s="476"/>
      <c r="FU128" s="473"/>
      <c r="FV128" s="473"/>
      <c r="FW128" s="475"/>
      <c r="FX128" s="476"/>
      <c r="FY128" s="473"/>
      <c r="FZ128" s="473"/>
      <c r="GA128" s="475"/>
      <c r="GB128" s="476"/>
      <c r="GC128" s="473"/>
      <c r="GD128" s="473"/>
      <c r="GE128" s="475"/>
      <c r="GF128" s="476"/>
      <c r="GG128" s="473"/>
      <c r="GH128" s="473"/>
      <c r="GI128" s="475"/>
      <c r="GJ128" s="476"/>
      <c r="GK128" s="473"/>
      <c r="GL128" s="473"/>
      <c r="GM128" s="475"/>
      <c r="GN128" s="476"/>
      <c r="GO128" s="473"/>
      <c r="GP128" s="473"/>
      <c r="GQ128" s="475"/>
      <c r="GR128" s="476"/>
      <c r="GS128" s="473"/>
      <c r="GT128" s="473"/>
      <c r="GU128" s="475"/>
      <c r="GV128" s="476"/>
      <c r="GW128" s="473"/>
      <c r="GX128" s="473"/>
      <c r="GY128" s="475"/>
      <c r="GZ128" s="476"/>
      <c r="HA128" s="473"/>
      <c r="HB128" s="473"/>
      <c r="HC128" s="478">
        <f t="shared" si="83"/>
        <v>0</v>
      </c>
      <c r="HD128" s="479"/>
      <c r="HE128" s="480">
        <f t="shared" si="83"/>
        <v>0</v>
      </c>
      <c r="HF128" s="480">
        <f t="shared" si="83"/>
        <v>0</v>
      </c>
      <c r="HG128" s="478">
        <f>SUM(SUMIFS(K128:HB128,$K$13:$HB$13,{"エネルギー管理指定工場等*","県域*"}))</f>
        <v>0</v>
      </c>
      <c r="HH128" s="479"/>
      <c r="HI128" s="480">
        <f>SUM(SUMIFS(M128:HD128,$K$13:$HB$13,{"エネルギー管理指定工場等*","県域*"}))</f>
        <v>0</v>
      </c>
      <c r="HJ128" s="481">
        <f>SUM(SUMIFS(N128:HE128,$K$13:$HB$13,{"エネルギー管理指定工場等*","県域*"}))</f>
        <v>0</v>
      </c>
      <c r="IE128" s="579"/>
      <c r="IF128" s="579"/>
      <c r="IG128" s="579"/>
      <c r="IH128" s="579"/>
    </row>
    <row r="129" spans="1:242" s="164" customFormat="1" ht="20.100000000000001" customHeight="1">
      <c r="B129" s="421" t="s">
        <v>1410</v>
      </c>
      <c r="C129" s="458"/>
      <c r="D129" s="458"/>
      <c r="E129" s="458"/>
      <c r="F129" s="422"/>
      <c r="G129" s="422"/>
      <c r="H129" s="459"/>
      <c r="I129" s="425"/>
      <c r="J129" s="426"/>
      <c r="K129" s="460"/>
      <c r="L129" s="461"/>
      <c r="M129" s="458"/>
      <c r="N129" s="462"/>
      <c r="O129" s="460"/>
      <c r="P129" s="461"/>
      <c r="Q129" s="458"/>
      <c r="R129" s="462"/>
      <c r="S129" s="460"/>
      <c r="T129" s="461"/>
      <c r="U129" s="458"/>
      <c r="V129" s="462"/>
      <c r="W129" s="460"/>
      <c r="X129" s="461"/>
      <c r="Y129" s="458"/>
      <c r="Z129" s="462"/>
      <c r="AA129" s="460"/>
      <c r="AB129" s="461"/>
      <c r="AC129" s="458"/>
      <c r="AD129" s="462"/>
      <c r="AE129" s="460"/>
      <c r="AF129" s="461"/>
      <c r="AG129" s="458"/>
      <c r="AH129" s="462"/>
      <c r="AI129" s="460"/>
      <c r="AJ129" s="461"/>
      <c r="AK129" s="458"/>
      <c r="AL129" s="462"/>
      <c r="AM129" s="460"/>
      <c r="AN129" s="461"/>
      <c r="AO129" s="458"/>
      <c r="AP129" s="462"/>
      <c r="AQ129" s="460"/>
      <c r="AR129" s="461"/>
      <c r="AS129" s="458"/>
      <c r="AT129" s="462"/>
      <c r="AU129" s="460"/>
      <c r="AV129" s="461"/>
      <c r="AW129" s="458"/>
      <c r="AX129" s="462"/>
      <c r="AY129" s="460"/>
      <c r="AZ129" s="461"/>
      <c r="BA129" s="458"/>
      <c r="BB129" s="462"/>
      <c r="BC129" s="460"/>
      <c r="BD129" s="461"/>
      <c r="BE129" s="458"/>
      <c r="BF129" s="462"/>
      <c r="BG129" s="460"/>
      <c r="BH129" s="461"/>
      <c r="BI129" s="458"/>
      <c r="BJ129" s="462"/>
      <c r="BK129" s="460"/>
      <c r="BL129" s="461"/>
      <c r="BM129" s="458"/>
      <c r="BN129" s="462"/>
      <c r="BO129" s="460"/>
      <c r="BP129" s="461"/>
      <c r="BQ129" s="458"/>
      <c r="BR129" s="462"/>
      <c r="BS129" s="460"/>
      <c r="BT129" s="461"/>
      <c r="BU129" s="458"/>
      <c r="BV129" s="462"/>
      <c r="BW129" s="460"/>
      <c r="BX129" s="461"/>
      <c r="BY129" s="458"/>
      <c r="BZ129" s="458"/>
      <c r="CA129" s="460"/>
      <c r="CB129" s="461"/>
      <c r="CC129" s="458"/>
      <c r="CD129" s="458"/>
      <c r="CE129" s="460"/>
      <c r="CF129" s="461"/>
      <c r="CG129" s="458"/>
      <c r="CH129" s="458"/>
      <c r="CI129" s="460"/>
      <c r="CJ129" s="461"/>
      <c r="CK129" s="458"/>
      <c r="CL129" s="458"/>
      <c r="CM129" s="460"/>
      <c r="CN129" s="461"/>
      <c r="CO129" s="458"/>
      <c r="CP129" s="458"/>
      <c r="CQ129" s="460"/>
      <c r="CR129" s="461"/>
      <c r="CS129" s="458"/>
      <c r="CT129" s="458"/>
      <c r="CU129" s="460"/>
      <c r="CV129" s="461"/>
      <c r="CW129" s="458"/>
      <c r="CX129" s="458"/>
      <c r="CY129" s="460"/>
      <c r="CZ129" s="461"/>
      <c r="DA129" s="458"/>
      <c r="DB129" s="458"/>
      <c r="DC129" s="460"/>
      <c r="DD129" s="461"/>
      <c r="DE129" s="458"/>
      <c r="DF129" s="458"/>
      <c r="DG129" s="460"/>
      <c r="DH129" s="461"/>
      <c r="DI129" s="458"/>
      <c r="DJ129" s="458"/>
      <c r="DK129" s="460"/>
      <c r="DL129" s="461"/>
      <c r="DM129" s="458"/>
      <c r="DN129" s="458"/>
      <c r="DO129" s="460"/>
      <c r="DP129" s="461"/>
      <c r="DQ129" s="458"/>
      <c r="DR129" s="458"/>
      <c r="DS129" s="460"/>
      <c r="DT129" s="461"/>
      <c r="DU129" s="458"/>
      <c r="DV129" s="458"/>
      <c r="DW129" s="460"/>
      <c r="DX129" s="461"/>
      <c r="DY129" s="458"/>
      <c r="DZ129" s="458"/>
      <c r="EA129" s="460"/>
      <c r="EB129" s="461"/>
      <c r="EC129" s="458"/>
      <c r="ED129" s="458"/>
      <c r="EE129" s="460"/>
      <c r="EF129" s="461"/>
      <c r="EG129" s="458"/>
      <c r="EH129" s="458"/>
      <c r="EI129" s="460"/>
      <c r="EJ129" s="461"/>
      <c r="EK129" s="458"/>
      <c r="EL129" s="458"/>
      <c r="EM129" s="460"/>
      <c r="EN129" s="461"/>
      <c r="EO129" s="458"/>
      <c r="EP129" s="458"/>
      <c r="EQ129" s="460"/>
      <c r="ER129" s="461"/>
      <c r="ES129" s="458"/>
      <c r="ET129" s="458"/>
      <c r="EU129" s="460"/>
      <c r="EV129" s="461"/>
      <c r="EW129" s="458"/>
      <c r="EX129" s="458"/>
      <c r="EY129" s="460"/>
      <c r="EZ129" s="461"/>
      <c r="FA129" s="458"/>
      <c r="FB129" s="458"/>
      <c r="FC129" s="460"/>
      <c r="FD129" s="461"/>
      <c r="FE129" s="458"/>
      <c r="FF129" s="458"/>
      <c r="FG129" s="460"/>
      <c r="FH129" s="461"/>
      <c r="FI129" s="458"/>
      <c r="FJ129" s="458"/>
      <c r="FK129" s="460"/>
      <c r="FL129" s="461"/>
      <c r="FM129" s="458"/>
      <c r="FN129" s="458"/>
      <c r="FO129" s="460"/>
      <c r="FP129" s="461"/>
      <c r="FQ129" s="458"/>
      <c r="FR129" s="458"/>
      <c r="FS129" s="460"/>
      <c r="FT129" s="461"/>
      <c r="FU129" s="458"/>
      <c r="FV129" s="458"/>
      <c r="FW129" s="460"/>
      <c r="FX129" s="461"/>
      <c r="FY129" s="458"/>
      <c r="FZ129" s="458"/>
      <c r="GA129" s="460"/>
      <c r="GB129" s="461"/>
      <c r="GC129" s="458"/>
      <c r="GD129" s="458"/>
      <c r="GE129" s="460"/>
      <c r="GF129" s="461"/>
      <c r="GG129" s="458"/>
      <c r="GH129" s="458"/>
      <c r="GI129" s="460"/>
      <c r="GJ129" s="461"/>
      <c r="GK129" s="458"/>
      <c r="GL129" s="458"/>
      <c r="GM129" s="460"/>
      <c r="GN129" s="461"/>
      <c r="GO129" s="458"/>
      <c r="GP129" s="458"/>
      <c r="GQ129" s="460"/>
      <c r="GR129" s="461"/>
      <c r="GS129" s="458"/>
      <c r="GT129" s="458"/>
      <c r="GU129" s="460"/>
      <c r="GV129" s="461"/>
      <c r="GW129" s="458"/>
      <c r="GX129" s="458"/>
      <c r="GY129" s="460"/>
      <c r="GZ129" s="461"/>
      <c r="HA129" s="458"/>
      <c r="HB129" s="458"/>
      <c r="HC129" s="463">
        <f t="shared" si="83"/>
        <v>0</v>
      </c>
      <c r="HD129" s="464"/>
      <c r="HE129" s="465">
        <f t="shared" si="83"/>
        <v>0</v>
      </c>
      <c r="HF129" s="465">
        <f t="shared" si="83"/>
        <v>0</v>
      </c>
      <c r="HG129" s="463">
        <f>SUM(SUMIFS(K129:HB129,$K$13:$HB$13,{"エネルギー管理指定工場等*","県域*"}))</f>
        <v>0</v>
      </c>
      <c r="HH129" s="464"/>
      <c r="HI129" s="465">
        <f>SUM(SUMIFS(M129:HD129,$K$13:$HB$13,{"エネルギー管理指定工場等*","県域*"}))</f>
        <v>0</v>
      </c>
      <c r="HJ129" s="466">
        <f>SUM(SUMIFS(N129:HE129,$K$13:$HB$13,{"エネルギー管理指定工場等*","県域*"}))</f>
        <v>0</v>
      </c>
      <c r="IE129" s="579"/>
      <c r="IF129" s="579"/>
      <c r="IG129" s="579"/>
      <c r="IH129" s="579"/>
    </row>
    <row r="130" spans="1:242" s="164" customFormat="1" ht="20.100000000000001" customHeight="1">
      <c r="B130" s="443" t="s">
        <v>1411</v>
      </c>
      <c r="C130" s="444"/>
      <c r="D130" s="444"/>
      <c r="E130" s="444"/>
      <c r="F130" s="444"/>
      <c r="G130" s="444"/>
      <c r="H130" s="467"/>
      <c r="I130" s="425"/>
      <c r="J130" s="426"/>
      <c r="K130" s="468"/>
      <c r="L130" s="469"/>
      <c r="M130" s="444"/>
      <c r="N130" s="470"/>
      <c r="O130" s="468"/>
      <c r="P130" s="469"/>
      <c r="Q130" s="444"/>
      <c r="R130" s="470"/>
      <c r="S130" s="468"/>
      <c r="T130" s="469"/>
      <c r="U130" s="444"/>
      <c r="V130" s="470"/>
      <c r="W130" s="468"/>
      <c r="X130" s="469"/>
      <c r="Y130" s="444"/>
      <c r="Z130" s="470"/>
      <c r="AA130" s="468"/>
      <c r="AB130" s="469"/>
      <c r="AC130" s="444"/>
      <c r="AD130" s="470"/>
      <c r="AE130" s="468"/>
      <c r="AF130" s="469"/>
      <c r="AG130" s="444"/>
      <c r="AH130" s="470"/>
      <c r="AI130" s="468"/>
      <c r="AJ130" s="469"/>
      <c r="AK130" s="444"/>
      <c r="AL130" s="470"/>
      <c r="AM130" s="468"/>
      <c r="AN130" s="469"/>
      <c r="AO130" s="444"/>
      <c r="AP130" s="470"/>
      <c r="AQ130" s="468"/>
      <c r="AR130" s="469"/>
      <c r="AS130" s="444"/>
      <c r="AT130" s="470"/>
      <c r="AU130" s="468"/>
      <c r="AV130" s="469"/>
      <c r="AW130" s="444"/>
      <c r="AX130" s="470"/>
      <c r="AY130" s="468"/>
      <c r="AZ130" s="469"/>
      <c r="BA130" s="444"/>
      <c r="BB130" s="470"/>
      <c r="BC130" s="468"/>
      <c r="BD130" s="469"/>
      <c r="BE130" s="444"/>
      <c r="BF130" s="470"/>
      <c r="BG130" s="468"/>
      <c r="BH130" s="469"/>
      <c r="BI130" s="444"/>
      <c r="BJ130" s="470"/>
      <c r="BK130" s="468"/>
      <c r="BL130" s="469"/>
      <c r="BM130" s="444"/>
      <c r="BN130" s="470"/>
      <c r="BO130" s="468"/>
      <c r="BP130" s="469"/>
      <c r="BQ130" s="444"/>
      <c r="BR130" s="470"/>
      <c r="BS130" s="468"/>
      <c r="BT130" s="469"/>
      <c r="BU130" s="444"/>
      <c r="BV130" s="470"/>
      <c r="BW130" s="468"/>
      <c r="BX130" s="469"/>
      <c r="BY130" s="444"/>
      <c r="BZ130" s="444"/>
      <c r="CA130" s="468"/>
      <c r="CB130" s="469"/>
      <c r="CC130" s="444"/>
      <c r="CD130" s="444"/>
      <c r="CE130" s="468"/>
      <c r="CF130" s="469"/>
      <c r="CG130" s="444"/>
      <c r="CH130" s="444"/>
      <c r="CI130" s="468"/>
      <c r="CJ130" s="469"/>
      <c r="CK130" s="444"/>
      <c r="CL130" s="444"/>
      <c r="CM130" s="468"/>
      <c r="CN130" s="469"/>
      <c r="CO130" s="444"/>
      <c r="CP130" s="444"/>
      <c r="CQ130" s="468"/>
      <c r="CR130" s="469"/>
      <c r="CS130" s="444"/>
      <c r="CT130" s="444"/>
      <c r="CU130" s="468"/>
      <c r="CV130" s="469"/>
      <c r="CW130" s="444"/>
      <c r="CX130" s="444"/>
      <c r="CY130" s="468"/>
      <c r="CZ130" s="469"/>
      <c r="DA130" s="444"/>
      <c r="DB130" s="444"/>
      <c r="DC130" s="468"/>
      <c r="DD130" s="469"/>
      <c r="DE130" s="444"/>
      <c r="DF130" s="444"/>
      <c r="DG130" s="468"/>
      <c r="DH130" s="469"/>
      <c r="DI130" s="444"/>
      <c r="DJ130" s="444"/>
      <c r="DK130" s="468"/>
      <c r="DL130" s="469"/>
      <c r="DM130" s="444"/>
      <c r="DN130" s="444"/>
      <c r="DO130" s="468"/>
      <c r="DP130" s="469"/>
      <c r="DQ130" s="444"/>
      <c r="DR130" s="444"/>
      <c r="DS130" s="468"/>
      <c r="DT130" s="469"/>
      <c r="DU130" s="444"/>
      <c r="DV130" s="444"/>
      <c r="DW130" s="468"/>
      <c r="DX130" s="469"/>
      <c r="DY130" s="444"/>
      <c r="DZ130" s="444"/>
      <c r="EA130" s="468"/>
      <c r="EB130" s="469"/>
      <c r="EC130" s="444"/>
      <c r="ED130" s="444"/>
      <c r="EE130" s="468"/>
      <c r="EF130" s="469"/>
      <c r="EG130" s="444"/>
      <c r="EH130" s="444"/>
      <c r="EI130" s="468"/>
      <c r="EJ130" s="469"/>
      <c r="EK130" s="444"/>
      <c r="EL130" s="444"/>
      <c r="EM130" s="468"/>
      <c r="EN130" s="469"/>
      <c r="EO130" s="444"/>
      <c r="EP130" s="444"/>
      <c r="EQ130" s="468"/>
      <c r="ER130" s="469"/>
      <c r="ES130" s="444"/>
      <c r="ET130" s="444"/>
      <c r="EU130" s="468"/>
      <c r="EV130" s="469"/>
      <c r="EW130" s="444"/>
      <c r="EX130" s="444"/>
      <c r="EY130" s="468"/>
      <c r="EZ130" s="469"/>
      <c r="FA130" s="444"/>
      <c r="FB130" s="444"/>
      <c r="FC130" s="468"/>
      <c r="FD130" s="469"/>
      <c r="FE130" s="444"/>
      <c r="FF130" s="444"/>
      <c r="FG130" s="468"/>
      <c r="FH130" s="469"/>
      <c r="FI130" s="444"/>
      <c r="FJ130" s="444"/>
      <c r="FK130" s="468"/>
      <c r="FL130" s="469"/>
      <c r="FM130" s="444"/>
      <c r="FN130" s="444"/>
      <c r="FO130" s="468"/>
      <c r="FP130" s="469"/>
      <c r="FQ130" s="444"/>
      <c r="FR130" s="444"/>
      <c r="FS130" s="468"/>
      <c r="FT130" s="469"/>
      <c r="FU130" s="444"/>
      <c r="FV130" s="444"/>
      <c r="FW130" s="468"/>
      <c r="FX130" s="469"/>
      <c r="FY130" s="444"/>
      <c r="FZ130" s="444"/>
      <c r="GA130" s="468"/>
      <c r="GB130" s="469"/>
      <c r="GC130" s="444"/>
      <c r="GD130" s="444"/>
      <c r="GE130" s="468"/>
      <c r="GF130" s="469"/>
      <c r="GG130" s="444"/>
      <c r="GH130" s="444"/>
      <c r="GI130" s="468"/>
      <c r="GJ130" s="469"/>
      <c r="GK130" s="444"/>
      <c r="GL130" s="444"/>
      <c r="GM130" s="468"/>
      <c r="GN130" s="469"/>
      <c r="GO130" s="444"/>
      <c r="GP130" s="444"/>
      <c r="GQ130" s="468"/>
      <c r="GR130" s="469"/>
      <c r="GS130" s="444"/>
      <c r="GT130" s="444"/>
      <c r="GU130" s="468"/>
      <c r="GV130" s="469"/>
      <c r="GW130" s="444"/>
      <c r="GX130" s="444"/>
      <c r="GY130" s="468"/>
      <c r="GZ130" s="469"/>
      <c r="HA130" s="444"/>
      <c r="HB130" s="444"/>
      <c r="HC130" s="446">
        <f t="shared" si="83"/>
        <v>0</v>
      </c>
      <c r="HD130" s="471"/>
      <c r="HE130" s="447">
        <f t="shared" si="83"/>
        <v>0</v>
      </c>
      <c r="HF130" s="447">
        <f t="shared" si="83"/>
        <v>0</v>
      </c>
      <c r="HG130" s="446">
        <f>SUM(SUMIFS(K130:HB130,$K$13:$HB$13,{"エネルギー管理指定工場等*","県域*"}))</f>
        <v>0</v>
      </c>
      <c r="HH130" s="471"/>
      <c r="HI130" s="447">
        <f>SUM(SUMIFS(M130:HD130,$K$13:$HB$13,{"エネルギー管理指定工場等*","県域*"}))</f>
        <v>0</v>
      </c>
      <c r="HJ130" s="472">
        <f>SUM(SUMIFS(N130:HE130,$K$13:$HB$13,{"エネルギー管理指定工場等*","県域*"}))</f>
        <v>0</v>
      </c>
      <c r="IE130" s="579"/>
      <c r="IF130" s="579"/>
      <c r="IG130" s="579"/>
      <c r="IH130" s="579"/>
    </row>
    <row r="131" spans="1:242" ht="20.100000000000001" customHeight="1">
      <c r="A131" s="164"/>
      <c r="B131" s="410" t="s">
        <v>1412</v>
      </c>
      <c r="C131" s="411"/>
      <c r="D131" s="411"/>
      <c r="E131" s="411"/>
      <c r="F131" s="411"/>
      <c r="G131" s="411"/>
      <c r="H131" s="436"/>
      <c r="I131" s="425"/>
      <c r="J131" s="426"/>
      <c r="K131" s="416"/>
      <c r="L131" s="449"/>
      <c r="M131" s="449"/>
      <c r="N131" s="417"/>
      <c r="O131" s="416"/>
      <c r="P131" s="449"/>
      <c r="Q131" s="449"/>
      <c r="R131" s="417"/>
      <c r="S131" s="416"/>
      <c r="T131" s="449"/>
      <c r="U131" s="449"/>
      <c r="V131" s="417"/>
      <c r="W131" s="416"/>
      <c r="X131" s="449"/>
      <c r="Y131" s="449"/>
      <c r="Z131" s="417"/>
      <c r="AA131" s="416"/>
      <c r="AB131" s="449"/>
      <c r="AC131" s="449"/>
      <c r="AD131" s="417"/>
      <c r="AE131" s="416"/>
      <c r="AF131" s="449"/>
      <c r="AG131" s="449"/>
      <c r="AH131" s="417"/>
      <c r="AI131" s="416"/>
      <c r="AJ131" s="449"/>
      <c r="AK131" s="449"/>
      <c r="AL131" s="417"/>
      <c r="AM131" s="416"/>
      <c r="AN131" s="449"/>
      <c r="AO131" s="449"/>
      <c r="AP131" s="417"/>
      <c r="AQ131" s="416"/>
      <c r="AR131" s="449"/>
      <c r="AS131" s="449"/>
      <c r="AT131" s="417"/>
      <c r="AU131" s="416"/>
      <c r="AV131" s="449"/>
      <c r="AW131" s="449"/>
      <c r="AX131" s="417"/>
      <c r="AY131" s="416"/>
      <c r="AZ131" s="449"/>
      <c r="BA131" s="449"/>
      <c r="BB131" s="417"/>
      <c r="BC131" s="416"/>
      <c r="BD131" s="449"/>
      <c r="BE131" s="449"/>
      <c r="BF131" s="417"/>
      <c r="BG131" s="416"/>
      <c r="BH131" s="449"/>
      <c r="BI131" s="449"/>
      <c r="BJ131" s="417"/>
      <c r="BK131" s="416"/>
      <c r="BL131" s="449"/>
      <c r="BM131" s="449"/>
      <c r="BN131" s="417"/>
      <c r="BO131" s="416"/>
      <c r="BP131" s="449"/>
      <c r="BQ131" s="449"/>
      <c r="BR131" s="417"/>
      <c r="BS131" s="416"/>
      <c r="BT131" s="449"/>
      <c r="BU131" s="449"/>
      <c r="BV131" s="417"/>
      <c r="BW131" s="416"/>
      <c r="BX131" s="449"/>
      <c r="BY131" s="449"/>
      <c r="BZ131" s="417"/>
      <c r="CA131" s="416"/>
      <c r="CB131" s="449"/>
      <c r="CC131" s="449"/>
      <c r="CD131" s="417"/>
      <c r="CE131" s="416"/>
      <c r="CF131" s="449"/>
      <c r="CG131" s="449"/>
      <c r="CH131" s="417"/>
      <c r="CI131" s="416"/>
      <c r="CJ131" s="449"/>
      <c r="CK131" s="449"/>
      <c r="CL131" s="417"/>
      <c r="CM131" s="416"/>
      <c r="CN131" s="449"/>
      <c r="CO131" s="449"/>
      <c r="CP131" s="417"/>
      <c r="CQ131" s="416"/>
      <c r="CR131" s="449"/>
      <c r="CS131" s="449"/>
      <c r="CT131" s="417"/>
      <c r="CU131" s="416"/>
      <c r="CV131" s="449"/>
      <c r="CW131" s="449"/>
      <c r="CX131" s="417"/>
      <c r="CY131" s="416"/>
      <c r="CZ131" s="449"/>
      <c r="DA131" s="449"/>
      <c r="DB131" s="417"/>
      <c r="DC131" s="416"/>
      <c r="DD131" s="449"/>
      <c r="DE131" s="449"/>
      <c r="DF131" s="417"/>
      <c r="DG131" s="416"/>
      <c r="DH131" s="449"/>
      <c r="DI131" s="449"/>
      <c r="DJ131" s="417"/>
      <c r="DK131" s="416"/>
      <c r="DL131" s="449"/>
      <c r="DM131" s="449"/>
      <c r="DN131" s="417"/>
      <c r="DO131" s="416"/>
      <c r="DP131" s="449"/>
      <c r="DQ131" s="449"/>
      <c r="DR131" s="417"/>
      <c r="DS131" s="416"/>
      <c r="DT131" s="449"/>
      <c r="DU131" s="449"/>
      <c r="DV131" s="417"/>
      <c r="DW131" s="416"/>
      <c r="DX131" s="449"/>
      <c r="DY131" s="449"/>
      <c r="DZ131" s="417"/>
      <c r="EA131" s="416"/>
      <c r="EB131" s="449"/>
      <c r="EC131" s="449"/>
      <c r="ED131" s="417"/>
      <c r="EE131" s="416"/>
      <c r="EF131" s="449"/>
      <c r="EG131" s="449"/>
      <c r="EH131" s="417"/>
      <c r="EI131" s="416"/>
      <c r="EJ131" s="449"/>
      <c r="EK131" s="449"/>
      <c r="EL131" s="417"/>
      <c r="EM131" s="416"/>
      <c r="EN131" s="449"/>
      <c r="EO131" s="449"/>
      <c r="EP131" s="417"/>
      <c r="EQ131" s="416"/>
      <c r="ER131" s="449"/>
      <c r="ES131" s="449"/>
      <c r="ET131" s="417"/>
      <c r="EU131" s="416"/>
      <c r="EV131" s="449"/>
      <c r="EW131" s="449"/>
      <c r="EX131" s="417"/>
      <c r="EY131" s="416"/>
      <c r="EZ131" s="449"/>
      <c r="FA131" s="449"/>
      <c r="FB131" s="417"/>
      <c r="FC131" s="416"/>
      <c r="FD131" s="449"/>
      <c r="FE131" s="449"/>
      <c r="FF131" s="417"/>
      <c r="FG131" s="416"/>
      <c r="FH131" s="449"/>
      <c r="FI131" s="449"/>
      <c r="FJ131" s="417"/>
      <c r="FK131" s="416"/>
      <c r="FL131" s="449"/>
      <c r="FM131" s="449"/>
      <c r="FN131" s="417"/>
      <c r="FO131" s="416"/>
      <c r="FP131" s="449"/>
      <c r="FQ131" s="449"/>
      <c r="FR131" s="417"/>
      <c r="FS131" s="416"/>
      <c r="FT131" s="449"/>
      <c r="FU131" s="449"/>
      <c r="FV131" s="417"/>
      <c r="FW131" s="416"/>
      <c r="FX131" s="449"/>
      <c r="FY131" s="449"/>
      <c r="FZ131" s="417"/>
      <c r="GA131" s="416"/>
      <c r="GB131" s="449"/>
      <c r="GC131" s="449"/>
      <c r="GD131" s="417"/>
      <c r="GE131" s="416"/>
      <c r="GF131" s="449"/>
      <c r="GG131" s="449"/>
      <c r="GH131" s="417"/>
      <c r="GI131" s="416"/>
      <c r="GJ131" s="449"/>
      <c r="GK131" s="449"/>
      <c r="GL131" s="417"/>
      <c r="GM131" s="416"/>
      <c r="GN131" s="449"/>
      <c r="GO131" s="449"/>
      <c r="GP131" s="417"/>
      <c r="GQ131" s="416"/>
      <c r="GR131" s="449"/>
      <c r="GS131" s="449"/>
      <c r="GT131" s="417"/>
      <c r="GU131" s="416"/>
      <c r="GV131" s="449"/>
      <c r="GW131" s="449"/>
      <c r="GX131" s="417"/>
      <c r="GY131" s="416"/>
      <c r="GZ131" s="449"/>
      <c r="HA131" s="449"/>
      <c r="HB131" s="417"/>
      <c r="HC131" s="418">
        <f t="shared" si="83"/>
        <v>0</v>
      </c>
      <c r="HD131" s="451"/>
      <c r="HE131" s="451"/>
      <c r="HF131" s="420"/>
      <c r="HG131" s="418">
        <f>SUM(SUMIFS(K131:HB131,$K$13:$HB$13,{"エネルギー管理指定工場等*","県域*"}))</f>
        <v>0</v>
      </c>
      <c r="HH131" s="451"/>
      <c r="HI131" s="451"/>
      <c r="HJ131" s="420"/>
    </row>
    <row r="132" spans="1:242" ht="20.100000000000001" customHeight="1">
      <c r="A132" s="164"/>
      <c r="B132" s="421" t="s">
        <v>1413</v>
      </c>
      <c r="C132" s="422"/>
      <c r="D132" s="422"/>
      <c r="E132" s="422"/>
      <c r="F132" s="422"/>
      <c r="G132" s="422"/>
      <c r="H132" s="453"/>
      <c r="I132" s="425"/>
      <c r="J132" s="426"/>
      <c r="K132" s="427"/>
      <c r="L132" s="454"/>
      <c r="M132" s="454"/>
      <c r="N132" s="428"/>
      <c r="O132" s="427"/>
      <c r="P132" s="454"/>
      <c r="Q132" s="454"/>
      <c r="R132" s="428"/>
      <c r="S132" s="427"/>
      <c r="T132" s="454"/>
      <c r="U132" s="454"/>
      <c r="V132" s="428"/>
      <c r="W132" s="427"/>
      <c r="X132" s="454"/>
      <c r="Y132" s="454"/>
      <c r="Z132" s="428"/>
      <c r="AA132" s="427"/>
      <c r="AB132" s="454"/>
      <c r="AC132" s="454"/>
      <c r="AD132" s="428"/>
      <c r="AE132" s="427"/>
      <c r="AF132" s="454"/>
      <c r="AG132" s="454"/>
      <c r="AH132" s="428"/>
      <c r="AI132" s="427"/>
      <c r="AJ132" s="454"/>
      <c r="AK132" s="454"/>
      <c r="AL132" s="428"/>
      <c r="AM132" s="427"/>
      <c r="AN132" s="454"/>
      <c r="AO132" s="454"/>
      <c r="AP132" s="428"/>
      <c r="AQ132" s="427"/>
      <c r="AR132" s="454"/>
      <c r="AS132" s="454"/>
      <c r="AT132" s="428"/>
      <c r="AU132" s="427"/>
      <c r="AV132" s="454"/>
      <c r="AW132" s="454"/>
      <c r="AX132" s="428"/>
      <c r="AY132" s="427"/>
      <c r="AZ132" s="454"/>
      <c r="BA132" s="454"/>
      <c r="BB132" s="428"/>
      <c r="BC132" s="427"/>
      <c r="BD132" s="454"/>
      <c r="BE132" s="454"/>
      <c r="BF132" s="428"/>
      <c r="BG132" s="427"/>
      <c r="BH132" s="454"/>
      <c r="BI132" s="454"/>
      <c r="BJ132" s="428"/>
      <c r="BK132" s="427"/>
      <c r="BL132" s="454"/>
      <c r="BM132" s="454"/>
      <c r="BN132" s="428"/>
      <c r="BO132" s="427"/>
      <c r="BP132" s="454"/>
      <c r="BQ132" s="454"/>
      <c r="BR132" s="428"/>
      <c r="BS132" s="427"/>
      <c r="BT132" s="454"/>
      <c r="BU132" s="454"/>
      <c r="BV132" s="428"/>
      <c r="BW132" s="427"/>
      <c r="BX132" s="454"/>
      <c r="BY132" s="454"/>
      <c r="BZ132" s="428"/>
      <c r="CA132" s="427"/>
      <c r="CB132" s="454"/>
      <c r="CC132" s="454"/>
      <c r="CD132" s="428"/>
      <c r="CE132" s="427"/>
      <c r="CF132" s="454"/>
      <c r="CG132" s="454"/>
      <c r="CH132" s="428"/>
      <c r="CI132" s="427"/>
      <c r="CJ132" s="454"/>
      <c r="CK132" s="454"/>
      <c r="CL132" s="428"/>
      <c r="CM132" s="427"/>
      <c r="CN132" s="454"/>
      <c r="CO132" s="454"/>
      <c r="CP132" s="428"/>
      <c r="CQ132" s="427"/>
      <c r="CR132" s="454"/>
      <c r="CS132" s="454"/>
      <c r="CT132" s="428"/>
      <c r="CU132" s="427"/>
      <c r="CV132" s="454"/>
      <c r="CW132" s="454"/>
      <c r="CX132" s="428"/>
      <c r="CY132" s="427"/>
      <c r="CZ132" s="454"/>
      <c r="DA132" s="454"/>
      <c r="DB132" s="428"/>
      <c r="DC132" s="427"/>
      <c r="DD132" s="454"/>
      <c r="DE132" s="454"/>
      <c r="DF132" s="428"/>
      <c r="DG132" s="427"/>
      <c r="DH132" s="454"/>
      <c r="DI132" s="454"/>
      <c r="DJ132" s="428"/>
      <c r="DK132" s="427"/>
      <c r="DL132" s="454"/>
      <c r="DM132" s="454"/>
      <c r="DN132" s="428"/>
      <c r="DO132" s="427"/>
      <c r="DP132" s="454"/>
      <c r="DQ132" s="454"/>
      <c r="DR132" s="428"/>
      <c r="DS132" s="427"/>
      <c r="DT132" s="454"/>
      <c r="DU132" s="454"/>
      <c r="DV132" s="428"/>
      <c r="DW132" s="427"/>
      <c r="DX132" s="454"/>
      <c r="DY132" s="454"/>
      <c r="DZ132" s="428"/>
      <c r="EA132" s="427"/>
      <c r="EB132" s="454"/>
      <c r="EC132" s="454"/>
      <c r="ED132" s="428"/>
      <c r="EE132" s="427"/>
      <c r="EF132" s="454"/>
      <c r="EG132" s="454"/>
      <c r="EH132" s="428"/>
      <c r="EI132" s="427"/>
      <c r="EJ132" s="454"/>
      <c r="EK132" s="454"/>
      <c r="EL132" s="428"/>
      <c r="EM132" s="427"/>
      <c r="EN132" s="454"/>
      <c r="EO132" s="454"/>
      <c r="EP132" s="428"/>
      <c r="EQ132" s="427"/>
      <c r="ER132" s="454"/>
      <c r="ES132" s="454"/>
      <c r="ET132" s="428"/>
      <c r="EU132" s="427"/>
      <c r="EV132" s="454"/>
      <c r="EW132" s="454"/>
      <c r="EX132" s="428"/>
      <c r="EY132" s="427"/>
      <c r="EZ132" s="454"/>
      <c r="FA132" s="454"/>
      <c r="FB132" s="428"/>
      <c r="FC132" s="427"/>
      <c r="FD132" s="454"/>
      <c r="FE132" s="454"/>
      <c r="FF132" s="428"/>
      <c r="FG132" s="427"/>
      <c r="FH132" s="454"/>
      <c r="FI132" s="454"/>
      <c r="FJ132" s="428"/>
      <c r="FK132" s="427"/>
      <c r="FL132" s="454"/>
      <c r="FM132" s="454"/>
      <c r="FN132" s="428"/>
      <c r="FO132" s="427"/>
      <c r="FP132" s="454"/>
      <c r="FQ132" s="454"/>
      <c r="FR132" s="428"/>
      <c r="FS132" s="427"/>
      <c r="FT132" s="454"/>
      <c r="FU132" s="454"/>
      <c r="FV132" s="428"/>
      <c r="FW132" s="427"/>
      <c r="FX132" s="454"/>
      <c r="FY132" s="454"/>
      <c r="FZ132" s="428"/>
      <c r="GA132" s="427"/>
      <c r="GB132" s="454"/>
      <c r="GC132" s="454"/>
      <c r="GD132" s="428"/>
      <c r="GE132" s="427"/>
      <c r="GF132" s="454"/>
      <c r="GG132" s="454"/>
      <c r="GH132" s="428"/>
      <c r="GI132" s="427"/>
      <c r="GJ132" s="454"/>
      <c r="GK132" s="454"/>
      <c r="GL132" s="428"/>
      <c r="GM132" s="427"/>
      <c r="GN132" s="454"/>
      <c r="GO132" s="454"/>
      <c r="GP132" s="428"/>
      <c r="GQ132" s="427"/>
      <c r="GR132" s="454"/>
      <c r="GS132" s="454"/>
      <c r="GT132" s="428"/>
      <c r="GU132" s="427"/>
      <c r="GV132" s="454"/>
      <c r="GW132" s="454"/>
      <c r="GX132" s="428"/>
      <c r="GY132" s="427"/>
      <c r="GZ132" s="454"/>
      <c r="HA132" s="454"/>
      <c r="HB132" s="428"/>
      <c r="HC132" s="434">
        <f t="shared" si="83"/>
        <v>0</v>
      </c>
      <c r="HD132" s="456"/>
      <c r="HE132" s="456"/>
      <c r="HF132" s="433"/>
      <c r="HG132" s="434">
        <f>SUM(SUMIFS(K132:HB132,$K$13:$HB$13,{"エネルギー管理指定工場等*","県域*"}))</f>
        <v>0</v>
      </c>
      <c r="HH132" s="456"/>
      <c r="HI132" s="456"/>
      <c r="HJ132" s="433"/>
    </row>
    <row r="133" spans="1:242" ht="20.100000000000001" customHeight="1">
      <c r="A133" s="164"/>
      <c r="B133" s="421" t="s">
        <v>1414</v>
      </c>
      <c r="C133" s="422"/>
      <c r="D133" s="422"/>
      <c r="E133" s="422"/>
      <c r="F133" s="422"/>
      <c r="G133" s="422"/>
      <c r="H133" s="453"/>
      <c r="I133" s="425"/>
      <c r="J133" s="426"/>
      <c r="K133" s="427"/>
      <c r="L133" s="454"/>
      <c r="M133" s="454"/>
      <c r="N133" s="428"/>
      <c r="O133" s="427"/>
      <c r="P133" s="454"/>
      <c r="Q133" s="454"/>
      <c r="R133" s="428"/>
      <c r="S133" s="427"/>
      <c r="T133" s="454"/>
      <c r="U133" s="454"/>
      <c r="V133" s="428"/>
      <c r="W133" s="427"/>
      <c r="X133" s="454"/>
      <c r="Y133" s="454"/>
      <c r="Z133" s="428"/>
      <c r="AA133" s="427"/>
      <c r="AB133" s="454"/>
      <c r="AC133" s="454"/>
      <c r="AD133" s="428"/>
      <c r="AE133" s="427"/>
      <c r="AF133" s="454"/>
      <c r="AG133" s="454"/>
      <c r="AH133" s="428"/>
      <c r="AI133" s="427"/>
      <c r="AJ133" s="454"/>
      <c r="AK133" s="454"/>
      <c r="AL133" s="428"/>
      <c r="AM133" s="427"/>
      <c r="AN133" s="454"/>
      <c r="AO133" s="454"/>
      <c r="AP133" s="428"/>
      <c r="AQ133" s="427"/>
      <c r="AR133" s="454"/>
      <c r="AS133" s="454"/>
      <c r="AT133" s="428"/>
      <c r="AU133" s="427"/>
      <c r="AV133" s="454"/>
      <c r="AW133" s="454"/>
      <c r="AX133" s="428"/>
      <c r="AY133" s="427"/>
      <c r="AZ133" s="454"/>
      <c r="BA133" s="454"/>
      <c r="BB133" s="428"/>
      <c r="BC133" s="427"/>
      <c r="BD133" s="454"/>
      <c r="BE133" s="454"/>
      <c r="BF133" s="428"/>
      <c r="BG133" s="427"/>
      <c r="BH133" s="454"/>
      <c r="BI133" s="454"/>
      <c r="BJ133" s="428"/>
      <c r="BK133" s="427"/>
      <c r="BL133" s="454"/>
      <c r="BM133" s="454"/>
      <c r="BN133" s="428"/>
      <c r="BO133" s="427"/>
      <c r="BP133" s="454"/>
      <c r="BQ133" s="454"/>
      <c r="BR133" s="428"/>
      <c r="BS133" s="427"/>
      <c r="BT133" s="454"/>
      <c r="BU133" s="454"/>
      <c r="BV133" s="428"/>
      <c r="BW133" s="427"/>
      <c r="BX133" s="454"/>
      <c r="BY133" s="454"/>
      <c r="BZ133" s="428"/>
      <c r="CA133" s="427"/>
      <c r="CB133" s="454"/>
      <c r="CC133" s="454"/>
      <c r="CD133" s="428"/>
      <c r="CE133" s="427"/>
      <c r="CF133" s="454"/>
      <c r="CG133" s="454"/>
      <c r="CH133" s="428"/>
      <c r="CI133" s="427"/>
      <c r="CJ133" s="454"/>
      <c r="CK133" s="454"/>
      <c r="CL133" s="428"/>
      <c r="CM133" s="427"/>
      <c r="CN133" s="454"/>
      <c r="CO133" s="454"/>
      <c r="CP133" s="428"/>
      <c r="CQ133" s="427"/>
      <c r="CR133" s="454"/>
      <c r="CS133" s="454"/>
      <c r="CT133" s="428"/>
      <c r="CU133" s="427"/>
      <c r="CV133" s="454"/>
      <c r="CW133" s="454"/>
      <c r="CX133" s="428"/>
      <c r="CY133" s="427"/>
      <c r="CZ133" s="454"/>
      <c r="DA133" s="454"/>
      <c r="DB133" s="428"/>
      <c r="DC133" s="427"/>
      <c r="DD133" s="454"/>
      <c r="DE133" s="454"/>
      <c r="DF133" s="428"/>
      <c r="DG133" s="427"/>
      <c r="DH133" s="454"/>
      <c r="DI133" s="454"/>
      <c r="DJ133" s="428"/>
      <c r="DK133" s="427"/>
      <c r="DL133" s="454"/>
      <c r="DM133" s="454"/>
      <c r="DN133" s="428"/>
      <c r="DO133" s="427"/>
      <c r="DP133" s="454"/>
      <c r="DQ133" s="454"/>
      <c r="DR133" s="428"/>
      <c r="DS133" s="427"/>
      <c r="DT133" s="454"/>
      <c r="DU133" s="454"/>
      <c r="DV133" s="428"/>
      <c r="DW133" s="427"/>
      <c r="DX133" s="454"/>
      <c r="DY133" s="454"/>
      <c r="DZ133" s="428"/>
      <c r="EA133" s="427"/>
      <c r="EB133" s="454"/>
      <c r="EC133" s="454"/>
      <c r="ED133" s="428"/>
      <c r="EE133" s="427"/>
      <c r="EF133" s="454"/>
      <c r="EG133" s="454"/>
      <c r="EH133" s="428"/>
      <c r="EI133" s="427"/>
      <c r="EJ133" s="454"/>
      <c r="EK133" s="454"/>
      <c r="EL133" s="428"/>
      <c r="EM133" s="427"/>
      <c r="EN133" s="454"/>
      <c r="EO133" s="454"/>
      <c r="EP133" s="428"/>
      <c r="EQ133" s="427"/>
      <c r="ER133" s="454"/>
      <c r="ES133" s="454"/>
      <c r="ET133" s="428"/>
      <c r="EU133" s="427"/>
      <c r="EV133" s="454"/>
      <c r="EW133" s="454"/>
      <c r="EX133" s="428"/>
      <c r="EY133" s="427"/>
      <c r="EZ133" s="454"/>
      <c r="FA133" s="454"/>
      <c r="FB133" s="428"/>
      <c r="FC133" s="427"/>
      <c r="FD133" s="454"/>
      <c r="FE133" s="454"/>
      <c r="FF133" s="428"/>
      <c r="FG133" s="427"/>
      <c r="FH133" s="454"/>
      <c r="FI133" s="454"/>
      <c r="FJ133" s="428"/>
      <c r="FK133" s="427"/>
      <c r="FL133" s="454"/>
      <c r="FM133" s="454"/>
      <c r="FN133" s="428"/>
      <c r="FO133" s="427"/>
      <c r="FP133" s="454"/>
      <c r="FQ133" s="454"/>
      <c r="FR133" s="428"/>
      <c r="FS133" s="427"/>
      <c r="FT133" s="454"/>
      <c r="FU133" s="454"/>
      <c r="FV133" s="428"/>
      <c r="FW133" s="427"/>
      <c r="FX133" s="454"/>
      <c r="FY133" s="454"/>
      <c r="FZ133" s="428"/>
      <c r="GA133" s="427"/>
      <c r="GB133" s="454"/>
      <c r="GC133" s="454"/>
      <c r="GD133" s="428"/>
      <c r="GE133" s="427"/>
      <c r="GF133" s="454"/>
      <c r="GG133" s="454"/>
      <c r="GH133" s="428"/>
      <c r="GI133" s="427"/>
      <c r="GJ133" s="454"/>
      <c r="GK133" s="454"/>
      <c r="GL133" s="428"/>
      <c r="GM133" s="427"/>
      <c r="GN133" s="454"/>
      <c r="GO133" s="454"/>
      <c r="GP133" s="428"/>
      <c r="GQ133" s="427"/>
      <c r="GR133" s="454"/>
      <c r="GS133" s="454"/>
      <c r="GT133" s="428"/>
      <c r="GU133" s="427"/>
      <c r="GV133" s="454"/>
      <c r="GW133" s="454"/>
      <c r="GX133" s="428"/>
      <c r="GY133" s="427"/>
      <c r="GZ133" s="454"/>
      <c r="HA133" s="454"/>
      <c r="HB133" s="428"/>
      <c r="HC133" s="434">
        <f t="shared" si="83"/>
        <v>0</v>
      </c>
      <c r="HD133" s="456"/>
      <c r="HE133" s="456"/>
      <c r="HF133" s="433"/>
      <c r="HG133" s="434">
        <f>SUM(SUMIFS(K133:HB133,$K$13:$HB$13,{"エネルギー管理指定工場等*","県域*"}))</f>
        <v>0</v>
      </c>
      <c r="HH133" s="456"/>
      <c r="HI133" s="456"/>
      <c r="HJ133" s="433"/>
    </row>
    <row r="134" spans="1:242" ht="20.100000000000001" customHeight="1">
      <c r="A134" s="164"/>
      <c r="B134" s="421" t="s">
        <v>1415</v>
      </c>
      <c r="C134" s="422"/>
      <c r="D134" s="422"/>
      <c r="E134" s="422"/>
      <c r="F134" s="422"/>
      <c r="G134" s="422"/>
      <c r="H134" s="453"/>
      <c r="I134" s="425"/>
      <c r="J134" s="426"/>
      <c r="K134" s="427"/>
      <c r="L134" s="454"/>
      <c r="M134" s="454"/>
      <c r="N134" s="428"/>
      <c r="O134" s="427"/>
      <c r="P134" s="454"/>
      <c r="Q134" s="454"/>
      <c r="R134" s="428"/>
      <c r="S134" s="427"/>
      <c r="T134" s="454"/>
      <c r="U134" s="454"/>
      <c r="V134" s="428"/>
      <c r="W134" s="427"/>
      <c r="X134" s="454"/>
      <c r="Y134" s="454"/>
      <c r="Z134" s="428"/>
      <c r="AA134" s="427"/>
      <c r="AB134" s="454"/>
      <c r="AC134" s="454"/>
      <c r="AD134" s="428"/>
      <c r="AE134" s="427"/>
      <c r="AF134" s="454"/>
      <c r="AG134" s="454"/>
      <c r="AH134" s="428"/>
      <c r="AI134" s="427"/>
      <c r="AJ134" s="454"/>
      <c r="AK134" s="454"/>
      <c r="AL134" s="428"/>
      <c r="AM134" s="427"/>
      <c r="AN134" s="454"/>
      <c r="AO134" s="454"/>
      <c r="AP134" s="428"/>
      <c r="AQ134" s="427"/>
      <c r="AR134" s="454"/>
      <c r="AS134" s="454"/>
      <c r="AT134" s="428"/>
      <c r="AU134" s="427"/>
      <c r="AV134" s="454"/>
      <c r="AW134" s="454"/>
      <c r="AX134" s="428"/>
      <c r="AY134" s="427"/>
      <c r="AZ134" s="454"/>
      <c r="BA134" s="454"/>
      <c r="BB134" s="428"/>
      <c r="BC134" s="427"/>
      <c r="BD134" s="454"/>
      <c r="BE134" s="454"/>
      <c r="BF134" s="428"/>
      <c r="BG134" s="427"/>
      <c r="BH134" s="454"/>
      <c r="BI134" s="454"/>
      <c r="BJ134" s="428"/>
      <c r="BK134" s="427"/>
      <c r="BL134" s="454"/>
      <c r="BM134" s="454"/>
      <c r="BN134" s="428"/>
      <c r="BO134" s="427"/>
      <c r="BP134" s="454"/>
      <c r="BQ134" s="454"/>
      <c r="BR134" s="428"/>
      <c r="BS134" s="427"/>
      <c r="BT134" s="454"/>
      <c r="BU134" s="454"/>
      <c r="BV134" s="428"/>
      <c r="BW134" s="427"/>
      <c r="BX134" s="454"/>
      <c r="BY134" s="454"/>
      <c r="BZ134" s="428"/>
      <c r="CA134" s="427"/>
      <c r="CB134" s="454"/>
      <c r="CC134" s="454"/>
      <c r="CD134" s="428"/>
      <c r="CE134" s="427"/>
      <c r="CF134" s="454"/>
      <c r="CG134" s="454"/>
      <c r="CH134" s="428"/>
      <c r="CI134" s="427"/>
      <c r="CJ134" s="454"/>
      <c r="CK134" s="454"/>
      <c r="CL134" s="428"/>
      <c r="CM134" s="427"/>
      <c r="CN134" s="454"/>
      <c r="CO134" s="454"/>
      <c r="CP134" s="428"/>
      <c r="CQ134" s="427"/>
      <c r="CR134" s="454"/>
      <c r="CS134" s="454"/>
      <c r="CT134" s="428"/>
      <c r="CU134" s="427"/>
      <c r="CV134" s="454"/>
      <c r="CW134" s="454"/>
      <c r="CX134" s="428"/>
      <c r="CY134" s="427"/>
      <c r="CZ134" s="454"/>
      <c r="DA134" s="454"/>
      <c r="DB134" s="428"/>
      <c r="DC134" s="427"/>
      <c r="DD134" s="454"/>
      <c r="DE134" s="454"/>
      <c r="DF134" s="428"/>
      <c r="DG134" s="427"/>
      <c r="DH134" s="454"/>
      <c r="DI134" s="454"/>
      <c r="DJ134" s="428"/>
      <c r="DK134" s="427"/>
      <c r="DL134" s="454"/>
      <c r="DM134" s="454"/>
      <c r="DN134" s="428"/>
      <c r="DO134" s="427"/>
      <c r="DP134" s="454"/>
      <c r="DQ134" s="454"/>
      <c r="DR134" s="428"/>
      <c r="DS134" s="427"/>
      <c r="DT134" s="454"/>
      <c r="DU134" s="454"/>
      <c r="DV134" s="428"/>
      <c r="DW134" s="427"/>
      <c r="DX134" s="454"/>
      <c r="DY134" s="454"/>
      <c r="DZ134" s="428"/>
      <c r="EA134" s="427"/>
      <c r="EB134" s="454"/>
      <c r="EC134" s="454"/>
      <c r="ED134" s="428"/>
      <c r="EE134" s="427"/>
      <c r="EF134" s="454"/>
      <c r="EG134" s="454"/>
      <c r="EH134" s="428"/>
      <c r="EI134" s="427"/>
      <c r="EJ134" s="454"/>
      <c r="EK134" s="454"/>
      <c r="EL134" s="428"/>
      <c r="EM134" s="427"/>
      <c r="EN134" s="454"/>
      <c r="EO134" s="454"/>
      <c r="EP134" s="428"/>
      <c r="EQ134" s="427"/>
      <c r="ER134" s="454"/>
      <c r="ES134" s="454"/>
      <c r="ET134" s="428"/>
      <c r="EU134" s="427"/>
      <c r="EV134" s="454"/>
      <c r="EW134" s="454"/>
      <c r="EX134" s="428"/>
      <c r="EY134" s="427"/>
      <c r="EZ134" s="454"/>
      <c r="FA134" s="454"/>
      <c r="FB134" s="428"/>
      <c r="FC134" s="427"/>
      <c r="FD134" s="454"/>
      <c r="FE134" s="454"/>
      <c r="FF134" s="428"/>
      <c r="FG134" s="427"/>
      <c r="FH134" s="454"/>
      <c r="FI134" s="454"/>
      <c r="FJ134" s="428"/>
      <c r="FK134" s="427"/>
      <c r="FL134" s="454"/>
      <c r="FM134" s="454"/>
      <c r="FN134" s="428"/>
      <c r="FO134" s="427"/>
      <c r="FP134" s="454"/>
      <c r="FQ134" s="454"/>
      <c r="FR134" s="428"/>
      <c r="FS134" s="427"/>
      <c r="FT134" s="454"/>
      <c r="FU134" s="454"/>
      <c r="FV134" s="428"/>
      <c r="FW134" s="427"/>
      <c r="FX134" s="454"/>
      <c r="FY134" s="454"/>
      <c r="FZ134" s="428"/>
      <c r="GA134" s="427"/>
      <c r="GB134" s="454"/>
      <c r="GC134" s="454"/>
      <c r="GD134" s="428"/>
      <c r="GE134" s="427"/>
      <c r="GF134" s="454"/>
      <c r="GG134" s="454"/>
      <c r="GH134" s="428"/>
      <c r="GI134" s="427"/>
      <c r="GJ134" s="454"/>
      <c r="GK134" s="454"/>
      <c r="GL134" s="428"/>
      <c r="GM134" s="427"/>
      <c r="GN134" s="454"/>
      <c r="GO134" s="454"/>
      <c r="GP134" s="428"/>
      <c r="GQ134" s="427"/>
      <c r="GR134" s="454"/>
      <c r="GS134" s="454"/>
      <c r="GT134" s="428"/>
      <c r="GU134" s="427"/>
      <c r="GV134" s="454"/>
      <c r="GW134" s="454"/>
      <c r="GX134" s="428"/>
      <c r="GY134" s="427"/>
      <c r="GZ134" s="454"/>
      <c r="HA134" s="454"/>
      <c r="HB134" s="428"/>
      <c r="HC134" s="434">
        <f t="shared" si="83"/>
        <v>0</v>
      </c>
      <c r="HD134" s="456"/>
      <c r="HE134" s="456"/>
      <c r="HF134" s="433"/>
      <c r="HG134" s="434">
        <f>SUM(SUMIFS(K134:HB134,$K$13:$HB$13,{"エネルギー管理指定工場等*","県域*"}))</f>
        <v>0</v>
      </c>
      <c r="HH134" s="456"/>
      <c r="HI134" s="456"/>
      <c r="HJ134" s="433"/>
    </row>
    <row r="135" spans="1:242" ht="20.100000000000001" customHeight="1">
      <c r="A135" s="164"/>
      <c r="B135" s="421" t="s">
        <v>1416</v>
      </c>
      <c r="C135" s="422"/>
      <c r="D135" s="422"/>
      <c r="E135" s="422"/>
      <c r="F135" s="422"/>
      <c r="G135" s="422"/>
      <c r="H135" s="453"/>
      <c r="I135" s="425"/>
      <c r="J135" s="426"/>
      <c r="K135" s="427"/>
      <c r="L135" s="454"/>
      <c r="M135" s="454"/>
      <c r="N135" s="428"/>
      <c r="O135" s="427"/>
      <c r="P135" s="454"/>
      <c r="Q135" s="454"/>
      <c r="R135" s="428"/>
      <c r="S135" s="427"/>
      <c r="T135" s="454"/>
      <c r="U135" s="454"/>
      <c r="V135" s="428"/>
      <c r="W135" s="427"/>
      <c r="X135" s="454"/>
      <c r="Y135" s="454"/>
      <c r="Z135" s="428"/>
      <c r="AA135" s="427"/>
      <c r="AB135" s="454"/>
      <c r="AC135" s="454"/>
      <c r="AD135" s="428"/>
      <c r="AE135" s="427"/>
      <c r="AF135" s="454"/>
      <c r="AG135" s="454"/>
      <c r="AH135" s="428"/>
      <c r="AI135" s="427"/>
      <c r="AJ135" s="454"/>
      <c r="AK135" s="454"/>
      <c r="AL135" s="428"/>
      <c r="AM135" s="427"/>
      <c r="AN135" s="454"/>
      <c r="AO135" s="454"/>
      <c r="AP135" s="428"/>
      <c r="AQ135" s="427"/>
      <c r="AR135" s="454"/>
      <c r="AS135" s="454"/>
      <c r="AT135" s="428"/>
      <c r="AU135" s="427"/>
      <c r="AV135" s="454"/>
      <c r="AW135" s="454"/>
      <c r="AX135" s="428"/>
      <c r="AY135" s="427"/>
      <c r="AZ135" s="454"/>
      <c r="BA135" s="454"/>
      <c r="BB135" s="428"/>
      <c r="BC135" s="427"/>
      <c r="BD135" s="454"/>
      <c r="BE135" s="454"/>
      <c r="BF135" s="428"/>
      <c r="BG135" s="427"/>
      <c r="BH135" s="454"/>
      <c r="BI135" s="454"/>
      <c r="BJ135" s="428"/>
      <c r="BK135" s="427"/>
      <c r="BL135" s="454"/>
      <c r="BM135" s="454"/>
      <c r="BN135" s="428"/>
      <c r="BO135" s="427"/>
      <c r="BP135" s="454"/>
      <c r="BQ135" s="454"/>
      <c r="BR135" s="428"/>
      <c r="BS135" s="427"/>
      <c r="BT135" s="454"/>
      <c r="BU135" s="454"/>
      <c r="BV135" s="428"/>
      <c r="BW135" s="427"/>
      <c r="BX135" s="454"/>
      <c r="BY135" s="454"/>
      <c r="BZ135" s="428"/>
      <c r="CA135" s="427"/>
      <c r="CB135" s="454"/>
      <c r="CC135" s="454"/>
      <c r="CD135" s="428"/>
      <c r="CE135" s="427"/>
      <c r="CF135" s="454"/>
      <c r="CG135" s="454"/>
      <c r="CH135" s="428"/>
      <c r="CI135" s="427"/>
      <c r="CJ135" s="454"/>
      <c r="CK135" s="454"/>
      <c r="CL135" s="428"/>
      <c r="CM135" s="427"/>
      <c r="CN135" s="454"/>
      <c r="CO135" s="454"/>
      <c r="CP135" s="428"/>
      <c r="CQ135" s="427"/>
      <c r="CR135" s="454"/>
      <c r="CS135" s="454"/>
      <c r="CT135" s="428"/>
      <c r="CU135" s="427"/>
      <c r="CV135" s="454"/>
      <c r="CW135" s="454"/>
      <c r="CX135" s="428"/>
      <c r="CY135" s="427"/>
      <c r="CZ135" s="454"/>
      <c r="DA135" s="454"/>
      <c r="DB135" s="428"/>
      <c r="DC135" s="427"/>
      <c r="DD135" s="454"/>
      <c r="DE135" s="454"/>
      <c r="DF135" s="428"/>
      <c r="DG135" s="427"/>
      <c r="DH135" s="454"/>
      <c r="DI135" s="454"/>
      <c r="DJ135" s="428"/>
      <c r="DK135" s="427"/>
      <c r="DL135" s="454"/>
      <c r="DM135" s="454"/>
      <c r="DN135" s="428"/>
      <c r="DO135" s="427"/>
      <c r="DP135" s="454"/>
      <c r="DQ135" s="454"/>
      <c r="DR135" s="428"/>
      <c r="DS135" s="427"/>
      <c r="DT135" s="454"/>
      <c r="DU135" s="454"/>
      <c r="DV135" s="428"/>
      <c r="DW135" s="427"/>
      <c r="DX135" s="454"/>
      <c r="DY135" s="454"/>
      <c r="DZ135" s="428"/>
      <c r="EA135" s="427"/>
      <c r="EB135" s="454"/>
      <c r="EC135" s="454"/>
      <c r="ED135" s="428"/>
      <c r="EE135" s="427"/>
      <c r="EF135" s="454"/>
      <c r="EG135" s="454"/>
      <c r="EH135" s="428"/>
      <c r="EI135" s="427"/>
      <c r="EJ135" s="454"/>
      <c r="EK135" s="454"/>
      <c r="EL135" s="428"/>
      <c r="EM135" s="427"/>
      <c r="EN135" s="454"/>
      <c r="EO135" s="454"/>
      <c r="EP135" s="428"/>
      <c r="EQ135" s="427"/>
      <c r="ER135" s="454"/>
      <c r="ES135" s="454"/>
      <c r="ET135" s="428"/>
      <c r="EU135" s="427"/>
      <c r="EV135" s="454"/>
      <c r="EW135" s="454"/>
      <c r="EX135" s="428"/>
      <c r="EY135" s="427"/>
      <c r="EZ135" s="454"/>
      <c r="FA135" s="454"/>
      <c r="FB135" s="428"/>
      <c r="FC135" s="427"/>
      <c r="FD135" s="454"/>
      <c r="FE135" s="454"/>
      <c r="FF135" s="428"/>
      <c r="FG135" s="427"/>
      <c r="FH135" s="454"/>
      <c r="FI135" s="454"/>
      <c r="FJ135" s="428"/>
      <c r="FK135" s="427"/>
      <c r="FL135" s="454"/>
      <c r="FM135" s="454"/>
      <c r="FN135" s="428"/>
      <c r="FO135" s="427"/>
      <c r="FP135" s="454"/>
      <c r="FQ135" s="454"/>
      <c r="FR135" s="428"/>
      <c r="FS135" s="427"/>
      <c r="FT135" s="454"/>
      <c r="FU135" s="454"/>
      <c r="FV135" s="428"/>
      <c r="FW135" s="427"/>
      <c r="FX135" s="454"/>
      <c r="FY135" s="454"/>
      <c r="FZ135" s="428"/>
      <c r="GA135" s="427"/>
      <c r="GB135" s="454"/>
      <c r="GC135" s="454"/>
      <c r="GD135" s="428"/>
      <c r="GE135" s="427"/>
      <c r="GF135" s="454"/>
      <c r="GG135" s="454"/>
      <c r="GH135" s="428"/>
      <c r="GI135" s="427"/>
      <c r="GJ135" s="454"/>
      <c r="GK135" s="454"/>
      <c r="GL135" s="428"/>
      <c r="GM135" s="427"/>
      <c r="GN135" s="454"/>
      <c r="GO135" s="454"/>
      <c r="GP135" s="428"/>
      <c r="GQ135" s="427"/>
      <c r="GR135" s="454"/>
      <c r="GS135" s="454"/>
      <c r="GT135" s="428"/>
      <c r="GU135" s="427"/>
      <c r="GV135" s="454"/>
      <c r="GW135" s="454"/>
      <c r="GX135" s="428"/>
      <c r="GY135" s="427"/>
      <c r="GZ135" s="454"/>
      <c r="HA135" s="454"/>
      <c r="HB135" s="428"/>
      <c r="HC135" s="434">
        <f t="shared" si="83"/>
        <v>0</v>
      </c>
      <c r="HD135" s="456"/>
      <c r="HE135" s="456"/>
      <c r="HF135" s="433"/>
      <c r="HG135" s="434">
        <f>SUM(SUMIFS(K135:HB135,$K$13:$HB$13,{"エネルギー管理指定工場等*","県域*"}))</f>
        <v>0</v>
      </c>
      <c r="HH135" s="456"/>
      <c r="HI135" s="456"/>
      <c r="HJ135" s="433"/>
    </row>
    <row r="136" spans="1:242" ht="20.100000000000001" customHeight="1">
      <c r="A136" s="164"/>
      <c r="B136" s="421" t="s">
        <v>1417</v>
      </c>
      <c r="C136" s="422"/>
      <c r="D136" s="422"/>
      <c r="E136" s="422"/>
      <c r="F136" s="422"/>
      <c r="G136" s="422"/>
      <c r="H136" s="453"/>
      <c r="I136" s="425"/>
      <c r="J136" s="426"/>
      <c r="K136" s="427"/>
      <c r="L136" s="454"/>
      <c r="M136" s="454"/>
      <c r="N136" s="428"/>
      <c r="O136" s="427"/>
      <c r="P136" s="454"/>
      <c r="Q136" s="454"/>
      <c r="R136" s="428"/>
      <c r="S136" s="427"/>
      <c r="T136" s="454"/>
      <c r="U136" s="454"/>
      <c r="V136" s="428"/>
      <c r="W136" s="427"/>
      <c r="X136" s="454"/>
      <c r="Y136" s="454"/>
      <c r="Z136" s="428"/>
      <c r="AA136" s="427"/>
      <c r="AB136" s="454"/>
      <c r="AC136" s="454"/>
      <c r="AD136" s="428"/>
      <c r="AE136" s="427"/>
      <c r="AF136" s="454"/>
      <c r="AG136" s="454"/>
      <c r="AH136" s="428"/>
      <c r="AI136" s="427"/>
      <c r="AJ136" s="454"/>
      <c r="AK136" s="454"/>
      <c r="AL136" s="428"/>
      <c r="AM136" s="427"/>
      <c r="AN136" s="454"/>
      <c r="AO136" s="454"/>
      <c r="AP136" s="428"/>
      <c r="AQ136" s="427"/>
      <c r="AR136" s="454"/>
      <c r="AS136" s="454"/>
      <c r="AT136" s="428"/>
      <c r="AU136" s="427"/>
      <c r="AV136" s="454"/>
      <c r="AW136" s="454"/>
      <c r="AX136" s="428"/>
      <c r="AY136" s="427"/>
      <c r="AZ136" s="454"/>
      <c r="BA136" s="454"/>
      <c r="BB136" s="428"/>
      <c r="BC136" s="427"/>
      <c r="BD136" s="454"/>
      <c r="BE136" s="454"/>
      <c r="BF136" s="428"/>
      <c r="BG136" s="427"/>
      <c r="BH136" s="454"/>
      <c r="BI136" s="454"/>
      <c r="BJ136" s="428"/>
      <c r="BK136" s="427"/>
      <c r="BL136" s="454"/>
      <c r="BM136" s="454"/>
      <c r="BN136" s="428"/>
      <c r="BO136" s="427"/>
      <c r="BP136" s="454"/>
      <c r="BQ136" s="454"/>
      <c r="BR136" s="428"/>
      <c r="BS136" s="427"/>
      <c r="BT136" s="454"/>
      <c r="BU136" s="454"/>
      <c r="BV136" s="428"/>
      <c r="BW136" s="427"/>
      <c r="BX136" s="454"/>
      <c r="BY136" s="454"/>
      <c r="BZ136" s="428"/>
      <c r="CA136" s="427"/>
      <c r="CB136" s="454"/>
      <c r="CC136" s="454"/>
      <c r="CD136" s="428"/>
      <c r="CE136" s="427"/>
      <c r="CF136" s="454"/>
      <c r="CG136" s="454"/>
      <c r="CH136" s="428"/>
      <c r="CI136" s="427"/>
      <c r="CJ136" s="454"/>
      <c r="CK136" s="454"/>
      <c r="CL136" s="428"/>
      <c r="CM136" s="427"/>
      <c r="CN136" s="454"/>
      <c r="CO136" s="454"/>
      <c r="CP136" s="428"/>
      <c r="CQ136" s="427"/>
      <c r="CR136" s="454"/>
      <c r="CS136" s="454"/>
      <c r="CT136" s="428"/>
      <c r="CU136" s="427"/>
      <c r="CV136" s="454"/>
      <c r="CW136" s="454"/>
      <c r="CX136" s="428"/>
      <c r="CY136" s="427"/>
      <c r="CZ136" s="454"/>
      <c r="DA136" s="454"/>
      <c r="DB136" s="428"/>
      <c r="DC136" s="427"/>
      <c r="DD136" s="454"/>
      <c r="DE136" s="454"/>
      <c r="DF136" s="428"/>
      <c r="DG136" s="427"/>
      <c r="DH136" s="454"/>
      <c r="DI136" s="454"/>
      <c r="DJ136" s="428"/>
      <c r="DK136" s="427"/>
      <c r="DL136" s="454"/>
      <c r="DM136" s="454"/>
      <c r="DN136" s="428"/>
      <c r="DO136" s="427"/>
      <c r="DP136" s="454"/>
      <c r="DQ136" s="454"/>
      <c r="DR136" s="428"/>
      <c r="DS136" s="427"/>
      <c r="DT136" s="454"/>
      <c r="DU136" s="454"/>
      <c r="DV136" s="428"/>
      <c r="DW136" s="427"/>
      <c r="DX136" s="454"/>
      <c r="DY136" s="454"/>
      <c r="DZ136" s="428"/>
      <c r="EA136" s="427"/>
      <c r="EB136" s="454"/>
      <c r="EC136" s="454"/>
      <c r="ED136" s="428"/>
      <c r="EE136" s="427"/>
      <c r="EF136" s="454"/>
      <c r="EG136" s="454"/>
      <c r="EH136" s="428"/>
      <c r="EI136" s="427"/>
      <c r="EJ136" s="454"/>
      <c r="EK136" s="454"/>
      <c r="EL136" s="428"/>
      <c r="EM136" s="427"/>
      <c r="EN136" s="454"/>
      <c r="EO136" s="454"/>
      <c r="EP136" s="428"/>
      <c r="EQ136" s="427"/>
      <c r="ER136" s="454"/>
      <c r="ES136" s="454"/>
      <c r="ET136" s="428"/>
      <c r="EU136" s="427"/>
      <c r="EV136" s="454"/>
      <c r="EW136" s="454"/>
      <c r="EX136" s="428"/>
      <c r="EY136" s="427"/>
      <c r="EZ136" s="454"/>
      <c r="FA136" s="454"/>
      <c r="FB136" s="428"/>
      <c r="FC136" s="427"/>
      <c r="FD136" s="454"/>
      <c r="FE136" s="454"/>
      <c r="FF136" s="428"/>
      <c r="FG136" s="427"/>
      <c r="FH136" s="454"/>
      <c r="FI136" s="454"/>
      <c r="FJ136" s="428"/>
      <c r="FK136" s="427"/>
      <c r="FL136" s="454"/>
      <c r="FM136" s="454"/>
      <c r="FN136" s="428"/>
      <c r="FO136" s="427"/>
      <c r="FP136" s="454"/>
      <c r="FQ136" s="454"/>
      <c r="FR136" s="428"/>
      <c r="FS136" s="427"/>
      <c r="FT136" s="454"/>
      <c r="FU136" s="454"/>
      <c r="FV136" s="428"/>
      <c r="FW136" s="427"/>
      <c r="FX136" s="454"/>
      <c r="FY136" s="454"/>
      <c r="FZ136" s="428"/>
      <c r="GA136" s="427"/>
      <c r="GB136" s="454"/>
      <c r="GC136" s="454"/>
      <c r="GD136" s="428"/>
      <c r="GE136" s="427"/>
      <c r="GF136" s="454"/>
      <c r="GG136" s="454"/>
      <c r="GH136" s="428"/>
      <c r="GI136" s="427"/>
      <c r="GJ136" s="454"/>
      <c r="GK136" s="454"/>
      <c r="GL136" s="428"/>
      <c r="GM136" s="427"/>
      <c r="GN136" s="454"/>
      <c r="GO136" s="454"/>
      <c r="GP136" s="428"/>
      <c r="GQ136" s="427"/>
      <c r="GR136" s="454"/>
      <c r="GS136" s="454"/>
      <c r="GT136" s="428"/>
      <c r="GU136" s="427"/>
      <c r="GV136" s="454"/>
      <c r="GW136" s="454"/>
      <c r="GX136" s="428"/>
      <c r="GY136" s="427"/>
      <c r="GZ136" s="454"/>
      <c r="HA136" s="454"/>
      <c r="HB136" s="428"/>
      <c r="HC136" s="434">
        <f t="shared" si="83"/>
        <v>0</v>
      </c>
      <c r="HD136" s="456"/>
      <c r="HE136" s="456"/>
      <c r="HF136" s="433"/>
      <c r="HG136" s="434">
        <f>SUM(SUMIFS(K136:HB136,$K$13:$HB$13,{"エネルギー管理指定工場等*","県域*"}))</f>
        <v>0</v>
      </c>
      <c r="HH136" s="456"/>
      <c r="HI136" s="456"/>
      <c r="HJ136" s="433"/>
    </row>
    <row r="137" spans="1:242" ht="20.100000000000001" customHeight="1">
      <c r="A137" s="164"/>
      <c r="B137" s="421" t="s">
        <v>1418</v>
      </c>
      <c r="C137" s="422"/>
      <c r="D137" s="422"/>
      <c r="E137" s="422"/>
      <c r="F137" s="422"/>
      <c r="G137" s="422"/>
      <c r="H137" s="453"/>
      <c r="I137" s="425"/>
      <c r="J137" s="426"/>
      <c r="K137" s="427"/>
      <c r="L137" s="454"/>
      <c r="M137" s="454"/>
      <c r="N137" s="428"/>
      <c r="O137" s="427"/>
      <c r="P137" s="454"/>
      <c r="Q137" s="454"/>
      <c r="R137" s="428"/>
      <c r="S137" s="427"/>
      <c r="T137" s="454"/>
      <c r="U137" s="454"/>
      <c r="V137" s="428"/>
      <c r="W137" s="427"/>
      <c r="X137" s="454"/>
      <c r="Y137" s="454"/>
      <c r="Z137" s="428"/>
      <c r="AA137" s="427"/>
      <c r="AB137" s="454"/>
      <c r="AC137" s="454"/>
      <c r="AD137" s="428"/>
      <c r="AE137" s="427"/>
      <c r="AF137" s="454"/>
      <c r="AG137" s="454"/>
      <c r="AH137" s="428"/>
      <c r="AI137" s="427"/>
      <c r="AJ137" s="454"/>
      <c r="AK137" s="454"/>
      <c r="AL137" s="428"/>
      <c r="AM137" s="427"/>
      <c r="AN137" s="454"/>
      <c r="AO137" s="454"/>
      <c r="AP137" s="428"/>
      <c r="AQ137" s="427"/>
      <c r="AR137" s="454"/>
      <c r="AS137" s="454"/>
      <c r="AT137" s="428"/>
      <c r="AU137" s="427"/>
      <c r="AV137" s="454"/>
      <c r="AW137" s="454"/>
      <c r="AX137" s="428"/>
      <c r="AY137" s="427"/>
      <c r="AZ137" s="454"/>
      <c r="BA137" s="454"/>
      <c r="BB137" s="428"/>
      <c r="BC137" s="427"/>
      <c r="BD137" s="454"/>
      <c r="BE137" s="454"/>
      <c r="BF137" s="428"/>
      <c r="BG137" s="427"/>
      <c r="BH137" s="454"/>
      <c r="BI137" s="454"/>
      <c r="BJ137" s="428"/>
      <c r="BK137" s="427"/>
      <c r="BL137" s="454"/>
      <c r="BM137" s="454"/>
      <c r="BN137" s="428"/>
      <c r="BO137" s="427"/>
      <c r="BP137" s="454"/>
      <c r="BQ137" s="454"/>
      <c r="BR137" s="428"/>
      <c r="BS137" s="427"/>
      <c r="BT137" s="454"/>
      <c r="BU137" s="454"/>
      <c r="BV137" s="428"/>
      <c r="BW137" s="427"/>
      <c r="BX137" s="454"/>
      <c r="BY137" s="454"/>
      <c r="BZ137" s="428"/>
      <c r="CA137" s="427"/>
      <c r="CB137" s="454"/>
      <c r="CC137" s="454"/>
      <c r="CD137" s="428"/>
      <c r="CE137" s="427"/>
      <c r="CF137" s="454"/>
      <c r="CG137" s="454"/>
      <c r="CH137" s="428"/>
      <c r="CI137" s="427"/>
      <c r="CJ137" s="454"/>
      <c r="CK137" s="454"/>
      <c r="CL137" s="428"/>
      <c r="CM137" s="427"/>
      <c r="CN137" s="454"/>
      <c r="CO137" s="454"/>
      <c r="CP137" s="428"/>
      <c r="CQ137" s="427"/>
      <c r="CR137" s="454"/>
      <c r="CS137" s="454"/>
      <c r="CT137" s="428"/>
      <c r="CU137" s="427"/>
      <c r="CV137" s="454"/>
      <c r="CW137" s="454"/>
      <c r="CX137" s="428"/>
      <c r="CY137" s="427"/>
      <c r="CZ137" s="454"/>
      <c r="DA137" s="454"/>
      <c r="DB137" s="428"/>
      <c r="DC137" s="427"/>
      <c r="DD137" s="454"/>
      <c r="DE137" s="454"/>
      <c r="DF137" s="428"/>
      <c r="DG137" s="427"/>
      <c r="DH137" s="454"/>
      <c r="DI137" s="454"/>
      <c r="DJ137" s="428"/>
      <c r="DK137" s="427"/>
      <c r="DL137" s="454"/>
      <c r="DM137" s="454"/>
      <c r="DN137" s="428"/>
      <c r="DO137" s="427"/>
      <c r="DP137" s="454"/>
      <c r="DQ137" s="454"/>
      <c r="DR137" s="428"/>
      <c r="DS137" s="427"/>
      <c r="DT137" s="454"/>
      <c r="DU137" s="454"/>
      <c r="DV137" s="428"/>
      <c r="DW137" s="427"/>
      <c r="DX137" s="454"/>
      <c r="DY137" s="454"/>
      <c r="DZ137" s="428"/>
      <c r="EA137" s="427"/>
      <c r="EB137" s="454"/>
      <c r="EC137" s="454"/>
      <c r="ED137" s="428"/>
      <c r="EE137" s="427"/>
      <c r="EF137" s="454"/>
      <c r="EG137" s="454"/>
      <c r="EH137" s="428"/>
      <c r="EI137" s="427"/>
      <c r="EJ137" s="454"/>
      <c r="EK137" s="454"/>
      <c r="EL137" s="428"/>
      <c r="EM137" s="427"/>
      <c r="EN137" s="454"/>
      <c r="EO137" s="454"/>
      <c r="EP137" s="428"/>
      <c r="EQ137" s="427"/>
      <c r="ER137" s="454"/>
      <c r="ES137" s="454"/>
      <c r="ET137" s="428"/>
      <c r="EU137" s="427"/>
      <c r="EV137" s="454"/>
      <c r="EW137" s="454"/>
      <c r="EX137" s="428"/>
      <c r="EY137" s="427"/>
      <c r="EZ137" s="454"/>
      <c r="FA137" s="454"/>
      <c r="FB137" s="428"/>
      <c r="FC137" s="427"/>
      <c r="FD137" s="454"/>
      <c r="FE137" s="454"/>
      <c r="FF137" s="428"/>
      <c r="FG137" s="427"/>
      <c r="FH137" s="454"/>
      <c r="FI137" s="454"/>
      <c r="FJ137" s="428"/>
      <c r="FK137" s="427"/>
      <c r="FL137" s="454"/>
      <c r="FM137" s="454"/>
      <c r="FN137" s="428"/>
      <c r="FO137" s="427"/>
      <c r="FP137" s="454"/>
      <c r="FQ137" s="454"/>
      <c r="FR137" s="428"/>
      <c r="FS137" s="427"/>
      <c r="FT137" s="454"/>
      <c r="FU137" s="454"/>
      <c r="FV137" s="428"/>
      <c r="FW137" s="427"/>
      <c r="FX137" s="454"/>
      <c r="FY137" s="454"/>
      <c r="FZ137" s="428"/>
      <c r="GA137" s="427"/>
      <c r="GB137" s="454"/>
      <c r="GC137" s="454"/>
      <c r="GD137" s="428"/>
      <c r="GE137" s="427"/>
      <c r="GF137" s="454"/>
      <c r="GG137" s="454"/>
      <c r="GH137" s="428"/>
      <c r="GI137" s="427"/>
      <c r="GJ137" s="454"/>
      <c r="GK137" s="454"/>
      <c r="GL137" s="428"/>
      <c r="GM137" s="427"/>
      <c r="GN137" s="454"/>
      <c r="GO137" s="454"/>
      <c r="GP137" s="428"/>
      <c r="GQ137" s="427"/>
      <c r="GR137" s="454"/>
      <c r="GS137" s="454"/>
      <c r="GT137" s="428"/>
      <c r="GU137" s="427"/>
      <c r="GV137" s="454"/>
      <c r="GW137" s="454"/>
      <c r="GX137" s="428"/>
      <c r="GY137" s="427"/>
      <c r="GZ137" s="454"/>
      <c r="HA137" s="454"/>
      <c r="HB137" s="428"/>
      <c r="HC137" s="434">
        <f t="shared" si="83"/>
        <v>0</v>
      </c>
      <c r="HD137" s="456"/>
      <c r="HE137" s="456"/>
      <c r="HF137" s="433"/>
      <c r="HG137" s="434">
        <f>SUM(SUMIFS(K137:HB137,$K$13:$HB$13,{"エネルギー管理指定工場等*","県域*"}))</f>
        <v>0</v>
      </c>
      <c r="HH137" s="456"/>
      <c r="HI137" s="456"/>
      <c r="HJ137" s="433"/>
    </row>
    <row r="138" spans="1:242" ht="20.100000000000001" customHeight="1">
      <c r="A138" s="164"/>
      <c r="B138" s="421" t="s">
        <v>1419</v>
      </c>
      <c r="C138" s="422"/>
      <c r="D138" s="422"/>
      <c r="E138" s="422"/>
      <c r="F138" s="422"/>
      <c r="G138" s="422"/>
      <c r="H138" s="453"/>
      <c r="I138" s="425"/>
      <c r="J138" s="426"/>
      <c r="K138" s="427"/>
      <c r="L138" s="454"/>
      <c r="M138" s="454"/>
      <c r="N138" s="428"/>
      <c r="O138" s="427"/>
      <c r="P138" s="454"/>
      <c r="Q138" s="454"/>
      <c r="R138" s="428"/>
      <c r="S138" s="427"/>
      <c r="T138" s="454"/>
      <c r="U138" s="454"/>
      <c r="V138" s="428"/>
      <c r="W138" s="427"/>
      <c r="X138" s="454"/>
      <c r="Y138" s="454"/>
      <c r="Z138" s="428"/>
      <c r="AA138" s="427"/>
      <c r="AB138" s="454"/>
      <c r="AC138" s="454"/>
      <c r="AD138" s="428"/>
      <c r="AE138" s="427"/>
      <c r="AF138" s="454"/>
      <c r="AG138" s="454"/>
      <c r="AH138" s="428"/>
      <c r="AI138" s="427"/>
      <c r="AJ138" s="454"/>
      <c r="AK138" s="454"/>
      <c r="AL138" s="428"/>
      <c r="AM138" s="427"/>
      <c r="AN138" s="454"/>
      <c r="AO138" s="454"/>
      <c r="AP138" s="428"/>
      <c r="AQ138" s="427"/>
      <c r="AR138" s="454"/>
      <c r="AS138" s="454"/>
      <c r="AT138" s="428"/>
      <c r="AU138" s="427"/>
      <c r="AV138" s="454"/>
      <c r="AW138" s="454"/>
      <c r="AX138" s="428"/>
      <c r="AY138" s="427"/>
      <c r="AZ138" s="454"/>
      <c r="BA138" s="454"/>
      <c r="BB138" s="428"/>
      <c r="BC138" s="427"/>
      <c r="BD138" s="454"/>
      <c r="BE138" s="454"/>
      <c r="BF138" s="428"/>
      <c r="BG138" s="427"/>
      <c r="BH138" s="454"/>
      <c r="BI138" s="454"/>
      <c r="BJ138" s="428"/>
      <c r="BK138" s="427"/>
      <c r="BL138" s="454"/>
      <c r="BM138" s="454"/>
      <c r="BN138" s="428"/>
      <c r="BO138" s="427"/>
      <c r="BP138" s="454"/>
      <c r="BQ138" s="454"/>
      <c r="BR138" s="428"/>
      <c r="BS138" s="427"/>
      <c r="BT138" s="454"/>
      <c r="BU138" s="454"/>
      <c r="BV138" s="428"/>
      <c r="BW138" s="427"/>
      <c r="BX138" s="454"/>
      <c r="BY138" s="454"/>
      <c r="BZ138" s="428"/>
      <c r="CA138" s="427"/>
      <c r="CB138" s="454"/>
      <c r="CC138" s="454"/>
      <c r="CD138" s="428"/>
      <c r="CE138" s="427"/>
      <c r="CF138" s="454"/>
      <c r="CG138" s="454"/>
      <c r="CH138" s="428"/>
      <c r="CI138" s="427"/>
      <c r="CJ138" s="454"/>
      <c r="CK138" s="454"/>
      <c r="CL138" s="428"/>
      <c r="CM138" s="427"/>
      <c r="CN138" s="454"/>
      <c r="CO138" s="454"/>
      <c r="CP138" s="428"/>
      <c r="CQ138" s="427"/>
      <c r="CR138" s="454"/>
      <c r="CS138" s="454"/>
      <c r="CT138" s="428"/>
      <c r="CU138" s="427"/>
      <c r="CV138" s="454"/>
      <c r="CW138" s="454"/>
      <c r="CX138" s="428"/>
      <c r="CY138" s="427"/>
      <c r="CZ138" s="454"/>
      <c r="DA138" s="454"/>
      <c r="DB138" s="428"/>
      <c r="DC138" s="427"/>
      <c r="DD138" s="454"/>
      <c r="DE138" s="454"/>
      <c r="DF138" s="428"/>
      <c r="DG138" s="427"/>
      <c r="DH138" s="454"/>
      <c r="DI138" s="454"/>
      <c r="DJ138" s="428"/>
      <c r="DK138" s="427"/>
      <c r="DL138" s="454"/>
      <c r="DM138" s="454"/>
      <c r="DN138" s="428"/>
      <c r="DO138" s="427"/>
      <c r="DP138" s="454"/>
      <c r="DQ138" s="454"/>
      <c r="DR138" s="428"/>
      <c r="DS138" s="427"/>
      <c r="DT138" s="454"/>
      <c r="DU138" s="454"/>
      <c r="DV138" s="428"/>
      <c r="DW138" s="427"/>
      <c r="DX138" s="454"/>
      <c r="DY138" s="454"/>
      <c r="DZ138" s="428"/>
      <c r="EA138" s="427"/>
      <c r="EB138" s="454"/>
      <c r="EC138" s="454"/>
      <c r="ED138" s="428"/>
      <c r="EE138" s="427"/>
      <c r="EF138" s="454"/>
      <c r="EG138" s="454"/>
      <c r="EH138" s="428"/>
      <c r="EI138" s="427"/>
      <c r="EJ138" s="454"/>
      <c r="EK138" s="454"/>
      <c r="EL138" s="428"/>
      <c r="EM138" s="427"/>
      <c r="EN138" s="454"/>
      <c r="EO138" s="454"/>
      <c r="EP138" s="428"/>
      <c r="EQ138" s="427"/>
      <c r="ER138" s="454"/>
      <c r="ES138" s="454"/>
      <c r="ET138" s="428"/>
      <c r="EU138" s="427"/>
      <c r="EV138" s="454"/>
      <c r="EW138" s="454"/>
      <c r="EX138" s="428"/>
      <c r="EY138" s="427"/>
      <c r="EZ138" s="454"/>
      <c r="FA138" s="454"/>
      <c r="FB138" s="428"/>
      <c r="FC138" s="427"/>
      <c r="FD138" s="454"/>
      <c r="FE138" s="454"/>
      <c r="FF138" s="428"/>
      <c r="FG138" s="427"/>
      <c r="FH138" s="454"/>
      <c r="FI138" s="454"/>
      <c r="FJ138" s="428"/>
      <c r="FK138" s="427"/>
      <c r="FL138" s="454"/>
      <c r="FM138" s="454"/>
      <c r="FN138" s="428"/>
      <c r="FO138" s="427"/>
      <c r="FP138" s="454"/>
      <c r="FQ138" s="454"/>
      <c r="FR138" s="428"/>
      <c r="FS138" s="427"/>
      <c r="FT138" s="454"/>
      <c r="FU138" s="454"/>
      <c r="FV138" s="428"/>
      <c r="FW138" s="427"/>
      <c r="FX138" s="454"/>
      <c r="FY138" s="454"/>
      <c r="FZ138" s="428"/>
      <c r="GA138" s="427"/>
      <c r="GB138" s="454"/>
      <c r="GC138" s="454"/>
      <c r="GD138" s="428"/>
      <c r="GE138" s="427"/>
      <c r="GF138" s="454"/>
      <c r="GG138" s="454"/>
      <c r="GH138" s="428"/>
      <c r="GI138" s="427"/>
      <c r="GJ138" s="454"/>
      <c r="GK138" s="454"/>
      <c r="GL138" s="428"/>
      <c r="GM138" s="427"/>
      <c r="GN138" s="454"/>
      <c r="GO138" s="454"/>
      <c r="GP138" s="428"/>
      <c r="GQ138" s="427"/>
      <c r="GR138" s="454"/>
      <c r="GS138" s="454"/>
      <c r="GT138" s="428"/>
      <c r="GU138" s="427"/>
      <c r="GV138" s="454"/>
      <c r="GW138" s="454"/>
      <c r="GX138" s="428"/>
      <c r="GY138" s="427"/>
      <c r="GZ138" s="454"/>
      <c r="HA138" s="454"/>
      <c r="HB138" s="428"/>
      <c r="HC138" s="434">
        <f t="shared" si="83"/>
        <v>0</v>
      </c>
      <c r="HD138" s="456"/>
      <c r="HE138" s="456"/>
      <c r="HF138" s="433"/>
      <c r="HG138" s="434">
        <f>SUM(SUMIFS(K138:HB138,$K$13:$HB$13,{"エネルギー管理指定工場等*","県域*"}))</f>
        <v>0</v>
      </c>
      <c r="HH138" s="456"/>
      <c r="HI138" s="456"/>
      <c r="HJ138" s="433"/>
    </row>
    <row r="139" spans="1:242" ht="20.100000000000001" customHeight="1">
      <c r="A139" s="164"/>
      <c r="B139" s="421" t="s">
        <v>1420</v>
      </c>
      <c r="C139" s="422"/>
      <c r="D139" s="422"/>
      <c r="E139" s="422"/>
      <c r="F139" s="422"/>
      <c r="G139" s="422"/>
      <c r="H139" s="453"/>
      <c r="I139" s="425"/>
      <c r="J139" s="426"/>
      <c r="K139" s="427"/>
      <c r="L139" s="454"/>
      <c r="M139" s="454"/>
      <c r="N139" s="428"/>
      <c r="O139" s="427"/>
      <c r="P139" s="454"/>
      <c r="Q139" s="454"/>
      <c r="R139" s="428"/>
      <c r="S139" s="427"/>
      <c r="T139" s="454"/>
      <c r="U139" s="454"/>
      <c r="V139" s="428"/>
      <c r="W139" s="427"/>
      <c r="X139" s="454"/>
      <c r="Y139" s="454"/>
      <c r="Z139" s="428"/>
      <c r="AA139" s="427"/>
      <c r="AB139" s="454"/>
      <c r="AC139" s="454"/>
      <c r="AD139" s="428"/>
      <c r="AE139" s="427"/>
      <c r="AF139" s="454"/>
      <c r="AG139" s="454"/>
      <c r="AH139" s="428"/>
      <c r="AI139" s="427"/>
      <c r="AJ139" s="454"/>
      <c r="AK139" s="454"/>
      <c r="AL139" s="428"/>
      <c r="AM139" s="427"/>
      <c r="AN139" s="454"/>
      <c r="AO139" s="454"/>
      <c r="AP139" s="428"/>
      <c r="AQ139" s="427"/>
      <c r="AR139" s="454"/>
      <c r="AS139" s="454"/>
      <c r="AT139" s="428"/>
      <c r="AU139" s="427"/>
      <c r="AV139" s="454"/>
      <c r="AW139" s="454"/>
      <c r="AX139" s="428"/>
      <c r="AY139" s="427"/>
      <c r="AZ139" s="454"/>
      <c r="BA139" s="454"/>
      <c r="BB139" s="428"/>
      <c r="BC139" s="427"/>
      <c r="BD139" s="454"/>
      <c r="BE139" s="454"/>
      <c r="BF139" s="428"/>
      <c r="BG139" s="427"/>
      <c r="BH139" s="454"/>
      <c r="BI139" s="454"/>
      <c r="BJ139" s="428"/>
      <c r="BK139" s="427"/>
      <c r="BL139" s="454"/>
      <c r="BM139" s="454"/>
      <c r="BN139" s="428"/>
      <c r="BO139" s="427"/>
      <c r="BP139" s="454"/>
      <c r="BQ139" s="454"/>
      <c r="BR139" s="428"/>
      <c r="BS139" s="427"/>
      <c r="BT139" s="454"/>
      <c r="BU139" s="454"/>
      <c r="BV139" s="428"/>
      <c r="BW139" s="427"/>
      <c r="BX139" s="454"/>
      <c r="BY139" s="454"/>
      <c r="BZ139" s="428"/>
      <c r="CA139" s="427"/>
      <c r="CB139" s="454"/>
      <c r="CC139" s="454"/>
      <c r="CD139" s="428"/>
      <c r="CE139" s="427"/>
      <c r="CF139" s="454"/>
      <c r="CG139" s="454"/>
      <c r="CH139" s="428"/>
      <c r="CI139" s="427"/>
      <c r="CJ139" s="454"/>
      <c r="CK139" s="454"/>
      <c r="CL139" s="428"/>
      <c r="CM139" s="427"/>
      <c r="CN139" s="454"/>
      <c r="CO139" s="454"/>
      <c r="CP139" s="428"/>
      <c r="CQ139" s="427"/>
      <c r="CR139" s="454"/>
      <c r="CS139" s="454"/>
      <c r="CT139" s="428"/>
      <c r="CU139" s="427"/>
      <c r="CV139" s="454"/>
      <c r="CW139" s="454"/>
      <c r="CX139" s="428"/>
      <c r="CY139" s="427"/>
      <c r="CZ139" s="454"/>
      <c r="DA139" s="454"/>
      <c r="DB139" s="428"/>
      <c r="DC139" s="427"/>
      <c r="DD139" s="454"/>
      <c r="DE139" s="454"/>
      <c r="DF139" s="428"/>
      <c r="DG139" s="427"/>
      <c r="DH139" s="454"/>
      <c r="DI139" s="454"/>
      <c r="DJ139" s="428"/>
      <c r="DK139" s="427"/>
      <c r="DL139" s="454"/>
      <c r="DM139" s="454"/>
      <c r="DN139" s="428"/>
      <c r="DO139" s="427"/>
      <c r="DP139" s="454"/>
      <c r="DQ139" s="454"/>
      <c r="DR139" s="428"/>
      <c r="DS139" s="427"/>
      <c r="DT139" s="454"/>
      <c r="DU139" s="454"/>
      <c r="DV139" s="428"/>
      <c r="DW139" s="427"/>
      <c r="DX139" s="454"/>
      <c r="DY139" s="454"/>
      <c r="DZ139" s="428"/>
      <c r="EA139" s="427"/>
      <c r="EB139" s="454"/>
      <c r="EC139" s="454"/>
      <c r="ED139" s="428"/>
      <c r="EE139" s="427"/>
      <c r="EF139" s="454"/>
      <c r="EG139" s="454"/>
      <c r="EH139" s="428"/>
      <c r="EI139" s="427"/>
      <c r="EJ139" s="454"/>
      <c r="EK139" s="454"/>
      <c r="EL139" s="428"/>
      <c r="EM139" s="427"/>
      <c r="EN139" s="454"/>
      <c r="EO139" s="454"/>
      <c r="EP139" s="428"/>
      <c r="EQ139" s="427"/>
      <c r="ER139" s="454"/>
      <c r="ES139" s="454"/>
      <c r="ET139" s="428"/>
      <c r="EU139" s="427"/>
      <c r="EV139" s="454"/>
      <c r="EW139" s="454"/>
      <c r="EX139" s="428"/>
      <c r="EY139" s="427"/>
      <c r="EZ139" s="454"/>
      <c r="FA139" s="454"/>
      <c r="FB139" s="428"/>
      <c r="FC139" s="427"/>
      <c r="FD139" s="454"/>
      <c r="FE139" s="454"/>
      <c r="FF139" s="428"/>
      <c r="FG139" s="427"/>
      <c r="FH139" s="454"/>
      <c r="FI139" s="454"/>
      <c r="FJ139" s="428"/>
      <c r="FK139" s="427"/>
      <c r="FL139" s="454"/>
      <c r="FM139" s="454"/>
      <c r="FN139" s="428"/>
      <c r="FO139" s="427"/>
      <c r="FP139" s="454"/>
      <c r="FQ139" s="454"/>
      <c r="FR139" s="428"/>
      <c r="FS139" s="427"/>
      <c r="FT139" s="454"/>
      <c r="FU139" s="454"/>
      <c r="FV139" s="428"/>
      <c r="FW139" s="427"/>
      <c r="FX139" s="454"/>
      <c r="FY139" s="454"/>
      <c r="FZ139" s="428"/>
      <c r="GA139" s="427"/>
      <c r="GB139" s="454"/>
      <c r="GC139" s="454"/>
      <c r="GD139" s="428"/>
      <c r="GE139" s="427"/>
      <c r="GF139" s="454"/>
      <c r="GG139" s="454"/>
      <c r="GH139" s="428"/>
      <c r="GI139" s="427"/>
      <c r="GJ139" s="454"/>
      <c r="GK139" s="454"/>
      <c r="GL139" s="428"/>
      <c r="GM139" s="427"/>
      <c r="GN139" s="454"/>
      <c r="GO139" s="454"/>
      <c r="GP139" s="428"/>
      <c r="GQ139" s="427"/>
      <c r="GR139" s="454"/>
      <c r="GS139" s="454"/>
      <c r="GT139" s="428"/>
      <c r="GU139" s="427"/>
      <c r="GV139" s="454"/>
      <c r="GW139" s="454"/>
      <c r="GX139" s="428"/>
      <c r="GY139" s="427"/>
      <c r="GZ139" s="454"/>
      <c r="HA139" s="454"/>
      <c r="HB139" s="428"/>
      <c r="HC139" s="434">
        <f t="shared" si="83"/>
        <v>0</v>
      </c>
      <c r="HD139" s="456"/>
      <c r="HE139" s="456"/>
      <c r="HF139" s="433"/>
      <c r="HG139" s="434">
        <f>SUM(SUMIFS(K139:HB139,$K$13:$HB$13,{"エネルギー管理指定工場等*","県域*"}))</f>
        <v>0</v>
      </c>
      <c r="HH139" s="456"/>
      <c r="HI139" s="456"/>
      <c r="HJ139" s="433"/>
    </row>
    <row r="140" spans="1:242" ht="20.100000000000001" customHeight="1">
      <c r="A140" s="164"/>
      <c r="B140" s="443" t="s">
        <v>1421</v>
      </c>
      <c r="C140" s="444"/>
      <c r="D140" s="444"/>
      <c r="E140" s="444"/>
      <c r="F140" s="444"/>
      <c r="G140" s="444"/>
      <c r="H140" s="467"/>
      <c r="I140" s="425"/>
      <c r="J140" s="426"/>
      <c r="K140" s="468"/>
      <c r="L140" s="469"/>
      <c r="M140" s="469"/>
      <c r="N140" s="482"/>
      <c r="O140" s="468"/>
      <c r="P140" s="469"/>
      <c r="Q140" s="469"/>
      <c r="R140" s="482"/>
      <c r="S140" s="468"/>
      <c r="T140" s="469"/>
      <c r="U140" s="469"/>
      <c r="V140" s="482"/>
      <c r="W140" s="468"/>
      <c r="X140" s="469"/>
      <c r="Y140" s="469"/>
      <c r="Z140" s="482"/>
      <c r="AA140" s="468"/>
      <c r="AB140" s="469"/>
      <c r="AC140" s="469"/>
      <c r="AD140" s="482"/>
      <c r="AE140" s="468"/>
      <c r="AF140" s="469"/>
      <c r="AG140" s="469"/>
      <c r="AH140" s="482"/>
      <c r="AI140" s="468"/>
      <c r="AJ140" s="469"/>
      <c r="AK140" s="469"/>
      <c r="AL140" s="482"/>
      <c r="AM140" s="468"/>
      <c r="AN140" s="469"/>
      <c r="AO140" s="469"/>
      <c r="AP140" s="482"/>
      <c r="AQ140" s="468"/>
      <c r="AR140" s="469"/>
      <c r="AS140" s="469"/>
      <c r="AT140" s="482"/>
      <c r="AU140" s="468"/>
      <c r="AV140" s="469"/>
      <c r="AW140" s="469"/>
      <c r="AX140" s="482"/>
      <c r="AY140" s="468"/>
      <c r="AZ140" s="469"/>
      <c r="BA140" s="469"/>
      <c r="BB140" s="482"/>
      <c r="BC140" s="468"/>
      <c r="BD140" s="469"/>
      <c r="BE140" s="469"/>
      <c r="BF140" s="482"/>
      <c r="BG140" s="468"/>
      <c r="BH140" s="469"/>
      <c r="BI140" s="469"/>
      <c r="BJ140" s="482"/>
      <c r="BK140" s="468"/>
      <c r="BL140" s="469"/>
      <c r="BM140" s="469"/>
      <c r="BN140" s="482"/>
      <c r="BO140" s="468"/>
      <c r="BP140" s="469"/>
      <c r="BQ140" s="469"/>
      <c r="BR140" s="482"/>
      <c r="BS140" s="468"/>
      <c r="BT140" s="469"/>
      <c r="BU140" s="469"/>
      <c r="BV140" s="482"/>
      <c r="BW140" s="468"/>
      <c r="BX140" s="469"/>
      <c r="BY140" s="469"/>
      <c r="BZ140" s="482"/>
      <c r="CA140" s="468"/>
      <c r="CB140" s="469"/>
      <c r="CC140" s="469"/>
      <c r="CD140" s="482"/>
      <c r="CE140" s="468"/>
      <c r="CF140" s="469"/>
      <c r="CG140" s="469"/>
      <c r="CH140" s="482"/>
      <c r="CI140" s="468"/>
      <c r="CJ140" s="469"/>
      <c r="CK140" s="469"/>
      <c r="CL140" s="482"/>
      <c r="CM140" s="468"/>
      <c r="CN140" s="469"/>
      <c r="CO140" s="469"/>
      <c r="CP140" s="482"/>
      <c r="CQ140" s="468"/>
      <c r="CR140" s="469"/>
      <c r="CS140" s="469"/>
      <c r="CT140" s="482"/>
      <c r="CU140" s="468"/>
      <c r="CV140" s="469"/>
      <c r="CW140" s="469"/>
      <c r="CX140" s="482"/>
      <c r="CY140" s="468"/>
      <c r="CZ140" s="469"/>
      <c r="DA140" s="469"/>
      <c r="DB140" s="482"/>
      <c r="DC140" s="468"/>
      <c r="DD140" s="469"/>
      <c r="DE140" s="469"/>
      <c r="DF140" s="482"/>
      <c r="DG140" s="468"/>
      <c r="DH140" s="469"/>
      <c r="DI140" s="469"/>
      <c r="DJ140" s="482"/>
      <c r="DK140" s="468"/>
      <c r="DL140" s="469"/>
      <c r="DM140" s="469"/>
      <c r="DN140" s="482"/>
      <c r="DO140" s="468"/>
      <c r="DP140" s="469"/>
      <c r="DQ140" s="469"/>
      <c r="DR140" s="482"/>
      <c r="DS140" s="468"/>
      <c r="DT140" s="469"/>
      <c r="DU140" s="469"/>
      <c r="DV140" s="482"/>
      <c r="DW140" s="468"/>
      <c r="DX140" s="469"/>
      <c r="DY140" s="469"/>
      <c r="DZ140" s="482"/>
      <c r="EA140" s="468"/>
      <c r="EB140" s="469"/>
      <c r="EC140" s="469"/>
      <c r="ED140" s="482"/>
      <c r="EE140" s="468"/>
      <c r="EF140" s="469"/>
      <c r="EG140" s="469"/>
      <c r="EH140" s="482"/>
      <c r="EI140" s="468"/>
      <c r="EJ140" s="469"/>
      <c r="EK140" s="469"/>
      <c r="EL140" s="482"/>
      <c r="EM140" s="468"/>
      <c r="EN140" s="469"/>
      <c r="EO140" s="469"/>
      <c r="EP140" s="482"/>
      <c r="EQ140" s="468"/>
      <c r="ER140" s="469"/>
      <c r="ES140" s="469"/>
      <c r="ET140" s="482"/>
      <c r="EU140" s="468"/>
      <c r="EV140" s="469"/>
      <c r="EW140" s="469"/>
      <c r="EX140" s="482"/>
      <c r="EY140" s="468"/>
      <c r="EZ140" s="469"/>
      <c r="FA140" s="469"/>
      <c r="FB140" s="482"/>
      <c r="FC140" s="468"/>
      <c r="FD140" s="469"/>
      <c r="FE140" s="469"/>
      <c r="FF140" s="482"/>
      <c r="FG140" s="468"/>
      <c r="FH140" s="469"/>
      <c r="FI140" s="469"/>
      <c r="FJ140" s="482"/>
      <c r="FK140" s="468"/>
      <c r="FL140" s="469"/>
      <c r="FM140" s="469"/>
      <c r="FN140" s="482"/>
      <c r="FO140" s="468"/>
      <c r="FP140" s="469"/>
      <c r="FQ140" s="469"/>
      <c r="FR140" s="482"/>
      <c r="FS140" s="468"/>
      <c r="FT140" s="469"/>
      <c r="FU140" s="469"/>
      <c r="FV140" s="482"/>
      <c r="FW140" s="468"/>
      <c r="FX140" s="469"/>
      <c r="FY140" s="469"/>
      <c r="FZ140" s="482"/>
      <c r="GA140" s="468"/>
      <c r="GB140" s="469"/>
      <c r="GC140" s="469"/>
      <c r="GD140" s="482"/>
      <c r="GE140" s="468"/>
      <c r="GF140" s="469"/>
      <c r="GG140" s="469"/>
      <c r="GH140" s="482"/>
      <c r="GI140" s="468"/>
      <c r="GJ140" s="469"/>
      <c r="GK140" s="469"/>
      <c r="GL140" s="482"/>
      <c r="GM140" s="468"/>
      <c r="GN140" s="469"/>
      <c r="GO140" s="469"/>
      <c r="GP140" s="482"/>
      <c r="GQ140" s="468"/>
      <c r="GR140" s="469"/>
      <c r="GS140" s="469"/>
      <c r="GT140" s="482"/>
      <c r="GU140" s="468"/>
      <c r="GV140" s="469"/>
      <c r="GW140" s="469"/>
      <c r="GX140" s="482"/>
      <c r="GY140" s="468"/>
      <c r="GZ140" s="469"/>
      <c r="HA140" s="469"/>
      <c r="HB140" s="482"/>
      <c r="HC140" s="446">
        <f t="shared" si="83"/>
        <v>0</v>
      </c>
      <c r="HD140" s="471"/>
      <c r="HE140" s="471"/>
      <c r="HF140" s="448"/>
      <c r="HG140" s="446">
        <f>SUM(SUMIFS(K140:HB140,$K$13:$HB$13,{"エネルギー管理指定工場等*","県域*"}))</f>
        <v>0</v>
      </c>
      <c r="HH140" s="471"/>
      <c r="HI140" s="471"/>
      <c r="HJ140" s="448"/>
    </row>
    <row r="141" spans="1:242" ht="20.100000000000001" customHeight="1">
      <c r="A141" s="164"/>
      <c r="B141" s="410" t="s">
        <v>1422</v>
      </c>
      <c r="C141" s="411"/>
      <c r="D141" s="411"/>
      <c r="E141" s="411"/>
      <c r="F141" s="411"/>
      <c r="G141" s="411"/>
      <c r="H141" s="436"/>
      <c r="I141" s="425"/>
      <c r="J141" s="426"/>
      <c r="K141" s="416"/>
      <c r="L141" s="449"/>
      <c r="M141" s="449"/>
      <c r="N141" s="417"/>
      <c r="O141" s="416"/>
      <c r="P141" s="449"/>
      <c r="Q141" s="449"/>
      <c r="R141" s="417"/>
      <c r="S141" s="416"/>
      <c r="T141" s="449"/>
      <c r="U141" s="449"/>
      <c r="V141" s="417"/>
      <c r="W141" s="416"/>
      <c r="X141" s="449"/>
      <c r="Y141" s="449"/>
      <c r="Z141" s="417"/>
      <c r="AA141" s="416"/>
      <c r="AB141" s="449"/>
      <c r="AC141" s="449"/>
      <c r="AD141" s="417"/>
      <c r="AE141" s="416"/>
      <c r="AF141" s="449"/>
      <c r="AG141" s="449"/>
      <c r="AH141" s="417"/>
      <c r="AI141" s="416"/>
      <c r="AJ141" s="449"/>
      <c r="AK141" s="449"/>
      <c r="AL141" s="417"/>
      <c r="AM141" s="416"/>
      <c r="AN141" s="449"/>
      <c r="AO141" s="449"/>
      <c r="AP141" s="417"/>
      <c r="AQ141" s="416"/>
      <c r="AR141" s="449"/>
      <c r="AS141" s="449"/>
      <c r="AT141" s="417"/>
      <c r="AU141" s="416"/>
      <c r="AV141" s="449"/>
      <c r="AW141" s="449"/>
      <c r="AX141" s="417"/>
      <c r="AY141" s="416"/>
      <c r="AZ141" s="449"/>
      <c r="BA141" s="449"/>
      <c r="BB141" s="417"/>
      <c r="BC141" s="416"/>
      <c r="BD141" s="449"/>
      <c r="BE141" s="449"/>
      <c r="BF141" s="417"/>
      <c r="BG141" s="416"/>
      <c r="BH141" s="449"/>
      <c r="BI141" s="449"/>
      <c r="BJ141" s="417"/>
      <c r="BK141" s="416"/>
      <c r="BL141" s="449"/>
      <c r="BM141" s="449"/>
      <c r="BN141" s="417"/>
      <c r="BO141" s="416"/>
      <c r="BP141" s="449"/>
      <c r="BQ141" s="449"/>
      <c r="BR141" s="417"/>
      <c r="BS141" s="416"/>
      <c r="BT141" s="449"/>
      <c r="BU141" s="449"/>
      <c r="BV141" s="417"/>
      <c r="BW141" s="416"/>
      <c r="BX141" s="449"/>
      <c r="BY141" s="449"/>
      <c r="BZ141" s="417"/>
      <c r="CA141" s="416"/>
      <c r="CB141" s="449"/>
      <c r="CC141" s="449"/>
      <c r="CD141" s="417"/>
      <c r="CE141" s="416"/>
      <c r="CF141" s="449"/>
      <c r="CG141" s="449"/>
      <c r="CH141" s="417"/>
      <c r="CI141" s="416"/>
      <c r="CJ141" s="449"/>
      <c r="CK141" s="449"/>
      <c r="CL141" s="417"/>
      <c r="CM141" s="416"/>
      <c r="CN141" s="449"/>
      <c r="CO141" s="449"/>
      <c r="CP141" s="417"/>
      <c r="CQ141" s="416"/>
      <c r="CR141" s="449"/>
      <c r="CS141" s="449"/>
      <c r="CT141" s="417"/>
      <c r="CU141" s="416"/>
      <c r="CV141" s="449"/>
      <c r="CW141" s="449"/>
      <c r="CX141" s="417"/>
      <c r="CY141" s="416"/>
      <c r="CZ141" s="449"/>
      <c r="DA141" s="449"/>
      <c r="DB141" s="417"/>
      <c r="DC141" s="416"/>
      <c r="DD141" s="449"/>
      <c r="DE141" s="449"/>
      <c r="DF141" s="417"/>
      <c r="DG141" s="416"/>
      <c r="DH141" s="449"/>
      <c r="DI141" s="449"/>
      <c r="DJ141" s="417"/>
      <c r="DK141" s="416"/>
      <c r="DL141" s="449"/>
      <c r="DM141" s="449"/>
      <c r="DN141" s="417"/>
      <c r="DO141" s="416"/>
      <c r="DP141" s="449"/>
      <c r="DQ141" s="449"/>
      <c r="DR141" s="417"/>
      <c r="DS141" s="416"/>
      <c r="DT141" s="449"/>
      <c r="DU141" s="449"/>
      <c r="DV141" s="417"/>
      <c r="DW141" s="416"/>
      <c r="DX141" s="449"/>
      <c r="DY141" s="449"/>
      <c r="DZ141" s="417"/>
      <c r="EA141" s="416"/>
      <c r="EB141" s="449"/>
      <c r="EC141" s="449"/>
      <c r="ED141" s="417"/>
      <c r="EE141" s="416"/>
      <c r="EF141" s="449"/>
      <c r="EG141" s="449"/>
      <c r="EH141" s="417"/>
      <c r="EI141" s="416"/>
      <c r="EJ141" s="449"/>
      <c r="EK141" s="449"/>
      <c r="EL141" s="417"/>
      <c r="EM141" s="416"/>
      <c r="EN141" s="449"/>
      <c r="EO141" s="449"/>
      <c r="EP141" s="417"/>
      <c r="EQ141" s="416"/>
      <c r="ER141" s="449"/>
      <c r="ES141" s="449"/>
      <c r="ET141" s="417"/>
      <c r="EU141" s="416"/>
      <c r="EV141" s="449"/>
      <c r="EW141" s="449"/>
      <c r="EX141" s="417"/>
      <c r="EY141" s="416"/>
      <c r="EZ141" s="449"/>
      <c r="FA141" s="449"/>
      <c r="FB141" s="417"/>
      <c r="FC141" s="416"/>
      <c r="FD141" s="449"/>
      <c r="FE141" s="449"/>
      <c r="FF141" s="417"/>
      <c r="FG141" s="416"/>
      <c r="FH141" s="449"/>
      <c r="FI141" s="449"/>
      <c r="FJ141" s="417"/>
      <c r="FK141" s="416"/>
      <c r="FL141" s="449"/>
      <c r="FM141" s="449"/>
      <c r="FN141" s="417"/>
      <c r="FO141" s="416"/>
      <c r="FP141" s="449"/>
      <c r="FQ141" s="449"/>
      <c r="FR141" s="417"/>
      <c r="FS141" s="416"/>
      <c r="FT141" s="449"/>
      <c r="FU141" s="449"/>
      <c r="FV141" s="417"/>
      <c r="FW141" s="416"/>
      <c r="FX141" s="449"/>
      <c r="FY141" s="449"/>
      <c r="FZ141" s="417"/>
      <c r="GA141" s="416"/>
      <c r="GB141" s="449"/>
      <c r="GC141" s="449"/>
      <c r="GD141" s="417"/>
      <c r="GE141" s="416"/>
      <c r="GF141" s="449"/>
      <c r="GG141" s="449"/>
      <c r="GH141" s="417"/>
      <c r="GI141" s="416"/>
      <c r="GJ141" s="449"/>
      <c r="GK141" s="449"/>
      <c r="GL141" s="417"/>
      <c r="GM141" s="416"/>
      <c r="GN141" s="449"/>
      <c r="GO141" s="449"/>
      <c r="GP141" s="417"/>
      <c r="GQ141" s="416"/>
      <c r="GR141" s="449"/>
      <c r="GS141" s="449"/>
      <c r="GT141" s="417"/>
      <c r="GU141" s="416"/>
      <c r="GV141" s="449"/>
      <c r="GW141" s="449"/>
      <c r="GX141" s="417"/>
      <c r="GY141" s="416"/>
      <c r="GZ141" s="449"/>
      <c r="HA141" s="449"/>
      <c r="HB141" s="417"/>
      <c r="HC141" s="418">
        <f t="shared" si="83"/>
        <v>0</v>
      </c>
      <c r="HD141" s="451"/>
      <c r="HE141" s="451"/>
      <c r="HF141" s="420"/>
      <c r="HG141" s="418">
        <f>SUM(SUMIFS(K141:HB141,$K$13:$HB$13,{"エネルギー管理指定工場等*","県域*"}))</f>
        <v>0</v>
      </c>
      <c r="HH141" s="451"/>
      <c r="HI141" s="451"/>
      <c r="HJ141" s="420"/>
    </row>
    <row r="142" spans="1:242" ht="20.100000000000001" customHeight="1">
      <c r="A142" s="164"/>
      <c r="B142" s="421" t="s">
        <v>1423</v>
      </c>
      <c r="C142" s="422"/>
      <c r="D142" s="422"/>
      <c r="E142" s="422"/>
      <c r="F142" s="422"/>
      <c r="G142" s="422"/>
      <c r="H142" s="453"/>
      <c r="I142" s="425"/>
      <c r="J142" s="426"/>
      <c r="K142" s="427"/>
      <c r="L142" s="454"/>
      <c r="M142" s="454"/>
      <c r="N142" s="428"/>
      <c r="O142" s="427"/>
      <c r="P142" s="454"/>
      <c r="Q142" s="454"/>
      <c r="R142" s="428"/>
      <c r="S142" s="427"/>
      <c r="T142" s="454"/>
      <c r="U142" s="454"/>
      <c r="V142" s="428"/>
      <c r="W142" s="427"/>
      <c r="X142" s="454"/>
      <c r="Y142" s="454"/>
      <c r="Z142" s="428"/>
      <c r="AA142" s="427"/>
      <c r="AB142" s="454"/>
      <c r="AC142" s="454"/>
      <c r="AD142" s="428"/>
      <c r="AE142" s="427"/>
      <c r="AF142" s="454"/>
      <c r="AG142" s="454"/>
      <c r="AH142" s="428"/>
      <c r="AI142" s="427"/>
      <c r="AJ142" s="454"/>
      <c r="AK142" s="454"/>
      <c r="AL142" s="428"/>
      <c r="AM142" s="427"/>
      <c r="AN142" s="454"/>
      <c r="AO142" s="454"/>
      <c r="AP142" s="428"/>
      <c r="AQ142" s="427"/>
      <c r="AR142" s="454"/>
      <c r="AS142" s="454"/>
      <c r="AT142" s="428"/>
      <c r="AU142" s="427"/>
      <c r="AV142" s="454"/>
      <c r="AW142" s="454"/>
      <c r="AX142" s="428"/>
      <c r="AY142" s="427"/>
      <c r="AZ142" s="454"/>
      <c r="BA142" s="454"/>
      <c r="BB142" s="428"/>
      <c r="BC142" s="427"/>
      <c r="BD142" s="454"/>
      <c r="BE142" s="454"/>
      <c r="BF142" s="428"/>
      <c r="BG142" s="427"/>
      <c r="BH142" s="454"/>
      <c r="BI142" s="454"/>
      <c r="BJ142" s="428"/>
      <c r="BK142" s="427"/>
      <c r="BL142" s="454"/>
      <c r="BM142" s="454"/>
      <c r="BN142" s="428"/>
      <c r="BO142" s="427"/>
      <c r="BP142" s="454"/>
      <c r="BQ142" s="454"/>
      <c r="BR142" s="428"/>
      <c r="BS142" s="427"/>
      <c r="BT142" s="454"/>
      <c r="BU142" s="454"/>
      <c r="BV142" s="428"/>
      <c r="BW142" s="427"/>
      <c r="BX142" s="454"/>
      <c r="BY142" s="454"/>
      <c r="BZ142" s="428"/>
      <c r="CA142" s="427"/>
      <c r="CB142" s="454"/>
      <c r="CC142" s="454"/>
      <c r="CD142" s="428"/>
      <c r="CE142" s="427"/>
      <c r="CF142" s="454"/>
      <c r="CG142" s="454"/>
      <c r="CH142" s="428"/>
      <c r="CI142" s="427"/>
      <c r="CJ142" s="454"/>
      <c r="CK142" s="454"/>
      <c r="CL142" s="428"/>
      <c r="CM142" s="427"/>
      <c r="CN142" s="454"/>
      <c r="CO142" s="454"/>
      <c r="CP142" s="428"/>
      <c r="CQ142" s="427"/>
      <c r="CR142" s="454"/>
      <c r="CS142" s="454"/>
      <c r="CT142" s="428"/>
      <c r="CU142" s="427"/>
      <c r="CV142" s="454"/>
      <c r="CW142" s="454"/>
      <c r="CX142" s="428"/>
      <c r="CY142" s="427"/>
      <c r="CZ142" s="454"/>
      <c r="DA142" s="454"/>
      <c r="DB142" s="428"/>
      <c r="DC142" s="427"/>
      <c r="DD142" s="454"/>
      <c r="DE142" s="454"/>
      <c r="DF142" s="428"/>
      <c r="DG142" s="427"/>
      <c r="DH142" s="454"/>
      <c r="DI142" s="454"/>
      <c r="DJ142" s="428"/>
      <c r="DK142" s="427"/>
      <c r="DL142" s="454"/>
      <c r="DM142" s="454"/>
      <c r="DN142" s="428"/>
      <c r="DO142" s="427"/>
      <c r="DP142" s="454"/>
      <c r="DQ142" s="454"/>
      <c r="DR142" s="428"/>
      <c r="DS142" s="427"/>
      <c r="DT142" s="454"/>
      <c r="DU142" s="454"/>
      <c r="DV142" s="428"/>
      <c r="DW142" s="427"/>
      <c r="DX142" s="454"/>
      <c r="DY142" s="454"/>
      <c r="DZ142" s="428"/>
      <c r="EA142" s="427"/>
      <c r="EB142" s="454"/>
      <c r="EC142" s="454"/>
      <c r="ED142" s="428"/>
      <c r="EE142" s="427"/>
      <c r="EF142" s="454"/>
      <c r="EG142" s="454"/>
      <c r="EH142" s="428"/>
      <c r="EI142" s="427"/>
      <c r="EJ142" s="454"/>
      <c r="EK142" s="454"/>
      <c r="EL142" s="428"/>
      <c r="EM142" s="427"/>
      <c r="EN142" s="454"/>
      <c r="EO142" s="454"/>
      <c r="EP142" s="428"/>
      <c r="EQ142" s="427"/>
      <c r="ER142" s="454"/>
      <c r="ES142" s="454"/>
      <c r="ET142" s="428"/>
      <c r="EU142" s="427"/>
      <c r="EV142" s="454"/>
      <c r="EW142" s="454"/>
      <c r="EX142" s="428"/>
      <c r="EY142" s="427"/>
      <c r="EZ142" s="454"/>
      <c r="FA142" s="454"/>
      <c r="FB142" s="428"/>
      <c r="FC142" s="427"/>
      <c r="FD142" s="454"/>
      <c r="FE142" s="454"/>
      <c r="FF142" s="428"/>
      <c r="FG142" s="427"/>
      <c r="FH142" s="454"/>
      <c r="FI142" s="454"/>
      <c r="FJ142" s="428"/>
      <c r="FK142" s="427"/>
      <c r="FL142" s="454"/>
      <c r="FM142" s="454"/>
      <c r="FN142" s="428"/>
      <c r="FO142" s="427"/>
      <c r="FP142" s="454"/>
      <c r="FQ142" s="454"/>
      <c r="FR142" s="428"/>
      <c r="FS142" s="427"/>
      <c r="FT142" s="454"/>
      <c r="FU142" s="454"/>
      <c r="FV142" s="428"/>
      <c r="FW142" s="427"/>
      <c r="FX142" s="454"/>
      <c r="FY142" s="454"/>
      <c r="FZ142" s="428"/>
      <c r="GA142" s="427"/>
      <c r="GB142" s="454"/>
      <c r="GC142" s="454"/>
      <c r="GD142" s="428"/>
      <c r="GE142" s="427"/>
      <c r="GF142" s="454"/>
      <c r="GG142" s="454"/>
      <c r="GH142" s="428"/>
      <c r="GI142" s="427"/>
      <c r="GJ142" s="454"/>
      <c r="GK142" s="454"/>
      <c r="GL142" s="428"/>
      <c r="GM142" s="427"/>
      <c r="GN142" s="454"/>
      <c r="GO142" s="454"/>
      <c r="GP142" s="428"/>
      <c r="GQ142" s="427"/>
      <c r="GR142" s="454"/>
      <c r="GS142" s="454"/>
      <c r="GT142" s="428"/>
      <c r="GU142" s="427"/>
      <c r="GV142" s="454"/>
      <c r="GW142" s="454"/>
      <c r="GX142" s="428"/>
      <c r="GY142" s="427"/>
      <c r="GZ142" s="454"/>
      <c r="HA142" s="454"/>
      <c r="HB142" s="428"/>
      <c r="HC142" s="434">
        <f t="shared" si="83"/>
        <v>0</v>
      </c>
      <c r="HD142" s="456"/>
      <c r="HE142" s="456"/>
      <c r="HF142" s="433"/>
      <c r="HG142" s="434">
        <f>SUM(SUMIFS(K142:HB142,$K$13:$HB$13,{"エネルギー管理指定工場等*","県域*"}))</f>
        <v>0</v>
      </c>
      <c r="HH142" s="456"/>
      <c r="HI142" s="456"/>
      <c r="HJ142" s="433"/>
    </row>
    <row r="143" spans="1:242" ht="20.100000000000001" customHeight="1">
      <c r="A143" s="164"/>
      <c r="B143" s="421" t="s">
        <v>1424</v>
      </c>
      <c r="C143" s="422"/>
      <c r="D143" s="422"/>
      <c r="E143" s="422"/>
      <c r="F143" s="422"/>
      <c r="G143" s="422"/>
      <c r="H143" s="453"/>
      <c r="I143" s="425"/>
      <c r="J143" s="426"/>
      <c r="K143" s="427"/>
      <c r="L143" s="454"/>
      <c r="M143" s="454"/>
      <c r="N143" s="428"/>
      <c r="O143" s="427"/>
      <c r="P143" s="454"/>
      <c r="Q143" s="454"/>
      <c r="R143" s="428"/>
      <c r="S143" s="427"/>
      <c r="T143" s="454"/>
      <c r="U143" s="454"/>
      <c r="V143" s="428"/>
      <c r="W143" s="427"/>
      <c r="X143" s="454"/>
      <c r="Y143" s="454"/>
      <c r="Z143" s="428"/>
      <c r="AA143" s="427"/>
      <c r="AB143" s="454"/>
      <c r="AC143" s="454"/>
      <c r="AD143" s="428"/>
      <c r="AE143" s="427"/>
      <c r="AF143" s="454"/>
      <c r="AG143" s="454"/>
      <c r="AH143" s="428"/>
      <c r="AI143" s="427"/>
      <c r="AJ143" s="454"/>
      <c r="AK143" s="454"/>
      <c r="AL143" s="428"/>
      <c r="AM143" s="427"/>
      <c r="AN143" s="454"/>
      <c r="AO143" s="454"/>
      <c r="AP143" s="428"/>
      <c r="AQ143" s="427"/>
      <c r="AR143" s="454"/>
      <c r="AS143" s="454"/>
      <c r="AT143" s="428"/>
      <c r="AU143" s="427"/>
      <c r="AV143" s="454"/>
      <c r="AW143" s="454"/>
      <c r="AX143" s="428"/>
      <c r="AY143" s="427"/>
      <c r="AZ143" s="454"/>
      <c r="BA143" s="454"/>
      <c r="BB143" s="428"/>
      <c r="BC143" s="427"/>
      <c r="BD143" s="454"/>
      <c r="BE143" s="454"/>
      <c r="BF143" s="428"/>
      <c r="BG143" s="427"/>
      <c r="BH143" s="454"/>
      <c r="BI143" s="454"/>
      <c r="BJ143" s="428"/>
      <c r="BK143" s="427"/>
      <c r="BL143" s="454"/>
      <c r="BM143" s="454"/>
      <c r="BN143" s="428"/>
      <c r="BO143" s="427"/>
      <c r="BP143" s="454"/>
      <c r="BQ143" s="454"/>
      <c r="BR143" s="428"/>
      <c r="BS143" s="427"/>
      <c r="BT143" s="454"/>
      <c r="BU143" s="454"/>
      <c r="BV143" s="428"/>
      <c r="BW143" s="427"/>
      <c r="BX143" s="454"/>
      <c r="BY143" s="454"/>
      <c r="BZ143" s="428"/>
      <c r="CA143" s="427"/>
      <c r="CB143" s="454"/>
      <c r="CC143" s="454"/>
      <c r="CD143" s="428"/>
      <c r="CE143" s="427"/>
      <c r="CF143" s="454"/>
      <c r="CG143" s="454"/>
      <c r="CH143" s="428"/>
      <c r="CI143" s="427"/>
      <c r="CJ143" s="454"/>
      <c r="CK143" s="454"/>
      <c r="CL143" s="428"/>
      <c r="CM143" s="427"/>
      <c r="CN143" s="454"/>
      <c r="CO143" s="454"/>
      <c r="CP143" s="428"/>
      <c r="CQ143" s="427"/>
      <c r="CR143" s="454"/>
      <c r="CS143" s="454"/>
      <c r="CT143" s="428"/>
      <c r="CU143" s="427"/>
      <c r="CV143" s="454"/>
      <c r="CW143" s="454"/>
      <c r="CX143" s="428"/>
      <c r="CY143" s="427"/>
      <c r="CZ143" s="454"/>
      <c r="DA143" s="454"/>
      <c r="DB143" s="428"/>
      <c r="DC143" s="427"/>
      <c r="DD143" s="454"/>
      <c r="DE143" s="454"/>
      <c r="DF143" s="428"/>
      <c r="DG143" s="427"/>
      <c r="DH143" s="454"/>
      <c r="DI143" s="454"/>
      <c r="DJ143" s="428"/>
      <c r="DK143" s="427"/>
      <c r="DL143" s="454"/>
      <c r="DM143" s="454"/>
      <c r="DN143" s="428"/>
      <c r="DO143" s="427"/>
      <c r="DP143" s="454"/>
      <c r="DQ143" s="454"/>
      <c r="DR143" s="428"/>
      <c r="DS143" s="427"/>
      <c r="DT143" s="454"/>
      <c r="DU143" s="454"/>
      <c r="DV143" s="428"/>
      <c r="DW143" s="427"/>
      <c r="DX143" s="454"/>
      <c r="DY143" s="454"/>
      <c r="DZ143" s="428"/>
      <c r="EA143" s="427"/>
      <c r="EB143" s="454"/>
      <c r="EC143" s="454"/>
      <c r="ED143" s="428"/>
      <c r="EE143" s="427"/>
      <c r="EF143" s="454"/>
      <c r="EG143" s="454"/>
      <c r="EH143" s="428"/>
      <c r="EI143" s="427"/>
      <c r="EJ143" s="454"/>
      <c r="EK143" s="454"/>
      <c r="EL143" s="428"/>
      <c r="EM143" s="427"/>
      <c r="EN143" s="454"/>
      <c r="EO143" s="454"/>
      <c r="EP143" s="428"/>
      <c r="EQ143" s="427"/>
      <c r="ER143" s="454"/>
      <c r="ES143" s="454"/>
      <c r="ET143" s="428"/>
      <c r="EU143" s="427"/>
      <c r="EV143" s="454"/>
      <c r="EW143" s="454"/>
      <c r="EX143" s="428"/>
      <c r="EY143" s="427"/>
      <c r="EZ143" s="454"/>
      <c r="FA143" s="454"/>
      <c r="FB143" s="428"/>
      <c r="FC143" s="427"/>
      <c r="FD143" s="454"/>
      <c r="FE143" s="454"/>
      <c r="FF143" s="428"/>
      <c r="FG143" s="427"/>
      <c r="FH143" s="454"/>
      <c r="FI143" s="454"/>
      <c r="FJ143" s="428"/>
      <c r="FK143" s="427"/>
      <c r="FL143" s="454"/>
      <c r="FM143" s="454"/>
      <c r="FN143" s="428"/>
      <c r="FO143" s="427"/>
      <c r="FP143" s="454"/>
      <c r="FQ143" s="454"/>
      <c r="FR143" s="428"/>
      <c r="FS143" s="427"/>
      <c r="FT143" s="454"/>
      <c r="FU143" s="454"/>
      <c r="FV143" s="428"/>
      <c r="FW143" s="427"/>
      <c r="FX143" s="454"/>
      <c r="FY143" s="454"/>
      <c r="FZ143" s="428"/>
      <c r="GA143" s="427"/>
      <c r="GB143" s="454"/>
      <c r="GC143" s="454"/>
      <c r="GD143" s="428"/>
      <c r="GE143" s="427"/>
      <c r="GF143" s="454"/>
      <c r="GG143" s="454"/>
      <c r="GH143" s="428"/>
      <c r="GI143" s="427"/>
      <c r="GJ143" s="454"/>
      <c r="GK143" s="454"/>
      <c r="GL143" s="428"/>
      <c r="GM143" s="427"/>
      <c r="GN143" s="454"/>
      <c r="GO143" s="454"/>
      <c r="GP143" s="428"/>
      <c r="GQ143" s="427"/>
      <c r="GR143" s="454"/>
      <c r="GS143" s="454"/>
      <c r="GT143" s="428"/>
      <c r="GU143" s="427"/>
      <c r="GV143" s="454"/>
      <c r="GW143" s="454"/>
      <c r="GX143" s="428"/>
      <c r="GY143" s="427"/>
      <c r="GZ143" s="454"/>
      <c r="HA143" s="454"/>
      <c r="HB143" s="428"/>
      <c r="HC143" s="434">
        <f t="shared" si="83"/>
        <v>0</v>
      </c>
      <c r="HD143" s="456"/>
      <c r="HE143" s="456"/>
      <c r="HF143" s="433"/>
      <c r="HG143" s="434">
        <f>SUM(SUMIFS(K143:HB143,$K$13:$HB$13,{"エネルギー管理指定工場等*","県域*"}))</f>
        <v>0</v>
      </c>
      <c r="HH143" s="456"/>
      <c r="HI143" s="456"/>
      <c r="HJ143" s="433"/>
    </row>
    <row r="144" spans="1:242" ht="20.100000000000001" customHeight="1">
      <c r="A144" s="164"/>
      <c r="B144" s="421" t="s">
        <v>1425</v>
      </c>
      <c r="C144" s="422"/>
      <c r="D144" s="422"/>
      <c r="E144" s="422"/>
      <c r="F144" s="422"/>
      <c r="G144" s="422"/>
      <c r="H144" s="453"/>
      <c r="I144" s="425"/>
      <c r="J144" s="426"/>
      <c r="K144" s="427"/>
      <c r="L144" s="454"/>
      <c r="M144" s="454"/>
      <c r="N144" s="428"/>
      <c r="O144" s="427"/>
      <c r="P144" s="454"/>
      <c r="Q144" s="454"/>
      <c r="R144" s="428"/>
      <c r="S144" s="427"/>
      <c r="T144" s="454"/>
      <c r="U144" s="454"/>
      <c r="V144" s="428"/>
      <c r="W144" s="427"/>
      <c r="X144" s="454"/>
      <c r="Y144" s="454"/>
      <c r="Z144" s="428"/>
      <c r="AA144" s="427"/>
      <c r="AB144" s="454"/>
      <c r="AC144" s="454"/>
      <c r="AD144" s="428"/>
      <c r="AE144" s="427"/>
      <c r="AF144" s="454"/>
      <c r="AG144" s="454"/>
      <c r="AH144" s="428"/>
      <c r="AI144" s="427"/>
      <c r="AJ144" s="454"/>
      <c r="AK144" s="454"/>
      <c r="AL144" s="428"/>
      <c r="AM144" s="427"/>
      <c r="AN144" s="454"/>
      <c r="AO144" s="454"/>
      <c r="AP144" s="428"/>
      <c r="AQ144" s="427"/>
      <c r="AR144" s="454"/>
      <c r="AS144" s="454"/>
      <c r="AT144" s="428"/>
      <c r="AU144" s="427"/>
      <c r="AV144" s="454"/>
      <c r="AW144" s="454"/>
      <c r="AX144" s="428"/>
      <c r="AY144" s="427"/>
      <c r="AZ144" s="454"/>
      <c r="BA144" s="454"/>
      <c r="BB144" s="428"/>
      <c r="BC144" s="427"/>
      <c r="BD144" s="454"/>
      <c r="BE144" s="454"/>
      <c r="BF144" s="428"/>
      <c r="BG144" s="427"/>
      <c r="BH144" s="454"/>
      <c r="BI144" s="454"/>
      <c r="BJ144" s="428"/>
      <c r="BK144" s="427"/>
      <c r="BL144" s="454"/>
      <c r="BM144" s="454"/>
      <c r="BN144" s="428"/>
      <c r="BO144" s="427"/>
      <c r="BP144" s="454"/>
      <c r="BQ144" s="454"/>
      <c r="BR144" s="428"/>
      <c r="BS144" s="427"/>
      <c r="BT144" s="454"/>
      <c r="BU144" s="454"/>
      <c r="BV144" s="428"/>
      <c r="BW144" s="427"/>
      <c r="BX144" s="454"/>
      <c r="BY144" s="454"/>
      <c r="BZ144" s="428"/>
      <c r="CA144" s="427"/>
      <c r="CB144" s="454"/>
      <c r="CC144" s="454"/>
      <c r="CD144" s="428"/>
      <c r="CE144" s="427"/>
      <c r="CF144" s="454"/>
      <c r="CG144" s="454"/>
      <c r="CH144" s="428"/>
      <c r="CI144" s="427"/>
      <c r="CJ144" s="454"/>
      <c r="CK144" s="454"/>
      <c r="CL144" s="428"/>
      <c r="CM144" s="427"/>
      <c r="CN144" s="454"/>
      <c r="CO144" s="454"/>
      <c r="CP144" s="428"/>
      <c r="CQ144" s="427"/>
      <c r="CR144" s="454"/>
      <c r="CS144" s="454"/>
      <c r="CT144" s="428"/>
      <c r="CU144" s="427"/>
      <c r="CV144" s="454"/>
      <c r="CW144" s="454"/>
      <c r="CX144" s="428"/>
      <c r="CY144" s="427"/>
      <c r="CZ144" s="454"/>
      <c r="DA144" s="454"/>
      <c r="DB144" s="428"/>
      <c r="DC144" s="427"/>
      <c r="DD144" s="454"/>
      <c r="DE144" s="454"/>
      <c r="DF144" s="428"/>
      <c r="DG144" s="427"/>
      <c r="DH144" s="454"/>
      <c r="DI144" s="454"/>
      <c r="DJ144" s="428"/>
      <c r="DK144" s="427"/>
      <c r="DL144" s="454"/>
      <c r="DM144" s="454"/>
      <c r="DN144" s="428"/>
      <c r="DO144" s="427"/>
      <c r="DP144" s="454"/>
      <c r="DQ144" s="454"/>
      <c r="DR144" s="428"/>
      <c r="DS144" s="427"/>
      <c r="DT144" s="454"/>
      <c r="DU144" s="454"/>
      <c r="DV144" s="428"/>
      <c r="DW144" s="427"/>
      <c r="DX144" s="454"/>
      <c r="DY144" s="454"/>
      <c r="DZ144" s="428"/>
      <c r="EA144" s="427"/>
      <c r="EB144" s="454"/>
      <c r="EC144" s="454"/>
      <c r="ED144" s="428"/>
      <c r="EE144" s="427"/>
      <c r="EF144" s="454"/>
      <c r="EG144" s="454"/>
      <c r="EH144" s="428"/>
      <c r="EI144" s="427"/>
      <c r="EJ144" s="454"/>
      <c r="EK144" s="454"/>
      <c r="EL144" s="428"/>
      <c r="EM144" s="427"/>
      <c r="EN144" s="454"/>
      <c r="EO144" s="454"/>
      <c r="EP144" s="428"/>
      <c r="EQ144" s="427"/>
      <c r="ER144" s="454"/>
      <c r="ES144" s="454"/>
      <c r="ET144" s="428"/>
      <c r="EU144" s="427"/>
      <c r="EV144" s="454"/>
      <c r="EW144" s="454"/>
      <c r="EX144" s="428"/>
      <c r="EY144" s="427"/>
      <c r="EZ144" s="454"/>
      <c r="FA144" s="454"/>
      <c r="FB144" s="428"/>
      <c r="FC144" s="427"/>
      <c r="FD144" s="454"/>
      <c r="FE144" s="454"/>
      <c r="FF144" s="428"/>
      <c r="FG144" s="427"/>
      <c r="FH144" s="454"/>
      <c r="FI144" s="454"/>
      <c r="FJ144" s="428"/>
      <c r="FK144" s="427"/>
      <c r="FL144" s="454"/>
      <c r="FM144" s="454"/>
      <c r="FN144" s="428"/>
      <c r="FO144" s="427"/>
      <c r="FP144" s="454"/>
      <c r="FQ144" s="454"/>
      <c r="FR144" s="428"/>
      <c r="FS144" s="427"/>
      <c r="FT144" s="454"/>
      <c r="FU144" s="454"/>
      <c r="FV144" s="428"/>
      <c r="FW144" s="427"/>
      <c r="FX144" s="454"/>
      <c r="FY144" s="454"/>
      <c r="FZ144" s="428"/>
      <c r="GA144" s="427"/>
      <c r="GB144" s="454"/>
      <c r="GC144" s="454"/>
      <c r="GD144" s="428"/>
      <c r="GE144" s="427"/>
      <c r="GF144" s="454"/>
      <c r="GG144" s="454"/>
      <c r="GH144" s="428"/>
      <c r="GI144" s="427"/>
      <c r="GJ144" s="454"/>
      <c r="GK144" s="454"/>
      <c r="GL144" s="428"/>
      <c r="GM144" s="427"/>
      <c r="GN144" s="454"/>
      <c r="GO144" s="454"/>
      <c r="GP144" s="428"/>
      <c r="GQ144" s="427"/>
      <c r="GR144" s="454"/>
      <c r="GS144" s="454"/>
      <c r="GT144" s="428"/>
      <c r="GU144" s="427"/>
      <c r="GV144" s="454"/>
      <c r="GW144" s="454"/>
      <c r="GX144" s="428"/>
      <c r="GY144" s="427"/>
      <c r="GZ144" s="454"/>
      <c r="HA144" s="454"/>
      <c r="HB144" s="428"/>
      <c r="HC144" s="434">
        <f t="shared" ref="HC144:HC160" si="84">K144+O144+S144+W144+AA144+AE144+AI144+AM144+AQ144+AU144+AY144+BC144+BG144+BK144+BO144+BS144+BW144+CA144+CE144+CI144+CM144+CQ144+CU144+CY144+DC144+DG144+DK144+DO144+DS144+DW144+EA144+EE144+EI144+EM144+EQ144+EU144+EY144+FC144+FG144+FK144+FO144+FS144+FW144+GA144+GE144+GI144+GM144+GQ144+GU144+GY144</f>
        <v>0</v>
      </c>
      <c r="HD144" s="456"/>
      <c r="HE144" s="456"/>
      <c r="HF144" s="433"/>
      <c r="HG144" s="434">
        <f>SUM(SUMIFS(K144:HB144,$K$13:$HB$13,{"エネルギー管理指定工場等*","県域*"}))</f>
        <v>0</v>
      </c>
      <c r="HH144" s="456"/>
      <c r="HI144" s="456"/>
      <c r="HJ144" s="433"/>
    </row>
    <row r="145" spans="1:218" ht="20.100000000000001" customHeight="1">
      <c r="A145" s="164"/>
      <c r="B145" s="421" t="s">
        <v>1426</v>
      </c>
      <c r="C145" s="422"/>
      <c r="D145" s="422"/>
      <c r="E145" s="422"/>
      <c r="F145" s="422"/>
      <c r="G145" s="422"/>
      <c r="H145" s="453"/>
      <c r="I145" s="425"/>
      <c r="J145" s="426"/>
      <c r="K145" s="427"/>
      <c r="L145" s="454"/>
      <c r="M145" s="454"/>
      <c r="N145" s="428"/>
      <c r="O145" s="427"/>
      <c r="P145" s="454"/>
      <c r="Q145" s="454"/>
      <c r="R145" s="428"/>
      <c r="S145" s="427"/>
      <c r="T145" s="454"/>
      <c r="U145" s="454"/>
      <c r="V145" s="428"/>
      <c r="W145" s="427"/>
      <c r="X145" s="454"/>
      <c r="Y145" s="454"/>
      <c r="Z145" s="428"/>
      <c r="AA145" s="427"/>
      <c r="AB145" s="454"/>
      <c r="AC145" s="454"/>
      <c r="AD145" s="428"/>
      <c r="AE145" s="427"/>
      <c r="AF145" s="454"/>
      <c r="AG145" s="454"/>
      <c r="AH145" s="428"/>
      <c r="AI145" s="427"/>
      <c r="AJ145" s="454"/>
      <c r="AK145" s="454"/>
      <c r="AL145" s="428"/>
      <c r="AM145" s="427"/>
      <c r="AN145" s="454"/>
      <c r="AO145" s="454"/>
      <c r="AP145" s="428"/>
      <c r="AQ145" s="427"/>
      <c r="AR145" s="454"/>
      <c r="AS145" s="454"/>
      <c r="AT145" s="428"/>
      <c r="AU145" s="427"/>
      <c r="AV145" s="454"/>
      <c r="AW145" s="454"/>
      <c r="AX145" s="428"/>
      <c r="AY145" s="427"/>
      <c r="AZ145" s="454"/>
      <c r="BA145" s="454"/>
      <c r="BB145" s="428"/>
      <c r="BC145" s="427"/>
      <c r="BD145" s="454"/>
      <c r="BE145" s="454"/>
      <c r="BF145" s="428"/>
      <c r="BG145" s="427"/>
      <c r="BH145" s="454"/>
      <c r="BI145" s="454"/>
      <c r="BJ145" s="428"/>
      <c r="BK145" s="427"/>
      <c r="BL145" s="454"/>
      <c r="BM145" s="454"/>
      <c r="BN145" s="428"/>
      <c r="BO145" s="427"/>
      <c r="BP145" s="454"/>
      <c r="BQ145" s="454"/>
      <c r="BR145" s="428"/>
      <c r="BS145" s="427"/>
      <c r="BT145" s="454"/>
      <c r="BU145" s="454"/>
      <c r="BV145" s="428"/>
      <c r="BW145" s="427"/>
      <c r="BX145" s="454"/>
      <c r="BY145" s="454"/>
      <c r="BZ145" s="428"/>
      <c r="CA145" s="427"/>
      <c r="CB145" s="454"/>
      <c r="CC145" s="454"/>
      <c r="CD145" s="428"/>
      <c r="CE145" s="427"/>
      <c r="CF145" s="454"/>
      <c r="CG145" s="454"/>
      <c r="CH145" s="428"/>
      <c r="CI145" s="427"/>
      <c r="CJ145" s="454"/>
      <c r="CK145" s="454"/>
      <c r="CL145" s="428"/>
      <c r="CM145" s="427"/>
      <c r="CN145" s="454"/>
      <c r="CO145" s="454"/>
      <c r="CP145" s="428"/>
      <c r="CQ145" s="427"/>
      <c r="CR145" s="454"/>
      <c r="CS145" s="454"/>
      <c r="CT145" s="428"/>
      <c r="CU145" s="427"/>
      <c r="CV145" s="454"/>
      <c r="CW145" s="454"/>
      <c r="CX145" s="428"/>
      <c r="CY145" s="427"/>
      <c r="CZ145" s="454"/>
      <c r="DA145" s="454"/>
      <c r="DB145" s="428"/>
      <c r="DC145" s="427"/>
      <c r="DD145" s="454"/>
      <c r="DE145" s="454"/>
      <c r="DF145" s="428"/>
      <c r="DG145" s="427"/>
      <c r="DH145" s="454"/>
      <c r="DI145" s="454"/>
      <c r="DJ145" s="428"/>
      <c r="DK145" s="427"/>
      <c r="DL145" s="454"/>
      <c r="DM145" s="454"/>
      <c r="DN145" s="428"/>
      <c r="DO145" s="427"/>
      <c r="DP145" s="454"/>
      <c r="DQ145" s="454"/>
      <c r="DR145" s="428"/>
      <c r="DS145" s="427"/>
      <c r="DT145" s="454"/>
      <c r="DU145" s="454"/>
      <c r="DV145" s="428"/>
      <c r="DW145" s="427"/>
      <c r="DX145" s="454"/>
      <c r="DY145" s="454"/>
      <c r="DZ145" s="428"/>
      <c r="EA145" s="427"/>
      <c r="EB145" s="454"/>
      <c r="EC145" s="454"/>
      <c r="ED145" s="428"/>
      <c r="EE145" s="427"/>
      <c r="EF145" s="454"/>
      <c r="EG145" s="454"/>
      <c r="EH145" s="428"/>
      <c r="EI145" s="427"/>
      <c r="EJ145" s="454"/>
      <c r="EK145" s="454"/>
      <c r="EL145" s="428"/>
      <c r="EM145" s="427"/>
      <c r="EN145" s="454"/>
      <c r="EO145" s="454"/>
      <c r="EP145" s="428"/>
      <c r="EQ145" s="427"/>
      <c r="ER145" s="454"/>
      <c r="ES145" s="454"/>
      <c r="ET145" s="428"/>
      <c r="EU145" s="427"/>
      <c r="EV145" s="454"/>
      <c r="EW145" s="454"/>
      <c r="EX145" s="428"/>
      <c r="EY145" s="427"/>
      <c r="EZ145" s="454"/>
      <c r="FA145" s="454"/>
      <c r="FB145" s="428"/>
      <c r="FC145" s="427"/>
      <c r="FD145" s="454"/>
      <c r="FE145" s="454"/>
      <c r="FF145" s="428"/>
      <c r="FG145" s="427"/>
      <c r="FH145" s="454"/>
      <c r="FI145" s="454"/>
      <c r="FJ145" s="428"/>
      <c r="FK145" s="427"/>
      <c r="FL145" s="454"/>
      <c r="FM145" s="454"/>
      <c r="FN145" s="428"/>
      <c r="FO145" s="427"/>
      <c r="FP145" s="454"/>
      <c r="FQ145" s="454"/>
      <c r="FR145" s="428"/>
      <c r="FS145" s="427"/>
      <c r="FT145" s="454"/>
      <c r="FU145" s="454"/>
      <c r="FV145" s="428"/>
      <c r="FW145" s="427"/>
      <c r="FX145" s="454"/>
      <c r="FY145" s="454"/>
      <c r="FZ145" s="428"/>
      <c r="GA145" s="427"/>
      <c r="GB145" s="454"/>
      <c r="GC145" s="454"/>
      <c r="GD145" s="428"/>
      <c r="GE145" s="427"/>
      <c r="GF145" s="454"/>
      <c r="GG145" s="454"/>
      <c r="GH145" s="428"/>
      <c r="GI145" s="427"/>
      <c r="GJ145" s="454"/>
      <c r="GK145" s="454"/>
      <c r="GL145" s="428"/>
      <c r="GM145" s="427"/>
      <c r="GN145" s="454"/>
      <c r="GO145" s="454"/>
      <c r="GP145" s="428"/>
      <c r="GQ145" s="427"/>
      <c r="GR145" s="454"/>
      <c r="GS145" s="454"/>
      <c r="GT145" s="428"/>
      <c r="GU145" s="427"/>
      <c r="GV145" s="454"/>
      <c r="GW145" s="454"/>
      <c r="GX145" s="428"/>
      <c r="GY145" s="427"/>
      <c r="GZ145" s="454"/>
      <c r="HA145" s="454"/>
      <c r="HB145" s="428"/>
      <c r="HC145" s="434">
        <f t="shared" si="84"/>
        <v>0</v>
      </c>
      <c r="HD145" s="456"/>
      <c r="HE145" s="456"/>
      <c r="HF145" s="433"/>
      <c r="HG145" s="434">
        <f>SUM(SUMIFS(K145:HB145,$K$13:$HB$13,{"エネルギー管理指定工場等*","県域*"}))</f>
        <v>0</v>
      </c>
      <c r="HH145" s="456"/>
      <c r="HI145" s="456"/>
      <c r="HJ145" s="433"/>
    </row>
    <row r="146" spans="1:218" ht="20.100000000000001" customHeight="1">
      <c r="A146" s="164"/>
      <c r="B146" s="421" t="s">
        <v>1427</v>
      </c>
      <c r="C146" s="422"/>
      <c r="D146" s="422"/>
      <c r="E146" s="422"/>
      <c r="F146" s="422"/>
      <c r="G146" s="422"/>
      <c r="H146" s="453"/>
      <c r="I146" s="425"/>
      <c r="J146" s="426"/>
      <c r="K146" s="427"/>
      <c r="L146" s="454"/>
      <c r="M146" s="454"/>
      <c r="N146" s="428"/>
      <c r="O146" s="427"/>
      <c r="P146" s="454"/>
      <c r="Q146" s="454"/>
      <c r="R146" s="428"/>
      <c r="S146" s="427"/>
      <c r="T146" s="454"/>
      <c r="U146" s="454"/>
      <c r="V146" s="428"/>
      <c r="W146" s="427"/>
      <c r="X146" s="454"/>
      <c r="Y146" s="454"/>
      <c r="Z146" s="428"/>
      <c r="AA146" s="427"/>
      <c r="AB146" s="454"/>
      <c r="AC146" s="454"/>
      <c r="AD146" s="428"/>
      <c r="AE146" s="427"/>
      <c r="AF146" s="454"/>
      <c r="AG146" s="454"/>
      <c r="AH146" s="428"/>
      <c r="AI146" s="427"/>
      <c r="AJ146" s="454"/>
      <c r="AK146" s="454"/>
      <c r="AL146" s="428"/>
      <c r="AM146" s="427"/>
      <c r="AN146" s="454"/>
      <c r="AO146" s="454"/>
      <c r="AP146" s="428"/>
      <c r="AQ146" s="427"/>
      <c r="AR146" s="454"/>
      <c r="AS146" s="454"/>
      <c r="AT146" s="428"/>
      <c r="AU146" s="427"/>
      <c r="AV146" s="454"/>
      <c r="AW146" s="454"/>
      <c r="AX146" s="428"/>
      <c r="AY146" s="427"/>
      <c r="AZ146" s="454"/>
      <c r="BA146" s="454"/>
      <c r="BB146" s="428"/>
      <c r="BC146" s="427"/>
      <c r="BD146" s="454"/>
      <c r="BE146" s="454"/>
      <c r="BF146" s="428"/>
      <c r="BG146" s="427"/>
      <c r="BH146" s="454"/>
      <c r="BI146" s="454"/>
      <c r="BJ146" s="428"/>
      <c r="BK146" s="427"/>
      <c r="BL146" s="454"/>
      <c r="BM146" s="454"/>
      <c r="BN146" s="428"/>
      <c r="BO146" s="427"/>
      <c r="BP146" s="454"/>
      <c r="BQ146" s="454"/>
      <c r="BR146" s="428"/>
      <c r="BS146" s="427"/>
      <c r="BT146" s="454"/>
      <c r="BU146" s="454"/>
      <c r="BV146" s="428"/>
      <c r="BW146" s="427"/>
      <c r="BX146" s="454"/>
      <c r="BY146" s="454"/>
      <c r="BZ146" s="428"/>
      <c r="CA146" s="427"/>
      <c r="CB146" s="454"/>
      <c r="CC146" s="454"/>
      <c r="CD146" s="428"/>
      <c r="CE146" s="427"/>
      <c r="CF146" s="454"/>
      <c r="CG146" s="454"/>
      <c r="CH146" s="428"/>
      <c r="CI146" s="427"/>
      <c r="CJ146" s="454"/>
      <c r="CK146" s="454"/>
      <c r="CL146" s="428"/>
      <c r="CM146" s="427"/>
      <c r="CN146" s="454"/>
      <c r="CO146" s="454"/>
      <c r="CP146" s="428"/>
      <c r="CQ146" s="427"/>
      <c r="CR146" s="454"/>
      <c r="CS146" s="454"/>
      <c r="CT146" s="428"/>
      <c r="CU146" s="427"/>
      <c r="CV146" s="454"/>
      <c r="CW146" s="454"/>
      <c r="CX146" s="428"/>
      <c r="CY146" s="427"/>
      <c r="CZ146" s="454"/>
      <c r="DA146" s="454"/>
      <c r="DB146" s="428"/>
      <c r="DC146" s="427"/>
      <c r="DD146" s="454"/>
      <c r="DE146" s="454"/>
      <c r="DF146" s="428"/>
      <c r="DG146" s="427"/>
      <c r="DH146" s="454"/>
      <c r="DI146" s="454"/>
      <c r="DJ146" s="428"/>
      <c r="DK146" s="427"/>
      <c r="DL146" s="454"/>
      <c r="DM146" s="454"/>
      <c r="DN146" s="428"/>
      <c r="DO146" s="427"/>
      <c r="DP146" s="454"/>
      <c r="DQ146" s="454"/>
      <c r="DR146" s="428"/>
      <c r="DS146" s="427"/>
      <c r="DT146" s="454"/>
      <c r="DU146" s="454"/>
      <c r="DV146" s="428"/>
      <c r="DW146" s="427"/>
      <c r="DX146" s="454"/>
      <c r="DY146" s="454"/>
      <c r="DZ146" s="428"/>
      <c r="EA146" s="427"/>
      <c r="EB146" s="454"/>
      <c r="EC146" s="454"/>
      <c r="ED146" s="428"/>
      <c r="EE146" s="427"/>
      <c r="EF146" s="454"/>
      <c r="EG146" s="454"/>
      <c r="EH146" s="428"/>
      <c r="EI146" s="427"/>
      <c r="EJ146" s="454"/>
      <c r="EK146" s="454"/>
      <c r="EL146" s="428"/>
      <c r="EM146" s="427"/>
      <c r="EN146" s="454"/>
      <c r="EO146" s="454"/>
      <c r="EP146" s="428"/>
      <c r="EQ146" s="427"/>
      <c r="ER146" s="454"/>
      <c r="ES146" s="454"/>
      <c r="ET146" s="428"/>
      <c r="EU146" s="427"/>
      <c r="EV146" s="454"/>
      <c r="EW146" s="454"/>
      <c r="EX146" s="428"/>
      <c r="EY146" s="427"/>
      <c r="EZ146" s="454"/>
      <c r="FA146" s="454"/>
      <c r="FB146" s="428"/>
      <c r="FC146" s="427"/>
      <c r="FD146" s="454"/>
      <c r="FE146" s="454"/>
      <c r="FF146" s="428"/>
      <c r="FG146" s="427"/>
      <c r="FH146" s="454"/>
      <c r="FI146" s="454"/>
      <c r="FJ146" s="428"/>
      <c r="FK146" s="427"/>
      <c r="FL146" s="454"/>
      <c r="FM146" s="454"/>
      <c r="FN146" s="428"/>
      <c r="FO146" s="427"/>
      <c r="FP146" s="454"/>
      <c r="FQ146" s="454"/>
      <c r="FR146" s="428"/>
      <c r="FS146" s="427"/>
      <c r="FT146" s="454"/>
      <c r="FU146" s="454"/>
      <c r="FV146" s="428"/>
      <c r="FW146" s="427"/>
      <c r="FX146" s="454"/>
      <c r="FY146" s="454"/>
      <c r="FZ146" s="428"/>
      <c r="GA146" s="427"/>
      <c r="GB146" s="454"/>
      <c r="GC146" s="454"/>
      <c r="GD146" s="428"/>
      <c r="GE146" s="427"/>
      <c r="GF146" s="454"/>
      <c r="GG146" s="454"/>
      <c r="GH146" s="428"/>
      <c r="GI146" s="427"/>
      <c r="GJ146" s="454"/>
      <c r="GK146" s="454"/>
      <c r="GL146" s="428"/>
      <c r="GM146" s="427"/>
      <c r="GN146" s="454"/>
      <c r="GO146" s="454"/>
      <c r="GP146" s="428"/>
      <c r="GQ146" s="427"/>
      <c r="GR146" s="454"/>
      <c r="GS146" s="454"/>
      <c r="GT146" s="428"/>
      <c r="GU146" s="427"/>
      <c r="GV146" s="454"/>
      <c r="GW146" s="454"/>
      <c r="GX146" s="428"/>
      <c r="GY146" s="427"/>
      <c r="GZ146" s="454"/>
      <c r="HA146" s="454"/>
      <c r="HB146" s="428"/>
      <c r="HC146" s="434">
        <f t="shared" si="84"/>
        <v>0</v>
      </c>
      <c r="HD146" s="456"/>
      <c r="HE146" s="456"/>
      <c r="HF146" s="433"/>
      <c r="HG146" s="434">
        <f>SUM(SUMIFS(K146:HB146,$K$13:$HB$13,{"エネルギー管理指定工場等*","県域*"}))</f>
        <v>0</v>
      </c>
      <c r="HH146" s="456"/>
      <c r="HI146" s="456"/>
      <c r="HJ146" s="433"/>
    </row>
    <row r="147" spans="1:218" ht="20.100000000000001" customHeight="1">
      <c r="A147" s="164"/>
      <c r="B147" s="421" t="s">
        <v>1428</v>
      </c>
      <c r="C147" s="422"/>
      <c r="D147" s="422"/>
      <c r="E147" s="422"/>
      <c r="F147" s="422"/>
      <c r="G147" s="422"/>
      <c r="H147" s="453"/>
      <c r="I147" s="425"/>
      <c r="J147" s="426"/>
      <c r="K147" s="427"/>
      <c r="L147" s="454"/>
      <c r="M147" s="454"/>
      <c r="N147" s="428"/>
      <c r="O147" s="427"/>
      <c r="P147" s="454"/>
      <c r="Q147" s="454"/>
      <c r="R147" s="428"/>
      <c r="S147" s="427"/>
      <c r="T147" s="454"/>
      <c r="U147" s="454"/>
      <c r="V147" s="428"/>
      <c r="W147" s="427"/>
      <c r="X147" s="454"/>
      <c r="Y147" s="454"/>
      <c r="Z147" s="428"/>
      <c r="AA147" s="427"/>
      <c r="AB147" s="454"/>
      <c r="AC147" s="454"/>
      <c r="AD147" s="428"/>
      <c r="AE147" s="427"/>
      <c r="AF147" s="454"/>
      <c r="AG147" s="454"/>
      <c r="AH147" s="428"/>
      <c r="AI147" s="427"/>
      <c r="AJ147" s="454"/>
      <c r="AK147" s="454"/>
      <c r="AL147" s="428"/>
      <c r="AM147" s="427"/>
      <c r="AN147" s="454"/>
      <c r="AO147" s="454"/>
      <c r="AP147" s="428"/>
      <c r="AQ147" s="427"/>
      <c r="AR147" s="454"/>
      <c r="AS147" s="454"/>
      <c r="AT147" s="428"/>
      <c r="AU147" s="427"/>
      <c r="AV147" s="454"/>
      <c r="AW147" s="454"/>
      <c r="AX147" s="428"/>
      <c r="AY147" s="427"/>
      <c r="AZ147" s="454"/>
      <c r="BA147" s="454"/>
      <c r="BB147" s="428"/>
      <c r="BC147" s="427"/>
      <c r="BD147" s="454"/>
      <c r="BE147" s="454"/>
      <c r="BF147" s="428"/>
      <c r="BG147" s="427"/>
      <c r="BH147" s="454"/>
      <c r="BI147" s="454"/>
      <c r="BJ147" s="428"/>
      <c r="BK147" s="427"/>
      <c r="BL147" s="454"/>
      <c r="BM147" s="454"/>
      <c r="BN147" s="428"/>
      <c r="BO147" s="427"/>
      <c r="BP147" s="454"/>
      <c r="BQ147" s="454"/>
      <c r="BR147" s="428"/>
      <c r="BS147" s="427"/>
      <c r="BT147" s="454"/>
      <c r="BU147" s="454"/>
      <c r="BV147" s="428"/>
      <c r="BW147" s="427"/>
      <c r="BX147" s="454"/>
      <c r="BY147" s="454"/>
      <c r="BZ147" s="428"/>
      <c r="CA147" s="427"/>
      <c r="CB147" s="454"/>
      <c r="CC147" s="454"/>
      <c r="CD147" s="428"/>
      <c r="CE147" s="427"/>
      <c r="CF147" s="454"/>
      <c r="CG147" s="454"/>
      <c r="CH147" s="428"/>
      <c r="CI147" s="427"/>
      <c r="CJ147" s="454"/>
      <c r="CK147" s="454"/>
      <c r="CL147" s="428"/>
      <c r="CM147" s="427"/>
      <c r="CN147" s="454"/>
      <c r="CO147" s="454"/>
      <c r="CP147" s="428"/>
      <c r="CQ147" s="427"/>
      <c r="CR147" s="454"/>
      <c r="CS147" s="454"/>
      <c r="CT147" s="428"/>
      <c r="CU147" s="427"/>
      <c r="CV147" s="454"/>
      <c r="CW147" s="454"/>
      <c r="CX147" s="428"/>
      <c r="CY147" s="427"/>
      <c r="CZ147" s="454"/>
      <c r="DA147" s="454"/>
      <c r="DB147" s="428"/>
      <c r="DC147" s="427"/>
      <c r="DD147" s="454"/>
      <c r="DE147" s="454"/>
      <c r="DF147" s="428"/>
      <c r="DG147" s="427"/>
      <c r="DH147" s="454"/>
      <c r="DI147" s="454"/>
      <c r="DJ147" s="428"/>
      <c r="DK147" s="427"/>
      <c r="DL147" s="454"/>
      <c r="DM147" s="454"/>
      <c r="DN147" s="428"/>
      <c r="DO147" s="427"/>
      <c r="DP147" s="454"/>
      <c r="DQ147" s="454"/>
      <c r="DR147" s="428"/>
      <c r="DS147" s="427"/>
      <c r="DT147" s="454"/>
      <c r="DU147" s="454"/>
      <c r="DV147" s="428"/>
      <c r="DW147" s="427"/>
      <c r="DX147" s="454"/>
      <c r="DY147" s="454"/>
      <c r="DZ147" s="428"/>
      <c r="EA147" s="427"/>
      <c r="EB147" s="454"/>
      <c r="EC147" s="454"/>
      <c r="ED147" s="428"/>
      <c r="EE147" s="427"/>
      <c r="EF147" s="454"/>
      <c r="EG147" s="454"/>
      <c r="EH147" s="428"/>
      <c r="EI147" s="427"/>
      <c r="EJ147" s="454"/>
      <c r="EK147" s="454"/>
      <c r="EL147" s="428"/>
      <c r="EM147" s="427"/>
      <c r="EN147" s="454"/>
      <c r="EO147" s="454"/>
      <c r="EP147" s="428"/>
      <c r="EQ147" s="427"/>
      <c r="ER147" s="454"/>
      <c r="ES147" s="454"/>
      <c r="ET147" s="428"/>
      <c r="EU147" s="427"/>
      <c r="EV147" s="454"/>
      <c r="EW147" s="454"/>
      <c r="EX147" s="428"/>
      <c r="EY147" s="427"/>
      <c r="EZ147" s="454"/>
      <c r="FA147" s="454"/>
      <c r="FB147" s="428"/>
      <c r="FC147" s="427"/>
      <c r="FD147" s="454"/>
      <c r="FE147" s="454"/>
      <c r="FF147" s="428"/>
      <c r="FG147" s="427"/>
      <c r="FH147" s="454"/>
      <c r="FI147" s="454"/>
      <c r="FJ147" s="428"/>
      <c r="FK147" s="427"/>
      <c r="FL147" s="454"/>
      <c r="FM147" s="454"/>
      <c r="FN147" s="428"/>
      <c r="FO147" s="427"/>
      <c r="FP147" s="454"/>
      <c r="FQ147" s="454"/>
      <c r="FR147" s="428"/>
      <c r="FS147" s="427"/>
      <c r="FT147" s="454"/>
      <c r="FU147" s="454"/>
      <c r="FV147" s="428"/>
      <c r="FW147" s="427"/>
      <c r="FX147" s="454"/>
      <c r="FY147" s="454"/>
      <c r="FZ147" s="428"/>
      <c r="GA147" s="427"/>
      <c r="GB147" s="454"/>
      <c r="GC147" s="454"/>
      <c r="GD147" s="428"/>
      <c r="GE147" s="427"/>
      <c r="GF147" s="454"/>
      <c r="GG147" s="454"/>
      <c r="GH147" s="428"/>
      <c r="GI147" s="427"/>
      <c r="GJ147" s="454"/>
      <c r="GK147" s="454"/>
      <c r="GL147" s="428"/>
      <c r="GM147" s="427"/>
      <c r="GN147" s="454"/>
      <c r="GO147" s="454"/>
      <c r="GP147" s="428"/>
      <c r="GQ147" s="427"/>
      <c r="GR147" s="454"/>
      <c r="GS147" s="454"/>
      <c r="GT147" s="428"/>
      <c r="GU147" s="427"/>
      <c r="GV147" s="454"/>
      <c r="GW147" s="454"/>
      <c r="GX147" s="428"/>
      <c r="GY147" s="427"/>
      <c r="GZ147" s="454"/>
      <c r="HA147" s="454"/>
      <c r="HB147" s="428"/>
      <c r="HC147" s="434">
        <f t="shared" si="84"/>
        <v>0</v>
      </c>
      <c r="HD147" s="456"/>
      <c r="HE147" s="456"/>
      <c r="HF147" s="433"/>
      <c r="HG147" s="434">
        <f>SUM(SUMIFS(K147:HB147,$K$13:$HB$13,{"エネルギー管理指定工場等*","県域*"}))</f>
        <v>0</v>
      </c>
      <c r="HH147" s="456"/>
      <c r="HI147" s="456"/>
      <c r="HJ147" s="433"/>
    </row>
    <row r="148" spans="1:218" ht="20.100000000000001" customHeight="1">
      <c r="A148" s="164"/>
      <c r="B148" s="421" t="s">
        <v>1429</v>
      </c>
      <c r="C148" s="422"/>
      <c r="D148" s="422"/>
      <c r="E148" s="422"/>
      <c r="F148" s="422"/>
      <c r="G148" s="422"/>
      <c r="H148" s="453"/>
      <c r="I148" s="425"/>
      <c r="J148" s="426"/>
      <c r="K148" s="427"/>
      <c r="L148" s="454"/>
      <c r="M148" s="454"/>
      <c r="N148" s="428"/>
      <c r="O148" s="427"/>
      <c r="P148" s="454"/>
      <c r="Q148" s="454"/>
      <c r="R148" s="428"/>
      <c r="S148" s="427"/>
      <c r="T148" s="454"/>
      <c r="U148" s="454"/>
      <c r="V148" s="428"/>
      <c r="W148" s="427"/>
      <c r="X148" s="454"/>
      <c r="Y148" s="454"/>
      <c r="Z148" s="428"/>
      <c r="AA148" s="427"/>
      <c r="AB148" s="454"/>
      <c r="AC148" s="454"/>
      <c r="AD148" s="428"/>
      <c r="AE148" s="427"/>
      <c r="AF148" s="454"/>
      <c r="AG148" s="454"/>
      <c r="AH148" s="428"/>
      <c r="AI148" s="427"/>
      <c r="AJ148" s="454"/>
      <c r="AK148" s="454"/>
      <c r="AL148" s="428"/>
      <c r="AM148" s="427"/>
      <c r="AN148" s="454"/>
      <c r="AO148" s="454"/>
      <c r="AP148" s="428"/>
      <c r="AQ148" s="427"/>
      <c r="AR148" s="454"/>
      <c r="AS148" s="454"/>
      <c r="AT148" s="428"/>
      <c r="AU148" s="427"/>
      <c r="AV148" s="454"/>
      <c r="AW148" s="454"/>
      <c r="AX148" s="428"/>
      <c r="AY148" s="427"/>
      <c r="AZ148" s="454"/>
      <c r="BA148" s="454"/>
      <c r="BB148" s="428"/>
      <c r="BC148" s="427"/>
      <c r="BD148" s="454"/>
      <c r="BE148" s="454"/>
      <c r="BF148" s="428"/>
      <c r="BG148" s="427"/>
      <c r="BH148" s="454"/>
      <c r="BI148" s="454"/>
      <c r="BJ148" s="428"/>
      <c r="BK148" s="427"/>
      <c r="BL148" s="454"/>
      <c r="BM148" s="454"/>
      <c r="BN148" s="428"/>
      <c r="BO148" s="427"/>
      <c r="BP148" s="454"/>
      <c r="BQ148" s="454"/>
      <c r="BR148" s="428"/>
      <c r="BS148" s="427"/>
      <c r="BT148" s="454"/>
      <c r="BU148" s="454"/>
      <c r="BV148" s="428"/>
      <c r="BW148" s="427"/>
      <c r="BX148" s="454"/>
      <c r="BY148" s="454"/>
      <c r="BZ148" s="428"/>
      <c r="CA148" s="427"/>
      <c r="CB148" s="454"/>
      <c r="CC148" s="454"/>
      <c r="CD148" s="428"/>
      <c r="CE148" s="427"/>
      <c r="CF148" s="454"/>
      <c r="CG148" s="454"/>
      <c r="CH148" s="428"/>
      <c r="CI148" s="427"/>
      <c r="CJ148" s="454"/>
      <c r="CK148" s="454"/>
      <c r="CL148" s="428"/>
      <c r="CM148" s="427"/>
      <c r="CN148" s="454"/>
      <c r="CO148" s="454"/>
      <c r="CP148" s="428"/>
      <c r="CQ148" s="427"/>
      <c r="CR148" s="454"/>
      <c r="CS148" s="454"/>
      <c r="CT148" s="428"/>
      <c r="CU148" s="427"/>
      <c r="CV148" s="454"/>
      <c r="CW148" s="454"/>
      <c r="CX148" s="428"/>
      <c r="CY148" s="427"/>
      <c r="CZ148" s="454"/>
      <c r="DA148" s="454"/>
      <c r="DB148" s="428"/>
      <c r="DC148" s="427"/>
      <c r="DD148" s="454"/>
      <c r="DE148" s="454"/>
      <c r="DF148" s="428"/>
      <c r="DG148" s="427"/>
      <c r="DH148" s="454"/>
      <c r="DI148" s="454"/>
      <c r="DJ148" s="428"/>
      <c r="DK148" s="427"/>
      <c r="DL148" s="454"/>
      <c r="DM148" s="454"/>
      <c r="DN148" s="428"/>
      <c r="DO148" s="427"/>
      <c r="DP148" s="454"/>
      <c r="DQ148" s="454"/>
      <c r="DR148" s="428"/>
      <c r="DS148" s="427"/>
      <c r="DT148" s="454"/>
      <c r="DU148" s="454"/>
      <c r="DV148" s="428"/>
      <c r="DW148" s="427"/>
      <c r="DX148" s="454"/>
      <c r="DY148" s="454"/>
      <c r="DZ148" s="428"/>
      <c r="EA148" s="427"/>
      <c r="EB148" s="454"/>
      <c r="EC148" s="454"/>
      <c r="ED148" s="428"/>
      <c r="EE148" s="427"/>
      <c r="EF148" s="454"/>
      <c r="EG148" s="454"/>
      <c r="EH148" s="428"/>
      <c r="EI148" s="427"/>
      <c r="EJ148" s="454"/>
      <c r="EK148" s="454"/>
      <c r="EL148" s="428"/>
      <c r="EM148" s="427"/>
      <c r="EN148" s="454"/>
      <c r="EO148" s="454"/>
      <c r="EP148" s="428"/>
      <c r="EQ148" s="427"/>
      <c r="ER148" s="454"/>
      <c r="ES148" s="454"/>
      <c r="ET148" s="428"/>
      <c r="EU148" s="427"/>
      <c r="EV148" s="454"/>
      <c r="EW148" s="454"/>
      <c r="EX148" s="428"/>
      <c r="EY148" s="427"/>
      <c r="EZ148" s="454"/>
      <c r="FA148" s="454"/>
      <c r="FB148" s="428"/>
      <c r="FC148" s="427"/>
      <c r="FD148" s="454"/>
      <c r="FE148" s="454"/>
      <c r="FF148" s="428"/>
      <c r="FG148" s="427"/>
      <c r="FH148" s="454"/>
      <c r="FI148" s="454"/>
      <c r="FJ148" s="428"/>
      <c r="FK148" s="427"/>
      <c r="FL148" s="454"/>
      <c r="FM148" s="454"/>
      <c r="FN148" s="428"/>
      <c r="FO148" s="427"/>
      <c r="FP148" s="454"/>
      <c r="FQ148" s="454"/>
      <c r="FR148" s="428"/>
      <c r="FS148" s="427"/>
      <c r="FT148" s="454"/>
      <c r="FU148" s="454"/>
      <c r="FV148" s="428"/>
      <c r="FW148" s="427"/>
      <c r="FX148" s="454"/>
      <c r="FY148" s="454"/>
      <c r="FZ148" s="428"/>
      <c r="GA148" s="427"/>
      <c r="GB148" s="454"/>
      <c r="GC148" s="454"/>
      <c r="GD148" s="428"/>
      <c r="GE148" s="427"/>
      <c r="GF148" s="454"/>
      <c r="GG148" s="454"/>
      <c r="GH148" s="428"/>
      <c r="GI148" s="427"/>
      <c r="GJ148" s="454"/>
      <c r="GK148" s="454"/>
      <c r="GL148" s="428"/>
      <c r="GM148" s="427"/>
      <c r="GN148" s="454"/>
      <c r="GO148" s="454"/>
      <c r="GP148" s="428"/>
      <c r="GQ148" s="427"/>
      <c r="GR148" s="454"/>
      <c r="GS148" s="454"/>
      <c r="GT148" s="428"/>
      <c r="GU148" s="427"/>
      <c r="GV148" s="454"/>
      <c r="GW148" s="454"/>
      <c r="GX148" s="428"/>
      <c r="GY148" s="427"/>
      <c r="GZ148" s="454"/>
      <c r="HA148" s="454"/>
      <c r="HB148" s="428"/>
      <c r="HC148" s="434">
        <f t="shared" si="84"/>
        <v>0</v>
      </c>
      <c r="HD148" s="456"/>
      <c r="HE148" s="456"/>
      <c r="HF148" s="433"/>
      <c r="HG148" s="434">
        <f>SUM(SUMIFS(K148:HB148,$K$13:$HB$13,{"エネルギー管理指定工場等*","県域*"}))</f>
        <v>0</v>
      </c>
      <c r="HH148" s="456"/>
      <c r="HI148" s="456"/>
      <c r="HJ148" s="433"/>
    </row>
    <row r="149" spans="1:218" ht="20.100000000000001" customHeight="1">
      <c r="A149" s="164"/>
      <c r="B149" s="421" t="s">
        <v>1430</v>
      </c>
      <c r="C149" s="422"/>
      <c r="D149" s="422"/>
      <c r="E149" s="422"/>
      <c r="F149" s="422"/>
      <c r="G149" s="422"/>
      <c r="H149" s="453"/>
      <c r="I149" s="425"/>
      <c r="J149" s="426"/>
      <c r="K149" s="427"/>
      <c r="L149" s="454"/>
      <c r="M149" s="454"/>
      <c r="N149" s="428"/>
      <c r="O149" s="427"/>
      <c r="P149" s="454"/>
      <c r="Q149" s="454"/>
      <c r="R149" s="428"/>
      <c r="S149" s="427"/>
      <c r="T149" s="454"/>
      <c r="U149" s="454"/>
      <c r="V149" s="428"/>
      <c r="W149" s="427"/>
      <c r="X149" s="454"/>
      <c r="Y149" s="454"/>
      <c r="Z149" s="428"/>
      <c r="AA149" s="427"/>
      <c r="AB149" s="454"/>
      <c r="AC149" s="454"/>
      <c r="AD149" s="428"/>
      <c r="AE149" s="427"/>
      <c r="AF149" s="454"/>
      <c r="AG149" s="454"/>
      <c r="AH149" s="428"/>
      <c r="AI149" s="427"/>
      <c r="AJ149" s="454"/>
      <c r="AK149" s="454"/>
      <c r="AL149" s="428"/>
      <c r="AM149" s="427"/>
      <c r="AN149" s="454"/>
      <c r="AO149" s="454"/>
      <c r="AP149" s="428"/>
      <c r="AQ149" s="427"/>
      <c r="AR149" s="454"/>
      <c r="AS149" s="454"/>
      <c r="AT149" s="428"/>
      <c r="AU149" s="427"/>
      <c r="AV149" s="454"/>
      <c r="AW149" s="454"/>
      <c r="AX149" s="428"/>
      <c r="AY149" s="427"/>
      <c r="AZ149" s="454"/>
      <c r="BA149" s="454"/>
      <c r="BB149" s="428"/>
      <c r="BC149" s="427"/>
      <c r="BD149" s="454"/>
      <c r="BE149" s="454"/>
      <c r="BF149" s="428"/>
      <c r="BG149" s="427"/>
      <c r="BH149" s="454"/>
      <c r="BI149" s="454"/>
      <c r="BJ149" s="428"/>
      <c r="BK149" s="427"/>
      <c r="BL149" s="454"/>
      <c r="BM149" s="454"/>
      <c r="BN149" s="428"/>
      <c r="BO149" s="427"/>
      <c r="BP149" s="454"/>
      <c r="BQ149" s="454"/>
      <c r="BR149" s="428"/>
      <c r="BS149" s="427"/>
      <c r="BT149" s="454"/>
      <c r="BU149" s="454"/>
      <c r="BV149" s="428"/>
      <c r="BW149" s="427"/>
      <c r="BX149" s="454"/>
      <c r="BY149" s="454"/>
      <c r="BZ149" s="428"/>
      <c r="CA149" s="427"/>
      <c r="CB149" s="454"/>
      <c r="CC149" s="454"/>
      <c r="CD149" s="428"/>
      <c r="CE149" s="427"/>
      <c r="CF149" s="454"/>
      <c r="CG149" s="454"/>
      <c r="CH149" s="428"/>
      <c r="CI149" s="427"/>
      <c r="CJ149" s="454"/>
      <c r="CK149" s="454"/>
      <c r="CL149" s="428"/>
      <c r="CM149" s="427"/>
      <c r="CN149" s="454"/>
      <c r="CO149" s="454"/>
      <c r="CP149" s="428"/>
      <c r="CQ149" s="427"/>
      <c r="CR149" s="454"/>
      <c r="CS149" s="454"/>
      <c r="CT149" s="428"/>
      <c r="CU149" s="427"/>
      <c r="CV149" s="454"/>
      <c r="CW149" s="454"/>
      <c r="CX149" s="428"/>
      <c r="CY149" s="427"/>
      <c r="CZ149" s="454"/>
      <c r="DA149" s="454"/>
      <c r="DB149" s="428"/>
      <c r="DC149" s="427"/>
      <c r="DD149" s="454"/>
      <c r="DE149" s="454"/>
      <c r="DF149" s="428"/>
      <c r="DG149" s="427"/>
      <c r="DH149" s="454"/>
      <c r="DI149" s="454"/>
      <c r="DJ149" s="428"/>
      <c r="DK149" s="427"/>
      <c r="DL149" s="454"/>
      <c r="DM149" s="454"/>
      <c r="DN149" s="428"/>
      <c r="DO149" s="427"/>
      <c r="DP149" s="454"/>
      <c r="DQ149" s="454"/>
      <c r="DR149" s="428"/>
      <c r="DS149" s="427"/>
      <c r="DT149" s="454"/>
      <c r="DU149" s="454"/>
      <c r="DV149" s="428"/>
      <c r="DW149" s="427"/>
      <c r="DX149" s="454"/>
      <c r="DY149" s="454"/>
      <c r="DZ149" s="428"/>
      <c r="EA149" s="427"/>
      <c r="EB149" s="454"/>
      <c r="EC149" s="454"/>
      <c r="ED149" s="428"/>
      <c r="EE149" s="427"/>
      <c r="EF149" s="454"/>
      <c r="EG149" s="454"/>
      <c r="EH149" s="428"/>
      <c r="EI149" s="427"/>
      <c r="EJ149" s="454"/>
      <c r="EK149" s="454"/>
      <c r="EL149" s="428"/>
      <c r="EM149" s="427"/>
      <c r="EN149" s="454"/>
      <c r="EO149" s="454"/>
      <c r="EP149" s="428"/>
      <c r="EQ149" s="427"/>
      <c r="ER149" s="454"/>
      <c r="ES149" s="454"/>
      <c r="ET149" s="428"/>
      <c r="EU149" s="427"/>
      <c r="EV149" s="454"/>
      <c r="EW149" s="454"/>
      <c r="EX149" s="428"/>
      <c r="EY149" s="427"/>
      <c r="EZ149" s="454"/>
      <c r="FA149" s="454"/>
      <c r="FB149" s="428"/>
      <c r="FC149" s="427"/>
      <c r="FD149" s="454"/>
      <c r="FE149" s="454"/>
      <c r="FF149" s="428"/>
      <c r="FG149" s="427"/>
      <c r="FH149" s="454"/>
      <c r="FI149" s="454"/>
      <c r="FJ149" s="428"/>
      <c r="FK149" s="427"/>
      <c r="FL149" s="454"/>
      <c r="FM149" s="454"/>
      <c r="FN149" s="428"/>
      <c r="FO149" s="427"/>
      <c r="FP149" s="454"/>
      <c r="FQ149" s="454"/>
      <c r="FR149" s="428"/>
      <c r="FS149" s="427"/>
      <c r="FT149" s="454"/>
      <c r="FU149" s="454"/>
      <c r="FV149" s="428"/>
      <c r="FW149" s="427"/>
      <c r="FX149" s="454"/>
      <c r="FY149" s="454"/>
      <c r="FZ149" s="428"/>
      <c r="GA149" s="427"/>
      <c r="GB149" s="454"/>
      <c r="GC149" s="454"/>
      <c r="GD149" s="428"/>
      <c r="GE149" s="427"/>
      <c r="GF149" s="454"/>
      <c r="GG149" s="454"/>
      <c r="GH149" s="428"/>
      <c r="GI149" s="427"/>
      <c r="GJ149" s="454"/>
      <c r="GK149" s="454"/>
      <c r="GL149" s="428"/>
      <c r="GM149" s="427"/>
      <c r="GN149" s="454"/>
      <c r="GO149" s="454"/>
      <c r="GP149" s="428"/>
      <c r="GQ149" s="427"/>
      <c r="GR149" s="454"/>
      <c r="GS149" s="454"/>
      <c r="GT149" s="428"/>
      <c r="GU149" s="427"/>
      <c r="GV149" s="454"/>
      <c r="GW149" s="454"/>
      <c r="GX149" s="428"/>
      <c r="GY149" s="427"/>
      <c r="GZ149" s="454"/>
      <c r="HA149" s="454"/>
      <c r="HB149" s="428"/>
      <c r="HC149" s="434">
        <f t="shared" si="84"/>
        <v>0</v>
      </c>
      <c r="HD149" s="456"/>
      <c r="HE149" s="456"/>
      <c r="HF149" s="433"/>
      <c r="HG149" s="434">
        <f>SUM(SUMIFS(K149:HB149,$K$13:$HB$13,{"エネルギー管理指定工場等*","県域*"}))</f>
        <v>0</v>
      </c>
      <c r="HH149" s="456"/>
      <c r="HI149" s="456"/>
      <c r="HJ149" s="433"/>
    </row>
    <row r="150" spans="1:218" ht="20.100000000000001" customHeight="1">
      <c r="A150" s="164"/>
      <c r="B150" s="443" t="s">
        <v>1431</v>
      </c>
      <c r="C150" s="444"/>
      <c r="D150" s="444"/>
      <c r="E150" s="444"/>
      <c r="F150" s="444"/>
      <c r="G150" s="444"/>
      <c r="H150" s="467"/>
      <c r="I150" s="425"/>
      <c r="J150" s="426"/>
      <c r="K150" s="468"/>
      <c r="L150" s="469"/>
      <c r="M150" s="469"/>
      <c r="N150" s="482"/>
      <c r="O150" s="468"/>
      <c r="P150" s="469"/>
      <c r="Q150" s="469"/>
      <c r="R150" s="482"/>
      <c r="S150" s="468"/>
      <c r="T150" s="469"/>
      <c r="U150" s="469"/>
      <c r="V150" s="482"/>
      <c r="W150" s="468"/>
      <c r="X150" s="469"/>
      <c r="Y150" s="469"/>
      <c r="Z150" s="482"/>
      <c r="AA150" s="468"/>
      <c r="AB150" s="469"/>
      <c r="AC150" s="469"/>
      <c r="AD150" s="482"/>
      <c r="AE150" s="468"/>
      <c r="AF150" s="469"/>
      <c r="AG150" s="469"/>
      <c r="AH150" s="482"/>
      <c r="AI150" s="468"/>
      <c r="AJ150" s="469"/>
      <c r="AK150" s="469"/>
      <c r="AL150" s="482"/>
      <c r="AM150" s="468"/>
      <c r="AN150" s="469"/>
      <c r="AO150" s="469"/>
      <c r="AP150" s="482"/>
      <c r="AQ150" s="468"/>
      <c r="AR150" s="469"/>
      <c r="AS150" s="469"/>
      <c r="AT150" s="482"/>
      <c r="AU150" s="468"/>
      <c r="AV150" s="469"/>
      <c r="AW150" s="469"/>
      <c r="AX150" s="482"/>
      <c r="AY150" s="468"/>
      <c r="AZ150" s="469"/>
      <c r="BA150" s="469"/>
      <c r="BB150" s="482"/>
      <c r="BC150" s="468"/>
      <c r="BD150" s="469"/>
      <c r="BE150" s="469"/>
      <c r="BF150" s="482"/>
      <c r="BG150" s="468"/>
      <c r="BH150" s="469"/>
      <c r="BI150" s="469"/>
      <c r="BJ150" s="482"/>
      <c r="BK150" s="468"/>
      <c r="BL150" s="469"/>
      <c r="BM150" s="469"/>
      <c r="BN150" s="482"/>
      <c r="BO150" s="468"/>
      <c r="BP150" s="469"/>
      <c r="BQ150" s="469"/>
      <c r="BR150" s="482"/>
      <c r="BS150" s="468"/>
      <c r="BT150" s="469"/>
      <c r="BU150" s="469"/>
      <c r="BV150" s="482"/>
      <c r="BW150" s="468"/>
      <c r="BX150" s="469"/>
      <c r="BY150" s="469"/>
      <c r="BZ150" s="482"/>
      <c r="CA150" s="468"/>
      <c r="CB150" s="469"/>
      <c r="CC150" s="469"/>
      <c r="CD150" s="482"/>
      <c r="CE150" s="468"/>
      <c r="CF150" s="469"/>
      <c r="CG150" s="469"/>
      <c r="CH150" s="482"/>
      <c r="CI150" s="468"/>
      <c r="CJ150" s="469"/>
      <c r="CK150" s="469"/>
      <c r="CL150" s="482"/>
      <c r="CM150" s="468"/>
      <c r="CN150" s="469"/>
      <c r="CO150" s="469"/>
      <c r="CP150" s="482"/>
      <c r="CQ150" s="468"/>
      <c r="CR150" s="469"/>
      <c r="CS150" s="469"/>
      <c r="CT150" s="482"/>
      <c r="CU150" s="468"/>
      <c r="CV150" s="469"/>
      <c r="CW150" s="469"/>
      <c r="CX150" s="482"/>
      <c r="CY150" s="468"/>
      <c r="CZ150" s="469"/>
      <c r="DA150" s="469"/>
      <c r="DB150" s="482"/>
      <c r="DC150" s="468"/>
      <c r="DD150" s="469"/>
      <c r="DE150" s="469"/>
      <c r="DF150" s="482"/>
      <c r="DG150" s="468"/>
      <c r="DH150" s="469"/>
      <c r="DI150" s="469"/>
      <c r="DJ150" s="482"/>
      <c r="DK150" s="468"/>
      <c r="DL150" s="469"/>
      <c r="DM150" s="469"/>
      <c r="DN150" s="482"/>
      <c r="DO150" s="468"/>
      <c r="DP150" s="469"/>
      <c r="DQ150" s="469"/>
      <c r="DR150" s="482"/>
      <c r="DS150" s="468"/>
      <c r="DT150" s="469"/>
      <c r="DU150" s="469"/>
      <c r="DV150" s="482"/>
      <c r="DW150" s="468"/>
      <c r="DX150" s="469"/>
      <c r="DY150" s="469"/>
      <c r="DZ150" s="482"/>
      <c r="EA150" s="468"/>
      <c r="EB150" s="469"/>
      <c r="EC150" s="469"/>
      <c r="ED150" s="482"/>
      <c r="EE150" s="468"/>
      <c r="EF150" s="469"/>
      <c r="EG150" s="469"/>
      <c r="EH150" s="482"/>
      <c r="EI150" s="468"/>
      <c r="EJ150" s="469"/>
      <c r="EK150" s="469"/>
      <c r="EL150" s="482"/>
      <c r="EM150" s="468"/>
      <c r="EN150" s="469"/>
      <c r="EO150" s="469"/>
      <c r="EP150" s="482"/>
      <c r="EQ150" s="468"/>
      <c r="ER150" s="469"/>
      <c r="ES150" s="469"/>
      <c r="ET150" s="482"/>
      <c r="EU150" s="468"/>
      <c r="EV150" s="469"/>
      <c r="EW150" s="469"/>
      <c r="EX150" s="482"/>
      <c r="EY150" s="468"/>
      <c r="EZ150" s="469"/>
      <c r="FA150" s="469"/>
      <c r="FB150" s="482"/>
      <c r="FC150" s="468"/>
      <c r="FD150" s="469"/>
      <c r="FE150" s="469"/>
      <c r="FF150" s="482"/>
      <c r="FG150" s="468"/>
      <c r="FH150" s="469"/>
      <c r="FI150" s="469"/>
      <c r="FJ150" s="482"/>
      <c r="FK150" s="468"/>
      <c r="FL150" s="469"/>
      <c r="FM150" s="469"/>
      <c r="FN150" s="482"/>
      <c r="FO150" s="468"/>
      <c r="FP150" s="469"/>
      <c r="FQ150" s="469"/>
      <c r="FR150" s="482"/>
      <c r="FS150" s="468"/>
      <c r="FT150" s="469"/>
      <c r="FU150" s="469"/>
      <c r="FV150" s="482"/>
      <c r="FW150" s="468"/>
      <c r="FX150" s="469"/>
      <c r="FY150" s="469"/>
      <c r="FZ150" s="482"/>
      <c r="GA150" s="468"/>
      <c r="GB150" s="469"/>
      <c r="GC150" s="469"/>
      <c r="GD150" s="482"/>
      <c r="GE150" s="468"/>
      <c r="GF150" s="469"/>
      <c r="GG150" s="469"/>
      <c r="GH150" s="482"/>
      <c r="GI150" s="468"/>
      <c r="GJ150" s="469"/>
      <c r="GK150" s="469"/>
      <c r="GL150" s="482"/>
      <c r="GM150" s="468"/>
      <c r="GN150" s="469"/>
      <c r="GO150" s="469"/>
      <c r="GP150" s="482"/>
      <c r="GQ150" s="468"/>
      <c r="GR150" s="469"/>
      <c r="GS150" s="469"/>
      <c r="GT150" s="482"/>
      <c r="GU150" s="468"/>
      <c r="GV150" s="469"/>
      <c r="GW150" s="469"/>
      <c r="GX150" s="482"/>
      <c r="GY150" s="468"/>
      <c r="GZ150" s="469"/>
      <c r="HA150" s="469"/>
      <c r="HB150" s="482"/>
      <c r="HC150" s="446">
        <f t="shared" si="84"/>
        <v>0</v>
      </c>
      <c r="HD150" s="471"/>
      <c r="HE150" s="471"/>
      <c r="HF150" s="448"/>
      <c r="HG150" s="446">
        <f>SUM(SUMIFS(K150:HB150,$K$13:$HB$13,{"エネルギー管理指定工場等*","県域*"}))</f>
        <v>0</v>
      </c>
      <c r="HH150" s="471"/>
      <c r="HI150" s="471"/>
      <c r="HJ150" s="448"/>
    </row>
    <row r="151" spans="1:218" ht="20.100000000000001" customHeight="1">
      <c r="A151" s="164"/>
      <c r="B151" s="410" t="s">
        <v>1432</v>
      </c>
      <c r="C151" s="411"/>
      <c r="D151" s="411"/>
      <c r="E151" s="411"/>
      <c r="F151" s="411"/>
      <c r="G151" s="411"/>
      <c r="H151" s="436"/>
      <c r="I151" s="425"/>
      <c r="J151" s="426"/>
      <c r="K151" s="416"/>
      <c r="L151" s="449"/>
      <c r="M151" s="449"/>
      <c r="N151" s="417"/>
      <c r="O151" s="416"/>
      <c r="P151" s="449"/>
      <c r="Q151" s="449"/>
      <c r="R151" s="417"/>
      <c r="S151" s="416"/>
      <c r="T151" s="449"/>
      <c r="U151" s="449"/>
      <c r="V151" s="417"/>
      <c r="W151" s="416"/>
      <c r="X151" s="449"/>
      <c r="Y151" s="449"/>
      <c r="Z151" s="417"/>
      <c r="AA151" s="416"/>
      <c r="AB151" s="449"/>
      <c r="AC151" s="449"/>
      <c r="AD151" s="417"/>
      <c r="AE151" s="416"/>
      <c r="AF151" s="449"/>
      <c r="AG151" s="449"/>
      <c r="AH151" s="417"/>
      <c r="AI151" s="416"/>
      <c r="AJ151" s="449"/>
      <c r="AK151" s="449"/>
      <c r="AL151" s="417"/>
      <c r="AM151" s="416"/>
      <c r="AN151" s="449"/>
      <c r="AO151" s="449"/>
      <c r="AP151" s="417"/>
      <c r="AQ151" s="416"/>
      <c r="AR151" s="449"/>
      <c r="AS151" s="449"/>
      <c r="AT151" s="417"/>
      <c r="AU151" s="416"/>
      <c r="AV151" s="449"/>
      <c r="AW151" s="449"/>
      <c r="AX151" s="417"/>
      <c r="AY151" s="416"/>
      <c r="AZ151" s="449"/>
      <c r="BA151" s="449"/>
      <c r="BB151" s="417"/>
      <c r="BC151" s="416"/>
      <c r="BD151" s="449"/>
      <c r="BE151" s="449"/>
      <c r="BF151" s="417"/>
      <c r="BG151" s="416"/>
      <c r="BH151" s="449"/>
      <c r="BI151" s="449"/>
      <c r="BJ151" s="417"/>
      <c r="BK151" s="416"/>
      <c r="BL151" s="449"/>
      <c r="BM151" s="449"/>
      <c r="BN151" s="417"/>
      <c r="BO151" s="416"/>
      <c r="BP151" s="449"/>
      <c r="BQ151" s="449"/>
      <c r="BR151" s="417"/>
      <c r="BS151" s="416"/>
      <c r="BT151" s="449"/>
      <c r="BU151" s="449"/>
      <c r="BV151" s="417"/>
      <c r="BW151" s="416"/>
      <c r="BX151" s="449"/>
      <c r="BY151" s="449"/>
      <c r="BZ151" s="417"/>
      <c r="CA151" s="416"/>
      <c r="CB151" s="449"/>
      <c r="CC151" s="449"/>
      <c r="CD151" s="417"/>
      <c r="CE151" s="416"/>
      <c r="CF151" s="449"/>
      <c r="CG151" s="449"/>
      <c r="CH151" s="417"/>
      <c r="CI151" s="416"/>
      <c r="CJ151" s="449"/>
      <c r="CK151" s="449"/>
      <c r="CL151" s="417"/>
      <c r="CM151" s="416"/>
      <c r="CN151" s="449"/>
      <c r="CO151" s="449"/>
      <c r="CP151" s="417"/>
      <c r="CQ151" s="416"/>
      <c r="CR151" s="449"/>
      <c r="CS151" s="449"/>
      <c r="CT151" s="417"/>
      <c r="CU151" s="416"/>
      <c r="CV151" s="449"/>
      <c r="CW151" s="449"/>
      <c r="CX151" s="417"/>
      <c r="CY151" s="416"/>
      <c r="CZ151" s="449"/>
      <c r="DA151" s="449"/>
      <c r="DB151" s="417"/>
      <c r="DC151" s="416"/>
      <c r="DD151" s="449"/>
      <c r="DE151" s="449"/>
      <c r="DF151" s="417"/>
      <c r="DG151" s="416"/>
      <c r="DH151" s="449"/>
      <c r="DI151" s="449"/>
      <c r="DJ151" s="417"/>
      <c r="DK151" s="416"/>
      <c r="DL151" s="449"/>
      <c r="DM151" s="449"/>
      <c r="DN151" s="417"/>
      <c r="DO151" s="416"/>
      <c r="DP151" s="449"/>
      <c r="DQ151" s="449"/>
      <c r="DR151" s="417"/>
      <c r="DS151" s="416"/>
      <c r="DT151" s="449"/>
      <c r="DU151" s="449"/>
      <c r="DV151" s="417"/>
      <c r="DW151" s="416"/>
      <c r="DX151" s="449"/>
      <c r="DY151" s="449"/>
      <c r="DZ151" s="417"/>
      <c r="EA151" s="416"/>
      <c r="EB151" s="449"/>
      <c r="EC151" s="449"/>
      <c r="ED151" s="417"/>
      <c r="EE151" s="416"/>
      <c r="EF151" s="449"/>
      <c r="EG151" s="449"/>
      <c r="EH151" s="417"/>
      <c r="EI151" s="416"/>
      <c r="EJ151" s="449"/>
      <c r="EK151" s="449"/>
      <c r="EL151" s="417"/>
      <c r="EM151" s="416"/>
      <c r="EN151" s="449"/>
      <c r="EO151" s="449"/>
      <c r="EP151" s="417"/>
      <c r="EQ151" s="416"/>
      <c r="ER151" s="449"/>
      <c r="ES151" s="449"/>
      <c r="ET151" s="417"/>
      <c r="EU151" s="416"/>
      <c r="EV151" s="449"/>
      <c r="EW151" s="449"/>
      <c r="EX151" s="417"/>
      <c r="EY151" s="416"/>
      <c r="EZ151" s="449"/>
      <c r="FA151" s="449"/>
      <c r="FB151" s="417"/>
      <c r="FC151" s="416"/>
      <c r="FD151" s="449"/>
      <c r="FE151" s="449"/>
      <c r="FF151" s="417"/>
      <c r="FG151" s="416"/>
      <c r="FH151" s="449"/>
      <c r="FI151" s="449"/>
      <c r="FJ151" s="417"/>
      <c r="FK151" s="416"/>
      <c r="FL151" s="449"/>
      <c r="FM151" s="449"/>
      <c r="FN151" s="417"/>
      <c r="FO151" s="416"/>
      <c r="FP151" s="449"/>
      <c r="FQ151" s="449"/>
      <c r="FR151" s="417"/>
      <c r="FS151" s="416"/>
      <c r="FT151" s="449"/>
      <c r="FU151" s="449"/>
      <c r="FV151" s="417"/>
      <c r="FW151" s="416"/>
      <c r="FX151" s="449"/>
      <c r="FY151" s="449"/>
      <c r="FZ151" s="417"/>
      <c r="GA151" s="416"/>
      <c r="GB151" s="449"/>
      <c r="GC151" s="449"/>
      <c r="GD151" s="417"/>
      <c r="GE151" s="416"/>
      <c r="GF151" s="449"/>
      <c r="GG151" s="449"/>
      <c r="GH151" s="417"/>
      <c r="GI151" s="416"/>
      <c r="GJ151" s="449"/>
      <c r="GK151" s="449"/>
      <c r="GL151" s="417"/>
      <c r="GM151" s="416"/>
      <c r="GN151" s="449"/>
      <c r="GO151" s="449"/>
      <c r="GP151" s="417"/>
      <c r="GQ151" s="416"/>
      <c r="GR151" s="449"/>
      <c r="GS151" s="449"/>
      <c r="GT151" s="417"/>
      <c r="GU151" s="416"/>
      <c r="GV151" s="449"/>
      <c r="GW151" s="449"/>
      <c r="GX151" s="417"/>
      <c r="GY151" s="416"/>
      <c r="GZ151" s="449"/>
      <c r="HA151" s="449"/>
      <c r="HB151" s="417"/>
      <c r="HC151" s="418">
        <f t="shared" si="84"/>
        <v>0</v>
      </c>
      <c r="HD151" s="451"/>
      <c r="HE151" s="451"/>
      <c r="HF151" s="420"/>
      <c r="HG151" s="418">
        <f>SUM(SUMIFS(K151:HB151,$K$13:$HB$13,{"エネルギー管理指定工場等*","県域*"}))</f>
        <v>0</v>
      </c>
      <c r="HH151" s="451"/>
      <c r="HI151" s="451"/>
      <c r="HJ151" s="420"/>
    </row>
    <row r="152" spans="1:218" ht="20.100000000000001" customHeight="1">
      <c r="A152" s="164"/>
      <c r="B152" s="421" t="s">
        <v>1433</v>
      </c>
      <c r="C152" s="422"/>
      <c r="D152" s="422"/>
      <c r="E152" s="422"/>
      <c r="F152" s="422"/>
      <c r="G152" s="422"/>
      <c r="H152" s="453"/>
      <c r="I152" s="425"/>
      <c r="J152" s="426"/>
      <c r="K152" s="427"/>
      <c r="L152" s="454"/>
      <c r="M152" s="454"/>
      <c r="N152" s="428"/>
      <c r="O152" s="427"/>
      <c r="P152" s="454"/>
      <c r="Q152" s="454"/>
      <c r="R152" s="428"/>
      <c r="S152" s="427"/>
      <c r="T152" s="454"/>
      <c r="U152" s="454"/>
      <c r="V152" s="428"/>
      <c r="W152" s="427"/>
      <c r="X152" s="454"/>
      <c r="Y152" s="454"/>
      <c r="Z152" s="428"/>
      <c r="AA152" s="427"/>
      <c r="AB152" s="454"/>
      <c r="AC152" s="454"/>
      <c r="AD152" s="428"/>
      <c r="AE152" s="427"/>
      <c r="AF152" s="454"/>
      <c r="AG152" s="454"/>
      <c r="AH152" s="428"/>
      <c r="AI152" s="427"/>
      <c r="AJ152" s="454"/>
      <c r="AK152" s="454"/>
      <c r="AL152" s="428"/>
      <c r="AM152" s="427"/>
      <c r="AN152" s="454"/>
      <c r="AO152" s="454"/>
      <c r="AP152" s="428"/>
      <c r="AQ152" s="427"/>
      <c r="AR152" s="454"/>
      <c r="AS152" s="454"/>
      <c r="AT152" s="428"/>
      <c r="AU152" s="427"/>
      <c r="AV152" s="454"/>
      <c r="AW152" s="454"/>
      <c r="AX152" s="428"/>
      <c r="AY152" s="427"/>
      <c r="AZ152" s="454"/>
      <c r="BA152" s="454"/>
      <c r="BB152" s="428"/>
      <c r="BC152" s="427"/>
      <c r="BD152" s="454"/>
      <c r="BE152" s="454"/>
      <c r="BF152" s="428"/>
      <c r="BG152" s="427"/>
      <c r="BH152" s="454"/>
      <c r="BI152" s="454"/>
      <c r="BJ152" s="428"/>
      <c r="BK152" s="427"/>
      <c r="BL152" s="454"/>
      <c r="BM152" s="454"/>
      <c r="BN152" s="428"/>
      <c r="BO152" s="427"/>
      <c r="BP152" s="454"/>
      <c r="BQ152" s="454"/>
      <c r="BR152" s="428"/>
      <c r="BS152" s="427"/>
      <c r="BT152" s="454"/>
      <c r="BU152" s="454"/>
      <c r="BV152" s="428"/>
      <c r="BW152" s="427"/>
      <c r="BX152" s="454"/>
      <c r="BY152" s="454"/>
      <c r="BZ152" s="428"/>
      <c r="CA152" s="427"/>
      <c r="CB152" s="454"/>
      <c r="CC152" s="454"/>
      <c r="CD152" s="428"/>
      <c r="CE152" s="427"/>
      <c r="CF152" s="454"/>
      <c r="CG152" s="454"/>
      <c r="CH152" s="428"/>
      <c r="CI152" s="427"/>
      <c r="CJ152" s="454"/>
      <c r="CK152" s="454"/>
      <c r="CL152" s="428"/>
      <c r="CM152" s="427"/>
      <c r="CN152" s="454"/>
      <c r="CO152" s="454"/>
      <c r="CP152" s="428"/>
      <c r="CQ152" s="427"/>
      <c r="CR152" s="454"/>
      <c r="CS152" s="454"/>
      <c r="CT152" s="428"/>
      <c r="CU152" s="427"/>
      <c r="CV152" s="454"/>
      <c r="CW152" s="454"/>
      <c r="CX152" s="428"/>
      <c r="CY152" s="427"/>
      <c r="CZ152" s="454"/>
      <c r="DA152" s="454"/>
      <c r="DB152" s="428"/>
      <c r="DC152" s="427"/>
      <c r="DD152" s="454"/>
      <c r="DE152" s="454"/>
      <c r="DF152" s="428"/>
      <c r="DG152" s="427"/>
      <c r="DH152" s="454"/>
      <c r="DI152" s="454"/>
      <c r="DJ152" s="428"/>
      <c r="DK152" s="427"/>
      <c r="DL152" s="454"/>
      <c r="DM152" s="454"/>
      <c r="DN152" s="428"/>
      <c r="DO152" s="427"/>
      <c r="DP152" s="454"/>
      <c r="DQ152" s="454"/>
      <c r="DR152" s="428"/>
      <c r="DS152" s="427"/>
      <c r="DT152" s="454"/>
      <c r="DU152" s="454"/>
      <c r="DV152" s="428"/>
      <c r="DW152" s="427"/>
      <c r="DX152" s="454"/>
      <c r="DY152" s="454"/>
      <c r="DZ152" s="428"/>
      <c r="EA152" s="427"/>
      <c r="EB152" s="454"/>
      <c r="EC152" s="454"/>
      <c r="ED152" s="428"/>
      <c r="EE152" s="427"/>
      <c r="EF152" s="454"/>
      <c r="EG152" s="454"/>
      <c r="EH152" s="428"/>
      <c r="EI152" s="427"/>
      <c r="EJ152" s="454"/>
      <c r="EK152" s="454"/>
      <c r="EL152" s="428"/>
      <c r="EM152" s="427"/>
      <c r="EN152" s="454"/>
      <c r="EO152" s="454"/>
      <c r="EP152" s="428"/>
      <c r="EQ152" s="427"/>
      <c r="ER152" s="454"/>
      <c r="ES152" s="454"/>
      <c r="ET152" s="428"/>
      <c r="EU152" s="427"/>
      <c r="EV152" s="454"/>
      <c r="EW152" s="454"/>
      <c r="EX152" s="428"/>
      <c r="EY152" s="427"/>
      <c r="EZ152" s="454"/>
      <c r="FA152" s="454"/>
      <c r="FB152" s="428"/>
      <c r="FC152" s="427"/>
      <c r="FD152" s="454"/>
      <c r="FE152" s="454"/>
      <c r="FF152" s="428"/>
      <c r="FG152" s="427"/>
      <c r="FH152" s="454"/>
      <c r="FI152" s="454"/>
      <c r="FJ152" s="428"/>
      <c r="FK152" s="427"/>
      <c r="FL152" s="454"/>
      <c r="FM152" s="454"/>
      <c r="FN152" s="428"/>
      <c r="FO152" s="427"/>
      <c r="FP152" s="454"/>
      <c r="FQ152" s="454"/>
      <c r="FR152" s="428"/>
      <c r="FS152" s="427"/>
      <c r="FT152" s="454"/>
      <c r="FU152" s="454"/>
      <c r="FV152" s="428"/>
      <c r="FW152" s="427"/>
      <c r="FX152" s="454"/>
      <c r="FY152" s="454"/>
      <c r="FZ152" s="428"/>
      <c r="GA152" s="427"/>
      <c r="GB152" s="454"/>
      <c r="GC152" s="454"/>
      <c r="GD152" s="428"/>
      <c r="GE152" s="427"/>
      <c r="GF152" s="454"/>
      <c r="GG152" s="454"/>
      <c r="GH152" s="428"/>
      <c r="GI152" s="427"/>
      <c r="GJ152" s="454"/>
      <c r="GK152" s="454"/>
      <c r="GL152" s="428"/>
      <c r="GM152" s="427"/>
      <c r="GN152" s="454"/>
      <c r="GO152" s="454"/>
      <c r="GP152" s="428"/>
      <c r="GQ152" s="427"/>
      <c r="GR152" s="454"/>
      <c r="GS152" s="454"/>
      <c r="GT152" s="428"/>
      <c r="GU152" s="427"/>
      <c r="GV152" s="454"/>
      <c r="GW152" s="454"/>
      <c r="GX152" s="428"/>
      <c r="GY152" s="427"/>
      <c r="GZ152" s="454"/>
      <c r="HA152" s="454"/>
      <c r="HB152" s="428"/>
      <c r="HC152" s="434">
        <f t="shared" si="84"/>
        <v>0</v>
      </c>
      <c r="HD152" s="456"/>
      <c r="HE152" s="456"/>
      <c r="HF152" s="433"/>
      <c r="HG152" s="434">
        <f>SUM(SUMIFS(K152:HB152,$K$13:$HB$13,{"エネルギー管理指定工場等*","県域*"}))</f>
        <v>0</v>
      </c>
      <c r="HH152" s="456"/>
      <c r="HI152" s="456"/>
      <c r="HJ152" s="433"/>
    </row>
    <row r="153" spans="1:218" ht="20.100000000000001" customHeight="1">
      <c r="A153" s="164"/>
      <c r="B153" s="421" t="s">
        <v>1434</v>
      </c>
      <c r="C153" s="422"/>
      <c r="D153" s="422"/>
      <c r="E153" s="422"/>
      <c r="F153" s="422"/>
      <c r="G153" s="422"/>
      <c r="H153" s="453"/>
      <c r="I153" s="425"/>
      <c r="J153" s="426"/>
      <c r="K153" s="427"/>
      <c r="L153" s="454"/>
      <c r="M153" s="454"/>
      <c r="N153" s="428"/>
      <c r="O153" s="427"/>
      <c r="P153" s="454"/>
      <c r="Q153" s="454"/>
      <c r="R153" s="428"/>
      <c r="S153" s="427"/>
      <c r="T153" s="454"/>
      <c r="U153" s="454"/>
      <c r="V153" s="428"/>
      <c r="W153" s="427"/>
      <c r="X153" s="454"/>
      <c r="Y153" s="454"/>
      <c r="Z153" s="428"/>
      <c r="AA153" s="427"/>
      <c r="AB153" s="454"/>
      <c r="AC153" s="454"/>
      <c r="AD153" s="428"/>
      <c r="AE153" s="427"/>
      <c r="AF153" s="454"/>
      <c r="AG153" s="454"/>
      <c r="AH153" s="428"/>
      <c r="AI153" s="427"/>
      <c r="AJ153" s="454"/>
      <c r="AK153" s="454"/>
      <c r="AL153" s="428"/>
      <c r="AM153" s="427"/>
      <c r="AN153" s="454"/>
      <c r="AO153" s="454"/>
      <c r="AP153" s="428"/>
      <c r="AQ153" s="427"/>
      <c r="AR153" s="454"/>
      <c r="AS153" s="454"/>
      <c r="AT153" s="428"/>
      <c r="AU153" s="427"/>
      <c r="AV153" s="454"/>
      <c r="AW153" s="454"/>
      <c r="AX153" s="428"/>
      <c r="AY153" s="427"/>
      <c r="AZ153" s="454"/>
      <c r="BA153" s="454"/>
      <c r="BB153" s="428"/>
      <c r="BC153" s="427"/>
      <c r="BD153" s="454"/>
      <c r="BE153" s="454"/>
      <c r="BF153" s="428"/>
      <c r="BG153" s="427"/>
      <c r="BH153" s="454"/>
      <c r="BI153" s="454"/>
      <c r="BJ153" s="428"/>
      <c r="BK153" s="427"/>
      <c r="BL153" s="454"/>
      <c r="BM153" s="454"/>
      <c r="BN153" s="428"/>
      <c r="BO153" s="427"/>
      <c r="BP153" s="454"/>
      <c r="BQ153" s="454"/>
      <c r="BR153" s="428"/>
      <c r="BS153" s="427"/>
      <c r="BT153" s="454"/>
      <c r="BU153" s="454"/>
      <c r="BV153" s="428"/>
      <c r="BW153" s="427"/>
      <c r="BX153" s="454"/>
      <c r="BY153" s="454"/>
      <c r="BZ153" s="428"/>
      <c r="CA153" s="427"/>
      <c r="CB153" s="454"/>
      <c r="CC153" s="454"/>
      <c r="CD153" s="428"/>
      <c r="CE153" s="427"/>
      <c r="CF153" s="454"/>
      <c r="CG153" s="454"/>
      <c r="CH153" s="428"/>
      <c r="CI153" s="427"/>
      <c r="CJ153" s="454"/>
      <c r="CK153" s="454"/>
      <c r="CL153" s="428"/>
      <c r="CM153" s="427"/>
      <c r="CN153" s="454"/>
      <c r="CO153" s="454"/>
      <c r="CP153" s="428"/>
      <c r="CQ153" s="427"/>
      <c r="CR153" s="454"/>
      <c r="CS153" s="454"/>
      <c r="CT153" s="428"/>
      <c r="CU153" s="427"/>
      <c r="CV153" s="454"/>
      <c r="CW153" s="454"/>
      <c r="CX153" s="428"/>
      <c r="CY153" s="427"/>
      <c r="CZ153" s="454"/>
      <c r="DA153" s="454"/>
      <c r="DB153" s="428"/>
      <c r="DC153" s="427"/>
      <c r="DD153" s="454"/>
      <c r="DE153" s="454"/>
      <c r="DF153" s="428"/>
      <c r="DG153" s="427"/>
      <c r="DH153" s="454"/>
      <c r="DI153" s="454"/>
      <c r="DJ153" s="428"/>
      <c r="DK153" s="427"/>
      <c r="DL153" s="454"/>
      <c r="DM153" s="454"/>
      <c r="DN153" s="428"/>
      <c r="DO153" s="427"/>
      <c r="DP153" s="454"/>
      <c r="DQ153" s="454"/>
      <c r="DR153" s="428"/>
      <c r="DS153" s="427"/>
      <c r="DT153" s="454"/>
      <c r="DU153" s="454"/>
      <c r="DV153" s="428"/>
      <c r="DW153" s="427"/>
      <c r="DX153" s="454"/>
      <c r="DY153" s="454"/>
      <c r="DZ153" s="428"/>
      <c r="EA153" s="427"/>
      <c r="EB153" s="454"/>
      <c r="EC153" s="454"/>
      <c r="ED153" s="428"/>
      <c r="EE153" s="427"/>
      <c r="EF153" s="454"/>
      <c r="EG153" s="454"/>
      <c r="EH153" s="428"/>
      <c r="EI153" s="427"/>
      <c r="EJ153" s="454"/>
      <c r="EK153" s="454"/>
      <c r="EL153" s="428"/>
      <c r="EM153" s="427"/>
      <c r="EN153" s="454"/>
      <c r="EO153" s="454"/>
      <c r="EP153" s="428"/>
      <c r="EQ153" s="427"/>
      <c r="ER153" s="454"/>
      <c r="ES153" s="454"/>
      <c r="ET153" s="428"/>
      <c r="EU153" s="427"/>
      <c r="EV153" s="454"/>
      <c r="EW153" s="454"/>
      <c r="EX153" s="428"/>
      <c r="EY153" s="427"/>
      <c r="EZ153" s="454"/>
      <c r="FA153" s="454"/>
      <c r="FB153" s="428"/>
      <c r="FC153" s="427"/>
      <c r="FD153" s="454"/>
      <c r="FE153" s="454"/>
      <c r="FF153" s="428"/>
      <c r="FG153" s="427"/>
      <c r="FH153" s="454"/>
      <c r="FI153" s="454"/>
      <c r="FJ153" s="428"/>
      <c r="FK153" s="427"/>
      <c r="FL153" s="454"/>
      <c r="FM153" s="454"/>
      <c r="FN153" s="428"/>
      <c r="FO153" s="427"/>
      <c r="FP153" s="454"/>
      <c r="FQ153" s="454"/>
      <c r="FR153" s="428"/>
      <c r="FS153" s="427"/>
      <c r="FT153" s="454"/>
      <c r="FU153" s="454"/>
      <c r="FV153" s="428"/>
      <c r="FW153" s="427"/>
      <c r="FX153" s="454"/>
      <c r="FY153" s="454"/>
      <c r="FZ153" s="428"/>
      <c r="GA153" s="427"/>
      <c r="GB153" s="454"/>
      <c r="GC153" s="454"/>
      <c r="GD153" s="428"/>
      <c r="GE153" s="427"/>
      <c r="GF153" s="454"/>
      <c r="GG153" s="454"/>
      <c r="GH153" s="428"/>
      <c r="GI153" s="427"/>
      <c r="GJ153" s="454"/>
      <c r="GK153" s="454"/>
      <c r="GL153" s="428"/>
      <c r="GM153" s="427"/>
      <c r="GN153" s="454"/>
      <c r="GO153" s="454"/>
      <c r="GP153" s="428"/>
      <c r="GQ153" s="427"/>
      <c r="GR153" s="454"/>
      <c r="GS153" s="454"/>
      <c r="GT153" s="428"/>
      <c r="GU153" s="427"/>
      <c r="GV153" s="454"/>
      <c r="GW153" s="454"/>
      <c r="GX153" s="428"/>
      <c r="GY153" s="427"/>
      <c r="GZ153" s="454"/>
      <c r="HA153" s="454"/>
      <c r="HB153" s="428"/>
      <c r="HC153" s="434">
        <f t="shared" si="84"/>
        <v>0</v>
      </c>
      <c r="HD153" s="456"/>
      <c r="HE153" s="456"/>
      <c r="HF153" s="433"/>
      <c r="HG153" s="434">
        <f>SUM(SUMIFS(K153:HB153,$K$13:$HB$13,{"エネルギー管理指定工場等*","県域*"}))</f>
        <v>0</v>
      </c>
      <c r="HH153" s="456"/>
      <c r="HI153" s="456"/>
      <c r="HJ153" s="433"/>
    </row>
    <row r="154" spans="1:218" ht="20.100000000000001" customHeight="1">
      <c r="A154" s="164"/>
      <c r="B154" s="421" t="s">
        <v>1435</v>
      </c>
      <c r="C154" s="422"/>
      <c r="D154" s="422"/>
      <c r="E154" s="422"/>
      <c r="F154" s="422"/>
      <c r="G154" s="422"/>
      <c r="H154" s="453"/>
      <c r="I154" s="425"/>
      <c r="J154" s="426"/>
      <c r="K154" s="427"/>
      <c r="L154" s="454"/>
      <c r="M154" s="454"/>
      <c r="N154" s="428"/>
      <c r="O154" s="427"/>
      <c r="P154" s="454"/>
      <c r="Q154" s="454"/>
      <c r="R154" s="428"/>
      <c r="S154" s="427"/>
      <c r="T154" s="454"/>
      <c r="U154" s="454"/>
      <c r="V154" s="428"/>
      <c r="W154" s="427"/>
      <c r="X154" s="454"/>
      <c r="Y154" s="454"/>
      <c r="Z154" s="428"/>
      <c r="AA154" s="427"/>
      <c r="AB154" s="454"/>
      <c r="AC154" s="454"/>
      <c r="AD154" s="428"/>
      <c r="AE154" s="427"/>
      <c r="AF154" s="454"/>
      <c r="AG154" s="454"/>
      <c r="AH154" s="428"/>
      <c r="AI154" s="427"/>
      <c r="AJ154" s="454"/>
      <c r="AK154" s="454"/>
      <c r="AL154" s="428"/>
      <c r="AM154" s="427"/>
      <c r="AN154" s="454"/>
      <c r="AO154" s="454"/>
      <c r="AP154" s="428"/>
      <c r="AQ154" s="427"/>
      <c r="AR154" s="454"/>
      <c r="AS154" s="454"/>
      <c r="AT154" s="428"/>
      <c r="AU154" s="427"/>
      <c r="AV154" s="454"/>
      <c r="AW154" s="454"/>
      <c r="AX154" s="428"/>
      <c r="AY154" s="427"/>
      <c r="AZ154" s="454"/>
      <c r="BA154" s="454"/>
      <c r="BB154" s="428"/>
      <c r="BC154" s="427"/>
      <c r="BD154" s="454"/>
      <c r="BE154" s="454"/>
      <c r="BF154" s="428"/>
      <c r="BG154" s="427"/>
      <c r="BH154" s="454"/>
      <c r="BI154" s="454"/>
      <c r="BJ154" s="428"/>
      <c r="BK154" s="427"/>
      <c r="BL154" s="454"/>
      <c r="BM154" s="454"/>
      <c r="BN154" s="428"/>
      <c r="BO154" s="427"/>
      <c r="BP154" s="454"/>
      <c r="BQ154" s="454"/>
      <c r="BR154" s="428"/>
      <c r="BS154" s="427"/>
      <c r="BT154" s="454"/>
      <c r="BU154" s="454"/>
      <c r="BV154" s="428"/>
      <c r="BW154" s="427"/>
      <c r="BX154" s="454"/>
      <c r="BY154" s="454"/>
      <c r="BZ154" s="428"/>
      <c r="CA154" s="427"/>
      <c r="CB154" s="454"/>
      <c r="CC154" s="454"/>
      <c r="CD154" s="428"/>
      <c r="CE154" s="427"/>
      <c r="CF154" s="454"/>
      <c r="CG154" s="454"/>
      <c r="CH154" s="428"/>
      <c r="CI154" s="427"/>
      <c r="CJ154" s="454"/>
      <c r="CK154" s="454"/>
      <c r="CL154" s="428"/>
      <c r="CM154" s="427"/>
      <c r="CN154" s="454"/>
      <c r="CO154" s="454"/>
      <c r="CP154" s="428"/>
      <c r="CQ154" s="427"/>
      <c r="CR154" s="454"/>
      <c r="CS154" s="454"/>
      <c r="CT154" s="428"/>
      <c r="CU154" s="427"/>
      <c r="CV154" s="454"/>
      <c r="CW154" s="454"/>
      <c r="CX154" s="428"/>
      <c r="CY154" s="427"/>
      <c r="CZ154" s="454"/>
      <c r="DA154" s="454"/>
      <c r="DB154" s="428"/>
      <c r="DC154" s="427"/>
      <c r="DD154" s="454"/>
      <c r="DE154" s="454"/>
      <c r="DF154" s="428"/>
      <c r="DG154" s="427"/>
      <c r="DH154" s="454"/>
      <c r="DI154" s="454"/>
      <c r="DJ154" s="428"/>
      <c r="DK154" s="427"/>
      <c r="DL154" s="454"/>
      <c r="DM154" s="454"/>
      <c r="DN154" s="428"/>
      <c r="DO154" s="427"/>
      <c r="DP154" s="454"/>
      <c r="DQ154" s="454"/>
      <c r="DR154" s="428"/>
      <c r="DS154" s="427"/>
      <c r="DT154" s="454"/>
      <c r="DU154" s="454"/>
      <c r="DV154" s="428"/>
      <c r="DW154" s="427"/>
      <c r="DX154" s="454"/>
      <c r="DY154" s="454"/>
      <c r="DZ154" s="428"/>
      <c r="EA154" s="427"/>
      <c r="EB154" s="454"/>
      <c r="EC154" s="454"/>
      <c r="ED154" s="428"/>
      <c r="EE154" s="427"/>
      <c r="EF154" s="454"/>
      <c r="EG154" s="454"/>
      <c r="EH154" s="428"/>
      <c r="EI154" s="427"/>
      <c r="EJ154" s="454"/>
      <c r="EK154" s="454"/>
      <c r="EL154" s="428"/>
      <c r="EM154" s="427"/>
      <c r="EN154" s="454"/>
      <c r="EO154" s="454"/>
      <c r="EP154" s="428"/>
      <c r="EQ154" s="427"/>
      <c r="ER154" s="454"/>
      <c r="ES154" s="454"/>
      <c r="ET154" s="428"/>
      <c r="EU154" s="427"/>
      <c r="EV154" s="454"/>
      <c r="EW154" s="454"/>
      <c r="EX154" s="428"/>
      <c r="EY154" s="427"/>
      <c r="EZ154" s="454"/>
      <c r="FA154" s="454"/>
      <c r="FB154" s="428"/>
      <c r="FC154" s="427"/>
      <c r="FD154" s="454"/>
      <c r="FE154" s="454"/>
      <c r="FF154" s="428"/>
      <c r="FG154" s="427"/>
      <c r="FH154" s="454"/>
      <c r="FI154" s="454"/>
      <c r="FJ154" s="428"/>
      <c r="FK154" s="427"/>
      <c r="FL154" s="454"/>
      <c r="FM154" s="454"/>
      <c r="FN154" s="428"/>
      <c r="FO154" s="427"/>
      <c r="FP154" s="454"/>
      <c r="FQ154" s="454"/>
      <c r="FR154" s="428"/>
      <c r="FS154" s="427"/>
      <c r="FT154" s="454"/>
      <c r="FU154" s="454"/>
      <c r="FV154" s="428"/>
      <c r="FW154" s="427"/>
      <c r="FX154" s="454"/>
      <c r="FY154" s="454"/>
      <c r="FZ154" s="428"/>
      <c r="GA154" s="427"/>
      <c r="GB154" s="454"/>
      <c r="GC154" s="454"/>
      <c r="GD154" s="428"/>
      <c r="GE154" s="427"/>
      <c r="GF154" s="454"/>
      <c r="GG154" s="454"/>
      <c r="GH154" s="428"/>
      <c r="GI154" s="427"/>
      <c r="GJ154" s="454"/>
      <c r="GK154" s="454"/>
      <c r="GL154" s="428"/>
      <c r="GM154" s="427"/>
      <c r="GN154" s="454"/>
      <c r="GO154" s="454"/>
      <c r="GP154" s="428"/>
      <c r="GQ154" s="427"/>
      <c r="GR154" s="454"/>
      <c r="GS154" s="454"/>
      <c r="GT154" s="428"/>
      <c r="GU154" s="427"/>
      <c r="GV154" s="454"/>
      <c r="GW154" s="454"/>
      <c r="GX154" s="428"/>
      <c r="GY154" s="427"/>
      <c r="GZ154" s="454"/>
      <c r="HA154" s="454"/>
      <c r="HB154" s="428"/>
      <c r="HC154" s="434">
        <f t="shared" si="84"/>
        <v>0</v>
      </c>
      <c r="HD154" s="456"/>
      <c r="HE154" s="456"/>
      <c r="HF154" s="433"/>
      <c r="HG154" s="434">
        <f>SUM(SUMIFS(K154:HB154,$K$13:$HB$13,{"エネルギー管理指定工場等*","県域*"}))</f>
        <v>0</v>
      </c>
      <c r="HH154" s="456"/>
      <c r="HI154" s="456"/>
      <c r="HJ154" s="433"/>
    </row>
    <row r="155" spans="1:218" ht="20.100000000000001" customHeight="1">
      <c r="A155" s="164"/>
      <c r="B155" s="421" t="s">
        <v>1436</v>
      </c>
      <c r="C155" s="422"/>
      <c r="D155" s="422"/>
      <c r="E155" s="422"/>
      <c r="F155" s="422"/>
      <c r="G155" s="422"/>
      <c r="H155" s="453"/>
      <c r="I155" s="425"/>
      <c r="J155" s="426"/>
      <c r="K155" s="427"/>
      <c r="L155" s="454"/>
      <c r="M155" s="454"/>
      <c r="N155" s="428"/>
      <c r="O155" s="427"/>
      <c r="P155" s="454"/>
      <c r="Q155" s="454"/>
      <c r="R155" s="428"/>
      <c r="S155" s="427"/>
      <c r="T155" s="454"/>
      <c r="U155" s="454"/>
      <c r="V155" s="428"/>
      <c r="W155" s="427"/>
      <c r="X155" s="454"/>
      <c r="Y155" s="454"/>
      <c r="Z155" s="428"/>
      <c r="AA155" s="427"/>
      <c r="AB155" s="454"/>
      <c r="AC155" s="454"/>
      <c r="AD155" s="428"/>
      <c r="AE155" s="427"/>
      <c r="AF155" s="454"/>
      <c r="AG155" s="454"/>
      <c r="AH155" s="428"/>
      <c r="AI155" s="427"/>
      <c r="AJ155" s="454"/>
      <c r="AK155" s="454"/>
      <c r="AL155" s="428"/>
      <c r="AM155" s="427"/>
      <c r="AN155" s="454"/>
      <c r="AO155" s="454"/>
      <c r="AP155" s="428"/>
      <c r="AQ155" s="427"/>
      <c r="AR155" s="454"/>
      <c r="AS155" s="454"/>
      <c r="AT155" s="428"/>
      <c r="AU155" s="427"/>
      <c r="AV155" s="454"/>
      <c r="AW155" s="454"/>
      <c r="AX155" s="428"/>
      <c r="AY155" s="427"/>
      <c r="AZ155" s="454"/>
      <c r="BA155" s="454"/>
      <c r="BB155" s="428"/>
      <c r="BC155" s="427"/>
      <c r="BD155" s="454"/>
      <c r="BE155" s="454"/>
      <c r="BF155" s="428"/>
      <c r="BG155" s="427"/>
      <c r="BH155" s="454"/>
      <c r="BI155" s="454"/>
      <c r="BJ155" s="428"/>
      <c r="BK155" s="427"/>
      <c r="BL155" s="454"/>
      <c r="BM155" s="454"/>
      <c r="BN155" s="428"/>
      <c r="BO155" s="427"/>
      <c r="BP155" s="454"/>
      <c r="BQ155" s="454"/>
      <c r="BR155" s="428"/>
      <c r="BS155" s="427"/>
      <c r="BT155" s="454"/>
      <c r="BU155" s="454"/>
      <c r="BV155" s="428"/>
      <c r="BW155" s="427"/>
      <c r="BX155" s="454"/>
      <c r="BY155" s="454"/>
      <c r="BZ155" s="428"/>
      <c r="CA155" s="427"/>
      <c r="CB155" s="454"/>
      <c r="CC155" s="454"/>
      <c r="CD155" s="428"/>
      <c r="CE155" s="427"/>
      <c r="CF155" s="454"/>
      <c r="CG155" s="454"/>
      <c r="CH155" s="428"/>
      <c r="CI155" s="427"/>
      <c r="CJ155" s="454"/>
      <c r="CK155" s="454"/>
      <c r="CL155" s="428"/>
      <c r="CM155" s="427"/>
      <c r="CN155" s="454"/>
      <c r="CO155" s="454"/>
      <c r="CP155" s="428"/>
      <c r="CQ155" s="427"/>
      <c r="CR155" s="454"/>
      <c r="CS155" s="454"/>
      <c r="CT155" s="428"/>
      <c r="CU155" s="427"/>
      <c r="CV155" s="454"/>
      <c r="CW155" s="454"/>
      <c r="CX155" s="428"/>
      <c r="CY155" s="427"/>
      <c r="CZ155" s="454"/>
      <c r="DA155" s="454"/>
      <c r="DB155" s="428"/>
      <c r="DC155" s="427"/>
      <c r="DD155" s="454"/>
      <c r="DE155" s="454"/>
      <c r="DF155" s="428"/>
      <c r="DG155" s="427"/>
      <c r="DH155" s="454"/>
      <c r="DI155" s="454"/>
      <c r="DJ155" s="428"/>
      <c r="DK155" s="427"/>
      <c r="DL155" s="454"/>
      <c r="DM155" s="454"/>
      <c r="DN155" s="428"/>
      <c r="DO155" s="427"/>
      <c r="DP155" s="454"/>
      <c r="DQ155" s="454"/>
      <c r="DR155" s="428"/>
      <c r="DS155" s="427"/>
      <c r="DT155" s="454"/>
      <c r="DU155" s="454"/>
      <c r="DV155" s="428"/>
      <c r="DW155" s="427"/>
      <c r="DX155" s="454"/>
      <c r="DY155" s="454"/>
      <c r="DZ155" s="428"/>
      <c r="EA155" s="427"/>
      <c r="EB155" s="454"/>
      <c r="EC155" s="454"/>
      <c r="ED155" s="428"/>
      <c r="EE155" s="427"/>
      <c r="EF155" s="454"/>
      <c r="EG155" s="454"/>
      <c r="EH155" s="428"/>
      <c r="EI155" s="427"/>
      <c r="EJ155" s="454"/>
      <c r="EK155" s="454"/>
      <c r="EL155" s="428"/>
      <c r="EM155" s="427"/>
      <c r="EN155" s="454"/>
      <c r="EO155" s="454"/>
      <c r="EP155" s="428"/>
      <c r="EQ155" s="427"/>
      <c r="ER155" s="454"/>
      <c r="ES155" s="454"/>
      <c r="ET155" s="428"/>
      <c r="EU155" s="427"/>
      <c r="EV155" s="454"/>
      <c r="EW155" s="454"/>
      <c r="EX155" s="428"/>
      <c r="EY155" s="427"/>
      <c r="EZ155" s="454"/>
      <c r="FA155" s="454"/>
      <c r="FB155" s="428"/>
      <c r="FC155" s="427"/>
      <c r="FD155" s="454"/>
      <c r="FE155" s="454"/>
      <c r="FF155" s="428"/>
      <c r="FG155" s="427"/>
      <c r="FH155" s="454"/>
      <c r="FI155" s="454"/>
      <c r="FJ155" s="428"/>
      <c r="FK155" s="427"/>
      <c r="FL155" s="454"/>
      <c r="FM155" s="454"/>
      <c r="FN155" s="428"/>
      <c r="FO155" s="427"/>
      <c r="FP155" s="454"/>
      <c r="FQ155" s="454"/>
      <c r="FR155" s="428"/>
      <c r="FS155" s="427"/>
      <c r="FT155" s="454"/>
      <c r="FU155" s="454"/>
      <c r="FV155" s="428"/>
      <c r="FW155" s="427"/>
      <c r="FX155" s="454"/>
      <c r="FY155" s="454"/>
      <c r="FZ155" s="428"/>
      <c r="GA155" s="427"/>
      <c r="GB155" s="454"/>
      <c r="GC155" s="454"/>
      <c r="GD155" s="428"/>
      <c r="GE155" s="427"/>
      <c r="GF155" s="454"/>
      <c r="GG155" s="454"/>
      <c r="GH155" s="428"/>
      <c r="GI155" s="427"/>
      <c r="GJ155" s="454"/>
      <c r="GK155" s="454"/>
      <c r="GL155" s="428"/>
      <c r="GM155" s="427"/>
      <c r="GN155" s="454"/>
      <c r="GO155" s="454"/>
      <c r="GP155" s="428"/>
      <c r="GQ155" s="427"/>
      <c r="GR155" s="454"/>
      <c r="GS155" s="454"/>
      <c r="GT155" s="428"/>
      <c r="GU155" s="427"/>
      <c r="GV155" s="454"/>
      <c r="GW155" s="454"/>
      <c r="GX155" s="428"/>
      <c r="GY155" s="427"/>
      <c r="GZ155" s="454"/>
      <c r="HA155" s="454"/>
      <c r="HB155" s="428"/>
      <c r="HC155" s="434">
        <f t="shared" si="84"/>
        <v>0</v>
      </c>
      <c r="HD155" s="456"/>
      <c r="HE155" s="456"/>
      <c r="HF155" s="433"/>
      <c r="HG155" s="434">
        <f>SUM(SUMIFS(K155:HB155,$K$13:$HB$13,{"エネルギー管理指定工場等*","県域*"}))</f>
        <v>0</v>
      </c>
      <c r="HH155" s="456"/>
      <c r="HI155" s="456"/>
      <c r="HJ155" s="433"/>
    </row>
    <row r="156" spans="1:218" ht="20.100000000000001" customHeight="1">
      <c r="A156" s="164"/>
      <c r="B156" s="421" t="s">
        <v>1437</v>
      </c>
      <c r="C156" s="422"/>
      <c r="D156" s="422"/>
      <c r="E156" s="422"/>
      <c r="F156" s="422"/>
      <c r="G156" s="422"/>
      <c r="H156" s="453"/>
      <c r="I156" s="425"/>
      <c r="J156" s="426"/>
      <c r="K156" s="427"/>
      <c r="L156" s="454"/>
      <c r="M156" s="454"/>
      <c r="N156" s="428"/>
      <c r="O156" s="427"/>
      <c r="P156" s="454"/>
      <c r="Q156" s="454"/>
      <c r="R156" s="428"/>
      <c r="S156" s="427"/>
      <c r="T156" s="454"/>
      <c r="U156" s="454"/>
      <c r="V156" s="428"/>
      <c r="W156" s="427"/>
      <c r="X156" s="454"/>
      <c r="Y156" s="454"/>
      <c r="Z156" s="428"/>
      <c r="AA156" s="427"/>
      <c r="AB156" s="454"/>
      <c r="AC156" s="454"/>
      <c r="AD156" s="428"/>
      <c r="AE156" s="427"/>
      <c r="AF156" s="454"/>
      <c r="AG156" s="454"/>
      <c r="AH156" s="428"/>
      <c r="AI156" s="427"/>
      <c r="AJ156" s="454"/>
      <c r="AK156" s="454"/>
      <c r="AL156" s="428"/>
      <c r="AM156" s="427"/>
      <c r="AN156" s="454"/>
      <c r="AO156" s="454"/>
      <c r="AP156" s="428"/>
      <c r="AQ156" s="427"/>
      <c r="AR156" s="454"/>
      <c r="AS156" s="454"/>
      <c r="AT156" s="428"/>
      <c r="AU156" s="427"/>
      <c r="AV156" s="454"/>
      <c r="AW156" s="454"/>
      <c r="AX156" s="428"/>
      <c r="AY156" s="427"/>
      <c r="AZ156" s="454"/>
      <c r="BA156" s="454"/>
      <c r="BB156" s="428"/>
      <c r="BC156" s="427"/>
      <c r="BD156" s="454"/>
      <c r="BE156" s="454"/>
      <c r="BF156" s="428"/>
      <c r="BG156" s="427"/>
      <c r="BH156" s="454"/>
      <c r="BI156" s="454"/>
      <c r="BJ156" s="428"/>
      <c r="BK156" s="427"/>
      <c r="BL156" s="454"/>
      <c r="BM156" s="454"/>
      <c r="BN156" s="428"/>
      <c r="BO156" s="427"/>
      <c r="BP156" s="454"/>
      <c r="BQ156" s="454"/>
      <c r="BR156" s="428"/>
      <c r="BS156" s="427"/>
      <c r="BT156" s="454"/>
      <c r="BU156" s="454"/>
      <c r="BV156" s="428"/>
      <c r="BW156" s="427"/>
      <c r="BX156" s="454"/>
      <c r="BY156" s="454"/>
      <c r="BZ156" s="428"/>
      <c r="CA156" s="427"/>
      <c r="CB156" s="454"/>
      <c r="CC156" s="454"/>
      <c r="CD156" s="428"/>
      <c r="CE156" s="427"/>
      <c r="CF156" s="454"/>
      <c r="CG156" s="454"/>
      <c r="CH156" s="428"/>
      <c r="CI156" s="427"/>
      <c r="CJ156" s="454"/>
      <c r="CK156" s="454"/>
      <c r="CL156" s="428"/>
      <c r="CM156" s="427"/>
      <c r="CN156" s="454"/>
      <c r="CO156" s="454"/>
      <c r="CP156" s="428"/>
      <c r="CQ156" s="427"/>
      <c r="CR156" s="454"/>
      <c r="CS156" s="454"/>
      <c r="CT156" s="428"/>
      <c r="CU156" s="427"/>
      <c r="CV156" s="454"/>
      <c r="CW156" s="454"/>
      <c r="CX156" s="428"/>
      <c r="CY156" s="427"/>
      <c r="CZ156" s="454"/>
      <c r="DA156" s="454"/>
      <c r="DB156" s="428"/>
      <c r="DC156" s="427"/>
      <c r="DD156" s="454"/>
      <c r="DE156" s="454"/>
      <c r="DF156" s="428"/>
      <c r="DG156" s="427"/>
      <c r="DH156" s="454"/>
      <c r="DI156" s="454"/>
      <c r="DJ156" s="428"/>
      <c r="DK156" s="427"/>
      <c r="DL156" s="454"/>
      <c r="DM156" s="454"/>
      <c r="DN156" s="428"/>
      <c r="DO156" s="427"/>
      <c r="DP156" s="454"/>
      <c r="DQ156" s="454"/>
      <c r="DR156" s="428"/>
      <c r="DS156" s="427"/>
      <c r="DT156" s="454"/>
      <c r="DU156" s="454"/>
      <c r="DV156" s="428"/>
      <c r="DW156" s="427"/>
      <c r="DX156" s="454"/>
      <c r="DY156" s="454"/>
      <c r="DZ156" s="428"/>
      <c r="EA156" s="427"/>
      <c r="EB156" s="454"/>
      <c r="EC156" s="454"/>
      <c r="ED156" s="428"/>
      <c r="EE156" s="427"/>
      <c r="EF156" s="454"/>
      <c r="EG156" s="454"/>
      <c r="EH156" s="428"/>
      <c r="EI156" s="427"/>
      <c r="EJ156" s="454"/>
      <c r="EK156" s="454"/>
      <c r="EL156" s="428"/>
      <c r="EM156" s="427"/>
      <c r="EN156" s="454"/>
      <c r="EO156" s="454"/>
      <c r="EP156" s="428"/>
      <c r="EQ156" s="427"/>
      <c r="ER156" s="454"/>
      <c r="ES156" s="454"/>
      <c r="ET156" s="428"/>
      <c r="EU156" s="427"/>
      <c r="EV156" s="454"/>
      <c r="EW156" s="454"/>
      <c r="EX156" s="428"/>
      <c r="EY156" s="427"/>
      <c r="EZ156" s="454"/>
      <c r="FA156" s="454"/>
      <c r="FB156" s="428"/>
      <c r="FC156" s="427"/>
      <c r="FD156" s="454"/>
      <c r="FE156" s="454"/>
      <c r="FF156" s="428"/>
      <c r="FG156" s="427"/>
      <c r="FH156" s="454"/>
      <c r="FI156" s="454"/>
      <c r="FJ156" s="428"/>
      <c r="FK156" s="427"/>
      <c r="FL156" s="454"/>
      <c r="FM156" s="454"/>
      <c r="FN156" s="428"/>
      <c r="FO156" s="427"/>
      <c r="FP156" s="454"/>
      <c r="FQ156" s="454"/>
      <c r="FR156" s="428"/>
      <c r="FS156" s="427"/>
      <c r="FT156" s="454"/>
      <c r="FU156" s="454"/>
      <c r="FV156" s="428"/>
      <c r="FW156" s="427"/>
      <c r="FX156" s="454"/>
      <c r="FY156" s="454"/>
      <c r="FZ156" s="428"/>
      <c r="GA156" s="427"/>
      <c r="GB156" s="454"/>
      <c r="GC156" s="454"/>
      <c r="GD156" s="428"/>
      <c r="GE156" s="427"/>
      <c r="GF156" s="454"/>
      <c r="GG156" s="454"/>
      <c r="GH156" s="428"/>
      <c r="GI156" s="427"/>
      <c r="GJ156" s="454"/>
      <c r="GK156" s="454"/>
      <c r="GL156" s="428"/>
      <c r="GM156" s="427"/>
      <c r="GN156" s="454"/>
      <c r="GO156" s="454"/>
      <c r="GP156" s="428"/>
      <c r="GQ156" s="427"/>
      <c r="GR156" s="454"/>
      <c r="GS156" s="454"/>
      <c r="GT156" s="428"/>
      <c r="GU156" s="427"/>
      <c r="GV156" s="454"/>
      <c r="GW156" s="454"/>
      <c r="GX156" s="428"/>
      <c r="GY156" s="427"/>
      <c r="GZ156" s="454"/>
      <c r="HA156" s="454"/>
      <c r="HB156" s="428"/>
      <c r="HC156" s="434">
        <f t="shared" si="84"/>
        <v>0</v>
      </c>
      <c r="HD156" s="456"/>
      <c r="HE156" s="456"/>
      <c r="HF156" s="433"/>
      <c r="HG156" s="434">
        <f>SUM(SUMIFS(K156:HB156,$K$13:$HB$13,{"エネルギー管理指定工場等*","県域*"}))</f>
        <v>0</v>
      </c>
      <c r="HH156" s="456"/>
      <c r="HI156" s="456"/>
      <c r="HJ156" s="433"/>
    </row>
    <row r="157" spans="1:218" ht="20.100000000000001" customHeight="1">
      <c r="A157" s="164"/>
      <c r="B157" s="421" t="s">
        <v>1438</v>
      </c>
      <c r="C157" s="422"/>
      <c r="D157" s="422"/>
      <c r="E157" s="422"/>
      <c r="F157" s="422"/>
      <c r="G157" s="422"/>
      <c r="H157" s="453"/>
      <c r="I157" s="425"/>
      <c r="J157" s="426"/>
      <c r="K157" s="427"/>
      <c r="L157" s="454"/>
      <c r="M157" s="454"/>
      <c r="N157" s="428"/>
      <c r="O157" s="427"/>
      <c r="P157" s="454"/>
      <c r="Q157" s="454"/>
      <c r="R157" s="428"/>
      <c r="S157" s="427"/>
      <c r="T157" s="454"/>
      <c r="U157" s="454"/>
      <c r="V157" s="428"/>
      <c r="W157" s="427"/>
      <c r="X157" s="454"/>
      <c r="Y157" s="454"/>
      <c r="Z157" s="428"/>
      <c r="AA157" s="427"/>
      <c r="AB157" s="454"/>
      <c r="AC157" s="454"/>
      <c r="AD157" s="428"/>
      <c r="AE157" s="427"/>
      <c r="AF157" s="454"/>
      <c r="AG157" s="454"/>
      <c r="AH157" s="428"/>
      <c r="AI157" s="427"/>
      <c r="AJ157" s="454"/>
      <c r="AK157" s="454"/>
      <c r="AL157" s="428"/>
      <c r="AM157" s="427"/>
      <c r="AN157" s="454"/>
      <c r="AO157" s="454"/>
      <c r="AP157" s="428"/>
      <c r="AQ157" s="427"/>
      <c r="AR157" s="454"/>
      <c r="AS157" s="454"/>
      <c r="AT157" s="428"/>
      <c r="AU157" s="427"/>
      <c r="AV157" s="454"/>
      <c r="AW157" s="454"/>
      <c r="AX157" s="428"/>
      <c r="AY157" s="427"/>
      <c r="AZ157" s="454"/>
      <c r="BA157" s="454"/>
      <c r="BB157" s="428"/>
      <c r="BC157" s="427"/>
      <c r="BD157" s="454"/>
      <c r="BE157" s="454"/>
      <c r="BF157" s="428"/>
      <c r="BG157" s="427"/>
      <c r="BH157" s="454"/>
      <c r="BI157" s="454"/>
      <c r="BJ157" s="428"/>
      <c r="BK157" s="427"/>
      <c r="BL157" s="454"/>
      <c r="BM157" s="454"/>
      <c r="BN157" s="428"/>
      <c r="BO157" s="427"/>
      <c r="BP157" s="454"/>
      <c r="BQ157" s="454"/>
      <c r="BR157" s="428"/>
      <c r="BS157" s="427"/>
      <c r="BT157" s="454"/>
      <c r="BU157" s="454"/>
      <c r="BV157" s="428"/>
      <c r="BW157" s="427"/>
      <c r="BX157" s="454"/>
      <c r="BY157" s="454"/>
      <c r="BZ157" s="428"/>
      <c r="CA157" s="427"/>
      <c r="CB157" s="454"/>
      <c r="CC157" s="454"/>
      <c r="CD157" s="428"/>
      <c r="CE157" s="427"/>
      <c r="CF157" s="454"/>
      <c r="CG157" s="454"/>
      <c r="CH157" s="428"/>
      <c r="CI157" s="427"/>
      <c r="CJ157" s="454"/>
      <c r="CK157" s="454"/>
      <c r="CL157" s="428"/>
      <c r="CM157" s="427"/>
      <c r="CN157" s="454"/>
      <c r="CO157" s="454"/>
      <c r="CP157" s="428"/>
      <c r="CQ157" s="427"/>
      <c r="CR157" s="454"/>
      <c r="CS157" s="454"/>
      <c r="CT157" s="428"/>
      <c r="CU157" s="427"/>
      <c r="CV157" s="454"/>
      <c r="CW157" s="454"/>
      <c r="CX157" s="428"/>
      <c r="CY157" s="427"/>
      <c r="CZ157" s="454"/>
      <c r="DA157" s="454"/>
      <c r="DB157" s="428"/>
      <c r="DC157" s="427"/>
      <c r="DD157" s="454"/>
      <c r="DE157" s="454"/>
      <c r="DF157" s="428"/>
      <c r="DG157" s="427"/>
      <c r="DH157" s="454"/>
      <c r="DI157" s="454"/>
      <c r="DJ157" s="428"/>
      <c r="DK157" s="427"/>
      <c r="DL157" s="454"/>
      <c r="DM157" s="454"/>
      <c r="DN157" s="428"/>
      <c r="DO157" s="427"/>
      <c r="DP157" s="454"/>
      <c r="DQ157" s="454"/>
      <c r="DR157" s="428"/>
      <c r="DS157" s="427"/>
      <c r="DT157" s="454"/>
      <c r="DU157" s="454"/>
      <c r="DV157" s="428"/>
      <c r="DW157" s="427"/>
      <c r="DX157" s="454"/>
      <c r="DY157" s="454"/>
      <c r="DZ157" s="428"/>
      <c r="EA157" s="427"/>
      <c r="EB157" s="454"/>
      <c r="EC157" s="454"/>
      <c r="ED157" s="428"/>
      <c r="EE157" s="427"/>
      <c r="EF157" s="454"/>
      <c r="EG157" s="454"/>
      <c r="EH157" s="428"/>
      <c r="EI157" s="427"/>
      <c r="EJ157" s="454"/>
      <c r="EK157" s="454"/>
      <c r="EL157" s="428"/>
      <c r="EM157" s="427"/>
      <c r="EN157" s="454"/>
      <c r="EO157" s="454"/>
      <c r="EP157" s="428"/>
      <c r="EQ157" s="427"/>
      <c r="ER157" s="454"/>
      <c r="ES157" s="454"/>
      <c r="ET157" s="428"/>
      <c r="EU157" s="427"/>
      <c r="EV157" s="454"/>
      <c r="EW157" s="454"/>
      <c r="EX157" s="428"/>
      <c r="EY157" s="427"/>
      <c r="EZ157" s="454"/>
      <c r="FA157" s="454"/>
      <c r="FB157" s="428"/>
      <c r="FC157" s="427"/>
      <c r="FD157" s="454"/>
      <c r="FE157" s="454"/>
      <c r="FF157" s="428"/>
      <c r="FG157" s="427"/>
      <c r="FH157" s="454"/>
      <c r="FI157" s="454"/>
      <c r="FJ157" s="428"/>
      <c r="FK157" s="427"/>
      <c r="FL157" s="454"/>
      <c r="FM157" s="454"/>
      <c r="FN157" s="428"/>
      <c r="FO157" s="427"/>
      <c r="FP157" s="454"/>
      <c r="FQ157" s="454"/>
      <c r="FR157" s="428"/>
      <c r="FS157" s="427"/>
      <c r="FT157" s="454"/>
      <c r="FU157" s="454"/>
      <c r="FV157" s="428"/>
      <c r="FW157" s="427"/>
      <c r="FX157" s="454"/>
      <c r="FY157" s="454"/>
      <c r="FZ157" s="428"/>
      <c r="GA157" s="427"/>
      <c r="GB157" s="454"/>
      <c r="GC157" s="454"/>
      <c r="GD157" s="428"/>
      <c r="GE157" s="427"/>
      <c r="GF157" s="454"/>
      <c r="GG157" s="454"/>
      <c r="GH157" s="428"/>
      <c r="GI157" s="427"/>
      <c r="GJ157" s="454"/>
      <c r="GK157" s="454"/>
      <c r="GL157" s="428"/>
      <c r="GM157" s="427"/>
      <c r="GN157" s="454"/>
      <c r="GO157" s="454"/>
      <c r="GP157" s="428"/>
      <c r="GQ157" s="427"/>
      <c r="GR157" s="454"/>
      <c r="GS157" s="454"/>
      <c r="GT157" s="428"/>
      <c r="GU157" s="427"/>
      <c r="GV157" s="454"/>
      <c r="GW157" s="454"/>
      <c r="GX157" s="428"/>
      <c r="GY157" s="427"/>
      <c r="GZ157" s="454"/>
      <c r="HA157" s="454"/>
      <c r="HB157" s="428"/>
      <c r="HC157" s="434">
        <f t="shared" si="84"/>
        <v>0</v>
      </c>
      <c r="HD157" s="456"/>
      <c r="HE157" s="456"/>
      <c r="HF157" s="433"/>
      <c r="HG157" s="434">
        <f>SUM(SUMIFS(K157:HB157,$K$13:$HB$13,{"エネルギー管理指定工場等*","県域*"}))</f>
        <v>0</v>
      </c>
      <c r="HH157" s="456"/>
      <c r="HI157" s="456"/>
      <c r="HJ157" s="433"/>
    </row>
    <row r="158" spans="1:218" ht="20.100000000000001" customHeight="1">
      <c r="A158" s="164"/>
      <c r="B158" s="421" t="s">
        <v>1439</v>
      </c>
      <c r="C158" s="422"/>
      <c r="D158" s="422"/>
      <c r="E158" s="422"/>
      <c r="F158" s="422"/>
      <c r="G158" s="422"/>
      <c r="H158" s="453"/>
      <c r="I158" s="425"/>
      <c r="J158" s="426"/>
      <c r="K158" s="427"/>
      <c r="L158" s="454"/>
      <c r="M158" s="454"/>
      <c r="N158" s="428"/>
      <c r="O158" s="427"/>
      <c r="P158" s="454"/>
      <c r="Q158" s="454"/>
      <c r="R158" s="428"/>
      <c r="S158" s="427"/>
      <c r="T158" s="454"/>
      <c r="U158" s="454"/>
      <c r="V158" s="428"/>
      <c r="W158" s="427"/>
      <c r="X158" s="454"/>
      <c r="Y158" s="454"/>
      <c r="Z158" s="428"/>
      <c r="AA158" s="427"/>
      <c r="AB158" s="454"/>
      <c r="AC158" s="454"/>
      <c r="AD158" s="428"/>
      <c r="AE158" s="427"/>
      <c r="AF158" s="454"/>
      <c r="AG158" s="454"/>
      <c r="AH158" s="428"/>
      <c r="AI158" s="427"/>
      <c r="AJ158" s="454"/>
      <c r="AK158" s="454"/>
      <c r="AL158" s="428"/>
      <c r="AM158" s="427"/>
      <c r="AN158" s="454"/>
      <c r="AO158" s="454"/>
      <c r="AP158" s="428"/>
      <c r="AQ158" s="427"/>
      <c r="AR158" s="454"/>
      <c r="AS158" s="454"/>
      <c r="AT158" s="428"/>
      <c r="AU158" s="427"/>
      <c r="AV158" s="454"/>
      <c r="AW158" s="454"/>
      <c r="AX158" s="428"/>
      <c r="AY158" s="427"/>
      <c r="AZ158" s="454"/>
      <c r="BA158" s="454"/>
      <c r="BB158" s="428"/>
      <c r="BC158" s="427"/>
      <c r="BD158" s="454"/>
      <c r="BE158" s="454"/>
      <c r="BF158" s="428"/>
      <c r="BG158" s="427"/>
      <c r="BH158" s="454"/>
      <c r="BI158" s="454"/>
      <c r="BJ158" s="428"/>
      <c r="BK158" s="427"/>
      <c r="BL158" s="454"/>
      <c r="BM158" s="454"/>
      <c r="BN158" s="428"/>
      <c r="BO158" s="427"/>
      <c r="BP158" s="454"/>
      <c r="BQ158" s="454"/>
      <c r="BR158" s="428"/>
      <c r="BS158" s="427"/>
      <c r="BT158" s="454"/>
      <c r="BU158" s="454"/>
      <c r="BV158" s="428"/>
      <c r="BW158" s="427"/>
      <c r="BX158" s="454"/>
      <c r="BY158" s="454"/>
      <c r="BZ158" s="428"/>
      <c r="CA158" s="427"/>
      <c r="CB158" s="454"/>
      <c r="CC158" s="454"/>
      <c r="CD158" s="428"/>
      <c r="CE158" s="427"/>
      <c r="CF158" s="454"/>
      <c r="CG158" s="454"/>
      <c r="CH158" s="428"/>
      <c r="CI158" s="427"/>
      <c r="CJ158" s="454"/>
      <c r="CK158" s="454"/>
      <c r="CL158" s="428"/>
      <c r="CM158" s="427"/>
      <c r="CN158" s="454"/>
      <c r="CO158" s="454"/>
      <c r="CP158" s="428"/>
      <c r="CQ158" s="427"/>
      <c r="CR158" s="454"/>
      <c r="CS158" s="454"/>
      <c r="CT158" s="428"/>
      <c r="CU158" s="427"/>
      <c r="CV158" s="454"/>
      <c r="CW158" s="454"/>
      <c r="CX158" s="428"/>
      <c r="CY158" s="427"/>
      <c r="CZ158" s="454"/>
      <c r="DA158" s="454"/>
      <c r="DB158" s="428"/>
      <c r="DC158" s="427"/>
      <c r="DD158" s="454"/>
      <c r="DE158" s="454"/>
      <c r="DF158" s="428"/>
      <c r="DG158" s="427"/>
      <c r="DH158" s="454"/>
      <c r="DI158" s="454"/>
      <c r="DJ158" s="428"/>
      <c r="DK158" s="427"/>
      <c r="DL158" s="454"/>
      <c r="DM158" s="454"/>
      <c r="DN158" s="428"/>
      <c r="DO158" s="427"/>
      <c r="DP158" s="454"/>
      <c r="DQ158" s="454"/>
      <c r="DR158" s="428"/>
      <c r="DS158" s="427"/>
      <c r="DT158" s="454"/>
      <c r="DU158" s="454"/>
      <c r="DV158" s="428"/>
      <c r="DW158" s="427"/>
      <c r="DX158" s="454"/>
      <c r="DY158" s="454"/>
      <c r="DZ158" s="428"/>
      <c r="EA158" s="427"/>
      <c r="EB158" s="454"/>
      <c r="EC158" s="454"/>
      <c r="ED158" s="428"/>
      <c r="EE158" s="427"/>
      <c r="EF158" s="454"/>
      <c r="EG158" s="454"/>
      <c r="EH158" s="428"/>
      <c r="EI158" s="427"/>
      <c r="EJ158" s="454"/>
      <c r="EK158" s="454"/>
      <c r="EL158" s="428"/>
      <c r="EM158" s="427"/>
      <c r="EN158" s="454"/>
      <c r="EO158" s="454"/>
      <c r="EP158" s="428"/>
      <c r="EQ158" s="427"/>
      <c r="ER158" s="454"/>
      <c r="ES158" s="454"/>
      <c r="ET158" s="428"/>
      <c r="EU158" s="427"/>
      <c r="EV158" s="454"/>
      <c r="EW158" s="454"/>
      <c r="EX158" s="428"/>
      <c r="EY158" s="427"/>
      <c r="EZ158" s="454"/>
      <c r="FA158" s="454"/>
      <c r="FB158" s="428"/>
      <c r="FC158" s="427"/>
      <c r="FD158" s="454"/>
      <c r="FE158" s="454"/>
      <c r="FF158" s="428"/>
      <c r="FG158" s="427"/>
      <c r="FH158" s="454"/>
      <c r="FI158" s="454"/>
      <c r="FJ158" s="428"/>
      <c r="FK158" s="427"/>
      <c r="FL158" s="454"/>
      <c r="FM158" s="454"/>
      <c r="FN158" s="428"/>
      <c r="FO158" s="427"/>
      <c r="FP158" s="454"/>
      <c r="FQ158" s="454"/>
      <c r="FR158" s="428"/>
      <c r="FS158" s="427"/>
      <c r="FT158" s="454"/>
      <c r="FU158" s="454"/>
      <c r="FV158" s="428"/>
      <c r="FW158" s="427"/>
      <c r="FX158" s="454"/>
      <c r="FY158" s="454"/>
      <c r="FZ158" s="428"/>
      <c r="GA158" s="427"/>
      <c r="GB158" s="454"/>
      <c r="GC158" s="454"/>
      <c r="GD158" s="428"/>
      <c r="GE158" s="427"/>
      <c r="GF158" s="454"/>
      <c r="GG158" s="454"/>
      <c r="GH158" s="428"/>
      <c r="GI158" s="427"/>
      <c r="GJ158" s="454"/>
      <c r="GK158" s="454"/>
      <c r="GL158" s="428"/>
      <c r="GM158" s="427"/>
      <c r="GN158" s="454"/>
      <c r="GO158" s="454"/>
      <c r="GP158" s="428"/>
      <c r="GQ158" s="427"/>
      <c r="GR158" s="454"/>
      <c r="GS158" s="454"/>
      <c r="GT158" s="428"/>
      <c r="GU158" s="427"/>
      <c r="GV158" s="454"/>
      <c r="GW158" s="454"/>
      <c r="GX158" s="428"/>
      <c r="GY158" s="427"/>
      <c r="GZ158" s="454"/>
      <c r="HA158" s="454"/>
      <c r="HB158" s="428"/>
      <c r="HC158" s="434">
        <f t="shared" si="84"/>
        <v>0</v>
      </c>
      <c r="HD158" s="456"/>
      <c r="HE158" s="456"/>
      <c r="HF158" s="433"/>
      <c r="HG158" s="434">
        <f>SUM(SUMIFS(K158:HB158,$K$13:$HB$13,{"エネルギー管理指定工場等*","県域*"}))</f>
        <v>0</v>
      </c>
      <c r="HH158" s="456"/>
      <c r="HI158" s="456"/>
      <c r="HJ158" s="433"/>
    </row>
    <row r="159" spans="1:218" ht="20.100000000000001" customHeight="1">
      <c r="A159" s="164"/>
      <c r="B159" s="421" t="s">
        <v>1440</v>
      </c>
      <c r="C159" s="422"/>
      <c r="D159" s="422"/>
      <c r="E159" s="422"/>
      <c r="F159" s="422"/>
      <c r="G159" s="422"/>
      <c r="H159" s="453"/>
      <c r="I159" s="425"/>
      <c r="J159" s="426"/>
      <c r="K159" s="427"/>
      <c r="L159" s="454"/>
      <c r="M159" s="454"/>
      <c r="N159" s="428"/>
      <c r="O159" s="427"/>
      <c r="P159" s="454"/>
      <c r="Q159" s="454"/>
      <c r="R159" s="428"/>
      <c r="S159" s="427"/>
      <c r="T159" s="454"/>
      <c r="U159" s="454"/>
      <c r="V159" s="428"/>
      <c r="W159" s="427"/>
      <c r="X159" s="454"/>
      <c r="Y159" s="454"/>
      <c r="Z159" s="428"/>
      <c r="AA159" s="427"/>
      <c r="AB159" s="454"/>
      <c r="AC159" s="454"/>
      <c r="AD159" s="428"/>
      <c r="AE159" s="427"/>
      <c r="AF159" s="454"/>
      <c r="AG159" s="454"/>
      <c r="AH159" s="428"/>
      <c r="AI159" s="427"/>
      <c r="AJ159" s="454"/>
      <c r="AK159" s="454"/>
      <c r="AL159" s="428"/>
      <c r="AM159" s="427"/>
      <c r="AN159" s="454"/>
      <c r="AO159" s="454"/>
      <c r="AP159" s="428"/>
      <c r="AQ159" s="427"/>
      <c r="AR159" s="454"/>
      <c r="AS159" s="454"/>
      <c r="AT159" s="428"/>
      <c r="AU159" s="427"/>
      <c r="AV159" s="454"/>
      <c r="AW159" s="454"/>
      <c r="AX159" s="428"/>
      <c r="AY159" s="427"/>
      <c r="AZ159" s="454"/>
      <c r="BA159" s="454"/>
      <c r="BB159" s="428"/>
      <c r="BC159" s="427"/>
      <c r="BD159" s="454"/>
      <c r="BE159" s="454"/>
      <c r="BF159" s="428"/>
      <c r="BG159" s="427"/>
      <c r="BH159" s="454"/>
      <c r="BI159" s="454"/>
      <c r="BJ159" s="428"/>
      <c r="BK159" s="427"/>
      <c r="BL159" s="454"/>
      <c r="BM159" s="454"/>
      <c r="BN159" s="428"/>
      <c r="BO159" s="427"/>
      <c r="BP159" s="454"/>
      <c r="BQ159" s="454"/>
      <c r="BR159" s="428"/>
      <c r="BS159" s="427"/>
      <c r="BT159" s="454"/>
      <c r="BU159" s="454"/>
      <c r="BV159" s="428"/>
      <c r="BW159" s="427"/>
      <c r="BX159" s="454"/>
      <c r="BY159" s="454"/>
      <c r="BZ159" s="428"/>
      <c r="CA159" s="427"/>
      <c r="CB159" s="454"/>
      <c r="CC159" s="454"/>
      <c r="CD159" s="428"/>
      <c r="CE159" s="427"/>
      <c r="CF159" s="454"/>
      <c r="CG159" s="454"/>
      <c r="CH159" s="428"/>
      <c r="CI159" s="427"/>
      <c r="CJ159" s="454"/>
      <c r="CK159" s="454"/>
      <c r="CL159" s="428"/>
      <c r="CM159" s="427"/>
      <c r="CN159" s="454"/>
      <c r="CO159" s="454"/>
      <c r="CP159" s="428"/>
      <c r="CQ159" s="427"/>
      <c r="CR159" s="454"/>
      <c r="CS159" s="454"/>
      <c r="CT159" s="428"/>
      <c r="CU159" s="427"/>
      <c r="CV159" s="454"/>
      <c r="CW159" s="454"/>
      <c r="CX159" s="428"/>
      <c r="CY159" s="427"/>
      <c r="CZ159" s="454"/>
      <c r="DA159" s="454"/>
      <c r="DB159" s="428"/>
      <c r="DC159" s="427"/>
      <c r="DD159" s="454"/>
      <c r="DE159" s="454"/>
      <c r="DF159" s="428"/>
      <c r="DG159" s="427"/>
      <c r="DH159" s="454"/>
      <c r="DI159" s="454"/>
      <c r="DJ159" s="428"/>
      <c r="DK159" s="427"/>
      <c r="DL159" s="454"/>
      <c r="DM159" s="454"/>
      <c r="DN159" s="428"/>
      <c r="DO159" s="427"/>
      <c r="DP159" s="454"/>
      <c r="DQ159" s="454"/>
      <c r="DR159" s="428"/>
      <c r="DS159" s="427"/>
      <c r="DT159" s="454"/>
      <c r="DU159" s="454"/>
      <c r="DV159" s="428"/>
      <c r="DW159" s="427"/>
      <c r="DX159" s="454"/>
      <c r="DY159" s="454"/>
      <c r="DZ159" s="428"/>
      <c r="EA159" s="427"/>
      <c r="EB159" s="454"/>
      <c r="EC159" s="454"/>
      <c r="ED159" s="428"/>
      <c r="EE159" s="427"/>
      <c r="EF159" s="454"/>
      <c r="EG159" s="454"/>
      <c r="EH159" s="428"/>
      <c r="EI159" s="427"/>
      <c r="EJ159" s="454"/>
      <c r="EK159" s="454"/>
      <c r="EL159" s="428"/>
      <c r="EM159" s="427"/>
      <c r="EN159" s="454"/>
      <c r="EO159" s="454"/>
      <c r="EP159" s="428"/>
      <c r="EQ159" s="427"/>
      <c r="ER159" s="454"/>
      <c r="ES159" s="454"/>
      <c r="ET159" s="428"/>
      <c r="EU159" s="427"/>
      <c r="EV159" s="454"/>
      <c r="EW159" s="454"/>
      <c r="EX159" s="428"/>
      <c r="EY159" s="427"/>
      <c r="EZ159" s="454"/>
      <c r="FA159" s="454"/>
      <c r="FB159" s="428"/>
      <c r="FC159" s="427"/>
      <c r="FD159" s="454"/>
      <c r="FE159" s="454"/>
      <c r="FF159" s="428"/>
      <c r="FG159" s="427"/>
      <c r="FH159" s="454"/>
      <c r="FI159" s="454"/>
      <c r="FJ159" s="428"/>
      <c r="FK159" s="427"/>
      <c r="FL159" s="454"/>
      <c r="FM159" s="454"/>
      <c r="FN159" s="428"/>
      <c r="FO159" s="427"/>
      <c r="FP159" s="454"/>
      <c r="FQ159" s="454"/>
      <c r="FR159" s="428"/>
      <c r="FS159" s="427"/>
      <c r="FT159" s="454"/>
      <c r="FU159" s="454"/>
      <c r="FV159" s="428"/>
      <c r="FW159" s="427"/>
      <c r="FX159" s="454"/>
      <c r="FY159" s="454"/>
      <c r="FZ159" s="428"/>
      <c r="GA159" s="427"/>
      <c r="GB159" s="454"/>
      <c r="GC159" s="454"/>
      <c r="GD159" s="428"/>
      <c r="GE159" s="427"/>
      <c r="GF159" s="454"/>
      <c r="GG159" s="454"/>
      <c r="GH159" s="428"/>
      <c r="GI159" s="427"/>
      <c r="GJ159" s="454"/>
      <c r="GK159" s="454"/>
      <c r="GL159" s="428"/>
      <c r="GM159" s="427"/>
      <c r="GN159" s="454"/>
      <c r="GO159" s="454"/>
      <c r="GP159" s="428"/>
      <c r="GQ159" s="427"/>
      <c r="GR159" s="454"/>
      <c r="GS159" s="454"/>
      <c r="GT159" s="428"/>
      <c r="GU159" s="427"/>
      <c r="GV159" s="454"/>
      <c r="GW159" s="454"/>
      <c r="GX159" s="428"/>
      <c r="GY159" s="427"/>
      <c r="GZ159" s="454"/>
      <c r="HA159" s="454"/>
      <c r="HB159" s="428"/>
      <c r="HC159" s="434">
        <f t="shared" si="84"/>
        <v>0</v>
      </c>
      <c r="HD159" s="456"/>
      <c r="HE159" s="456"/>
      <c r="HF159" s="433"/>
      <c r="HG159" s="434">
        <f>SUM(SUMIFS(K159:HB159,$K$13:$HB$13,{"エネルギー管理指定工場等*","県域*"}))</f>
        <v>0</v>
      </c>
      <c r="HH159" s="456"/>
      <c r="HI159" s="456"/>
      <c r="HJ159" s="433"/>
    </row>
    <row r="160" spans="1:218" ht="20.100000000000001" customHeight="1" thickBot="1">
      <c r="A160" s="164"/>
      <c r="B160" s="483" t="s">
        <v>1441</v>
      </c>
      <c r="C160" s="458"/>
      <c r="D160" s="458"/>
      <c r="E160" s="458"/>
      <c r="F160" s="458"/>
      <c r="G160" s="458"/>
      <c r="H160" s="459"/>
      <c r="I160" s="484"/>
      <c r="J160" s="485"/>
      <c r="K160" s="486"/>
      <c r="L160" s="487"/>
      <c r="M160" s="487"/>
      <c r="N160" s="488"/>
      <c r="O160" s="486"/>
      <c r="P160" s="487"/>
      <c r="Q160" s="487"/>
      <c r="R160" s="488"/>
      <c r="S160" s="486"/>
      <c r="T160" s="487"/>
      <c r="U160" s="487"/>
      <c r="V160" s="488"/>
      <c r="W160" s="486"/>
      <c r="X160" s="487"/>
      <c r="Y160" s="487"/>
      <c r="Z160" s="488"/>
      <c r="AA160" s="486"/>
      <c r="AB160" s="487"/>
      <c r="AC160" s="487"/>
      <c r="AD160" s="488"/>
      <c r="AE160" s="460"/>
      <c r="AF160" s="461"/>
      <c r="AG160" s="487"/>
      <c r="AH160" s="488"/>
      <c r="AI160" s="486"/>
      <c r="AJ160" s="487"/>
      <c r="AK160" s="487"/>
      <c r="AL160" s="488"/>
      <c r="AM160" s="486"/>
      <c r="AN160" s="487"/>
      <c r="AO160" s="487"/>
      <c r="AP160" s="488"/>
      <c r="AQ160" s="486"/>
      <c r="AR160" s="487"/>
      <c r="AS160" s="487"/>
      <c r="AT160" s="488"/>
      <c r="AU160" s="486"/>
      <c r="AV160" s="487"/>
      <c r="AW160" s="487"/>
      <c r="AX160" s="488"/>
      <c r="AY160" s="486"/>
      <c r="AZ160" s="487"/>
      <c r="BA160" s="487"/>
      <c r="BB160" s="488"/>
      <c r="BC160" s="486"/>
      <c r="BD160" s="487"/>
      <c r="BE160" s="487"/>
      <c r="BF160" s="488"/>
      <c r="BG160" s="486"/>
      <c r="BH160" s="487"/>
      <c r="BI160" s="487"/>
      <c r="BJ160" s="488"/>
      <c r="BK160" s="486"/>
      <c r="BL160" s="487"/>
      <c r="BM160" s="487"/>
      <c r="BN160" s="488"/>
      <c r="BO160" s="486"/>
      <c r="BP160" s="487"/>
      <c r="BQ160" s="487"/>
      <c r="BR160" s="488"/>
      <c r="BS160" s="486"/>
      <c r="BT160" s="487"/>
      <c r="BU160" s="487"/>
      <c r="BV160" s="488"/>
      <c r="BW160" s="486"/>
      <c r="BX160" s="487"/>
      <c r="BY160" s="487"/>
      <c r="BZ160" s="488"/>
      <c r="CA160" s="486"/>
      <c r="CB160" s="487"/>
      <c r="CC160" s="487"/>
      <c r="CD160" s="488"/>
      <c r="CE160" s="486"/>
      <c r="CF160" s="487"/>
      <c r="CG160" s="487"/>
      <c r="CH160" s="488"/>
      <c r="CI160" s="486"/>
      <c r="CJ160" s="487"/>
      <c r="CK160" s="487"/>
      <c r="CL160" s="488"/>
      <c r="CM160" s="486"/>
      <c r="CN160" s="487"/>
      <c r="CO160" s="487"/>
      <c r="CP160" s="488"/>
      <c r="CQ160" s="486"/>
      <c r="CR160" s="487"/>
      <c r="CS160" s="487"/>
      <c r="CT160" s="488"/>
      <c r="CU160" s="486"/>
      <c r="CV160" s="487"/>
      <c r="CW160" s="487"/>
      <c r="CX160" s="488"/>
      <c r="CY160" s="486"/>
      <c r="CZ160" s="487"/>
      <c r="DA160" s="487"/>
      <c r="DB160" s="488"/>
      <c r="DC160" s="486"/>
      <c r="DD160" s="487"/>
      <c r="DE160" s="487"/>
      <c r="DF160" s="488"/>
      <c r="DG160" s="486"/>
      <c r="DH160" s="487"/>
      <c r="DI160" s="487"/>
      <c r="DJ160" s="488"/>
      <c r="DK160" s="486"/>
      <c r="DL160" s="487"/>
      <c r="DM160" s="487"/>
      <c r="DN160" s="488"/>
      <c r="DO160" s="486"/>
      <c r="DP160" s="487"/>
      <c r="DQ160" s="487"/>
      <c r="DR160" s="488"/>
      <c r="DS160" s="486"/>
      <c r="DT160" s="487"/>
      <c r="DU160" s="487"/>
      <c r="DV160" s="488"/>
      <c r="DW160" s="486"/>
      <c r="DX160" s="487"/>
      <c r="DY160" s="487"/>
      <c r="DZ160" s="488"/>
      <c r="EA160" s="486"/>
      <c r="EB160" s="487"/>
      <c r="EC160" s="487"/>
      <c r="ED160" s="488"/>
      <c r="EE160" s="486"/>
      <c r="EF160" s="487"/>
      <c r="EG160" s="487"/>
      <c r="EH160" s="488"/>
      <c r="EI160" s="486"/>
      <c r="EJ160" s="487"/>
      <c r="EK160" s="487"/>
      <c r="EL160" s="488"/>
      <c r="EM160" s="486"/>
      <c r="EN160" s="487"/>
      <c r="EO160" s="487"/>
      <c r="EP160" s="488"/>
      <c r="EQ160" s="486"/>
      <c r="ER160" s="487"/>
      <c r="ES160" s="487"/>
      <c r="ET160" s="488"/>
      <c r="EU160" s="486"/>
      <c r="EV160" s="487"/>
      <c r="EW160" s="487"/>
      <c r="EX160" s="488"/>
      <c r="EY160" s="486"/>
      <c r="EZ160" s="487"/>
      <c r="FA160" s="487"/>
      <c r="FB160" s="488"/>
      <c r="FC160" s="486"/>
      <c r="FD160" s="487"/>
      <c r="FE160" s="487"/>
      <c r="FF160" s="488"/>
      <c r="FG160" s="486"/>
      <c r="FH160" s="487"/>
      <c r="FI160" s="487"/>
      <c r="FJ160" s="488"/>
      <c r="FK160" s="486"/>
      <c r="FL160" s="487"/>
      <c r="FM160" s="487"/>
      <c r="FN160" s="488"/>
      <c r="FO160" s="486"/>
      <c r="FP160" s="487"/>
      <c r="FQ160" s="487"/>
      <c r="FR160" s="488"/>
      <c r="FS160" s="486"/>
      <c r="FT160" s="487"/>
      <c r="FU160" s="487"/>
      <c r="FV160" s="488"/>
      <c r="FW160" s="486"/>
      <c r="FX160" s="487"/>
      <c r="FY160" s="487"/>
      <c r="FZ160" s="488"/>
      <c r="GA160" s="486"/>
      <c r="GB160" s="487"/>
      <c r="GC160" s="487"/>
      <c r="GD160" s="488"/>
      <c r="GE160" s="486"/>
      <c r="GF160" s="487"/>
      <c r="GG160" s="487"/>
      <c r="GH160" s="488"/>
      <c r="GI160" s="486"/>
      <c r="GJ160" s="487"/>
      <c r="GK160" s="487"/>
      <c r="GL160" s="488"/>
      <c r="GM160" s="486"/>
      <c r="GN160" s="487"/>
      <c r="GO160" s="487"/>
      <c r="GP160" s="488"/>
      <c r="GQ160" s="486"/>
      <c r="GR160" s="487"/>
      <c r="GS160" s="487"/>
      <c r="GT160" s="488"/>
      <c r="GU160" s="486"/>
      <c r="GV160" s="487"/>
      <c r="GW160" s="487"/>
      <c r="GX160" s="488"/>
      <c r="GY160" s="486"/>
      <c r="GZ160" s="487"/>
      <c r="HA160" s="487"/>
      <c r="HB160" s="488"/>
      <c r="HC160" s="489">
        <f t="shared" si="84"/>
        <v>0</v>
      </c>
      <c r="HD160" s="490"/>
      <c r="HE160" s="490"/>
      <c r="HF160" s="491"/>
      <c r="HG160" s="489">
        <f>SUM(SUMIFS(K160:HB160,$K$13:$HB$13,{"エネルギー管理指定工場等*","県域*"}))</f>
        <v>0</v>
      </c>
      <c r="HH160" s="490"/>
      <c r="HI160" s="490"/>
      <c r="HJ160" s="491"/>
    </row>
    <row r="161" spans="1:210" ht="20.100000000000001" customHeight="1">
      <c r="A161" s="164"/>
      <c r="B161" s="492" t="s">
        <v>1442</v>
      </c>
      <c r="C161" s="374" t="s">
        <v>1443</v>
      </c>
      <c r="D161" s="376"/>
      <c r="E161" s="376"/>
      <c r="F161" s="493"/>
      <c r="G161" s="492" t="s">
        <v>631</v>
      </c>
      <c r="H161" s="493"/>
      <c r="I161" s="293" t="s">
        <v>632</v>
      </c>
      <c r="J161" s="399" t="s">
        <v>633</v>
      </c>
      <c r="K161" s="494" t="s">
        <v>1444</v>
      </c>
      <c r="L161" s="254" t="s">
        <v>1445</v>
      </c>
      <c r="M161" s="254" t="s">
        <v>1446</v>
      </c>
      <c r="N161" s="254" t="s">
        <v>1447</v>
      </c>
      <c r="O161" s="492"/>
      <c r="P161" s="376"/>
      <c r="Q161" s="200"/>
      <c r="R161" s="251"/>
      <c r="S161" s="251"/>
      <c r="T161" s="251"/>
      <c r="U161" s="200"/>
      <c r="V161" s="251"/>
      <c r="W161" s="251"/>
      <c r="X161" s="251"/>
      <c r="Y161" s="200"/>
      <c r="Z161" s="251"/>
      <c r="AA161" s="251"/>
      <c r="AB161" s="251"/>
      <c r="AC161" s="200"/>
      <c r="AD161" s="251"/>
      <c r="AE161" s="376"/>
      <c r="AF161" s="376"/>
      <c r="AG161" s="251"/>
      <c r="AH161" s="251"/>
      <c r="AI161" s="251"/>
      <c r="AJ161" s="251"/>
      <c r="AK161" s="251"/>
      <c r="AL161" s="251"/>
      <c r="AM161" s="251"/>
      <c r="AN161" s="251"/>
      <c r="AO161" s="495"/>
      <c r="AP161" s="495"/>
      <c r="AQ161" s="249"/>
      <c r="AR161" s="249"/>
      <c r="AS161" s="249"/>
      <c r="AT161" s="249"/>
      <c r="AU161" s="249"/>
      <c r="AV161" s="249"/>
      <c r="AW161" s="251"/>
      <c r="AX161" s="251"/>
      <c r="AY161" s="251"/>
      <c r="AZ161" s="251"/>
      <c r="BA161" s="251"/>
      <c r="BB161" s="251"/>
      <c r="BC161" s="251"/>
      <c r="BD161" s="251"/>
      <c r="BE161" s="251"/>
      <c r="BF161" s="251"/>
      <c r="BG161" s="251"/>
      <c r="BH161" s="251"/>
      <c r="BI161" s="251"/>
      <c r="BJ161" s="251"/>
      <c r="BK161" s="251"/>
      <c r="BL161" s="251"/>
      <c r="BM161" s="251"/>
      <c r="BN161" s="251"/>
      <c r="BO161" s="251"/>
      <c r="BP161" s="251"/>
      <c r="BQ161" s="249"/>
      <c r="BR161" s="249"/>
      <c r="BS161" s="249"/>
      <c r="BT161" s="249"/>
      <c r="BU161" s="249"/>
      <c r="BV161" s="249"/>
      <c r="BW161" s="496"/>
      <c r="BX161" s="496"/>
      <c r="BY161" s="496"/>
      <c r="BZ161" s="496"/>
      <c r="CA161" s="496"/>
      <c r="CB161" s="496"/>
      <c r="CC161" s="496"/>
      <c r="CD161" s="496"/>
      <c r="CE161" s="496"/>
      <c r="CF161" s="496"/>
      <c r="CG161" s="496"/>
      <c r="CH161" s="496"/>
      <c r="CI161" s="496"/>
      <c r="CJ161" s="496"/>
      <c r="CK161" s="496"/>
      <c r="CL161" s="496"/>
      <c r="CM161" s="496"/>
      <c r="CN161" s="496"/>
      <c r="CO161" s="496"/>
      <c r="CP161" s="496"/>
      <c r="CQ161" s="496"/>
      <c r="CR161" s="496"/>
      <c r="CS161" s="496"/>
      <c r="CT161" s="496"/>
      <c r="CU161" s="496"/>
      <c r="CV161" s="496"/>
      <c r="CW161" s="496"/>
      <c r="CX161" s="496"/>
      <c r="CY161" s="496"/>
      <c r="CZ161" s="496"/>
      <c r="DA161" s="496"/>
      <c r="DB161" s="496"/>
      <c r="DC161" s="496"/>
      <c r="DD161" s="496"/>
      <c r="DE161" s="496"/>
      <c r="DF161" s="496"/>
      <c r="DG161" s="496"/>
      <c r="DH161" s="496"/>
      <c r="DI161" s="496"/>
      <c r="DJ161" s="496"/>
      <c r="DK161" s="496"/>
      <c r="DL161" s="496"/>
      <c r="DM161" s="496"/>
      <c r="DN161" s="496"/>
      <c r="DO161" s="496"/>
      <c r="DP161" s="496"/>
      <c r="DQ161" s="496"/>
      <c r="DR161" s="496"/>
      <c r="DS161" s="496"/>
      <c r="DT161" s="496"/>
      <c r="DU161" s="496"/>
      <c r="DV161" s="496"/>
      <c r="DW161" s="496"/>
      <c r="DX161" s="496"/>
      <c r="DY161" s="496"/>
      <c r="DZ161" s="496"/>
      <c r="EA161" s="496"/>
      <c r="EB161" s="496"/>
      <c r="EC161" s="496"/>
      <c r="ED161" s="496"/>
      <c r="EE161" s="496"/>
      <c r="EF161" s="496"/>
      <c r="EG161" s="496"/>
      <c r="EH161" s="496"/>
      <c r="EI161" s="496"/>
      <c r="EJ161" s="496"/>
      <c r="EK161" s="496"/>
      <c r="EL161" s="496"/>
      <c r="EM161" s="496"/>
      <c r="EN161" s="496"/>
      <c r="EO161" s="496"/>
      <c r="EP161" s="496"/>
      <c r="EQ161" s="496"/>
      <c r="ER161" s="496"/>
      <c r="ES161" s="496"/>
      <c r="ET161" s="496"/>
      <c r="EU161" s="496"/>
      <c r="EV161" s="496"/>
      <c r="EW161" s="496"/>
      <c r="EX161" s="496"/>
      <c r="EY161" s="496"/>
      <c r="EZ161" s="496"/>
      <c r="FA161" s="496"/>
      <c r="FB161" s="496"/>
      <c r="FC161" s="496"/>
      <c r="FD161" s="496"/>
      <c r="FE161" s="496"/>
      <c r="FF161" s="496"/>
      <c r="FG161" s="496"/>
      <c r="FH161" s="496"/>
      <c r="FI161" s="496"/>
      <c r="FJ161" s="496"/>
      <c r="FK161" s="496"/>
      <c r="FL161" s="496"/>
      <c r="FM161" s="496"/>
      <c r="FN161" s="496"/>
      <c r="FO161" s="496"/>
      <c r="FP161" s="496"/>
      <c r="FQ161" s="496"/>
      <c r="FR161" s="496"/>
      <c r="FS161" s="496"/>
      <c r="FT161" s="496"/>
      <c r="FU161" s="496"/>
      <c r="FV161" s="496"/>
      <c r="FW161" s="496"/>
      <c r="FX161" s="496"/>
      <c r="FY161" s="496"/>
      <c r="FZ161" s="496"/>
      <c r="GA161" s="496"/>
      <c r="GB161" s="496"/>
      <c r="GC161" s="496"/>
      <c r="GD161" s="496"/>
      <c r="GE161" s="496"/>
      <c r="GF161" s="496"/>
      <c r="GG161" s="496"/>
      <c r="GH161" s="496"/>
      <c r="GI161" s="496"/>
      <c r="GJ161" s="496"/>
      <c r="GK161" s="496"/>
      <c r="GL161" s="496"/>
      <c r="GM161" s="496"/>
      <c r="GN161" s="496"/>
      <c r="GO161" s="496"/>
      <c r="GP161" s="496"/>
      <c r="GQ161" s="496"/>
      <c r="GR161" s="496"/>
      <c r="GS161" s="496"/>
      <c r="GT161" s="496"/>
      <c r="GU161" s="496"/>
      <c r="GV161" s="496"/>
      <c r="GW161" s="496"/>
      <c r="GX161" s="496"/>
      <c r="GY161" s="496"/>
      <c r="GZ161" s="496"/>
      <c r="HA161" s="496"/>
      <c r="HB161" s="496"/>
    </row>
    <row r="162" spans="1:210" ht="20.100000000000001" customHeight="1">
      <c r="A162" s="164"/>
      <c r="B162" s="250"/>
      <c r="C162" s="497" t="s">
        <v>1448</v>
      </c>
      <c r="D162" s="498" t="s">
        <v>634</v>
      </c>
      <c r="E162" s="499"/>
      <c r="F162" s="500"/>
      <c r="G162" s="501" t="s">
        <v>433</v>
      </c>
      <c r="H162" s="383"/>
      <c r="I162" s="310"/>
      <c r="J162" s="311"/>
      <c r="K162" s="315"/>
      <c r="L162" s="310"/>
      <c r="M162" s="310"/>
      <c r="N162" s="310"/>
      <c r="O162" s="250"/>
      <c r="P162" s="251"/>
      <c r="Q162" s="200"/>
      <c r="R162" s="251"/>
      <c r="S162" s="251"/>
      <c r="T162" s="251"/>
      <c r="U162" s="200"/>
      <c r="V162" s="251"/>
      <c r="W162" s="251"/>
      <c r="X162" s="251"/>
      <c r="Y162" s="200"/>
      <c r="Z162" s="251"/>
      <c r="AA162" s="251"/>
      <c r="AB162" s="251"/>
      <c r="AC162" s="200"/>
      <c r="AD162" s="251"/>
      <c r="AE162" s="251"/>
      <c r="AF162" s="251"/>
      <c r="AG162" s="251"/>
      <c r="AH162" s="251"/>
      <c r="AI162" s="251"/>
      <c r="AJ162" s="251"/>
      <c r="AK162" s="251"/>
      <c r="AL162" s="251"/>
      <c r="AM162" s="251"/>
      <c r="AN162" s="251"/>
      <c r="AO162" s="495"/>
      <c r="AP162" s="495"/>
      <c r="AQ162" s="249"/>
      <c r="AR162" s="249"/>
      <c r="AS162" s="249"/>
      <c r="AT162" s="249"/>
      <c r="AU162" s="249"/>
      <c r="AV162" s="249"/>
      <c r="AW162" s="251"/>
      <c r="AX162" s="251"/>
      <c r="AY162" s="251"/>
      <c r="AZ162" s="251"/>
      <c r="BA162" s="251"/>
      <c r="BB162" s="251"/>
      <c r="BC162" s="251"/>
      <c r="BD162" s="251"/>
      <c r="BE162" s="251"/>
      <c r="BF162" s="251"/>
      <c r="BG162" s="251"/>
      <c r="BH162" s="251"/>
      <c r="BI162" s="251"/>
      <c r="BJ162" s="251"/>
      <c r="BK162" s="251"/>
      <c r="BL162" s="251"/>
      <c r="BM162" s="251"/>
      <c r="BN162" s="251"/>
      <c r="BO162" s="251"/>
      <c r="BP162" s="251"/>
      <c r="BQ162" s="249"/>
      <c r="BR162" s="249"/>
      <c r="BS162" s="249"/>
      <c r="BT162" s="249"/>
      <c r="BU162" s="249"/>
      <c r="BV162" s="249"/>
      <c r="BW162" s="496"/>
      <c r="BX162" s="496"/>
      <c r="BY162" s="496"/>
      <c r="BZ162" s="496"/>
      <c r="CA162" s="496"/>
      <c r="CB162" s="496"/>
      <c r="CC162" s="496"/>
      <c r="CD162" s="496"/>
      <c r="CE162" s="496"/>
      <c r="CF162" s="496"/>
      <c r="CG162" s="496"/>
      <c r="CH162" s="496"/>
      <c r="CI162" s="496"/>
      <c r="CJ162" s="496"/>
      <c r="CK162" s="496"/>
      <c r="CL162" s="496"/>
      <c r="CM162" s="496"/>
      <c r="CN162" s="496"/>
      <c r="CO162" s="496"/>
      <c r="CP162" s="496"/>
      <c r="CQ162" s="496"/>
      <c r="CR162" s="496"/>
      <c r="CS162" s="496"/>
      <c r="CT162" s="496"/>
      <c r="CU162" s="496"/>
      <c r="CV162" s="496"/>
      <c r="CW162" s="496"/>
      <c r="CX162" s="496"/>
      <c r="CY162" s="496"/>
      <c r="CZ162" s="496"/>
      <c r="DA162" s="496"/>
      <c r="DB162" s="496"/>
      <c r="DC162" s="496"/>
      <c r="DD162" s="496"/>
      <c r="DE162" s="496"/>
      <c r="DF162" s="496"/>
      <c r="DG162" s="496"/>
      <c r="DH162" s="496"/>
      <c r="DI162" s="496"/>
      <c r="DJ162" s="496"/>
      <c r="DK162" s="496"/>
      <c r="DL162" s="496"/>
      <c r="DM162" s="496"/>
      <c r="DN162" s="496"/>
      <c r="DO162" s="496"/>
      <c r="DP162" s="496"/>
      <c r="DQ162" s="496"/>
      <c r="DR162" s="496"/>
      <c r="DS162" s="496"/>
      <c r="DT162" s="496"/>
      <c r="DU162" s="496"/>
      <c r="DV162" s="496"/>
      <c r="DW162" s="496"/>
      <c r="DX162" s="496"/>
      <c r="DY162" s="496"/>
      <c r="DZ162" s="496"/>
      <c r="EA162" s="496"/>
      <c r="EB162" s="496"/>
      <c r="EC162" s="496"/>
      <c r="ED162" s="496"/>
      <c r="EE162" s="496"/>
      <c r="EF162" s="496"/>
      <c r="EG162" s="496"/>
      <c r="EH162" s="496"/>
      <c r="EI162" s="496"/>
      <c r="EJ162" s="496"/>
      <c r="EK162" s="496"/>
      <c r="EL162" s="496"/>
      <c r="EM162" s="496"/>
      <c r="EN162" s="496"/>
      <c r="EO162" s="496"/>
      <c r="EP162" s="496"/>
      <c r="EQ162" s="496"/>
      <c r="ER162" s="496"/>
      <c r="ES162" s="496"/>
      <c r="ET162" s="496"/>
      <c r="EU162" s="496"/>
      <c r="EV162" s="496"/>
      <c r="EW162" s="496"/>
      <c r="EX162" s="496"/>
      <c r="EY162" s="496"/>
      <c r="EZ162" s="496"/>
      <c r="FA162" s="496"/>
      <c r="FB162" s="496"/>
      <c r="FC162" s="496"/>
      <c r="FD162" s="496"/>
      <c r="FE162" s="496"/>
      <c r="FF162" s="496"/>
      <c r="FG162" s="496"/>
      <c r="FH162" s="496"/>
      <c r="FI162" s="496"/>
      <c r="FJ162" s="496"/>
      <c r="FK162" s="496"/>
      <c r="FL162" s="496"/>
      <c r="FM162" s="496"/>
      <c r="FN162" s="496"/>
      <c r="FO162" s="496"/>
      <c r="FP162" s="496"/>
      <c r="FQ162" s="496"/>
      <c r="FR162" s="496"/>
      <c r="FS162" s="496"/>
      <c r="FT162" s="496"/>
      <c r="FU162" s="496"/>
      <c r="FV162" s="496"/>
      <c r="FW162" s="496"/>
      <c r="FX162" s="496"/>
      <c r="FY162" s="496"/>
      <c r="FZ162" s="496"/>
      <c r="GA162" s="496"/>
      <c r="GB162" s="496"/>
      <c r="GC162" s="496"/>
      <c r="GD162" s="496"/>
      <c r="GE162" s="496"/>
      <c r="GF162" s="496"/>
      <c r="GG162" s="496"/>
      <c r="GH162" s="496"/>
      <c r="GI162" s="496"/>
      <c r="GJ162" s="496"/>
      <c r="GK162" s="496"/>
      <c r="GL162" s="496"/>
      <c r="GM162" s="496"/>
      <c r="GN162" s="496"/>
      <c r="GO162" s="496"/>
      <c r="GP162" s="496"/>
      <c r="GQ162" s="496"/>
      <c r="GR162" s="496"/>
      <c r="GS162" s="496"/>
      <c r="GT162" s="496"/>
      <c r="GU162" s="496"/>
      <c r="GV162" s="496"/>
      <c r="GW162" s="496"/>
      <c r="GX162" s="496"/>
      <c r="GY162" s="496"/>
      <c r="GZ162" s="496"/>
      <c r="HA162" s="496"/>
      <c r="HB162" s="496"/>
    </row>
    <row r="163" spans="1:210" ht="20.100000000000001" customHeight="1">
      <c r="A163" s="164"/>
      <c r="B163" s="250"/>
      <c r="C163" s="502"/>
      <c r="D163" s="503" t="s">
        <v>635</v>
      </c>
      <c r="E163" s="498"/>
      <c r="F163" s="500"/>
      <c r="G163" s="501" t="s">
        <v>433</v>
      </c>
      <c r="H163" s="383"/>
      <c r="I163" s="310"/>
      <c r="J163" s="311"/>
      <c r="K163" s="315"/>
      <c r="L163" s="310"/>
      <c r="M163" s="310"/>
      <c r="N163" s="310"/>
      <c r="O163" s="250"/>
      <c r="P163" s="251"/>
      <c r="Q163" s="200"/>
      <c r="R163" s="251"/>
      <c r="S163" s="251"/>
      <c r="T163" s="251"/>
      <c r="U163" s="200"/>
      <c r="V163" s="251"/>
      <c r="W163" s="251"/>
      <c r="X163" s="251"/>
      <c r="Y163" s="200"/>
      <c r="Z163" s="251"/>
      <c r="AA163" s="251"/>
      <c r="AB163" s="251"/>
      <c r="AC163" s="200"/>
      <c r="AD163" s="251"/>
      <c r="AE163" s="251"/>
      <c r="AF163" s="251"/>
      <c r="AG163" s="251"/>
      <c r="AH163" s="251"/>
      <c r="AI163" s="251"/>
      <c r="AJ163" s="251"/>
      <c r="AK163" s="251"/>
      <c r="AL163" s="251"/>
      <c r="AM163" s="251"/>
      <c r="AN163" s="251"/>
      <c r="AO163" s="495"/>
      <c r="AP163" s="495"/>
      <c r="AQ163" s="249"/>
      <c r="AR163" s="249"/>
      <c r="AS163" s="249"/>
      <c r="AT163" s="249"/>
      <c r="AU163" s="249"/>
      <c r="AV163" s="249"/>
      <c r="AW163" s="251"/>
      <c r="AX163" s="251"/>
      <c r="AY163" s="251"/>
      <c r="AZ163" s="251"/>
      <c r="BA163" s="251"/>
      <c r="BB163" s="251"/>
      <c r="BC163" s="251"/>
      <c r="BD163" s="251"/>
      <c r="BE163" s="251"/>
      <c r="BF163" s="251"/>
      <c r="BG163" s="251"/>
      <c r="BH163" s="251"/>
      <c r="BI163" s="251"/>
      <c r="BJ163" s="251"/>
      <c r="BK163" s="251"/>
      <c r="BL163" s="251"/>
      <c r="BM163" s="251"/>
      <c r="BN163" s="251"/>
      <c r="BO163" s="251"/>
      <c r="BP163" s="251"/>
      <c r="BQ163" s="249"/>
      <c r="BR163" s="249"/>
      <c r="BS163" s="249"/>
      <c r="BT163" s="249"/>
      <c r="BU163" s="249"/>
      <c r="BV163" s="249"/>
      <c r="BW163" s="496"/>
      <c r="BX163" s="496"/>
      <c r="BY163" s="496"/>
      <c r="BZ163" s="496"/>
      <c r="CA163" s="496"/>
      <c r="CB163" s="496"/>
      <c r="CC163" s="496"/>
      <c r="CD163" s="496"/>
      <c r="CE163" s="496"/>
      <c r="CF163" s="496"/>
      <c r="CG163" s="496"/>
      <c r="CH163" s="496"/>
      <c r="CI163" s="496"/>
      <c r="CJ163" s="496"/>
      <c r="CK163" s="496"/>
      <c r="CL163" s="496"/>
      <c r="CM163" s="496"/>
      <c r="CN163" s="496"/>
      <c r="CO163" s="496"/>
      <c r="CP163" s="496"/>
      <c r="CQ163" s="496"/>
      <c r="CR163" s="496"/>
      <c r="CS163" s="496"/>
      <c r="CT163" s="496"/>
      <c r="CU163" s="496"/>
      <c r="CV163" s="496"/>
      <c r="CW163" s="496"/>
      <c r="CX163" s="496"/>
      <c r="CY163" s="496"/>
      <c r="CZ163" s="496"/>
      <c r="DA163" s="496"/>
      <c r="DB163" s="496"/>
      <c r="DC163" s="496"/>
      <c r="DD163" s="496"/>
      <c r="DE163" s="496"/>
      <c r="DF163" s="496"/>
      <c r="DG163" s="496"/>
      <c r="DH163" s="496"/>
      <c r="DI163" s="496"/>
      <c r="DJ163" s="496"/>
      <c r="DK163" s="496"/>
      <c r="DL163" s="496"/>
      <c r="DM163" s="496"/>
      <c r="DN163" s="496"/>
      <c r="DO163" s="496"/>
      <c r="DP163" s="496"/>
      <c r="DQ163" s="496"/>
      <c r="DR163" s="496"/>
      <c r="DS163" s="496"/>
      <c r="DT163" s="496"/>
      <c r="DU163" s="496"/>
      <c r="DV163" s="496"/>
      <c r="DW163" s="496"/>
      <c r="DX163" s="496"/>
      <c r="DY163" s="496"/>
      <c r="DZ163" s="496"/>
      <c r="EA163" s="496"/>
      <c r="EB163" s="496"/>
      <c r="EC163" s="496"/>
      <c r="ED163" s="496"/>
      <c r="EE163" s="496"/>
      <c r="EF163" s="496"/>
      <c r="EG163" s="496"/>
      <c r="EH163" s="496"/>
      <c r="EI163" s="496"/>
      <c r="EJ163" s="496"/>
      <c r="EK163" s="496"/>
      <c r="EL163" s="496"/>
      <c r="EM163" s="496"/>
      <c r="EN163" s="496"/>
      <c r="EO163" s="496"/>
      <c r="EP163" s="496"/>
      <c r="EQ163" s="496"/>
      <c r="ER163" s="496"/>
      <c r="ES163" s="496"/>
      <c r="ET163" s="496"/>
      <c r="EU163" s="496"/>
      <c r="EV163" s="496"/>
      <c r="EW163" s="496"/>
      <c r="EX163" s="496"/>
      <c r="EY163" s="496"/>
      <c r="EZ163" s="496"/>
      <c r="FA163" s="496"/>
      <c r="FB163" s="496"/>
      <c r="FC163" s="496"/>
      <c r="FD163" s="496"/>
      <c r="FE163" s="496"/>
      <c r="FF163" s="496"/>
      <c r="FG163" s="496"/>
      <c r="FH163" s="496"/>
      <c r="FI163" s="496"/>
      <c r="FJ163" s="496"/>
      <c r="FK163" s="496"/>
      <c r="FL163" s="496"/>
      <c r="FM163" s="496"/>
      <c r="FN163" s="496"/>
      <c r="FO163" s="496"/>
      <c r="FP163" s="496"/>
      <c r="FQ163" s="496"/>
      <c r="FR163" s="496"/>
      <c r="FS163" s="496"/>
      <c r="FT163" s="496"/>
      <c r="FU163" s="496"/>
      <c r="FV163" s="496"/>
      <c r="FW163" s="496"/>
      <c r="FX163" s="496"/>
      <c r="FY163" s="496"/>
      <c r="FZ163" s="496"/>
      <c r="GA163" s="496"/>
      <c r="GB163" s="496"/>
      <c r="GC163" s="496"/>
      <c r="GD163" s="496"/>
      <c r="GE163" s="496"/>
      <c r="GF163" s="496"/>
      <c r="GG163" s="496"/>
      <c r="GH163" s="496"/>
      <c r="GI163" s="496"/>
      <c r="GJ163" s="496"/>
      <c r="GK163" s="496"/>
      <c r="GL163" s="496"/>
      <c r="GM163" s="496"/>
      <c r="GN163" s="496"/>
      <c r="GO163" s="496"/>
      <c r="GP163" s="496"/>
      <c r="GQ163" s="496"/>
      <c r="GR163" s="496"/>
      <c r="GS163" s="496"/>
      <c r="GT163" s="496"/>
      <c r="GU163" s="496"/>
      <c r="GV163" s="496"/>
      <c r="GW163" s="496"/>
      <c r="GX163" s="496"/>
      <c r="GY163" s="496"/>
      <c r="GZ163" s="496"/>
      <c r="HA163" s="496"/>
      <c r="HB163" s="496"/>
    </row>
    <row r="164" spans="1:210" ht="20.100000000000001" customHeight="1">
      <c r="A164" s="164"/>
      <c r="B164" s="250"/>
      <c r="C164" s="502"/>
      <c r="D164" s="504" t="s">
        <v>636</v>
      </c>
      <c r="E164" s="498" t="s">
        <v>1449</v>
      </c>
      <c r="F164" s="500"/>
      <c r="G164" s="501" t="s">
        <v>433</v>
      </c>
      <c r="H164" s="383"/>
      <c r="I164" s="310"/>
      <c r="J164" s="311"/>
      <c r="K164" s="315"/>
      <c r="L164" s="310"/>
      <c r="M164" s="310"/>
      <c r="N164" s="310"/>
      <c r="O164" s="250"/>
      <c r="P164" s="251"/>
      <c r="Q164" s="200"/>
      <c r="R164" s="251"/>
      <c r="S164" s="251"/>
      <c r="T164" s="251"/>
      <c r="U164" s="200"/>
      <c r="V164" s="251"/>
      <c r="W164" s="251"/>
      <c r="X164" s="251"/>
      <c r="Y164" s="200"/>
      <c r="Z164" s="251"/>
      <c r="AA164" s="251"/>
      <c r="AB164" s="251"/>
      <c r="AC164" s="200"/>
      <c r="AD164" s="251"/>
      <c r="AE164" s="251"/>
      <c r="AF164" s="251"/>
      <c r="AG164" s="251"/>
      <c r="AH164" s="251"/>
      <c r="AI164" s="251"/>
      <c r="AJ164" s="251"/>
      <c r="AK164" s="251"/>
      <c r="AL164" s="251"/>
      <c r="AM164" s="251"/>
      <c r="AN164" s="251"/>
      <c r="AO164" s="495"/>
      <c r="AP164" s="495"/>
      <c r="AQ164" s="249"/>
      <c r="AR164" s="249"/>
      <c r="AS164" s="249"/>
      <c r="AT164" s="249"/>
      <c r="AU164" s="249"/>
      <c r="AV164" s="249"/>
      <c r="AW164" s="251"/>
      <c r="AX164" s="251"/>
      <c r="AY164" s="251"/>
      <c r="AZ164" s="251"/>
      <c r="BA164" s="251"/>
      <c r="BB164" s="251"/>
      <c r="BC164" s="251"/>
      <c r="BD164" s="251"/>
      <c r="BE164" s="251"/>
      <c r="BF164" s="251"/>
      <c r="BG164" s="251"/>
      <c r="BH164" s="251"/>
      <c r="BI164" s="251"/>
      <c r="BJ164" s="251"/>
      <c r="BK164" s="251"/>
      <c r="BL164" s="251"/>
      <c r="BM164" s="251"/>
      <c r="BN164" s="251"/>
      <c r="BO164" s="251"/>
      <c r="BP164" s="251"/>
      <c r="BQ164" s="249"/>
      <c r="BR164" s="249"/>
      <c r="BS164" s="249"/>
      <c r="BT164" s="249"/>
      <c r="BU164" s="249"/>
      <c r="BV164" s="249"/>
      <c r="BW164" s="496"/>
      <c r="BX164" s="496"/>
      <c r="BY164" s="496"/>
      <c r="BZ164" s="496"/>
      <c r="CA164" s="496"/>
      <c r="CB164" s="496"/>
      <c r="CC164" s="496"/>
      <c r="CD164" s="496"/>
      <c r="CE164" s="496"/>
      <c r="CF164" s="496"/>
      <c r="CG164" s="496"/>
      <c r="CH164" s="496"/>
      <c r="CI164" s="496"/>
      <c r="CJ164" s="496"/>
      <c r="CK164" s="496"/>
      <c r="CL164" s="496"/>
      <c r="CM164" s="496"/>
      <c r="CN164" s="496"/>
      <c r="CO164" s="496"/>
      <c r="CP164" s="496"/>
      <c r="CQ164" s="496"/>
      <c r="CR164" s="496"/>
      <c r="CS164" s="496"/>
      <c r="CT164" s="496"/>
      <c r="CU164" s="496"/>
      <c r="CV164" s="496"/>
      <c r="CW164" s="496"/>
      <c r="CX164" s="496"/>
      <c r="CY164" s="496"/>
      <c r="CZ164" s="496"/>
      <c r="DA164" s="496"/>
      <c r="DB164" s="496"/>
      <c r="DC164" s="496"/>
      <c r="DD164" s="496"/>
      <c r="DE164" s="496"/>
      <c r="DF164" s="496"/>
      <c r="DG164" s="496"/>
      <c r="DH164" s="496"/>
      <c r="DI164" s="496"/>
      <c r="DJ164" s="496"/>
      <c r="DK164" s="496"/>
      <c r="DL164" s="496"/>
      <c r="DM164" s="496"/>
      <c r="DN164" s="496"/>
      <c r="DO164" s="496"/>
      <c r="DP164" s="496"/>
      <c r="DQ164" s="496"/>
      <c r="DR164" s="496"/>
      <c r="DS164" s="496"/>
      <c r="DT164" s="496"/>
      <c r="DU164" s="496"/>
      <c r="DV164" s="496"/>
      <c r="DW164" s="496"/>
      <c r="DX164" s="496"/>
      <c r="DY164" s="496"/>
      <c r="DZ164" s="496"/>
      <c r="EA164" s="496"/>
      <c r="EB164" s="496"/>
      <c r="EC164" s="496"/>
      <c r="ED164" s="496"/>
      <c r="EE164" s="496"/>
      <c r="EF164" s="496"/>
      <c r="EG164" s="496"/>
      <c r="EH164" s="496"/>
      <c r="EI164" s="496"/>
      <c r="EJ164" s="496"/>
      <c r="EK164" s="496"/>
      <c r="EL164" s="496"/>
      <c r="EM164" s="496"/>
      <c r="EN164" s="496"/>
      <c r="EO164" s="496"/>
      <c r="EP164" s="496"/>
      <c r="EQ164" s="496"/>
      <c r="ER164" s="496"/>
      <c r="ES164" s="496"/>
      <c r="ET164" s="496"/>
      <c r="EU164" s="496"/>
      <c r="EV164" s="496"/>
      <c r="EW164" s="496"/>
      <c r="EX164" s="496"/>
      <c r="EY164" s="496"/>
      <c r="EZ164" s="496"/>
      <c r="FA164" s="496"/>
      <c r="FB164" s="496"/>
      <c r="FC164" s="496"/>
      <c r="FD164" s="496"/>
      <c r="FE164" s="496"/>
      <c r="FF164" s="496"/>
      <c r="FG164" s="496"/>
      <c r="FH164" s="496"/>
      <c r="FI164" s="496"/>
      <c r="FJ164" s="496"/>
      <c r="FK164" s="496"/>
      <c r="FL164" s="496"/>
      <c r="FM164" s="496"/>
      <c r="FN164" s="496"/>
      <c r="FO164" s="496"/>
      <c r="FP164" s="496"/>
      <c r="FQ164" s="496"/>
      <c r="FR164" s="496"/>
      <c r="FS164" s="496"/>
      <c r="FT164" s="496"/>
      <c r="FU164" s="496"/>
      <c r="FV164" s="496"/>
      <c r="FW164" s="496"/>
      <c r="FX164" s="496"/>
      <c r="FY164" s="496"/>
      <c r="FZ164" s="496"/>
      <c r="GA164" s="496"/>
      <c r="GB164" s="496"/>
      <c r="GC164" s="496"/>
      <c r="GD164" s="496"/>
      <c r="GE164" s="496"/>
      <c r="GF164" s="496"/>
      <c r="GG164" s="496"/>
      <c r="GH164" s="496"/>
      <c r="GI164" s="496"/>
      <c r="GJ164" s="496"/>
      <c r="GK164" s="496"/>
      <c r="GL164" s="496"/>
      <c r="GM164" s="496"/>
      <c r="GN164" s="496"/>
      <c r="GO164" s="496"/>
      <c r="GP164" s="496"/>
      <c r="GQ164" s="496"/>
      <c r="GR164" s="496"/>
      <c r="GS164" s="496"/>
      <c r="GT164" s="496"/>
      <c r="GU164" s="496"/>
      <c r="GV164" s="496"/>
      <c r="GW164" s="496"/>
      <c r="GX164" s="496"/>
      <c r="GY164" s="496"/>
      <c r="GZ164" s="496"/>
      <c r="HA164" s="496"/>
      <c r="HB164" s="496"/>
    </row>
    <row r="165" spans="1:210" ht="20.100000000000001" customHeight="1">
      <c r="A165" s="164"/>
      <c r="B165" s="250"/>
      <c r="C165" s="502"/>
      <c r="D165" s="505"/>
      <c r="E165" s="498" t="s">
        <v>469</v>
      </c>
      <c r="F165" s="500"/>
      <c r="G165" s="501" t="s">
        <v>436</v>
      </c>
      <c r="H165" s="383"/>
      <c r="I165" s="310"/>
      <c r="J165" s="311"/>
      <c r="K165" s="315"/>
      <c r="L165" s="310"/>
      <c r="M165" s="310"/>
      <c r="N165" s="310"/>
      <c r="O165" s="250"/>
      <c r="P165" s="251"/>
      <c r="Q165" s="200"/>
      <c r="R165" s="251"/>
      <c r="S165" s="251"/>
      <c r="T165" s="251"/>
      <c r="U165" s="200"/>
      <c r="V165" s="251"/>
      <c r="W165" s="251"/>
      <c r="X165" s="251"/>
      <c r="Y165" s="200"/>
      <c r="Z165" s="251"/>
      <c r="AA165" s="251"/>
      <c r="AB165" s="251"/>
      <c r="AC165" s="200"/>
      <c r="AD165" s="251"/>
      <c r="AE165" s="251"/>
      <c r="AF165" s="251"/>
      <c r="AG165" s="251"/>
      <c r="AH165" s="251"/>
      <c r="AI165" s="251"/>
      <c r="AJ165" s="251"/>
      <c r="AK165" s="251"/>
      <c r="AL165" s="251"/>
      <c r="AM165" s="251"/>
      <c r="AN165" s="251"/>
      <c r="AO165" s="495"/>
      <c r="AP165" s="495"/>
      <c r="AQ165" s="249"/>
      <c r="AR165" s="249"/>
      <c r="AS165" s="249"/>
      <c r="AT165" s="249"/>
      <c r="AU165" s="249"/>
      <c r="AV165" s="249"/>
      <c r="AW165" s="251"/>
      <c r="AX165" s="251"/>
      <c r="AY165" s="251"/>
      <c r="AZ165" s="251"/>
      <c r="BA165" s="251"/>
      <c r="BB165" s="251"/>
      <c r="BC165" s="251"/>
      <c r="BD165" s="251"/>
      <c r="BE165" s="251"/>
      <c r="BF165" s="251"/>
      <c r="BG165" s="251"/>
      <c r="BH165" s="251"/>
      <c r="BI165" s="251"/>
      <c r="BJ165" s="251"/>
      <c r="BK165" s="251"/>
      <c r="BL165" s="251"/>
      <c r="BM165" s="251"/>
      <c r="BN165" s="251"/>
      <c r="BO165" s="251"/>
      <c r="BP165" s="251"/>
      <c r="BQ165" s="249"/>
      <c r="BR165" s="249"/>
      <c r="BS165" s="249"/>
      <c r="BT165" s="249"/>
      <c r="BU165" s="249"/>
      <c r="BV165" s="249"/>
      <c r="BW165" s="496"/>
      <c r="BX165" s="496"/>
      <c r="BY165" s="496"/>
      <c r="BZ165" s="496"/>
      <c r="CA165" s="496"/>
      <c r="CB165" s="496"/>
      <c r="CC165" s="496"/>
      <c r="CD165" s="496"/>
      <c r="CE165" s="496"/>
      <c r="CF165" s="496"/>
      <c r="CG165" s="496"/>
      <c r="CH165" s="496"/>
      <c r="CI165" s="496"/>
      <c r="CJ165" s="496"/>
      <c r="CK165" s="496"/>
      <c r="CL165" s="496"/>
      <c r="CM165" s="496"/>
      <c r="CN165" s="496"/>
      <c r="CO165" s="496"/>
      <c r="CP165" s="496"/>
      <c r="CQ165" s="496"/>
      <c r="CR165" s="496"/>
      <c r="CS165" s="496"/>
      <c r="CT165" s="496"/>
      <c r="CU165" s="496"/>
      <c r="CV165" s="496"/>
      <c r="CW165" s="496"/>
      <c r="CX165" s="496"/>
      <c r="CY165" s="496"/>
      <c r="CZ165" s="496"/>
      <c r="DA165" s="496"/>
      <c r="DB165" s="496"/>
      <c r="DC165" s="496"/>
      <c r="DD165" s="496"/>
      <c r="DE165" s="496"/>
      <c r="DF165" s="496"/>
      <c r="DG165" s="496"/>
      <c r="DH165" s="496"/>
      <c r="DI165" s="496"/>
      <c r="DJ165" s="496"/>
      <c r="DK165" s="496"/>
      <c r="DL165" s="496"/>
      <c r="DM165" s="496"/>
      <c r="DN165" s="496"/>
      <c r="DO165" s="496"/>
      <c r="DP165" s="496"/>
      <c r="DQ165" s="496"/>
      <c r="DR165" s="496"/>
      <c r="DS165" s="496"/>
      <c r="DT165" s="496"/>
      <c r="DU165" s="496"/>
      <c r="DV165" s="496"/>
      <c r="DW165" s="496"/>
      <c r="DX165" s="496"/>
      <c r="DY165" s="496"/>
      <c r="DZ165" s="496"/>
      <c r="EA165" s="496"/>
      <c r="EB165" s="496"/>
      <c r="EC165" s="496"/>
      <c r="ED165" s="496"/>
      <c r="EE165" s="496"/>
      <c r="EF165" s="496"/>
      <c r="EG165" s="496"/>
      <c r="EH165" s="496"/>
      <c r="EI165" s="496"/>
      <c r="EJ165" s="496"/>
      <c r="EK165" s="496"/>
      <c r="EL165" s="496"/>
      <c r="EM165" s="496"/>
      <c r="EN165" s="496"/>
      <c r="EO165" s="496"/>
      <c r="EP165" s="496"/>
      <c r="EQ165" s="496"/>
      <c r="ER165" s="496"/>
      <c r="ES165" s="496"/>
      <c r="ET165" s="496"/>
      <c r="EU165" s="496"/>
      <c r="EV165" s="496"/>
      <c r="EW165" s="496"/>
      <c r="EX165" s="496"/>
      <c r="EY165" s="496"/>
      <c r="EZ165" s="496"/>
      <c r="FA165" s="496"/>
      <c r="FB165" s="496"/>
      <c r="FC165" s="496"/>
      <c r="FD165" s="496"/>
      <c r="FE165" s="496"/>
      <c r="FF165" s="496"/>
      <c r="FG165" s="496"/>
      <c r="FH165" s="496"/>
      <c r="FI165" s="496"/>
      <c r="FJ165" s="496"/>
      <c r="FK165" s="496"/>
      <c r="FL165" s="496"/>
      <c r="FM165" s="496"/>
      <c r="FN165" s="496"/>
      <c r="FO165" s="496"/>
      <c r="FP165" s="496"/>
      <c r="FQ165" s="496"/>
      <c r="FR165" s="496"/>
      <c r="FS165" s="496"/>
      <c r="FT165" s="496"/>
      <c r="FU165" s="496"/>
      <c r="FV165" s="496"/>
      <c r="FW165" s="496"/>
      <c r="FX165" s="496"/>
      <c r="FY165" s="496"/>
      <c r="FZ165" s="496"/>
      <c r="GA165" s="496"/>
      <c r="GB165" s="496"/>
      <c r="GC165" s="496"/>
      <c r="GD165" s="496"/>
      <c r="GE165" s="496"/>
      <c r="GF165" s="496"/>
      <c r="GG165" s="496"/>
      <c r="GH165" s="496"/>
      <c r="GI165" s="496"/>
      <c r="GJ165" s="496"/>
      <c r="GK165" s="496"/>
      <c r="GL165" s="496"/>
      <c r="GM165" s="496"/>
      <c r="GN165" s="496"/>
      <c r="GO165" s="496"/>
      <c r="GP165" s="496"/>
      <c r="GQ165" s="496"/>
      <c r="GR165" s="496"/>
      <c r="GS165" s="496"/>
      <c r="GT165" s="496"/>
      <c r="GU165" s="496"/>
      <c r="GV165" s="496"/>
      <c r="GW165" s="496"/>
      <c r="GX165" s="496"/>
      <c r="GY165" s="496"/>
      <c r="GZ165" s="496"/>
      <c r="HA165" s="496"/>
      <c r="HB165" s="496"/>
    </row>
    <row r="166" spans="1:210" ht="20.100000000000001" customHeight="1">
      <c r="A166" s="164"/>
      <c r="B166" s="250"/>
      <c r="C166" s="502"/>
      <c r="D166" s="505"/>
      <c r="E166" s="498" t="s">
        <v>1450</v>
      </c>
      <c r="F166" s="500"/>
      <c r="G166" s="501" t="s">
        <v>433</v>
      </c>
      <c r="H166" s="383"/>
      <c r="I166" s="310"/>
      <c r="J166" s="311"/>
      <c r="K166" s="315"/>
      <c r="L166" s="310"/>
      <c r="M166" s="310"/>
      <c r="N166" s="310"/>
      <c r="O166" s="250"/>
      <c r="P166" s="251"/>
      <c r="Q166" s="200"/>
      <c r="R166" s="251"/>
      <c r="S166" s="251"/>
      <c r="T166" s="251"/>
      <c r="U166" s="200"/>
      <c r="V166" s="251"/>
      <c r="W166" s="251"/>
      <c r="X166" s="251"/>
      <c r="Y166" s="200"/>
      <c r="Z166" s="251"/>
      <c r="AA166" s="251"/>
      <c r="AB166" s="251"/>
      <c r="AC166" s="200"/>
      <c r="AD166" s="251"/>
      <c r="AE166" s="251"/>
      <c r="AF166" s="251"/>
      <c r="AG166" s="251"/>
      <c r="AH166" s="251"/>
      <c r="AI166" s="251"/>
      <c r="AJ166" s="251"/>
      <c r="AK166" s="251"/>
      <c r="AL166" s="251"/>
      <c r="AM166" s="251"/>
      <c r="AN166" s="251"/>
      <c r="AO166" s="495"/>
      <c r="AP166" s="495"/>
      <c r="AQ166" s="249"/>
      <c r="AR166" s="249"/>
      <c r="AS166" s="249"/>
      <c r="AT166" s="249"/>
      <c r="AU166" s="249"/>
      <c r="AV166" s="249"/>
      <c r="AW166" s="251"/>
      <c r="AX166" s="251"/>
      <c r="AY166" s="251"/>
      <c r="AZ166" s="251"/>
      <c r="BA166" s="251"/>
      <c r="BB166" s="251"/>
      <c r="BC166" s="251"/>
      <c r="BD166" s="251"/>
      <c r="BE166" s="251"/>
      <c r="BF166" s="251"/>
      <c r="BG166" s="251"/>
      <c r="BH166" s="251"/>
      <c r="BI166" s="251"/>
      <c r="BJ166" s="251"/>
      <c r="BK166" s="251"/>
      <c r="BL166" s="251"/>
      <c r="BM166" s="251"/>
      <c r="BN166" s="251"/>
      <c r="BO166" s="251"/>
      <c r="BP166" s="251"/>
      <c r="BQ166" s="249"/>
      <c r="BR166" s="249"/>
      <c r="BS166" s="249"/>
      <c r="BT166" s="249"/>
      <c r="BU166" s="249"/>
      <c r="BV166" s="249"/>
      <c r="BW166" s="496"/>
      <c r="BX166" s="496"/>
      <c r="BY166" s="496"/>
      <c r="BZ166" s="496"/>
      <c r="CA166" s="496"/>
      <c r="CB166" s="496"/>
      <c r="CC166" s="496"/>
      <c r="CD166" s="496"/>
      <c r="CE166" s="496"/>
      <c r="CF166" s="496"/>
      <c r="CG166" s="496"/>
      <c r="CH166" s="496"/>
      <c r="CI166" s="496"/>
      <c r="CJ166" s="496"/>
      <c r="CK166" s="496"/>
      <c r="CL166" s="496"/>
      <c r="CM166" s="496"/>
      <c r="CN166" s="496"/>
      <c r="CO166" s="496"/>
      <c r="CP166" s="496"/>
      <c r="CQ166" s="496"/>
      <c r="CR166" s="496"/>
      <c r="CS166" s="496"/>
      <c r="CT166" s="496"/>
      <c r="CU166" s="496"/>
      <c r="CV166" s="496"/>
      <c r="CW166" s="496"/>
      <c r="CX166" s="496"/>
      <c r="CY166" s="496"/>
      <c r="CZ166" s="496"/>
      <c r="DA166" s="496"/>
      <c r="DB166" s="496"/>
      <c r="DC166" s="496"/>
      <c r="DD166" s="496"/>
      <c r="DE166" s="496"/>
      <c r="DF166" s="496"/>
      <c r="DG166" s="496"/>
      <c r="DH166" s="496"/>
      <c r="DI166" s="496"/>
      <c r="DJ166" s="496"/>
      <c r="DK166" s="496"/>
      <c r="DL166" s="496"/>
      <c r="DM166" s="496"/>
      <c r="DN166" s="496"/>
      <c r="DO166" s="496"/>
      <c r="DP166" s="496"/>
      <c r="DQ166" s="496"/>
      <c r="DR166" s="496"/>
      <c r="DS166" s="496"/>
      <c r="DT166" s="496"/>
      <c r="DU166" s="496"/>
      <c r="DV166" s="496"/>
      <c r="DW166" s="496"/>
      <c r="DX166" s="496"/>
      <c r="DY166" s="496"/>
      <c r="DZ166" s="496"/>
      <c r="EA166" s="496"/>
      <c r="EB166" s="496"/>
      <c r="EC166" s="496"/>
      <c r="ED166" s="496"/>
      <c r="EE166" s="496"/>
      <c r="EF166" s="496"/>
      <c r="EG166" s="496"/>
      <c r="EH166" s="496"/>
      <c r="EI166" s="496"/>
      <c r="EJ166" s="496"/>
      <c r="EK166" s="496"/>
      <c r="EL166" s="496"/>
      <c r="EM166" s="496"/>
      <c r="EN166" s="496"/>
      <c r="EO166" s="496"/>
      <c r="EP166" s="496"/>
      <c r="EQ166" s="496"/>
      <c r="ER166" s="496"/>
      <c r="ES166" s="496"/>
      <c r="ET166" s="496"/>
      <c r="EU166" s="496"/>
      <c r="EV166" s="496"/>
      <c r="EW166" s="496"/>
      <c r="EX166" s="496"/>
      <c r="EY166" s="496"/>
      <c r="EZ166" s="496"/>
      <c r="FA166" s="496"/>
      <c r="FB166" s="496"/>
      <c r="FC166" s="496"/>
      <c r="FD166" s="496"/>
      <c r="FE166" s="496"/>
      <c r="FF166" s="496"/>
      <c r="FG166" s="496"/>
      <c r="FH166" s="496"/>
      <c r="FI166" s="496"/>
      <c r="FJ166" s="496"/>
      <c r="FK166" s="496"/>
      <c r="FL166" s="496"/>
      <c r="FM166" s="496"/>
      <c r="FN166" s="496"/>
      <c r="FO166" s="496"/>
      <c r="FP166" s="496"/>
      <c r="FQ166" s="496"/>
      <c r="FR166" s="496"/>
      <c r="FS166" s="496"/>
      <c r="FT166" s="496"/>
      <c r="FU166" s="496"/>
      <c r="FV166" s="496"/>
      <c r="FW166" s="496"/>
      <c r="FX166" s="496"/>
      <c r="FY166" s="496"/>
      <c r="FZ166" s="496"/>
      <c r="GA166" s="496"/>
      <c r="GB166" s="496"/>
      <c r="GC166" s="496"/>
      <c r="GD166" s="496"/>
      <c r="GE166" s="496"/>
      <c r="GF166" s="496"/>
      <c r="GG166" s="496"/>
      <c r="GH166" s="496"/>
      <c r="GI166" s="496"/>
      <c r="GJ166" s="496"/>
      <c r="GK166" s="496"/>
      <c r="GL166" s="496"/>
      <c r="GM166" s="496"/>
      <c r="GN166" s="496"/>
      <c r="GO166" s="496"/>
      <c r="GP166" s="496"/>
      <c r="GQ166" s="496"/>
      <c r="GR166" s="496"/>
      <c r="GS166" s="496"/>
      <c r="GT166" s="496"/>
      <c r="GU166" s="496"/>
      <c r="GV166" s="496"/>
      <c r="GW166" s="496"/>
      <c r="GX166" s="496"/>
      <c r="GY166" s="496"/>
      <c r="GZ166" s="496"/>
      <c r="HA166" s="496"/>
      <c r="HB166" s="496"/>
    </row>
    <row r="167" spans="1:210" ht="19.8">
      <c r="A167" s="164"/>
      <c r="B167" s="250"/>
      <c r="C167" s="502"/>
      <c r="D167" s="505"/>
      <c r="E167" s="498" t="s">
        <v>1451</v>
      </c>
      <c r="F167" s="500"/>
      <c r="G167" s="501" t="s">
        <v>1533</v>
      </c>
      <c r="H167" s="383"/>
      <c r="I167" s="310"/>
      <c r="J167" s="311"/>
      <c r="K167" s="315"/>
      <c r="L167" s="310"/>
      <c r="M167" s="310"/>
      <c r="N167" s="310"/>
      <c r="O167" s="250"/>
      <c r="P167" s="251"/>
      <c r="Q167" s="200"/>
      <c r="R167" s="251"/>
      <c r="S167" s="251"/>
      <c r="T167" s="251"/>
      <c r="U167" s="200"/>
      <c r="V167" s="251"/>
      <c r="W167" s="251"/>
      <c r="X167" s="251"/>
      <c r="Y167" s="200"/>
      <c r="Z167" s="251"/>
      <c r="AA167" s="251"/>
      <c r="AB167" s="251"/>
      <c r="AC167" s="200"/>
      <c r="AD167" s="251"/>
      <c r="AE167" s="251"/>
      <c r="AF167" s="251"/>
      <c r="AG167" s="251"/>
      <c r="AH167" s="251"/>
      <c r="AI167" s="251"/>
      <c r="AJ167" s="251"/>
      <c r="AK167" s="251"/>
      <c r="AL167" s="251"/>
      <c r="AM167" s="251"/>
      <c r="AN167" s="251"/>
      <c r="AO167" s="495"/>
      <c r="AP167" s="495"/>
      <c r="AQ167" s="249"/>
      <c r="AR167" s="249"/>
      <c r="AS167" s="249"/>
      <c r="AT167" s="249"/>
      <c r="AU167" s="249"/>
      <c r="AV167" s="249"/>
      <c r="AW167" s="251"/>
      <c r="AX167" s="251"/>
      <c r="AY167" s="251"/>
      <c r="AZ167" s="251"/>
      <c r="BA167" s="251"/>
      <c r="BB167" s="251"/>
      <c r="BC167" s="251"/>
      <c r="BD167" s="251"/>
      <c r="BE167" s="251"/>
      <c r="BF167" s="251"/>
      <c r="BG167" s="251"/>
      <c r="BH167" s="251"/>
      <c r="BI167" s="251"/>
      <c r="BJ167" s="251"/>
      <c r="BK167" s="251"/>
      <c r="BL167" s="251"/>
      <c r="BM167" s="251"/>
      <c r="BN167" s="251"/>
      <c r="BO167" s="251"/>
      <c r="BP167" s="251"/>
      <c r="BQ167" s="249"/>
      <c r="BR167" s="249"/>
      <c r="BS167" s="249"/>
      <c r="BT167" s="249"/>
      <c r="BU167" s="249"/>
      <c r="BV167" s="249"/>
      <c r="BW167" s="496"/>
      <c r="BX167" s="496"/>
      <c r="BY167" s="496"/>
      <c r="BZ167" s="496"/>
      <c r="CA167" s="496"/>
      <c r="CB167" s="496"/>
      <c r="CC167" s="496"/>
      <c r="CD167" s="496"/>
      <c r="CE167" s="496"/>
      <c r="CF167" s="496"/>
      <c r="CG167" s="496"/>
      <c r="CH167" s="496"/>
      <c r="CI167" s="496"/>
      <c r="CJ167" s="496"/>
      <c r="CK167" s="496"/>
      <c r="CL167" s="496"/>
      <c r="CM167" s="496"/>
      <c r="CN167" s="496"/>
      <c r="CO167" s="496"/>
      <c r="CP167" s="496"/>
      <c r="CQ167" s="496"/>
      <c r="CR167" s="496"/>
      <c r="CS167" s="496"/>
      <c r="CT167" s="496"/>
      <c r="CU167" s="496"/>
      <c r="CV167" s="496"/>
      <c r="CW167" s="496"/>
      <c r="CX167" s="496"/>
      <c r="CY167" s="496"/>
      <c r="CZ167" s="496"/>
      <c r="DA167" s="496"/>
      <c r="DB167" s="496"/>
      <c r="DC167" s="496"/>
      <c r="DD167" s="496"/>
      <c r="DE167" s="496"/>
      <c r="DF167" s="496"/>
      <c r="DG167" s="496"/>
      <c r="DH167" s="496"/>
      <c r="DI167" s="496"/>
      <c r="DJ167" s="496"/>
      <c r="DK167" s="496"/>
      <c r="DL167" s="496"/>
      <c r="DM167" s="496"/>
      <c r="DN167" s="496"/>
      <c r="DO167" s="496"/>
      <c r="DP167" s="496"/>
      <c r="DQ167" s="496"/>
      <c r="DR167" s="496"/>
      <c r="DS167" s="496"/>
      <c r="DT167" s="496"/>
      <c r="DU167" s="496"/>
      <c r="DV167" s="496"/>
      <c r="DW167" s="496"/>
      <c r="DX167" s="496"/>
      <c r="DY167" s="496"/>
      <c r="DZ167" s="496"/>
      <c r="EA167" s="496"/>
      <c r="EB167" s="496"/>
      <c r="EC167" s="496"/>
      <c r="ED167" s="496"/>
      <c r="EE167" s="496"/>
      <c r="EF167" s="496"/>
      <c r="EG167" s="496"/>
      <c r="EH167" s="496"/>
      <c r="EI167" s="496"/>
      <c r="EJ167" s="496"/>
      <c r="EK167" s="496"/>
      <c r="EL167" s="496"/>
      <c r="EM167" s="496"/>
      <c r="EN167" s="496"/>
      <c r="EO167" s="496"/>
      <c r="EP167" s="496"/>
      <c r="EQ167" s="496"/>
      <c r="ER167" s="496"/>
      <c r="ES167" s="496"/>
      <c r="ET167" s="496"/>
      <c r="EU167" s="496"/>
      <c r="EV167" s="496"/>
      <c r="EW167" s="496"/>
      <c r="EX167" s="496"/>
      <c r="EY167" s="496"/>
      <c r="EZ167" s="496"/>
      <c r="FA167" s="496"/>
      <c r="FB167" s="496"/>
      <c r="FC167" s="496"/>
      <c r="FD167" s="496"/>
      <c r="FE167" s="496"/>
      <c r="FF167" s="496"/>
      <c r="FG167" s="496"/>
      <c r="FH167" s="496"/>
      <c r="FI167" s="496"/>
      <c r="FJ167" s="496"/>
      <c r="FK167" s="496"/>
      <c r="FL167" s="496"/>
      <c r="FM167" s="496"/>
      <c r="FN167" s="496"/>
      <c r="FO167" s="496"/>
      <c r="FP167" s="496"/>
      <c r="FQ167" s="496"/>
      <c r="FR167" s="496"/>
      <c r="FS167" s="496"/>
      <c r="FT167" s="496"/>
      <c r="FU167" s="496"/>
      <c r="FV167" s="496"/>
      <c r="FW167" s="496"/>
      <c r="FX167" s="496"/>
      <c r="FY167" s="496"/>
      <c r="FZ167" s="496"/>
      <c r="GA167" s="496"/>
      <c r="GB167" s="496"/>
      <c r="GC167" s="496"/>
      <c r="GD167" s="496"/>
      <c r="GE167" s="496"/>
      <c r="GF167" s="496"/>
      <c r="GG167" s="496"/>
      <c r="GH167" s="496"/>
      <c r="GI167" s="496"/>
      <c r="GJ167" s="496"/>
      <c r="GK167" s="496"/>
      <c r="GL167" s="496"/>
      <c r="GM167" s="496"/>
      <c r="GN167" s="496"/>
      <c r="GO167" s="496"/>
      <c r="GP167" s="496"/>
      <c r="GQ167" s="496"/>
      <c r="GR167" s="496"/>
      <c r="GS167" s="496"/>
      <c r="GT167" s="496"/>
      <c r="GU167" s="496"/>
      <c r="GV167" s="496"/>
      <c r="GW167" s="496"/>
      <c r="GX167" s="496"/>
      <c r="GY167" s="496"/>
      <c r="GZ167" s="496"/>
      <c r="HA167" s="496"/>
      <c r="HB167" s="496"/>
    </row>
    <row r="168" spans="1:210" ht="20.100000000000001" customHeight="1">
      <c r="A168" s="164"/>
      <c r="B168" s="250"/>
      <c r="C168" s="502"/>
      <c r="D168" s="506"/>
      <c r="E168" s="498" t="s">
        <v>1452</v>
      </c>
      <c r="F168" s="500"/>
      <c r="G168" s="501" t="s">
        <v>433</v>
      </c>
      <c r="H168" s="383"/>
      <c r="I168" s="310"/>
      <c r="J168" s="311"/>
      <c r="K168" s="315"/>
      <c r="L168" s="310"/>
      <c r="M168" s="310"/>
      <c r="N168" s="310"/>
      <c r="O168" s="250"/>
      <c r="P168" s="251"/>
      <c r="Q168" s="200"/>
      <c r="R168" s="251"/>
      <c r="S168" s="251"/>
      <c r="T168" s="251"/>
      <c r="U168" s="200"/>
      <c r="V168" s="251"/>
      <c r="W168" s="251"/>
      <c r="X168" s="251"/>
      <c r="Y168" s="200"/>
      <c r="Z168" s="251"/>
      <c r="AA168" s="251"/>
      <c r="AB168" s="251"/>
      <c r="AC168" s="200"/>
      <c r="AD168" s="251"/>
      <c r="AE168" s="251"/>
      <c r="AF168" s="251"/>
      <c r="AG168" s="251"/>
      <c r="AH168" s="251"/>
      <c r="AI168" s="251"/>
      <c r="AJ168" s="251"/>
      <c r="AK168" s="251"/>
      <c r="AL168" s="251"/>
      <c r="AM168" s="251"/>
      <c r="AN168" s="251"/>
      <c r="AO168" s="495"/>
      <c r="AP168" s="495"/>
      <c r="AQ168" s="249"/>
      <c r="AR168" s="249"/>
      <c r="AS168" s="249"/>
      <c r="AT168" s="249"/>
      <c r="AU168" s="249"/>
      <c r="AV168" s="249"/>
      <c r="AW168" s="251"/>
      <c r="AX168" s="251"/>
      <c r="AY168" s="251"/>
      <c r="AZ168" s="251"/>
      <c r="BA168" s="251"/>
      <c r="BB168" s="251"/>
      <c r="BC168" s="251"/>
      <c r="BD168" s="251"/>
      <c r="BE168" s="251"/>
      <c r="BF168" s="251"/>
      <c r="BG168" s="251"/>
      <c r="BH168" s="251"/>
      <c r="BI168" s="251"/>
      <c r="BJ168" s="251"/>
      <c r="BK168" s="251"/>
      <c r="BL168" s="251"/>
      <c r="BM168" s="251"/>
      <c r="BN168" s="251"/>
      <c r="BO168" s="251"/>
      <c r="BP168" s="251"/>
      <c r="BQ168" s="249"/>
      <c r="BR168" s="249"/>
      <c r="BS168" s="249"/>
      <c r="BT168" s="249"/>
      <c r="BU168" s="249"/>
      <c r="BV168" s="249"/>
      <c r="BW168" s="496"/>
      <c r="BX168" s="496"/>
      <c r="BY168" s="496"/>
      <c r="BZ168" s="496"/>
      <c r="CA168" s="496"/>
      <c r="CB168" s="496"/>
      <c r="CC168" s="496"/>
      <c r="CD168" s="496"/>
      <c r="CE168" s="496"/>
      <c r="CF168" s="496"/>
      <c r="CG168" s="496"/>
      <c r="CH168" s="496"/>
      <c r="CI168" s="496"/>
      <c r="CJ168" s="496"/>
      <c r="CK168" s="496"/>
      <c r="CL168" s="496"/>
      <c r="CM168" s="496"/>
      <c r="CN168" s="496"/>
      <c r="CO168" s="496"/>
      <c r="CP168" s="496"/>
      <c r="CQ168" s="496"/>
      <c r="CR168" s="496"/>
      <c r="CS168" s="496"/>
      <c r="CT168" s="496"/>
      <c r="CU168" s="496"/>
      <c r="CV168" s="496"/>
      <c r="CW168" s="496"/>
      <c r="CX168" s="496"/>
      <c r="CY168" s="496"/>
      <c r="CZ168" s="496"/>
      <c r="DA168" s="496"/>
      <c r="DB168" s="496"/>
      <c r="DC168" s="496"/>
      <c r="DD168" s="496"/>
      <c r="DE168" s="496"/>
      <c r="DF168" s="496"/>
      <c r="DG168" s="496"/>
      <c r="DH168" s="496"/>
      <c r="DI168" s="496"/>
      <c r="DJ168" s="496"/>
      <c r="DK168" s="496"/>
      <c r="DL168" s="496"/>
      <c r="DM168" s="496"/>
      <c r="DN168" s="496"/>
      <c r="DO168" s="496"/>
      <c r="DP168" s="496"/>
      <c r="DQ168" s="496"/>
      <c r="DR168" s="496"/>
      <c r="DS168" s="496"/>
      <c r="DT168" s="496"/>
      <c r="DU168" s="496"/>
      <c r="DV168" s="496"/>
      <c r="DW168" s="496"/>
      <c r="DX168" s="496"/>
      <c r="DY168" s="496"/>
      <c r="DZ168" s="496"/>
      <c r="EA168" s="496"/>
      <c r="EB168" s="496"/>
      <c r="EC168" s="496"/>
      <c r="ED168" s="496"/>
      <c r="EE168" s="496"/>
      <c r="EF168" s="496"/>
      <c r="EG168" s="496"/>
      <c r="EH168" s="496"/>
      <c r="EI168" s="496"/>
      <c r="EJ168" s="496"/>
      <c r="EK168" s="496"/>
      <c r="EL168" s="496"/>
      <c r="EM168" s="496"/>
      <c r="EN168" s="496"/>
      <c r="EO168" s="496"/>
      <c r="EP168" s="496"/>
      <c r="EQ168" s="496"/>
      <c r="ER168" s="496"/>
      <c r="ES168" s="496"/>
      <c r="ET168" s="496"/>
      <c r="EU168" s="496"/>
      <c r="EV168" s="496"/>
      <c r="EW168" s="496"/>
      <c r="EX168" s="496"/>
      <c r="EY168" s="496"/>
      <c r="EZ168" s="496"/>
      <c r="FA168" s="496"/>
      <c r="FB168" s="496"/>
      <c r="FC168" s="496"/>
      <c r="FD168" s="496"/>
      <c r="FE168" s="496"/>
      <c r="FF168" s="496"/>
      <c r="FG168" s="496"/>
      <c r="FH168" s="496"/>
      <c r="FI168" s="496"/>
      <c r="FJ168" s="496"/>
      <c r="FK168" s="496"/>
      <c r="FL168" s="496"/>
      <c r="FM168" s="496"/>
      <c r="FN168" s="496"/>
      <c r="FO168" s="496"/>
      <c r="FP168" s="496"/>
      <c r="FQ168" s="496"/>
      <c r="FR168" s="496"/>
      <c r="FS168" s="496"/>
      <c r="FT168" s="496"/>
      <c r="FU168" s="496"/>
      <c r="FV168" s="496"/>
      <c r="FW168" s="496"/>
      <c r="FX168" s="496"/>
      <c r="FY168" s="496"/>
      <c r="FZ168" s="496"/>
      <c r="GA168" s="496"/>
      <c r="GB168" s="496"/>
      <c r="GC168" s="496"/>
      <c r="GD168" s="496"/>
      <c r="GE168" s="496"/>
      <c r="GF168" s="496"/>
      <c r="GG168" s="496"/>
      <c r="GH168" s="496"/>
      <c r="GI168" s="496"/>
      <c r="GJ168" s="496"/>
      <c r="GK168" s="496"/>
      <c r="GL168" s="496"/>
      <c r="GM168" s="496"/>
      <c r="GN168" s="496"/>
      <c r="GO168" s="496"/>
      <c r="GP168" s="496"/>
      <c r="GQ168" s="496"/>
      <c r="GR168" s="496"/>
      <c r="GS168" s="496"/>
      <c r="GT168" s="496"/>
      <c r="GU168" s="496"/>
      <c r="GV168" s="496"/>
      <c r="GW168" s="496"/>
      <c r="GX168" s="496"/>
      <c r="GY168" s="496"/>
      <c r="GZ168" s="496"/>
      <c r="HA168" s="496"/>
      <c r="HB168" s="496"/>
    </row>
    <row r="169" spans="1:210" ht="20.100000000000001" customHeight="1">
      <c r="A169" s="164"/>
      <c r="B169" s="250"/>
      <c r="C169" s="502"/>
      <c r="D169" s="497" t="s">
        <v>637</v>
      </c>
      <c r="E169" s="498" t="s">
        <v>1453</v>
      </c>
      <c r="F169" s="500"/>
      <c r="G169" s="501" t="s">
        <v>433</v>
      </c>
      <c r="H169" s="383"/>
      <c r="I169" s="310"/>
      <c r="J169" s="311"/>
      <c r="K169" s="315"/>
      <c r="L169" s="310"/>
      <c r="M169" s="310"/>
      <c r="N169" s="310"/>
      <c r="O169" s="250"/>
      <c r="P169" s="251"/>
      <c r="Q169" s="200"/>
      <c r="R169" s="251"/>
      <c r="S169" s="251"/>
      <c r="T169" s="251"/>
      <c r="U169" s="200"/>
      <c r="V169" s="251"/>
      <c r="W169" s="251"/>
      <c r="X169" s="251"/>
      <c r="Y169" s="200"/>
      <c r="Z169" s="251"/>
      <c r="AA169" s="251"/>
      <c r="AB169" s="251"/>
      <c r="AC169" s="200"/>
      <c r="AD169" s="251"/>
      <c r="AE169" s="251"/>
      <c r="AF169" s="251"/>
      <c r="AG169" s="251"/>
      <c r="AH169" s="251"/>
      <c r="AI169" s="251"/>
      <c r="AJ169" s="251"/>
      <c r="AK169" s="251"/>
      <c r="AL169" s="251"/>
      <c r="AM169" s="251"/>
      <c r="AN169" s="251"/>
      <c r="AO169" s="495"/>
      <c r="AP169" s="495"/>
      <c r="AQ169" s="249"/>
      <c r="AR169" s="249"/>
      <c r="AS169" s="249"/>
      <c r="AT169" s="249"/>
      <c r="AU169" s="249"/>
      <c r="AV169" s="249"/>
      <c r="AW169" s="251"/>
      <c r="AX169" s="251"/>
      <c r="AY169" s="251"/>
      <c r="AZ169" s="251"/>
      <c r="BA169" s="251"/>
      <c r="BB169" s="251"/>
      <c r="BC169" s="251"/>
      <c r="BD169" s="251"/>
      <c r="BE169" s="251"/>
      <c r="BF169" s="251"/>
      <c r="BG169" s="251"/>
      <c r="BH169" s="251"/>
      <c r="BI169" s="251"/>
      <c r="BJ169" s="251"/>
      <c r="BK169" s="251"/>
      <c r="BL169" s="251"/>
      <c r="BM169" s="251"/>
      <c r="BN169" s="251"/>
      <c r="BO169" s="251"/>
      <c r="BP169" s="251"/>
      <c r="BQ169" s="249"/>
      <c r="BR169" s="249"/>
      <c r="BS169" s="249"/>
      <c r="BT169" s="249"/>
      <c r="BU169" s="249"/>
      <c r="BV169" s="249"/>
      <c r="BW169" s="496"/>
      <c r="BX169" s="496"/>
      <c r="BY169" s="496"/>
      <c r="BZ169" s="496"/>
      <c r="CA169" s="496"/>
      <c r="CB169" s="496"/>
      <c r="CC169" s="496"/>
      <c r="CD169" s="496"/>
      <c r="CE169" s="496"/>
      <c r="CF169" s="496"/>
      <c r="CG169" s="496"/>
      <c r="CH169" s="496"/>
      <c r="CI169" s="496"/>
      <c r="CJ169" s="496"/>
      <c r="CK169" s="496"/>
      <c r="CL169" s="496"/>
      <c r="CM169" s="496"/>
      <c r="CN169" s="496"/>
      <c r="CO169" s="496"/>
      <c r="CP169" s="496"/>
      <c r="CQ169" s="496"/>
      <c r="CR169" s="496"/>
      <c r="CS169" s="496"/>
      <c r="CT169" s="496"/>
      <c r="CU169" s="496"/>
      <c r="CV169" s="496"/>
      <c r="CW169" s="496"/>
      <c r="CX169" s="496"/>
      <c r="CY169" s="496"/>
      <c r="CZ169" s="496"/>
      <c r="DA169" s="496"/>
      <c r="DB169" s="496"/>
      <c r="DC169" s="496"/>
      <c r="DD169" s="496"/>
      <c r="DE169" s="496"/>
      <c r="DF169" s="496"/>
      <c r="DG169" s="496"/>
      <c r="DH169" s="496"/>
      <c r="DI169" s="496"/>
      <c r="DJ169" s="496"/>
      <c r="DK169" s="496"/>
      <c r="DL169" s="496"/>
      <c r="DM169" s="496"/>
      <c r="DN169" s="496"/>
      <c r="DO169" s="496"/>
      <c r="DP169" s="496"/>
      <c r="DQ169" s="496"/>
      <c r="DR169" s="496"/>
      <c r="DS169" s="496"/>
      <c r="DT169" s="496"/>
      <c r="DU169" s="496"/>
      <c r="DV169" s="496"/>
      <c r="DW169" s="496"/>
      <c r="DX169" s="496"/>
      <c r="DY169" s="496"/>
      <c r="DZ169" s="496"/>
      <c r="EA169" s="496"/>
      <c r="EB169" s="496"/>
      <c r="EC169" s="496"/>
      <c r="ED169" s="496"/>
      <c r="EE169" s="496"/>
      <c r="EF169" s="496"/>
      <c r="EG169" s="496"/>
      <c r="EH169" s="496"/>
      <c r="EI169" s="496"/>
      <c r="EJ169" s="496"/>
      <c r="EK169" s="496"/>
      <c r="EL169" s="496"/>
      <c r="EM169" s="496"/>
      <c r="EN169" s="496"/>
      <c r="EO169" s="496"/>
      <c r="EP169" s="496"/>
      <c r="EQ169" s="496"/>
      <c r="ER169" s="496"/>
      <c r="ES169" s="496"/>
      <c r="ET169" s="496"/>
      <c r="EU169" s="496"/>
      <c r="EV169" s="496"/>
      <c r="EW169" s="496"/>
      <c r="EX169" s="496"/>
      <c r="EY169" s="496"/>
      <c r="EZ169" s="496"/>
      <c r="FA169" s="496"/>
      <c r="FB169" s="496"/>
      <c r="FC169" s="496"/>
      <c r="FD169" s="496"/>
      <c r="FE169" s="496"/>
      <c r="FF169" s="496"/>
      <c r="FG169" s="496"/>
      <c r="FH169" s="496"/>
      <c r="FI169" s="496"/>
      <c r="FJ169" s="496"/>
      <c r="FK169" s="496"/>
      <c r="FL169" s="496"/>
      <c r="FM169" s="496"/>
      <c r="FN169" s="496"/>
      <c r="FO169" s="496"/>
      <c r="FP169" s="496"/>
      <c r="FQ169" s="496"/>
      <c r="FR169" s="496"/>
      <c r="FS169" s="496"/>
      <c r="FT169" s="496"/>
      <c r="FU169" s="496"/>
      <c r="FV169" s="496"/>
      <c r="FW169" s="496"/>
      <c r="FX169" s="496"/>
      <c r="FY169" s="496"/>
      <c r="FZ169" s="496"/>
      <c r="GA169" s="496"/>
      <c r="GB169" s="496"/>
      <c r="GC169" s="496"/>
      <c r="GD169" s="496"/>
      <c r="GE169" s="496"/>
      <c r="GF169" s="496"/>
      <c r="GG169" s="496"/>
      <c r="GH169" s="496"/>
      <c r="GI169" s="496"/>
      <c r="GJ169" s="496"/>
      <c r="GK169" s="496"/>
      <c r="GL169" s="496"/>
      <c r="GM169" s="496"/>
      <c r="GN169" s="496"/>
      <c r="GO169" s="496"/>
      <c r="GP169" s="496"/>
      <c r="GQ169" s="496"/>
      <c r="GR169" s="496"/>
      <c r="GS169" s="496"/>
      <c r="GT169" s="496"/>
      <c r="GU169" s="496"/>
      <c r="GV169" s="496"/>
      <c r="GW169" s="496"/>
      <c r="GX169" s="496"/>
      <c r="GY169" s="496"/>
      <c r="GZ169" s="496"/>
      <c r="HA169" s="496"/>
      <c r="HB169" s="496"/>
    </row>
    <row r="170" spans="1:210" ht="20.100000000000001" customHeight="1">
      <c r="A170" s="164"/>
      <c r="B170" s="250"/>
      <c r="C170" s="502"/>
      <c r="D170" s="502"/>
      <c r="E170" s="498" t="s">
        <v>1454</v>
      </c>
      <c r="F170" s="500"/>
      <c r="G170" s="501" t="s">
        <v>436</v>
      </c>
      <c r="H170" s="383"/>
      <c r="I170" s="310"/>
      <c r="J170" s="311"/>
      <c r="K170" s="315"/>
      <c r="L170" s="310"/>
      <c r="M170" s="310"/>
      <c r="N170" s="310"/>
      <c r="O170" s="250"/>
      <c r="P170" s="251"/>
      <c r="Q170" s="200"/>
      <c r="R170" s="251"/>
      <c r="S170" s="251"/>
      <c r="T170" s="251"/>
      <c r="U170" s="200"/>
      <c r="V170" s="251"/>
      <c r="W170" s="251"/>
      <c r="X170" s="251"/>
      <c r="Y170" s="200"/>
      <c r="Z170" s="251"/>
      <c r="AA170" s="251"/>
      <c r="AB170" s="251"/>
      <c r="AC170" s="200"/>
      <c r="AD170" s="251"/>
      <c r="AE170" s="251"/>
      <c r="AF170" s="251"/>
      <c r="AG170" s="251"/>
      <c r="AH170" s="251"/>
      <c r="AI170" s="251"/>
      <c r="AJ170" s="251"/>
      <c r="AK170" s="251"/>
      <c r="AL170" s="251"/>
      <c r="AM170" s="251"/>
      <c r="AN170" s="251"/>
      <c r="AO170" s="495"/>
      <c r="AP170" s="495"/>
      <c r="AQ170" s="249"/>
      <c r="AR170" s="249"/>
      <c r="AS170" s="249"/>
      <c r="AT170" s="249"/>
      <c r="AU170" s="249"/>
      <c r="AV170" s="249"/>
      <c r="AW170" s="251"/>
      <c r="AX170" s="251"/>
      <c r="AY170" s="251"/>
      <c r="AZ170" s="251"/>
      <c r="BA170" s="251"/>
      <c r="BB170" s="251"/>
      <c r="BC170" s="251"/>
      <c r="BD170" s="251"/>
      <c r="BE170" s="251"/>
      <c r="BF170" s="251"/>
      <c r="BG170" s="251"/>
      <c r="BH170" s="251"/>
      <c r="BI170" s="251"/>
      <c r="BJ170" s="251"/>
      <c r="BK170" s="251"/>
      <c r="BL170" s="251"/>
      <c r="BM170" s="251"/>
      <c r="BN170" s="251"/>
      <c r="BO170" s="251"/>
      <c r="BP170" s="251"/>
      <c r="BQ170" s="249"/>
      <c r="BR170" s="249"/>
      <c r="BS170" s="249"/>
      <c r="BT170" s="249"/>
      <c r="BU170" s="249"/>
      <c r="BV170" s="249"/>
      <c r="BW170" s="496"/>
      <c r="BX170" s="496"/>
      <c r="BY170" s="496"/>
      <c r="BZ170" s="496"/>
      <c r="CA170" s="496"/>
      <c r="CB170" s="496"/>
      <c r="CC170" s="496"/>
      <c r="CD170" s="496"/>
      <c r="CE170" s="496"/>
      <c r="CF170" s="496"/>
      <c r="CG170" s="496"/>
      <c r="CH170" s="496"/>
      <c r="CI170" s="496"/>
      <c r="CJ170" s="496"/>
      <c r="CK170" s="496"/>
      <c r="CL170" s="496"/>
      <c r="CM170" s="496"/>
      <c r="CN170" s="496"/>
      <c r="CO170" s="496"/>
      <c r="CP170" s="496"/>
      <c r="CQ170" s="496"/>
      <c r="CR170" s="496"/>
      <c r="CS170" s="496"/>
      <c r="CT170" s="496"/>
      <c r="CU170" s="496"/>
      <c r="CV170" s="496"/>
      <c r="CW170" s="496"/>
      <c r="CX170" s="496"/>
      <c r="CY170" s="496"/>
      <c r="CZ170" s="496"/>
      <c r="DA170" s="496"/>
      <c r="DB170" s="496"/>
      <c r="DC170" s="496"/>
      <c r="DD170" s="496"/>
      <c r="DE170" s="496"/>
      <c r="DF170" s="496"/>
      <c r="DG170" s="496"/>
      <c r="DH170" s="496"/>
      <c r="DI170" s="496"/>
      <c r="DJ170" s="496"/>
      <c r="DK170" s="496"/>
      <c r="DL170" s="496"/>
      <c r="DM170" s="496"/>
      <c r="DN170" s="496"/>
      <c r="DO170" s="496"/>
      <c r="DP170" s="496"/>
      <c r="DQ170" s="496"/>
      <c r="DR170" s="496"/>
      <c r="DS170" s="496"/>
      <c r="DT170" s="496"/>
      <c r="DU170" s="496"/>
      <c r="DV170" s="496"/>
      <c r="DW170" s="496"/>
      <c r="DX170" s="496"/>
      <c r="DY170" s="496"/>
      <c r="DZ170" s="496"/>
      <c r="EA170" s="496"/>
      <c r="EB170" s="496"/>
      <c r="EC170" s="496"/>
      <c r="ED170" s="496"/>
      <c r="EE170" s="496"/>
      <c r="EF170" s="496"/>
      <c r="EG170" s="496"/>
      <c r="EH170" s="496"/>
      <c r="EI170" s="496"/>
      <c r="EJ170" s="496"/>
      <c r="EK170" s="496"/>
      <c r="EL170" s="496"/>
      <c r="EM170" s="496"/>
      <c r="EN170" s="496"/>
      <c r="EO170" s="496"/>
      <c r="EP170" s="496"/>
      <c r="EQ170" s="496"/>
      <c r="ER170" s="496"/>
      <c r="ES170" s="496"/>
      <c r="ET170" s="496"/>
      <c r="EU170" s="496"/>
      <c r="EV170" s="496"/>
      <c r="EW170" s="496"/>
      <c r="EX170" s="496"/>
      <c r="EY170" s="496"/>
      <c r="EZ170" s="496"/>
      <c r="FA170" s="496"/>
      <c r="FB170" s="496"/>
      <c r="FC170" s="496"/>
      <c r="FD170" s="496"/>
      <c r="FE170" s="496"/>
      <c r="FF170" s="496"/>
      <c r="FG170" s="496"/>
      <c r="FH170" s="496"/>
      <c r="FI170" s="496"/>
      <c r="FJ170" s="496"/>
      <c r="FK170" s="496"/>
      <c r="FL170" s="496"/>
      <c r="FM170" s="496"/>
      <c r="FN170" s="496"/>
      <c r="FO170" s="496"/>
      <c r="FP170" s="496"/>
      <c r="FQ170" s="496"/>
      <c r="FR170" s="496"/>
      <c r="FS170" s="496"/>
      <c r="FT170" s="496"/>
      <c r="FU170" s="496"/>
      <c r="FV170" s="496"/>
      <c r="FW170" s="496"/>
      <c r="FX170" s="496"/>
      <c r="FY170" s="496"/>
      <c r="FZ170" s="496"/>
      <c r="GA170" s="496"/>
      <c r="GB170" s="496"/>
      <c r="GC170" s="496"/>
      <c r="GD170" s="496"/>
      <c r="GE170" s="496"/>
      <c r="GF170" s="496"/>
      <c r="GG170" s="496"/>
      <c r="GH170" s="496"/>
      <c r="GI170" s="496"/>
      <c r="GJ170" s="496"/>
      <c r="GK170" s="496"/>
      <c r="GL170" s="496"/>
      <c r="GM170" s="496"/>
      <c r="GN170" s="496"/>
      <c r="GO170" s="496"/>
      <c r="GP170" s="496"/>
      <c r="GQ170" s="496"/>
      <c r="GR170" s="496"/>
      <c r="GS170" s="496"/>
      <c r="GT170" s="496"/>
      <c r="GU170" s="496"/>
      <c r="GV170" s="496"/>
      <c r="GW170" s="496"/>
      <c r="GX170" s="496"/>
      <c r="GY170" s="496"/>
      <c r="GZ170" s="496"/>
      <c r="HA170" s="496"/>
      <c r="HB170" s="496"/>
    </row>
    <row r="171" spans="1:210" ht="19.8">
      <c r="A171" s="164"/>
      <c r="B171" s="250"/>
      <c r="C171" s="502"/>
      <c r="D171" s="502"/>
      <c r="E171" s="498" t="s">
        <v>1455</v>
      </c>
      <c r="F171" s="500"/>
      <c r="G171" s="501" t="s">
        <v>433</v>
      </c>
      <c r="H171" s="383"/>
      <c r="I171" s="310"/>
      <c r="J171" s="311"/>
      <c r="K171" s="315"/>
      <c r="L171" s="310"/>
      <c r="M171" s="310"/>
      <c r="N171" s="310"/>
      <c r="O171" s="250"/>
      <c r="P171" s="251"/>
      <c r="Q171" s="200"/>
      <c r="R171" s="251"/>
      <c r="S171" s="251"/>
      <c r="T171" s="251"/>
      <c r="U171" s="200"/>
      <c r="V171" s="251"/>
      <c r="W171" s="251"/>
      <c r="X171" s="251"/>
      <c r="Y171" s="200"/>
      <c r="Z171" s="251"/>
      <c r="AA171" s="251"/>
      <c r="AB171" s="251"/>
      <c r="AC171" s="200"/>
      <c r="AD171" s="251"/>
      <c r="AE171" s="251"/>
      <c r="AF171" s="251"/>
      <c r="AG171" s="251"/>
      <c r="AH171" s="251"/>
      <c r="AI171" s="251"/>
      <c r="AJ171" s="251"/>
      <c r="AK171" s="251"/>
      <c r="AL171" s="251"/>
      <c r="AM171" s="251"/>
      <c r="AN171" s="251"/>
      <c r="AO171" s="495"/>
      <c r="AP171" s="495"/>
      <c r="AQ171" s="249"/>
      <c r="AR171" s="249"/>
      <c r="AS171" s="249"/>
      <c r="AT171" s="249"/>
      <c r="AU171" s="249"/>
      <c r="AV171" s="249"/>
      <c r="AW171" s="251"/>
      <c r="AX171" s="251"/>
      <c r="AY171" s="251"/>
      <c r="AZ171" s="251"/>
      <c r="BA171" s="251"/>
      <c r="BB171" s="251"/>
      <c r="BC171" s="251"/>
      <c r="BD171" s="251"/>
      <c r="BE171" s="251"/>
      <c r="BF171" s="251"/>
      <c r="BG171" s="251"/>
      <c r="BH171" s="251"/>
      <c r="BI171" s="251"/>
      <c r="BJ171" s="251"/>
      <c r="BK171" s="251"/>
      <c r="BL171" s="251"/>
      <c r="BM171" s="251"/>
      <c r="BN171" s="251"/>
      <c r="BO171" s="251"/>
      <c r="BP171" s="251"/>
      <c r="BQ171" s="249"/>
      <c r="BR171" s="249"/>
      <c r="BS171" s="249"/>
      <c r="BT171" s="249"/>
      <c r="BU171" s="249"/>
      <c r="BV171" s="249"/>
      <c r="BW171" s="496"/>
      <c r="BX171" s="496"/>
      <c r="BY171" s="496"/>
      <c r="BZ171" s="496"/>
      <c r="CA171" s="496"/>
      <c r="CB171" s="496"/>
      <c r="CC171" s="496"/>
      <c r="CD171" s="496"/>
      <c r="CE171" s="496"/>
      <c r="CF171" s="496"/>
      <c r="CG171" s="496"/>
      <c r="CH171" s="496"/>
      <c r="CI171" s="496"/>
      <c r="CJ171" s="496"/>
      <c r="CK171" s="496"/>
      <c r="CL171" s="496"/>
      <c r="CM171" s="496"/>
      <c r="CN171" s="496"/>
      <c r="CO171" s="496"/>
      <c r="CP171" s="496"/>
      <c r="CQ171" s="496"/>
      <c r="CR171" s="496"/>
      <c r="CS171" s="496"/>
      <c r="CT171" s="496"/>
      <c r="CU171" s="496"/>
      <c r="CV171" s="496"/>
      <c r="CW171" s="496"/>
      <c r="CX171" s="496"/>
      <c r="CY171" s="496"/>
      <c r="CZ171" s="496"/>
      <c r="DA171" s="496"/>
      <c r="DB171" s="496"/>
      <c r="DC171" s="496"/>
      <c r="DD171" s="496"/>
      <c r="DE171" s="496"/>
      <c r="DF171" s="496"/>
      <c r="DG171" s="496"/>
      <c r="DH171" s="496"/>
      <c r="DI171" s="496"/>
      <c r="DJ171" s="496"/>
      <c r="DK171" s="496"/>
      <c r="DL171" s="496"/>
      <c r="DM171" s="496"/>
      <c r="DN171" s="496"/>
      <c r="DO171" s="496"/>
      <c r="DP171" s="496"/>
      <c r="DQ171" s="496"/>
      <c r="DR171" s="496"/>
      <c r="DS171" s="496"/>
      <c r="DT171" s="496"/>
      <c r="DU171" s="496"/>
      <c r="DV171" s="496"/>
      <c r="DW171" s="496"/>
      <c r="DX171" s="496"/>
      <c r="DY171" s="496"/>
      <c r="DZ171" s="496"/>
      <c r="EA171" s="496"/>
      <c r="EB171" s="496"/>
      <c r="EC171" s="496"/>
      <c r="ED171" s="496"/>
      <c r="EE171" s="496"/>
      <c r="EF171" s="496"/>
      <c r="EG171" s="496"/>
      <c r="EH171" s="496"/>
      <c r="EI171" s="496"/>
      <c r="EJ171" s="496"/>
      <c r="EK171" s="496"/>
      <c r="EL171" s="496"/>
      <c r="EM171" s="496"/>
      <c r="EN171" s="496"/>
      <c r="EO171" s="496"/>
      <c r="EP171" s="496"/>
      <c r="EQ171" s="496"/>
      <c r="ER171" s="496"/>
      <c r="ES171" s="496"/>
      <c r="ET171" s="496"/>
      <c r="EU171" s="496"/>
      <c r="EV171" s="496"/>
      <c r="EW171" s="496"/>
      <c r="EX171" s="496"/>
      <c r="EY171" s="496"/>
      <c r="EZ171" s="496"/>
      <c r="FA171" s="496"/>
      <c r="FB171" s="496"/>
      <c r="FC171" s="496"/>
      <c r="FD171" s="496"/>
      <c r="FE171" s="496"/>
      <c r="FF171" s="496"/>
      <c r="FG171" s="496"/>
      <c r="FH171" s="496"/>
      <c r="FI171" s="496"/>
      <c r="FJ171" s="496"/>
      <c r="FK171" s="496"/>
      <c r="FL171" s="496"/>
      <c r="FM171" s="496"/>
      <c r="FN171" s="496"/>
      <c r="FO171" s="496"/>
      <c r="FP171" s="496"/>
      <c r="FQ171" s="496"/>
      <c r="FR171" s="496"/>
      <c r="FS171" s="496"/>
      <c r="FT171" s="496"/>
      <c r="FU171" s="496"/>
      <c r="FV171" s="496"/>
      <c r="FW171" s="496"/>
      <c r="FX171" s="496"/>
      <c r="FY171" s="496"/>
      <c r="FZ171" s="496"/>
      <c r="GA171" s="496"/>
      <c r="GB171" s="496"/>
      <c r="GC171" s="496"/>
      <c r="GD171" s="496"/>
      <c r="GE171" s="496"/>
      <c r="GF171" s="496"/>
      <c r="GG171" s="496"/>
      <c r="GH171" s="496"/>
      <c r="GI171" s="496"/>
      <c r="GJ171" s="496"/>
      <c r="GK171" s="496"/>
      <c r="GL171" s="496"/>
      <c r="GM171" s="496"/>
      <c r="GN171" s="496"/>
      <c r="GO171" s="496"/>
      <c r="GP171" s="496"/>
      <c r="GQ171" s="496"/>
      <c r="GR171" s="496"/>
      <c r="GS171" s="496"/>
      <c r="GT171" s="496"/>
      <c r="GU171" s="496"/>
      <c r="GV171" s="496"/>
      <c r="GW171" s="496"/>
      <c r="GX171" s="496"/>
      <c r="GY171" s="496"/>
      <c r="GZ171" s="496"/>
      <c r="HA171" s="496"/>
      <c r="HB171" s="496"/>
    </row>
    <row r="172" spans="1:210" ht="20.100000000000001" customHeight="1">
      <c r="A172" s="164"/>
      <c r="B172" s="250"/>
      <c r="C172" s="502"/>
      <c r="D172" s="506"/>
      <c r="E172" s="498" t="s">
        <v>1456</v>
      </c>
      <c r="F172" s="500"/>
      <c r="G172" s="501" t="s">
        <v>1533</v>
      </c>
      <c r="H172" s="383"/>
      <c r="I172" s="310"/>
      <c r="J172" s="311"/>
      <c r="K172" s="315"/>
      <c r="L172" s="310"/>
      <c r="M172" s="310"/>
      <c r="N172" s="310"/>
      <c r="O172" s="250"/>
      <c r="P172" s="251"/>
      <c r="Q172" s="200"/>
      <c r="R172" s="251"/>
      <c r="S172" s="251"/>
      <c r="T172" s="251"/>
      <c r="U172" s="200"/>
      <c r="V172" s="251"/>
      <c r="W172" s="251"/>
      <c r="X172" s="251"/>
      <c r="Y172" s="200"/>
      <c r="Z172" s="251"/>
      <c r="AA172" s="251"/>
      <c r="AB172" s="251"/>
      <c r="AC172" s="200"/>
      <c r="AD172" s="251"/>
      <c r="AE172" s="251"/>
      <c r="AF172" s="251"/>
      <c r="AG172" s="251"/>
      <c r="AH172" s="251"/>
      <c r="AI172" s="251"/>
      <c r="AJ172" s="251"/>
      <c r="AK172" s="251"/>
      <c r="AL172" s="251"/>
      <c r="AM172" s="251"/>
      <c r="AN172" s="251"/>
      <c r="AO172" s="495"/>
      <c r="AP172" s="495"/>
      <c r="AQ172" s="249"/>
      <c r="AR172" s="249"/>
      <c r="AS172" s="249"/>
      <c r="AT172" s="249"/>
      <c r="AU172" s="249"/>
      <c r="AV172" s="249"/>
      <c r="AW172" s="251"/>
      <c r="AX172" s="251"/>
      <c r="AY172" s="251"/>
      <c r="AZ172" s="251"/>
      <c r="BA172" s="251"/>
      <c r="BB172" s="251"/>
      <c r="BC172" s="251"/>
      <c r="BD172" s="251"/>
      <c r="BE172" s="251"/>
      <c r="BF172" s="251"/>
      <c r="BG172" s="251"/>
      <c r="BH172" s="251"/>
      <c r="BI172" s="251"/>
      <c r="BJ172" s="251"/>
      <c r="BK172" s="251"/>
      <c r="BL172" s="251"/>
      <c r="BM172" s="251"/>
      <c r="BN172" s="251"/>
      <c r="BO172" s="251"/>
      <c r="BP172" s="251"/>
      <c r="BQ172" s="249"/>
      <c r="BR172" s="249"/>
      <c r="BS172" s="249"/>
      <c r="BT172" s="249"/>
      <c r="BU172" s="249"/>
      <c r="BV172" s="249"/>
      <c r="BW172" s="496"/>
      <c r="BX172" s="496"/>
      <c r="BY172" s="496"/>
      <c r="BZ172" s="496"/>
      <c r="CA172" s="496"/>
      <c r="CB172" s="496"/>
      <c r="CC172" s="496"/>
      <c r="CD172" s="496"/>
      <c r="CE172" s="496"/>
      <c r="CF172" s="496"/>
      <c r="CG172" s="496"/>
      <c r="CH172" s="496"/>
      <c r="CI172" s="496"/>
      <c r="CJ172" s="496"/>
      <c r="CK172" s="496"/>
      <c r="CL172" s="496"/>
      <c r="CM172" s="496"/>
      <c r="CN172" s="496"/>
      <c r="CO172" s="496"/>
      <c r="CP172" s="496"/>
      <c r="CQ172" s="496"/>
      <c r="CR172" s="496"/>
      <c r="CS172" s="496"/>
      <c r="CT172" s="496"/>
      <c r="CU172" s="496"/>
      <c r="CV172" s="496"/>
      <c r="CW172" s="496"/>
      <c r="CX172" s="496"/>
      <c r="CY172" s="496"/>
      <c r="CZ172" s="496"/>
      <c r="DA172" s="496"/>
      <c r="DB172" s="496"/>
      <c r="DC172" s="496"/>
      <c r="DD172" s="496"/>
      <c r="DE172" s="496"/>
      <c r="DF172" s="496"/>
      <c r="DG172" s="496"/>
      <c r="DH172" s="496"/>
      <c r="DI172" s="496"/>
      <c r="DJ172" s="496"/>
      <c r="DK172" s="496"/>
      <c r="DL172" s="496"/>
      <c r="DM172" s="496"/>
      <c r="DN172" s="496"/>
      <c r="DO172" s="496"/>
      <c r="DP172" s="496"/>
      <c r="DQ172" s="496"/>
      <c r="DR172" s="496"/>
      <c r="DS172" s="496"/>
      <c r="DT172" s="496"/>
      <c r="DU172" s="496"/>
      <c r="DV172" s="496"/>
      <c r="DW172" s="496"/>
      <c r="DX172" s="496"/>
      <c r="DY172" s="496"/>
      <c r="DZ172" s="496"/>
      <c r="EA172" s="496"/>
      <c r="EB172" s="496"/>
      <c r="EC172" s="496"/>
      <c r="ED172" s="496"/>
      <c r="EE172" s="496"/>
      <c r="EF172" s="496"/>
      <c r="EG172" s="496"/>
      <c r="EH172" s="496"/>
      <c r="EI172" s="496"/>
      <c r="EJ172" s="496"/>
      <c r="EK172" s="496"/>
      <c r="EL172" s="496"/>
      <c r="EM172" s="496"/>
      <c r="EN172" s="496"/>
      <c r="EO172" s="496"/>
      <c r="EP172" s="496"/>
      <c r="EQ172" s="496"/>
      <c r="ER172" s="496"/>
      <c r="ES172" s="496"/>
      <c r="ET172" s="496"/>
      <c r="EU172" s="496"/>
      <c r="EV172" s="496"/>
      <c r="EW172" s="496"/>
      <c r="EX172" s="496"/>
      <c r="EY172" s="496"/>
      <c r="EZ172" s="496"/>
      <c r="FA172" s="496"/>
      <c r="FB172" s="496"/>
      <c r="FC172" s="496"/>
      <c r="FD172" s="496"/>
      <c r="FE172" s="496"/>
      <c r="FF172" s="496"/>
      <c r="FG172" s="496"/>
      <c r="FH172" s="496"/>
      <c r="FI172" s="496"/>
      <c r="FJ172" s="496"/>
      <c r="FK172" s="496"/>
      <c r="FL172" s="496"/>
      <c r="FM172" s="496"/>
      <c r="FN172" s="496"/>
      <c r="FO172" s="496"/>
      <c r="FP172" s="496"/>
      <c r="FQ172" s="496"/>
      <c r="FR172" s="496"/>
      <c r="FS172" s="496"/>
      <c r="FT172" s="496"/>
      <c r="FU172" s="496"/>
      <c r="FV172" s="496"/>
      <c r="FW172" s="496"/>
      <c r="FX172" s="496"/>
      <c r="FY172" s="496"/>
      <c r="FZ172" s="496"/>
      <c r="GA172" s="496"/>
      <c r="GB172" s="496"/>
      <c r="GC172" s="496"/>
      <c r="GD172" s="496"/>
      <c r="GE172" s="496"/>
      <c r="GF172" s="496"/>
      <c r="GG172" s="496"/>
      <c r="GH172" s="496"/>
      <c r="GI172" s="496"/>
      <c r="GJ172" s="496"/>
      <c r="GK172" s="496"/>
      <c r="GL172" s="496"/>
      <c r="GM172" s="496"/>
      <c r="GN172" s="496"/>
      <c r="GO172" s="496"/>
      <c r="GP172" s="496"/>
      <c r="GQ172" s="496"/>
      <c r="GR172" s="496"/>
      <c r="GS172" s="496"/>
      <c r="GT172" s="496"/>
      <c r="GU172" s="496"/>
      <c r="GV172" s="496"/>
      <c r="GW172" s="496"/>
      <c r="GX172" s="496"/>
      <c r="GY172" s="496"/>
      <c r="GZ172" s="496"/>
      <c r="HA172" s="496"/>
      <c r="HB172" s="496"/>
    </row>
    <row r="173" spans="1:210" ht="20.100000000000001" customHeight="1">
      <c r="A173" s="164"/>
      <c r="B173" s="250"/>
      <c r="C173" s="507"/>
      <c r="D173" s="498" t="s">
        <v>638</v>
      </c>
      <c r="E173" s="508"/>
      <c r="F173" s="509"/>
      <c r="G173" s="501" t="s">
        <v>433</v>
      </c>
      <c r="H173" s="383"/>
      <c r="I173" s="310"/>
      <c r="J173" s="311"/>
      <c r="K173" s="315"/>
      <c r="L173" s="310"/>
      <c r="M173" s="310"/>
      <c r="N173" s="310"/>
      <c r="O173" s="250"/>
      <c r="P173" s="251"/>
      <c r="Q173" s="200"/>
      <c r="R173" s="251"/>
      <c r="S173" s="251"/>
      <c r="T173" s="251"/>
      <c r="U173" s="200"/>
      <c r="V173" s="251"/>
      <c r="W173" s="251"/>
      <c r="X173" s="251"/>
      <c r="Y173" s="200"/>
      <c r="Z173" s="251"/>
      <c r="AA173" s="251"/>
      <c r="AB173" s="251"/>
      <c r="AC173" s="200"/>
      <c r="AD173" s="251"/>
      <c r="AE173" s="251"/>
      <c r="AF173" s="251"/>
      <c r="AG173" s="251"/>
      <c r="AH173" s="251"/>
      <c r="AI173" s="251"/>
      <c r="AJ173" s="251"/>
      <c r="AK173" s="251"/>
      <c r="AL173" s="251"/>
      <c r="AM173" s="251"/>
      <c r="AN173" s="251"/>
      <c r="AO173" s="495"/>
      <c r="AP173" s="495"/>
      <c r="AQ173" s="249"/>
      <c r="AR173" s="249"/>
      <c r="AS173" s="249"/>
      <c r="AT173" s="249"/>
      <c r="AU173" s="249"/>
      <c r="AV173" s="249"/>
      <c r="AW173" s="251"/>
      <c r="AX173" s="251"/>
      <c r="AY173" s="251"/>
      <c r="AZ173" s="251"/>
      <c r="BA173" s="251"/>
      <c r="BB173" s="251"/>
      <c r="BC173" s="251"/>
      <c r="BD173" s="251"/>
      <c r="BE173" s="251"/>
      <c r="BF173" s="251"/>
      <c r="BG173" s="251"/>
      <c r="BH173" s="251"/>
      <c r="BI173" s="251"/>
      <c r="BJ173" s="251"/>
      <c r="BK173" s="251"/>
      <c r="BL173" s="251"/>
      <c r="BM173" s="251"/>
      <c r="BN173" s="251"/>
      <c r="BO173" s="251"/>
      <c r="BP173" s="251"/>
      <c r="BQ173" s="249"/>
      <c r="BR173" s="249"/>
      <c r="BS173" s="249"/>
      <c r="BT173" s="249"/>
      <c r="BU173" s="249"/>
      <c r="BV173" s="249"/>
      <c r="BW173" s="496"/>
      <c r="BX173" s="496"/>
      <c r="BY173" s="496"/>
      <c r="BZ173" s="496"/>
      <c r="CA173" s="496"/>
      <c r="CB173" s="496"/>
      <c r="CC173" s="496"/>
      <c r="CD173" s="496"/>
      <c r="CE173" s="496"/>
      <c r="CF173" s="496"/>
      <c r="CG173" s="496"/>
      <c r="CH173" s="496"/>
      <c r="CI173" s="496"/>
      <c r="CJ173" s="496"/>
      <c r="CK173" s="496"/>
      <c r="CL173" s="496"/>
      <c r="CM173" s="496"/>
      <c r="CN173" s="496"/>
      <c r="CO173" s="496"/>
      <c r="CP173" s="496"/>
      <c r="CQ173" s="496"/>
      <c r="CR173" s="496"/>
      <c r="CS173" s="496"/>
      <c r="CT173" s="496"/>
      <c r="CU173" s="496"/>
      <c r="CV173" s="496"/>
      <c r="CW173" s="496"/>
      <c r="CX173" s="496"/>
      <c r="CY173" s="496"/>
      <c r="CZ173" s="496"/>
      <c r="DA173" s="496"/>
      <c r="DB173" s="496"/>
      <c r="DC173" s="496"/>
      <c r="DD173" s="496"/>
      <c r="DE173" s="496"/>
      <c r="DF173" s="496"/>
      <c r="DG173" s="496"/>
      <c r="DH173" s="496"/>
      <c r="DI173" s="496"/>
      <c r="DJ173" s="496"/>
      <c r="DK173" s="496"/>
      <c r="DL173" s="496"/>
      <c r="DM173" s="496"/>
      <c r="DN173" s="496"/>
      <c r="DO173" s="496"/>
      <c r="DP173" s="496"/>
      <c r="DQ173" s="496"/>
      <c r="DR173" s="496"/>
      <c r="DS173" s="496"/>
      <c r="DT173" s="496"/>
      <c r="DU173" s="496"/>
      <c r="DV173" s="496"/>
      <c r="DW173" s="496"/>
      <c r="DX173" s="496"/>
      <c r="DY173" s="496"/>
      <c r="DZ173" s="496"/>
      <c r="EA173" s="496"/>
      <c r="EB173" s="496"/>
      <c r="EC173" s="496"/>
      <c r="ED173" s="496"/>
      <c r="EE173" s="496"/>
      <c r="EF173" s="496"/>
      <c r="EG173" s="496"/>
      <c r="EH173" s="496"/>
      <c r="EI173" s="496"/>
      <c r="EJ173" s="496"/>
      <c r="EK173" s="496"/>
      <c r="EL173" s="496"/>
      <c r="EM173" s="496"/>
      <c r="EN173" s="496"/>
      <c r="EO173" s="496"/>
      <c r="EP173" s="496"/>
      <c r="EQ173" s="496"/>
      <c r="ER173" s="496"/>
      <c r="ES173" s="496"/>
      <c r="ET173" s="496"/>
      <c r="EU173" s="496"/>
      <c r="EV173" s="496"/>
      <c r="EW173" s="496"/>
      <c r="EX173" s="496"/>
      <c r="EY173" s="496"/>
      <c r="EZ173" s="496"/>
      <c r="FA173" s="496"/>
      <c r="FB173" s="496"/>
      <c r="FC173" s="496"/>
      <c r="FD173" s="496"/>
      <c r="FE173" s="496"/>
      <c r="FF173" s="496"/>
      <c r="FG173" s="496"/>
      <c r="FH173" s="496"/>
      <c r="FI173" s="496"/>
      <c r="FJ173" s="496"/>
      <c r="FK173" s="496"/>
      <c r="FL173" s="496"/>
      <c r="FM173" s="496"/>
      <c r="FN173" s="496"/>
      <c r="FO173" s="496"/>
      <c r="FP173" s="496"/>
      <c r="FQ173" s="496"/>
      <c r="FR173" s="496"/>
      <c r="FS173" s="496"/>
      <c r="FT173" s="496"/>
      <c r="FU173" s="496"/>
      <c r="FV173" s="496"/>
      <c r="FW173" s="496"/>
      <c r="FX173" s="496"/>
      <c r="FY173" s="496"/>
      <c r="FZ173" s="496"/>
      <c r="GA173" s="496"/>
      <c r="GB173" s="496"/>
      <c r="GC173" s="496"/>
      <c r="GD173" s="496"/>
      <c r="GE173" s="496"/>
      <c r="GF173" s="496"/>
      <c r="GG173" s="496"/>
      <c r="GH173" s="496"/>
      <c r="GI173" s="496"/>
      <c r="GJ173" s="496"/>
      <c r="GK173" s="496"/>
      <c r="GL173" s="496"/>
      <c r="GM173" s="496"/>
      <c r="GN173" s="496"/>
      <c r="GO173" s="496"/>
      <c r="GP173" s="496"/>
      <c r="GQ173" s="496"/>
      <c r="GR173" s="496"/>
      <c r="GS173" s="496"/>
      <c r="GT173" s="496"/>
      <c r="GU173" s="496"/>
      <c r="GV173" s="496"/>
      <c r="GW173" s="496"/>
      <c r="GX173" s="496"/>
      <c r="GY173" s="496"/>
      <c r="GZ173" s="496"/>
      <c r="HA173" s="496"/>
      <c r="HB173" s="496"/>
    </row>
    <row r="174" spans="1:210" ht="20.100000000000001" customHeight="1" thickBot="1">
      <c r="A174" s="164"/>
      <c r="B174" s="250"/>
      <c r="C174" s="498" t="s">
        <v>1457</v>
      </c>
      <c r="D174" s="499"/>
      <c r="E174" s="510"/>
      <c r="F174" s="511"/>
      <c r="G174" s="501" t="s">
        <v>433</v>
      </c>
      <c r="H174" s="383"/>
      <c r="I174" s="310"/>
      <c r="J174" s="311"/>
      <c r="K174" s="315"/>
      <c r="L174" s="310"/>
      <c r="M174" s="310"/>
      <c r="N174" s="310"/>
      <c r="O174" s="512"/>
      <c r="P174" s="278"/>
      <c r="Q174" s="200"/>
      <c r="R174" s="251"/>
      <c r="S174" s="251"/>
      <c r="T174" s="251"/>
      <c r="U174" s="200"/>
      <c r="V174" s="251"/>
      <c r="W174" s="251"/>
      <c r="X174" s="251"/>
      <c r="Y174" s="200"/>
      <c r="Z174" s="251"/>
      <c r="AA174" s="251"/>
      <c r="AB174" s="251"/>
      <c r="AC174" s="200"/>
      <c r="AD174" s="251"/>
      <c r="AE174" s="251"/>
      <c r="AF174" s="251"/>
      <c r="AG174" s="251"/>
      <c r="AH174" s="251"/>
      <c r="AI174" s="251"/>
      <c r="AJ174" s="251"/>
      <c r="AK174" s="251"/>
      <c r="AL174" s="251"/>
      <c r="AM174" s="251"/>
      <c r="AN174" s="251"/>
      <c r="AO174" s="495"/>
      <c r="AP174" s="495"/>
      <c r="AQ174" s="249"/>
      <c r="AR174" s="249"/>
      <c r="AS174" s="249"/>
      <c r="AT174" s="249"/>
      <c r="AU174" s="249"/>
      <c r="AV174" s="249"/>
      <c r="AW174" s="251"/>
      <c r="AX174" s="251"/>
      <c r="AY174" s="251"/>
      <c r="AZ174" s="251"/>
      <c r="BA174" s="251"/>
      <c r="BB174" s="251"/>
      <c r="BC174" s="251"/>
      <c r="BD174" s="251"/>
      <c r="BE174" s="251"/>
      <c r="BF174" s="251"/>
      <c r="BG174" s="251"/>
      <c r="BH174" s="251"/>
      <c r="BI174" s="251"/>
      <c r="BJ174" s="251"/>
      <c r="BK174" s="251"/>
      <c r="BL174" s="251"/>
      <c r="BM174" s="251"/>
      <c r="BN174" s="251"/>
      <c r="BO174" s="251"/>
      <c r="BP174" s="251"/>
      <c r="BQ174" s="249"/>
      <c r="BR174" s="249"/>
      <c r="BS174" s="249"/>
      <c r="BT174" s="249"/>
      <c r="BU174" s="249"/>
      <c r="BV174" s="249"/>
      <c r="BW174" s="496"/>
      <c r="BX174" s="496"/>
      <c r="BY174" s="496"/>
      <c r="BZ174" s="496"/>
      <c r="CA174" s="496"/>
      <c r="CB174" s="496"/>
      <c r="CC174" s="496"/>
      <c r="CD174" s="496"/>
      <c r="CE174" s="496"/>
      <c r="CF174" s="496"/>
      <c r="CG174" s="496"/>
      <c r="CH174" s="496"/>
      <c r="CI174" s="496"/>
      <c r="CJ174" s="496"/>
      <c r="CK174" s="496"/>
      <c r="CL174" s="496"/>
      <c r="CM174" s="496"/>
      <c r="CN174" s="496"/>
      <c r="CO174" s="496"/>
      <c r="CP174" s="496"/>
      <c r="CQ174" s="496"/>
      <c r="CR174" s="496"/>
      <c r="CS174" s="496"/>
      <c r="CT174" s="496"/>
      <c r="CU174" s="496"/>
      <c r="CV174" s="496"/>
      <c r="CW174" s="496"/>
      <c r="CX174" s="496"/>
      <c r="CY174" s="496"/>
      <c r="CZ174" s="496"/>
      <c r="DA174" s="496"/>
      <c r="DB174" s="496"/>
      <c r="DC174" s="496"/>
      <c r="DD174" s="496"/>
      <c r="DE174" s="496"/>
      <c r="DF174" s="496"/>
      <c r="DG174" s="496"/>
      <c r="DH174" s="496"/>
      <c r="DI174" s="496"/>
      <c r="DJ174" s="496"/>
      <c r="DK174" s="496"/>
      <c r="DL174" s="496"/>
      <c r="DM174" s="496"/>
      <c r="DN174" s="496"/>
      <c r="DO174" s="496"/>
      <c r="DP174" s="496"/>
      <c r="DQ174" s="496"/>
      <c r="DR174" s="496"/>
      <c r="DS174" s="496"/>
      <c r="DT174" s="496"/>
      <c r="DU174" s="496"/>
      <c r="DV174" s="496"/>
      <c r="DW174" s="496"/>
      <c r="DX174" s="496"/>
      <c r="DY174" s="496"/>
      <c r="DZ174" s="496"/>
      <c r="EA174" s="496"/>
      <c r="EB174" s="496"/>
      <c r="EC174" s="496"/>
      <c r="ED174" s="496"/>
      <c r="EE174" s="496"/>
      <c r="EF174" s="496"/>
      <c r="EG174" s="496"/>
      <c r="EH174" s="496"/>
      <c r="EI174" s="496"/>
      <c r="EJ174" s="496"/>
      <c r="EK174" s="496"/>
      <c r="EL174" s="496"/>
      <c r="EM174" s="496"/>
      <c r="EN174" s="496"/>
      <c r="EO174" s="496"/>
      <c r="EP174" s="496"/>
      <c r="EQ174" s="496"/>
      <c r="ER174" s="496"/>
      <c r="ES174" s="496"/>
      <c r="ET174" s="496"/>
      <c r="EU174" s="496"/>
      <c r="EV174" s="496"/>
      <c r="EW174" s="496"/>
      <c r="EX174" s="496"/>
      <c r="EY174" s="496"/>
      <c r="EZ174" s="496"/>
      <c r="FA174" s="496"/>
      <c r="FB174" s="496"/>
      <c r="FC174" s="496"/>
      <c r="FD174" s="496"/>
      <c r="FE174" s="496"/>
      <c r="FF174" s="496"/>
      <c r="FG174" s="496"/>
      <c r="FH174" s="496"/>
      <c r="FI174" s="496"/>
      <c r="FJ174" s="496"/>
      <c r="FK174" s="496"/>
      <c r="FL174" s="496"/>
      <c r="FM174" s="496"/>
      <c r="FN174" s="496"/>
      <c r="FO174" s="496"/>
      <c r="FP174" s="496"/>
      <c r="FQ174" s="496"/>
      <c r="FR174" s="496"/>
      <c r="FS174" s="496"/>
      <c r="FT174" s="496"/>
      <c r="FU174" s="496"/>
      <c r="FV174" s="496"/>
      <c r="FW174" s="496"/>
      <c r="FX174" s="496"/>
      <c r="FY174" s="496"/>
      <c r="FZ174" s="496"/>
      <c r="GA174" s="496"/>
      <c r="GB174" s="496"/>
      <c r="GC174" s="496"/>
      <c r="GD174" s="496"/>
      <c r="GE174" s="496"/>
      <c r="GF174" s="496"/>
      <c r="GG174" s="496"/>
      <c r="GH174" s="496"/>
      <c r="GI174" s="496"/>
      <c r="GJ174" s="496"/>
      <c r="GK174" s="496"/>
      <c r="GL174" s="496"/>
      <c r="GM174" s="496"/>
      <c r="GN174" s="496"/>
      <c r="GO174" s="496"/>
      <c r="GP174" s="496"/>
      <c r="GQ174" s="496"/>
      <c r="GR174" s="496"/>
      <c r="GS174" s="496"/>
      <c r="GT174" s="496"/>
      <c r="GU174" s="496"/>
      <c r="GV174" s="496"/>
      <c r="GW174" s="496"/>
      <c r="GX174" s="496"/>
      <c r="GY174" s="496"/>
      <c r="GZ174" s="496"/>
      <c r="HA174" s="496"/>
      <c r="HB174" s="496"/>
    </row>
    <row r="175" spans="1:210" ht="20.100000000000001" customHeight="1">
      <c r="A175" s="164"/>
      <c r="B175" s="250"/>
      <c r="C175" s="505" t="s">
        <v>639</v>
      </c>
      <c r="D175" s="505" t="s">
        <v>473</v>
      </c>
      <c r="E175" s="513"/>
      <c r="F175" s="500"/>
      <c r="G175" s="501" t="s">
        <v>436</v>
      </c>
      <c r="H175" s="383"/>
      <c r="I175" s="310"/>
      <c r="J175" s="311"/>
      <c r="K175" s="315"/>
      <c r="L175" s="310"/>
      <c r="M175" s="310"/>
      <c r="N175" s="310"/>
      <c r="O175" s="492" t="s">
        <v>640</v>
      </c>
      <c r="P175" s="514"/>
      <c r="Q175" s="200"/>
      <c r="R175" s="251"/>
      <c r="S175" s="251"/>
      <c r="T175" s="251"/>
      <c r="U175" s="200"/>
      <c r="V175" s="251"/>
      <c r="W175" s="251"/>
      <c r="X175" s="251"/>
      <c r="Y175" s="200"/>
      <c r="Z175" s="251"/>
      <c r="AA175" s="251"/>
      <c r="AB175" s="251"/>
      <c r="AC175" s="200"/>
      <c r="AD175" s="251"/>
      <c r="AE175" s="251"/>
      <c r="AF175" s="251"/>
      <c r="AG175" s="251"/>
      <c r="AH175" s="251"/>
      <c r="AI175" s="251"/>
      <c r="AJ175" s="251"/>
      <c r="AK175" s="251"/>
      <c r="AL175" s="251"/>
      <c r="AM175" s="251"/>
      <c r="AN175" s="251"/>
      <c r="AO175" s="495"/>
      <c r="AP175" s="495"/>
      <c r="AQ175" s="249"/>
      <c r="AR175" s="249"/>
      <c r="AS175" s="249"/>
      <c r="AT175" s="249"/>
      <c r="AU175" s="249"/>
      <c r="AV175" s="249"/>
      <c r="AW175" s="251"/>
      <c r="AX175" s="251"/>
      <c r="AY175" s="251"/>
      <c r="AZ175" s="251"/>
      <c r="BA175" s="251"/>
      <c r="BB175" s="251"/>
      <c r="BC175" s="251"/>
      <c r="BD175" s="251"/>
      <c r="BE175" s="251"/>
      <c r="BF175" s="251"/>
      <c r="BG175" s="251"/>
      <c r="BH175" s="251"/>
      <c r="BI175" s="251"/>
      <c r="BJ175" s="251"/>
      <c r="BK175" s="251"/>
      <c r="BL175" s="251"/>
      <c r="BM175" s="251"/>
      <c r="BN175" s="251"/>
      <c r="BO175" s="251"/>
      <c r="BP175" s="251"/>
      <c r="BQ175" s="249"/>
      <c r="BR175" s="249"/>
      <c r="BS175" s="249"/>
      <c r="BT175" s="249"/>
      <c r="BU175" s="249"/>
      <c r="BV175" s="249"/>
      <c r="BW175" s="496"/>
      <c r="BX175" s="496"/>
      <c r="BY175" s="496"/>
      <c r="BZ175" s="496"/>
      <c r="CA175" s="496"/>
      <c r="CB175" s="496"/>
      <c r="CC175" s="496"/>
      <c r="CD175" s="496"/>
      <c r="CE175" s="496"/>
      <c r="CF175" s="496"/>
      <c r="CG175" s="496"/>
      <c r="CH175" s="496"/>
      <c r="CI175" s="496"/>
      <c r="CJ175" s="496"/>
      <c r="CK175" s="496"/>
      <c r="CL175" s="496"/>
      <c r="CM175" s="496"/>
      <c r="CN175" s="496"/>
      <c r="CO175" s="496"/>
      <c r="CP175" s="496"/>
      <c r="CQ175" s="496"/>
      <c r="CR175" s="496"/>
      <c r="CS175" s="496"/>
      <c r="CT175" s="496"/>
      <c r="CU175" s="496"/>
      <c r="CV175" s="496"/>
      <c r="CW175" s="496"/>
      <c r="CX175" s="496"/>
      <c r="CY175" s="496"/>
      <c r="CZ175" s="496"/>
      <c r="DA175" s="496"/>
      <c r="DB175" s="496"/>
      <c r="DC175" s="496"/>
      <c r="DD175" s="496"/>
      <c r="DE175" s="496"/>
      <c r="DF175" s="496"/>
      <c r="DG175" s="496"/>
      <c r="DH175" s="496"/>
      <c r="DI175" s="496"/>
      <c r="DJ175" s="496"/>
      <c r="DK175" s="496"/>
      <c r="DL175" s="496"/>
      <c r="DM175" s="496"/>
      <c r="DN175" s="496"/>
      <c r="DO175" s="496"/>
      <c r="DP175" s="496"/>
      <c r="DQ175" s="496"/>
      <c r="DR175" s="496"/>
      <c r="DS175" s="496"/>
      <c r="DT175" s="496"/>
      <c r="DU175" s="496"/>
      <c r="DV175" s="496"/>
      <c r="DW175" s="496"/>
      <c r="DX175" s="496"/>
      <c r="DY175" s="496"/>
      <c r="DZ175" s="496"/>
      <c r="EA175" s="496"/>
      <c r="EB175" s="496"/>
      <c r="EC175" s="496"/>
      <c r="ED175" s="496"/>
      <c r="EE175" s="496"/>
      <c r="EF175" s="496"/>
      <c r="EG175" s="496"/>
      <c r="EH175" s="496"/>
      <c r="EI175" s="496"/>
      <c r="EJ175" s="496"/>
      <c r="EK175" s="496"/>
      <c r="EL175" s="496"/>
      <c r="EM175" s="496"/>
      <c r="EN175" s="496"/>
      <c r="EO175" s="496"/>
      <c r="EP175" s="496"/>
      <c r="EQ175" s="496"/>
      <c r="ER175" s="496"/>
      <c r="ES175" s="496"/>
      <c r="ET175" s="496"/>
      <c r="EU175" s="496"/>
      <c r="EV175" s="496"/>
      <c r="EW175" s="496"/>
      <c r="EX175" s="496"/>
      <c r="EY175" s="496"/>
      <c r="EZ175" s="496"/>
      <c r="FA175" s="496"/>
      <c r="FB175" s="496"/>
      <c r="FC175" s="496"/>
      <c r="FD175" s="496"/>
      <c r="FE175" s="496"/>
      <c r="FF175" s="496"/>
      <c r="FG175" s="496"/>
      <c r="FH175" s="496"/>
      <c r="FI175" s="496"/>
      <c r="FJ175" s="496"/>
      <c r="FK175" s="496"/>
      <c r="FL175" s="496"/>
      <c r="FM175" s="496"/>
      <c r="FN175" s="496"/>
      <c r="FO175" s="496"/>
      <c r="FP175" s="496"/>
      <c r="FQ175" s="496"/>
      <c r="FR175" s="496"/>
      <c r="FS175" s="496"/>
      <c r="FT175" s="496"/>
      <c r="FU175" s="496"/>
      <c r="FV175" s="496"/>
      <c r="FW175" s="496"/>
      <c r="FX175" s="496"/>
      <c r="FY175" s="496"/>
      <c r="FZ175" s="496"/>
      <c r="GA175" s="496"/>
      <c r="GB175" s="496"/>
      <c r="GC175" s="496"/>
      <c r="GD175" s="496"/>
      <c r="GE175" s="496"/>
      <c r="GF175" s="496"/>
      <c r="GG175" s="496"/>
      <c r="GH175" s="496"/>
      <c r="GI175" s="496"/>
      <c r="GJ175" s="496"/>
      <c r="GK175" s="496"/>
      <c r="GL175" s="496"/>
      <c r="GM175" s="496"/>
      <c r="GN175" s="496"/>
      <c r="GO175" s="496"/>
      <c r="GP175" s="496"/>
      <c r="GQ175" s="496"/>
      <c r="GR175" s="496"/>
      <c r="GS175" s="496"/>
      <c r="GT175" s="496"/>
      <c r="GU175" s="496"/>
      <c r="GV175" s="496"/>
      <c r="GW175" s="496"/>
      <c r="GX175" s="496"/>
      <c r="GY175" s="496"/>
      <c r="GZ175" s="496"/>
      <c r="HA175" s="496"/>
      <c r="HB175" s="496"/>
    </row>
    <row r="176" spans="1:210" ht="20.100000000000001" customHeight="1">
      <c r="A176" s="164"/>
      <c r="B176" s="250"/>
      <c r="C176" s="505"/>
      <c r="D176" s="504" t="s">
        <v>474</v>
      </c>
      <c r="E176" s="515"/>
      <c r="F176" s="383"/>
      <c r="G176" s="501" t="s">
        <v>436</v>
      </c>
      <c r="H176" s="383"/>
      <c r="I176" s="310"/>
      <c r="J176" s="311"/>
      <c r="K176" s="315"/>
      <c r="L176" s="336"/>
      <c r="M176" s="336"/>
      <c r="N176" s="336"/>
      <c r="O176" s="516" t="s">
        <v>1458</v>
      </c>
      <c r="P176" s="517"/>
      <c r="Q176" s="200"/>
      <c r="R176" s="251"/>
      <c r="S176" s="251"/>
      <c r="T176" s="251"/>
      <c r="U176" s="200"/>
      <c r="V176" s="251"/>
      <c r="W176" s="251"/>
      <c r="X176" s="251"/>
      <c r="Y176" s="200"/>
      <c r="Z176" s="251"/>
      <c r="AA176" s="251"/>
      <c r="AB176" s="251"/>
      <c r="AC176" s="200"/>
      <c r="AD176" s="251"/>
      <c r="AE176" s="251"/>
      <c r="AF176" s="251"/>
      <c r="AG176" s="251"/>
      <c r="AH176" s="251"/>
      <c r="AI176" s="251"/>
      <c r="AJ176" s="251"/>
      <c r="AK176" s="251"/>
      <c r="AL176" s="251"/>
      <c r="AM176" s="251"/>
      <c r="AN176" s="251"/>
      <c r="AO176" s="495"/>
      <c r="AP176" s="495"/>
      <c r="AQ176" s="249"/>
      <c r="AR176" s="249"/>
      <c r="AS176" s="249"/>
      <c r="AT176" s="249"/>
      <c r="AU176" s="249"/>
      <c r="AV176" s="249"/>
      <c r="AW176" s="251"/>
      <c r="AX176" s="251"/>
      <c r="AY176" s="251"/>
      <c r="AZ176" s="251"/>
      <c r="BA176" s="251"/>
      <c r="BB176" s="251"/>
      <c r="BC176" s="251"/>
      <c r="BD176" s="251"/>
      <c r="BE176" s="251"/>
      <c r="BF176" s="251"/>
      <c r="BG176" s="251"/>
      <c r="BH176" s="251"/>
      <c r="BI176" s="251"/>
      <c r="BJ176" s="251"/>
      <c r="BK176" s="251"/>
      <c r="BL176" s="251"/>
      <c r="BM176" s="251"/>
      <c r="BN176" s="251"/>
      <c r="BO176" s="251"/>
      <c r="BP176" s="251"/>
      <c r="BQ176" s="249"/>
      <c r="BR176" s="249"/>
      <c r="BS176" s="249"/>
      <c r="BT176" s="249"/>
      <c r="BU176" s="249"/>
      <c r="BV176" s="249"/>
      <c r="BW176" s="496"/>
      <c r="BX176" s="496"/>
      <c r="BY176" s="496"/>
      <c r="BZ176" s="496"/>
      <c r="CA176" s="496"/>
      <c r="CB176" s="496"/>
      <c r="CC176" s="496"/>
      <c r="CD176" s="496"/>
      <c r="CE176" s="496"/>
      <c r="CF176" s="496"/>
      <c r="CG176" s="496"/>
      <c r="CH176" s="496"/>
      <c r="CI176" s="496"/>
      <c r="CJ176" s="496"/>
      <c r="CK176" s="496"/>
      <c r="CL176" s="496"/>
      <c r="CM176" s="496"/>
      <c r="CN176" s="496"/>
      <c r="CO176" s="496"/>
      <c r="CP176" s="496"/>
      <c r="CQ176" s="496"/>
      <c r="CR176" s="496"/>
      <c r="CS176" s="496"/>
      <c r="CT176" s="496"/>
      <c r="CU176" s="496"/>
      <c r="CV176" s="496"/>
      <c r="CW176" s="496"/>
      <c r="CX176" s="496"/>
      <c r="CY176" s="496"/>
      <c r="CZ176" s="496"/>
      <c r="DA176" s="496"/>
      <c r="DB176" s="496"/>
      <c r="DC176" s="496"/>
      <c r="DD176" s="496"/>
      <c r="DE176" s="496"/>
      <c r="DF176" s="496"/>
      <c r="DG176" s="496"/>
      <c r="DH176" s="496"/>
      <c r="DI176" s="496"/>
      <c r="DJ176" s="496"/>
      <c r="DK176" s="496"/>
      <c r="DL176" s="496"/>
      <c r="DM176" s="496"/>
      <c r="DN176" s="496"/>
      <c r="DO176" s="496"/>
      <c r="DP176" s="496"/>
      <c r="DQ176" s="496"/>
      <c r="DR176" s="496"/>
      <c r="DS176" s="496"/>
      <c r="DT176" s="496"/>
      <c r="DU176" s="496"/>
      <c r="DV176" s="496"/>
      <c r="DW176" s="496"/>
      <c r="DX176" s="496"/>
      <c r="DY176" s="496"/>
      <c r="DZ176" s="496"/>
      <c r="EA176" s="496"/>
      <c r="EB176" s="496"/>
      <c r="EC176" s="496"/>
      <c r="ED176" s="496"/>
      <c r="EE176" s="496"/>
      <c r="EF176" s="496"/>
      <c r="EG176" s="496"/>
      <c r="EH176" s="496"/>
      <c r="EI176" s="496"/>
      <c r="EJ176" s="496"/>
      <c r="EK176" s="496"/>
      <c r="EL176" s="496"/>
      <c r="EM176" s="496"/>
      <c r="EN176" s="496"/>
      <c r="EO176" s="496"/>
      <c r="EP176" s="496"/>
      <c r="EQ176" s="496"/>
      <c r="ER176" s="496"/>
      <c r="ES176" s="496"/>
      <c r="ET176" s="496"/>
      <c r="EU176" s="496"/>
      <c r="EV176" s="496"/>
      <c r="EW176" s="496"/>
      <c r="EX176" s="496"/>
      <c r="EY176" s="496"/>
      <c r="EZ176" s="496"/>
      <c r="FA176" s="496"/>
      <c r="FB176" s="496"/>
      <c r="FC176" s="496"/>
      <c r="FD176" s="496"/>
      <c r="FE176" s="496"/>
      <c r="FF176" s="496"/>
      <c r="FG176" s="496"/>
      <c r="FH176" s="496"/>
      <c r="FI176" s="496"/>
      <c r="FJ176" s="496"/>
      <c r="FK176" s="496"/>
      <c r="FL176" s="496"/>
      <c r="FM176" s="496"/>
      <c r="FN176" s="496"/>
      <c r="FO176" s="496"/>
      <c r="FP176" s="496"/>
      <c r="FQ176" s="496"/>
      <c r="FR176" s="496"/>
      <c r="FS176" s="496"/>
      <c r="FT176" s="496"/>
      <c r="FU176" s="496"/>
      <c r="FV176" s="496"/>
      <c r="FW176" s="496"/>
      <c r="FX176" s="496"/>
      <c r="FY176" s="496"/>
      <c r="FZ176" s="496"/>
      <c r="GA176" s="496"/>
      <c r="GB176" s="496"/>
      <c r="GC176" s="496"/>
      <c r="GD176" s="496"/>
      <c r="GE176" s="496"/>
      <c r="GF176" s="496"/>
      <c r="GG176" s="496"/>
      <c r="GH176" s="496"/>
      <c r="GI176" s="496"/>
      <c r="GJ176" s="496"/>
      <c r="GK176" s="496"/>
      <c r="GL176" s="496"/>
      <c r="GM176" s="496"/>
      <c r="GN176" s="496"/>
      <c r="GO176" s="496"/>
      <c r="GP176" s="496"/>
      <c r="GQ176" s="496"/>
      <c r="GR176" s="496"/>
      <c r="GS176" s="496"/>
      <c r="GT176" s="496"/>
      <c r="GU176" s="496"/>
      <c r="GV176" s="496"/>
      <c r="GW176" s="496"/>
      <c r="GX176" s="496"/>
      <c r="GY176" s="496"/>
      <c r="GZ176" s="496"/>
      <c r="HA176" s="496"/>
      <c r="HB176" s="496"/>
    </row>
    <row r="177" spans="1:210" ht="20.100000000000001" customHeight="1" thickBot="1">
      <c r="A177" s="164"/>
      <c r="B177" s="512"/>
      <c r="C177" s="518"/>
      <c r="D177" s="519" t="s">
        <v>475</v>
      </c>
      <c r="E177" s="520"/>
      <c r="F177" s="521"/>
      <c r="G177" s="522" t="s">
        <v>436</v>
      </c>
      <c r="H177" s="383"/>
      <c r="I177" s="366"/>
      <c r="J177" s="368"/>
      <c r="K177" s="365"/>
      <c r="L177" s="336"/>
      <c r="M177" s="336"/>
      <c r="N177" s="336"/>
      <c r="O177" s="523" t="s">
        <v>1459</v>
      </c>
      <c r="P177" s="524"/>
      <c r="Q177" s="525"/>
      <c r="R177" s="278"/>
      <c r="S177" s="278"/>
      <c r="T177" s="278"/>
      <c r="U177" s="525"/>
      <c r="V177" s="278"/>
      <c r="W177" s="278"/>
      <c r="X177" s="278"/>
      <c r="Y177" s="525"/>
      <c r="Z177" s="278"/>
      <c r="AA177" s="278"/>
      <c r="AB177" s="278"/>
      <c r="AC177" s="525"/>
      <c r="AD177" s="278"/>
      <c r="AE177" s="278"/>
      <c r="AF177" s="278"/>
      <c r="AG177" s="251"/>
      <c r="AH177" s="251"/>
      <c r="AI177" s="251"/>
      <c r="AJ177" s="251"/>
      <c r="AK177" s="251"/>
      <c r="AL177" s="251"/>
      <c r="AM177" s="251"/>
      <c r="AN177" s="251"/>
      <c r="AO177" s="495"/>
      <c r="AP177" s="495"/>
      <c r="AQ177" s="249"/>
      <c r="AR177" s="249"/>
      <c r="AS177" s="249"/>
      <c r="AT177" s="249"/>
      <c r="AU177" s="249"/>
      <c r="AV177" s="249"/>
      <c r="AW177" s="251"/>
      <c r="AX177" s="251"/>
      <c r="AY177" s="251"/>
      <c r="AZ177" s="251"/>
      <c r="BA177" s="251"/>
      <c r="BB177" s="251"/>
      <c r="BC177" s="251"/>
      <c r="BD177" s="251"/>
      <c r="BE177" s="251"/>
      <c r="BF177" s="251"/>
      <c r="BG177" s="251"/>
      <c r="BH177" s="251"/>
      <c r="BI177" s="251"/>
      <c r="BJ177" s="251"/>
      <c r="BK177" s="251"/>
      <c r="BL177" s="251"/>
      <c r="BM177" s="251"/>
      <c r="BN177" s="251"/>
      <c r="BO177" s="251"/>
      <c r="BP177" s="251"/>
      <c r="BQ177" s="249"/>
      <c r="BR177" s="249"/>
      <c r="BS177" s="249"/>
      <c r="BT177" s="249"/>
      <c r="BU177" s="249"/>
      <c r="BV177" s="249"/>
      <c r="BW177" s="496"/>
      <c r="BX177" s="496"/>
      <c r="BY177" s="496"/>
      <c r="BZ177" s="496"/>
      <c r="CA177" s="496"/>
      <c r="CB177" s="496"/>
      <c r="CC177" s="496"/>
      <c r="CD177" s="496"/>
      <c r="CE177" s="496"/>
      <c r="CF177" s="496"/>
      <c r="CG177" s="496"/>
      <c r="CH177" s="496"/>
      <c r="CI177" s="496"/>
      <c r="CJ177" s="496"/>
      <c r="CK177" s="496"/>
      <c r="CL177" s="496"/>
      <c r="CM177" s="496"/>
      <c r="CN177" s="496"/>
      <c r="CO177" s="496"/>
      <c r="CP177" s="496"/>
      <c r="CQ177" s="496"/>
      <c r="CR177" s="496"/>
      <c r="CS177" s="496"/>
      <c r="CT177" s="496"/>
      <c r="CU177" s="496"/>
      <c r="CV177" s="496"/>
      <c r="CW177" s="496"/>
      <c r="CX177" s="496"/>
      <c r="CY177" s="496"/>
      <c r="CZ177" s="496"/>
      <c r="DA177" s="496"/>
      <c r="DB177" s="496"/>
      <c r="DC177" s="496"/>
      <c r="DD177" s="496"/>
      <c r="DE177" s="496"/>
      <c r="DF177" s="496"/>
      <c r="DG177" s="496"/>
      <c r="DH177" s="496"/>
      <c r="DI177" s="496"/>
      <c r="DJ177" s="496"/>
      <c r="DK177" s="496"/>
      <c r="DL177" s="496"/>
      <c r="DM177" s="496"/>
      <c r="DN177" s="496"/>
      <c r="DO177" s="496"/>
      <c r="DP177" s="496"/>
      <c r="DQ177" s="496"/>
      <c r="DR177" s="496"/>
      <c r="DS177" s="496"/>
      <c r="DT177" s="496"/>
      <c r="DU177" s="496"/>
      <c r="DV177" s="496"/>
      <c r="DW177" s="496"/>
      <c r="DX177" s="496"/>
      <c r="DY177" s="496"/>
      <c r="DZ177" s="496"/>
      <c r="EA177" s="496"/>
      <c r="EB177" s="496"/>
      <c r="EC177" s="496"/>
      <c r="ED177" s="496"/>
      <c r="EE177" s="496"/>
      <c r="EF177" s="496"/>
      <c r="EG177" s="496"/>
      <c r="EH177" s="496"/>
      <c r="EI177" s="496"/>
      <c r="EJ177" s="496"/>
      <c r="EK177" s="496"/>
      <c r="EL177" s="496"/>
      <c r="EM177" s="496"/>
      <c r="EN177" s="496"/>
      <c r="EO177" s="496"/>
      <c r="EP177" s="496"/>
      <c r="EQ177" s="496"/>
      <c r="ER177" s="496"/>
      <c r="ES177" s="496"/>
      <c r="ET177" s="496"/>
      <c r="EU177" s="496"/>
      <c r="EV177" s="496"/>
      <c r="EW177" s="496"/>
      <c r="EX177" s="496"/>
      <c r="EY177" s="496"/>
      <c r="EZ177" s="496"/>
      <c r="FA177" s="496"/>
      <c r="FB177" s="496"/>
      <c r="FC177" s="496"/>
      <c r="FD177" s="496"/>
      <c r="FE177" s="496"/>
      <c r="FF177" s="496"/>
      <c r="FG177" s="496"/>
      <c r="FH177" s="496"/>
      <c r="FI177" s="496"/>
      <c r="FJ177" s="496"/>
      <c r="FK177" s="496"/>
      <c r="FL177" s="496"/>
      <c r="FM177" s="496"/>
      <c r="FN177" s="496"/>
      <c r="FO177" s="496"/>
      <c r="FP177" s="496"/>
      <c r="FQ177" s="496"/>
      <c r="FR177" s="496"/>
      <c r="FS177" s="496"/>
      <c r="FT177" s="496"/>
      <c r="FU177" s="496"/>
      <c r="FV177" s="496"/>
      <c r="FW177" s="496"/>
      <c r="FX177" s="496"/>
      <c r="FY177" s="496"/>
      <c r="FZ177" s="496"/>
      <c r="GA177" s="496"/>
      <c r="GB177" s="496"/>
      <c r="GC177" s="496"/>
      <c r="GD177" s="496"/>
      <c r="GE177" s="496"/>
      <c r="GF177" s="496"/>
      <c r="GG177" s="496"/>
      <c r="GH177" s="496"/>
      <c r="GI177" s="496"/>
      <c r="GJ177" s="496"/>
      <c r="GK177" s="496"/>
      <c r="GL177" s="496"/>
      <c r="GM177" s="496"/>
      <c r="GN177" s="496"/>
      <c r="GO177" s="496"/>
      <c r="GP177" s="496"/>
      <c r="GQ177" s="496"/>
      <c r="GR177" s="496"/>
      <c r="GS177" s="496"/>
      <c r="GT177" s="496"/>
      <c r="GU177" s="496"/>
      <c r="GV177" s="496"/>
      <c r="GW177" s="496"/>
      <c r="GX177" s="496"/>
      <c r="GY177" s="496"/>
      <c r="GZ177" s="496"/>
      <c r="HA177" s="496"/>
      <c r="HB177" s="496"/>
    </row>
    <row r="178" spans="1:210" ht="20.100000000000001" customHeight="1">
      <c r="A178" s="164"/>
      <c r="B178" s="293" t="s">
        <v>1460</v>
      </c>
      <c r="C178" s="526"/>
      <c r="D178" s="526"/>
      <c r="E178" s="526"/>
      <c r="F178" s="526"/>
      <c r="G178" s="399"/>
      <c r="H178" s="399"/>
      <c r="I178" s="399"/>
      <c r="J178" s="399"/>
      <c r="K178" s="399"/>
      <c r="L178" s="399"/>
      <c r="M178" s="399"/>
      <c r="N178" s="399"/>
      <c r="O178" s="399"/>
      <c r="P178" s="399"/>
      <c r="Q178" s="399"/>
      <c r="R178" s="399"/>
      <c r="S178" s="399"/>
      <c r="T178" s="399"/>
      <c r="U178" s="399"/>
      <c r="V178" s="399"/>
      <c r="W178" s="399"/>
      <c r="X178" s="399"/>
      <c r="Y178" s="399"/>
      <c r="Z178" s="399"/>
      <c r="AA178" s="399"/>
      <c r="AB178" s="399"/>
      <c r="AC178" s="399"/>
      <c r="AD178" s="399"/>
      <c r="AE178" s="399"/>
      <c r="AF178" s="399"/>
      <c r="AG178" s="399"/>
      <c r="AH178" s="399"/>
      <c r="AI178" s="399"/>
      <c r="AJ178" s="399"/>
      <c r="AK178" s="399"/>
      <c r="AL178" s="399"/>
      <c r="AM178" s="399"/>
      <c r="AN178" s="399"/>
      <c r="AO178" s="527"/>
      <c r="AP178" s="527"/>
      <c r="AQ178" s="528"/>
      <c r="AR178" s="528"/>
      <c r="AS178" s="528"/>
      <c r="AT178" s="528"/>
      <c r="AU178" s="528"/>
      <c r="AV178" s="528"/>
      <c r="AW178" s="399"/>
      <c r="AX178" s="399"/>
      <c r="AY178" s="399"/>
      <c r="AZ178" s="399"/>
      <c r="BA178" s="399"/>
      <c r="BB178" s="399"/>
      <c r="BC178" s="399"/>
      <c r="BD178" s="399"/>
      <c r="BE178" s="399"/>
      <c r="BF178" s="399"/>
      <c r="BG178" s="399"/>
      <c r="BH178" s="399"/>
      <c r="BI178" s="399"/>
      <c r="BJ178" s="399"/>
      <c r="BK178" s="399"/>
      <c r="BL178" s="399"/>
      <c r="BM178" s="399"/>
      <c r="BN178" s="399"/>
      <c r="BO178" s="399"/>
      <c r="BP178" s="399"/>
      <c r="BQ178" s="528"/>
      <c r="BR178" s="528"/>
      <c r="BS178" s="528"/>
      <c r="BT178" s="528"/>
      <c r="BU178" s="528"/>
      <c r="BV178" s="528"/>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29"/>
      <c r="GT178" s="529"/>
      <c r="GU178" s="529"/>
      <c r="GV178" s="529"/>
      <c r="GW178" s="529"/>
      <c r="GX178" s="529"/>
      <c r="GY178" s="529"/>
      <c r="GZ178" s="529"/>
      <c r="HA178" s="529"/>
      <c r="HB178" s="530"/>
    </row>
    <row r="179" spans="1:210" ht="20.100000000000001" customHeight="1">
      <c r="A179" s="164"/>
      <c r="B179" s="306" t="s">
        <v>1461</v>
      </c>
      <c r="C179" s="503"/>
      <c r="D179" s="503"/>
      <c r="E179" s="503"/>
      <c r="F179" s="503"/>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6"/>
      <c r="AD179" s="326"/>
      <c r="AE179" s="326"/>
      <c r="AF179" s="326"/>
      <c r="AG179" s="326"/>
      <c r="AH179" s="326"/>
      <c r="AI179" s="326"/>
      <c r="AJ179" s="326"/>
      <c r="AK179" s="326"/>
      <c r="AL179" s="326"/>
      <c r="AM179" s="326"/>
      <c r="AN179" s="326"/>
      <c r="AO179" s="531"/>
      <c r="AP179" s="531"/>
      <c r="AQ179" s="532"/>
      <c r="AR179" s="532"/>
      <c r="AS179" s="532"/>
      <c r="AT179" s="532"/>
      <c r="AU179" s="532"/>
      <c r="AV179" s="532"/>
      <c r="AW179" s="326"/>
      <c r="AX179" s="326"/>
      <c r="AY179" s="326"/>
      <c r="AZ179" s="326"/>
      <c r="BA179" s="326"/>
      <c r="BB179" s="326"/>
      <c r="BC179" s="326"/>
      <c r="BD179" s="326"/>
      <c r="BE179" s="326"/>
      <c r="BF179" s="326"/>
      <c r="BG179" s="326"/>
      <c r="BH179" s="326"/>
      <c r="BI179" s="326"/>
      <c r="BJ179" s="326"/>
      <c r="BK179" s="326"/>
      <c r="BL179" s="326"/>
      <c r="BM179" s="326"/>
      <c r="BN179" s="326"/>
      <c r="BO179" s="326"/>
      <c r="BP179" s="326"/>
      <c r="BQ179" s="532"/>
      <c r="BR179" s="532"/>
      <c r="BS179" s="532"/>
      <c r="BT179" s="532"/>
      <c r="BU179" s="532"/>
      <c r="BV179" s="532"/>
      <c r="BW179" s="533"/>
      <c r="BX179" s="533"/>
      <c r="BY179" s="533"/>
      <c r="BZ179" s="533"/>
      <c r="CA179" s="533"/>
      <c r="CB179" s="533"/>
      <c r="CC179" s="533"/>
      <c r="CD179" s="533"/>
      <c r="CE179" s="533"/>
      <c r="CF179" s="533"/>
      <c r="CG179" s="533"/>
      <c r="CH179" s="533"/>
      <c r="CI179" s="533"/>
      <c r="CJ179" s="533"/>
      <c r="CK179" s="533"/>
      <c r="CL179" s="533"/>
      <c r="CM179" s="533"/>
      <c r="CN179" s="533"/>
      <c r="CO179" s="533"/>
      <c r="CP179" s="533"/>
      <c r="CQ179" s="533"/>
      <c r="CR179" s="533"/>
      <c r="CS179" s="533"/>
      <c r="CT179" s="533"/>
      <c r="CU179" s="533"/>
      <c r="CV179" s="533"/>
      <c r="CW179" s="533"/>
      <c r="CX179" s="533"/>
      <c r="CY179" s="533"/>
      <c r="CZ179" s="533"/>
      <c r="DA179" s="533"/>
      <c r="DB179" s="533"/>
      <c r="DC179" s="533"/>
      <c r="DD179" s="533"/>
      <c r="DE179" s="533"/>
      <c r="DF179" s="533"/>
      <c r="DG179" s="533"/>
      <c r="DH179" s="533"/>
      <c r="DI179" s="533"/>
      <c r="DJ179" s="533"/>
      <c r="DK179" s="533"/>
      <c r="DL179" s="533"/>
      <c r="DM179" s="533"/>
      <c r="DN179" s="533"/>
      <c r="DO179" s="533"/>
      <c r="DP179" s="533"/>
      <c r="DQ179" s="533"/>
      <c r="DR179" s="533"/>
      <c r="DS179" s="533"/>
      <c r="DT179" s="533"/>
      <c r="DU179" s="533"/>
      <c r="DV179" s="533"/>
      <c r="DW179" s="533"/>
      <c r="DX179" s="533"/>
      <c r="DY179" s="533"/>
      <c r="DZ179" s="533"/>
      <c r="EA179" s="533"/>
      <c r="EB179" s="533"/>
      <c r="EC179" s="533"/>
      <c r="ED179" s="533"/>
      <c r="EE179" s="533"/>
      <c r="EF179" s="533"/>
      <c r="EG179" s="533"/>
      <c r="EH179" s="533"/>
      <c r="EI179" s="533"/>
      <c r="EJ179" s="533"/>
      <c r="EK179" s="533"/>
      <c r="EL179" s="533"/>
      <c r="EM179" s="533"/>
      <c r="EN179" s="533"/>
      <c r="EO179" s="533"/>
      <c r="EP179" s="533"/>
      <c r="EQ179" s="533"/>
      <c r="ER179" s="533"/>
      <c r="ES179" s="533"/>
      <c r="ET179" s="533"/>
      <c r="EU179" s="533"/>
      <c r="EV179" s="533"/>
      <c r="EW179" s="533"/>
      <c r="EX179" s="533"/>
      <c r="EY179" s="533"/>
      <c r="EZ179" s="533"/>
      <c r="FA179" s="533"/>
      <c r="FB179" s="533"/>
      <c r="FC179" s="533"/>
      <c r="FD179" s="533"/>
      <c r="FE179" s="533"/>
      <c r="FF179" s="533"/>
      <c r="FG179" s="533"/>
      <c r="FH179" s="533"/>
      <c r="FI179" s="533"/>
      <c r="FJ179" s="533"/>
      <c r="FK179" s="533"/>
      <c r="FL179" s="533"/>
      <c r="FM179" s="533"/>
      <c r="FN179" s="533"/>
      <c r="FO179" s="533"/>
      <c r="FP179" s="533"/>
      <c r="FQ179" s="533"/>
      <c r="FR179" s="533"/>
      <c r="FS179" s="533"/>
      <c r="FT179" s="533"/>
      <c r="FU179" s="533"/>
      <c r="FV179" s="533"/>
      <c r="FW179" s="533"/>
      <c r="FX179" s="533"/>
      <c r="FY179" s="533"/>
      <c r="FZ179" s="533"/>
      <c r="GA179" s="533"/>
      <c r="GB179" s="533"/>
      <c r="GC179" s="533"/>
      <c r="GD179" s="533"/>
      <c r="GE179" s="533"/>
      <c r="GF179" s="533"/>
      <c r="GG179" s="533"/>
      <c r="GH179" s="533"/>
      <c r="GI179" s="533"/>
      <c r="GJ179" s="533"/>
      <c r="GK179" s="533"/>
      <c r="GL179" s="533"/>
      <c r="GM179" s="533"/>
      <c r="GN179" s="533"/>
      <c r="GO179" s="533"/>
      <c r="GP179" s="533"/>
      <c r="GQ179" s="533"/>
      <c r="GR179" s="533"/>
      <c r="GS179" s="533"/>
      <c r="GT179" s="533"/>
      <c r="GU179" s="533"/>
      <c r="GV179" s="533"/>
      <c r="GW179" s="533"/>
      <c r="GX179" s="533"/>
      <c r="GY179" s="533"/>
      <c r="GZ179" s="533"/>
      <c r="HA179" s="533"/>
      <c r="HB179" s="534"/>
    </row>
    <row r="180" spans="1:210" ht="20.100000000000001" customHeight="1">
      <c r="A180" s="164"/>
      <c r="B180" s="306" t="s">
        <v>1462</v>
      </c>
      <c r="C180" s="503"/>
      <c r="D180" s="503"/>
      <c r="E180" s="503"/>
      <c r="F180" s="503"/>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c r="AF180" s="326"/>
      <c r="AG180" s="326"/>
      <c r="AH180" s="326"/>
      <c r="AI180" s="326"/>
      <c r="AJ180" s="326"/>
      <c r="AK180" s="326"/>
      <c r="AL180" s="326"/>
      <c r="AM180" s="326"/>
      <c r="AN180" s="326"/>
      <c r="AO180" s="531"/>
      <c r="AP180" s="531"/>
      <c r="AQ180" s="532"/>
      <c r="AR180" s="532"/>
      <c r="AS180" s="532"/>
      <c r="AT180" s="532"/>
      <c r="AU180" s="532"/>
      <c r="AV180" s="532"/>
      <c r="AW180" s="326"/>
      <c r="AX180" s="326"/>
      <c r="AY180" s="326"/>
      <c r="AZ180" s="326"/>
      <c r="BA180" s="326"/>
      <c r="BB180" s="326"/>
      <c r="BC180" s="326"/>
      <c r="BD180" s="326"/>
      <c r="BE180" s="326"/>
      <c r="BF180" s="326"/>
      <c r="BG180" s="326"/>
      <c r="BH180" s="326"/>
      <c r="BI180" s="326"/>
      <c r="BJ180" s="326"/>
      <c r="BK180" s="326"/>
      <c r="BL180" s="326"/>
      <c r="BM180" s="326"/>
      <c r="BN180" s="326"/>
      <c r="BO180" s="326"/>
      <c r="BP180" s="326"/>
      <c r="BQ180" s="532"/>
      <c r="BR180" s="532"/>
      <c r="BS180" s="532"/>
      <c r="BT180" s="532"/>
      <c r="BU180" s="532"/>
      <c r="BV180" s="532"/>
      <c r="BW180" s="533"/>
      <c r="BX180" s="533"/>
      <c r="BY180" s="533"/>
      <c r="BZ180" s="533"/>
      <c r="CA180" s="533"/>
      <c r="CB180" s="533"/>
      <c r="CC180" s="533"/>
      <c r="CD180" s="533"/>
      <c r="CE180" s="533"/>
      <c r="CF180" s="533"/>
      <c r="CG180" s="533"/>
      <c r="CH180" s="533"/>
      <c r="CI180" s="533"/>
      <c r="CJ180" s="533"/>
      <c r="CK180" s="533"/>
      <c r="CL180" s="533"/>
      <c r="CM180" s="533"/>
      <c r="CN180" s="533"/>
      <c r="CO180" s="533"/>
      <c r="CP180" s="533"/>
      <c r="CQ180" s="533"/>
      <c r="CR180" s="533"/>
      <c r="CS180" s="533"/>
      <c r="CT180" s="533"/>
      <c r="CU180" s="533"/>
      <c r="CV180" s="533"/>
      <c r="CW180" s="533"/>
      <c r="CX180" s="533"/>
      <c r="CY180" s="533"/>
      <c r="CZ180" s="533"/>
      <c r="DA180" s="533"/>
      <c r="DB180" s="533"/>
      <c r="DC180" s="533"/>
      <c r="DD180" s="533"/>
      <c r="DE180" s="533"/>
      <c r="DF180" s="533"/>
      <c r="DG180" s="533"/>
      <c r="DH180" s="533"/>
      <c r="DI180" s="533"/>
      <c r="DJ180" s="533"/>
      <c r="DK180" s="533"/>
      <c r="DL180" s="533"/>
      <c r="DM180" s="533"/>
      <c r="DN180" s="533"/>
      <c r="DO180" s="533"/>
      <c r="DP180" s="533"/>
      <c r="DQ180" s="533"/>
      <c r="DR180" s="533"/>
      <c r="DS180" s="533"/>
      <c r="DT180" s="533"/>
      <c r="DU180" s="533"/>
      <c r="DV180" s="533"/>
      <c r="DW180" s="533"/>
      <c r="DX180" s="533"/>
      <c r="DY180" s="533"/>
      <c r="DZ180" s="533"/>
      <c r="EA180" s="533"/>
      <c r="EB180" s="533"/>
      <c r="EC180" s="533"/>
      <c r="ED180" s="533"/>
      <c r="EE180" s="533"/>
      <c r="EF180" s="533"/>
      <c r="EG180" s="533"/>
      <c r="EH180" s="533"/>
      <c r="EI180" s="533"/>
      <c r="EJ180" s="533"/>
      <c r="EK180" s="533"/>
      <c r="EL180" s="533"/>
      <c r="EM180" s="533"/>
      <c r="EN180" s="533"/>
      <c r="EO180" s="533"/>
      <c r="EP180" s="533"/>
      <c r="EQ180" s="533"/>
      <c r="ER180" s="533"/>
      <c r="ES180" s="533"/>
      <c r="ET180" s="533"/>
      <c r="EU180" s="533"/>
      <c r="EV180" s="533"/>
      <c r="EW180" s="533"/>
      <c r="EX180" s="533"/>
      <c r="EY180" s="533"/>
      <c r="EZ180" s="533"/>
      <c r="FA180" s="533"/>
      <c r="FB180" s="533"/>
      <c r="FC180" s="533"/>
      <c r="FD180" s="533"/>
      <c r="FE180" s="533"/>
      <c r="FF180" s="533"/>
      <c r="FG180" s="533"/>
      <c r="FH180" s="533"/>
      <c r="FI180" s="533"/>
      <c r="FJ180" s="533"/>
      <c r="FK180" s="533"/>
      <c r="FL180" s="533"/>
      <c r="FM180" s="533"/>
      <c r="FN180" s="533"/>
      <c r="FO180" s="533"/>
      <c r="FP180" s="533"/>
      <c r="FQ180" s="533"/>
      <c r="FR180" s="533"/>
      <c r="FS180" s="533"/>
      <c r="FT180" s="533"/>
      <c r="FU180" s="533"/>
      <c r="FV180" s="533"/>
      <c r="FW180" s="533"/>
      <c r="FX180" s="533"/>
      <c r="FY180" s="533"/>
      <c r="FZ180" s="533"/>
      <c r="GA180" s="533"/>
      <c r="GB180" s="533"/>
      <c r="GC180" s="533"/>
      <c r="GD180" s="533"/>
      <c r="GE180" s="533"/>
      <c r="GF180" s="533"/>
      <c r="GG180" s="533"/>
      <c r="GH180" s="533"/>
      <c r="GI180" s="533"/>
      <c r="GJ180" s="533"/>
      <c r="GK180" s="533"/>
      <c r="GL180" s="533"/>
      <c r="GM180" s="533"/>
      <c r="GN180" s="533"/>
      <c r="GO180" s="533"/>
      <c r="GP180" s="533"/>
      <c r="GQ180" s="533"/>
      <c r="GR180" s="533"/>
      <c r="GS180" s="533"/>
      <c r="GT180" s="533"/>
      <c r="GU180" s="533"/>
      <c r="GV180" s="533"/>
      <c r="GW180" s="533"/>
      <c r="GX180" s="533"/>
      <c r="GY180" s="533"/>
      <c r="GZ180" s="533"/>
      <c r="HA180" s="533"/>
      <c r="HB180" s="534"/>
    </row>
    <row r="181" spans="1:210" ht="20.100000000000001" customHeight="1">
      <c r="A181" s="164"/>
      <c r="B181" s="306" t="s">
        <v>1463</v>
      </c>
      <c r="C181" s="503"/>
      <c r="D181" s="503"/>
      <c r="E181" s="503"/>
      <c r="F181" s="503"/>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6"/>
      <c r="AD181" s="326"/>
      <c r="AE181" s="326"/>
      <c r="AF181" s="326"/>
      <c r="AG181" s="326"/>
      <c r="AH181" s="326"/>
      <c r="AI181" s="326"/>
      <c r="AJ181" s="326"/>
      <c r="AK181" s="326"/>
      <c r="AL181" s="326"/>
      <c r="AM181" s="326"/>
      <c r="AN181" s="326"/>
      <c r="AO181" s="531"/>
      <c r="AP181" s="531"/>
      <c r="AQ181" s="532"/>
      <c r="AR181" s="532"/>
      <c r="AS181" s="532"/>
      <c r="AT181" s="532"/>
      <c r="AU181" s="532"/>
      <c r="AV181" s="532"/>
      <c r="AW181" s="326"/>
      <c r="AX181" s="326"/>
      <c r="AY181" s="326"/>
      <c r="AZ181" s="326"/>
      <c r="BA181" s="326"/>
      <c r="BB181" s="326"/>
      <c r="BC181" s="326"/>
      <c r="BD181" s="326"/>
      <c r="BE181" s="326"/>
      <c r="BF181" s="326"/>
      <c r="BG181" s="326"/>
      <c r="BH181" s="326"/>
      <c r="BI181" s="326"/>
      <c r="BJ181" s="326"/>
      <c r="BK181" s="326"/>
      <c r="BL181" s="326"/>
      <c r="BM181" s="326"/>
      <c r="BN181" s="326"/>
      <c r="BO181" s="326"/>
      <c r="BP181" s="326"/>
      <c r="BQ181" s="532"/>
      <c r="BR181" s="532"/>
      <c r="BS181" s="532"/>
      <c r="BT181" s="532"/>
      <c r="BU181" s="532"/>
      <c r="BV181" s="532"/>
      <c r="BW181" s="533"/>
      <c r="BX181" s="533"/>
      <c r="BY181" s="533"/>
      <c r="BZ181" s="533"/>
      <c r="CA181" s="533"/>
      <c r="CB181" s="533"/>
      <c r="CC181" s="533"/>
      <c r="CD181" s="533"/>
      <c r="CE181" s="533"/>
      <c r="CF181" s="533"/>
      <c r="CG181" s="533"/>
      <c r="CH181" s="533"/>
      <c r="CI181" s="533"/>
      <c r="CJ181" s="533"/>
      <c r="CK181" s="533"/>
      <c r="CL181" s="533"/>
      <c r="CM181" s="533"/>
      <c r="CN181" s="533"/>
      <c r="CO181" s="533"/>
      <c r="CP181" s="533"/>
      <c r="CQ181" s="533"/>
      <c r="CR181" s="533"/>
      <c r="CS181" s="533"/>
      <c r="CT181" s="533"/>
      <c r="CU181" s="533"/>
      <c r="CV181" s="533"/>
      <c r="CW181" s="533"/>
      <c r="CX181" s="533"/>
      <c r="CY181" s="533"/>
      <c r="CZ181" s="533"/>
      <c r="DA181" s="533"/>
      <c r="DB181" s="533"/>
      <c r="DC181" s="533"/>
      <c r="DD181" s="533"/>
      <c r="DE181" s="533"/>
      <c r="DF181" s="533"/>
      <c r="DG181" s="533"/>
      <c r="DH181" s="533"/>
      <c r="DI181" s="533"/>
      <c r="DJ181" s="533"/>
      <c r="DK181" s="533"/>
      <c r="DL181" s="533"/>
      <c r="DM181" s="533"/>
      <c r="DN181" s="533"/>
      <c r="DO181" s="533"/>
      <c r="DP181" s="533"/>
      <c r="DQ181" s="533"/>
      <c r="DR181" s="533"/>
      <c r="DS181" s="533"/>
      <c r="DT181" s="533"/>
      <c r="DU181" s="533"/>
      <c r="DV181" s="533"/>
      <c r="DW181" s="533"/>
      <c r="DX181" s="533"/>
      <c r="DY181" s="533"/>
      <c r="DZ181" s="533"/>
      <c r="EA181" s="533"/>
      <c r="EB181" s="533"/>
      <c r="EC181" s="533"/>
      <c r="ED181" s="533"/>
      <c r="EE181" s="533"/>
      <c r="EF181" s="533"/>
      <c r="EG181" s="533"/>
      <c r="EH181" s="533"/>
      <c r="EI181" s="533"/>
      <c r="EJ181" s="533"/>
      <c r="EK181" s="533"/>
      <c r="EL181" s="533"/>
      <c r="EM181" s="533"/>
      <c r="EN181" s="533"/>
      <c r="EO181" s="533"/>
      <c r="EP181" s="533"/>
      <c r="EQ181" s="533"/>
      <c r="ER181" s="533"/>
      <c r="ES181" s="533"/>
      <c r="ET181" s="533"/>
      <c r="EU181" s="533"/>
      <c r="EV181" s="533"/>
      <c r="EW181" s="533"/>
      <c r="EX181" s="533"/>
      <c r="EY181" s="533"/>
      <c r="EZ181" s="533"/>
      <c r="FA181" s="533"/>
      <c r="FB181" s="533"/>
      <c r="FC181" s="533"/>
      <c r="FD181" s="533"/>
      <c r="FE181" s="533"/>
      <c r="FF181" s="533"/>
      <c r="FG181" s="533"/>
      <c r="FH181" s="533"/>
      <c r="FI181" s="533"/>
      <c r="FJ181" s="533"/>
      <c r="FK181" s="533"/>
      <c r="FL181" s="533"/>
      <c r="FM181" s="533"/>
      <c r="FN181" s="533"/>
      <c r="FO181" s="533"/>
      <c r="FP181" s="533"/>
      <c r="FQ181" s="533"/>
      <c r="FR181" s="533"/>
      <c r="FS181" s="533"/>
      <c r="FT181" s="533"/>
      <c r="FU181" s="533"/>
      <c r="FV181" s="533"/>
      <c r="FW181" s="533"/>
      <c r="FX181" s="533"/>
      <c r="FY181" s="533"/>
      <c r="FZ181" s="533"/>
      <c r="GA181" s="533"/>
      <c r="GB181" s="533"/>
      <c r="GC181" s="533"/>
      <c r="GD181" s="533"/>
      <c r="GE181" s="533"/>
      <c r="GF181" s="533"/>
      <c r="GG181" s="533"/>
      <c r="GH181" s="533"/>
      <c r="GI181" s="533"/>
      <c r="GJ181" s="533"/>
      <c r="GK181" s="533"/>
      <c r="GL181" s="533"/>
      <c r="GM181" s="533"/>
      <c r="GN181" s="533"/>
      <c r="GO181" s="533"/>
      <c r="GP181" s="533"/>
      <c r="GQ181" s="533"/>
      <c r="GR181" s="533"/>
      <c r="GS181" s="533"/>
      <c r="GT181" s="533"/>
      <c r="GU181" s="533"/>
      <c r="GV181" s="533"/>
      <c r="GW181" s="533"/>
      <c r="GX181" s="533"/>
      <c r="GY181" s="533"/>
      <c r="GZ181" s="533"/>
      <c r="HA181" s="533"/>
      <c r="HB181" s="534"/>
    </row>
    <row r="182" spans="1:210" ht="20.100000000000001" customHeight="1">
      <c r="A182" s="164"/>
      <c r="B182" s="306" t="s">
        <v>1464</v>
      </c>
      <c r="C182" s="503"/>
      <c r="D182" s="503"/>
      <c r="E182" s="503"/>
      <c r="F182" s="503"/>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6"/>
      <c r="AD182" s="326"/>
      <c r="AE182" s="326"/>
      <c r="AF182" s="326"/>
      <c r="AG182" s="326"/>
      <c r="AH182" s="326"/>
      <c r="AI182" s="326"/>
      <c r="AJ182" s="326"/>
      <c r="AK182" s="326"/>
      <c r="AL182" s="326"/>
      <c r="AM182" s="326"/>
      <c r="AN182" s="326"/>
      <c r="AO182" s="531"/>
      <c r="AP182" s="531"/>
      <c r="AQ182" s="532"/>
      <c r="AR182" s="532"/>
      <c r="AS182" s="532"/>
      <c r="AT182" s="532"/>
      <c r="AU182" s="532"/>
      <c r="AV182" s="532"/>
      <c r="AW182" s="326"/>
      <c r="AX182" s="326"/>
      <c r="AY182" s="326"/>
      <c r="AZ182" s="326"/>
      <c r="BA182" s="326"/>
      <c r="BB182" s="326"/>
      <c r="BC182" s="326"/>
      <c r="BD182" s="326"/>
      <c r="BE182" s="326"/>
      <c r="BF182" s="326"/>
      <c r="BG182" s="326"/>
      <c r="BH182" s="326"/>
      <c r="BI182" s="326"/>
      <c r="BJ182" s="326"/>
      <c r="BK182" s="326"/>
      <c r="BL182" s="326"/>
      <c r="BM182" s="326"/>
      <c r="BN182" s="326"/>
      <c r="BO182" s="326"/>
      <c r="BP182" s="326"/>
      <c r="BQ182" s="532"/>
      <c r="BR182" s="532"/>
      <c r="BS182" s="532"/>
      <c r="BT182" s="532"/>
      <c r="BU182" s="532"/>
      <c r="BV182" s="532"/>
      <c r="BW182" s="533"/>
      <c r="BX182" s="533"/>
      <c r="BY182" s="533"/>
      <c r="BZ182" s="533"/>
      <c r="CA182" s="533"/>
      <c r="CB182" s="533"/>
      <c r="CC182" s="533"/>
      <c r="CD182" s="533"/>
      <c r="CE182" s="533"/>
      <c r="CF182" s="533"/>
      <c r="CG182" s="533"/>
      <c r="CH182" s="533"/>
      <c r="CI182" s="533"/>
      <c r="CJ182" s="533"/>
      <c r="CK182" s="533"/>
      <c r="CL182" s="533"/>
      <c r="CM182" s="533"/>
      <c r="CN182" s="533"/>
      <c r="CO182" s="533"/>
      <c r="CP182" s="533"/>
      <c r="CQ182" s="533"/>
      <c r="CR182" s="533"/>
      <c r="CS182" s="533"/>
      <c r="CT182" s="533"/>
      <c r="CU182" s="533"/>
      <c r="CV182" s="533"/>
      <c r="CW182" s="533"/>
      <c r="CX182" s="533"/>
      <c r="CY182" s="533"/>
      <c r="CZ182" s="533"/>
      <c r="DA182" s="533"/>
      <c r="DB182" s="533"/>
      <c r="DC182" s="533"/>
      <c r="DD182" s="533"/>
      <c r="DE182" s="533"/>
      <c r="DF182" s="533"/>
      <c r="DG182" s="533"/>
      <c r="DH182" s="533"/>
      <c r="DI182" s="533"/>
      <c r="DJ182" s="533"/>
      <c r="DK182" s="533"/>
      <c r="DL182" s="533"/>
      <c r="DM182" s="533"/>
      <c r="DN182" s="533"/>
      <c r="DO182" s="533"/>
      <c r="DP182" s="533"/>
      <c r="DQ182" s="533"/>
      <c r="DR182" s="533"/>
      <c r="DS182" s="533"/>
      <c r="DT182" s="533"/>
      <c r="DU182" s="533"/>
      <c r="DV182" s="533"/>
      <c r="DW182" s="533"/>
      <c r="DX182" s="533"/>
      <c r="DY182" s="533"/>
      <c r="DZ182" s="533"/>
      <c r="EA182" s="533"/>
      <c r="EB182" s="533"/>
      <c r="EC182" s="533"/>
      <c r="ED182" s="533"/>
      <c r="EE182" s="533"/>
      <c r="EF182" s="533"/>
      <c r="EG182" s="533"/>
      <c r="EH182" s="533"/>
      <c r="EI182" s="533"/>
      <c r="EJ182" s="533"/>
      <c r="EK182" s="533"/>
      <c r="EL182" s="533"/>
      <c r="EM182" s="533"/>
      <c r="EN182" s="533"/>
      <c r="EO182" s="533"/>
      <c r="EP182" s="533"/>
      <c r="EQ182" s="533"/>
      <c r="ER182" s="533"/>
      <c r="ES182" s="533"/>
      <c r="ET182" s="533"/>
      <c r="EU182" s="533"/>
      <c r="EV182" s="533"/>
      <c r="EW182" s="533"/>
      <c r="EX182" s="533"/>
      <c r="EY182" s="533"/>
      <c r="EZ182" s="533"/>
      <c r="FA182" s="533"/>
      <c r="FB182" s="533"/>
      <c r="FC182" s="533"/>
      <c r="FD182" s="533"/>
      <c r="FE182" s="533"/>
      <c r="FF182" s="533"/>
      <c r="FG182" s="533"/>
      <c r="FH182" s="533"/>
      <c r="FI182" s="533"/>
      <c r="FJ182" s="533"/>
      <c r="FK182" s="533"/>
      <c r="FL182" s="533"/>
      <c r="FM182" s="533"/>
      <c r="FN182" s="533"/>
      <c r="FO182" s="533"/>
      <c r="FP182" s="533"/>
      <c r="FQ182" s="533"/>
      <c r="FR182" s="533"/>
      <c r="FS182" s="533"/>
      <c r="FT182" s="533"/>
      <c r="FU182" s="533"/>
      <c r="FV182" s="533"/>
      <c r="FW182" s="533"/>
      <c r="FX182" s="533"/>
      <c r="FY182" s="533"/>
      <c r="FZ182" s="533"/>
      <c r="GA182" s="533"/>
      <c r="GB182" s="533"/>
      <c r="GC182" s="533"/>
      <c r="GD182" s="533"/>
      <c r="GE182" s="533"/>
      <c r="GF182" s="533"/>
      <c r="GG182" s="533"/>
      <c r="GH182" s="533"/>
      <c r="GI182" s="533"/>
      <c r="GJ182" s="533"/>
      <c r="GK182" s="533"/>
      <c r="GL182" s="533"/>
      <c r="GM182" s="533"/>
      <c r="GN182" s="533"/>
      <c r="GO182" s="533"/>
      <c r="GP182" s="533"/>
      <c r="GQ182" s="533"/>
      <c r="GR182" s="533"/>
      <c r="GS182" s="533"/>
      <c r="GT182" s="533"/>
      <c r="GU182" s="533"/>
      <c r="GV182" s="533"/>
      <c r="GW182" s="533"/>
      <c r="GX182" s="533"/>
      <c r="GY182" s="533"/>
      <c r="GZ182" s="533"/>
      <c r="HA182" s="533"/>
      <c r="HB182" s="534"/>
    </row>
    <row r="183" spans="1:210" ht="20.100000000000001" customHeight="1">
      <c r="A183" s="164"/>
      <c r="B183" s="306" t="s">
        <v>1465</v>
      </c>
      <c r="C183" s="503"/>
      <c r="D183" s="503"/>
      <c r="E183" s="503"/>
      <c r="F183" s="503"/>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6"/>
      <c r="AD183" s="326"/>
      <c r="AE183" s="326"/>
      <c r="AF183" s="326"/>
      <c r="AG183" s="326"/>
      <c r="AH183" s="326"/>
      <c r="AI183" s="326"/>
      <c r="AJ183" s="326"/>
      <c r="AK183" s="326"/>
      <c r="AL183" s="326"/>
      <c r="AM183" s="326"/>
      <c r="AN183" s="326"/>
      <c r="AO183" s="531"/>
      <c r="AP183" s="531"/>
      <c r="AQ183" s="532"/>
      <c r="AR183" s="532"/>
      <c r="AS183" s="532"/>
      <c r="AT183" s="532"/>
      <c r="AU183" s="532"/>
      <c r="AV183" s="532"/>
      <c r="AW183" s="326"/>
      <c r="AX183" s="326"/>
      <c r="AY183" s="326"/>
      <c r="AZ183" s="326"/>
      <c r="BA183" s="326"/>
      <c r="BB183" s="326"/>
      <c r="BC183" s="326"/>
      <c r="BD183" s="326"/>
      <c r="BE183" s="326"/>
      <c r="BF183" s="326"/>
      <c r="BG183" s="326"/>
      <c r="BH183" s="326"/>
      <c r="BI183" s="326"/>
      <c r="BJ183" s="326"/>
      <c r="BK183" s="326"/>
      <c r="BL183" s="326"/>
      <c r="BM183" s="326"/>
      <c r="BN183" s="326"/>
      <c r="BO183" s="326"/>
      <c r="BP183" s="326"/>
      <c r="BQ183" s="532"/>
      <c r="BR183" s="532"/>
      <c r="BS183" s="532"/>
      <c r="BT183" s="532"/>
      <c r="BU183" s="532"/>
      <c r="BV183" s="532"/>
      <c r="BW183" s="533"/>
      <c r="BX183" s="533"/>
      <c r="BY183" s="533"/>
      <c r="BZ183" s="533"/>
      <c r="CA183" s="533"/>
      <c r="CB183" s="533"/>
      <c r="CC183" s="533"/>
      <c r="CD183" s="533"/>
      <c r="CE183" s="533"/>
      <c r="CF183" s="533"/>
      <c r="CG183" s="533"/>
      <c r="CH183" s="533"/>
      <c r="CI183" s="533"/>
      <c r="CJ183" s="533"/>
      <c r="CK183" s="533"/>
      <c r="CL183" s="533"/>
      <c r="CM183" s="533"/>
      <c r="CN183" s="533"/>
      <c r="CO183" s="533"/>
      <c r="CP183" s="533"/>
      <c r="CQ183" s="533"/>
      <c r="CR183" s="533"/>
      <c r="CS183" s="533"/>
      <c r="CT183" s="533"/>
      <c r="CU183" s="533"/>
      <c r="CV183" s="533"/>
      <c r="CW183" s="533"/>
      <c r="CX183" s="533"/>
      <c r="CY183" s="533"/>
      <c r="CZ183" s="533"/>
      <c r="DA183" s="533"/>
      <c r="DB183" s="533"/>
      <c r="DC183" s="533"/>
      <c r="DD183" s="533"/>
      <c r="DE183" s="533"/>
      <c r="DF183" s="533"/>
      <c r="DG183" s="533"/>
      <c r="DH183" s="533"/>
      <c r="DI183" s="533"/>
      <c r="DJ183" s="533"/>
      <c r="DK183" s="533"/>
      <c r="DL183" s="533"/>
      <c r="DM183" s="533"/>
      <c r="DN183" s="533"/>
      <c r="DO183" s="533"/>
      <c r="DP183" s="533"/>
      <c r="DQ183" s="533"/>
      <c r="DR183" s="533"/>
      <c r="DS183" s="533"/>
      <c r="DT183" s="533"/>
      <c r="DU183" s="533"/>
      <c r="DV183" s="533"/>
      <c r="DW183" s="533"/>
      <c r="DX183" s="533"/>
      <c r="DY183" s="533"/>
      <c r="DZ183" s="533"/>
      <c r="EA183" s="533"/>
      <c r="EB183" s="533"/>
      <c r="EC183" s="533"/>
      <c r="ED183" s="533"/>
      <c r="EE183" s="533"/>
      <c r="EF183" s="533"/>
      <c r="EG183" s="533"/>
      <c r="EH183" s="533"/>
      <c r="EI183" s="533"/>
      <c r="EJ183" s="533"/>
      <c r="EK183" s="533"/>
      <c r="EL183" s="533"/>
      <c r="EM183" s="533"/>
      <c r="EN183" s="533"/>
      <c r="EO183" s="533"/>
      <c r="EP183" s="533"/>
      <c r="EQ183" s="533"/>
      <c r="ER183" s="533"/>
      <c r="ES183" s="533"/>
      <c r="ET183" s="533"/>
      <c r="EU183" s="533"/>
      <c r="EV183" s="533"/>
      <c r="EW183" s="533"/>
      <c r="EX183" s="533"/>
      <c r="EY183" s="533"/>
      <c r="EZ183" s="533"/>
      <c r="FA183" s="533"/>
      <c r="FB183" s="533"/>
      <c r="FC183" s="533"/>
      <c r="FD183" s="533"/>
      <c r="FE183" s="533"/>
      <c r="FF183" s="533"/>
      <c r="FG183" s="533"/>
      <c r="FH183" s="533"/>
      <c r="FI183" s="533"/>
      <c r="FJ183" s="533"/>
      <c r="FK183" s="533"/>
      <c r="FL183" s="533"/>
      <c r="FM183" s="533"/>
      <c r="FN183" s="533"/>
      <c r="FO183" s="533"/>
      <c r="FP183" s="533"/>
      <c r="FQ183" s="533"/>
      <c r="FR183" s="533"/>
      <c r="FS183" s="533"/>
      <c r="FT183" s="533"/>
      <c r="FU183" s="533"/>
      <c r="FV183" s="533"/>
      <c r="FW183" s="533"/>
      <c r="FX183" s="533"/>
      <c r="FY183" s="533"/>
      <c r="FZ183" s="533"/>
      <c r="GA183" s="533"/>
      <c r="GB183" s="533"/>
      <c r="GC183" s="533"/>
      <c r="GD183" s="533"/>
      <c r="GE183" s="533"/>
      <c r="GF183" s="533"/>
      <c r="GG183" s="533"/>
      <c r="GH183" s="533"/>
      <c r="GI183" s="533"/>
      <c r="GJ183" s="533"/>
      <c r="GK183" s="533"/>
      <c r="GL183" s="533"/>
      <c r="GM183" s="533"/>
      <c r="GN183" s="533"/>
      <c r="GO183" s="533"/>
      <c r="GP183" s="533"/>
      <c r="GQ183" s="533"/>
      <c r="GR183" s="533"/>
      <c r="GS183" s="533"/>
      <c r="GT183" s="533"/>
      <c r="GU183" s="533"/>
      <c r="GV183" s="533"/>
      <c r="GW183" s="533"/>
      <c r="GX183" s="533"/>
      <c r="GY183" s="533"/>
      <c r="GZ183" s="533"/>
      <c r="HA183" s="533"/>
      <c r="HB183" s="534"/>
    </row>
    <row r="184" spans="1:210" ht="20.100000000000001" customHeight="1">
      <c r="A184" s="164"/>
      <c r="B184" s="306" t="s">
        <v>1466</v>
      </c>
      <c r="C184" s="503"/>
      <c r="D184" s="503"/>
      <c r="E184" s="503"/>
      <c r="F184" s="503"/>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6"/>
      <c r="AD184" s="326"/>
      <c r="AE184" s="326"/>
      <c r="AF184" s="326"/>
      <c r="AG184" s="326"/>
      <c r="AH184" s="326"/>
      <c r="AI184" s="326"/>
      <c r="AJ184" s="326"/>
      <c r="AK184" s="326"/>
      <c r="AL184" s="326"/>
      <c r="AM184" s="326"/>
      <c r="AN184" s="326"/>
      <c r="AO184" s="531"/>
      <c r="AP184" s="531"/>
      <c r="AQ184" s="532"/>
      <c r="AR184" s="532"/>
      <c r="AS184" s="532"/>
      <c r="AT184" s="532"/>
      <c r="AU184" s="532"/>
      <c r="AV184" s="532"/>
      <c r="AW184" s="326"/>
      <c r="AX184" s="326"/>
      <c r="AY184" s="326"/>
      <c r="AZ184" s="326"/>
      <c r="BA184" s="326"/>
      <c r="BB184" s="326"/>
      <c r="BC184" s="326"/>
      <c r="BD184" s="326"/>
      <c r="BE184" s="326"/>
      <c r="BF184" s="326"/>
      <c r="BG184" s="326"/>
      <c r="BH184" s="326"/>
      <c r="BI184" s="326"/>
      <c r="BJ184" s="326"/>
      <c r="BK184" s="326"/>
      <c r="BL184" s="326"/>
      <c r="BM184" s="326"/>
      <c r="BN184" s="326"/>
      <c r="BO184" s="326"/>
      <c r="BP184" s="326"/>
      <c r="BQ184" s="532"/>
      <c r="BR184" s="532"/>
      <c r="BS184" s="532"/>
      <c r="BT184" s="532"/>
      <c r="BU184" s="532"/>
      <c r="BV184" s="532"/>
      <c r="BW184" s="533"/>
      <c r="BX184" s="533"/>
      <c r="BY184" s="533"/>
      <c r="BZ184" s="533"/>
      <c r="CA184" s="533"/>
      <c r="CB184" s="533"/>
      <c r="CC184" s="533"/>
      <c r="CD184" s="533"/>
      <c r="CE184" s="533"/>
      <c r="CF184" s="533"/>
      <c r="CG184" s="533"/>
      <c r="CH184" s="533"/>
      <c r="CI184" s="533"/>
      <c r="CJ184" s="533"/>
      <c r="CK184" s="533"/>
      <c r="CL184" s="533"/>
      <c r="CM184" s="533"/>
      <c r="CN184" s="533"/>
      <c r="CO184" s="533"/>
      <c r="CP184" s="533"/>
      <c r="CQ184" s="533"/>
      <c r="CR184" s="533"/>
      <c r="CS184" s="533"/>
      <c r="CT184" s="533"/>
      <c r="CU184" s="533"/>
      <c r="CV184" s="533"/>
      <c r="CW184" s="533"/>
      <c r="CX184" s="533"/>
      <c r="CY184" s="533"/>
      <c r="CZ184" s="533"/>
      <c r="DA184" s="533"/>
      <c r="DB184" s="533"/>
      <c r="DC184" s="533"/>
      <c r="DD184" s="533"/>
      <c r="DE184" s="533"/>
      <c r="DF184" s="533"/>
      <c r="DG184" s="533"/>
      <c r="DH184" s="533"/>
      <c r="DI184" s="533"/>
      <c r="DJ184" s="533"/>
      <c r="DK184" s="533"/>
      <c r="DL184" s="533"/>
      <c r="DM184" s="533"/>
      <c r="DN184" s="533"/>
      <c r="DO184" s="533"/>
      <c r="DP184" s="533"/>
      <c r="DQ184" s="533"/>
      <c r="DR184" s="533"/>
      <c r="DS184" s="533"/>
      <c r="DT184" s="533"/>
      <c r="DU184" s="533"/>
      <c r="DV184" s="533"/>
      <c r="DW184" s="533"/>
      <c r="DX184" s="533"/>
      <c r="DY184" s="533"/>
      <c r="DZ184" s="533"/>
      <c r="EA184" s="533"/>
      <c r="EB184" s="533"/>
      <c r="EC184" s="533"/>
      <c r="ED184" s="533"/>
      <c r="EE184" s="533"/>
      <c r="EF184" s="533"/>
      <c r="EG184" s="533"/>
      <c r="EH184" s="533"/>
      <c r="EI184" s="533"/>
      <c r="EJ184" s="533"/>
      <c r="EK184" s="533"/>
      <c r="EL184" s="533"/>
      <c r="EM184" s="533"/>
      <c r="EN184" s="533"/>
      <c r="EO184" s="533"/>
      <c r="EP184" s="533"/>
      <c r="EQ184" s="533"/>
      <c r="ER184" s="533"/>
      <c r="ES184" s="533"/>
      <c r="ET184" s="533"/>
      <c r="EU184" s="533"/>
      <c r="EV184" s="533"/>
      <c r="EW184" s="533"/>
      <c r="EX184" s="533"/>
      <c r="EY184" s="533"/>
      <c r="EZ184" s="533"/>
      <c r="FA184" s="533"/>
      <c r="FB184" s="533"/>
      <c r="FC184" s="533"/>
      <c r="FD184" s="533"/>
      <c r="FE184" s="533"/>
      <c r="FF184" s="533"/>
      <c r="FG184" s="533"/>
      <c r="FH184" s="533"/>
      <c r="FI184" s="533"/>
      <c r="FJ184" s="533"/>
      <c r="FK184" s="533"/>
      <c r="FL184" s="533"/>
      <c r="FM184" s="533"/>
      <c r="FN184" s="533"/>
      <c r="FO184" s="533"/>
      <c r="FP184" s="533"/>
      <c r="FQ184" s="533"/>
      <c r="FR184" s="533"/>
      <c r="FS184" s="533"/>
      <c r="FT184" s="533"/>
      <c r="FU184" s="533"/>
      <c r="FV184" s="533"/>
      <c r="FW184" s="533"/>
      <c r="FX184" s="533"/>
      <c r="FY184" s="533"/>
      <c r="FZ184" s="533"/>
      <c r="GA184" s="533"/>
      <c r="GB184" s="533"/>
      <c r="GC184" s="533"/>
      <c r="GD184" s="533"/>
      <c r="GE184" s="533"/>
      <c r="GF184" s="533"/>
      <c r="GG184" s="533"/>
      <c r="GH184" s="533"/>
      <c r="GI184" s="533"/>
      <c r="GJ184" s="533"/>
      <c r="GK184" s="533"/>
      <c r="GL184" s="533"/>
      <c r="GM184" s="533"/>
      <c r="GN184" s="533"/>
      <c r="GO184" s="533"/>
      <c r="GP184" s="533"/>
      <c r="GQ184" s="533"/>
      <c r="GR184" s="533"/>
      <c r="GS184" s="533"/>
      <c r="GT184" s="533"/>
      <c r="GU184" s="533"/>
      <c r="GV184" s="533"/>
      <c r="GW184" s="533"/>
      <c r="GX184" s="533"/>
      <c r="GY184" s="533"/>
      <c r="GZ184" s="533"/>
      <c r="HA184" s="533"/>
      <c r="HB184" s="534"/>
    </row>
    <row r="185" spans="1:210" ht="20.100000000000001" customHeight="1">
      <c r="A185" s="164"/>
      <c r="B185" s="306" t="s">
        <v>1467</v>
      </c>
      <c r="C185" s="503"/>
      <c r="D185" s="503"/>
      <c r="E185" s="503"/>
      <c r="F185" s="503"/>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c r="AF185" s="326"/>
      <c r="AG185" s="326"/>
      <c r="AH185" s="326"/>
      <c r="AI185" s="326"/>
      <c r="AJ185" s="326"/>
      <c r="AK185" s="326"/>
      <c r="AL185" s="326"/>
      <c r="AM185" s="326"/>
      <c r="AN185" s="326"/>
      <c r="AO185" s="531"/>
      <c r="AP185" s="531"/>
      <c r="AQ185" s="532"/>
      <c r="AR185" s="532"/>
      <c r="AS185" s="532"/>
      <c r="AT185" s="532"/>
      <c r="AU185" s="532"/>
      <c r="AV185" s="532"/>
      <c r="AW185" s="326"/>
      <c r="AX185" s="326"/>
      <c r="AY185" s="326"/>
      <c r="AZ185" s="326"/>
      <c r="BA185" s="326"/>
      <c r="BB185" s="326"/>
      <c r="BC185" s="326"/>
      <c r="BD185" s="326"/>
      <c r="BE185" s="326"/>
      <c r="BF185" s="326"/>
      <c r="BG185" s="326"/>
      <c r="BH185" s="326"/>
      <c r="BI185" s="326"/>
      <c r="BJ185" s="326"/>
      <c r="BK185" s="326"/>
      <c r="BL185" s="326"/>
      <c r="BM185" s="326"/>
      <c r="BN185" s="326"/>
      <c r="BO185" s="326"/>
      <c r="BP185" s="326"/>
      <c r="BQ185" s="532"/>
      <c r="BR185" s="532"/>
      <c r="BS185" s="532"/>
      <c r="BT185" s="532"/>
      <c r="BU185" s="532"/>
      <c r="BV185" s="532"/>
      <c r="BW185" s="533"/>
      <c r="BX185" s="533"/>
      <c r="BY185" s="533"/>
      <c r="BZ185" s="533"/>
      <c r="CA185" s="533"/>
      <c r="CB185" s="533"/>
      <c r="CC185" s="533"/>
      <c r="CD185" s="533"/>
      <c r="CE185" s="533"/>
      <c r="CF185" s="533"/>
      <c r="CG185" s="533"/>
      <c r="CH185" s="533"/>
      <c r="CI185" s="533"/>
      <c r="CJ185" s="533"/>
      <c r="CK185" s="533"/>
      <c r="CL185" s="533"/>
      <c r="CM185" s="533"/>
      <c r="CN185" s="533"/>
      <c r="CO185" s="533"/>
      <c r="CP185" s="533"/>
      <c r="CQ185" s="533"/>
      <c r="CR185" s="533"/>
      <c r="CS185" s="533"/>
      <c r="CT185" s="533"/>
      <c r="CU185" s="533"/>
      <c r="CV185" s="533"/>
      <c r="CW185" s="533"/>
      <c r="CX185" s="533"/>
      <c r="CY185" s="533"/>
      <c r="CZ185" s="533"/>
      <c r="DA185" s="533"/>
      <c r="DB185" s="533"/>
      <c r="DC185" s="533"/>
      <c r="DD185" s="533"/>
      <c r="DE185" s="533"/>
      <c r="DF185" s="533"/>
      <c r="DG185" s="533"/>
      <c r="DH185" s="533"/>
      <c r="DI185" s="533"/>
      <c r="DJ185" s="533"/>
      <c r="DK185" s="533"/>
      <c r="DL185" s="533"/>
      <c r="DM185" s="533"/>
      <c r="DN185" s="533"/>
      <c r="DO185" s="533"/>
      <c r="DP185" s="533"/>
      <c r="DQ185" s="533"/>
      <c r="DR185" s="533"/>
      <c r="DS185" s="533"/>
      <c r="DT185" s="533"/>
      <c r="DU185" s="533"/>
      <c r="DV185" s="533"/>
      <c r="DW185" s="533"/>
      <c r="DX185" s="533"/>
      <c r="DY185" s="533"/>
      <c r="DZ185" s="533"/>
      <c r="EA185" s="533"/>
      <c r="EB185" s="533"/>
      <c r="EC185" s="533"/>
      <c r="ED185" s="533"/>
      <c r="EE185" s="533"/>
      <c r="EF185" s="533"/>
      <c r="EG185" s="533"/>
      <c r="EH185" s="533"/>
      <c r="EI185" s="533"/>
      <c r="EJ185" s="533"/>
      <c r="EK185" s="533"/>
      <c r="EL185" s="533"/>
      <c r="EM185" s="533"/>
      <c r="EN185" s="533"/>
      <c r="EO185" s="533"/>
      <c r="EP185" s="533"/>
      <c r="EQ185" s="533"/>
      <c r="ER185" s="533"/>
      <c r="ES185" s="533"/>
      <c r="ET185" s="533"/>
      <c r="EU185" s="533"/>
      <c r="EV185" s="533"/>
      <c r="EW185" s="533"/>
      <c r="EX185" s="533"/>
      <c r="EY185" s="533"/>
      <c r="EZ185" s="533"/>
      <c r="FA185" s="533"/>
      <c r="FB185" s="533"/>
      <c r="FC185" s="533"/>
      <c r="FD185" s="533"/>
      <c r="FE185" s="533"/>
      <c r="FF185" s="533"/>
      <c r="FG185" s="533"/>
      <c r="FH185" s="533"/>
      <c r="FI185" s="533"/>
      <c r="FJ185" s="533"/>
      <c r="FK185" s="533"/>
      <c r="FL185" s="533"/>
      <c r="FM185" s="533"/>
      <c r="FN185" s="533"/>
      <c r="FO185" s="533"/>
      <c r="FP185" s="533"/>
      <c r="FQ185" s="533"/>
      <c r="FR185" s="533"/>
      <c r="FS185" s="533"/>
      <c r="FT185" s="533"/>
      <c r="FU185" s="533"/>
      <c r="FV185" s="533"/>
      <c r="FW185" s="533"/>
      <c r="FX185" s="533"/>
      <c r="FY185" s="533"/>
      <c r="FZ185" s="533"/>
      <c r="GA185" s="533"/>
      <c r="GB185" s="533"/>
      <c r="GC185" s="533"/>
      <c r="GD185" s="533"/>
      <c r="GE185" s="533"/>
      <c r="GF185" s="533"/>
      <c r="GG185" s="533"/>
      <c r="GH185" s="533"/>
      <c r="GI185" s="533"/>
      <c r="GJ185" s="533"/>
      <c r="GK185" s="533"/>
      <c r="GL185" s="533"/>
      <c r="GM185" s="533"/>
      <c r="GN185" s="533"/>
      <c r="GO185" s="533"/>
      <c r="GP185" s="533"/>
      <c r="GQ185" s="533"/>
      <c r="GR185" s="533"/>
      <c r="GS185" s="533"/>
      <c r="GT185" s="533"/>
      <c r="GU185" s="533"/>
      <c r="GV185" s="533"/>
      <c r="GW185" s="533"/>
      <c r="GX185" s="533"/>
      <c r="GY185" s="533"/>
      <c r="GZ185" s="533"/>
      <c r="HA185" s="533"/>
      <c r="HB185" s="534"/>
    </row>
    <row r="186" spans="1:210" ht="20.100000000000001" customHeight="1">
      <c r="A186" s="164"/>
      <c r="B186" s="306" t="s">
        <v>1468</v>
      </c>
      <c r="C186" s="503"/>
      <c r="D186" s="503"/>
      <c r="E186" s="503"/>
      <c r="F186" s="503"/>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6"/>
      <c r="AM186" s="326"/>
      <c r="AN186" s="326"/>
      <c r="AO186" s="531"/>
      <c r="AP186" s="531"/>
      <c r="AQ186" s="532"/>
      <c r="AR186" s="532"/>
      <c r="AS186" s="532"/>
      <c r="AT186" s="532"/>
      <c r="AU186" s="532"/>
      <c r="AV186" s="532"/>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532"/>
      <c r="BR186" s="532"/>
      <c r="BS186" s="532"/>
      <c r="BT186" s="532"/>
      <c r="BU186" s="532"/>
      <c r="BV186" s="532"/>
      <c r="BW186" s="533"/>
      <c r="BX186" s="533"/>
      <c r="BY186" s="533"/>
      <c r="BZ186" s="533"/>
      <c r="CA186" s="533"/>
      <c r="CB186" s="533"/>
      <c r="CC186" s="533"/>
      <c r="CD186" s="533"/>
      <c r="CE186" s="533"/>
      <c r="CF186" s="533"/>
      <c r="CG186" s="533"/>
      <c r="CH186" s="533"/>
      <c r="CI186" s="533"/>
      <c r="CJ186" s="533"/>
      <c r="CK186" s="533"/>
      <c r="CL186" s="533"/>
      <c r="CM186" s="533"/>
      <c r="CN186" s="533"/>
      <c r="CO186" s="533"/>
      <c r="CP186" s="533"/>
      <c r="CQ186" s="533"/>
      <c r="CR186" s="533"/>
      <c r="CS186" s="533"/>
      <c r="CT186" s="533"/>
      <c r="CU186" s="533"/>
      <c r="CV186" s="533"/>
      <c r="CW186" s="533"/>
      <c r="CX186" s="533"/>
      <c r="CY186" s="533"/>
      <c r="CZ186" s="533"/>
      <c r="DA186" s="533"/>
      <c r="DB186" s="533"/>
      <c r="DC186" s="533"/>
      <c r="DD186" s="533"/>
      <c r="DE186" s="533"/>
      <c r="DF186" s="533"/>
      <c r="DG186" s="533"/>
      <c r="DH186" s="533"/>
      <c r="DI186" s="533"/>
      <c r="DJ186" s="533"/>
      <c r="DK186" s="533"/>
      <c r="DL186" s="533"/>
      <c r="DM186" s="533"/>
      <c r="DN186" s="533"/>
      <c r="DO186" s="533"/>
      <c r="DP186" s="533"/>
      <c r="DQ186" s="533"/>
      <c r="DR186" s="533"/>
      <c r="DS186" s="533"/>
      <c r="DT186" s="533"/>
      <c r="DU186" s="533"/>
      <c r="DV186" s="533"/>
      <c r="DW186" s="533"/>
      <c r="DX186" s="533"/>
      <c r="DY186" s="533"/>
      <c r="DZ186" s="533"/>
      <c r="EA186" s="533"/>
      <c r="EB186" s="533"/>
      <c r="EC186" s="533"/>
      <c r="ED186" s="533"/>
      <c r="EE186" s="533"/>
      <c r="EF186" s="533"/>
      <c r="EG186" s="533"/>
      <c r="EH186" s="533"/>
      <c r="EI186" s="533"/>
      <c r="EJ186" s="533"/>
      <c r="EK186" s="533"/>
      <c r="EL186" s="533"/>
      <c r="EM186" s="533"/>
      <c r="EN186" s="533"/>
      <c r="EO186" s="533"/>
      <c r="EP186" s="533"/>
      <c r="EQ186" s="533"/>
      <c r="ER186" s="533"/>
      <c r="ES186" s="533"/>
      <c r="ET186" s="533"/>
      <c r="EU186" s="533"/>
      <c r="EV186" s="533"/>
      <c r="EW186" s="533"/>
      <c r="EX186" s="533"/>
      <c r="EY186" s="533"/>
      <c r="EZ186" s="533"/>
      <c r="FA186" s="533"/>
      <c r="FB186" s="533"/>
      <c r="FC186" s="533"/>
      <c r="FD186" s="533"/>
      <c r="FE186" s="533"/>
      <c r="FF186" s="533"/>
      <c r="FG186" s="533"/>
      <c r="FH186" s="533"/>
      <c r="FI186" s="533"/>
      <c r="FJ186" s="533"/>
      <c r="FK186" s="533"/>
      <c r="FL186" s="533"/>
      <c r="FM186" s="533"/>
      <c r="FN186" s="533"/>
      <c r="FO186" s="533"/>
      <c r="FP186" s="533"/>
      <c r="FQ186" s="533"/>
      <c r="FR186" s="533"/>
      <c r="FS186" s="533"/>
      <c r="FT186" s="533"/>
      <c r="FU186" s="533"/>
      <c r="FV186" s="533"/>
      <c r="FW186" s="533"/>
      <c r="FX186" s="533"/>
      <c r="FY186" s="533"/>
      <c r="FZ186" s="533"/>
      <c r="GA186" s="533"/>
      <c r="GB186" s="533"/>
      <c r="GC186" s="533"/>
      <c r="GD186" s="533"/>
      <c r="GE186" s="533"/>
      <c r="GF186" s="533"/>
      <c r="GG186" s="533"/>
      <c r="GH186" s="533"/>
      <c r="GI186" s="533"/>
      <c r="GJ186" s="533"/>
      <c r="GK186" s="533"/>
      <c r="GL186" s="533"/>
      <c r="GM186" s="533"/>
      <c r="GN186" s="533"/>
      <c r="GO186" s="533"/>
      <c r="GP186" s="533"/>
      <c r="GQ186" s="533"/>
      <c r="GR186" s="533"/>
      <c r="GS186" s="533"/>
      <c r="GT186" s="533"/>
      <c r="GU186" s="533"/>
      <c r="GV186" s="533"/>
      <c r="GW186" s="533"/>
      <c r="GX186" s="533"/>
      <c r="GY186" s="533"/>
      <c r="GZ186" s="533"/>
      <c r="HA186" s="533"/>
      <c r="HB186" s="534"/>
    </row>
    <row r="187" spans="1:210" ht="20.100000000000001" customHeight="1">
      <c r="A187" s="164"/>
      <c r="B187" s="306" t="s">
        <v>1469</v>
      </c>
      <c r="C187" s="503"/>
      <c r="D187" s="503"/>
      <c r="E187" s="503"/>
      <c r="F187" s="503"/>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6"/>
      <c r="AD187" s="326"/>
      <c r="AE187" s="326"/>
      <c r="AF187" s="326"/>
      <c r="AG187" s="326"/>
      <c r="AH187" s="326"/>
      <c r="AI187" s="326"/>
      <c r="AJ187" s="326"/>
      <c r="AK187" s="326"/>
      <c r="AL187" s="326"/>
      <c r="AM187" s="326"/>
      <c r="AN187" s="326"/>
      <c r="AO187" s="531"/>
      <c r="AP187" s="531"/>
      <c r="AQ187" s="532"/>
      <c r="AR187" s="532"/>
      <c r="AS187" s="532"/>
      <c r="AT187" s="532"/>
      <c r="AU187" s="532"/>
      <c r="AV187" s="532"/>
      <c r="AW187" s="326"/>
      <c r="AX187" s="326"/>
      <c r="AY187" s="326"/>
      <c r="AZ187" s="326"/>
      <c r="BA187" s="326"/>
      <c r="BB187" s="326"/>
      <c r="BC187" s="326"/>
      <c r="BD187" s="326"/>
      <c r="BE187" s="326"/>
      <c r="BF187" s="326"/>
      <c r="BG187" s="326"/>
      <c r="BH187" s="326"/>
      <c r="BI187" s="326"/>
      <c r="BJ187" s="326"/>
      <c r="BK187" s="326"/>
      <c r="BL187" s="326"/>
      <c r="BM187" s="326"/>
      <c r="BN187" s="326"/>
      <c r="BO187" s="326"/>
      <c r="BP187" s="326"/>
      <c r="BQ187" s="532"/>
      <c r="BR187" s="532"/>
      <c r="BS187" s="532"/>
      <c r="BT187" s="532"/>
      <c r="BU187" s="532"/>
      <c r="BV187" s="532"/>
      <c r="BW187" s="533"/>
      <c r="BX187" s="533"/>
      <c r="BY187" s="533"/>
      <c r="BZ187" s="533"/>
      <c r="CA187" s="533"/>
      <c r="CB187" s="533"/>
      <c r="CC187" s="533"/>
      <c r="CD187" s="533"/>
      <c r="CE187" s="533"/>
      <c r="CF187" s="533"/>
      <c r="CG187" s="533"/>
      <c r="CH187" s="533"/>
      <c r="CI187" s="533"/>
      <c r="CJ187" s="533"/>
      <c r="CK187" s="533"/>
      <c r="CL187" s="533"/>
      <c r="CM187" s="533"/>
      <c r="CN187" s="533"/>
      <c r="CO187" s="533"/>
      <c r="CP187" s="533"/>
      <c r="CQ187" s="533"/>
      <c r="CR187" s="533"/>
      <c r="CS187" s="533"/>
      <c r="CT187" s="533"/>
      <c r="CU187" s="533"/>
      <c r="CV187" s="533"/>
      <c r="CW187" s="533"/>
      <c r="CX187" s="533"/>
      <c r="CY187" s="533"/>
      <c r="CZ187" s="533"/>
      <c r="DA187" s="533"/>
      <c r="DB187" s="533"/>
      <c r="DC187" s="533"/>
      <c r="DD187" s="533"/>
      <c r="DE187" s="533"/>
      <c r="DF187" s="533"/>
      <c r="DG187" s="533"/>
      <c r="DH187" s="533"/>
      <c r="DI187" s="533"/>
      <c r="DJ187" s="533"/>
      <c r="DK187" s="533"/>
      <c r="DL187" s="533"/>
      <c r="DM187" s="533"/>
      <c r="DN187" s="533"/>
      <c r="DO187" s="533"/>
      <c r="DP187" s="533"/>
      <c r="DQ187" s="533"/>
      <c r="DR187" s="533"/>
      <c r="DS187" s="533"/>
      <c r="DT187" s="533"/>
      <c r="DU187" s="533"/>
      <c r="DV187" s="533"/>
      <c r="DW187" s="533"/>
      <c r="DX187" s="533"/>
      <c r="DY187" s="533"/>
      <c r="DZ187" s="533"/>
      <c r="EA187" s="533"/>
      <c r="EB187" s="533"/>
      <c r="EC187" s="533"/>
      <c r="ED187" s="533"/>
      <c r="EE187" s="533"/>
      <c r="EF187" s="533"/>
      <c r="EG187" s="533"/>
      <c r="EH187" s="533"/>
      <c r="EI187" s="533"/>
      <c r="EJ187" s="533"/>
      <c r="EK187" s="533"/>
      <c r="EL187" s="533"/>
      <c r="EM187" s="533"/>
      <c r="EN187" s="533"/>
      <c r="EO187" s="533"/>
      <c r="EP187" s="533"/>
      <c r="EQ187" s="533"/>
      <c r="ER187" s="533"/>
      <c r="ES187" s="533"/>
      <c r="ET187" s="533"/>
      <c r="EU187" s="533"/>
      <c r="EV187" s="533"/>
      <c r="EW187" s="533"/>
      <c r="EX187" s="533"/>
      <c r="EY187" s="533"/>
      <c r="EZ187" s="533"/>
      <c r="FA187" s="533"/>
      <c r="FB187" s="533"/>
      <c r="FC187" s="533"/>
      <c r="FD187" s="533"/>
      <c r="FE187" s="533"/>
      <c r="FF187" s="533"/>
      <c r="FG187" s="533"/>
      <c r="FH187" s="533"/>
      <c r="FI187" s="533"/>
      <c r="FJ187" s="533"/>
      <c r="FK187" s="533"/>
      <c r="FL187" s="533"/>
      <c r="FM187" s="533"/>
      <c r="FN187" s="533"/>
      <c r="FO187" s="533"/>
      <c r="FP187" s="533"/>
      <c r="FQ187" s="533"/>
      <c r="FR187" s="533"/>
      <c r="FS187" s="533"/>
      <c r="FT187" s="533"/>
      <c r="FU187" s="533"/>
      <c r="FV187" s="533"/>
      <c r="FW187" s="533"/>
      <c r="FX187" s="533"/>
      <c r="FY187" s="533"/>
      <c r="FZ187" s="533"/>
      <c r="GA187" s="533"/>
      <c r="GB187" s="533"/>
      <c r="GC187" s="533"/>
      <c r="GD187" s="533"/>
      <c r="GE187" s="533"/>
      <c r="GF187" s="533"/>
      <c r="GG187" s="533"/>
      <c r="GH187" s="533"/>
      <c r="GI187" s="533"/>
      <c r="GJ187" s="533"/>
      <c r="GK187" s="533"/>
      <c r="GL187" s="533"/>
      <c r="GM187" s="533"/>
      <c r="GN187" s="533"/>
      <c r="GO187" s="533"/>
      <c r="GP187" s="533"/>
      <c r="GQ187" s="533"/>
      <c r="GR187" s="533"/>
      <c r="GS187" s="533"/>
      <c r="GT187" s="533"/>
      <c r="GU187" s="533"/>
      <c r="GV187" s="533"/>
      <c r="GW187" s="533"/>
      <c r="GX187" s="533"/>
      <c r="GY187" s="533"/>
      <c r="GZ187" s="533"/>
      <c r="HA187" s="533"/>
      <c r="HB187" s="534"/>
    </row>
    <row r="188" spans="1:210" ht="20.100000000000001" customHeight="1">
      <c r="A188" s="164"/>
      <c r="B188" s="306" t="s">
        <v>1470</v>
      </c>
      <c r="C188" s="503"/>
      <c r="D188" s="503"/>
      <c r="E188" s="503"/>
      <c r="F188" s="503"/>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531"/>
      <c r="AP188" s="531"/>
      <c r="AQ188" s="532"/>
      <c r="AR188" s="532"/>
      <c r="AS188" s="532"/>
      <c r="AT188" s="532"/>
      <c r="AU188" s="532"/>
      <c r="AV188" s="532"/>
      <c r="AW188" s="326"/>
      <c r="AX188" s="326"/>
      <c r="AY188" s="326"/>
      <c r="AZ188" s="326"/>
      <c r="BA188" s="326"/>
      <c r="BB188" s="326"/>
      <c r="BC188" s="326"/>
      <c r="BD188" s="326"/>
      <c r="BE188" s="326"/>
      <c r="BF188" s="326"/>
      <c r="BG188" s="326"/>
      <c r="BH188" s="326"/>
      <c r="BI188" s="326"/>
      <c r="BJ188" s="326"/>
      <c r="BK188" s="326"/>
      <c r="BL188" s="326"/>
      <c r="BM188" s="326"/>
      <c r="BN188" s="326"/>
      <c r="BO188" s="326"/>
      <c r="BP188" s="326"/>
      <c r="BQ188" s="532"/>
      <c r="BR188" s="532"/>
      <c r="BS188" s="532"/>
      <c r="BT188" s="532"/>
      <c r="BU188" s="532"/>
      <c r="BV188" s="532"/>
      <c r="BW188" s="533"/>
      <c r="BX188" s="533"/>
      <c r="BY188" s="533"/>
      <c r="BZ188" s="533"/>
      <c r="CA188" s="533"/>
      <c r="CB188" s="533"/>
      <c r="CC188" s="533"/>
      <c r="CD188" s="533"/>
      <c r="CE188" s="533"/>
      <c r="CF188" s="533"/>
      <c r="CG188" s="533"/>
      <c r="CH188" s="533"/>
      <c r="CI188" s="533"/>
      <c r="CJ188" s="533"/>
      <c r="CK188" s="533"/>
      <c r="CL188" s="533"/>
      <c r="CM188" s="533"/>
      <c r="CN188" s="533"/>
      <c r="CO188" s="533"/>
      <c r="CP188" s="533"/>
      <c r="CQ188" s="533"/>
      <c r="CR188" s="533"/>
      <c r="CS188" s="533"/>
      <c r="CT188" s="533"/>
      <c r="CU188" s="533"/>
      <c r="CV188" s="533"/>
      <c r="CW188" s="533"/>
      <c r="CX188" s="533"/>
      <c r="CY188" s="533"/>
      <c r="CZ188" s="533"/>
      <c r="DA188" s="533"/>
      <c r="DB188" s="533"/>
      <c r="DC188" s="533"/>
      <c r="DD188" s="533"/>
      <c r="DE188" s="533"/>
      <c r="DF188" s="533"/>
      <c r="DG188" s="533"/>
      <c r="DH188" s="533"/>
      <c r="DI188" s="533"/>
      <c r="DJ188" s="533"/>
      <c r="DK188" s="533"/>
      <c r="DL188" s="533"/>
      <c r="DM188" s="533"/>
      <c r="DN188" s="533"/>
      <c r="DO188" s="533"/>
      <c r="DP188" s="533"/>
      <c r="DQ188" s="533"/>
      <c r="DR188" s="533"/>
      <c r="DS188" s="533"/>
      <c r="DT188" s="533"/>
      <c r="DU188" s="533"/>
      <c r="DV188" s="533"/>
      <c r="DW188" s="533"/>
      <c r="DX188" s="533"/>
      <c r="DY188" s="533"/>
      <c r="DZ188" s="533"/>
      <c r="EA188" s="533"/>
      <c r="EB188" s="533"/>
      <c r="EC188" s="533"/>
      <c r="ED188" s="533"/>
      <c r="EE188" s="533"/>
      <c r="EF188" s="533"/>
      <c r="EG188" s="533"/>
      <c r="EH188" s="533"/>
      <c r="EI188" s="533"/>
      <c r="EJ188" s="533"/>
      <c r="EK188" s="533"/>
      <c r="EL188" s="533"/>
      <c r="EM188" s="533"/>
      <c r="EN188" s="533"/>
      <c r="EO188" s="533"/>
      <c r="EP188" s="533"/>
      <c r="EQ188" s="533"/>
      <c r="ER188" s="533"/>
      <c r="ES188" s="533"/>
      <c r="ET188" s="533"/>
      <c r="EU188" s="533"/>
      <c r="EV188" s="533"/>
      <c r="EW188" s="533"/>
      <c r="EX188" s="533"/>
      <c r="EY188" s="533"/>
      <c r="EZ188" s="533"/>
      <c r="FA188" s="533"/>
      <c r="FB188" s="533"/>
      <c r="FC188" s="533"/>
      <c r="FD188" s="533"/>
      <c r="FE188" s="533"/>
      <c r="FF188" s="533"/>
      <c r="FG188" s="533"/>
      <c r="FH188" s="533"/>
      <c r="FI188" s="533"/>
      <c r="FJ188" s="533"/>
      <c r="FK188" s="533"/>
      <c r="FL188" s="533"/>
      <c r="FM188" s="533"/>
      <c r="FN188" s="533"/>
      <c r="FO188" s="533"/>
      <c r="FP188" s="533"/>
      <c r="FQ188" s="533"/>
      <c r="FR188" s="533"/>
      <c r="FS188" s="533"/>
      <c r="FT188" s="533"/>
      <c r="FU188" s="533"/>
      <c r="FV188" s="533"/>
      <c r="FW188" s="533"/>
      <c r="FX188" s="533"/>
      <c r="FY188" s="533"/>
      <c r="FZ188" s="533"/>
      <c r="GA188" s="533"/>
      <c r="GB188" s="533"/>
      <c r="GC188" s="533"/>
      <c r="GD188" s="533"/>
      <c r="GE188" s="533"/>
      <c r="GF188" s="533"/>
      <c r="GG188" s="533"/>
      <c r="GH188" s="533"/>
      <c r="GI188" s="533"/>
      <c r="GJ188" s="533"/>
      <c r="GK188" s="533"/>
      <c r="GL188" s="533"/>
      <c r="GM188" s="533"/>
      <c r="GN188" s="533"/>
      <c r="GO188" s="533"/>
      <c r="GP188" s="533"/>
      <c r="GQ188" s="533"/>
      <c r="GR188" s="533"/>
      <c r="GS188" s="533"/>
      <c r="GT188" s="533"/>
      <c r="GU188" s="533"/>
      <c r="GV188" s="533"/>
      <c r="GW188" s="533"/>
      <c r="GX188" s="533"/>
      <c r="GY188" s="533"/>
      <c r="GZ188" s="533"/>
      <c r="HA188" s="533"/>
      <c r="HB188" s="534"/>
    </row>
    <row r="189" spans="1:210" ht="20.100000000000001" customHeight="1">
      <c r="A189" s="164"/>
      <c r="B189" s="306" t="s">
        <v>1471</v>
      </c>
      <c r="C189" s="503"/>
      <c r="D189" s="503"/>
      <c r="E189" s="503"/>
      <c r="F189" s="503"/>
      <c r="G189" s="326"/>
      <c r="H189" s="326"/>
      <c r="I189" s="326"/>
      <c r="J189" s="326"/>
      <c r="K189" s="326"/>
      <c r="L189" s="326"/>
      <c r="M189" s="326"/>
      <c r="N189" s="326"/>
      <c r="O189" s="326"/>
      <c r="P189" s="326"/>
      <c r="Q189" s="326"/>
      <c r="R189" s="326"/>
      <c r="S189" s="326"/>
      <c r="T189" s="326"/>
      <c r="U189" s="326"/>
      <c r="V189" s="326"/>
      <c r="W189" s="326"/>
      <c r="X189" s="326"/>
      <c r="Y189" s="326"/>
      <c r="Z189" s="326"/>
      <c r="AA189" s="326"/>
      <c r="AB189" s="326"/>
      <c r="AC189" s="326"/>
      <c r="AD189" s="326"/>
      <c r="AE189" s="326"/>
      <c r="AF189" s="326"/>
      <c r="AG189" s="326"/>
      <c r="AH189" s="326"/>
      <c r="AI189" s="326"/>
      <c r="AJ189" s="326"/>
      <c r="AK189" s="326"/>
      <c r="AL189" s="326"/>
      <c r="AM189" s="326"/>
      <c r="AN189" s="326"/>
      <c r="AO189" s="531"/>
      <c r="AP189" s="531"/>
      <c r="AQ189" s="532"/>
      <c r="AR189" s="532"/>
      <c r="AS189" s="532"/>
      <c r="AT189" s="532"/>
      <c r="AU189" s="532"/>
      <c r="AV189" s="532"/>
      <c r="AW189" s="326"/>
      <c r="AX189" s="326"/>
      <c r="AY189" s="326"/>
      <c r="AZ189" s="326"/>
      <c r="BA189" s="326"/>
      <c r="BB189" s="326"/>
      <c r="BC189" s="326"/>
      <c r="BD189" s="326"/>
      <c r="BE189" s="326"/>
      <c r="BF189" s="326"/>
      <c r="BG189" s="326"/>
      <c r="BH189" s="326"/>
      <c r="BI189" s="326"/>
      <c r="BJ189" s="326"/>
      <c r="BK189" s="326"/>
      <c r="BL189" s="326"/>
      <c r="BM189" s="326"/>
      <c r="BN189" s="326"/>
      <c r="BO189" s="326"/>
      <c r="BP189" s="326"/>
      <c r="BQ189" s="532"/>
      <c r="BR189" s="532"/>
      <c r="BS189" s="532"/>
      <c r="BT189" s="532"/>
      <c r="BU189" s="532"/>
      <c r="BV189" s="532"/>
      <c r="BW189" s="533"/>
      <c r="BX189" s="533"/>
      <c r="BY189" s="533"/>
      <c r="BZ189" s="533"/>
      <c r="CA189" s="533"/>
      <c r="CB189" s="533"/>
      <c r="CC189" s="533"/>
      <c r="CD189" s="533"/>
      <c r="CE189" s="533"/>
      <c r="CF189" s="533"/>
      <c r="CG189" s="533"/>
      <c r="CH189" s="533"/>
      <c r="CI189" s="533"/>
      <c r="CJ189" s="533"/>
      <c r="CK189" s="533"/>
      <c r="CL189" s="533"/>
      <c r="CM189" s="533"/>
      <c r="CN189" s="533"/>
      <c r="CO189" s="533"/>
      <c r="CP189" s="533"/>
      <c r="CQ189" s="533"/>
      <c r="CR189" s="533"/>
      <c r="CS189" s="533"/>
      <c r="CT189" s="533"/>
      <c r="CU189" s="533"/>
      <c r="CV189" s="533"/>
      <c r="CW189" s="533"/>
      <c r="CX189" s="533"/>
      <c r="CY189" s="533"/>
      <c r="CZ189" s="533"/>
      <c r="DA189" s="533"/>
      <c r="DB189" s="533"/>
      <c r="DC189" s="533"/>
      <c r="DD189" s="533"/>
      <c r="DE189" s="533"/>
      <c r="DF189" s="533"/>
      <c r="DG189" s="533"/>
      <c r="DH189" s="533"/>
      <c r="DI189" s="533"/>
      <c r="DJ189" s="533"/>
      <c r="DK189" s="533"/>
      <c r="DL189" s="533"/>
      <c r="DM189" s="533"/>
      <c r="DN189" s="533"/>
      <c r="DO189" s="533"/>
      <c r="DP189" s="533"/>
      <c r="DQ189" s="533"/>
      <c r="DR189" s="533"/>
      <c r="DS189" s="533"/>
      <c r="DT189" s="533"/>
      <c r="DU189" s="533"/>
      <c r="DV189" s="533"/>
      <c r="DW189" s="533"/>
      <c r="DX189" s="533"/>
      <c r="DY189" s="533"/>
      <c r="DZ189" s="533"/>
      <c r="EA189" s="533"/>
      <c r="EB189" s="533"/>
      <c r="EC189" s="533"/>
      <c r="ED189" s="533"/>
      <c r="EE189" s="533"/>
      <c r="EF189" s="533"/>
      <c r="EG189" s="533"/>
      <c r="EH189" s="533"/>
      <c r="EI189" s="533"/>
      <c r="EJ189" s="533"/>
      <c r="EK189" s="533"/>
      <c r="EL189" s="533"/>
      <c r="EM189" s="533"/>
      <c r="EN189" s="533"/>
      <c r="EO189" s="533"/>
      <c r="EP189" s="533"/>
      <c r="EQ189" s="533"/>
      <c r="ER189" s="533"/>
      <c r="ES189" s="533"/>
      <c r="ET189" s="533"/>
      <c r="EU189" s="533"/>
      <c r="EV189" s="533"/>
      <c r="EW189" s="533"/>
      <c r="EX189" s="533"/>
      <c r="EY189" s="533"/>
      <c r="EZ189" s="533"/>
      <c r="FA189" s="533"/>
      <c r="FB189" s="533"/>
      <c r="FC189" s="533"/>
      <c r="FD189" s="533"/>
      <c r="FE189" s="533"/>
      <c r="FF189" s="533"/>
      <c r="FG189" s="533"/>
      <c r="FH189" s="533"/>
      <c r="FI189" s="533"/>
      <c r="FJ189" s="533"/>
      <c r="FK189" s="533"/>
      <c r="FL189" s="533"/>
      <c r="FM189" s="533"/>
      <c r="FN189" s="533"/>
      <c r="FO189" s="533"/>
      <c r="FP189" s="533"/>
      <c r="FQ189" s="533"/>
      <c r="FR189" s="533"/>
      <c r="FS189" s="533"/>
      <c r="FT189" s="533"/>
      <c r="FU189" s="533"/>
      <c r="FV189" s="533"/>
      <c r="FW189" s="533"/>
      <c r="FX189" s="533"/>
      <c r="FY189" s="533"/>
      <c r="FZ189" s="533"/>
      <c r="GA189" s="533"/>
      <c r="GB189" s="533"/>
      <c r="GC189" s="533"/>
      <c r="GD189" s="533"/>
      <c r="GE189" s="533"/>
      <c r="GF189" s="533"/>
      <c r="GG189" s="533"/>
      <c r="GH189" s="533"/>
      <c r="GI189" s="533"/>
      <c r="GJ189" s="533"/>
      <c r="GK189" s="533"/>
      <c r="GL189" s="533"/>
      <c r="GM189" s="533"/>
      <c r="GN189" s="533"/>
      <c r="GO189" s="533"/>
      <c r="GP189" s="533"/>
      <c r="GQ189" s="533"/>
      <c r="GR189" s="533"/>
      <c r="GS189" s="533"/>
      <c r="GT189" s="533"/>
      <c r="GU189" s="533"/>
      <c r="GV189" s="533"/>
      <c r="GW189" s="533"/>
      <c r="GX189" s="533"/>
      <c r="GY189" s="533"/>
      <c r="GZ189" s="533"/>
      <c r="HA189" s="533"/>
      <c r="HB189" s="534"/>
    </row>
    <row r="190" spans="1:210" ht="20.100000000000001" customHeight="1">
      <c r="A190" s="164"/>
      <c r="B190" s="306" t="s">
        <v>1472</v>
      </c>
      <c r="C190" s="503"/>
      <c r="D190" s="503"/>
      <c r="E190" s="503"/>
      <c r="F190" s="503"/>
      <c r="G190" s="326"/>
      <c r="H190" s="326"/>
      <c r="I190" s="326"/>
      <c r="J190" s="326"/>
      <c r="K190" s="326"/>
      <c r="L190" s="326"/>
      <c r="M190" s="326"/>
      <c r="N190" s="326"/>
      <c r="O190" s="326"/>
      <c r="P190" s="326"/>
      <c r="Q190" s="326"/>
      <c r="R190" s="326"/>
      <c r="S190" s="326"/>
      <c r="T190" s="326"/>
      <c r="U190" s="326"/>
      <c r="V190" s="326"/>
      <c r="W190" s="326"/>
      <c r="X190" s="326"/>
      <c r="Y190" s="326"/>
      <c r="Z190" s="326"/>
      <c r="AA190" s="326"/>
      <c r="AB190" s="326"/>
      <c r="AC190" s="326"/>
      <c r="AD190" s="326"/>
      <c r="AE190" s="326"/>
      <c r="AF190" s="326"/>
      <c r="AG190" s="326"/>
      <c r="AH190" s="326"/>
      <c r="AI190" s="326"/>
      <c r="AJ190" s="326"/>
      <c r="AK190" s="326"/>
      <c r="AL190" s="326"/>
      <c r="AM190" s="326"/>
      <c r="AN190" s="326"/>
      <c r="AO190" s="531"/>
      <c r="AP190" s="531"/>
      <c r="AQ190" s="532"/>
      <c r="AR190" s="532"/>
      <c r="AS190" s="532"/>
      <c r="AT190" s="532"/>
      <c r="AU190" s="532"/>
      <c r="AV190" s="532"/>
      <c r="AW190" s="326"/>
      <c r="AX190" s="326"/>
      <c r="AY190" s="326"/>
      <c r="AZ190" s="326"/>
      <c r="BA190" s="326"/>
      <c r="BB190" s="326"/>
      <c r="BC190" s="326"/>
      <c r="BD190" s="326"/>
      <c r="BE190" s="326"/>
      <c r="BF190" s="326"/>
      <c r="BG190" s="326"/>
      <c r="BH190" s="326"/>
      <c r="BI190" s="326"/>
      <c r="BJ190" s="326"/>
      <c r="BK190" s="326"/>
      <c r="BL190" s="326"/>
      <c r="BM190" s="326"/>
      <c r="BN190" s="326"/>
      <c r="BO190" s="326"/>
      <c r="BP190" s="326"/>
      <c r="BQ190" s="532"/>
      <c r="BR190" s="532"/>
      <c r="BS190" s="532"/>
      <c r="BT190" s="532"/>
      <c r="BU190" s="532"/>
      <c r="BV190" s="532"/>
      <c r="BW190" s="533"/>
      <c r="BX190" s="533"/>
      <c r="BY190" s="533"/>
      <c r="BZ190" s="533"/>
      <c r="CA190" s="533"/>
      <c r="CB190" s="533"/>
      <c r="CC190" s="533"/>
      <c r="CD190" s="533"/>
      <c r="CE190" s="533"/>
      <c r="CF190" s="533"/>
      <c r="CG190" s="533"/>
      <c r="CH190" s="533"/>
      <c r="CI190" s="533"/>
      <c r="CJ190" s="533"/>
      <c r="CK190" s="533"/>
      <c r="CL190" s="533"/>
      <c r="CM190" s="533"/>
      <c r="CN190" s="533"/>
      <c r="CO190" s="533"/>
      <c r="CP190" s="533"/>
      <c r="CQ190" s="533"/>
      <c r="CR190" s="533"/>
      <c r="CS190" s="533"/>
      <c r="CT190" s="533"/>
      <c r="CU190" s="533"/>
      <c r="CV190" s="533"/>
      <c r="CW190" s="533"/>
      <c r="CX190" s="533"/>
      <c r="CY190" s="533"/>
      <c r="CZ190" s="533"/>
      <c r="DA190" s="533"/>
      <c r="DB190" s="533"/>
      <c r="DC190" s="533"/>
      <c r="DD190" s="533"/>
      <c r="DE190" s="533"/>
      <c r="DF190" s="533"/>
      <c r="DG190" s="533"/>
      <c r="DH190" s="533"/>
      <c r="DI190" s="533"/>
      <c r="DJ190" s="533"/>
      <c r="DK190" s="533"/>
      <c r="DL190" s="533"/>
      <c r="DM190" s="533"/>
      <c r="DN190" s="533"/>
      <c r="DO190" s="533"/>
      <c r="DP190" s="533"/>
      <c r="DQ190" s="533"/>
      <c r="DR190" s="533"/>
      <c r="DS190" s="533"/>
      <c r="DT190" s="533"/>
      <c r="DU190" s="533"/>
      <c r="DV190" s="533"/>
      <c r="DW190" s="533"/>
      <c r="DX190" s="533"/>
      <c r="DY190" s="533"/>
      <c r="DZ190" s="533"/>
      <c r="EA190" s="533"/>
      <c r="EB190" s="533"/>
      <c r="EC190" s="533"/>
      <c r="ED190" s="533"/>
      <c r="EE190" s="533"/>
      <c r="EF190" s="533"/>
      <c r="EG190" s="533"/>
      <c r="EH190" s="533"/>
      <c r="EI190" s="533"/>
      <c r="EJ190" s="533"/>
      <c r="EK190" s="533"/>
      <c r="EL190" s="533"/>
      <c r="EM190" s="533"/>
      <c r="EN190" s="533"/>
      <c r="EO190" s="533"/>
      <c r="EP190" s="533"/>
      <c r="EQ190" s="533"/>
      <c r="ER190" s="533"/>
      <c r="ES190" s="533"/>
      <c r="ET190" s="533"/>
      <c r="EU190" s="533"/>
      <c r="EV190" s="533"/>
      <c r="EW190" s="533"/>
      <c r="EX190" s="533"/>
      <c r="EY190" s="533"/>
      <c r="EZ190" s="533"/>
      <c r="FA190" s="533"/>
      <c r="FB190" s="533"/>
      <c r="FC190" s="533"/>
      <c r="FD190" s="533"/>
      <c r="FE190" s="533"/>
      <c r="FF190" s="533"/>
      <c r="FG190" s="533"/>
      <c r="FH190" s="533"/>
      <c r="FI190" s="533"/>
      <c r="FJ190" s="533"/>
      <c r="FK190" s="533"/>
      <c r="FL190" s="533"/>
      <c r="FM190" s="533"/>
      <c r="FN190" s="533"/>
      <c r="FO190" s="533"/>
      <c r="FP190" s="533"/>
      <c r="FQ190" s="533"/>
      <c r="FR190" s="533"/>
      <c r="FS190" s="533"/>
      <c r="FT190" s="533"/>
      <c r="FU190" s="533"/>
      <c r="FV190" s="533"/>
      <c r="FW190" s="533"/>
      <c r="FX190" s="533"/>
      <c r="FY190" s="533"/>
      <c r="FZ190" s="533"/>
      <c r="GA190" s="533"/>
      <c r="GB190" s="533"/>
      <c r="GC190" s="533"/>
      <c r="GD190" s="533"/>
      <c r="GE190" s="533"/>
      <c r="GF190" s="533"/>
      <c r="GG190" s="533"/>
      <c r="GH190" s="533"/>
      <c r="GI190" s="533"/>
      <c r="GJ190" s="533"/>
      <c r="GK190" s="533"/>
      <c r="GL190" s="533"/>
      <c r="GM190" s="533"/>
      <c r="GN190" s="533"/>
      <c r="GO190" s="533"/>
      <c r="GP190" s="533"/>
      <c r="GQ190" s="533"/>
      <c r="GR190" s="533"/>
      <c r="GS190" s="533"/>
      <c r="GT190" s="533"/>
      <c r="GU190" s="533"/>
      <c r="GV190" s="533"/>
      <c r="GW190" s="533"/>
      <c r="GX190" s="533"/>
      <c r="GY190" s="533"/>
      <c r="GZ190" s="533"/>
      <c r="HA190" s="533"/>
      <c r="HB190" s="534"/>
    </row>
    <row r="191" spans="1:210" ht="20.100000000000001" customHeight="1">
      <c r="A191" s="164"/>
      <c r="B191" s="306" t="s">
        <v>1473</v>
      </c>
      <c r="C191" s="503"/>
      <c r="D191" s="503"/>
      <c r="E191" s="503"/>
      <c r="F191" s="503"/>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26"/>
      <c r="AI191" s="326"/>
      <c r="AJ191" s="326"/>
      <c r="AK191" s="326"/>
      <c r="AL191" s="326"/>
      <c r="AM191" s="326"/>
      <c r="AN191" s="326"/>
      <c r="AO191" s="531"/>
      <c r="AP191" s="531"/>
      <c r="AQ191" s="532"/>
      <c r="AR191" s="532"/>
      <c r="AS191" s="532"/>
      <c r="AT191" s="532"/>
      <c r="AU191" s="532"/>
      <c r="AV191" s="532"/>
      <c r="AW191" s="326"/>
      <c r="AX191" s="326"/>
      <c r="AY191" s="326"/>
      <c r="AZ191" s="326"/>
      <c r="BA191" s="326"/>
      <c r="BB191" s="326"/>
      <c r="BC191" s="326"/>
      <c r="BD191" s="326"/>
      <c r="BE191" s="326"/>
      <c r="BF191" s="326"/>
      <c r="BG191" s="326"/>
      <c r="BH191" s="326"/>
      <c r="BI191" s="326"/>
      <c r="BJ191" s="326"/>
      <c r="BK191" s="326"/>
      <c r="BL191" s="326"/>
      <c r="BM191" s="326"/>
      <c r="BN191" s="326"/>
      <c r="BO191" s="326"/>
      <c r="BP191" s="326"/>
      <c r="BQ191" s="532"/>
      <c r="BR191" s="532"/>
      <c r="BS191" s="532"/>
      <c r="BT191" s="532"/>
      <c r="BU191" s="532"/>
      <c r="BV191" s="532"/>
      <c r="BW191" s="533"/>
      <c r="BX191" s="533"/>
      <c r="BY191" s="533"/>
      <c r="BZ191" s="533"/>
      <c r="CA191" s="533"/>
      <c r="CB191" s="533"/>
      <c r="CC191" s="533"/>
      <c r="CD191" s="533"/>
      <c r="CE191" s="533"/>
      <c r="CF191" s="533"/>
      <c r="CG191" s="533"/>
      <c r="CH191" s="533"/>
      <c r="CI191" s="533"/>
      <c r="CJ191" s="533"/>
      <c r="CK191" s="533"/>
      <c r="CL191" s="533"/>
      <c r="CM191" s="533"/>
      <c r="CN191" s="533"/>
      <c r="CO191" s="533"/>
      <c r="CP191" s="533"/>
      <c r="CQ191" s="533"/>
      <c r="CR191" s="533"/>
      <c r="CS191" s="533"/>
      <c r="CT191" s="533"/>
      <c r="CU191" s="533"/>
      <c r="CV191" s="533"/>
      <c r="CW191" s="533"/>
      <c r="CX191" s="533"/>
      <c r="CY191" s="533"/>
      <c r="CZ191" s="533"/>
      <c r="DA191" s="533"/>
      <c r="DB191" s="533"/>
      <c r="DC191" s="533"/>
      <c r="DD191" s="533"/>
      <c r="DE191" s="533"/>
      <c r="DF191" s="533"/>
      <c r="DG191" s="533"/>
      <c r="DH191" s="533"/>
      <c r="DI191" s="533"/>
      <c r="DJ191" s="533"/>
      <c r="DK191" s="533"/>
      <c r="DL191" s="533"/>
      <c r="DM191" s="533"/>
      <c r="DN191" s="533"/>
      <c r="DO191" s="533"/>
      <c r="DP191" s="533"/>
      <c r="DQ191" s="533"/>
      <c r="DR191" s="533"/>
      <c r="DS191" s="533"/>
      <c r="DT191" s="533"/>
      <c r="DU191" s="533"/>
      <c r="DV191" s="533"/>
      <c r="DW191" s="533"/>
      <c r="DX191" s="533"/>
      <c r="DY191" s="533"/>
      <c r="DZ191" s="533"/>
      <c r="EA191" s="533"/>
      <c r="EB191" s="533"/>
      <c r="EC191" s="533"/>
      <c r="ED191" s="533"/>
      <c r="EE191" s="533"/>
      <c r="EF191" s="533"/>
      <c r="EG191" s="533"/>
      <c r="EH191" s="533"/>
      <c r="EI191" s="533"/>
      <c r="EJ191" s="533"/>
      <c r="EK191" s="533"/>
      <c r="EL191" s="533"/>
      <c r="EM191" s="533"/>
      <c r="EN191" s="533"/>
      <c r="EO191" s="533"/>
      <c r="EP191" s="533"/>
      <c r="EQ191" s="533"/>
      <c r="ER191" s="533"/>
      <c r="ES191" s="533"/>
      <c r="ET191" s="533"/>
      <c r="EU191" s="533"/>
      <c r="EV191" s="533"/>
      <c r="EW191" s="533"/>
      <c r="EX191" s="533"/>
      <c r="EY191" s="533"/>
      <c r="EZ191" s="533"/>
      <c r="FA191" s="533"/>
      <c r="FB191" s="533"/>
      <c r="FC191" s="533"/>
      <c r="FD191" s="533"/>
      <c r="FE191" s="533"/>
      <c r="FF191" s="533"/>
      <c r="FG191" s="533"/>
      <c r="FH191" s="533"/>
      <c r="FI191" s="533"/>
      <c r="FJ191" s="533"/>
      <c r="FK191" s="533"/>
      <c r="FL191" s="533"/>
      <c r="FM191" s="533"/>
      <c r="FN191" s="533"/>
      <c r="FO191" s="533"/>
      <c r="FP191" s="533"/>
      <c r="FQ191" s="533"/>
      <c r="FR191" s="533"/>
      <c r="FS191" s="533"/>
      <c r="FT191" s="533"/>
      <c r="FU191" s="533"/>
      <c r="FV191" s="533"/>
      <c r="FW191" s="533"/>
      <c r="FX191" s="533"/>
      <c r="FY191" s="533"/>
      <c r="FZ191" s="533"/>
      <c r="GA191" s="533"/>
      <c r="GB191" s="533"/>
      <c r="GC191" s="533"/>
      <c r="GD191" s="533"/>
      <c r="GE191" s="533"/>
      <c r="GF191" s="533"/>
      <c r="GG191" s="533"/>
      <c r="GH191" s="533"/>
      <c r="GI191" s="533"/>
      <c r="GJ191" s="533"/>
      <c r="GK191" s="533"/>
      <c r="GL191" s="533"/>
      <c r="GM191" s="533"/>
      <c r="GN191" s="533"/>
      <c r="GO191" s="533"/>
      <c r="GP191" s="533"/>
      <c r="GQ191" s="533"/>
      <c r="GR191" s="533"/>
      <c r="GS191" s="533"/>
      <c r="GT191" s="533"/>
      <c r="GU191" s="533"/>
      <c r="GV191" s="533"/>
      <c r="GW191" s="533"/>
      <c r="GX191" s="533"/>
      <c r="GY191" s="533"/>
      <c r="GZ191" s="533"/>
      <c r="HA191" s="533"/>
      <c r="HB191" s="534"/>
    </row>
    <row r="192" spans="1:210" ht="20.100000000000001" customHeight="1">
      <c r="A192" s="164"/>
      <c r="B192" s="306" t="s">
        <v>1474</v>
      </c>
      <c r="C192" s="503"/>
      <c r="D192" s="503"/>
      <c r="E192" s="503"/>
      <c r="F192" s="503"/>
      <c r="G192" s="326"/>
      <c r="H192" s="326"/>
      <c r="I192" s="326"/>
      <c r="J192" s="326"/>
      <c r="K192" s="326"/>
      <c r="L192" s="326"/>
      <c r="M192" s="326"/>
      <c r="N192" s="326"/>
      <c r="O192" s="326"/>
      <c r="P192" s="326"/>
      <c r="Q192" s="326"/>
      <c r="R192" s="326"/>
      <c r="S192" s="326"/>
      <c r="T192" s="326"/>
      <c r="U192" s="326"/>
      <c r="V192" s="326"/>
      <c r="W192" s="326"/>
      <c r="X192" s="326"/>
      <c r="Y192" s="326"/>
      <c r="Z192" s="326"/>
      <c r="AA192" s="326"/>
      <c r="AB192" s="326"/>
      <c r="AC192" s="326"/>
      <c r="AD192" s="326"/>
      <c r="AE192" s="326"/>
      <c r="AF192" s="326"/>
      <c r="AG192" s="326"/>
      <c r="AH192" s="326"/>
      <c r="AI192" s="326"/>
      <c r="AJ192" s="326"/>
      <c r="AK192" s="326"/>
      <c r="AL192" s="326"/>
      <c r="AM192" s="326"/>
      <c r="AN192" s="326"/>
      <c r="AO192" s="531"/>
      <c r="AP192" s="531"/>
      <c r="AQ192" s="532"/>
      <c r="AR192" s="532"/>
      <c r="AS192" s="532"/>
      <c r="AT192" s="532"/>
      <c r="AU192" s="532"/>
      <c r="AV192" s="532"/>
      <c r="AW192" s="326"/>
      <c r="AX192" s="326"/>
      <c r="AY192" s="326"/>
      <c r="AZ192" s="326"/>
      <c r="BA192" s="326"/>
      <c r="BB192" s="326"/>
      <c r="BC192" s="326"/>
      <c r="BD192" s="326"/>
      <c r="BE192" s="326"/>
      <c r="BF192" s="326"/>
      <c r="BG192" s="326"/>
      <c r="BH192" s="326"/>
      <c r="BI192" s="326"/>
      <c r="BJ192" s="326"/>
      <c r="BK192" s="326"/>
      <c r="BL192" s="326"/>
      <c r="BM192" s="326"/>
      <c r="BN192" s="326"/>
      <c r="BO192" s="326"/>
      <c r="BP192" s="326"/>
      <c r="BQ192" s="532"/>
      <c r="BR192" s="532"/>
      <c r="BS192" s="532"/>
      <c r="BT192" s="532"/>
      <c r="BU192" s="532"/>
      <c r="BV192" s="532"/>
      <c r="BW192" s="533"/>
      <c r="BX192" s="533"/>
      <c r="BY192" s="533"/>
      <c r="BZ192" s="533"/>
      <c r="CA192" s="533"/>
      <c r="CB192" s="533"/>
      <c r="CC192" s="533"/>
      <c r="CD192" s="533"/>
      <c r="CE192" s="533"/>
      <c r="CF192" s="533"/>
      <c r="CG192" s="533"/>
      <c r="CH192" s="533"/>
      <c r="CI192" s="533"/>
      <c r="CJ192" s="533"/>
      <c r="CK192" s="533"/>
      <c r="CL192" s="533"/>
      <c r="CM192" s="533"/>
      <c r="CN192" s="533"/>
      <c r="CO192" s="533"/>
      <c r="CP192" s="533"/>
      <c r="CQ192" s="533"/>
      <c r="CR192" s="533"/>
      <c r="CS192" s="533"/>
      <c r="CT192" s="533"/>
      <c r="CU192" s="533"/>
      <c r="CV192" s="533"/>
      <c r="CW192" s="533"/>
      <c r="CX192" s="533"/>
      <c r="CY192" s="533"/>
      <c r="CZ192" s="533"/>
      <c r="DA192" s="533"/>
      <c r="DB192" s="533"/>
      <c r="DC192" s="533"/>
      <c r="DD192" s="533"/>
      <c r="DE192" s="533"/>
      <c r="DF192" s="533"/>
      <c r="DG192" s="533"/>
      <c r="DH192" s="533"/>
      <c r="DI192" s="533"/>
      <c r="DJ192" s="533"/>
      <c r="DK192" s="533"/>
      <c r="DL192" s="533"/>
      <c r="DM192" s="533"/>
      <c r="DN192" s="533"/>
      <c r="DO192" s="533"/>
      <c r="DP192" s="533"/>
      <c r="DQ192" s="533"/>
      <c r="DR192" s="533"/>
      <c r="DS192" s="533"/>
      <c r="DT192" s="533"/>
      <c r="DU192" s="533"/>
      <c r="DV192" s="533"/>
      <c r="DW192" s="533"/>
      <c r="DX192" s="533"/>
      <c r="DY192" s="533"/>
      <c r="DZ192" s="533"/>
      <c r="EA192" s="533"/>
      <c r="EB192" s="533"/>
      <c r="EC192" s="533"/>
      <c r="ED192" s="533"/>
      <c r="EE192" s="533"/>
      <c r="EF192" s="533"/>
      <c r="EG192" s="533"/>
      <c r="EH192" s="533"/>
      <c r="EI192" s="533"/>
      <c r="EJ192" s="533"/>
      <c r="EK192" s="533"/>
      <c r="EL192" s="533"/>
      <c r="EM192" s="533"/>
      <c r="EN192" s="533"/>
      <c r="EO192" s="533"/>
      <c r="EP192" s="533"/>
      <c r="EQ192" s="533"/>
      <c r="ER192" s="533"/>
      <c r="ES192" s="533"/>
      <c r="ET192" s="533"/>
      <c r="EU192" s="533"/>
      <c r="EV192" s="533"/>
      <c r="EW192" s="533"/>
      <c r="EX192" s="533"/>
      <c r="EY192" s="533"/>
      <c r="EZ192" s="533"/>
      <c r="FA192" s="533"/>
      <c r="FB192" s="533"/>
      <c r="FC192" s="533"/>
      <c r="FD192" s="533"/>
      <c r="FE192" s="533"/>
      <c r="FF192" s="533"/>
      <c r="FG192" s="533"/>
      <c r="FH192" s="533"/>
      <c r="FI192" s="533"/>
      <c r="FJ192" s="533"/>
      <c r="FK192" s="533"/>
      <c r="FL192" s="533"/>
      <c r="FM192" s="533"/>
      <c r="FN192" s="533"/>
      <c r="FO192" s="533"/>
      <c r="FP192" s="533"/>
      <c r="FQ192" s="533"/>
      <c r="FR192" s="533"/>
      <c r="FS192" s="533"/>
      <c r="FT192" s="533"/>
      <c r="FU192" s="533"/>
      <c r="FV192" s="533"/>
      <c r="FW192" s="533"/>
      <c r="FX192" s="533"/>
      <c r="FY192" s="533"/>
      <c r="FZ192" s="533"/>
      <c r="GA192" s="533"/>
      <c r="GB192" s="533"/>
      <c r="GC192" s="533"/>
      <c r="GD192" s="533"/>
      <c r="GE192" s="533"/>
      <c r="GF192" s="533"/>
      <c r="GG192" s="533"/>
      <c r="GH192" s="533"/>
      <c r="GI192" s="533"/>
      <c r="GJ192" s="533"/>
      <c r="GK192" s="533"/>
      <c r="GL192" s="533"/>
      <c r="GM192" s="533"/>
      <c r="GN192" s="533"/>
      <c r="GO192" s="533"/>
      <c r="GP192" s="533"/>
      <c r="GQ192" s="533"/>
      <c r="GR192" s="533"/>
      <c r="GS192" s="533"/>
      <c r="GT192" s="533"/>
      <c r="GU192" s="533"/>
      <c r="GV192" s="533"/>
      <c r="GW192" s="533"/>
      <c r="GX192" s="533"/>
      <c r="GY192" s="533"/>
      <c r="GZ192" s="533"/>
      <c r="HA192" s="533"/>
      <c r="HB192" s="534"/>
    </row>
    <row r="193" spans="1:242" ht="20.100000000000001" customHeight="1">
      <c r="A193" s="164"/>
      <c r="B193" s="306" t="s">
        <v>1475</v>
      </c>
      <c r="C193" s="503"/>
      <c r="D193" s="503"/>
      <c r="E193" s="503"/>
      <c r="F193" s="503"/>
      <c r="G193" s="326"/>
      <c r="H193" s="326"/>
      <c r="I193" s="326"/>
      <c r="J193" s="326"/>
      <c r="K193" s="326"/>
      <c r="L193" s="326"/>
      <c r="M193" s="326"/>
      <c r="N193" s="326"/>
      <c r="O193" s="326"/>
      <c r="P193" s="326"/>
      <c r="Q193" s="326"/>
      <c r="R193" s="326"/>
      <c r="S193" s="326"/>
      <c r="T193" s="326"/>
      <c r="U193" s="326"/>
      <c r="V193" s="326"/>
      <c r="W193" s="326"/>
      <c r="X193" s="326"/>
      <c r="Y193" s="326"/>
      <c r="Z193" s="326"/>
      <c r="AA193" s="326"/>
      <c r="AB193" s="326"/>
      <c r="AC193" s="326"/>
      <c r="AD193" s="326"/>
      <c r="AE193" s="326"/>
      <c r="AF193" s="326"/>
      <c r="AG193" s="326"/>
      <c r="AH193" s="326"/>
      <c r="AI193" s="326"/>
      <c r="AJ193" s="326"/>
      <c r="AK193" s="326"/>
      <c r="AL193" s="326"/>
      <c r="AM193" s="326"/>
      <c r="AN193" s="326"/>
      <c r="AO193" s="531"/>
      <c r="AP193" s="531"/>
      <c r="AQ193" s="532"/>
      <c r="AR193" s="532"/>
      <c r="AS193" s="532"/>
      <c r="AT193" s="532"/>
      <c r="AU193" s="532"/>
      <c r="AV193" s="532"/>
      <c r="AW193" s="326"/>
      <c r="AX193" s="326"/>
      <c r="AY193" s="326"/>
      <c r="AZ193" s="326"/>
      <c r="BA193" s="326"/>
      <c r="BB193" s="326"/>
      <c r="BC193" s="326"/>
      <c r="BD193" s="326"/>
      <c r="BE193" s="326"/>
      <c r="BF193" s="326"/>
      <c r="BG193" s="326"/>
      <c r="BH193" s="326"/>
      <c r="BI193" s="326"/>
      <c r="BJ193" s="326"/>
      <c r="BK193" s="326"/>
      <c r="BL193" s="326"/>
      <c r="BM193" s="326"/>
      <c r="BN193" s="326"/>
      <c r="BO193" s="326"/>
      <c r="BP193" s="326"/>
      <c r="BQ193" s="532"/>
      <c r="BR193" s="532"/>
      <c r="BS193" s="532"/>
      <c r="BT193" s="532"/>
      <c r="BU193" s="532"/>
      <c r="BV193" s="532"/>
      <c r="BW193" s="533"/>
      <c r="BX193" s="533"/>
      <c r="BY193" s="533"/>
      <c r="BZ193" s="533"/>
      <c r="CA193" s="533"/>
      <c r="CB193" s="533"/>
      <c r="CC193" s="533"/>
      <c r="CD193" s="533"/>
      <c r="CE193" s="533"/>
      <c r="CF193" s="533"/>
      <c r="CG193" s="533"/>
      <c r="CH193" s="533"/>
      <c r="CI193" s="533"/>
      <c r="CJ193" s="533"/>
      <c r="CK193" s="533"/>
      <c r="CL193" s="533"/>
      <c r="CM193" s="533"/>
      <c r="CN193" s="533"/>
      <c r="CO193" s="533"/>
      <c r="CP193" s="533"/>
      <c r="CQ193" s="533"/>
      <c r="CR193" s="533"/>
      <c r="CS193" s="533"/>
      <c r="CT193" s="533"/>
      <c r="CU193" s="533"/>
      <c r="CV193" s="533"/>
      <c r="CW193" s="533"/>
      <c r="CX193" s="533"/>
      <c r="CY193" s="533"/>
      <c r="CZ193" s="533"/>
      <c r="DA193" s="533"/>
      <c r="DB193" s="533"/>
      <c r="DC193" s="533"/>
      <c r="DD193" s="533"/>
      <c r="DE193" s="533"/>
      <c r="DF193" s="533"/>
      <c r="DG193" s="533"/>
      <c r="DH193" s="533"/>
      <c r="DI193" s="533"/>
      <c r="DJ193" s="533"/>
      <c r="DK193" s="533"/>
      <c r="DL193" s="533"/>
      <c r="DM193" s="533"/>
      <c r="DN193" s="533"/>
      <c r="DO193" s="533"/>
      <c r="DP193" s="533"/>
      <c r="DQ193" s="533"/>
      <c r="DR193" s="533"/>
      <c r="DS193" s="533"/>
      <c r="DT193" s="533"/>
      <c r="DU193" s="533"/>
      <c r="DV193" s="533"/>
      <c r="DW193" s="533"/>
      <c r="DX193" s="533"/>
      <c r="DY193" s="533"/>
      <c r="DZ193" s="533"/>
      <c r="EA193" s="533"/>
      <c r="EB193" s="533"/>
      <c r="EC193" s="533"/>
      <c r="ED193" s="533"/>
      <c r="EE193" s="533"/>
      <c r="EF193" s="533"/>
      <c r="EG193" s="533"/>
      <c r="EH193" s="533"/>
      <c r="EI193" s="533"/>
      <c r="EJ193" s="533"/>
      <c r="EK193" s="533"/>
      <c r="EL193" s="533"/>
      <c r="EM193" s="533"/>
      <c r="EN193" s="533"/>
      <c r="EO193" s="533"/>
      <c r="EP193" s="533"/>
      <c r="EQ193" s="533"/>
      <c r="ER193" s="533"/>
      <c r="ES193" s="533"/>
      <c r="ET193" s="533"/>
      <c r="EU193" s="533"/>
      <c r="EV193" s="533"/>
      <c r="EW193" s="533"/>
      <c r="EX193" s="533"/>
      <c r="EY193" s="533"/>
      <c r="EZ193" s="533"/>
      <c r="FA193" s="533"/>
      <c r="FB193" s="533"/>
      <c r="FC193" s="533"/>
      <c r="FD193" s="533"/>
      <c r="FE193" s="533"/>
      <c r="FF193" s="533"/>
      <c r="FG193" s="533"/>
      <c r="FH193" s="533"/>
      <c r="FI193" s="533"/>
      <c r="FJ193" s="533"/>
      <c r="FK193" s="533"/>
      <c r="FL193" s="533"/>
      <c r="FM193" s="533"/>
      <c r="FN193" s="533"/>
      <c r="FO193" s="533"/>
      <c r="FP193" s="533"/>
      <c r="FQ193" s="533"/>
      <c r="FR193" s="533"/>
      <c r="FS193" s="533"/>
      <c r="FT193" s="533"/>
      <c r="FU193" s="533"/>
      <c r="FV193" s="533"/>
      <c r="FW193" s="533"/>
      <c r="FX193" s="533"/>
      <c r="FY193" s="533"/>
      <c r="FZ193" s="533"/>
      <c r="GA193" s="533"/>
      <c r="GB193" s="533"/>
      <c r="GC193" s="533"/>
      <c r="GD193" s="533"/>
      <c r="GE193" s="533"/>
      <c r="GF193" s="533"/>
      <c r="GG193" s="533"/>
      <c r="GH193" s="533"/>
      <c r="GI193" s="533"/>
      <c r="GJ193" s="533"/>
      <c r="GK193" s="533"/>
      <c r="GL193" s="533"/>
      <c r="GM193" s="533"/>
      <c r="GN193" s="533"/>
      <c r="GO193" s="533"/>
      <c r="GP193" s="533"/>
      <c r="GQ193" s="533"/>
      <c r="GR193" s="533"/>
      <c r="GS193" s="533"/>
      <c r="GT193" s="533"/>
      <c r="GU193" s="533"/>
      <c r="GV193" s="533"/>
      <c r="GW193" s="533"/>
      <c r="GX193" s="533"/>
      <c r="GY193" s="533"/>
      <c r="GZ193" s="533"/>
      <c r="HA193" s="533"/>
      <c r="HB193" s="534"/>
    </row>
    <row r="194" spans="1:242" ht="20.100000000000001" customHeight="1">
      <c r="A194" s="164"/>
      <c r="B194" s="306" t="s">
        <v>1476</v>
      </c>
      <c r="C194" s="503"/>
      <c r="D194" s="503"/>
      <c r="E194" s="503"/>
      <c r="F194" s="503"/>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c r="AF194" s="326"/>
      <c r="AG194" s="326"/>
      <c r="AH194" s="326"/>
      <c r="AI194" s="326"/>
      <c r="AJ194" s="326"/>
      <c r="AK194" s="326"/>
      <c r="AL194" s="326"/>
      <c r="AM194" s="326"/>
      <c r="AN194" s="326"/>
      <c r="AO194" s="531"/>
      <c r="AP194" s="531"/>
      <c r="AQ194" s="532"/>
      <c r="AR194" s="532"/>
      <c r="AS194" s="532"/>
      <c r="AT194" s="532"/>
      <c r="AU194" s="532"/>
      <c r="AV194" s="532"/>
      <c r="AW194" s="326"/>
      <c r="AX194" s="326"/>
      <c r="AY194" s="326"/>
      <c r="AZ194" s="326"/>
      <c r="BA194" s="326"/>
      <c r="BB194" s="326"/>
      <c r="BC194" s="326"/>
      <c r="BD194" s="326"/>
      <c r="BE194" s="326"/>
      <c r="BF194" s="326"/>
      <c r="BG194" s="326"/>
      <c r="BH194" s="326"/>
      <c r="BI194" s="326"/>
      <c r="BJ194" s="326"/>
      <c r="BK194" s="326"/>
      <c r="BL194" s="326"/>
      <c r="BM194" s="326"/>
      <c r="BN194" s="326"/>
      <c r="BO194" s="326"/>
      <c r="BP194" s="326"/>
      <c r="BQ194" s="532"/>
      <c r="BR194" s="532"/>
      <c r="BS194" s="532"/>
      <c r="BT194" s="532"/>
      <c r="BU194" s="532"/>
      <c r="BV194" s="532"/>
      <c r="BW194" s="533"/>
      <c r="BX194" s="533"/>
      <c r="BY194" s="533"/>
      <c r="BZ194" s="533"/>
      <c r="CA194" s="533"/>
      <c r="CB194" s="533"/>
      <c r="CC194" s="533"/>
      <c r="CD194" s="533"/>
      <c r="CE194" s="533"/>
      <c r="CF194" s="533"/>
      <c r="CG194" s="533"/>
      <c r="CH194" s="533"/>
      <c r="CI194" s="533"/>
      <c r="CJ194" s="533"/>
      <c r="CK194" s="533"/>
      <c r="CL194" s="533"/>
      <c r="CM194" s="533"/>
      <c r="CN194" s="533"/>
      <c r="CO194" s="533"/>
      <c r="CP194" s="533"/>
      <c r="CQ194" s="533"/>
      <c r="CR194" s="533"/>
      <c r="CS194" s="533"/>
      <c r="CT194" s="533"/>
      <c r="CU194" s="533"/>
      <c r="CV194" s="533"/>
      <c r="CW194" s="533"/>
      <c r="CX194" s="533"/>
      <c r="CY194" s="533"/>
      <c r="CZ194" s="533"/>
      <c r="DA194" s="533"/>
      <c r="DB194" s="533"/>
      <c r="DC194" s="533"/>
      <c r="DD194" s="533"/>
      <c r="DE194" s="533"/>
      <c r="DF194" s="533"/>
      <c r="DG194" s="533"/>
      <c r="DH194" s="533"/>
      <c r="DI194" s="533"/>
      <c r="DJ194" s="533"/>
      <c r="DK194" s="533"/>
      <c r="DL194" s="533"/>
      <c r="DM194" s="533"/>
      <c r="DN194" s="533"/>
      <c r="DO194" s="533"/>
      <c r="DP194" s="533"/>
      <c r="DQ194" s="533"/>
      <c r="DR194" s="533"/>
      <c r="DS194" s="533"/>
      <c r="DT194" s="533"/>
      <c r="DU194" s="533"/>
      <c r="DV194" s="533"/>
      <c r="DW194" s="533"/>
      <c r="DX194" s="533"/>
      <c r="DY194" s="533"/>
      <c r="DZ194" s="533"/>
      <c r="EA194" s="533"/>
      <c r="EB194" s="533"/>
      <c r="EC194" s="533"/>
      <c r="ED194" s="533"/>
      <c r="EE194" s="533"/>
      <c r="EF194" s="533"/>
      <c r="EG194" s="533"/>
      <c r="EH194" s="533"/>
      <c r="EI194" s="533"/>
      <c r="EJ194" s="533"/>
      <c r="EK194" s="533"/>
      <c r="EL194" s="533"/>
      <c r="EM194" s="533"/>
      <c r="EN194" s="533"/>
      <c r="EO194" s="533"/>
      <c r="EP194" s="533"/>
      <c r="EQ194" s="533"/>
      <c r="ER194" s="533"/>
      <c r="ES194" s="533"/>
      <c r="ET194" s="533"/>
      <c r="EU194" s="533"/>
      <c r="EV194" s="533"/>
      <c r="EW194" s="533"/>
      <c r="EX194" s="533"/>
      <c r="EY194" s="533"/>
      <c r="EZ194" s="533"/>
      <c r="FA194" s="533"/>
      <c r="FB194" s="533"/>
      <c r="FC194" s="533"/>
      <c r="FD194" s="533"/>
      <c r="FE194" s="533"/>
      <c r="FF194" s="533"/>
      <c r="FG194" s="533"/>
      <c r="FH194" s="533"/>
      <c r="FI194" s="533"/>
      <c r="FJ194" s="533"/>
      <c r="FK194" s="533"/>
      <c r="FL194" s="533"/>
      <c r="FM194" s="533"/>
      <c r="FN194" s="533"/>
      <c r="FO194" s="533"/>
      <c r="FP194" s="533"/>
      <c r="FQ194" s="533"/>
      <c r="FR194" s="533"/>
      <c r="FS194" s="533"/>
      <c r="FT194" s="533"/>
      <c r="FU194" s="533"/>
      <c r="FV194" s="533"/>
      <c r="FW194" s="533"/>
      <c r="FX194" s="533"/>
      <c r="FY194" s="533"/>
      <c r="FZ194" s="533"/>
      <c r="GA194" s="533"/>
      <c r="GB194" s="533"/>
      <c r="GC194" s="533"/>
      <c r="GD194" s="533"/>
      <c r="GE194" s="533"/>
      <c r="GF194" s="533"/>
      <c r="GG194" s="533"/>
      <c r="GH194" s="533"/>
      <c r="GI194" s="533"/>
      <c r="GJ194" s="533"/>
      <c r="GK194" s="533"/>
      <c r="GL194" s="533"/>
      <c r="GM194" s="533"/>
      <c r="GN194" s="533"/>
      <c r="GO194" s="533"/>
      <c r="GP194" s="533"/>
      <c r="GQ194" s="533"/>
      <c r="GR194" s="533"/>
      <c r="GS194" s="533"/>
      <c r="GT194" s="533"/>
      <c r="GU194" s="533"/>
      <c r="GV194" s="533"/>
      <c r="GW194" s="533"/>
      <c r="GX194" s="533"/>
      <c r="GY194" s="533"/>
      <c r="GZ194" s="533"/>
      <c r="HA194" s="533"/>
      <c r="HB194" s="534"/>
    </row>
    <row r="195" spans="1:242" ht="20.100000000000001" customHeight="1">
      <c r="A195" s="164"/>
      <c r="B195" s="306" t="s">
        <v>1477</v>
      </c>
      <c r="C195" s="503"/>
      <c r="D195" s="503"/>
      <c r="E195" s="503"/>
      <c r="F195" s="503"/>
      <c r="G195" s="326"/>
      <c r="H195" s="326"/>
      <c r="I195" s="326"/>
      <c r="J195" s="326"/>
      <c r="K195" s="326"/>
      <c r="L195" s="326"/>
      <c r="M195" s="326"/>
      <c r="N195" s="326"/>
      <c r="O195" s="326"/>
      <c r="P195" s="326"/>
      <c r="Q195" s="326"/>
      <c r="R195" s="326"/>
      <c r="S195" s="326"/>
      <c r="T195" s="326"/>
      <c r="U195" s="326"/>
      <c r="V195" s="326"/>
      <c r="W195" s="326"/>
      <c r="X195" s="326"/>
      <c r="Y195" s="326"/>
      <c r="Z195" s="326"/>
      <c r="AA195" s="326"/>
      <c r="AB195" s="326"/>
      <c r="AC195" s="326"/>
      <c r="AD195" s="326"/>
      <c r="AE195" s="326"/>
      <c r="AF195" s="326"/>
      <c r="AG195" s="326"/>
      <c r="AH195" s="326"/>
      <c r="AI195" s="326"/>
      <c r="AJ195" s="326"/>
      <c r="AK195" s="326"/>
      <c r="AL195" s="326"/>
      <c r="AM195" s="326"/>
      <c r="AN195" s="326"/>
      <c r="AO195" s="531"/>
      <c r="AP195" s="531"/>
      <c r="AQ195" s="532"/>
      <c r="AR195" s="532"/>
      <c r="AS195" s="532"/>
      <c r="AT195" s="532"/>
      <c r="AU195" s="532"/>
      <c r="AV195" s="532"/>
      <c r="AW195" s="326"/>
      <c r="AX195" s="326"/>
      <c r="AY195" s="326"/>
      <c r="AZ195" s="326"/>
      <c r="BA195" s="326"/>
      <c r="BB195" s="326"/>
      <c r="BC195" s="326"/>
      <c r="BD195" s="326"/>
      <c r="BE195" s="326"/>
      <c r="BF195" s="326"/>
      <c r="BG195" s="326"/>
      <c r="BH195" s="326"/>
      <c r="BI195" s="326"/>
      <c r="BJ195" s="326"/>
      <c r="BK195" s="326"/>
      <c r="BL195" s="326"/>
      <c r="BM195" s="326"/>
      <c r="BN195" s="326"/>
      <c r="BO195" s="326"/>
      <c r="BP195" s="326"/>
      <c r="BQ195" s="532"/>
      <c r="BR195" s="532"/>
      <c r="BS195" s="532"/>
      <c r="BT195" s="532"/>
      <c r="BU195" s="532"/>
      <c r="BV195" s="532"/>
      <c r="BW195" s="533"/>
      <c r="BX195" s="533"/>
      <c r="BY195" s="533"/>
      <c r="BZ195" s="533"/>
      <c r="CA195" s="533"/>
      <c r="CB195" s="533"/>
      <c r="CC195" s="533"/>
      <c r="CD195" s="533"/>
      <c r="CE195" s="533"/>
      <c r="CF195" s="533"/>
      <c r="CG195" s="533"/>
      <c r="CH195" s="533"/>
      <c r="CI195" s="533"/>
      <c r="CJ195" s="533"/>
      <c r="CK195" s="533"/>
      <c r="CL195" s="533"/>
      <c r="CM195" s="533"/>
      <c r="CN195" s="533"/>
      <c r="CO195" s="533"/>
      <c r="CP195" s="533"/>
      <c r="CQ195" s="533"/>
      <c r="CR195" s="533"/>
      <c r="CS195" s="533"/>
      <c r="CT195" s="533"/>
      <c r="CU195" s="533"/>
      <c r="CV195" s="533"/>
      <c r="CW195" s="533"/>
      <c r="CX195" s="533"/>
      <c r="CY195" s="533"/>
      <c r="CZ195" s="533"/>
      <c r="DA195" s="533"/>
      <c r="DB195" s="533"/>
      <c r="DC195" s="533"/>
      <c r="DD195" s="533"/>
      <c r="DE195" s="533"/>
      <c r="DF195" s="533"/>
      <c r="DG195" s="533"/>
      <c r="DH195" s="533"/>
      <c r="DI195" s="533"/>
      <c r="DJ195" s="533"/>
      <c r="DK195" s="533"/>
      <c r="DL195" s="533"/>
      <c r="DM195" s="533"/>
      <c r="DN195" s="533"/>
      <c r="DO195" s="533"/>
      <c r="DP195" s="533"/>
      <c r="DQ195" s="533"/>
      <c r="DR195" s="533"/>
      <c r="DS195" s="533"/>
      <c r="DT195" s="533"/>
      <c r="DU195" s="533"/>
      <c r="DV195" s="533"/>
      <c r="DW195" s="533"/>
      <c r="DX195" s="533"/>
      <c r="DY195" s="533"/>
      <c r="DZ195" s="533"/>
      <c r="EA195" s="533"/>
      <c r="EB195" s="533"/>
      <c r="EC195" s="533"/>
      <c r="ED195" s="533"/>
      <c r="EE195" s="533"/>
      <c r="EF195" s="533"/>
      <c r="EG195" s="533"/>
      <c r="EH195" s="533"/>
      <c r="EI195" s="533"/>
      <c r="EJ195" s="533"/>
      <c r="EK195" s="533"/>
      <c r="EL195" s="533"/>
      <c r="EM195" s="533"/>
      <c r="EN195" s="533"/>
      <c r="EO195" s="533"/>
      <c r="EP195" s="533"/>
      <c r="EQ195" s="533"/>
      <c r="ER195" s="533"/>
      <c r="ES195" s="533"/>
      <c r="ET195" s="533"/>
      <c r="EU195" s="533"/>
      <c r="EV195" s="533"/>
      <c r="EW195" s="533"/>
      <c r="EX195" s="533"/>
      <c r="EY195" s="533"/>
      <c r="EZ195" s="533"/>
      <c r="FA195" s="533"/>
      <c r="FB195" s="533"/>
      <c r="FC195" s="533"/>
      <c r="FD195" s="533"/>
      <c r="FE195" s="533"/>
      <c r="FF195" s="533"/>
      <c r="FG195" s="533"/>
      <c r="FH195" s="533"/>
      <c r="FI195" s="533"/>
      <c r="FJ195" s="533"/>
      <c r="FK195" s="533"/>
      <c r="FL195" s="533"/>
      <c r="FM195" s="533"/>
      <c r="FN195" s="533"/>
      <c r="FO195" s="533"/>
      <c r="FP195" s="533"/>
      <c r="FQ195" s="533"/>
      <c r="FR195" s="533"/>
      <c r="FS195" s="533"/>
      <c r="FT195" s="533"/>
      <c r="FU195" s="533"/>
      <c r="FV195" s="533"/>
      <c r="FW195" s="533"/>
      <c r="FX195" s="533"/>
      <c r="FY195" s="533"/>
      <c r="FZ195" s="533"/>
      <c r="GA195" s="533"/>
      <c r="GB195" s="533"/>
      <c r="GC195" s="533"/>
      <c r="GD195" s="533"/>
      <c r="GE195" s="533"/>
      <c r="GF195" s="533"/>
      <c r="GG195" s="533"/>
      <c r="GH195" s="533"/>
      <c r="GI195" s="533"/>
      <c r="GJ195" s="533"/>
      <c r="GK195" s="533"/>
      <c r="GL195" s="533"/>
      <c r="GM195" s="533"/>
      <c r="GN195" s="533"/>
      <c r="GO195" s="533"/>
      <c r="GP195" s="533"/>
      <c r="GQ195" s="533"/>
      <c r="GR195" s="533"/>
      <c r="GS195" s="533"/>
      <c r="GT195" s="533"/>
      <c r="GU195" s="533"/>
      <c r="GV195" s="533"/>
      <c r="GW195" s="533"/>
      <c r="GX195" s="533"/>
      <c r="GY195" s="533"/>
      <c r="GZ195" s="533"/>
      <c r="HA195" s="533"/>
      <c r="HB195" s="534"/>
    </row>
    <row r="196" spans="1:242" ht="20.100000000000001" customHeight="1">
      <c r="A196" s="164"/>
      <c r="B196" s="306" t="s">
        <v>1478</v>
      </c>
      <c r="C196" s="503"/>
      <c r="D196" s="503"/>
      <c r="E196" s="503"/>
      <c r="F196" s="503"/>
      <c r="G196" s="326"/>
      <c r="H196" s="326"/>
      <c r="I196" s="326"/>
      <c r="J196" s="326"/>
      <c r="K196" s="326"/>
      <c r="L196" s="326"/>
      <c r="M196" s="326"/>
      <c r="N196" s="326"/>
      <c r="O196" s="326"/>
      <c r="P196" s="326"/>
      <c r="Q196" s="326"/>
      <c r="R196" s="326"/>
      <c r="S196" s="326"/>
      <c r="T196" s="326"/>
      <c r="U196" s="326"/>
      <c r="V196" s="326"/>
      <c r="W196" s="326"/>
      <c r="X196" s="326"/>
      <c r="Y196" s="326"/>
      <c r="Z196" s="326"/>
      <c r="AA196" s="326"/>
      <c r="AB196" s="326"/>
      <c r="AC196" s="326"/>
      <c r="AD196" s="326"/>
      <c r="AE196" s="326"/>
      <c r="AF196" s="326"/>
      <c r="AG196" s="326"/>
      <c r="AH196" s="326"/>
      <c r="AI196" s="326"/>
      <c r="AJ196" s="326"/>
      <c r="AK196" s="326"/>
      <c r="AL196" s="326"/>
      <c r="AM196" s="326"/>
      <c r="AN196" s="326"/>
      <c r="AO196" s="531"/>
      <c r="AP196" s="531"/>
      <c r="AQ196" s="532"/>
      <c r="AR196" s="532"/>
      <c r="AS196" s="532"/>
      <c r="AT196" s="532"/>
      <c r="AU196" s="532"/>
      <c r="AV196" s="532"/>
      <c r="AW196" s="326"/>
      <c r="AX196" s="326"/>
      <c r="AY196" s="326"/>
      <c r="AZ196" s="326"/>
      <c r="BA196" s="326"/>
      <c r="BB196" s="326"/>
      <c r="BC196" s="326"/>
      <c r="BD196" s="326"/>
      <c r="BE196" s="326"/>
      <c r="BF196" s="326"/>
      <c r="BG196" s="326"/>
      <c r="BH196" s="326"/>
      <c r="BI196" s="326"/>
      <c r="BJ196" s="326"/>
      <c r="BK196" s="326"/>
      <c r="BL196" s="326"/>
      <c r="BM196" s="326"/>
      <c r="BN196" s="326"/>
      <c r="BO196" s="326"/>
      <c r="BP196" s="326"/>
      <c r="BQ196" s="532"/>
      <c r="BR196" s="532"/>
      <c r="BS196" s="532"/>
      <c r="BT196" s="532"/>
      <c r="BU196" s="532"/>
      <c r="BV196" s="532"/>
      <c r="BW196" s="533"/>
      <c r="BX196" s="533"/>
      <c r="BY196" s="533"/>
      <c r="BZ196" s="533"/>
      <c r="CA196" s="533"/>
      <c r="CB196" s="533"/>
      <c r="CC196" s="533"/>
      <c r="CD196" s="533"/>
      <c r="CE196" s="533"/>
      <c r="CF196" s="533"/>
      <c r="CG196" s="533"/>
      <c r="CH196" s="533"/>
      <c r="CI196" s="533"/>
      <c r="CJ196" s="533"/>
      <c r="CK196" s="533"/>
      <c r="CL196" s="533"/>
      <c r="CM196" s="533"/>
      <c r="CN196" s="533"/>
      <c r="CO196" s="533"/>
      <c r="CP196" s="533"/>
      <c r="CQ196" s="533"/>
      <c r="CR196" s="533"/>
      <c r="CS196" s="533"/>
      <c r="CT196" s="533"/>
      <c r="CU196" s="533"/>
      <c r="CV196" s="533"/>
      <c r="CW196" s="533"/>
      <c r="CX196" s="533"/>
      <c r="CY196" s="533"/>
      <c r="CZ196" s="533"/>
      <c r="DA196" s="533"/>
      <c r="DB196" s="533"/>
      <c r="DC196" s="533"/>
      <c r="DD196" s="533"/>
      <c r="DE196" s="533"/>
      <c r="DF196" s="533"/>
      <c r="DG196" s="533"/>
      <c r="DH196" s="533"/>
      <c r="DI196" s="533"/>
      <c r="DJ196" s="533"/>
      <c r="DK196" s="533"/>
      <c r="DL196" s="533"/>
      <c r="DM196" s="533"/>
      <c r="DN196" s="533"/>
      <c r="DO196" s="533"/>
      <c r="DP196" s="533"/>
      <c r="DQ196" s="533"/>
      <c r="DR196" s="533"/>
      <c r="DS196" s="533"/>
      <c r="DT196" s="533"/>
      <c r="DU196" s="533"/>
      <c r="DV196" s="533"/>
      <c r="DW196" s="533"/>
      <c r="DX196" s="533"/>
      <c r="DY196" s="533"/>
      <c r="DZ196" s="533"/>
      <c r="EA196" s="533"/>
      <c r="EB196" s="533"/>
      <c r="EC196" s="533"/>
      <c r="ED196" s="533"/>
      <c r="EE196" s="533"/>
      <c r="EF196" s="533"/>
      <c r="EG196" s="533"/>
      <c r="EH196" s="533"/>
      <c r="EI196" s="533"/>
      <c r="EJ196" s="533"/>
      <c r="EK196" s="533"/>
      <c r="EL196" s="533"/>
      <c r="EM196" s="533"/>
      <c r="EN196" s="533"/>
      <c r="EO196" s="533"/>
      <c r="EP196" s="533"/>
      <c r="EQ196" s="533"/>
      <c r="ER196" s="533"/>
      <c r="ES196" s="533"/>
      <c r="ET196" s="533"/>
      <c r="EU196" s="533"/>
      <c r="EV196" s="533"/>
      <c r="EW196" s="533"/>
      <c r="EX196" s="533"/>
      <c r="EY196" s="533"/>
      <c r="EZ196" s="533"/>
      <c r="FA196" s="533"/>
      <c r="FB196" s="533"/>
      <c r="FC196" s="533"/>
      <c r="FD196" s="533"/>
      <c r="FE196" s="533"/>
      <c r="FF196" s="533"/>
      <c r="FG196" s="533"/>
      <c r="FH196" s="533"/>
      <c r="FI196" s="533"/>
      <c r="FJ196" s="533"/>
      <c r="FK196" s="533"/>
      <c r="FL196" s="533"/>
      <c r="FM196" s="533"/>
      <c r="FN196" s="533"/>
      <c r="FO196" s="533"/>
      <c r="FP196" s="533"/>
      <c r="FQ196" s="533"/>
      <c r="FR196" s="533"/>
      <c r="FS196" s="533"/>
      <c r="FT196" s="533"/>
      <c r="FU196" s="533"/>
      <c r="FV196" s="533"/>
      <c r="FW196" s="533"/>
      <c r="FX196" s="533"/>
      <c r="FY196" s="533"/>
      <c r="FZ196" s="533"/>
      <c r="GA196" s="533"/>
      <c r="GB196" s="533"/>
      <c r="GC196" s="533"/>
      <c r="GD196" s="533"/>
      <c r="GE196" s="533"/>
      <c r="GF196" s="533"/>
      <c r="GG196" s="533"/>
      <c r="GH196" s="533"/>
      <c r="GI196" s="533"/>
      <c r="GJ196" s="533"/>
      <c r="GK196" s="533"/>
      <c r="GL196" s="533"/>
      <c r="GM196" s="533"/>
      <c r="GN196" s="533"/>
      <c r="GO196" s="533"/>
      <c r="GP196" s="533"/>
      <c r="GQ196" s="533"/>
      <c r="GR196" s="533"/>
      <c r="GS196" s="533"/>
      <c r="GT196" s="533"/>
      <c r="GU196" s="533"/>
      <c r="GV196" s="533"/>
      <c r="GW196" s="533"/>
      <c r="GX196" s="533"/>
      <c r="GY196" s="533"/>
      <c r="GZ196" s="533"/>
      <c r="HA196" s="533"/>
      <c r="HB196" s="534"/>
    </row>
    <row r="197" spans="1:242" ht="20.100000000000001" customHeight="1">
      <c r="A197" s="164"/>
      <c r="B197" s="306" t="s">
        <v>1479</v>
      </c>
      <c r="C197" s="503"/>
      <c r="D197" s="503"/>
      <c r="E197" s="503"/>
      <c r="F197" s="503"/>
      <c r="G197" s="326"/>
      <c r="H197" s="326"/>
      <c r="I197" s="326"/>
      <c r="J197" s="326"/>
      <c r="K197" s="326"/>
      <c r="L197" s="326"/>
      <c r="M197" s="326"/>
      <c r="N197" s="326"/>
      <c r="O197" s="326"/>
      <c r="P197" s="326"/>
      <c r="Q197" s="326"/>
      <c r="R197" s="326"/>
      <c r="S197" s="326"/>
      <c r="T197" s="326"/>
      <c r="U197" s="326"/>
      <c r="V197" s="326"/>
      <c r="W197" s="326"/>
      <c r="X197" s="326"/>
      <c r="Y197" s="326"/>
      <c r="Z197" s="326"/>
      <c r="AA197" s="326"/>
      <c r="AB197" s="326"/>
      <c r="AC197" s="326"/>
      <c r="AD197" s="326"/>
      <c r="AE197" s="326"/>
      <c r="AF197" s="326"/>
      <c r="AG197" s="326"/>
      <c r="AH197" s="326"/>
      <c r="AI197" s="326"/>
      <c r="AJ197" s="326"/>
      <c r="AK197" s="326"/>
      <c r="AL197" s="326"/>
      <c r="AM197" s="326"/>
      <c r="AN197" s="326"/>
      <c r="AO197" s="531"/>
      <c r="AP197" s="531"/>
      <c r="AQ197" s="532"/>
      <c r="AR197" s="532"/>
      <c r="AS197" s="532"/>
      <c r="AT197" s="532"/>
      <c r="AU197" s="532"/>
      <c r="AV197" s="532"/>
      <c r="AW197" s="326"/>
      <c r="AX197" s="326"/>
      <c r="AY197" s="326"/>
      <c r="AZ197" s="326"/>
      <c r="BA197" s="326"/>
      <c r="BB197" s="326"/>
      <c r="BC197" s="326"/>
      <c r="BD197" s="326"/>
      <c r="BE197" s="326"/>
      <c r="BF197" s="326"/>
      <c r="BG197" s="326"/>
      <c r="BH197" s="326"/>
      <c r="BI197" s="326"/>
      <c r="BJ197" s="326"/>
      <c r="BK197" s="326"/>
      <c r="BL197" s="326"/>
      <c r="BM197" s="326"/>
      <c r="BN197" s="326"/>
      <c r="BO197" s="326"/>
      <c r="BP197" s="326"/>
      <c r="BQ197" s="532"/>
      <c r="BR197" s="532"/>
      <c r="BS197" s="532"/>
      <c r="BT197" s="532"/>
      <c r="BU197" s="532"/>
      <c r="BV197" s="532"/>
      <c r="BW197" s="533"/>
      <c r="BX197" s="533"/>
      <c r="BY197" s="533"/>
      <c r="BZ197" s="533"/>
      <c r="CA197" s="533"/>
      <c r="CB197" s="533"/>
      <c r="CC197" s="533"/>
      <c r="CD197" s="533"/>
      <c r="CE197" s="533"/>
      <c r="CF197" s="533"/>
      <c r="CG197" s="533"/>
      <c r="CH197" s="533"/>
      <c r="CI197" s="533"/>
      <c r="CJ197" s="533"/>
      <c r="CK197" s="533"/>
      <c r="CL197" s="533"/>
      <c r="CM197" s="533"/>
      <c r="CN197" s="533"/>
      <c r="CO197" s="533"/>
      <c r="CP197" s="533"/>
      <c r="CQ197" s="533"/>
      <c r="CR197" s="533"/>
      <c r="CS197" s="533"/>
      <c r="CT197" s="533"/>
      <c r="CU197" s="533"/>
      <c r="CV197" s="533"/>
      <c r="CW197" s="533"/>
      <c r="CX197" s="533"/>
      <c r="CY197" s="533"/>
      <c r="CZ197" s="533"/>
      <c r="DA197" s="533"/>
      <c r="DB197" s="533"/>
      <c r="DC197" s="533"/>
      <c r="DD197" s="533"/>
      <c r="DE197" s="533"/>
      <c r="DF197" s="533"/>
      <c r="DG197" s="533"/>
      <c r="DH197" s="533"/>
      <c r="DI197" s="533"/>
      <c r="DJ197" s="533"/>
      <c r="DK197" s="533"/>
      <c r="DL197" s="533"/>
      <c r="DM197" s="533"/>
      <c r="DN197" s="533"/>
      <c r="DO197" s="533"/>
      <c r="DP197" s="533"/>
      <c r="DQ197" s="533"/>
      <c r="DR197" s="533"/>
      <c r="DS197" s="533"/>
      <c r="DT197" s="533"/>
      <c r="DU197" s="533"/>
      <c r="DV197" s="533"/>
      <c r="DW197" s="533"/>
      <c r="DX197" s="533"/>
      <c r="DY197" s="533"/>
      <c r="DZ197" s="533"/>
      <c r="EA197" s="533"/>
      <c r="EB197" s="533"/>
      <c r="EC197" s="533"/>
      <c r="ED197" s="533"/>
      <c r="EE197" s="533"/>
      <c r="EF197" s="533"/>
      <c r="EG197" s="533"/>
      <c r="EH197" s="533"/>
      <c r="EI197" s="533"/>
      <c r="EJ197" s="533"/>
      <c r="EK197" s="533"/>
      <c r="EL197" s="533"/>
      <c r="EM197" s="533"/>
      <c r="EN197" s="533"/>
      <c r="EO197" s="533"/>
      <c r="EP197" s="533"/>
      <c r="EQ197" s="533"/>
      <c r="ER197" s="533"/>
      <c r="ES197" s="533"/>
      <c r="ET197" s="533"/>
      <c r="EU197" s="533"/>
      <c r="EV197" s="533"/>
      <c r="EW197" s="533"/>
      <c r="EX197" s="533"/>
      <c r="EY197" s="533"/>
      <c r="EZ197" s="533"/>
      <c r="FA197" s="533"/>
      <c r="FB197" s="533"/>
      <c r="FC197" s="533"/>
      <c r="FD197" s="533"/>
      <c r="FE197" s="533"/>
      <c r="FF197" s="533"/>
      <c r="FG197" s="533"/>
      <c r="FH197" s="533"/>
      <c r="FI197" s="533"/>
      <c r="FJ197" s="533"/>
      <c r="FK197" s="533"/>
      <c r="FL197" s="533"/>
      <c r="FM197" s="533"/>
      <c r="FN197" s="533"/>
      <c r="FO197" s="533"/>
      <c r="FP197" s="533"/>
      <c r="FQ197" s="533"/>
      <c r="FR197" s="533"/>
      <c r="FS197" s="533"/>
      <c r="FT197" s="533"/>
      <c r="FU197" s="533"/>
      <c r="FV197" s="533"/>
      <c r="FW197" s="533"/>
      <c r="FX197" s="533"/>
      <c r="FY197" s="533"/>
      <c r="FZ197" s="533"/>
      <c r="GA197" s="533"/>
      <c r="GB197" s="533"/>
      <c r="GC197" s="533"/>
      <c r="GD197" s="533"/>
      <c r="GE197" s="533"/>
      <c r="GF197" s="533"/>
      <c r="GG197" s="533"/>
      <c r="GH197" s="533"/>
      <c r="GI197" s="533"/>
      <c r="GJ197" s="533"/>
      <c r="GK197" s="533"/>
      <c r="GL197" s="533"/>
      <c r="GM197" s="533"/>
      <c r="GN197" s="533"/>
      <c r="GO197" s="533"/>
      <c r="GP197" s="533"/>
      <c r="GQ197" s="533"/>
      <c r="GR197" s="533"/>
      <c r="GS197" s="533"/>
      <c r="GT197" s="533"/>
      <c r="GU197" s="533"/>
      <c r="GV197" s="533"/>
      <c r="GW197" s="533"/>
      <c r="GX197" s="533"/>
      <c r="GY197" s="533"/>
      <c r="GZ197" s="533"/>
      <c r="HA197" s="533"/>
      <c r="HB197" s="534"/>
    </row>
    <row r="198" spans="1:242" ht="20.100000000000001" customHeight="1">
      <c r="A198" s="164"/>
      <c r="B198" s="306" t="s">
        <v>1480</v>
      </c>
      <c r="C198" s="503"/>
      <c r="D198" s="503"/>
      <c r="E198" s="503"/>
      <c r="F198" s="503"/>
      <c r="G198" s="326"/>
      <c r="H198" s="326"/>
      <c r="I198" s="326"/>
      <c r="J198" s="326"/>
      <c r="K198" s="326"/>
      <c r="L198" s="326"/>
      <c r="M198" s="326"/>
      <c r="N198" s="326"/>
      <c r="O198" s="326"/>
      <c r="P198" s="326"/>
      <c r="Q198" s="326"/>
      <c r="R198" s="326"/>
      <c r="S198" s="326"/>
      <c r="T198" s="326"/>
      <c r="U198" s="326"/>
      <c r="V198" s="326"/>
      <c r="W198" s="326"/>
      <c r="X198" s="326"/>
      <c r="Y198" s="326"/>
      <c r="Z198" s="326"/>
      <c r="AA198" s="326"/>
      <c r="AB198" s="326"/>
      <c r="AC198" s="326"/>
      <c r="AD198" s="326"/>
      <c r="AE198" s="326"/>
      <c r="AF198" s="326"/>
      <c r="AG198" s="326"/>
      <c r="AH198" s="326"/>
      <c r="AI198" s="326"/>
      <c r="AJ198" s="326"/>
      <c r="AK198" s="326"/>
      <c r="AL198" s="326"/>
      <c r="AM198" s="326"/>
      <c r="AN198" s="326"/>
      <c r="AO198" s="531"/>
      <c r="AP198" s="531"/>
      <c r="AQ198" s="532"/>
      <c r="AR198" s="532"/>
      <c r="AS198" s="532"/>
      <c r="AT198" s="532"/>
      <c r="AU198" s="532"/>
      <c r="AV198" s="532"/>
      <c r="AW198" s="326"/>
      <c r="AX198" s="326"/>
      <c r="AY198" s="326"/>
      <c r="AZ198" s="326"/>
      <c r="BA198" s="326"/>
      <c r="BB198" s="326"/>
      <c r="BC198" s="326"/>
      <c r="BD198" s="326"/>
      <c r="BE198" s="326"/>
      <c r="BF198" s="326"/>
      <c r="BG198" s="326"/>
      <c r="BH198" s="326"/>
      <c r="BI198" s="326"/>
      <c r="BJ198" s="326"/>
      <c r="BK198" s="326"/>
      <c r="BL198" s="326"/>
      <c r="BM198" s="326"/>
      <c r="BN198" s="326"/>
      <c r="BO198" s="326"/>
      <c r="BP198" s="326"/>
      <c r="BQ198" s="532"/>
      <c r="BR198" s="532"/>
      <c r="BS198" s="532"/>
      <c r="BT198" s="532"/>
      <c r="BU198" s="532"/>
      <c r="BV198" s="532"/>
      <c r="BW198" s="533"/>
      <c r="BX198" s="533"/>
      <c r="BY198" s="533"/>
      <c r="BZ198" s="533"/>
      <c r="CA198" s="533"/>
      <c r="CB198" s="533"/>
      <c r="CC198" s="533"/>
      <c r="CD198" s="533"/>
      <c r="CE198" s="533"/>
      <c r="CF198" s="533"/>
      <c r="CG198" s="533"/>
      <c r="CH198" s="533"/>
      <c r="CI198" s="533"/>
      <c r="CJ198" s="533"/>
      <c r="CK198" s="533"/>
      <c r="CL198" s="533"/>
      <c r="CM198" s="533"/>
      <c r="CN198" s="533"/>
      <c r="CO198" s="533"/>
      <c r="CP198" s="533"/>
      <c r="CQ198" s="533"/>
      <c r="CR198" s="533"/>
      <c r="CS198" s="533"/>
      <c r="CT198" s="533"/>
      <c r="CU198" s="533"/>
      <c r="CV198" s="533"/>
      <c r="CW198" s="533"/>
      <c r="CX198" s="533"/>
      <c r="CY198" s="533"/>
      <c r="CZ198" s="533"/>
      <c r="DA198" s="533"/>
      <c r="DB198" s="533"/>
      <c r="DC198" s="533"/>
      <c r="DD198" s="533"/>
      <c r="DE198" s="533"/>
      <c r="DF198" s="533"/>
      <c r="DG198" s="533"/>
      <c r="DH198" s="533"/>
      <c r="DI198" s="533"/>
      <c r="DJ198" s="533"/>
      <c r="DK198" s="533"/>
      <c r="DL198" s="533"/>
      <c r="DM198" s="533"/>
      <c r="DN198" s="533"/>
      <c r="DO198" s="533"/>
      <c r="DP198" s="533"/>
      <c r="DQ198" s="533"/>
      <c r="DR198" s="533"/>
      <c r="DS198" s="533"/>
      <c r="DT198" s="533"/>
      <c r="DU198" s="533"/>
      <c r="DV198" s="533"/>
      <c r="DW198" s="533"/>
      <c r="DX198" s="533"/>
      <c r="DY198" s="533"/>
      <c r="DZ198" s="533"/>
      <c r="EA198" s="533"/>
      <c r="EB198" s="533"/>
      <c r="EC198" s="533"/>
      <c r="ED198" s="533"/>
      <c r="EE198" s="533"/>
      <c r="EF198" s="533"/>
      <c r="EG198" s="533"/>
      <c r="EH198" s="533"/>
      <c r="EI198" s="533"/>
      <c r="EJ198" s="533"/>
      <c r="EK198" s="533"/>
      <c r="EL198" s="533"/>
      <c r="EM198" s="533"/>
      <c r="EN198" s="533"/>
      <c r="EO198" s="533"/>
      <c r="EP198" s="533"/>
      <c r="EQ198" s="533"/>
      <c r="ER198" s="533"/>
      <c r="ES198" s="533"/>
      <c r="ET198" s="533"/>
      <c r="EU198" s="533"/>
      <c r="EV198" s="533"/>
      <c r="EW198" s="533"/>
      <c r="EX198" s="533"/>
      <c r="EY198" s="533"/>
      <c r="EZ198" s="533"/>
      <c r="FA198" s="533"/>
      <c r="FB198" s="533"/>
      <c r="FC198" s="533"/>
      <c r="FD198" s="533"/>
      <c r="FE198" s="533"/>
      <c r="FF198" s="533"/>
      <c r="FG198" s="533"/>
      <c r="FH198" s="533"/>
      <c r="FI198" s="533"/>
      <c r="FJ198" s="533"/>
      <c r="FK198" s="533"/>
      <c r="FL198" s="533"/>
      <c r="FM198" s="533"/>
      <c r="FN198" s="533"/>
      <c r="FO198" s="533"/>
      <c r="FP198" s="533"/>
      <c r="FQ198" s="533"/>
      <c r="FR198" s="533"/>
      <c r="FS198" s="533"/>
      <c r="FT198" s="533"/>
      <c r="FU198" s="533"/>
      <c r="FV198" s="533"/>
      <c r="FW198" s="533"/>
      <c r="FX198" s="533"/>
      <c r="FY198" s="533"/>
      <c r="FZ198" s="533"/>
      <c r="GA198" s="533"/>
      <c r="GB198" s="533"/>
      <c r="GC198" s="533"/>
      <c r="GD198" s="533"/>
      <c r="GE198" s="533"/>
      <c r="GF198" s="533"/>
      <c r="GG198" s="533"/>
      <c r="GH198" s="533"/>
      <c r="GI198" s="533"/>
      <c r="GJ198" s="533"/>
      <c r="GK198" s="533"/>
      <c r="GL198" s="533"/>
      <c r="GM198" s="533"/>
      <c r="GN198" s="533"/>
      <c r="GO198" s="533"/>
      <c r="GP198" s="533"/>
      <c r="GQ198" s="533"/>
      <c r="GR198" s="533"/>
      <c r="GS198" s="533"/>
      <c r="GT198" s="533"/>
      <c r="GU198" s="533"/>
      <c r="GV198" s="533"/>
      <c r="GW198" s="533"/>
      <c r="GX198" s="533"/>
      <c r="GY198" s="533"/>
      <c r="GZ198" s="533"/>
      <c r="HA198" s="533"/>
      <c r="HB198" s="534"/>
    </row>
    <row r="199" spans="1:242" ht="20.100000000000001" customHeight="1">
      <c r="A199" s="164"/>
      <c r="B199" s="306" t="s">
        <v>1481</v>
      </c>
      <c r="C199" s="503"/>
      <c r="D199" s="503"/>
      <c r="E199" s="503"/>
      <c r="F199" s="503"/>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26"/>
      <c r="AG199" s="326"/>
      <c r="AH199" s="326"/>
      <c r="AI199" s="326"/>
      <c r="AJ199" s="326"/>
      <c r="AK199" s="326"/>
      <c r="AL199" s="326"/>
      <c r="AM199" s="326"/>
      <c r="AN199" s="326"/>
      <c r="AO199" s="531"/>
      <c r="AP199" s="531"/>
      <c r="AQ199" s="532"/>
      <c r="AR199" s="532"/>
      <c r="AS199" s="532"/>
      <c r="AT199" s="532"/>
      <c r="AU199" s="532"/>
      <c r="AV199" s="532"/>
      <c r="AW199" s="326"/>
      <c r="AX199" s="326"/>
      <c r="AY199" s="326"/>
      <c r="AZ199" s="326"/>
      <c r="BA199" s="326"/>
      <c r="BB199" s="326"/>
      <c r="BC199" s="326"/>
      <c r="BD199" s="326"/>
      <c r="BE199" s="326"/>
      <c r="BF199" s="326"/>
      <c r="BG199" s="326"/>
      <c r="BH199" s="326"/>
      <c r="BI199" s="326"/>
      <c r="BJ199" s="326"/>
      <c r="BK199" s="326"/>
      <c r="BL199" s="326"/>
      <c r="BM199" s="326"/>
      <c r="BN199" s="326"/>
      <c r="BO199" s="326"/>
      <c r="BP199" s="326"/>
      <c r="BQ199" s="532"/>
      <c r="BR199" s="532"/>
      <c r="BS199" s="532"/>
      <c r="BT199" s="532"/>
      <c r="BU199" s="532"/>
      <c r="BV199" s="532"/>
      <c r="BW199" s="533"/>
      <c r="BX199" s="533"/>
      <c r="BY199" s="533"/>
      <c r="BZ199" s="533"/>
      <c r="CA199" s="533"/>
      <c r="CB199" s="533"/>
      <c r="CC199" s="533"/>
      <c r="CD199" s="533"/>
      <c r="CE199" s="533"/>
      <c r="CF199" s="533"/>
      <c r="CG199" s="533"/>
      <c r="CH199" s="533"/>
      <c r="CI199" s="533"/>
      <c r="CJ199" s="533"/>
      <c r="CK199" s="533"/>
      <c r="CL199" s="533"/>
      <c r="CM199" s="533"/>
      <c r="CN199" s="533"/>
      <c r="CO199" s="533"/>
      <c r="CP199" s="533"/>
      <c r="CQ199" s="533"/>
      <c r="CR199" s="533"/>
      <c r="CS199" s="533"/>
      <c r="CT199" s="533"/>
      <c r="CU199" s="533"/>
      <c r="CV199" s="533"/>
      <c r="CW199" s="533"/>
      <c r="CX199" s="533"/>
      <c r="CY199" s="533"/>
      <c r="CZ199" s="533"/>
      <c r="DA199" s="533"/>
      <c r="DB199" s="533"/>
      <c r="DC199" s="533"/>
      <c r="DD199" s="533"/>
      <c r="DE199" s="533"/>
      <c r="DF199" s="533"/>
      <c r="DG199" s="533"/>
      <c r="DH199" s="533"/>
      <c r="DI199" s="533"/>
      <c r="DJ199" s="533"/>
      <c r="DK199" s="533"/>
      <c r="DL199" s="533"/>
      <c r="DM199" s="533"/>
      <c r="DN199" s="533"/>
      <c r="DO199" s="533"/>
      <c r="DP199" s="533"/>
      <c r="DQ199" s="533"/>
      <c r="DR199" s="533"/>
      <c r="DS199" s="533"/>
      <c r="DT199" s="533"/>
      <c r="DU199" s="533"/>
      <c r="DV199" s="533"/>
      <c r="DW199" s="533"/>
      <c r="DX199" s="533"/>
      <c r="DY199" s="533"/>
      <c r="DZ199" s="533"/>
      <c r="EA199" s="533"/>
      <c r="EB199" s="533"/>
      <c r="EC199" s="533"/>
      <c r="ED199" s="533"/>
      <c r="EE199" s="533"/>
      <c r="EF199" s="533"/>
      <c r="EG199" s="533"/>
      <c r="EH199" s="533"/>
      <c r="EI199" s="533"/>
      <c r="EJ199" s="533"/>
      <c r="EK199" s="533"/>
      <c r="EL199" s="533"/>
      <c r="EM199" s="533"/>
      <c r="EN199" s="533"/>
      <c r="EO199" s="533"/>
      <c r="EP199" s="533"/>
      <c r="EQ199" s="533"/>
      <c r="ER199" s="533"/>
      <c r="ES199" s="533"/>
      <c r="ET199" s="533"/>
      <c r="EU199" s="533"/>
      <c r="EV199" s="533"/>
      <c r="EW199" s="533"/>
      <c r="EX199" s="533"/>
      <c r="EY199" s="533"/>
      <c r="EZ199" s="533"/>
      <c r="FA199" s="533"/>
      <c r="FB199" s="533"/>
      <c r="FC199" s="533"/>
      <c r="FD199" s="533"/>
      <c r="FE199" s="533"/>
      <c r="FF199" s="533"/>
      <c r="FG199" s="533"/>
      <c r="FH199" s="533"/>
      <c r="FI199" s="533"/>
      <c r="FJ199" s="533"/>
      <c r="FK199" s="533"/>
      <c r="FL199" s="533"/>
      <c r="FM199" s="533"/>
      <c r="FN199" s="533"/>
      <c r="FO199" s="533"/>
      <c r="FP199" s="533"/>
      <c r="FQ199" s="533"/>
      <c r="FR199" s="533"/>
      <c r="FS199" s="533"/>
      <c r="FT199" s="533"/>
      <c r="FU199" s="533"/>
      <c r="FV199" s="533"/>
      <c r="FW199" s="533"/>
      <c r="FX199" s="533"/>
      <c r="FY199" s="533"/>
      <c r="FZ199" s="533"/>
      <c r="GA199" s="533"/>
      <c r="GB199" s="533"/>
      <c r="GC199" s="533"/>
      <c r="GD199" s="533"/>
      <c r="GE199" s="533"/>
      <c r="GF199" s="533"/>
      <c r="GG199" s="533"/>
      <c r="GH199" s="533"/>
      <c r="GI199" s="533"/>
      <c r="GJ199" s="533"/>
      <c r="GK199" s="533"/>
      <c r="GL199" s="533"/>
      <c r="GM199" s="533"/>
      <c r="GN199" s="533"/>
      <c r="GO199" s="533"/>
      <c r="GP199" s="533"/>
      <c r="GQ199" s="533"/>
      <c r="GR199" s="533"/>
      <c r="GS199" s="533"/>
      <c r="GT199" s="533"/>
      <c r="GU199" s="533"/>
      <c r="GV199" s="533"/>
      <c r="GW199" s="533"/>
      <c r="GX199" s="533"/>
      <c r="GY199" s="533"/>
      <c r="GZ199" s="533"/>
      <c r="HA199" s="533"/>
      <c r="HB199" s="534"/>
    </row>
    <row r="200" spans="1:242" ht="20.100000000000001" customHeight="1">
      <c r="A200" s="164"/>
      <c r="B200" s="306" t="s">
        <v>1482</v>
      </c>
      <c r="C200" s="503"/>
      <c r="D200" s="503"/>
      <c r="E200" s="503"/>
      <c r="F200" s="503"/>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531"/>
      <c r="AP200" s="531"/>
      <c r="AQ200" s="532"/>
      <c r="AR200" s="532"/>
      <c r="AS200" s="532"/>
      <c r="AT200" s="532"/>
      <c r="AU200" s="532"/>
      <c r="AV200" s="532"/>
      <c r="AW200" s="326"/>
      <c r="AX200" s="326"/>
      <c r="AY200" s="326"/>
      <c r="AZ200" s="326"/>
      <c r="BA200" s="326"/>
      <c r="BB200" s="326"/>
      <c r="BC200" s="326"/>
      <c r="BD200" s="326"/>
      <c r="BE200" s="326"/>
      <c r="BF200" s="326"/>
      <c r="BG200" s="326"/>
      <c r="BH200" s="326"/>
      <c r="BI200" s="326"/>
      <c r="BJ200" s="326"/>
      <c r="BK200" s="326"/>
      <c r="BL200" s="326"/>
      <c r="BM200" s="326"/>
      <c r="BN200" s="326"/>
      <c r="BO200" s="326"/>
      <c r="BP200" s="326"/>
      <c r="BQ200" s="532"/>
      <c r="BR200" s="532"/>
      <c r="BS200" s="532"/>
      <c r="BT200" s="532"/>
      <c r="BU200" s="532"/>
      <c r="BV200" s="532"/>
      <c r="BW200" s="533"/>
      <c r="BX200" s="533"/>
      <c r="BY200" s="533"/>
      <c r="BZ200" s="533"/>
      <c r="CA200" s="533"/>
      <c r="CB200" s="533"/>
      <c r="CC200" s="533"/>
      <c r="CD200" s="533"/>
      <c r="CE200" s="533"/>
      <c r="CF200" s="533"/>
      <c r="CG200" s="533"/>
      <c r="CH200" s="533"/>
      <c r="CI200" s="533"/>
      <c r="CJ200" s="533"/>
      <c r="CK200" s="533"/>
      <c r="CL200" s="533"/>
      <c r="CM200" s="533"/>
      <c r="CN200" s="533"/>
      <c r="CO200" s="533"/>
      <c r="CP200" s="533"/>
      <c r="CQ200" s="533"/>
      <c r="CR200" s="533"/>
      <c r="CS200" s="533"/>
      <c r="CT200" s="533"/>
      <c r="CU200" s="533"/>
      <c r="CV200" s="533"/>
      <c r="CW200" s="533"/>
      <c r="CX200" s="533"/>
      <c r="CY200" s="533"/>
      <c r="CZ200" s="533"/>
      <c r="DA200" s="533"/>
      <c r="DB200" s="533"/>
      <c r="DC200" s="533"/>
      <c r="DD200" s="533"/>
      <c r="DE200" s="533"/>
      <c r="DF200" s="533"/>
      <c r="DG200" s="533"/>
      <c r="DH200" s="533"/>
      <c r="DI200" s="533"/>
      <c r="DJ200" s="533"/>
      <c r="DK200" s="533"/>
      <c r="DL200" s="533"/>
      <c r="DM200" s="533"/>
      <c r="DN200" s="533"/>
      <c r="DO200" s="533"/>
      <c r="DP200" s="533"/>
      <c r="DQ200" s="533"/>
      <c r="DR200" s="533"/>
      <c r="DS200" s="533"/>
      <c r="DT200" s="533"/>
      <c r="DU200" s="533"/>
      <c r="DV200" s="533"/>
      <c r="DW200" s="533"/>
      <c r="DX200" s="533"/>
      <c r="DY200" s="533"/>
      <c r="DZ200" s="533"/>
      <c r="EA200" s="533"/>
      <c r="EB200" s="533"/>
      <c r="EC200" s="533"/>
      <c r="ED200" s="533"/>
      <c r="EE200" s="533"/>
      <c r="EF200" s="533"/>
      <c r="EG200" s="533"/>
      <c r="EH200" s="533"/>
      <c r="EI200" s="533"/>
      <c r="EJ200" s="533"/>
      <c r="EK200" s="533"/>
      <c r="EL200" s="533"/>
      <c r="EM200" s="533"/>
      <c r="EN200" s="533"/>
      <c r="EO200" s="533"/>
      <c r="EP200" s="533"/>
      <c r="EQ200" s="533"/>
      <c r="ER200" s="533"/>
      <c r="ES200" s="533"/>
      <c r="ET200" s="533"/>
      <c r="EU200" s="533"/>
      <c r="EV200" s="533"/>
      <c r="EW200" s="533"/>
      <c r="EX200" s="533"/>
      <c r="EY200" s="533"/>
      <c r="EZ200" s="533"/>
      <c r="FA200" s="533"/>
      <c r="FB200" s="533"/>
      <c r="FC200" s="533"/>
      <c r="FD200" s="533"/>
      <c r="FE200" s="533"/>
      <c r="FF200" s="533"/>
      <c r="FG200" s="533"/>
      <c r="FH200" s="533"/>
      <c r="FI200" s="533"/>
      <c r="FJ200" s="533"/>
      <c r="FK200" s="533"/>
      <c r="FL200" s="533"/>
      <c r="FM200" s="533"/>
      <c r="FN200" s="533"/>
      <c r="FO200" s="533"/>
      <c r="FP200" s="533"/>
      <c r="FQ200" s="533"/>
      <c r="FR200" s="533"/>
      <c r="FS200" s="533"/>
      <c r="FT200" s="533"/>
      <c r="FU200" s="533"/>
      <c r="FV200" s="533"/>
      <c r="FW200" s="533"/>
      <c r="FX200" s="533"/>
      <c r="FY200" s="533"/>
      <c r="FZ200" s="533"/>
      <c r="GA200" s="533"/>
      <c r="GB200" s="533"/>
      <c r="GC200" s="533"/>
      <c r="GD200" s="533"/>
      <c r="GE200" s="533"/>
      <c r="GF200" s="533"/>
      <c r="GG200" s="533"/>
      <c r="GH200" s="533"/>
      <c r="GI200" s="533"/>
      <c r="GJ200" s="533"/>
      <c r="GK200" s="533"/>
      <c r="GL200" s="533"/>
      <c r="GM200" s="533"/>
      <c r="GN200" s="533"/>
      <c r="GO200" s="533"/>
      <c r="GP200" s="533"/>
      <c r="GQ200" s="533"/>
      <c r="GR200" s="533"/>
      <c r="GS200" s="533"/>
      <c r="GT200" s="533"/>
      <c r="GU200" s="533"/>
      <c r="GV200" s="533"/>
      <c r="GW200" s="533"/>
      <c r="GX200" s="533"/>
      <c r="GY200" s="533"/>
      <c r="GZ200" s="533"/>
      <c r="HA200" s="533"/>
      <c r="HB200" s="534"/>
    </row>
    <row r="201" spans="1:242" ht="20.100000000000001" customHeight="1">
      <c r="A201" s="164"/>
      <c r="B201" s="306" t="s">
        <v>1483</v>
      </c>
      <c r="C201" s="503"/>
      <c r="D201" s="503"/>
      <c r="E201" s="503"/>
      <c r="F201" s="503"/>
      <c r="G201" s="326"/>
      <c r="H201" s="326"/>
      <c r="I201" s="326"/>
      <c r="J201" s="326"/>
      <c r="K201" s="326"/>
      <c r="L201" s="326"/>
      <c r="M201" s="326"/>
      <c r="N201" s="326"/>
      <c r="O201" s="326"/>
      <c r="P201" s="326"/>
      <c r="Q201" s="326"/>
      <c r="R201" s="326"/>
      <c r="S201" s="326"/>
      <c r="T201" s="326"/>
      <c r="U201" s="326"/>
      <c r="V201" s="326"/>
      <c r="W201" s="326"/>
      <c r="X201" s="326"/>
      <c r="Y201" s="326"/>
      <c r="Z201" s="326"/>
      <c r="AA201" s="326"/>
      <c r="AB201" s="326"/>
      <c r="AC201" s="326"/>
      <c r="AD201" s="326"/>
      <c r="AE201" s="326"/>
      <c r="AF201" s="326"/>
      <c r="AG201" s="326"/>
      <c r="AH201" s="326"/>
      <c r="AI201" s="326"/>
      <c r="AJ201" s="326"/>
      <c r="AK201" s="326"/>
      <c r="AL201" s="326"/>
      <c r="AM201" s="326"/>
      <c r="AN201" s="326"/>
      <c r="AO201" s="531"/>
      <c r="AP201" s="531"/>
      <c r="AQ201" s="532"/>
      <c r="AR201" s="532"/>
      <c r="AS201" s="532"/>
      <c r="AT201" s="532"/>
      <c r="AU201" s="532"/>
      <c r="AV201" s="532"/>
      <c r="AW201" s="326"/>
      <c r="AX201" s="326"/>
      <c r="AY201" s="326"/>
      <c r="AZ201" s="326"/>
      <c r="BA201" s="326"/>
      <c r="BB201" s="326"/>
      <c r="BC201" s="326"/>
      <c r="BD201" s="326"/>
      <c r="BE201" s="326"/>
      <c r="BF201" s="326"/>
      <c r="BG201" s="326"/>
      <c r="BH201" s="326"/>
      <c r="BI201" s="326"/>
      <c r="BJ201" s="326"/>
      <c r="BK201" s="326"/>
      <c r="BL201" s="326"/>
      <c r="BM201" s="326"/>
      <c r="BN201" s="326"/>
      <c r="BO201" s="326"/>
      <c r="BP201" s="326"/>
      <c r="BQ201" s="532"/>
      <c r="BR201" s="532"/>
      <c r="BS201" s="532"/>
      <c r="BT201" s="532"/>
      <c r="BU201" s="532"/>
      <c r="BV201" s="532"/>
      <c r="BW201" s="533"/>
      <c r="BX201" s="533"/>
      <c r="BY201" s="533"/>
      <c r="BZ201" s="533"/>
      <c r="CA201" s="533"/>
      <c r="CB201" s="533"/>
      <c r="CC201" s="533"/>
      <c r="CD201" s="533"/>
      <c r="CE201" s="533"/>
      <c r="CF201" s="533"/>
      <c r="CG201" s="533"/>
      <c r="CH201" s="533"/>
      <c r="CI201" s="533"/>
      <c r="CJ201" s="533"/>
      <c r="CK201" s="533"/>
      <c r="CL201" s="533"/>
      <c r="CM201" s="533"/>
      <c r="CN201" s="533"/>
      <c r="CO201" s="533"/>
      <c r="CP201" s="533"/>
      <c r="CQ201" s="533"/>
      <c r="CR201" s="533"/>
      <c r="CS201" s="533"/>
      <c r="CT201" s="533"/>
      <c r="CU201" s="533"/>
      <c r="CV201" s="533"/>
      <c r="CW201" s="533"/>
      <c r="CX201" s="533"/>
      <c r="CY201" s="533"/>
      <c r="CZ201" s="533"/>
      <c r="DA201" s="533"/>
      <c r="DB201" s="533"/>
      <c r="DC201" s="533"/>
      <c r="DD201" s="533"/>
      <c r="DE201" s="533"/>
      <c r="DF201" s="533"/>
      <c r="DG201" s="533"/>
      <c r="DH201" s="533"/>
      <c r="DI201" s="533"/>
      <c r="DJ201" s="533"/>
      <c r="DK201" s="533"/>
      <c r="DL201" s="533"/>
      <c r="DM201" s="533"/>
      <c r="DN201" s="533"/>
      <c r="DO201" s="533"/>
      <c r="DP201" s="533"/>
      <c r="DQ201" s="533"/>
      <c r="DR201" s="533"/>
      <c r="DS201" s="533"/>
      <c r="DT201" s="533"/>
      <c r="DU201" s="533"/>
      <c r="DV201" s="533"/>
      <c r="DW201" s="533"/>
      <c r="DX201" s="533"/>
      <c r="DY201" s="533"/>
      <c r="DZ201" s="533"/>
      <c r="EA201" s="533"/>
      <c r="EB201" s="533"/>
      <c r="EC201" s="533"/>
      <c r="ED201" s="533"/>
      <c r="EE201" s="533"/>
      <c r="EF201" s="533"/>
      <c r="EG201" s="533"/>
      <c r="EH201" s="533"/>
      <c r="EI201" s="533"/>
      <c r="EJ201" s="533"/>
      <c r="EK201" s="533"/>
      <c r="EL201" s="533"/>
      <c r="EM201" s="533"/>
      <c r="EN201" s="533"/>
      <c r="EO201" s="533"/>
      <c r="EP201" s="533"/>
      <c r="EQ201" s="533"/>
      <c r="ER201" s="533"/>
      <c r="ES201" s="533"/>
      <c r="ET201" s="533"/>
      <c r="EU201" s="533"/>
      <c r="EV201" s="533"/>
      <c r="EW201" s="533"/>
      <c r="EX201" s="533"/>
      <c r="EY201" s="533"/>
      <c r="EZ201" s="533"/>
      <c r="FA201" s="533"/>
      <c r="FB201" s="533"/>
      <c r="FC201" s="533"/>
      <c r="FD201" s="533"/>
      <c r="FE201" s="533"/>
      <c r="FF201" s="533"/>
      <c r="FG201" s="533"/>
      <c r="FH201" s="533"/>
      <c r="FI201" s="533"/>
      <c r="FJ201" s="533"/>
      <c r="FK201" s="533"/>
      <c r="FL201" s="533"/>
      <c r="FM201" s="533"/>
      <c r="FN201" s="533"/>
      <c r="FO201" s="533"/>
      <c r="FP201" s="533"/>
      <c r="FQ201" s="533"/>
      <c r="FR201" s="533"/>
      <c r="FS201" s="533"/>
      <c r="FT201" s="533"/>
      <c r="FU201" s="533"/>
      <c r="FV201" s="533"/>
      <c r="FW201" s="533"/>
      <c r="FX201" s="533"/>
      <c r="FY201" s="533"/>
      <c r="FZ201" s="533"/>
      <c r="GA201" s="533"/>
      <c r="GB201" s="533"/>
      <c r="GC201" s="533"/>
      <c r="GD201" s="533"/>
      <c r="GE201" s="533"/>
      <c r="GF201" s="533"/>
      <c r="GG201" s="533"/>
      <c r="GH201" s="533"/>
      <c r="GI201" s="533"/>
      <c r="GJ201" s="533"/>
      <c r="GK201" s="533"/>
      <c r="GL201" s="533"/>
      <c r="GM201" s="533"/>
      <c r="GN201" s="533"/>
      <c r="GO201" s="533"/>
      <c r="GP201" s="533"/>
      <c r="GQ201" s="533"/>
      <c r="GR201" s="533"/>
      <c r="GS201" s="533"/>
      <c r="GT201" s="533"/>
      <c r="GU201" s="533"/>
      <c r="GV201" s="533"/>
      <c r="GW201" s="533"/>
      <c r="GX201" s="533"/>
      <c r="GY201" s="533"/>
      <c r="GZ201" s="533"/>
      <c r="HA201" s="533"/>
      <c r="HB201" s="534"/>
    </row>
    <row r="202" spans="1:242" ht="20.100000000000001" customHeight="1">
      <c r="A202" s="164"/>
      <c r="B202" s="306" t="s">
        <v>1484</v>
      </c>
      <c r="C202" s="503"/>
      <c r="D202" s="503"/>
      <c r="E202" s="503"/>
      <c r="F202" s="503"/>
      <c r="G202" s="326"/>
      <c r="H202" s="326"/>
      <c r="I202" s="326"/>
      <c r="J202" s="326"/>
      <c r="K202" s="326"/>
      <c r="L202" s="326"/>
      <c r="M202" s="326"/>
      <c r="N202" s="326"/>
      <c r="O202" s="326"/>
      <c r="P202" s="326"/>
      <c r="Q202" s="326"/>
      <c r="R202" s="326"/>
      <c r="S202" s="326"/>
      <c r="T202" s="326"/>
      <c r="U202" s="326"/>
      <c r="V202" s="326"/>
      <c r="W202" s="326"/>
      <c r="X202" s="326"/>
      <c r="Y202" s="326"/>
      <c r="Z202" s="326"/>
      <c r="AA202" s="326"/>
      <c r="AB202" s="326"/>
      <c r="AC202" s="326"/>
      <c r="AD202" s="326"/>
      <c r="AE202" s="326"/>
      <c r="AF202" s="326"/>
      <c r="AG202" s="326"/>
      <c r="AH202" s="326"/>
      <c r="AI202" s="326"/>
      <c r="AJ202" s="326"/>
      <c r="AK202" s="326"/>
      <c r="AL202" s="326"/>
      <c r="AM202" s="326"/>
      <c r="AN202" s="326"/>
      <c r="AO202" s="531"/>
      <c r="AP202" s="531"/>
      <c r="AQ202" s="532"/>
      <c r="AR202" s="532"/>
      <c r="AS202" s="532"/>
      <c r="AT202" s="532"/>
      <c r="AU202" s="532"/>
      <c r="AV202" s="532"/>
      <c r="AW202" s="326"/>
      <c r="AX202" s="326"/>
      <c r="AY202" s="326"/>
      <c r="AZ202" s="326"/>
      <c r="BA202" s="326"/>
      <c r="BB202" s="326"/>
      <c r="BC202" s="326"/>
      <c r="BD202" s="326"/>
      <c r="BE202" s="326"/>
      <c r="BF202" s="326"/>
      <c r="BG202" s="326"/>
      <c r="BH202" s="326"/>
      <c r="BI202" s="326"/>
      <c r="BJ202" s="326"/>
      <c r="BK202" s="326"/>
      <c r="BL202" s="326"/>
      <c r="BM202" s="326"/>
      <c r="BN202" s="326"/>
      <c r="BO202" s="326"/>
      <c r="BP202" s="326"/>
      <c r="BQ202" s="532"/>
      <c r="BR202" s="532"/>
      <c r="BS202" s="532"/>
      <c r="BT202" s="532"/>
      <c r="BU202" s="532"/>
      <c r="BV202" s="532"/>
      <c r="BW202" s="533"/>
      <c r="BX202" s="533"/>
      <c r="BY202" s="533"/>
      <c r="BZ202" s="533"/>
      <c r="CA202" s="533"/>
      <c r="CB202" s="533"/>
      <c r="CC202" s="533"/>
      <c r="CD202" s="533"/>
      <c r="CE202" s="533"/>
      <c r="CF202" s="533"/>
      <c r="CG202" s="533"/>
      <c r="CH202" s="533"/>
      <c r="CI202" s="533"/>
      <c r="CJ202" s="533"/>
      <c r="CK202" s="533"/>
      <c r="CL202" s="533"/>
      <c r="CM202" s="533"/>
      <c r="CN202" s="533"/>
      <c r="CO202" s="533"/>
      <c r="CP202" s="533"/>
      <c r="CQ202" s="533"/>
      <c r="CR202" s="533"/>
      <c r="CS202" s="533"/>
      <c r="CT202" s="533"/>
      <c r="CU202" s="533"/>
      <c r="CV202" s="533"/>
      <c r="CW202" s="533"/>
      <c r="CX202" s="533"/>
      <c r="CY202" s="533"/>
      <c r="CZ202" s="533"/>
      <c r="DA202" s="533"/>
      <c r="DB202" s="533"/>
      <c r="DC202" s="533"/>
      <c r="DD202" s="533"/>
      <c r="DE202" s="533"/>
      <c r="DF202" s="533"/>
      <c r="DG202" s="533"/>
      <c r="DH202" s="533"/>
      <c r="DI202" s="533"/>
      <c r="DJ202" s="533"/>
      <c r="DK202" s="533"/>
      <c r="DL202" s="533"/>
      <c r="DM202" s="533"/>
      <c r="DN202" s="533"/>
      <c r="DO202" s="533"/>
      <c r="DP202" s="533"/>
      <c r="DQ202" s="533"/>
      <c r="DR202" s="533"/>
      <c r="DS202" s="533"/>
      <c r="DT202" s="533"/>
      <c r="DU202" s="533"/>
      <c r="DV202" s="533"/>
      <c r="DW202" s="533"/>
      <c r="DX202" s="533"/>
      <c r="DY202" s="533"/>
      <c r="DZ202" s="533"/>
      <c r="EA202" s="533"/>
      <c r="EB202" s="533"/>
      <c r="EC202" s="533"/>
      <c r="ED202" s="533"/>
      <c r="EE202" s="533"/>
      <c r="EF202" s="533"/>
      <c r="EG202" s="533"/>
      <c r="EH202" s="533"/>
      <c r="EI202" s="533"/>
      <c r="EJ202" s="533"/>
      <c r="EK202" s="533"/>
      <c r="EL202" s="533"/>
      <c r="EM202" s="533"/>
      <c r="EN202" s="533"/>
      <c r="EO202" s="533"/>
      <c r="EP202" s="533"/>
      <c r="EQ202" s="533"/>
      <c r="ER202" s="533"/>
      <c r="ES202" s="533"/>
      <c r="ET202" s="533"/>
      <c r="EU202" s="533"/>
      <c r="EV202" s="533"/>
      <c r="EW202" s="533"/>
      <c r="EX202" s="533"/>
      <c r="EY202" s="533"/>
      <c r="EZ202" s="533"/>
      <c r="FA202" s="533"/>
      <c r="FB202" s="533"/>
      <c r="FC202" s="533"/>
      <c r="FD202" s="533"/>
      <c r="FE202" s="533"/>
      <c r="FF202" s="533"/>
      <c r="FG202" s="533"/>
      <c r="FH202" s="533"/>
      <c r="FI202" s="533"/>
      <c r="FJ202" s="533"/>
      <c r="FK202" s="533"/>
      <c r="FL202" s="533"/>
      <c r="FM202" s="533"/>
      <c r="FN202" s="533"/>
      <c r="FO202" s="533"/>
      <c r="FP202" s="533"/>
      <c r="FQ202" s="533"/>
      <c r="FR202" s="533"/>
      <c r="FS202" s="533"/>
      <c r="FT202" s="533"/>
      <c r="FU202" s="533"/>
      <c r="FV202" s="533"/>
      <c r="FW202" s="533"/>
      <c r="FX202" s="533"/>
      <c r="FY202" s="533"/>
      <c r="FZ202" s="533"/>
      <c r="GA202" s="533"/>
      <c r="GB202" s="533"/>
      <c r="GC202" s="533"/>
      <c r="GD202" s="533"/>
      <c r="GE202" s="533"/>
      <c r="GF202" s="533"/>
      <c r="GG202" s="533"/>
      <c r="GH202" s="533"/>
      <c r="GI202" s="533"/>
      <c r="GJ202" s="533"/>
      <c r="GK202" s="533"/>
      <c r="GL202" s="533"/>
      <c r="GM202" s="533"/>
      <c r="GN202" s="533"/>
      <c r="GO202" s="533"/>
      <c r="GP202" s="533"/>
      <c r="GQ202" s="533"/>
      <c r="GR202" s="533"/>
      <c r="GS202" s="533"/>
      <c r="GT202" s="533"/>
      <c r="GU202" s="533"/>
      <c r="GV202" s="533"/>
      <c r="GW202" s="533"/>
      <c r="GX202" s="533"/>
      <c r="GY202" s="533"/>
      <c r="GZ202" s="533"/>
      <c r="HA202" s="533"/>
      <c r="HB202" s="534"/>
    </row>
    <row r="203" spans="1:242" ht="20.100000000000001" customHeight="1">
      <c r="A203" s="164"/>
      <c r="B203" s="306" t="s">
        <v>1485</v>
      </c>
      <c r="C203" s="503"/>
      <c r="D203" s="503"/>
      <c r="E203" s="503"/>
      <c r="F203" s="503"/>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26"/>
      <c r="AC203" s="326"/>
      <c r="AD203" s="326"/>
      <c r="AE203" s="326"/>
      <c r="AF203" s="326"/>
      <c r="AG203" s="326"/>
      <c r="AH203" s="326"/>
      <c r="AI203" s="326"/>
      <c r="AJ203" s="326"/>
      <c r="AK203" s="326"/>
      <c r="AL203" s="326"/>
      <c r="AM203" s="326"/>
      <c r="AN203" s="326"/>
      <c r="AO203" s="531"/>
      <c r="AP203" s="531"/>
      <c r="AQ203" s="532"/>
      <c r="AR203" s="532"/>
      <c r="AS203" s="532"/>
      <c r="AT203" s="532"/>
      <c r="AU203" s="532"/>
      <c r="AV203" s="532"/>
      <c r="AW203" s="326"/>
      <c r="AX203" s="326"/>
      <c r="AY203" s="326"/>
      <c r="AZ203" s="326"/>
      <c r="BA203" s="326"/>
      <c r="BB203" s="326"/>
      <c r="BC203" s="326"/>
      <c r="BD203" s="326"/>
      <c r="BE203" s="326"/>
      <c r="BF203" s="326"/>
      <c r="BG203" s="326"/>
      <c r="BH203" s="326"/>
      <c r="BI203" s="326"/>
      <c r="BJ203" s="326"/>
      <c r="BK203" s="326"/>
      <c r="BL203" s="326"/>
      <c r="BM203" s="326"/>
      <c r="BN203" s="326"/>
      <c r="BO203" s="326"/>
      <c r="BP203" s="326"/>
      <c r="BQ203" s="532"/>
      <c r="BR203" s="532"/>
      <c r="BS203" s="532"/>
      <c r="BT203" s="532"/>
      <c r="BU203" s="532"/>
      <c r="BV203" s="532"/>
      <c r="BW203" s="533"/>
      <c r="BX203" s="533"/>
      <c r="BY203" s="533"/>
      <c r="BZ203" s="533"/>
      <c r="CA203" s="533"/>
      <c r="CB203" s="533"/>
      <c r="CC203" s="533"/>
      <c r="CD203" s="533"/>
      <c r="CE203" s="533"/>
      <c r="CF203" s="533"/>
      <c r="CG203" s="533"/>
      <c r="CH203" s="533"/>
      <c r="CI203" s="533"/>
      <c r="CJ203" s="533"/>
      <c r="CK203" s="533"/>
      <c r="CL203" s="533"/>
      <c r="CM203" s="533"/>
      <c r="CN203" s="533"/>
      <c r="CO203" s="533"/>
      <c r="CP203" s="533"/>
      <c r="CQ203" s="533"/>
      <c r="CR203" s="533"/>
      <c r="CS203" s="533"/>
      <c r="CT203" s="533"/>
      <c r="CU203" s="533"/>
      <c r="CV203" s="533"/>
      <c r="CW203" s="533"/>
      <c r="CX203" s="533"/>
      <c r="CY203" s="533"/>
      <c r="CZ203" s="533"/>
      <c r="DA203" s="533"/>
      <c r="DB203" s="533"/>
      <c r="DC203" s="533"/>
      <c r="DD203" s="533"/>
      <c r="DE203" s="533"/>
      <c r="DF203" s="533"/>
      <c r="DG203" s="533"/>
      <c r="DH203" s="533"/>
      <c r="DI203" s="533"/>
      <c r="DJ203" s="533"/>
      <c r="DK203" s="533"/>
      <c r="DL203" s="533"/>
      <c r="DM203" s="533"/>
      <c r="DN203" s="533"/>
      <c r="DO203" s="533"/>
      <c r="DP203" s="533"/>
      <c r="DQ203" s="533"/>
      <c r="DR203" s="533"/>
      <c r="DS203" s="533"/>
      <c r="DT203" s="533"/>
      <c r="DU203" s="533"/>
      <c r="DV203" s="533"/>
      <c r="DW203" s="533"/>
      <c r="DX203" s="533"/>
      <c r="DY203" s="533"/>
      <c r="DZ203" s="533"/>
      <c r="EA203" s="533"/>
      <c r="EB203" s="533"/>
      <c r="EC203" s="533"/>
      <c r="ED203" s="533"/>
      <c r="EE203" s="533"/>
      <c r="EF203" s="533"/>
      <c r="EG203" s="533"/>
      <c r="EH203" s="533"/>
      <c r="EI203" s="533"/>
      <c r="EJ203" s="533"/>
      <c r="EK203" s="533"/>
      <c r="EL203" s="533"/>
      <c r="EM203" s="533"/>
      <c r="EN203" s="533"/>
      <c r="EO203" s="533"/>
      <c r="EP203" s="533"/>
      <c r="EQ203" s="533"/>
      <c r="ER203" s="533"/>
      <c r="ES203" s="533"/>
      <c r="ET203" s="533"/>
      <c r="EU203" s="533"/>
      <c r="EV203" s="533"/>
      <c r="EW203" s="533"/>
      <c r="EX203" s="533"/>
      <c r="EY203" s="533"/>
      <c r="EZ203" s="533"/>
      <c r="FA203" s="533"/>
      <c r="FB203" s="533"/>
      <c r="FC203" s="533"/>
      <c r="FD203" s="533"/>
      <c r="FE203" s="533"/>
      <c r="FF203" s="533"/>
      <c r="FG203" s="533"/>
      <c r="FH203" s="533"/>
      <c r="FI203" s="533"/>
      <c r="FJ203" s="533"/>
      <c r="FK203" s="533"/>
      <c r="FL203" s="533"/>
      <c r="FM203" s="533"/>
      <c r="FN203" s="533"/>
      <c r="FO203" s="533"/>
      <c r="FP203" s="533"/>
      <c r="FQ203" s="533"/>
      <c r="FR203" s="533"/>
      <c r="FS203" s="533"/>
      <c r="FT203" s="533"/>
      <c r="FU203" s="533"/>
      <c r="FV203" s="533"/>
      <c r="FW203" s="533"/>
      <c r="FX203" s="533"/>
      <c r="FY203" s="533"/>
      <c r="FZ203" s="533"/>
      <c r="GA203" s="533"/>
      <c r="GB203" s="533"/>
      <c r="GC203" s="533"/>
      <c r="GD203" s="533"/>
      <c r="GE203" s="533"/>
      <c r="GF203" s="533"/>
      <c r="GG203" s="533"/>
      <c r="GH203" s="533"/>
      <c r="GI203" s="533"/>
      <c r="GJ203" s="533"/>
      <c r="GK203" s="533"/>
      <c r="GL203" s="533"/>
      <c r="GM203" s="533"/>
      <c r="GN203" s="533"/>
      <c r="GO203" s="533"/>
      <c r="GP203" s="533"/>
      <c r="GQ203" s="533"/>
      <c r="GR203" s="533"/>
      <c r="GS203" s="533"/>
      <c r="GT203" s="533"/>
      <c r="GU203" s="533"/>
      <c r="GV203" s="533"/>
      <c r="GW203" s="533"/>
      <c r="GX203" s="533"/>
      <c r="GY203" s="533"/>
      <c r="GZ203" s="533"/>
      <c r="HA203" s="533"/>
      <c r="HB203" s="534"/>
    </row>
    <row r="204" spans="1:242" ht="20.100000000000001" customHeight="1">
      <c r="A204" s="164"/>
      <c r="B204" s="306" t="s">
        <v>1486</v>
      </c>
      <c r="C204" s="503"/>
      <c r="D204" s="503"/>
      <c r="E204" s="503"/>
      <c r="F204" s="503"/>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26"/>
      <c r="AC204" s="326"/>
      <c r="AD204" s="326"/>
      <c r="AE204" s="326"/>
      <c r="AF204" s="326"/>
      <c r="AG204" s="326"/>
      <c r="AH204" s="326"/>
      <c r="AI204" s="326"/>
      <c r="AJ204" s="326"/>
      <c r="AK204" s="326"/>
      <c r="AL204" s="326"/>
      <c r="AM204" s="326"/>
      <c r="AN204" s="326"/>
      <c r="AO204" s="531"/>
      <c r="AP204" s="531"/>
      <c r="AQ204" s="532"/>
      <c r="AR204" s="532"/>
      <c r="AS204" s="532"/>
      <c r="AT204" s="532"/>
      <c r="AU204" s="532"/>
      <c r="AV204" s="532"/>
      <c r="AW204" s="326"/>
      <c r="AX204" s="326"/>
      <c r="AY204" s="326"/>
      <c r="AZ204" s="326"/>
      <c r="BA204" s="326"/>
      <c r="BB204" s="326"/>
      <c r="BC204" s="326"/>
      <c r="BD204" s="326"/>
      <c r="BE204" s="326"/>
      <c r="BF204" s="326"/>
      <c r="BG204" s="326"/>
      <c r="BH204" s="326"/>
      <c r="BI204" s="326"/>
      <c r="BJ204" s="326"/>
      <c r="BK204" s="326"/>
      <c r="BL204" s="326"/>
      <c r="BM204" s="326"/>
      <c r="BN204" s="326"/>
      <c r="BO204" s="326"/>
      <c r="BP204" s="326"/>
      <c r="BQ204" s="532"/>
      <c r="BR204" s="532"/>
      <c r="BS204" s="532"/>
      <c r="BT204" s="532"/>
      <c r="BU204" s="532"/>
      <c r="BV204" s="532"/>
      <c r="BW204" s="533"/>
      <c r="BX204" s="533"/>
      <c r="BY204" s="533"/>
      <c r="BZ204" s="533"/>
      <c r="CA204" s="533"/>
      <c r="CB204" s="533"/>
      <c r="CC204" s="533"/>
      <c r="CD204" s="533"/>
      <c r="CE204" s="533"/>
      <c r="CF204" s="533"/>
      <c r="CG204" s="533"/>
      <c r="CH204" s="533"/>
      <c r="CI204" s="533"/>
      <c r="CJ204" s="533"/>
      <c r="CK204" s="533"/>
      <c r="CL204" s="533"/>
      <c r="CM204" s="533"/>
      <c r="CN204" s="533"/>
      <c r="CO204" s="533"/>
      <c r="CP204" s="533"/>
      <c r="CQ204" s="533"/>
      <c r="CR204" s="533"/>
      <c r="CS204" s="533"/>
      <c r="CT204" s="533"/>
      <c r="CU204" s="533"/>
      <c r="CV204" s="533"/>
      <c r="CW204" s="533"/>
      <c r="CX204" s="533"/>
      <c r="CY204" s="533"/>
      <c r="CZ204" s="533"/>
      <c r="DA204" s="533"/>
      <c r="DB204" s="533"/>
      <c r="DC204" s="533"/>
      <c r="DD204" s="533"/>
      <c r="DE204" s="533"/>
      <c r="DF204" s="533"/>
      <c r="DG204" s="533"/>
      <c r="DH204" s="533"/>
      <c r="DI204" s="533"/>
      <c r="DJ204" s="533"/>
      <c r="DK204" s="533"/>
      <c r="DL204" s="533"/>
      <c r="DM204" s="533"/>
      <c r="DN204" s="533"/>
      <c r="DO204" s="533"/>
      <c r="DP204" s="533"/>
      <c r="DQ204" s="533"/>
      <c r="DR204" s="533"/>
      <c r="DS204" s="533"/>
      <c r="DT204" s="533"/>
      <c r="DU204" s="533"/>
      <c r="DV204" s="533"/>
      <c r="DW204" s="533"/>
      <c r="DX204" s="533"/>
      <c r="DY204" s="533"/>
      <c r="DZ204" s="533"/>
      <c r="EA204" s="533"/>
      <c r="EB204" s="533"/>
      <c r="EC204" s="533"/>
      <c r="ED204" s="533"/>
      <c r="EE204" s="533"/>
      <c r="EF204" s="533"/>
      <c r="EG204" s="533"/>
      <c r="EH204" s="533"/>
      <c r="EI204" s="533"/>
      <c r="EJ204" s="533"/>
      <c r="EK204" s="533"/>
      <c r="EL204" s="533"/>
      <c r="EM204" s="533"/>
      <c r="EN204" s="533"/>
      <c r="EO204" s="533"/>
      <c r="EP204" s="533"/>
      <c r="EQ204" s="533"/>
      <c r="ER204" s="533"/>
      <c r="ES204" s="533"/>
      <c r="ET204" s="533"/>
      <c r="EU204" s="533"/>
      <c r="EV204" s="533"/>
      <c r="EW204" s="533"/>
      <c r="EX204" s="533"/>
      <c r="EY204" s="533"/>
      <c r="EZ204" s="533"/>
      <c r="FA204" s="533"/>
      <c r="FB204" s="533"/>
      <c r="FC204" s="533"/>
      <c r="FD204" s="533"/>
      <c r="FE204" s="533"/>
      <c r="FF204" s="533"/>
      <c r="FG204" s="533"/>
      <c r="FH204" s="533"/>
      <c r="FI204" s="533"/>
      <c r="FJ204" s="533"/>
      <c r="FK204" s="533"/>
      <c r="FL204" s="533"/>
      <c r="FM204" s="533"/>
      <c r="FN204" s="533"/>
      <c r="FO204" s="533"/>
      <c r="FP204" s="533"/>
      <c r="FQ204" s="533"/>
      <c r="FR204" s="533"/>
      <c r="FS204" s="533"/>
      <c r="FT204" s="533"/>
      <c r="FU204" s="533"/>
      <c r="FV204" s="533"/>
      <c r="FW204" s="533"/>
      <c r="FX204" s="533"/>
      <c r="FY204" s="533"/>
      <c r="FZ204" s="533"/>
      <c r="GA204" s="533"/>
      <c r="GB204" s="533"/>
      <c r="GC204" s="533"/>
      <c r="GD204" s="533"/>
      <c r="GE204" s="533"/>
      <c r="GF204" s="533"/>
      <c r="GG204" s="533"/>
      <c r="GH204" s="533"/>
      <c r="GI204" s="533"/>
      <c r="GJ204" s="533"/>
      <c r="GK204" s="533"/>
      <c r="GL204" s="533"/>
      <c r="GM204" s="533"/>
      <c r="GN204" s="533"/>
      <c r="GO204" s="533"/>
      <c r="GP204" s="533"/>
      <c r="GQ204" s="533"/>
      <c r="GR204" s="533"/>
      <c r="GS204" s="533"/>
      <c r="GT204" s="533"/>
      <c r="GU204" s="533"/>
      <c r="GV204" s="533"/>
      <c r="GW204" s="533"/>
      <c r="GX204" s="533"/>
      <c r="GY204" s="533"/>
      <c r="GZ204" s="533"/>
      <c r="HA204" s="533"/>
      <c r="HB204" s="534"/>
    </row>
    <row r="205" spans="1:242" ht="20.100000000000001" customHeight="1">
      <c r="A205" s="164"/>
      <c r="B205" s="306" t="s">
        <v>1487</v>
      </c>
      <c r="C205" s="503"/>
      <c r="D205" s="503"/>
      <c r="E205" s="503"/>
      <c r="F205" s="503"/>
      <c r="G205" s="326"/>
      <c r="H205" s="326"/>
      <c r="I205" s="326"/>
      <c r="J205" s="326"/>
      <c r="K205" s="326"/>
      <c r="L205" s="326"/>
      <c r="M205" s="326"/>
      <c r="N205" s="326"/>
      <c r="O205" s="326"/>
      <c r="P205" s="326"/>
      <c r="Q205" s="326"/>
      <c r="R205" s="326"/>
      <c r="S205" s="326"/>
      <c r="T205" s="326"/>
      <c r="U205" s="326"/>
      <c r="V205" s="326"/>
      <c r="W205" s="326"/>
      <c r="X205" s="326"/>
      <c r="Y205" s="326"/>
      <c r="Z205" s="326"/>
      <c r="AA205" s="326"/>
      <c r="AB205" s="326"/>
      <c r="AC205" s="326"/>
      <c r="AD205" s="326"/>
      <c r="AE205" s="326"/>
      <c r="AF205" s="326"/>
      <c r="AG205" s="326"/>
      <c r="AH205" s="326"/>
      <c r="AI205" s="326"/>
      <c r="AJ205" s="326"/>
      <c r="AK205" s="326"/>
      <c r="AL205" s="326"/>
      <c r="AM205" s="326"/>
      <c r="AN205" s="326"/>
      <c r="AO205" s="531"/>
      <c r="AP205" s="531"/>
      <c r="AQ205" s="532"/>
      <c r="AR205" s="532"/>
      <c r="AS205" s="532"/>
      <c r="AT205" s="532"/>
      <c r="AU205" s="532"/>
      <c r="AV205" s="532"/>
      <c r="AW205" s="326"/>
      <c r="AX205" s="326"/>
      <c r="AY205" s="326"/>
      <c r="AZ205" s="326"/>
      <c r="BA205" s="326"/>
      <c r="BB205" s="326"/>
      <c r="BC205" s="326"/>
      <c r="BD205" s="326"/>
      <c r="BE205" s="326"/>
      <c r="BF205" s="326"/>
      <c r="BG205" s="326"/>
      <c r="BH205" s="326"/>
      <c r="BI205" s="326"/>
      <c r="BJ205" s="326"/>
      <c r="BK205" s="326"/>
      <c r="BL205" s="326"/>
      <c r="BM205" s="326"/>
      <c r="BN205" s="326"/>
      <c r="BO205" s="326"/>
      <c r="BP205" s="326"/>
      <c r="BQ205" s="532"/>
      <c r="BR205" s="532"/>
      <c r="BS205" s="532"/>
      <c r="BT205" s="532"/>
      <c r="BU205" s="532"/>
      <c r="BV205" s="532"/>
      <c r="BW205" s="533"/>
      <c r="BX205" s="533"/>
      <c r="BY205" s="533"/>
      <c r="BZ205" s="533"/>
      <c r="CA205" s="533"/>
      <c r="CB205" s="533"/>
      <c r="CC205" s="533"/>
      <c r="CD205" s="533"/>
      <c r="CE205" s="533"/>
      <c r="CF205" s="533"/>
      <c r="CG205" s="533"/>
      <c r="CH205" s="533"/>
      <c r="CI205" s="533"/>
      <c r="CJ205" s="533"/>
      <c r="CK205" s="533"/>
      <c r="CL205" s="533"/>
      <c r="CM205" s="533"/>
      <c r="CN205" s="533"/>
      <c r="CO205" s="533"/>
      <c r="CP205" s="533"/>
      <c r="CQ205" s="533"/>
      <c r="CR205" s="533"/>
      <c r="CS205" s="533"/>
      <c r="CT205" s="533"/>
      <c r="CU205" s="533"/>
      <c r="CV205" s="533"/>
      <c r="CW205" s="533"/>
      <c r="CX205" s="533"/>
      <c r="CY205" s="533"/>
      <c r="CZ205" s="533"/>
      <c r="DA205" s="533"/>
      <c r="DB205" s="533"/>
      <c r="DC205" s="533"/>
      <c r="DD205" s="533"/>
      <c r="DE205" s="533"/>
      <c r="DF205" s="533"/>
      <c r="DG205" s="533"/>
      <c r="DH205" s="533"/>
      <c r="DI205" s="533"/>
      <c r="DJ205" s="533"/>
      <c r="DK205" s="533"/>
      <c r="DL205" s="533"/>
      <c r="DM205" s="533"/>
      <c r="DN205" s="533"/>
      <c r="DO205" s="533"/>
      <c r="DP205" s="533"/>
      <c r="DQ205" s="533"/>
      <c r="DR205" s="533"/>
      <c r="DS205" s="533"/>
      <c r="DT205" s="533"/>
      <c r="DU205" s="533"/>
      <c r="DV205" s="533"/>
      <c r="DW205" s="533"/>
      <c r="DX205" s="533"/>
      <c r="DY205" s="533"/>
      <c r="DZ205" s="533"/>
      <c r="EA205" s="533"/>
      <c r="EB205" s="533"/>
      <c r="EC205" s="533"/>
      <c r="ED205" s="533"/>
      <c r="EE205" s="533"/>
      <c r="EF205" s="533"/>
      <c r="EG205" s="533"/>
      <c r="EH205" s="533"/>
      <c r="EI205" s="533"/>
      <c r="EJ205" s="533"/>
      <c r="EK205" s="533"/>
      <c r="EL205" s="533"/>
      <c r="EM205" s="533"/>
      <c r="EN205" s="533"/>
      <c r="EO205" s="533"/>
      <c r="EP205" s="533"/>
      <c r="EQ205" s="533"/>
      <c r="ER205" s="533"/>
      <c r="ES205" s="533"/>
      <c r="ET205" s="533"/>
      <c r="EU205" s="533"/>
      <c r="EV205" s="533"/>
      <c r="EW205" s="533"/>
      <c r="EX205" s="533"/>
      <c r="EY205" s="533"/>
      <c r="EZ205" s="533"/>
      <c r="FA205" s="533"/>
      <c r="FB205" s="533"/>
      <c r="FC205" s="533"/>
      <c r="FD205" s="533"/>
      <c r="FE205" s="533"/>
      <c r="FF205" s="533"/>
      <c r="FG205" s="533"/>
      <c r="FH205" s="533"/>
      <c r="FI205" s="533"/>
      <c r="FJ205" s="533"/>
      <c r="FK205" s="533"/>
      <c r="FL205" s="533"/>
      <c r="FM205" s="533"/>
      <c r="FN205" s="533"/>
      <c r="FO205" s="533"/>
      <c r="FP205" s="533"/>
      <c r="FQ205" s="533"/>
      <c r="FR205" s="533"/>
      <c r="FS205" s="533"/>
      <c r="FT205" s="533"/>
      <c r="FU205" s="533"/>
      <c r="FV205" s="533"/>
      <c r="FW205" s="533"/>
      <c r="FX205" s="533"/>
      <c r="FY205" s="533"/>
      <c r="FZ205" s="533"/>
      <c r="GA205" s="533"/>
      <c r="GB205" s="533"/>
      <c r="GC205" s="533"/>
      <c r="GD205" s="533"/>
      <c r="GE205" s="533"/>
      <c r="GF205" s="533"/>
      <c r="GG205" s="533"/>
      <c r="GH205" s="533"/>
      <c r="GI205" s="533"/>
      <c r="GJ205" s="533"/>
      <c r="GK205" s="533"/>
      <c r="GL205" s="533"/>
      <c r="GM205" s="533"/>
      <c r="GN205" s="533"/>
      <c r="GO205" s="533"/>
      <c r="GP205" s="533"/>
      <c r="GQ205" s="533"/>
      <c r="GR205" s="533"/>
      <c r="GS205" s="533"/>
      <c r="GT205" s="533"/>
      <c r="GU205" s="533"/>
      <c r="GV205" s="533"/>
      <c r="GW205" s="533"/>
      <c r="GX205" s="533"/>
      <c r="GY205" s="533"/>
      <c r="GZ205" s="533"/>
      <c r="HA205" s="533"/>
      <c r="HB205" s="534"/>
    </row>
    <row r="206" spans="1:242" ht="20.100000000000001" customHeight="1">
      <c r="A206" s="164"/>
      <c r="B206" s="306" t="s">
        <v>1488</v>
      </c>
      <c r="C206" s="503"/>
      <c r="D206" s="503"/>
      <c r="E206" s="503"/>
      <c r="F206" s="503"/>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26"/>
      <c r="AI206" s="326"/>
      <c r="AJ206" s="326"/>
      <c r="AK206" s="326"/>
      <c r="AL206" s="326"/>
      <c r="AM206" s="326"/>
      <c r="AN206" s="326"/>
      <c r="AO206" s="531"/>
      <c r="AP206" s="531"/>
      <c r="AQ206" s="532"/>
      <c r="AR206" s="532"/>
      <c r="AS206" s="532"/>
      <c r="AT206" s="532"/>
      <c r="AU206" s="532"/>
      <c r="AV206" s="532"/>
      <c r="AW206" s="326"/>
      <c r="AX206" s="326"/>
      <c r="AY206" s="326"/>
      <c r="AZ206" s="326"/>
      <c r="BA206" s="326"/>
      <c r="BB206" s="326"/>
      <c r="BC206" s="326"/>
      <c r="BD206" s="326"/>
      <c r="BE206" s="326"/>
      <c r="BF206" s="326"/>
      <c r="BG206" s="326"/>
      <c r="BH206" s="326"/>
      <c r="BI206" s="326"/>
      <c r="BJ206" s="326"/>
      <c r="BK206" s="326"/>
      <c r="BL206" s="326"/>
      <c r="BM206" s="326"/>
      <c r="BN206" s="326"/>
      <c r="BO206" s="326"/>
      <c r="BP206" s="326"/>
      <c r="BQ206" s="532"/>
      <c r="BR206" s="532"/>
      <c r="BS206" s="532"/>
      <c r="BT206" s="532"/>
      <c r="BU206" s="532"/>
      <c r="BV206" s="532"/>
      <c r="BW206" s="533"/>
      <c r="BX206" s="533"/>
      <c r="BY206" s="533"/>
      <c r="BZ206" s="533"/>
      <c r="CA206" s="533"/>
      <c r="CB206" s="533"/>
      <c r="CC206" s="533"/>
      <c r="CD206" s="533"/>
      <c r="CE206" s="533"/>
      <c r="CF206" s="533"/>
      <c r="CG206" s="533"/>
      <c r="CH206" s="533"/>
      <c r="CI206" s="533"/>
      <c r="CJ206" s="533"/>
      <c r="CK206" s="533"/>
      <c r="CL206" s="533"/>
      <c r="CM206" s="533"/>
      <c r="CN206" s="533"/>
      <c r="CO206" s="533"/>
      <c r="CP206" s="533"/>
      <c r="CQ206" s="533"/>
      <c r="CR206" s="533"/>
      <c r="CS206" s="533"/>
      <c r="CT206" s="533"/>
      <c r="CU206" s="533"/>
      <c r="CV206" s="533"/>
      <c r="CW206" s="533"/>
      <c r="CX206" s="533"/>
      <c r="CY206" s="533"/>
      <c r="CZ206" s="533"/>
      <c r="DA206" s="533"/>
      <c r="DB206" s="533"/>
      <c r="DC206" s="533"/>
      <c r="DD206" s="533"/>
      <c r="DE206" s="533"/>
      <c r="DF206" s="533"/>
      <c r="DG206" s="533"/>
      <c r="DH206" s="533"/>
      <c r="DI206" s="533"/>
      <c r="DJ206" s="533"/>
      <c r="DK206" s="533"/>
      <c r="DL206" s="533"/>
      <c r="DM206" s="533"/>
      <c r="DN206" s="533"/>
      <c r="DO206" s="533"/>
      <c r="DP206" s="533"/>
      <c r="DQ206" s="533"/>
      <c r="DR206" s="533"/>
      <c r="DS206" s="533"/>
      <c r="DT206" s="533"/>
      <c r="DU206" s="533"/>
      <c r="DV206" s="533"/>
      <c r="DW206" s="533"/>
      <c r="DX206" s="533"/>
      <c r="DY206" s="533"/>
      <c r="DZ206" s="533"/>
      <c r="EA206" s="533"/>
      <c r="EB206" s="533"/>
      <c r="EC206" s="533"/>
      <c r="ED206" s="533"/>
      <c r="EE206" s="533"/>
      <c r="EF206" s="533"/>
      <c r="EG206" s="533"/>
      <c r="EH206" s="533"/>
      <c r="EI206" s="533"/>
      <c r="EJ206" s="533"/>
      <c r="EK206" s="533"/>
      <c r="EL206" s="533"/>
      <c r="EM206" s="533"/>
      <c r="EN206" s="533"/>
      <c r="EO206" s="533"/>
      <c r="EP206" s="533"/>
      <c r="EQ206" s="533"/>
      <c r="ER206" s="533"/>
      <c r="ES206" s="533"/>
      <c r="ET206" s="533"/>
      <c r="EU206" s="533"/>
      <c r="EV206" s="533"/>
      <c r="EW206" s="533"/>
      <c r="EX206" s="533"/>
      <c r="EY206" s="533"/>
      <c r="EZ206" s="533"/>
      <c r="FA206" s="533"/>
      <c r="FB206" s="533"/>
      <c r="FC206" s="533"/>
      <c r="FD206" s="533"/>
      <c r="FE206" s="533"/>
      <c r="FF206" s="533"/>
      <c r="FG206" s="533"/>
      <c r="FH206" s="533"/>
      <c r="FI206" s="533"/>
      <c r="FJ206" s="533"/>
      <c r="FK206" s="533"/>
      <c r="FL206" s="533"/>
      <c r="FM206" s="533"/>
      <c r="FN206" s="533"/>
      <c r="FO206" s="533"/>
      <c r="FP206" s="533"/>
      <c r="FQ206" s="533"/>
      <c r="FR206" s="533"/>
      <c r="FS206" s="533"/>
      <c r="FT206" s="533"/>
      <c r="FU206" s="533"/>
      <c r="FV206" s="533"/>
      <c r="FW206" s="533"/>
      <c r="FX206" s="533"/>
      <c r="FY206" s="533"/>
      <c r="FZ206" s="533"/>
      <c r="GA206" s="533"/>
      <c r="GB206" s="533"/>
      <c r="GC206" s="533"/>
      <c r="GD206" s="533"/>
      <c r="GE206" s="533"/>
      <c r="GF206" s="533"/>
      <c r="GG206" s="533"/>
      <c r="GH206" s="533"/>
      <c r="GI206" s="533"/>
      <c r="GJ206" s="533"/>
      <c r="GK206" s="533"/>
      <c r="GL206" s="533"/>
      <c r="GM206" s="533"/>
      <c r="GN206" s="533"/>
      <c r="GO206" s="533"/>
      <c r="GP206" s="533"/>
      <c r="GQ206" s="533"/>
      <c r="GR206" s="533"/>
      <c r="GS206" s="533"/>
      <c r="GT206" s="533"/>
      <c r="GU206" s="533"/>
      <c r="GV206" s="533"/>
      <c r="GW206" s="533"/>
      <c r="GX206" s="533"/>
      <c r="GY206" s="533"/>
      <c r="GZ206" s="533"/>
      <c r="HA206" s="533"/>
      <c r="HB206" s="534"/>
    </row>
    <row r="207" spans="1:242" ht="20.399999999999999" thickBot="1">
      <c r="A207" s="164"/>
      <c r="B207" s="364" t="s">
        <v>1489</v>
      </c>
      <c r="C207" s="535"/>
      <c r="D207" s="535"/>
      <c r="E207" s="535"/>
      <c r="F207" s="535"/>
      <c r="G207" s="536"/>
      <c r="H207" s="536"/>
      <c r="I207" s="536"/>
      <c r="J207" s="536"/>
      <c r="K207" s="536"/>
      <c r="L207" s="536"/>
      <c r="M207" s="536"/>
      <c r="N207" s="536"/>
      <c r="O207" s="536"/>
      <c r="P207" s="536"/>
      <c r="Q207" s="536"/>
      <c r="R207" s="536"/>
      <c r="S207" s="536"/>
      <c r="T207" s="536"/>
      <c r="U207" s="536"/>
      <c r="V207" s="536"/>
      <c r="W207" s="536"/>
      <c r="X207" s="536"/>
      <c r="Y207" s="536"/>
      <c r="Z207" s="536"/>
      <c r="AA207" s="536"/>
      <c r="AB207" s="536"/>
      <c r="AC207" s="536"/>
      <c r="AD207" s="536"/>
      <c r="AE207" s="536"/>
      <c r="AF207" s="536"/>
      <c r="AG207" s="536"/>
      <c r="AH207" s="536"/>
      <c r="AI207" s="536"/>
      <c r="AJ207" s="536"/>
      <c r="AK207" s="536"/>
      <c r="AL207" s="536"/>
      <c r="AM207" s="536"/>
      <c r="AN207" s="536"/>
      <c r="AO207" s="537"/>
      <c r="AP207" s="537"/>
      <c r="AQ207" s="538"/>
      <c r="AR207" s="538"/>
      <c r="AS207" s="538"/>
      <c r="AT207" s="538"/>
      <c r="AU207" s="538"/>
      <c r="AV207" s="538"/>
      <c r="AW207" s="536"/>
      <c r="AX207" s="536"/>
      <c r="AY207" s="536"/>
      <c r="AZ207" s="536"/>
      <c r="BA207" s="536"/>
      <c r="BB207" s="536"/>
      <c r="BC207" s="536"/>
      <c r="BD207" s="536"/>
      <c r="BE207" s="536"/>
      <c r="BF207" s="536"/>
      <c r="BG207" s="536"/>
      <c r="BH207" s="536"/>
      <c r="BI207" s="536"/>
      <c r="BJ207" s="536"/>
      <c r="BK207" s="536"/>
      <c r="BL207" s="536"/>
      <c r="BM207" s="536"/>
      <c r="BN207" s="536"/>
      <c r="BO207" s="536"/>
      <c r="BP207" s="536"/>
      <c r="BQ207" s="538"/>
      <c r="BR207" s="538"/>
      <c r="BS207" s="538"/>
      <c r="BT207" s="538"/>
      <c r="BU207" s="538"/>
      <c r="BV207" s="538"/>
      <c r="BW207" s="539"/>
      <c r="BX207" s="539"/>
      <c r="BY207" s="539"/>
      <c r="BZ207" s="539"/>
      <c r="CA207" s="539"/>
      <c r="CB207" s="539"/>
      <c r="CC207" s="539"/>
      <c r="CD207" s="539"/>
      <c r="CE207" s="539"/>
      <c r="CF207" s="539"/>
      <c r="CG207" s="539"/>
      <c r="CH207" s="539"/>
      <c r="CI207" s="539"/>
      <c r="CJ207" s="539"/>
      <c r="CK207" s="539"/>
      <c r="CL207" s="539"/>
      <c r="CM207" s="539"/>
      <c r="CN207" s="539"/>
      <c r="CO207" s="539"/>
      <c r="CP207" s="539"/>
      <c r="CQ207" s="539"/>
      <c r="CR207" s="539"/>
      <c r="CS207" s="539"/>
      <c r="CT207" s="539"/>
      <c r="CU207" s="539"/>
      <c r="CV207" s="539"/>
      <c r="CW207" s="539"/>
      <c r="CX207" s="539"/>
      <c r="CY207" s="539"/>
      <c r="CZ207" s="539"/>
      <c r="DA207" s="539"/>
      <c r="DB207" s="539"/>
      <c r="DC207" s="539"/>
      <c r="DD207" s="539"/>
      <c r="DE207" s="539"/>
      <c r="DF207" s="539"/>
      <c r="DG207" s="539"/>
      <c r="DH207" s="539"/>
      <c r="DI207" s="539"/>
      <c r="DJ207" s="539"/>
      <c r="DK207" s="539"/>
      <c r="DL207" s="539"/>
      <c r="DM207" s="539"/>
      <c r="DN207" s="539"/>
      <c r="DO207" s="539"/>
      <c r="DP207" s="539"/>
      <c r="DQ207" s="539"/>
      <c r="DR207" s="539"/>
      <c r="DS207" s="539"/>
      <c r="DT207" s="539"/>
      <c r="DU207" s="539"/>
      <c r="DV207" s="539"/>
      <c r="DW207" s="539"/>
      <c r="DX207" s="539"/>
      <c r="DY207" s="539"/>
      <c r="DZ207" s="539"/>
      <c r="EA207" s="539"/>
      <c r="EB207" s="539"/>
      <c r="EC207" s="539"/>
      <c r="ED207" s="539"/>
      <c r="EE207" s="539"/>
      <c r="EF207" s="539"/>
      <c r="EG207" s="539"/>
      <c r="EH207" s="539"/>
      <c r="EI207" s="539"/>
      <c r="EJ207" s="539"/>
      <c r="EK207" s="539"/>
      <c r="EL207" s="539"/>
      <c r="EM207" s="539"/>
      <c r="EN207" s="539"/>
      <c r="EO207" s="539"/>
      <c r="EP207" s="539"/>
      <c r="EQ207" s="539"/>
      <c r="ER207" s="539"/>
      <c r="ES207" s="539"/>
      <c r="ET207" s="539"/>
      <c r="EU207" s="539"/>
      <c r="EV207" s="539"/>
      <c r="EW207" s="539"/>
      <c r="EX207" s="539"/>
      <c r="EY207" s="539"/>
      <c r="EZ207" s="539"/>
      <c r="FA207" s="539"/>
      <c r="FB207" s="539"/>
      <c r="FC207" s="539"/>
      <c r="FD207" s="539"/>
      <c r="FE207" s="539"/>
      <c r="FF207" s="539"/>
      <c r="FG207" s="539"/>
      <c r="FH207" s="539"/>
      <c r="FI207" s="539"/>
      <c r="FJ207" s="539"/>
      <c r="FK207" s="539"/>
      <c r="FL207" s="539"/>
      <c r="FM207" s="539"/>
      <c r="FN207" s="539"/>
      <c r="FO207" s="539"/>
      <c r="FP207" s="539"/>
      <c r="FQ207" s="539"/>
      <c r="FR207" s="539"/>
      <c r="FS207" s="539"/>
      <c r="FT207" s="539"/>
      <c r="FU207" s="539"/>
      <c r="FV207" s="539"/>
      <c r="FW207" s="539"/>
      <c r="FX207" s="539"/>
      <c r="FY207" s="539"/>
      <c r="FZ207" s="539"/>
      <c r="GA207" s="539"/>
      <c r="GB207" s="539"/>
      <c r="GC207" s="539"/>
      <c r="GD207" s="539"/>
      <c r="GE207" s="539"/>
      <c r="GF207" s="539"/>
      <c r="GG207" s="539"/>
      <c r="GH207" s="539"/>
      <c r="GI207" s="539"/>
      <c r="GJ207" s="539"/>
      <c r="GK207" s="539"/>
      <c r="GL207" s="539"/>
      <c r="GM207" s="539"/>
      <c r="GN207" s="539"/>
      <c r="GO207" s="539"/>
      <c r="GP207" s="539"/>
      <c r="GQ207" s="539"/>
      <c r="GR207" s="539"/>
      <c r="GS207" s="539"/>
      <c r="GT207" s="539"/>
      <c r="GU207" s="539"/>
      <c r="GV207" s="539"/>
      <c r="GW207" s="539"/>
      <c r="GX207" s="539"/>
      <c r="GY207" s="539"/>
      <c r="GZ207" s="539"/>
      <c r="HA207" s="539"/>
      <c r="HB207" s="540"/>
    </row>
    <row r="208" spans="1:242" s="164" customFormat="1" ht="20.100000000000001" customHeight="1">
      <c r="B208" s="541" t="s">
        <v>1490</v>
      </c>
      <c r="C208" s="318" t="s">
        <v>628</v>
      </c>
      <c r="D208" s="318" t="s">
        <v>464</v>
      </c>
      <c r="E208" s="318" t="s">
        <v>1391</v>
      </c>
      <c r="F208" s="332" t="s">
        <v>1392</v>
      </c>
      <c r="G208" s="542" t="s">
        <v>465</v>
      </c>
      <c r="H208" s="543" t="s">
        <v>629</v>
      </c>
      <c r="I208" s="544" t="s">
        <v>641</v>
      </c>
      <c r="J208" s="545" t="s">
        <v>642</v>
      </c>
      <c r="K208" s="546" t="s">
        <v>1491</v>
      </c>
      <c r="L208" s="547" t="s">
        <v>1492</v>
      </c>
      <c r="M208" s="548" t="s">
        <v>1493</v>
      </c>
      <c r="N208" s="546" t="s">
        <v>1494</v>
      </c>
      <c r="O208" s="547" t="s">
        <v>1495</v>
      </c>
      <c r="P208" s="318" t="s">
        <v>1496</v>
      </c>
      <c r="Q208" s="547" t="s">
        <v>1497</v>
      </c>
      <c r="R208" s="318" t="s">
        <v>1498</v>
      </c>
      <c r="S208" s="318" t="s">
        <v>1499</v>
      </c>
      <c r="T208" s="318" t="s">
        <v>1492</v>
      </c>
      <c r="U208" s="494" t="s">
        <v>1493</v>
      </c>
      <c r="V208" s="200"/>
      <c r="W208" s="200"/>
      <c r="X208" s="251"/>
      <c r="Y208" s="251"/>
      <c r="Z208" s="251"/>
      <c r="AA208" s="251"/>
      <c r="AB208" s="251"/>
      <c r="AC208" s="251"/>
      <c r="AD208" s="251"/>
      <c r="AE208" s="251"/>
      <c r="AF208" s="251"/>
      <c r="AG208" s="251"/>
      <c r="AH208" s="251"/>
      <c r="AI208" s="251"/>
      <c r="AJ208" s="251"/>
      <c r="AK208" s="251"/>
      <c r="AL208" s="251"/>
      <c r="AM208" s="251"/>
      <c r="AN208" s="251"/>
      <c r="AO208" s="495"/>
      <c r="AP208" s="495"/>
      <c r="AQ208" s="249"/>
      <c r="AR208" s="249"/>
      <c r="AS208" s="249"/>
      <c r="AT208" s="249"/>
      <c r="AU208" s="249"/>
      <c r="AV208" s="249"/>
      <c r="AW208" s="251"/>
      <c r="AX208" s="251"/>
      <c r="AY208" s="251"/>
      <c r="AZ208" s="251"/>
      <c r="BA208" s="251"/>
      <c r="BB208" s="251"/>
      <c r="BC208" s="251"/>
      <c r="BD208" s="251"/>
      <c r="BE208" s="251"/>
      <c r="BF208" s="251"/>
      <c r="BG208" s="251"/>
      <c r="BH208" s="251"/>
      <c r="BI208" s="251"/>
      <c r="BJ208" s="251"/>
      <c r="BK208" s="251"/>
      <c r="BL208" s="251"/>
      <c r="BM208" s="251"/>
      <c r="BN208" s="251"/>
      <c r="BO208" s="251"/>
      <c r="BP208" s="251"/>
      <c r="BQ208" s="249"/>
      <c r="BR208" s="249"/>
      <c r="BS208" s="249"/>
      <c r="BT208" s="249"/>
      <c r="BU208" s="249"/>
      <c r="BV208" s="249"/>
      <c r="BW208" s="496"/>
      <c r="BX208" s="496"/>
      <c r="BY208" s="496"/>
      <c r="BZ208" s="496"/>
      <c r="CA208" s="496"/>
      <c r="CB208" s="496"/>
      <c r="CC208" s="496"/>
      <c r="CD208" s="496"/>
      <c r="CE208" s="496"/>
      <c r="CF208" s="496"/>
      <c r="CG208" s="496"/>
      <c r="CH208" s="496"/>
      <c r="CI208" s="496"/>
      <c r="CJ208" s="496"/>
      <c r="CK208" s="496"/>
      <c r="CL208" s="496"/>
      <c r="CM208" s="496"/>
      <c r="CN208" s="496"/>
      <c r="CO208" s="496"/>
      <c r="CP208" s="496"/>
      <c r="CQ208" s="496"/>
      <c r="CR208" s="496"/>
      <c r="CS208" s="496"/>
      <c r="CT208" s="496"/>
      <c r="CU208" s="496"/>
      <c r="CV208" s="496"/>
      <c r="CW208" s="496"/>
      <c r="CX208" s="496"/>
      <c r="CY208" s="496"/>
      <c r="CZ208" s="496"/>
      <c r="DA208" s="496"/>
      <c r="DB208" s="496"/>
      <c r="DC208" s="496"/>
      <c r="DD208" s="496"/>
      <c r="DE208" s="496"/>
      <c r="DF208" s="496"/>
      <c r="DG208" s="496"/>
      <c r="DH208" s="496"/>
      <c r="DI208" s="496"/>
      <c r="DJ208" s="496"/>
      <c r="DK208" s="496"/>
      <c r="DL208" s="496"/>
      <c r="DM208" s="496"/>
      <c r="DN208" s="496"/>
      <c r="DO208" s="496"/>
      <c r="DP208" s="496"/>
      <c r="DQ208" s="496"/>
      <c r="DR208" s="496"/>
      <c r="DS208" s="496"/>
      <c r="DT208" s="496"/>
      <c r="DU208" s="496"/>
      <c r="DV208" s="496"/>
      <c r="DW208" s="496"/>
      <c r="DX208" s="496"/>
      <c r="DY208" s="496"/>
      <c r="DZ208" s="496"/>
      <c r="EA208" s="496"/>
      <c r="EB208" s="496"/>
      <c r="EC208" s="496"/>
      <c r="ED208" s="496"/>
      <c r="EE208" s="496"/>
      <c r="EF208" s="496"/>
      <c r="EG208" s="496"/>
      <c r="EH208" s="496"/>
      <c r="EI208" s="496"/>
      <c r="EJ208" s="496"/>
      <c r="EK208" s="496"/>
      <c r="EL208" s="496"/>
      <c r="EM208" s="496"/>
      <c r="EN208" s="496"/>
      <c r="EO208" s="496"/>
      <c r="EP208" s="496"/>
      <c r="EQ208" s="496"/>
      <c r="ER208" s="496"/>
      <c r="ES208" s="496"/>
      <c r="ET208" s="496"/>
      <c r="EU208" s="496"/>
      <c r="EV208" s="496"/>
      <c r="EW208" s="496"/>
      <c r="EX208" s="496"/>
      <c r="EY208" s="496"/>
      <c r="EZ208" s="496"/>
      <c r="FA208" s="496"/>
      <c r="FB208" s="496"/>
      <c r="FC208" s="496"/>
      <c r="FD208" s="496"/>
      <c r="FE208" s="496"/>
      <c r="FF208" s="496"/>
      <c r="FG208" s="496"/>
      <c r="FH208" s="496"/>
      <c r="FI208" s="496"/>
      <c r="FJ208" s="496"/>
      <c r="FK208" s="496"/>
      <c r="FL208" s="496"/>
      <c r="FM208" s="496"/>
      <c r="FN208" s="496"/>
      <c r="FO208" s="496"/>
      <c r="FP208" s="496"/>
      <c r="FQ208" s="496"/>
      <c r="FR208" s="496"/>
      <c r="FS208" s="496"/>
      <c r="FT208" s="496"/>
      <c r="FU208" s="496"/>
      <c r="FV208" s="496"/>
      <c r="FW208" s="496"/>
      <c r="FX208" s="496"/>
      <c r="FY208" s="496"/>
      <c r="FZ208" s="496"/>
      <c r="GA208" s="496"/>
      <c r="GB208" s="496"/>
      <c r="GC208" s="496"/>
      <c r="GD208" s="496"/>
      <c r="GE208" s="496"/>
      <c r="GF208" s="496"/>
      <c r="GG208" s="496"/>
      <c r="GH208" s="496"/>
      <c r="GI208" s="496"/>
      <c r="GJ208" s="496"/>
      <c r="GK208" s="496"/>
      <c r="GL208" s="496"/>
      <c r="GM208" s="496"/>
      <c r="GN208" s="496"/>
      <c r="GO208" s="496"/>
      <c r="GP208" s="496"/>
      <c r="GQ208" s="496"/>
      <c r="GR208" s="496"/>
      <c r="GS208" s="496"/>
      <c r="GT208" s="496"/>
      <c r="GU208" s="496"/>
      <c r="GV208" s="496"/>
      <c r="GW208" s="496"/>
      <c r="GX208" s="496"/>
      <c r="GY208" s="496"/>
      <c r="GZ208" s="496"/>
      <c r="HA208" s="496"/>
      <c r="HB208" s="496"/>
      <c r="IE208" s="579"/>
      <c r="IF208" s="579"/>
      <c r="IG208" s="579"/>
      <c r="IH208" s="579"/>
    </row>
    <row r="209" spans="1:242" s="164" customFormat="1" ht="20.100000000000001" customHeight="1">
      <c r="B209" s="410" t="s">
        <v>1500</v>
      </c>
      <c r="C209" s="411"/>
      <c r="D209" s="411"/>
      <c r="E209" s="411"/>
      <c r="F209" s="411"/>
      <c r="G209" s="412"/>
      <c r="H209" s="549"/>
      <c r="I209" s="412"/>
      <c r="J209" s="413"/>
      <c r="K209" s="550" t="s">
        <v>1501</v>
      </c>
      <c r="L209" s="551"/>
      <c r="M209" s="552"/>
      <c r="N209" s="306" t="s">
        <v>376</v>
      </c>
      <c r="O209" s="551"/>
      <c r="P209" s="311"/>
      <c r="Q209" s="551"/>
      <c r="R209" s="311"/>
      <c r="S209" s="311"/>
      <c r="T209" s="311"/>
      <c r="U209" s="315"/>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c r="BZ209" s="200"/>
      <c r="CA209" s="200"/>
      <c r="CB209" s="200"/>
      <c r="CC209" s="200"/>
      <c r="CD209" s="200"/>
      <c r="CE209" s="200"/>
      <c r="CF209" s="200"/>
      <c r="CG209" s="200"/>
      <c r="CH209" s="200"/>
      <c r="CI209" s="200"/>
      <c r="CJ209" s="200"/>
      <c r="CK209" s="200"/>
      <c r="CL209" s="200"/>
      <c r="CM209" s="200"/>
      <c r="CN209" s="200"/>
      <c r="CO209" s="200"/>
      <c r="CP209" s="200"/>
      <c r="CQ209" s="200"/>
      <c r="CR209" s="200"/>
      <c r="CS209" s="200"/>
      <c r="CT209" s="200"/>
      <c r="CU209" s="200"/>
      <c r="CV209" s="200"/>
      <c r="CW209" s="200"/>
      <c r="CX209" s="200"/>
      <c r="CY209" s="200"/>
      <c r="CZ209" s="200"/>
      <c r="DA209" s="200"/>
      <c r="DB209" s="200"/>
      <c r="DC209" s="200"/>
      <c r="DD209" s="200"/>
      <c r="DE209" s="200"/>
      <c r="DF209" s="200"/>
      <c r="DG209" s="200"/>
      <c r="DH209" s="200"/>
      <c r="DI209" s="200"/>
      <c r="DJ209" s="200"/>
      <c r="DK209" s="200"/>
      <c r="DL209" s="200"/>
      <c r="DM209" s="200"/>
      <c r="DN209" s="200"/>
      <c r="DO209" s="200"/>
      <c r="DP209" s="200"/>
      <c r="DQ209" s="200"/>
      <c r="DR209" s="200"/>
      <c r="DS209" s="200"/>
      <c r="DT209" s="200"/>
      <c r="DU209" s="200"/>
      <c r="DV209" s="200"/>
      <c r="DW209" s="200"/>
      <c r="DX209" s="200"/>
      <c r="DY209" s="200"/>
      <c r="DZ209" s="200"/>
      <c r="EA209" s="200"/>
      <c r="EB209" s="200"/>
      <c r="EC209" s="200"/>
      <c r="ED209" s="200"/>
      <c r="EE209" s="200"/>
      <c r="EF209" s="200"/>
      <c r="EG209" s="200"/>
      <c r="EH209" s="200"/>
      <c r="EI209" s="200"/>
      <c r="EJ209" s="200"/>
      <c r="EK209" s="200"/>
      <c r="EL209" s="200"/>
      <c r="EM209" s="200"/>
      <c r="EN209" s="200"/>
      <c r="EO209" s="200"/>
      <c r="EP209" s="200"/>
      <c r="EQ209" s="200"/>
      <c r="ER209" s="200"/>
      <c r="ES209" s="200"/>
      <c r="ET209" s="200"/>
      <c r="EU209" s="200"/>
      <c r="EV209" s="200"/>
      <c r="EW209" s="200"/>
      <c r="EX209" s="200"/>
      <c r="EY209" s="200"/>
      <c r="EZ209" s="200"/>
      <c r="FA209" s="200"/>
      <c r="FB209" s="200"/>
      <c r="FC209" s="200"/>
      <c r="FD209" s="200"/>
      <c r="FE209" s="200"/>
      <c r="FF209" s="200"/>
      <c r="FG209" s="200"/>
      <c r="FH209" s="200"/>
      <c r="FI209" s="200"/>
      <c r="FJ209" s="200"/>
      <c r="FK209" s="200"/>
      <c r="FL209" s="200"/>
      <c r="FM209" s="200"/>
      <c r="FN209" s="200"/>
      <c r="FO209" s="200"/>
      <c r="FP209" s="200"/>
      <c r="FQ209" s="200"/>
      <c r="FR209" s="200"/>
      <c r="FS209" s="200"/>
      <c r="FT209" s="200"/>
      <c r="FU209" s="200"/>
      <c r="FV209" s="200"/>
      <c r="FW209" s="200"/>
      <c r="FX209" s="200"/>
      <c r="FY209" s="200"/>
      <c r="FZ209" s="200"/>
      <c r="GA209" s="200"/>
      <c r="GB209" s="200"/>
      <c r="GC209" s="200"/>
      <c r="GD209" s="200"/>
      <c r="GE209" s="200"/>
      <c r="GF209" s="200"/>
      <c r="GG209" s="200"/>
      <c r="GH209" s="200"/>
      <c r="GI209" s="200"/>
      <c r="GJ209" s="200"/>
      <c r="GK209" s="200"/>
      <c r="GL209" s="200"/>
      <c r="GM209" s="200"/>
      <c r="GN209" s="200"/>
      <c r="GO209" s="200"/>
      <c r="GP209" s="200"/>
      <c r="GQ209" s="200"/>
      <c r="GR209" s="200"/>
      <c r="GS209" s="200"/>
      <c r="GT209" s="200"/>
      <c r="GU209" s="200"/>
      <c r="GV209" s="200"/>
      <c r="GW209" s="200"/>
      <c r="GX209" s="200"/>
      <c r="GY209" s="200"/>
      <c r="GZ209" s="200"/>
      <c r="HA209" s="200"/>
      <c r="HB209" s="200"/>
      <c r="IE209" s="579"/>
      <c r="IF209" s="579"/>
      <c r="IG209" s="579"/>
      <c r="IH209" s="579"/>
    </row>
    <row r="210" spans="1:242" s="164" customFormat="1" ht="20.100000000000001" customHeight="1">
      <c r="B210" s="421" t="s">
        <v>1502</v>
      </c>
      <c r="C210" s="422"/>
      <c r="D210" s="422"/>
      <c r="E210" s="422"/>
      <c r="F210" s="422"/>
      <c r="G210" s="423"/>
      <c r="H210" s="553"/>
      <c r="I210" s="423"/>
      <c r="J210" s="424"/>
      <c r="K210" s="554" t="s">
        <v>1503</v>
      </c>
      <c r="L210" s="551"/>
      <c r="M210" s="552"/>
      <c r="N210" s="550" t="s">
        <v>395</v>
      </c>
      <c r="O210" s="551"/>
      <c r="P210" s="311"/>
      <c r="Q210" s="551"/>
      <c r="R210" s="311"/>
      <c r="S210" s="311"/>
      <c r="T210" s="311"/>
      <c r="U210" s="315"/>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c r="BZ210" s="200"/>
      <c r="CA210" s="200"/>
      <c r="CB210" s="200"/>
      <c r="CC210" s="200"/>
      <c r="CD210" s="200"/>
      <c r="CE210" s="200"/>
      <c r="CF210" s="200"/>
      <c r="CG210" s="200"/>
      <c r="CH210" s="200"/>
      <c r="CI210" s="200"/>
      <c r="CJ210" s="200"/>
      <c r="CK210" s="200"/>
      <c r="CL210" s="200"/>
      <c r="CM210" s="200"/>
      <c r="CN210" s="200"/>
      <c r="CO210" s="200"/>
      <c r="CP210" s="200"/>
      <c r="CQ210" s="200"/>
      <c r="CR210" s="200"/>
      <c r="CS210" s="200"/>
      <c r="CT210" s="200"/>
      <c r="CU210" s="200"/>
      <c r="CV210" s="200"/>
      <c r="CW210" s="200"/>
      <c r="CX210" s="200"/>
      <c r="CY210" s="200"/>
      <c r="CZ210" s="200"/>
      <c r="DA210" s="200"/>
      <c r="DB210" s="200"/>
      <c r="DC210" s="200"/>
      <c r="DD210" s="200"/>
      <c r="DE210" s="200"/>
      <c r="DF210" s="200"/>
      <c r="DG210" s="200"/>
      <c r="DH210" s="200"/>
      <c r="DI210" s="200"/>
      <c r="DJ210" s="200"/>
      <c r="DK210" s="200"/>
      <c r="DL210" s="200"/>
      <c r="DM210" s="200"/>
      <c r="DN210" s="200"/>
      <c r="DO210" s="200"/>
      <c r="DP210" s="200"/>
      <c r="DQ210" s="200"/>
      <c r="DR210" s="200"/>
      <c r="DS210" s="200"/>
      <c r="DT210" s="200"/>
      <c r="DU210" s="200"/>
      <c r="DV210" s="200"/>
      <c r="DW210" s="200"/>
      <c r="DX210" s="200"/>
      <c r="DY210" s="200"/>
      <c r="DZ210" s="200"/>
      <c r="EA210" s="200"/>
      <c r="EB210" s="200"/>
      <c r="EC210" s="200"/>
      <c r="ED210" s="200"/>
      <c r="EE210" s="200"/>
      <c r="EF210" s="200"/>
      <c r="EG210" s="200"/>
      <c r="EH210" s="200"/>
      <c r="EI210" s="200"/>
      <c r="EJ210" s="200"/>
      <c r="EK210" s="200"/>
      <c r="EL210" s="200"/>
      <c r="EM210" s="200"/>
      <c r="EN210" s="200"/>
      <c r="EO210" s="200"/>
      <c r="EP210" s="200"/>
      <c r="EQ210" s="200"/>
      <c r="ER210" s="200"/>
      <c r="ES210" s="200"/>
      <c r="ET210" s="200"/>
      <c r="EU210" s="200"/>
      <c r="EV210" s="200"/>
      <c r="EW210" s="200"/>
      <c r="EX210" s="200"/>
      <c r="EY210" s="200"/>
      <c r="EZ210" s="200"/>
      <c r="FA210" s="200"/>
      <c r="FB210" s="200"/>
      <c r="FC210" s="200"/>
      <c r="FD210" s="200"/>
      <c r="FE210" s="200"/>
      <c r="FF210" s="200"/>
      <c r="FG210" s="200"/>
      <c r="FH210" s="200"/>
      <c r="FI210" s="200"/>
      <c r="FJ210" s="200"/>
      <c r="FK210" s="200"/>
      <c r="FL210" s="200"/>
      <c r="FM210" s="200"/>
      <c r="FN210" s="200"/>
      <c r="FO210" s="200"/>
      <c r="FP210" s="200"/>
      <c r="FQ210" s="200"/>
      <c r="FR210" s="200"/>
      <c r="FS210" s="200"/>
      <c r="FT210" s="200"/>
      <c r="FU210" s="200"/>
      <c r="FV210" s="200"/>
      <c r="FW210" s="200"/>
      <c r="FX210" s="200"/>
      <c r="FY210" s="200"/>
      <c r="FZ210" s="200"/>
      <c r="GA210" s="200"/>
      <c r="GB210" s="200"/>
      <c r="GC210" s="200"/>
      <c r="GD210" s="200"/>
      <c r="GE210" s="200"/>
      <c r="GF210" s="200"/>
      <c r="GG210" s="200"/>
      <c r="GH210" s="200"/>
      <c r="GI210" s="200"/>
      <c r="GJ210" s="200"/>
      <c r="GK210" s="200"/>
      <c r="GL210" s="200"/>
      <c r="GM210" s="200"/>
      <c r="GN210" s="200"/>
      <c r="GO210" s="200"/>
      <c r="GP210" s="200"/>
      <c r="GQ210" s="200"/>
      <c r="GR210" s="200"/>
      <c r="GS210" s="200"/>
      <c r="GT210" s="200"/>
      <c r="GU210" s="200"/>
      <c r="GV210" s="200"/>
      <c r="GW210" s="200"/>
      <c r="GX210" s="200"/>
      <c r="GY210" s="200"/>
      <c r="GZ210" s="200"/>
      <c r="HA210" s="200"/>
      <c r="HB210" s="200"/>
      <c r="IE210" s="579"/>
      <c r="IF210" s="579"/>
      <c r="IG210" s="579"/>
      <c r="IH210" s="579"/>
    </row>
    <row r="211" spans="1:242" s="164" customFormat="1" ht="20.100000000000001" customHeight="1">
      <c r="B211" s="421" t="s">
        <v>1504</v>
      </c>
      <c r="C211" s="422"/>
      <c r="D211" s="422"/>
      <c r="E211" s="422"/>
      <c r="F211" s="422"/>
      <c r="G211" s="423"/>
      <c r="H211" s="553"/>
      <c r="I211" s="423"/>
      <c r="J211" s="424"/>
      <c r="K211" s="550" t="s">
        <v>1505</v>
      </c>
      <c r="L211" s="551"/>
      <c r="M211" s="552"/>
      <c r="N211" s="550" t="s">
        <v>409</v>
      </c>
      <c r="O211" s="551"/>
      <c r="P211" s="551"/>
      <c r="Q211" s="311"/>
      <c r="R211" s="311"/>
      <c r="S211" s="311"/>
      <c r="T211" s="311"/>
      <c r="U211" s="315"/>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c r="BZ211" s="200"/>
      <c r="CA211" s="200"/>
      <c r="CB211" s="200"/>
      <c r="CC211" s="200"/>
      <c r="CD211" s="200"/>
      <c r="CE211" s="200"/>
      <c r="CF211" s="200"/>
      <c r="CG211" s="200"/>
      <c r="CH211" s="200"/>
      <c r="CI211" s="200"/>
      <c r="CJ211" s="200"/>
      <c r="CK211" s="200"/>
      <c r="CL211" s="200"/>
      <c r="CM211" s="200"/>
      <c r="CN211" s="200"/>
      <c r="CO211" s="200"/>
      <c r="CP211" s="200"/>
      <c r="CQ211" s="200"/>
      <c r="CR211" s="200"/>
      <c r="CS211" s="200"/>
      <c r="CT211" s="200"/>
      <c r="CU211" s="200"/>
      <c r="CV211" s="200"/>
      <c r="CW211" s="200"/>
      <c r="CX211" s="200"/>
      <c r="CY211" s="200"/>
      <c r="CZ211" s="200"/>
      <c r="DA211" s="200"/>
      <c r="DB211" s="200"/>
      <c r="DC211" s="200"/>
      <c r="DD211" s="200"/>
      <c r="DE211" s="200"/>
      <c r="DF211" s="200"/>
      <c r="DG211" s="200"/>
      <c r="DH211" s="200"/>
      <c r="DI211" s="200"/>
      <c r="DJ211" s="200"/>
      <c r="DK211" s="200"/>
      <c r="DL211" s="200"/>
      <c r="DM211" s="200"/>
      <c r="DN211" s="200"/>
      <c r="DO211" s="200"/>
      <c r="DP211" s="200"/>
      <c r="DQ211" s="200"/>
      <c r="DR211" s="200"/>
      <c r="DS211" s="200"/>
      <c r="DT211" s="200"/>
      <c r="DU211" s="200"/>
      <c r="DV211" s="200"/>
      <c r="DW211" s="200"/>
      <c r="DX211" s="200"/>
      <c r="DY211" s="200"/>
      <c r="DZ211" s="200"/>
      <c r="EA211" s="200"/>
      <c r="EB211" s="200"/>
      <c r="EC211" s="200"/>
      <c r="ED211" s="200"/>
      <c r="EE211" s="200"/>
      <c r="EF211" s="200"/>
      <c r="EG211" s="200"/>
      <c r="EH211" s="200"/>
      <c r="EI211" s="200"/>
      <c r="EJ211" s="200"/>
      <c r="EK211" s="200"/>
      <c r="EL211" s="200"/>
      <c r="EM211" s="200"/>
      <c r="EN211" s="200"/>
      <c r="EO211" s="200"/>
      <c r="EP211" s="200"/>
      <c r="EQ211" s="200"/>
      <c r="ER211" s="200"/>
      <c r="ES211" s="200"/>
      <c r="ET211" s="200"/>
      <c r="EU211" s="200"/>
      <c r="EV211" s="200"/>
      <c r="EW211" s="200"/>
      <c r="EX211" s="200"/>
      <c r="EY211" s="200"/>
      <c r="EZ211" s="200"/>
      <c r="FA211" s="200"/>
      <c r="FB211" s="200"/>
      <c r="FC211" s="200"/>
      <c r="FD211" s="200"/>
      <c r="FE211" s="200"/>
      <c r="FF211" s="200"/>
      <c r="FG211" s="200"/>
      <c r="FH211" s="200"/>
      <c r="FI211" s="200"/>
      <c r="FJ211" s="200"/>
      <c r="FK211" s="200"/>
      <c r="FL211" s="200"/>
      <c r="FM211" s="200"/>
      <c r="FN211" s="200"/>
      <c r="FO211" s="200"/>
      <c r="FP211" s="200"/>
      <c r="FQ211" s="200"/>
      <c r="FR211" s="200"/>
      <c r="FS211" s="200"/>
      <c r="FT211" s="200"/>
      <c r="FU211" s="200"/>
      <c r="FV211" s="200"/>
      <c r="FW211" s="200"/>
      <c r="FX211" s="200"/>
      <c r="FY211" s="200"/>
      <c r="FZ211" s="200"/>
      <c r="GA211" s="200"/>
      <c r="GB211" s="200"/>
      <c r="GC211" s="200"/>
      <c r="GD211" s="200"/>
      <c r="GE211" s="200"/>
      <c r="GF211" s="200"/>
      <c r="GG211" s="200"/>
      <c r="GH211" s="200"/>
      <c r="GI211" s="200"/>
      <c r="GJ211" s="200"/>
      <c r="GK211" s="200"/>
      <c r="GL211" s="200"/>
      <c r="GM211" s="200"/>
      <c r="GN211" s="200"/>
      <c r="GO211" s="200"/>
      <c r="GP211" s="200"/>
      <c r="GQ211" s="200"/>
      <c r="GR211" s="200"/>
      <c r="GS211" s="200"/>
      <c r="GT211" s="200"/>
      <c r="GU211" s="200"/>
      <c r="GV211" s="200"/>
      <c r="GW211" s="200"/>
      <c r="GX211" s="200"/>
      <c r="GY211" s="200"/>
      <c r="GZ211" s="200"/>
      <c r="HA211" s="200"/>
      <c r="HB211" s="200"/>
      <c r="IE211" s="579"/>
      <c r="IF211" s="579"/>
      <c r="IG211" s="579"/>
      <c r="IH211" s="579"/>
    </row>
    <row r="212" spans="1:242" s="164" customFormat="1" ht="20.100000000000001" customHeight="1">
      <c r="B212" s="421" t="s">
        <v>1506</v>
      </c>
      <c r="C212" s="422"/>
      <c r="D212" s="422"/>
      <c r="E212" s="422"/>
      <c r="F212" s="422"/>
      <c r="G212" s="423"/>
      <c r="H212" s="553"/>
      <c r="I212" s="423"/>
      <c r="J212" s="424"/>
      <c r="K212" s="554" t="s">
        <v>1503</v>
      </c>
      <c r="L212" s="551"/>
      <c r="M212" s="552"/>
      <c r="N212" s="550" t="s">
        <v>410</v>
      </c>
      <c r="O212" s="551"/>
      <c r="P212" s="551"/>
      <c r="Q212" s="311"/>
      <c r="R212" s="311"/>
      <c r="S212" s="311"/>
      <c r="T212" s="311"/>
      <c r="U212" s="315"/>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c r="CD212" s="200"/>
      <c r="CE212" s="200"/>
      <c r="CF212" s="200"/>
      <c r="CG212" s="200"/>
      <c r="CH212" s="200"/>
      <c r="CI212" s="200"/>
      <c r="CJ212" s="200"/>
      <c r="CK212" s="200"/>
      <c r="CL212" s="200"/>
      <c r="CM212" s="200"/>
      <c r="CN212" s="200"/>
      <c r="CO212" s="200"/>
      <c r="CP212" s="200"/>
      <c r="CQ212" s="200"/>
      <c r="CR212" s="200"/>
      <c r="CS212" s="200"/>
      <c r="CT212" s="200"/>
      <c r="CU212" s="200"/>
      <c r="CV212" s="200"/>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200"/>
      <c r="DS212" s="200"/>
      <c r="DT212" s="200"/>
      <c r="DU212" s="200"/>
      <c r="DV212" s="200"/>
      <c r="DW212" s="200"/>
      <c r="DX212" s="200"/>
      <c r="DY212" s="200"/>
      <c r="DZ212" s="200"/>
      <c r="EA212" s="200"/>
      <c r="EB212" s="200"/>
      <c r="EC212" s="200"/>
      <c r="ED212" s="200"/>
      <c r="EE212" s="200"/>
      <c r="EF212" s="200"/>
      <c r="EG212" s="200"/>
      <c r="EH212" s="200"/>
      <c r="EI212" s="200"/>
      <c r="EJ212" s="200"/>
      <c r="EK212" s="200"/>
      <c r="EL212" s="200"/>
      <c r="EM212" s="200"/>
      <c r="EN212" s="200"/>
      <c r="EO212" s="200"/>
      <c r="EP212" s="200"/>
      <c r="EQ212" s="200"/>
      <c r="ER212" s="200"/>
      <c r="ES212" s="200"/>
      <c r="ET212" s="200"/>
      <c r="EU212" s="200"/>
      <c r="EV212" s="200"/>
      <c r="EW212" s="200"/>
      <c r="EX212" s="200"/>
      <c r="EY212" s="200"/>
      <c r="EZ212" s="200"/>
      <c r="FA212" s="200"/>
      <c r="FB212" s="200"/>
      <c r="FC212" s="200"/>
      <c r="FD212" s="200"/>
      <c r="FE212" s="200"/>
      <c r="FF212" s="200"/>
      <c r="FG212" s="200"/>
      <c r="FH212" s="200"/>
      <c r="FI212" s="200"/>
      <c r="FJ212" s="200"/>
      <c r="FK212" s="200"/>
      <c r="FL212" s="200"/>
      <c r="FM212" s="200"/>
      <c r="FN212" s="200"/>
      <c r="FO212" s="200"/>
      <c r="FP212" s="200"/>
      <c r="FQ212" s="200"/>
      <c r="FR212" s="200"/>
      <c r="FS212" s="200"/>
      <c r="FT212" s="200"/>
      <c r="FU212" s="200"/>
      <c r="FV212" s="200"/>
      <c r="FW212" s="200"/>
      <c r="FX212" s="200"/>
      <c r="FY212" s="200"/>
      <c r="FZ212" s="200"/>
      <c r="GA212" s="200"/>
      <c r="GB212" s="200"/>
      <c r="GC212" s="200"/>
      <c r="GD212" s="200"/>
      <c r="GE212" s="200"/>
      <c r="GF212" s="200"/>
      <c r="GG212" s="200"/>
      <c r="GH212" s="200"/>
      <c r="GI212" s="200"/>
      <c r="GJ212" s="200"/>
      <c r="GK212" s="200"/>
      <c r="GL212" s="200"/>
      <c r="GM212" s="200"/>
      <c r="GN212" s="200"/>
      <c r="GO212" s="200"/>
      <c r="GP212" s="200"/>
      <c r="GQ212" s="200"/>
      <c r="GR212" s="200"/>
      <c r="GS212" s="200"/>
      <c r="GT212" s="200"/>
      <c r="GU212" s="200"/>
      <c r="GV212" s="200"/>
      <c r="GW212" s="200"/>
      <c r="GX212" s="200"/>
      <c r="GY212" s="200"/>
      <c r="GZ212" s="200"/>
      <c r="HA212" s="200"/>
      <c r="HB212" s="200"/>
      <c r="IE212" s="579"/>
      <c r="IF212" s="579"/>
      <c r="IG212" s="579"/>
      <c r="IH212" s="579"/>
    </row>
    <row r="213" spans="1:242" ht="20.100000000000001" customHeight="1">
      <c r="A213" s="164"/>
      <c r="B213" s="421" t="s">
        <v>1507</v>
      </c>
      <c r="C213" s="422"/>
      <c r="D213" s="422"/>
      <c r="E213" s="422"/>
      <c r="F213" s="422"/>
      <c r="G213" s="423"/>
      <c r="H213" s="553"/>
      <c r="I213" s="445"/>
      <c r="J213" s="555"/>
      <c r="K213" s="550" t="s">
        <v>1508</v>
      </c>
      <c r="L213" s="551"/>
      <c r="M213" s="552"/>
      <c r="N213" s="550" t="s">
        <v>643</v>
      </c>
      <c r="O213" s="551"/>
      <c r="P213" s="551"/>
      <c r="Q213" s="311"/>
      <c r="R213" s="311"/>
      <c r="S213" s="311"/>
      <c r="T213" s="311"/>
      <c r="U213" s="315"/>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00"/>
      <c r="CA213" s="200"/>
      <c r="CB213" s="200"/>
      <c r="CC213" s="200"/>
      <c r="CD213" s="200"/>
      <c r="CE213" s="200"/>
      <c r="CF213" s="200"/>
      <c r="CG213" s="200"/>
      <c r="CH213" s="200"/>
      <c r="CI213" s="200"/>
      <c r="CJ213" s="200"/>
      <c r="CK213" s="200"/>
      <c r="CL213" s="200"/>
      <c r="CM213" s="200"/>
      <c r="CN213" s="200"/>
      <c r="CO213" s="200"/>
      <c r="CP213" s="200"/>
      <c r="CQ213" s="200"/>
      <c r="CR213" s="200"/>
      <c r="CS213" s="200"/>
      <c r="CT213" s="200"/>
      <c r="CU213" s="200"/>
      <c r="CV213" s="200"/>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200"/>
      <c r="DS213" s="200"/>
      <c r="DT213" s="200"/>
      <c r="DU213" s="200"/>
      <c r="DV213" s="200"/>
      <c r="DW213" s="200"/>
      <c r="DX213" s="200"/>
      <c r="DY213" s="200"/>
      <c r="DZ213" s="200"/>
      <c r="EA213" s="200"/>
      <c r="EB213" s="200"/>
      <c r="EC213" s="200"/>
      <c r="ED213" s="200"/>
      <c r="EE213" s="200"/>
      <c r="EF213" s="200"/>
      <c r="EG213" s="200"/>
      <c r="EH213" s="200"/>
      <c r="EI213" s="200"/>
      <c r="EJ213" s="200"/>
      <c r="EK213" s="200"/>
      <c r="EL213" s="200"/>
      <c r="EM213" s="200"/>
      <c r="EN213" s="200"/>
      <c r="EO213" s="200"/>
      <c r="EP213" s="200"/>
      <c r="EQ213" s="200"/>
      <c r="ER213" s="200"/>
      <c r="ES213" s="200"/>
      <c r="ET213" s="200"/>
      <c r="EU213" s="200"/>
      <c r="EV213" s="200"/>
      <c r="EW213" s="200"/>
      <c r="EX213" s="200"/>
      <c r="EY213" s="200"/>
      <c r="EZ213" s="200"/>
      <c r="FA213" s="200"/>
      <c r="FB213" s="200"/>
      <c r="FC213" s="200"/>
      <c r="FD213" s="200"/>
      <c r="FE213" s="200"/>
      <c r="FF213" s="200"/>
      <c r="FG213" s="200"/>
      <c r="FH213" s="200"/>
      <c r="FI213" s="200"/>
      <c r="FJ213" s="200"/>
      <c r="FK213" s="200"/>
      <c r="FL213" s="200"/>
      <c r="FM213" s="200"/>
      <c r="FN213" s="200"/>
      <c r="FO213" s="200"/>
      <c r="FP213" s="200"/>
      <c r="FQ213" s="200"/>
      <c r="FR213" s="200"/>
      <c r="FS213" s="200"/>
      <c r="FT213" s="200"/>
      <c r="FU213" s="200"/>
      <c r="FV213" s="200"/>
      <c r="FW213" s="200"/>
      <c r="FX213" s="200"/>
      <c r="FY213" s="200"/>
      <c r="FZ213" s="200"/>
      <c r="GA213" s="200"/>
      <c r="GB213" s="200"/>
      <c r="GC213" s="200"/>
      <c r="GD213" s="200"/>
      <c r="GE213" s="200"/>
      <c r="GF213" s="200"/>
      <c r="GG213" s="200"/>
      <c r="GH213" s="200"/>
      <c r="GI213" s="200"/>
      <c r="GJ213" s="200"/>
      <c r="GK213" s="200"/>
      <c r="GL213" s="200"/>
      <c r="GM213" s="200"/>
      <c r="GN213" s="200"/>
      <c r="GO213" s="200"/>
      <c r="GP213" s="200"/>
      <c r="GQ213" s="200"/>
      <c r="GR213" s="200"/>
      <c r="GS213" s="200"/>
      <c r="GT213" s="200"/>
      <c r="GU213" s="200"/>
      <c r="GV213" s="200"/>
      <c r="GW213" s="200"/>
      <c r="GX213" s="200"/>
      <c r="GY213" s="200"/>
      <c r="GZ213" s="200"/>
      <c r="HA213" s="200"/>
      <c r="HB213" s="200"/>
    </row>
    <row r="214" spans="1:242" ht="20.100000000000001" customHeight="1">
      <c r="A214" s="164"/>
      <c r="B214" s="410" t="s">
        <v>1509</v>
      </c>
      <c r="C214" s="411"/>
      <c r="D214" s="411"/>
      <c r="E214" s="411"/>
      <c r="F214" s="411"/>
      <c r="G214" s="411"/>
      <c r="H214" s="556"/>
      <c r="I214" s="412"/>
      <c r="J214" s="413"/>
      <c r="K214" s="550" t="s">
        <v>1510</v>
      </c>
      <c r="L214" s="551"/>
      <c r="M214" s="552"/>
      <c r="N214" s="550" t="s">
        <v>643</v>
      </c>
      <c r="O214" s="551"/>
      <c r="P214" s="551"/>
      <c r="Q214" s="311"/>
      <c r="R214" s="311"/>
      <c r="S214" s="311"/>
      <c r="T214" s="311"/>
      <c r="U214" s="315"/>
      <c r="V214" s="200"/>
      <c r="W214" s="200"/>
      <c r="X214" s="496"/>
      <c r="Y214" s="496"/>
      <c r="Z214" s="496"/>
      <c r="AA214" s="496"/>
      <c r="AB214" s="496"/>
      <c r="AC214" s="496"/>
      <c r="AD214" s="496"/>
      <c r="AE214" s="496"/>
      <c r="AF214" s="496"/>
      <c r="AG214" s="496"/>
      <c r="AH214" s="496"/>
      <c r="AI214" s="496"/>
      <c r="AJ214" s="496"/>
      <c r="AK214" s="496"/>
      <c r="AL214" s="496"/>
      <c r="AM214" s="496"/>
      <c r="AN214" s="496"/>
      <c r="AO214" s="496"/>
      <c r="AP214" s="496"/>
      <c r="AQ214" s="496"/>
      <c r="AR214" s="496"/>
      <c r="AS214" s="496"/>
      <c r="AT214" s="496"/>
      <c r="AU214" s="496"/>
      <c r="AV214" s="496"/>
      <c r="AW214" s="496"/>
      <c r="AX214" s="496"/>
      <c r="AY214" s="496"/>
      <c r="AZ214" s="496"/>
      <c r="BA214" s="496"/>
      <c r="BB214" s="496"/>
      <c r="BC214" s="496"/>
      <c r="BD214" s="496"/>
      <c r="BE214" s="496"/>
      <c r="BF214" s="496"/>
      <c r="BG214" s="496"/>
      <c r="BH214" s="496"/>
      <c r="BI214" s="496"/>
      <c r="BJ214" s="496"/>
      <c r="BK214" s="496"/>
      <c r="BL214" s="496"/>
      <c r="BM214" s="496"/>
      <c r="BN214" s="496"/>
      <c r="BO214" s="496"/>
      <c r="BP214" s="496"/>
      <c r="BQ214" s="496"/>
      <c r="BR214" s="496"/>
      <c r="BS214" s="496"/>
      <c r="BT214" s="496"/>
      <c r="BU214" s="496"/>
      <c r="BV214" s="496"/>
      <c r="BW214" s="496"/>
      <c r="BX214" s="496"/>
      <c r="BY214" s="496"/>
      <c r="BZ214" s="496"/>
      <c r="CA214" s="496"/>
      <c r="CB214" s="496"/>
      <c r="CC214" s="496"/>
      <c r="CD214" s="496"/>
      <c r="CE214" s="496"/>
      <c r="CF214" s="496"/>
      <c r="CG214" s="496"/>
      <c r="CH214" s="496"/>
      <c r="CI214" s="496"/>
      <c r="CJ214" s="496"/>
      <c r="CK214" s="496"/>
      <c r="CL214" s="496"/>
      <c r="CM214" s="496"/>
      <c r="CN214" s="496"/>
      <c r="CO214" s="496"/>
      <c r="CP214" s="496"/>
      <c r="CQ214" s="496"/>
      <c r="CR214" s="496"/>
      <c r="CS214" s="496"/>
      <c r="CT214" s="496"/>
      <c r="CU214" s="496"/>
      <c r="CV214" s="496"/>
      <c r="CW214" s="496"/>
      <c r="CX214" s="496"/>
      <c r="CY214" s="496"/>
      <c r="CZ214" s="496"/>
      <c r="DA214" s="496"/>
      <c r="DB214" s="496"/>
      <c r="DC214" s="496"/>
      <c r="DD214" s="496"/>
      <c r="DE214" s="496"/>
      <c r="DF214" s="496"/>
      <c r="DG214" s="496"/>
      <c r="DH214" s="496"/>
      <c r="DI214" s="496"/>
      <c r="DJ214" s="496"/>
      <c r="DK214" s="496"/>
      <c r="DL214" s="496"/>
      <c r="DM214" s="496"/>
      <c r="DN214" s="496"/>
      <c r="DO214" s="496"/>
      <c r="DP214" s="496"/>
      <c r="DQ214" s="496"/>
      <c r="DR214" s="496"/>
      <c r="DS214" s="496"/>
      <c r="DT214" s="496"/>
      <c r="DU214" s="496"/>
      <c r="DV214" s="496"/>
      <c r="DW214" s="496"/>
      <c r="DX214" s="496"/>
      <c r="DY214" s="496"/>
      <c r="DZ214" s="496"/>
      <c r="EA214" s="496"/>
      <c r="EB214" s="496"/>
      <c r="EC214" s="496"/>
      <c r="ED214" s="496"/>
      <c r="EE214" s="496"/>
      <c r="EF214" s="496"/>
      <c r="EG214" s="496"/>
      <c r="EH214" s="496"/>
      <c r="EI214" s="496"/>
      <c r="EJ214" s="496"/>
      <c r="EK214" s="496"/>
      <c r="EL214" s="496"/>
      <c r="EM214" s="496"/>
      <c r="EN214" s="496"/>
      <c r="EO214" s="496"/>
      <c r="EP214" s="496"/>
      <c r="EQ214" s="496"/>
      <c r="ER214" s="496"/>
      <c r="ES214" s="496"/>
      <c r="ET214" s="496"/>
      <c r="EU214" s="496"/>
      <c r="EV214" s="496"/>
      <c r="EW214" s="496"/>
      <c r="EX214" s="496"/>
      <c r="EY214" s="496"/>
      <c r="EZ214" s="496"/>
      <c r="FA214" s="496"/>
      <c r="FB214" s="496"/>
      <c r="FC214" s="496"/>
      <c r="FD214" s="496"/>
      <c r="FE214" s="496"/>
      <c r="FF214" s="496"/>
      <c r="FG214" s="496"/>
      <c r="FH214" s="496"/>
      <c r="FI214" s="496"/>
      <c r="FJ214" s="496"/>
      <c r="FK214" s="496"/>
      <c r="FL214" s="496"/>
      <c r="FM214" s="496"/>
      <c r="FN214" s="496"/>
      <c r="FO214" s="496"/>
      <c r="FP214" s="496"/>
      <c r="FQ214" s="496"/>
      <c r="FR214" s="496"/>
      <c r="FS214" s="496"/>
      <c r="FT214" s="496"/>
      <c r="FU214" s="496"/>
      <c r="FV214" s="496"/>
      <c r="FW214" s="496"/>
      <c r="FX214" s="496"/>
      <c r="FY214" s="496"/>
      <c r="FZ214" s="496"/>
      <c r="GA214" s="496"/>
      <c r="GB214" s="496"/>
      <c r="GC214" s="496"/>
      <c r="GD214" s="496"/>
      <c r="GE214" s="496"/>
      <c r="GF214" s="496"/>
      <c r="GG214" s="496"/>
      <c r="GH214" s="496"/>
      <c r="GI214" s="496"/>
      <c r="GJ214" s="496"/>
      <c r="GK214" s="496"/>
      <c r="GL214" s="496"/>
      <c r="GM214" s="496"/>
      <c r="GN214" s="496"/>
      <c r="GO214" s="496"/>
      <c r="GP214" s="496"/>
      <c r="GQ214" s="496"/>
      <c r="GR214" s="496"/>
      <c r="GS214" s="496"/>
      <c r="GT214" s="496"/>
      <c r="GU214" s="496"/>
      <c r="GV214" s="496"/>
      <c r="GW214" s="496"/>
      <c r="GX214" s="496"/>
      <c r="GY214" s="496"/>
      <c r="GZ214" s="496"/>
      <c r="HA214" s="496"/>
      <c r="HB214" s="496"/>
    </row>
    <row r="215" spans="1:242" ht="20.100000000000001" customHeight="1">
      <c r="A215" s="164"/>
      <c r="B215" s="421" t="s">
        <v>1511</v>
      </c>
      <c r="C215" s="422"/>
      <c r="D215" s="422"/>
      <c r="E215" s="422"/>
      <c r="F215" s="422"/>
      <c r="G215" s="422"/>
      <c r="H215" s="557"/>
      <c r="I215" s="423"/>
      <c r="J215" s="424"/>
      <c r="K215" s="550" t="s">
        <v>1512</v>
      </c>
      <c r="L215" s="551"/>
      <c r="M215" s="552"/>
      <c r="N215" s="550" t="s">
        <v>477</v>
      </c>
      <c r="O215" s="551"/>
      <c r="P215" s="551"/>
      <c r="Q215" s="311"/>
      <c r="R215" s="311"/>
      <c r="S215" s="311"/>
      <c r="T215" s="311"/>
      <c r="U215" s="315"/>
      <c r="V215" s="200"/>
      <c r="W215" s="200"/>
      <c r="X215" s="496"/>
      <c r="Y215" s="496"/>
      <c r="Z215" s="496"/>
      <c r="AA215" s="496"/>
      <c r="AB215" s="496"/>
      <c r="AC215" s="496"/>
      <c r="AD215" s="496"/>
      <c r="AE215" s="496"/>
      <c r="AF215" s="496"/>
      <c r="AG215" s="496"/>
      <c r="AH215" s="496"/>
      <c r="AI215" s="496"/>
      <c r="AJ215" s="496"/>
      <c r="AK215" s="496"/>
      <c r="AL215" s="496"/>
      <c r="AM215" s="496"/>
      <c r="AN215" s="496"/>
      <c r="AO215" s="496"/>
      <c r="AP215" s="496"/>
      <c r="AQ215" s="496"/>
      <c r="AR215" s="496"/>
      <c r="AS215" s="496"/>
      <c r="AT215" s="496"/>
      <c r="AU215" s="496"/>
      <c r="AV215" s="496"/>
      <c r="AW215" s="496"/>
      <c r="AX215" s="496"/>
      <c r="AY215" s="496"/>
      <c r="AZ215" s="496"/>
      <c r="BA215" s="496"/>
      <c r="BB215" s="496"/>
      <c r="BC215" s="496"/>
      <c r="BD215" s="496"/>
      <c r="BE215" s="496"/>
      <c r="BF215" s="496"/>
      <c r="BG215" s="496"/>
      <c r="BH215" s="496"/>
      <c r="BI215" s="496"/>
      <c r="BJ215" s="496"/>
      <c r="BK215" s="496"/>
      <c r="BL215" s="496"/>
      <c r="BM215" s="496"/>
      <c r="BN215" s="496"/>
      <c r="BO215" s="496"/>
      <c r="BP215" s="496"/>
      <c r="BQ215" s="496"/>
      <c r="BR215" s="496"/>
      <c r="BS215" s="496"/>
      <c r="BT215" s="496"/>
      <c r="BU215" s="496"/>
      <c r="BV215" s="496"/>
      <c r="BW215" s="496"/>
      <c r="BX215" s="496"/>
      <c r="BY215" s="496"/>
      <c r="BZ215" s="496"/>
      <c r="CA215" s="496"/>
      <c r="CB215" s="496"/>
      <c r="CC215" s="496"/>
      <c r="CD215" s="496"/>
      <c r="CE215" s="496"/>
      <c r="CF215" s="496"/>
      <c r="CG215" s="496"/>
      <c r="CH215" s="496"/>
      <c r="CI215" s="496"/>
      <c r="CJ215" s="496"/>
      <c r="CK215" s="496"/>
      <c r="CL215" s="496"/>
      <c r="CM215" s="496"/>
      <c r="CN215" s="496"/>
      <c r="CO215" s="496"/>
      <c r="CP215" s="496"/>
      <c r="CQ215" s="496"/>
      <c r="CR215" s="496"/>
      <c r="CS215" s="496"/>
      <c r="CT215" s="496"/>
      <c r="CU215" s="496"/>
      <c r="CV215" s="496"/>
      <c r="CW215" s="496"/>
      <c r="CX215" s="496"/>
      <c r="CY215" s="496"/>
      <c r="CZ215" s="496"/>
      <c r="DA215" s="496"/>
      <c r="DB215" s="496"/>
      <c r="DC215" s="496"/>
      <c r="DD215" s="496"/>
      <c r="DE215" s="496"/>
      <c r="DF215" s="496"/>
      <c r="DG215" s="496"/>
      <c r="DH215" s="496"/>
      <c r="DI215" s="496"/>
      <c r="DJ215" s="496"/>
      <c r="DK215" s="496"/>
      <c r="DL215" s="496"/>
      <c r="DM215" s="496"/>
      <c r="DN215" s="496"/>
      <c r="DO215" s="496"/>
      <c r="DP215" s="496"/>
      <c r="DQ215" s="496"/>
      <c r="DR215" s="496"/>
      <c r="DS215" s="496"/>
      <c r="DT215" s="496"/>
      <c r="DU215" s="496"/>
      <c r="DV215" s="496"/>
      <c r="DW215" s="496"/>
      <c r="DX215" s="496"/>
      <c r="DY215" s="496"/>
      <c r="DZ215" s="496"/>
      <c r="EA215" s="496"/>
      <c r="EB215" s="496"/>
      <c r="EC215" s="496"/>
      <c r="ED215" s="496"/>
      <c r="EE215" s="496"/>
      <c r="EF215" s="496"/>
      <c r="EG215" s="496"/>
      <c r="EH215" s="496"/>
      <c r="EI215" s="496"/>
      <c r="EJ215" s="496"/>
      <c r="EK215" s="496"/>
      <c r="EL215" s="496"/>
      <c r="EM215" s="496"/>
      <c r="EN215" s="496"/>
      <c r="EO215" s="496"/>
      <c r="EP215" s="496"/>
      <c r="EQ215" s="496"/>
      <c r="ER215" s="496"/>
      <c r="ES215" s="496"/>
      <c r="ET215" s="496"/>
      <c r="EU215" s="496"/>
      <c r="EV215" s="496"/>
      <c r="EW215" s="496"/>
      <c r="EX215" s="496"/>
      <c r="EY215" s="496"/>
      <c r="EZ215" s="496"/>
      <c r="FA215" s="496"/>
      <c r="FB215" s="496"/>
      <c r="FC215" s="496"/>
      <c r="FD215" s="496"/>
      <c r="FE215" s="496"/>
      <c r="FF215" s="496"/>
      <c r="FG215" s="496"/>
      <c r="FH215" s="496"/>
      <c r="FI215" s="496"/>
      <c r="FJ215" s="496"/>
      <c r="FK215" s="496"/>
      <c r="FL215" s="496"/>
      <c r="FM215" s="496"/>
      <c r="FN215" s="496"/>
      <c r="FO215" s="496"/>
      <c r="FP215" s="496"/>
      <c r="FQ215" s="496"/>
      <c r="FR215" s="496"/>
      <c r="FS215" s="496"/>
      <c r="FT215" s="496"/>
      <c r="FU215" s="496"/>
      <c r="FV215" s="496"/>
      <c r="FW215" s="496"/>
      <c r="FX215" s="496"/>
      <c r="FY215" s="496"/>
      <c r="FZ215" s="496"/>
      <c r="GA215" s="496"/>
      <c r="GB215" s="496"/>
      <c r="GC215" s="496"/>
      <c r="GD215" s="496"/>
      <c r="GE215" s="496"/>
      <c r="GF215" s="496"/>
      <c r="GG215" s="496"/>
      <c r="GH215" s="496"/>
      <c r="GI215" s="496"/>
      <c r="GJ215" s="496"/>
      <c r="GK215" s="496"/>
      <c r="GL215" s="496"/>
      <c r="GM215" s="496"/>
      <c r="GN215" s="496"/>
      <c r="GO215" s="496"/>
      <c r="GP215" s="496"/>
      <c r="GQ215" s="496"/>
      <c r="GR215" s="496"/>
      <c r="GS215" s="496"/>
      <c r="GT215" s="496"/>
      <c r="GU215" s="496"/>
      <c r="GV215" s="496"/>
      <c r="GW215" s="496"/>
      <c r="GX215" s="496"/>
      <c r="GY215" s="496"/>
      <c r="GZ215" s="496"/>
      <c r="HA215" s="496"/>
      <c r="HB215" s="496"/>
    </row>
    <row r="216" spans="1:242" ht="20.100000000000001" customHeight="1">
      <c r="A216" s="164"/>
      <c r="B216" s="421" t="s">
        <v>1513</v>
      </c>
      <c r="C216" s="422"/>
      <c r="D216" s="422"/>
      <c r="E216" s="422"/>
      <c r="F216" s="422"/>
      <c r="G216" s="422"/>
      <c r="H216" s="557"/>
      <c r="I216" s="423"/>
      <c r="J216" s="424"/>
      <c r="K216" s="550" t="s">
        <v>1514</v>
      </c>
      <c r="L216" s="551"/>
      <c r="M216" s="552"/>
      <c r="N216" s="550" t="s">
        <v>477</v>
      </c>
      <c r="O216" s="551"/>
      <c r="P216" s="551"/>
      <c r="Q216" s="311"/>
      <c r="R216" s="311"/>
      <c r="S216" s="311"/>
      <c r="T216" s="311"/>
      <c r="U216" s="315"/>
      <c r="V216" s="200"/>
      <c r="W216" s="200"/>
      <c r="X216" s="496"/>
      <c r="Y216" s="496"/>
      <c r="Z216" s="496"/>
      <c r="AA216" s="496"/>
      <c r="AB216" s="496"/>
      <c r="AC216" s="496"/>
      <c r="AD216" s="496"/>
      <c r="AE216" s="496"/>
      <c r="AF216" s="496"/>
      <c r="AG216" s="496"/>
      <c r="AH216" s="496"/>
      <c r="AI216" s="496"/>
      <c r="AJ216" s="496"/>
      <c r="AK216" s="496"/>
      <c r="AL216" s="496"/>
      <c r="AM216" s="496"/>
      <c r="AN216" s="496"/>
      <c r="AO216" s="496"/>
      <c r="AP216" s="496"/>
      <c r="AQ216" s="496"/>
      <c r="AR216" s="496"/>
      <c r="AS216" s="496"/>
      <c r="AT216" s="496"/>
      <c r="AU216" s="496"/>
      <c r="AV216" s="496"/>
      <c r="AW216" s="496"/>
      <c r="AX216" s="496"/>
      <c r="AY216" s="496"/>
      <c r="AZ216" s="496"/>
      <c r="BA216" s="496"/>
      <c r="BB216" s="496"/>
      <c r="BC216" s="496"/>
      <c r="BD216" s="496"/>
      <c r="BE216" s="496"/>
      <c r="BF216" s="496"/>
      <c r="BG216" s="496"/>
      <c r="BH216" s="496"/>
      <c r="BI216" s="496"/>
      <c r="BJ216" s="496"/>
      <c r="BK216" s="496"/>
      <c r="BL216" s="496"/>
      <c r="BM216" s="496"/>
      <c r="BN216" s="496"/>
      <c r="BO216" s="496"/>
      <c r="BP216" s="496"/>
      <c r="BQ216" s="496"/>
      <c r="BR216" s="496"/>
      <c r="BS216" s="496"/>
      <c r="BT216" s="496"/>
      <c r="BU216" s="496"/>
      <c r="BV216" s="496"/>
      <c r="BW216" s="496"/>
      <c r="BX216" s="496"/>
      <c r="BY216" s="496"/>
      <c r="BZ216" s="496"/>
      <c r="CA216" s="496"/>
      <c r="CB216" s="496"/>
      <c r="CC216" s="496"/>
      <c r="CD216" s="496"/>
      <c r="CE216" s="496"/>
      <c r="CF216" s="496"/>
      <c r="CG216" s="496"/>
      <c r="CH216" s="496"/>
      <c r="CI216" s="496"/>
      <c r="CJ216" s="496"/>
      <c r="CK216" s="496"/>
      <c r="CL216" s="496"/>
      <c r="CM216" s="496"/>
      <c r="CN216" s="496"/>
      <c r="CO216" s="496"/>
      <c r="CP216" s="496"/>
      <c r="CQ216" s="496"/>
      <c r="CR216" s="496"/>
      <c r="CS216" s="496"/>
      <c r="CT216" s="496"/>
      <c r="CU216" s="496"/>
      <c r="CV216" s="496"/>
      <c r="CW216" s="496"/>
      <c r="CX216" s="496"/>
      <c r="CY216" s="496"/>
      <c r="CZ216" s="496"/>
      <c r="DA216" s="496"/>
      <c r="DB216" s="496"/>
      <c r="DC216" s="496"/>
      <c r="DD216" s="496"/>
      <c r="DE216" s="496"/>
      <c r="DF216" s="496"/>
      <c r="DG216" s="496"/>
      <c r="DH216" s="496"/>
      <c r="DI216" s="496"/>
      <c r="DJ216" s="496"/>
      <c r="DK216" s="496"/>
      <c r="DL216" s="496"/>
      <c r="DM216" s="496"/>
      <c r="DN216" s="496"/>
      <c r="DO216" s="496"/>
      <c r="DP216" s="496"/>
      <c r="DQ216" s="496"/>
      <c r="DR216" s="496"/>
      <c r="DS216" s="496"/>
      <c r="DT216" s="496"/>
      <c r="DU216" s="496"/>
      <c r="DV216" s="496"/>
      <c r="DW216" s="496"/>
      <c r="DX216" s="496"/>
      <c r="DY216" s="496"/>
      <c r="DZ216" s="496"/>
      <c r="EA216" s="496"/>
      <c r="EB216" s="496"/>
      <c r="EC216" s="496"/>
      <c r="ED216" s="496"/>
      <c r="EE216" s="496"/>
      <c r="EF216" s="496"/>
      <c r="EG216" s="496"/>
      <c r="EH216" s="496"/>
      <c r="EI216" s="496"/>
      <c r="EJ216" s="496"/>
      <c r="EK216" s="496"/>
      <c r="EL216" s="496"/>
      <c r="EM216" s="496"/>
      <c r="EN216" s="496"/>
      <c r="EO216" s="496"/>
      <c r="EP216" s="496"/>
      <c r="EQ216" s="496"/>
      <c r="ER216" s="496"/>
      <c r="ES216" s="496"/>
      <c r="ET216" s="496"/>
      <c r="EU216" s="496"/>
      <c r="EV216" s="496"/>
      <c r="EW216" s="496"/>
      <c r="EX216" s="496"/>
      <c r="EY216" s="496"/>
      <c r="EZ216" s="496"/>
      <c r="FA216" s="496"/>
      <c r="FB216" s="496"/>
      <c r="FC216" s="496"/>
      <c r="FD216" s="496"/>
      <c r="FE216" s="496"/>
      <c r="FF216" s="496"/>
      <c r="FG216" s="496"/>
      <c r="FH216" s="496"/>
      <c r="FI216" s="496"/>
      <c r="FJ216" s="496"/>
      <c r="FK216" s="496"/>
      <c r="FL216" s="496"/>
      <c r="FM216" s="496"/>
      <c r="FN216" s="496"/>
      <c r="FO216" s="496"/>
      <c r="FP216" s="496"/>
      <c r="FQ216" s="496"/>
      <c r="FR216" s="496"/>
      <c r="FS216" s="496"/>
      <c r="FT216" s="496"/>
      <c r="FU216" s="496"/>
      <c r="FV216" s="496"/>
      <c r="FW216" s="496"/>
      <c r="FX216" s="496"/>
      <c r="FY216" s="496"/>
      <c r="FZ216" s="496"/>
      <c r="GA216" s="496"/>
      <c r="GB216" s="496"/>
      <c r="GC216" s="496"/>
      <c r="GD216" s="496"/>
      <c r="GE216" s="496"/>
      <c r="GF216" s="496"/>
      <c r="GG216" s="496"/>
      <c r="GH216" s="496"/>
      <c r="GI216" s="496"/>
      <c r="GJ216" s="496"/>
      <c r="GK216" s="496"/>
      <c r="GL216" s="496"/>
      <c r="GM216" s="496"/>
      <c r="GN216" s="496"/>
      <c r="GO216" s="496"/>
      <c r="GP216" s="496"/>
      <c r="GQ216" s="496"/>
      <c r="GR216" s="496"/>
      <c r="GS216" s="496"/>
      <c r="GT216" s="496"/>
      <c r="GU216" s="496"/>
      <c r="GV216" s="496"/>
      <c r="GW216" s="496"/>
      <c r="GX216" s="496"/>
      <c r="GY216" s="496"/>
      <c r="GZ216" s="496"/>
      <c r="HA216" s="496"/>
      <c r="HB216" s="496"/>
    </row>
    <row r="217" spans="1:242" ht="20.100000000000001" customHeight="1">
      <c r="A217" s="164"/>
      <c r="B217" s="421" t="s">
        <v>1515</v>
      </c>
      <c r="C217" s="422"/>
      <c r="D217" s="422"/>
      <c r="E217" s="422"/>
      <c r="F217" s="422"/>
      <c r="G217" s="422"/>
      <c r="H217" s="557"/>
      <c r="I217" s="423"/>
      <c r="J217" s="424"/>
      <c r="K217" s="550" t="s">
        <v>1516</v>
      </c>
      <c r="L217" s="551"/>
      <c r="M217" s="552"/>
      <c r="N217" s="550" t="s">
        <v>412</v>
      </c>
      <c r="O217" s="551"/>
      <c r="P217" s="551"/>
      <c r="Q217" s="311"/>
      <c r="R217" s="311"/>
      <c r="S217" s="311"/>
      <c r="T217" s="311"/>
      <c r="U217" s="315"/>
      <c r="V217" s="200"/>
      <c r="W217" s="200"/>
      <c r="X217" s="496"/>
      <c r="Y217" s="496"/>
      <c r="Z217" s="496"/>
      <c r="AA217" s="496"/>
      <c r="AB217" s="496"/>
      <c r="AC217" s="496"/>
      <c r="AD217" s="496"/>
      <c r="AE217" s="496"/>
      <c r="AF217" s="496"/>
      <c r="AG217" s="496"/>
      <c r="AH217" s="496"/>
      <c r="AI217" s="496"/>
      <c r="AJ217" s="496"/>
      <c r="AK217" s="496"/>
      <c r="AL217" s="496"/>
      <c r="AM217" s="496"/>
      <c r="AN217" s="496"/>
      <c r="AO217" s="496"/>
      <c r="AP217" s="496"/>
      <c r="AQ217" s="496"/>
      <c r="AR217" s="496"/>
      <c r="AS217" s="496"/>
      <c r="AT217" s="496"/>
      <c r="AU217" s="496"/>
      <c r="AV217" s="496"/>
      <c r="AW217" s="496"/>
      <c r="AX217" s="496"/>
      <c r="AY217" s="496"/>
      <c r="AZ217" s="496"/>
      <c r="BA217" s="496"/>
      <c r="BB217" s="496"/>
      <c r="BC217" s="496"/>
      <c r="BD217" s="496"/>
      <c r="BE217" s="496"/>
      <c r="BF217" s="496"/>
      <c r="BG217" s="496"/>
      <c r="BH217" s="496"/>
      <c r="BI217" s="496"/>
      <c r="BJ217" s="496"/>
      <c r="BK217" s="496"/>
      <c r="BL217" s="496"/>
      <c r="BM217" s="496"/>
      <c r="BN217" s="496"/>
      <c r="BO217" s="496"/>
      <c r="BP217" s="496"/>
      <c r="BQ217" s="496"/>
      <c r="BR217" s="496"/>
      <c r="BS217" s="496"/>
      <c r="BT217" s="496"/>
      <c r="BU217" s="496"/>
      <c r="BV217" s="496"/>
      <c r="BW217" s="496"/>
      <c r="BX217" s="496"/>
      <c r="BY217" s="496"/>
      <c r="BZ217" s="496"/>
      <c r="CA217" s="496"/>
      <c r="CB217" s="496"/>
      <c r="CC217" s="496"/>
      <c r="CD217" s="496"/>
      <c r="CE217" s="496"/>
      <c r="CF217" s="496"/>
      <c r="CG217" s="496"/>
      <c r="CH217" s="496"/>
      <c r="CI217" s="496"/>
      <c r="CJ217" s="496"/>
      <c r="CK217" s="496"/>
      <c r="CL217" s="496"/>
      <c r="CM217" s="496"/>
      <c r="CN217" s="496"/>
      <c r="CO217" s="496"/>
      <c r="CP217" s="496"/>
      <c r="CQ217" s="496"/>
      <c r="CR217" s="496"/>
      <c r="CS217" s="496"/>
      <c r="CT217" s="496"/>
      <c r="CU217" s="496"/>
      <c r="CV217" s="496"/>
      <c r="CW217" s="496"/>
      <c r="CX217" s="496"/>
      <c r="CY217" s="496"/>
      <c r="CZ217" s="496"/>
      <c r="DA217" s="496"/>
      <c r="DB217" s="496"/>
      <c r="DC217" s="496"/>
      <c r="DD217" s="496"/>
      <c r="DE217" s="496"/>
      <c r="DF217" s="496"/>
      <c r="DG217" s="496"/>
      <c r="DH217" s="496"/>
      <c r="DI217" s="496"/>
      <c r="DJ217" s="496"/>
      <c r="DK217" s="496"/>
      <c r="DL217" s="496"/>
      <c r="DM217" s="496"/>
      <c r="DN217" s="496"/>
      <c r="DO217" s="496"/>
      <c r="DP217" s="496"/>
      <c r="DQ217" s="496"/>
      <c r="DR217" s="496"/>
      <c r="DS217" s="496"/>
      <c r="DT217" s="496"/>
      <c r="DU217" s="496"/>
      <c r="DV217" s="496"/>
      <c r="DW217" s="496"/>
      <c r="DX217" s="496"/>
      <c r="DY217" s="496"/>
      <c r="DZ217" s="496"/>
      <c r="EA217" s="496"/>
      <c r="EB217" s="496"/>
      <c r="EC217" s="496"/>
      <c r="ED217" s="496"/>
      <c r="EE217" s="496"/>
      <c r="EF217" s="496"/>
      <c r="EG217" s="496"/>
      <c r="EH217" s="496"/>
      <c r="EI217" s="496"/>
      <c r="EJ217" s="496"/>
      <c r="EK217" s="496"/>
      <c r="EL217" s="496"/>
      <c r="EM217" s="496"/>
      <c r="EN217" s="496"/>
      <c r="EO217" s="496"/>
      <c r="EP217" s="496"/>
      <c r="EQ217" s="496"/>
      <c r="ER217" s="496"/>
      <c r="ES217" s="496"/>
      <c r="ET217" s="496"/>
      <c r="EU217" s="496"/>
      <c r="EV217" s="496"/>
      <c r="EW217" s="496"/>
      <c r="EX217" s="496"/>
      <c r="EY217" s="496"/>
      <c r="EZ217" s="496"/>
      <c r="FA217" s="496"/>
      <c r="FB217" s="496"/>
      <c r="FC217" s="496"/>
      <c r="FD217" s="496"/>
      <c r="FE217" s="496"/>
      <c r="FF217" s="496"/>
      <c r="FG217" s="496"/>
      <c r="FH217" s="496"/>
      <c r="FI217" s="496"/>
      <c r="FJ217" s="496"/>
      <c r="FK217" s="496"/>
      <c r="FL217" s="496"/>
      <c r="FM217" s="496"/>
      <c r="FN217" s="496"/>
      <c r="FO217" s="496"/>
      <c r="FP217" s="496"/>
      <c r="FQ217" s="496"/>
      <c r="FR217" s="496"/>
      <c r="FS217" s="496"/>
      <c r="FT217" s="496"/>
      <c r="FU217" s="496"/>
      <c r="FV217" s="496"/>
      <c r="FW217" s="496"/>
      <c r="FX217" s="496"/>
      <c r="FY217" s="496"/>
      <c r="FZ217" s="496"/>
      <c r="GA217" s="496"/>
      <c r="GB217" s="496"/>
      <c r="GC217" s="496"/>
      <c r="GD217" s="496"/>
      <c r="GE217" s="496"/>
      <c r="GF217" s="496"/>
      <c r="GG217" s="496"/>
      <c r="GH217" s="496"/>
      <c r="GI217" s="496"/>
      <c r="GJ217" s="496"/>
      <c r="GK217" s="496"/>
      <c r="GL217" s="496"/>
      <c r="GM217" s="496"/>
      <c r="GN217" s="496"/>
      <c r="GO217" s="496"/>
      <c r="GP217" s="496"/>
      <c r="GQ217" s="496"/>
      <c r="GR217" s="496"/>
      <c r="GS217" s="496"/>
      <c r="GT217" s="496"/>
      <c r="GU217" s="496"/>
      <c r="GV217" s="496"/>
      <c r="GW217" s="496"/>
      <c r="GX217" s="496"/>
      <c r="GY217" s="496"/>
      <c r="GZ217" s="496"/>
      <c r="HA217" s="496"/>
      <c r="HB217" s="496"/>
    </row>
    <row r="218" spans="1:242" ht="20.100000000000001" customHeight="1">
      <c r="A218" s="164"/>
      <c r="B218" s="421" t="s">
        <v>1517</v>
      </c>
      <c r="C218" s="422"/>
      <c r="D218" s="422"/>
      <c r="E218" s="422"/>
      <c r="F218" s="422"/>
      <c r="G218" s="422"/>
      <c r="H218" s="557"/>
      <c r="I218" s="423"/>
      <c r="J218" s="424"/>
      <c r="K218" s="550" t="s">
        <v>1518</v>
      </c>
      <c r="L218" s="551"/>
      <c r="M218" s="552"/>
      <c r="N218" s="550" t="s">
        <v>414</v>
      </c>
      <c r="O218" s="551"/>
      <c r="P218" s="551"/>
      <c r="Q218" s="311"/>
      <c r="R218" s="311"/>
      <c r="S218" s="311"/>
      <c r="T218" s="311"/>
      <c r="U218" s="315"/>
      <c r="V218" s="200"/>
      <c r="W218" s="200"/>
      <c r="X218" s="496"/>
      <c r="Y218" s="496"/>
      <c r="Z218" s="496"/>
      <c r="AA218" s="496"/>
      <c r="AB218" s="496"/>
      <c r="AC218" s="496"/>
      <c r="AD218" s="496"/>
      <c r="AE218" s="496"/>
      <c r="AF218" s="496"/>
      <c r="AG218" s="496"/>
      <c r="AH218" s="496"/>
      <c r="AI218" s="496"/>
      <c r="AJ218" s="496"/>
      <c r="AK218" s="496"/>
      <c r="AL218" s="496"/>
      <c r="AM218" s="496"/>
      <c r="AN218" s="496"/>
      <c r="AO218" s="496"/>
      <c r="AP218" s="496"/>
      <c r="AQ218" s="496"/>
      <c r="AR218" s="496"/>
      <c r="AS218" s="496"/>
      <c r="AT218" s="496"/>
      <c r="AU218" s="496"/>
      <c r="AV218" s="496"/>
      <c r="AW218" s="496"/>
      <c r="AX218" s="496"/>
      <c r="AY218" s="496"/>
      <c r="AZ218" s="496"/>
      <c r="BA218" s="496"/>
      <c r="BB218" s="496"/>
      <c r="BC218" s="496"/>
      <c r="BD218" s="496"/>
      <c r="BE218" s="496"/>
      <c r="BF218" s="496"/>
      <c r="BG218" s="496"/>
      <c r="BH218" s="496"/>
      <c r="BI218" s="496"/>
      <c r="BJ218" s="496"/>
      <c r="BK218" s="496"/>
      <c r="BL218" s="496"/>
      <c r="BM218" s="496"/>
      <c r="BN218" s="496"/>
      <c r="BO218" s="496"/>
      <c r="BP218" s="496"/>
      <c r="BQ218" s="496"/>
      <c r="BR218" s="496"/>
      <c r="BS218" s="496"/>
      <c r="BT218" s="496"/>
      <c r="BU218" s="496"/>
      <c r="BV218" s="496"/>
      <c r="BW218" s="496"/>
      <c r="BX218" s="496"/>
      <c r="BY218" s="496"/>
      <c r="BZ218" s="496"/>
      <c r="CA218" s="496"/>
      <c r="CB218" s="496"/>
      <c r="CC218" s="496"/>
      <c r="CD218" s="496"/>
      <c r="CE218" s="496"/>
      <c r="CF218" s="496"/>
      <c r="CG218" s="496"/>
      <c r="CH218" s="496"/>
      <c r="CI218" s="496"/>
      <c r="CJ218" s="496"/>
      <c r="CK218" s="496"/>
      <c r="CL218" s="496"/>
      <c r="CM218" s="496"/>
      <c r="CN218" s="496"/>
      <c r="CO218" s="496"/>
      <c r="CP218" s="496"/>
      <c r="CQ218" s="496"/>
      <c r="CR218" s="496"/>
      <c r="CS218" s="496"/>
      <c r="CT218" s="496"/>
      <c r="CU218" s="496"/>
      <c r="CV218" s="496"/>
      <c r="CW218" s="496"/>
      <c r="CX218" s="496"/>
      <c r="CY218" s="496"/>
      <c r="CZ218" s="496"/>
      <c r="DA218" s="496"/>
      <c r="DB218" s="496"/>
      <c r="DC218" s="496"/>
      <c r="DD218" s="496"/>
      <c r="DE218" s="496"/>
      <c r="DF218" s="496"/>
      <c r="DG218" s="496"/>
      <c r="DH218" s="496"/>
      <c r="DI218" s="496"/>
      <c r="DJ218" s="496"/>
      <c r="DK218" s="496"/>
      <c r="DL218" s="496"/>
      <c r="DM218" s="496"/>
      <c r="DN218" s="496"/>
      <c r="DO218" s="496"/>
      <c r="DP218" s="496"/>
      <c r="DQ218" s="496"/>
      <c r="DR218" s="496"/>
      <c r="DS218" s="496"/>
      <c r="DT218" s="496"/>
      <c r="DU218" s="496"/>
      <c r="DV218" s="496"/>
      <c r="DW218" s="496"/>
      <c r="DX218" s="496"/>
      <c r="DY218" s="496"/>
      <c r="DZ218" s="496"/>
      <c r="EA218" s="496"/>
      <c r="EB218" s="496"/>
      <c r="EC218" s="496"/>
      <c r="ED218" s="496"/>
      <c r="EE218" s="496"/>
      <c r="EF218" s="496"/>
      <c r="EG218" s="496"/>
      <c r="EH218" s="496"/>
      <c r="EI218" s="496"/>
      <c r="EJ218" s="496"/>
      <c r="EK218" s="496"/>
      <c r="EL218" s="496"/>
      <c r="EM218" s="496"/>
      <c r="EN218" s="496"/>
      <c r="EO218" s="496"/>
      <c r="EP218" s="496"/>
      <c r="EQ218" s="496"/>
      <c r="ER218" s="496"/>
      <c r="ES218" s="496"/>
      <c r="ET218" s="496"/>
      <c r="EU218" s="496"/>
      <c r="EV218" s="496"/>
      <c r="EW218" s="496"/>
      <c r="EX218" s="496"/>
      <c r="EY218" s="496"/>
      <c r="EZ218" s="496"/>
      <c r="FA218" s="496"/>
      <c r="FB218" s="496"/>
      <c r="FC218" s="496"/>
      <c r="FD218" s="496"/>
      <c r="FE218" s="496"/>
      <c r="FF218" s="496"/>
      <c r="FG218" s="496"/>
      <c r="FH218" s="496"/>
      <c r="FI218" s="496"/>
      <c r="FJ218" s="496"/>
      <c r="FK218" s="496"/>
      <c r="FL218" s="496"/>
      <c r="FM218" s="496"/>
      <c r="FN218" s="496"/>
      <c r="FO218" s="496"/>
      <c r="FP218" s="496"/>
      <c r="FQ218" s="496"/>
      <c r="FR218" s="496"/>
      <c r="FS218" s="496"/>
      <c r="FT218" s="496"/>
      <c r="FU218" s="496"/>
      <c r="FV218" s="496"/>
      <c r="FW218" s="496"/>
      <c r="FX218" s="496"/>
      <c r="FY218" s="496"/>
      <c r="FZ218" s="496"/>
      <c r="GA218" s="496"/>
      <c r="GB218" s="496"/>
      <c r="GC218" s="496"/>
      <c r="GD218" s="496"/>
      <c r="GE218" s="496"/>
      <c r="GF218" s="496"/>
      <c r="GG218" s="496"/>
      <c r="GH218" s="496"/>
      <c r="GI218" s="496"/>
      <c r="GJ218" s="496"/>
      <c r="GK218" s="496"/>
      <c r="GL218" s="496"/>
      <c r="GM218" s="496"/>
      <c r="GN218" s="496"/>
      <c r="GO218" s="496"/>
      <c r="GP218" s="496"/>
      <c r="GQ218" s="496"/>
      <c r="GR218" s="496"/>
      <c r="GS218" s="496"/>
      <c r="GT218" s="496"/>
      <c r="GU218" s="496"/>
      <c r="GV218" s="496"/>
      <c r="GW218" s="496"/>
      <c r="GX218" s="496"/>
      <c r="GY218" s="496"/>
      <c r="GZ218" s="496"/>
      <c r="HA218" s="496"/>
      <c r="HB218" s="496"/>
    </row>
    <row r="219" spans="1:242" ht="20.100000000000001" customHeight="1">
      <c r="A219" s="164"/>
      <c r="B219" s="421" t="s">
        <v>1519</v>
      </c>
      <c r="C219" s="422"/>
      <c r="D219" s="422"/>
      <c r="E219" s="422"/>
      <c r="F219" s="422"/>
      <c r="G219" s="422"/>
      <c r="H219" s="557"/>
      <c r="I219" s="423"/>
      <c r="J219" s="424"/>
      <c r="K219" s="550" t="s">
        <v>1520</v>
      </c>
      <c r="L219" s="551"/>
      <c r="M219" s="552"/>
      <c r="N219" s="550" t="s">
        <v>416</v>
      </c>
      <c r="O219" s="551"/>
      <c r="P219" s="551"/>
      <c r="Q219" s="311"/>
      <c r="R219" s="311"/>
      <c r="S219" s="311"/>
      <c r="T219" s="311"/>
      <c r="U219" s="315"/>
      <c r="V219" s="200"/>
      <c r="W219" s="200"/>
      <c r="X219" s="496"/>
      <c r="Y219" s="496"/>
      <c r="Z219" s="496"/>
      <c r="AA219" s="496"/>
      <c r="AB219" s="496"/>
      <c r="AC219" s="496"/>
      <c r="AD219" s="496"/>
      <c r="AE219" s="496"/>
      <c r="AF219" s="496"/>
      <c r="AG219" s="496"/>
      <c r="AH219" s="496"/>
      <c r="AI219" s="496"/>
      <c r="AJ219" s="496"/>
      <c r="AK219" s="496"/>
      <c r="AL219" s="496"/>
      <c r="AM219" s="496"/>
      <c r="AN219" s="496"/>
      <c r="AO219" s="496"/>
      <c r="AP219" s="496"/>
      <c r="AQ219" s="496"/>
      <c r="AR219" s="496"/>
      <c r="AS219" s="496"/>
      <c r="AT219" s="496"/>
      <c r="AU219" s="496"/>
      <c r="AV219" s="496"/>
      <c r="AW219" s="496"/>
      <c r="AX219" s="496"/>
      <c r="AY219" s="496"/>
      <c r="AZ219" s="496"/>
      <c r="BA219" s="496"/>
      <c r="BB219" s="496"/>
      <c r="BC219" s="496"/>
      <c r="BD219" s="496"/>
      <c r="BE219" s="496"/>
      <c r="BF219" s="496"/>
      <c r="BG219" s="496"/>
      <c r="BH219" s="496"/>
      <c r="BI219" s="496"/>
      <c r="BJ219" s="496"/>
      <c r="BK219" s="496"/>
      <c r="BL219" s="496"/>
      <c r="BM219" s="496"/>
      <c r="BN219" s="496"/>
      <c r="BO219" s="496"/>
      <c r="BP219" s="496"/>
      <c r="BQ219" s="496"/>
      <c r="BR219" s="496"/>
      <c r="BS219" s="496"/>
      <c r="BT219" s="496"/>
      <c r="BU219" s="496"/>
      <c r="BV219" s="496"/>
      <c r="BW219" s="496"/>
      <c r="BX219" s="496"/>
      <c r="BY219" s="496"/>
      <c r="BZ219" s="496"/>
      <c r="CA219" s="496"/>
      <c r="CB219" s="496"/>
      <c r="CC219" s="496"/>
      <c r="CD219" s="496"/>
      <c r="CE219" s="496"/>
      <c r="CF219" s="496"/>
      <c r="CG219" s="496"/>
      <c r="CH219" s="496"/>
      <c r="CI219" s="496"/>
      <c r="CJ219" s="496"/>
      <c r="CK219" s="496"/>
      <c r="CL219" s="496"/>
      <c r="CM219" s="496"/>
      <c r="CN219" s="496"/>
      <c r="CO219" s="496"/>
      <c r="CP219" s="496"/>
      <c r="CQ219" s="496"/>
      <c r="CR219" s="496"/>
      <c r="CS219" s="496"/>
      <c r="CT219" s="496"/>
      <c r="CU219" s="496"/>
      <c r="CV219" s="496"/>
      <c r="CW219" s="496"/>
      <c r="CX219" s="496"/>
      <c r="CY219" s="496"/>
      <c r="CZ219" s="496"/>
      <c r="DA219" s="496"/>
      <c r="DB219" s="496"/>
      <c r="DC219" s="496"/>
      <c r="DD219" s="496"/>
      <c r="DE219" s="496"/>
      <c r="DF219" s="496"/>
      <c r="DG219" s="496"/>
      <c r="DH219" s="496"/>
      <c r="DI219" s="496"/>
      <c r="DJ219" s="496"/>
      <c r="DK219" s="496"/>
      <c r="DL219" s="496"/>
      <c r="DM219" s="496"/>
      <c r="DN219" s="496"/>
      <c r="DO219" s="496"/>
      <c r="DP219" s="496"/>
      <c r="DQ219" s="496"/>
      <c r="DR219" s="496"/>
      <c r="DS219" s="496"/>
      <c r="DT219" s="496"/>
      <c r="DU219" s="496"/>
      <c r="DV219" s="496"/>
      <c r="DW219" s="496"/>
      <c r="DX219" s="496"/>
      <c r="DY219" s="496"/>
      <c r="DZ219" s="496"/>
      <c r="EA219" s="496"/>
      <c r="EB219" s="496"/>
      <c r="EC219" s="496"/>
      <c r="ED219" s="496"/>
      <c r="EE219" s="496"/>
      <c r="EF219" s="496"/>
      <c r="EG219" s="496"/>
      <c r="EH219" s="496"/>
      <c r="EI219" s="496"/>
      <c r="EJ219" s="496"/>
      <c r="EK219" s="496"/>
      <c r="EL219" s="496"/>
      <c r="EM219" s="496"/>
      <c r="EN219" s="496"/>
      <c r="EO219" s="496"/>
      <c r="EP219" s="496"/>
      <c r="EQ219" s="496"/>
      <c r="ER219" s="496"/>
      <c r="ES219" s="496"/>
      <c r="ET219" s="496"/>
      <c r="EU219" s="496"/>
      <c r="EV219" s="496"/>
      <c r="EW219" s="496"/>
      <c r="EX219" s="496"/>
      <c r="EY219" s="496"/>
      <c r="EZ219" s="496"/>
      <c r="FA219" s="496"/>
      <c r="FB219" s="496"/>
      <c r="FC219" s="496"/>
      <c r="FD219" s="496"/>
      <c r="FE219" s="496"/>
      <c r="FF219" s="496"/>
      <c r="FG219" s="496"/>
      <c r="FH219" s="496"/>
      <c r="FI219" s="496"/>
      <c r="FJ219" s="496"/>
      <c r="FK219" s="496"/>
      <c r="FL219" s="496"/>
      <c r="FM219" s="496"/>
      <c r="FN219" s="496"/>
      <c r="FO219" s="496"/>
      <c r="FP219" s="496"/>
      <c r="FQ219" s="496"/>
      <c r="FR219" s="496"/>
      <c r="FS219" s="496"/>
      <c r="FT219" s="496"/>
      <c r="FU219" s="496"/>
      <c r="FV219" s="496"/>
      <c r="FW219" s="496"/>
      <c r="FX219" s="496"/>
      <c r="FY219" s="496"/>
      <c r="FZ219" s="496"/>
      <c r="GA219" s="496"/>
      <c r="GB219" s="496"/>
      <c r="GC219" s="496"/>
      <c r="GD219" s="496"/>
      <c r="GE219" s="496"/>
      <c r="GF219" s="496"/>
      <c r="GG219" s="496"/>
      <c r="GH219" s="496"/>
      <c r="GI219" s="496"/>
      <c r="GJ219" s="496"/>
      <c r="GK219" s="496"/>
      <c r="GL219" s="496"/>
      <c r="GM219" s="496"/>
      <c r="GN219" s="496"/>
      <c r="GO219" s="496"/>
      <c r="GP219" s="496"/>
      <c r="GQ219" s="496"/>
      <c r="GR219" s="496"/>
      <c r="GS219" s="496"/>
      <c r="GT219" s="496"/>
      <c r="GU219" s="496"/>
      <c r="GV219" s="496"/>
      <c r="GW219" s="496"/>
      <c r="GX219" s="496"/>
      <c r="GY219" s="496"/>
      <c r="GZ219" s="496"/>
      <c r="HA219" s="496"/>
      <c r="HB219" s="496"/>
    </row>
    <row r="220" spans="1:242" ht="20.100000000000001" customHeight="1" thickBot="1">
      <c r="A220" s="164"/>
      <c r="B220" s="421" t="s">
        <v>1521</v>
      </c>
      <c r="C220" s="422"/>
      <c r="D220" s="422"/>
      <c r="E220" s="422"/>
      <c r="F220" s="422"/>
      <c r="G220" s="422"/>
      <c r="H220" s="557"/>
      <c r="I220" s="423"/>
      <c r="J220" s="424"/>
      <c r="K220" s="550" t="s">
        <v>1522</v>
      </c>
      <c r="L220" s="551"/>
      <c r="M220" s="552"/>
      <c r="N220" s="558" t="s">
        <v>418</v>
      </c>
      <c r="O220" s="559"/>
      <c r="P220" s="559"/>
      <c r="Q220" s="368"/>
      <c r="R220" s="368"/>
      <c r="S220" s="368"/>
      <c r="T220" s="368"/>
      <c r="U220" s="365"/>
      <c r="V220" s="200"/>
      <c r="W220" s="200"/>
      <c r="X220" s="496"/>
      <c r="Y220" s="496"/>
      <c r="Z220" s="496"/>
      <c r="AA220" s="496"/>
      <c r="AB220" s="496"/>
      <c r="AC220" s="496"/>
      <c r="AD220" s="496"/>
      <c r="AE220" s="496"/>
      <c r="AF220" s="496"/>
      <c r="AG220" s="496"/>
      <c r="AH220" s="496"/>
      <c r="AI220" s="496"/>
      <c r="AJ220" s="496"/>
      <c r="AK220" s="496"/>
      <c r="AL220" s="496"/>
      <c r="AM220" s="496"/>
      <c r="AN220" s="496"/>
      <c r="AO220" s="496"/>
      <c r="AP220" s="496"/>
      <c r="AQ220" s="496"/>
      <c r="AR220" s="496"/>
      <c r="AS220" s="496"/>
      <c r="AT220" s="496"/>
      <c r="AU220" s="496"/>
      <c r="AV220" s="496"/>
      <c r="AW220" s="496"/>
      <c r="AX220" s="496"/>
      <c r="AY220" s="496"/>
      <c r="AZ220" s="496"/>
      <c r="BA220" s="496"/>
      <c r="BB220" s="496"/>
      <c r="BC220" s="496"/>
      <c r="BD220" s="496"/>
      <c r="BE220" s="496"/>
      <c r="BF220" s="496"/>
      <c r="BG220" s="496"/>
      <c r="BH220" s="496"/>
      <c r="BI220" s="496"/>
      <c r="BJ220" s="496"/>
      <c r="BK220" s="496"/>
      <c r="BL220" s="496"/>
      <c r="BM220" s="496"/>
      <c r="BN220" s="496"/>
      <c r="BO220" s="496"/>
      <c r="BP220" s="496"/>
      <c r="BQ220" s="496"/>
      <c r="BR220" s="496"/>
      <c r="BS220" s="496"/>
      <c r="BT220" s="496"/>
      <c r="BU220" s="496"/>
      <c r="BV220" s="496"/>
      <c r="BW220" s="496"/>
      <c r="BX220" s="496"/>
      <c r="BY220" s="496"/>
      <c r="BZ220" s="496"/>
      <c r="CA220" s="496"/>
      <c r="CB220" s="496"/>
      <c r="CC220" s="496"/>
      <c r="CD220" s="496"/>
      <c r="CE220" s="496"/>
      <c r="CF220" s="496"/>
      <c r="CG220" s="496"/>
      <c r="CH220" s="496"/>
      <c r="CI220" s="496"/>
      <c r="CJ220" s="496"/>
      <c r="CK220" s="496"/>
      <c r="CL220" s="496"/>
      <c r="CM220" s="496"/>
      <c r="CN220" s="496"/>
      <c r="CO220" s="496"/>
      <c r="CP220" s="496"/>
      <c r="CQ220" s="496"/>
      <c r="CR220" s="496"/>
      <c r="CS220" s="496"/>
      <c r="CT220" s="496"/>
      <c r="CU220" s="496"/>
      <c r="CV220" s="496"/>
      <c r="CW220" s="496"/>
      <c r="CX220" s="496"/>
      <c r="CY220" s="496"/>
      <c r="CZ220" s="496"/>
      <c r="DA220" s="496"/>
      <c r="DB220" s="496"/>
      <c r="DC220" s="496"/>
      <c r="DD220" s="496"/>
      <c r="DE220" s="496"/>
      <c r="DF220" s="496"/>
      <c r="DG220" s="496"/>
      <c r="DH220" s="496"/>
      <c r="DI220" s="496"/>
      <c r="DJ220" s="496"/>
      <c r="DK220" s="496"/>
      <c r="DL220" s="496"/>
      <c r="DM220" s="496"/>
      <c r="DN220" s="496"/>
      <c r="DO220" s="496"/>
      <c r="DP220" s="496"/>
      <c r="DQ220" s="496"/>
      <c r="DR220" s="496"/>
      <c r="DS220" s="496"/>
      <c r="DT220" s="496"/>
      <c r="DU220" s="496"/>
      <c r="DV220" s="496"/>
      <c r="DW220" s="496"/>
      <c r="DX220" s="496"/>
      <c r="DY220" s="496"/>
      <c r="DZ220" s="496"/>
      <c r="EA220" s="496"/>
      <c r="EB220" s="496"/>
      <c r="EC220" s="496"/>
      <c r="ED220" s="496"/>
      <c r="EE220" s="496"/>
      <c r="EF220" s="496"/>
      <c r="EG220" s="496"/>
      <c r="EH220" s="496"/>
      <c r="EI220" s="496"/>
      <c r="EJ220" s="496"/>
      <c r="EK220" s="496"/>
      <c r="EL220" s="496"/>
      <c r="EM220" s="496"/>
      <c r="EN220" s="496"/>
      <c r="EO220" s="496"/>
      <c r="EP220" s="496"/>
      <c r="EQ220" s="496"/>
      <c r="ER220" s="496"/>
      <c r="ES220" s="496"/>
      <c r="ET220" s="496"/>
      <c r="EU220" s="496"/>
      <c r="EV220" s="496"/>
      <c r="EW220" s="496"/>
      <c r="EX220" s="496"/>
      <c r="EY220" s="496"/>
      <c r="EZ220" s="496"/>
      <c r="FA220" s="496"/>
      <c r="FB220" s="496"/>
      <c r="FC220" s="496"/>
      <c r="FD220" s="496"/>
      <c r="FE220" s="496"/>
      <c r="FF220" s="496"/>
      <c r="FG220" s="496"/>
      <c r="FH220" s="496"/>
      <c r="FI220" s="496"/>
      <c r="FJ220" s="496"/>
      <c r="FK220" s="496"/>
      <c r="FL220" s="496"/>
      <c r="FM220" s="496"/>
      <c r="FN220" s="496"/>
      <c r="FO220" s="496"/>
      <c r="FP220" s="496"/>
      <c r="FQ220" s="496"/>
      <c r="FR220" s="496"/>
      <c r="FS220" s="496"/>
      <c r="FT220" s="496"/>
      <c r="FU220" s="496"/>
      <c r="FV220" s="496"/>
      <c r="FW220" s="496"/>
      <c r="FX220" s="496"/>
      <c r="FY220" s="496"/>
      <c r="FZ220" s="496"/>
      <c r="GA220" s="496"/>
      <c r="GB220" s="496"/>
      <c r="GC220" s="496"/>
      <c r="GD220" s="496"/>
      <c r="GE220" s="496"/>
      <c r="GF220" s="496"/>
      <c r="GG220" s="496"/>
      <c r="GH220" s="496"/>
      <c r="GI220" s="496"/>
      <c r="GJ220" s="496"/>
      <c r="GK220" s="496"/>
      <c r="GL220" s="496"/>
      <c r="GM220" s="496"/>
      <c r="GN220" s="496"/>
      <c r="GO220" s="496"/>
      <c r="GP220" s="496"/>
      <c r="GQ220" s="496"/>
      <c r="GR220" s="496"/>
      <c r="GS220" s="496"/>
      <c r="GT220" s="496"/>
      <c r="GU220" s="496"/>
      <c r="GV220" s="496"/>
      <c r="GW220" s="496"/>
      <c r="GX220" s="496"/>
      <c r="GY220" s="496"/>
      <c r="GZ220" s="496"/>
      <c r="HA220" s="496"/>
      <c r="HB220" s="496"/>
    </row>
    <row r="221" spans="1:242" ht="20.100000000000001" customHeight="1">
      <c r="A221" s="164"/>
      <c r="B221" s="421" t="s">
        <v>1523</v>
      </c>
      <c r="C221" s="422"/>
      <c r="D221" s="422"/>
      <c r="E221" s="422"/>
      <c r="F221" s="422"/>
      <c r="G221" s="422"/>
      <c r="H221" s="557"/>
      <c r="I221" s="423"/>
      <c r="J221" s="424"/>
      <c r="K221" s="550" t="s">
        <v>1524</v>
      </c>
      <c r="L221" s="551"/>
      <c r="M221" s="552"/>
      <c r="N221" s="560"/>
      <c r="O221" s="560"/>
      <c r="P221" s="560"/>
      <c r="Q221" s="251"/>
      <c r="R221" s="251"/>
      <c r="S221" s="251"/>
      <c r="T221" s="251"/>
      <c r="U221" s="251"/>
      <c r="V221" s="200"/>
      <c r="W221" s="200"/>
      <c r="X221" s="496"/>
      <c r="Y221" s="496"/>
      <c r="Z221" s="496"/>
      <c r="AA221" s="496"/>
      <c r="AB221" s="496"/>
      <c r="AC221" s="496"/>
      <c r="AD221" s="496"/>
      <c r="AE221" s="496"/>
      <c r="AF221" s="496"/>
      <c r="AG221" s="496"/>
      <c r="AH221" s="496"/>
      <c r="AI221" s="496"/>
      <c r="AJ221" s="496"/>
      <c r="AK221" s="496"/>
      <c r="AL221" s="496"/>
      <c r="AM221" s="496"/>
      <c r="AN221" s="496"/>
      <c r="AO221" s="496"/>
      <c r="AP221" s="496"/>
      <c r="AQ221" s="496"/>
      <c r="AR221" s="496"/>
      <c r="AS221" s="496"/>
      <c r="AT221" s="496"/>
      <c r="AU221" s="496"/>
      <c r="AV221" s="496"/>
      <c r="AW221" s="496"/>
      <c r="AX221" s="496"/>
      <c r="AY221" s="496"/>
      <c r="AZ221" s="496"/>
      <c r="BA221" s="496"/>
      <c r="BB221" s="496"/>
      <c r="BC221" s="496"/>
      <c r="BD221" s="496"/>
      <c r="BE221" s="496"/>
      <c r="BF221" s="496"/>
      <c r="BG221" s="496"/>
      <c r="BH221" s="496"/>
      <c r="BI221" s="496"/>
      <c r="BJ221" s="496"/>
      <c r="BK221" s="496"/>
      <c r="BL221" s="496"/>
      <c r="BM221" s="496"/>
      <c r="BN221" s="496"/>
      <c r="BO221" s="496"/>
      <c r="BP221" s="496"/>
      <c r="BQ221" s="496"/>
      <c r="BR221" s="496"/>
      <c r="BS221" s="496"/>
      <c r="BT221" s="496"/>
      <c r="BU221" s="496"/>
      <c r="BV221" s="496"/>
      <c r="BW221" s="496"/>
      <c r="BX221" s="496"/>
      <c r="BY221" s="496"/>
      <c r="BZ221" s="496"/>
      <c r="CA221" s="496"/>
      <c r="CB221" s="496"/>
      <c r="CC221" s="496"/>
      <c r="CD221" s="496"/>
      <c r="CE221" s="496"/>
      <c r="CF221" s="496"/>
      <c r="CG221" s="496"/>
      <c r="CH221" s="496"/>
      <c r="CI221" s="496"/>
      <c r="CJ221" s="496"/>
      <c r="CK221" s="496"/>
      <c r="CL221" s="496"/>
      <c r="CM221" s="496"/>
      <c r="CN221" s="496"/>
      <c r="CO221" s="496"/>
      <c r="CP221" s="496"/>
      <c r="CQ221" s="496"/>
      <c r="CR221" s="496"/>
      <c r="CS221" s="496"/>
      <c r="CT221" s="496"/>
      <c r="CU221" s="496"/>
      <c r="CV221" s="496"/>
      <c r="CW221" s="496"/>
      <c r="CX221" s="496"/>
      <c r="CY221" s="496"/>
      <c r="CZ221" s="496"/>
      <c r="DA221" s="496"/>
      <c r="DB221" s="496"/>
      <c r="DC221" s="496"/>
      <c r="DD221" s="496"/>
      <c r="DE221" s="496"/>
      <c r="DF221" s="496"/>
      <c r="DG221" s="496"/>
      <c r="DH221" s="496"/>
      <c r="DI221" s="496"/>
      <c r="DJ221" s="496"/>
      <c r="DK221" s="496"/>
      <c r="DL221" s="496"/>
      <c r="DM221" s="496"/>
      <c r="DN221" s="496"/>
      <c r="DO221" s="496"/>
      <c r="DP221" s="496"/>
      <c r="DQ221" s="496"/>
      <c r="DR221" s="496"/>
      <c r="DS221" s="496"/>
      <c r="DT221" s="496"/>
      <c r="DU221" s="496"/>
      <c r="DV221" s="496"/>
      <c r="DW221" s="496"/>
      <c r="DX221" s="496"/>
      <c r="DY221" s="496"/>
      <c r="DZ221" s="496"/>
      <c r="EA221" s="496"/>
      <c r="EB221" s="496"/>
      <c r="EC221" s="496"/>
      <c r="ED221" s="496"/>
      <c r="EE221" s="496"/>
      <c r="EF221" s="496"/>
      <c r="EG221" s="496"/>
      <c r="EH221" s="496"/>
      <c r="EI221" s="496"/>
      <c r="EJ221" s="496"/>
      <c r="EK221" s="496"/>
      <c r="EL221" s="496"/>
      <c r="EM221" s="496"/>
      <c r="EN221" s="496"/>
      <c r="EO221" s="496"/>
      <c r="EP221" s="496"/>
      <c r="EQ221" s="496"/>
      <c r="ER221" s="496"/>
      <c r="ES221" s="496"/>
      <c r="ET221" s="496"/>
      <c r="EU221" s="496"/>
      <c r="EV221" s="496"/>
      <c r="EW221" s="496"/>
      <c r="EX221" s="496"/>
      <c r="EY221" s="496"/>
      <c r="EZ221" s="496"/>
      <c r="FA221" s="496"/>
      <c r="FB221" s="496"/>
      <c r="FC221" s="496"/>
      <c r="FD221" s="496"/>
      <c r="FE221" s="496"/>
      <c r="FF221" s="496"/>
      <c r="FG221" s="496"/>
      <c r="FH221" s="496"/>
      <c r="FI221" s="496"/>
      <c r="FJ221" s="496"/>
      <c r="FK221" s="496"/>
      <c r="FL221" s="496"/>
      <c r="FM221" s="496"/>
      <c r="FN221" s="496"/>
      <c r="FO221" s="496"/>
      <c r="FP221" s="496"/>
      <c r="FQ221" s="496"/>
      <c r="FR221" s="496"/>
      <c r="FS221" s="496"/>
      <c r="FT221" s="496"/>
      <c r="FU221" s="496"/>
      <c r="FV221" s="496"/>
      <c r="FW221" s="496"/>
      <c r="FX221" s="496"/>
      <c r="FY221" s="496"/>
      <c r="FZ221" s="496"/>
      <c r="GA221" s="496"/>
      <c r="GB221" s="496"/>
      <c r="GC221" s="496"/>
      <c r="GD221" s="496"/>
      <c r="GE221" s="496"/>
      <c r="GF221" s="496"/>
      <c r="GG221" s="496"/>
      <c r="GH221" s="496"/>
      <c r="GI221" s="496"/>
      <c r="GJ221" s="496"/>
      <c r="GK221" s="496"/>
      <c r="GL221" s="496"/>
      <c r="GM221" s="496"/>
      <c r="GN221" s="496"/>
      <c r="GO221" s="496"/>
      <c r="GP221" s="496"/>
      <c r="GQ221" s="496"/>
      <c r="GR221" s="496"/>
      <c r="GS221" s="496"/>
      <c r="GT221" s="496"/>
      <c r="GU221" s="496"/>
      <c r="GV221" s="496"/>
      <c r="GW221" s="496"/>
      <c r="GX221" s="496"/>
      <c r="GY221" s="496"/>
      <c r="GZ221" s="496"/>
      <c r="HA221" s="496"/>
      <c r="HB221" s="496"/>
    </row>
    <row r="222" spans="1:242" ht="20.100000000000001" customHeight="1">
      <c r="A222" s="164"/>
      <c r="B222" s="421" t="s">
        <v>1525</v>
      </c>
      <c r="C222" s="422"/>
      <c r="D222" s="422"/>
      <c r="E222" s="422"/>
      <c r="F222" s="422"/>
      <c r="G222" s="422"/>
      <c r="H222" s="557"/>
      <c r="I222" s="423"/>
      <c r="J222" s="424"/>
      <c r="K222" s="550" t="s">
        <v>1526</v>
      </c>
      <c r="L222" s="551"/>
      <c r="M222" s="552"/>
      <c r="N222" s="560"/>
      <c r="O222" s="560"/>
      <c r="P222" s="560"/>
      <c r="Q222" s="251"/>
      <c r="R222" s="251"/>
      <c r="S222" s="251"/>
      <c r="T222" s="251"/>
      <c r="U222" s="251"/>
      <c r="V222" s="200"/>
      <c r="W222" s="200"/>
      <c r="X222" s="496"/>
      <c r="Y222" s="496"/>
      <c r="Z222" s="496"/>
      <c r="AA222" s="496"/>
      <c r="AB222" s="496"/>
      <c r="AC222" s="496"/>
      <c r="AD222" s="496"/>
      <c r="AE222" s="496"/>
      <c r="AF222" s="496"/>
      <c r="AG222" s="496"/>
      <c r="AH222" s="496"/>
      <c r="AI222" s="496"/>
      <c r="AJ222" s="496"/>
      <c r="AK222" s="496"/>
      <c r="AL222" s="496"/>
      <c r="AM222" s="496"/>
      <c r="AN222" s="496"/>
      <c r="AO222" s="496"/>
      <c r="AP222" s="496"/>
      <c r="AQ222" s="496"/>
      <c r="AR222" s="496"/>
      <c r="AS222" s="496"/>
      <c r="AT222" s="496"/>
      <c r="AU222" s="496"/>
      <c r="AV222" s="496"/>
      <c r="AW222" s="496"/>
      <c r="AX222" s="496"/>
      <c r="AY222" s="496"/>
      <c r="AZ222" s="496"/>
      <c r="BA222" s="496"/>
      <c r="BB222" s="496"/>
      <c r="BC222" s="496"/>
      <c r="BD222" s="496"/>
      <c r="BE222" s="496"/>
      <c r="BF222" s="496"/>
      <c r="BG222" s="496"/>
      <c r="BH222" s="496"/>
      <c r="BI222" s="496"/>
      <c r="BJ222" s="496"/>
      <c r="BK222" s="496"/>
      <c r="BL222" s="496"/>
      <c r="BM222" s="496"/>
      <c r="BN222" s="496"/>
      <c r="BO222" s="496"/>
      <c r="BP222" s="496"/>
      <c r="BQ222" s="496"/>
      <c r="BR222" s="496"/>
      <c r="BS222" s="496"/>
      <c r="BT222" s="496"/>
      <c r="BU222" s="496"/>
      <c r="BV222" s="496"/>
      <c r="BW222" s="496"/>
      <c r="BX222" s="496"/>
      <c r="BY222" s="496"/>
      <c r="BZ222" s="496"/>
      <c r="CA222" s="496"/>
      <c r="CB222" s="496"/>
      <c r="CC222" s="496"/>
      <c r="CD222" s="496"/>
      <c r="CE222" s="496"/>
      <c r="CF222" s="496"/>
      <c r="CG222" s="496"/>
      <c r="CH222" s="496"/>
      <c r="CI222" s="496"/>
      <c r="CJ222" s="496"/>
      <c r="CK222" s="496"/>
      <c r="CL222" s="496"/>
      <c r="CM222" s="496"/>
      <c r="CN222" s="496"/>
      <c r="CO222" s="496"/>
      <c r="CP222" s="496"/>
      <c r="CQ222" s="496"/>
      <c r="CR222" s="496"/>
      <c r="CS222" s="496"/>
      <c r="CT222" s="496"/>
      <c r="CU222" s="496"/>
      <c r="CV222" s="496"/>
      <c r="CW222" s="496"/>
      <c r="CX222" s="496"/>
      <c r="CY222" s="496"/>
      <c r="CZ222" s="496"/>
      <c r="DA222" s="496"/>
      <c r="DB222" s="496"/>
      <c r="DC222" s="496"/>
      <c r="DD222" s="496"/>
      <c r="DE222" s="496"/>
      <c r="DF222" s="496"/>
      <c r="DG222" s="496"/>
      <c r="DH222" s="496"/>
      <c r="DI222" s="496"/>
      <c r="DJ222" s="496"/>
      <c r="DK222" s="496"/>
      <c r="DL222" s="496"/>
      <c r="DM222" s="496"/>
      <c r="DN222" s="496"/>
      <c r="DO222" s="496"/>
      <c r="DP222" s="496"/>
      <c r="DQ222" s="496"/>
      <c r="DR222" s="496"/>
      <c r="DS222" s="496"/>
      <c r="DT222" s="496"/>
      <c r="DU222" s="496"/>
      <c r="DV222" s="496"/>
      <c r="DW222" s="496"/>
      <c r="DX222" s="496"/>
      <c r="DY222" s="496"/>
      <c r="DZ222" s="496"/>
      <c r="EA222" s="496"/>
      <c r="EB222" s="496"/>
      <c r="EC222" s="496"/>
      <c r="ED222" s="496"/>
      <c r="EE222" s="496"/>
      <c r="EF222" s="496"/>
      <c r="EG222" s="496"/>
      <c r="EH222" s="496"/>
      <c r="EI222" s="496"/>
      <c r="EJ222" s="496"/>
      <c r="EK222" s="496"/>
      <c r="EL222" s="496"/>
      <c r="EM222" s="496"/>
      <c r="EN222" s="496"/>
      <c r="EO222" s="496"/>
      <c r="EP222" s="496"/>
      <c r="EQ222" s="496"/>
      <c r="ER222" s="496"/>
      <c r="ES222" s="496"/>
      <c r="ET222" s="496"/>
      <c r="EU222" s="496"/>
      <c r="EV222" s="496"/>
      <c r="EW222" s="496"/>
      <c r="EX222" s="496"/>
      <c r="EY222" s="496"/>
      <c r="EZ222" s="496"/>
      <c r="FA222" s="496"/>
      <c r="FB222" s="496"/>
      <c r="FC222" s="496"/>
      <c r="FD222" s="496"/>
      <c r="FE222" s="496"/>
      <c r="FF222" s="496"/>
      <c r="FG222" s="496"/>
      <c r="FH222" s="496"/>
      <c r="FI222" s="496"/>
      <c r="FJ222" s="496"/>
      <c r="FK222" s="496"/>
      <c r="FL222" s="496"/>
      <c r="FM222" s="496"/>
      <c r="FN222" s="496"/>
      <c r="FO222" s="496"/>
      <c r="FP222" s="496"/>
      <c r="FQ222" s="496"/>
      <c r="FR222" s="496"/>
      <c r="FS222" s="496"/>
      <c r="FT222" s="496"/>
      <c r="FU222" s="496"/>
      <c r="FV222" s="496"/>
      <c r="FW222" s="496"/>
      <c r="FX222" s="496"/>
      <c r="FY222" s="496"/>
      <c r="FZ222" s="496"/>
      <c r="GA222" s="496"/>
      <c r="GB222" s="496"/>
      <c r="GC222" s="496"/>
      <c r="GD222" s="496"/>
      <c r="GE222" s="496"/>
      <c r="GF222" s="496"/>
      <c r="GG222" s="496"/>
      <c r="GH222" s="496"/>
      <c r="GI222" s="496"/>
      <c r="GJ222" s="496"/>
      <c r="GK222" s="496"/>
      <c r="GL222" s="496"/>
      <c r="GM222" s="496"/>
      <c r="GN222" s="496"/>
      <c r="GO222" s="496"/>
      <c r="GP222" s="496"/>
      <c r="GQ222" s="496"/>
      <c r="GR222" s="496"/>
      <c r="GS222" s="496"/>
      <c r="GT222" s="496"/>
      <c r="GU222" s="496"/>
      <c r="GV222" s="496"/>
      <c r="GW222" s="496"/>
      <c r="GX222" s="496"/>
      <c r="GY222" s="496"/>
      <c r="GZ222" s="496"/>
      <c r="HA222" s="496"/>
      <c r="HB222" s="496"/>
    </row>
    <row r="223" spans="1:242" ht="20.100000000000001" customHeight="1" thickBot="1">
      <c r="A223" s="164"/>
      <c r="B223" s="561" t="s">
        <v>1527</v>
      </c>
      <c r="C223" s="562"/>
      <c r="D223" s="562"/>
      <c r="E223" s="562"/>
      <c r="F223" s="562"/>
      <c r="G223" s="562"/>
      <c r="H223" s="563"/>
      <c r="I223" s="564"/>
      <c r="J223" s="565"/>
      <c r="K223" s="558" t="s">
        <v>1528</v>
      </c>
      <c r="L223" s="559"/>
      <c r="M223" s="566"/>
      <c r="N223" s="560"/>
      <c r="O223" s="560"/>
      <c r="P223" s="560"/>
      <c r="Q223" s="251"/>
      <c r="R223" s="251"/>
      <c r="S223" s="251"/>
      <c r="T223" s="251"/>
      <c r="U223" s="251"/>
      <c r="V223" s="200"/>
      <c r="W223" s="200"/>
      <c r="X223" s="496"/>
      <c r="Y223" s="496"/>
      <c r="Z223" s="496"/>
      <c r="AA223" s="496"/>
      <c r="AB223" s="496"/>
      <c r="AC223" s="496"/>
      <c r="AD223" s="496"/>
      <c r="AE223" s="496"/>
      <c r="AF223" s="496"/>
      <c r="AG223" s="496"/>
      <c r="AH223" s="496"/>
      <c r="AI223" s="496"/>
      <c r="AJ223" s="496"/>
      <c r="AK223" s="496"/>
      <c r="AL223" s="496"/>
      <c r="AM223" s="496"/>
      <c r="AN223" s="496"/>
      <c r="AO223" s="496"/>
      <c r="AP223" s="496"/>
      <c r="AQ223" s="496"/>
      <c r="AR223" s="496"/>
      <c r="AS223" s="496"/>
      <c r="AT223" s="496"/>
      <c r="AU223" s="496"/>
      <c r="AV223" s="496"/>
      <c r="AW223" s="496"/>
      <c r="AX223" s="496"/>
      <c r="AY223" s="496"/>
      <c r="AZ223" s="496"/>
      <c r="BA223" s="496"/>
      <c r="BB223" s="496"/>
      <c r="BC223" s="496"/>
      <c r="BD223" s="496"/>
      <c r="BE223" s="496"/>
      <c r="BF223" s="496"/>
      <c r="BG223" s="496"/>
      <c r="BH223" s="496"/>
      <c r="BI223" s="496"/>
      <c r="BJ223" s="496"/>
      <c r="BK223" s="496"/>
      <c r="BL223" s="496"/>
      <c r="BM223" s="496"/>
      <c r="BN223" s="496"/>
      <c r="BO223" s="496"/>
      <c r="BP223" s="496"/>
      <c r="BQ223" s="496"/>
      <c r="BR223" s="496"/>
      <c r="BS223" s="496"/>
      <c r="BT223" s="496"/>
      <c r="BU223" s="496"/>
      <c r="BV223" s="496"/>
      <c r="BW223" s="496"/>
      <c r="BX223" s="496"/>
      <c r="BY223" s="496"/>
      <c r="BZ223" s="496"/>
      <c r="CA223" s="496"/>
      <c r="CB223" s="496"/>
      <c r="CC223" s="496"/>
      <c r="CD223" s="496"/>
      <c r="CE223" s="496"/>
      <c r="CF223" s="496"/>
      <c r="CG223" s="496"/>
      <c r="CH223" s="496"/>
      <c r="CI223" s="496"/>
      <c r="CJ223" s="496"/>
      <c r="CK223" s="496"/>
      <c r="CL223" s="496"/>
      <c r="CM223" s="496"/>
      <c r="CN223" s="496"/>
      <c r="CO223" s="496"/>
      <c r="CP223" s="496"/>
      <c r="CQ223" s="496"/>
      <c r="CR223" s="496"/>
      <c r="CS223" s="496"/>
      <c r="CT223" s="496"/>
      <c r="CU223" s="496"/>
      <c r="CV223" s="496"/>
      <c r="CW223" s="496"/>
      <c r="CX223" s="496"/>
      <c r="CY223" s="496"/>
      <c r="CZ223" s="496"/>
      <c r="DA223" s="496"/>
      <c r="DB223" s="496"/>
      <c r="DC223" s="496"/>
      <c r="DD223" s="496"/>
      <c r="DE223" s="496"/>
      <c r="DF223" s="496"/>
      <c r="DG223" s="496"/>
      <c r="DH223" s="496"/>
      <c r="DI223" s="496"/>
      <c r="DJ223" s="496"/>
      <c r="DK223" s="496"/>
      <c r="DL223" s="496"/>
      <c r="DM223" s="496"/>
      <c r="DN223" s="496"/>
      <c r="DO223" s="496"/>
      <c r="DP223" s="496"/>
      <c r="DQ223" s="496"/>
      <c r="DR223" s="496"/>
      <c r="DS223" s="496"/>
      <c r="DT223" s="496"/>
      <c r="DU223" s="496"/>
      <c r="DV223" s="496"/>
      <c r="DW223" s="496"/>
      <c r="DX223" s="496"/>
      <c r="DY223" s="496"/>
      <c r="DZ223" s="496"/>
      <c r="EA223" s="496"/>
      <c r="EB223" s="496"/>
      <c r="EC223" s="496"/>
      <c r="ED223" s="496"/>
      <c r="EE223" s="496"/>
      <c r="EF223" s="496"/>
      <c r="EG223" s="496"/>
      <c r="EH223" s="496"/>
      <c r="EI223" s="496"/>
      <c r="EJ223" s="496"/>
      <c r="EK223" s="496"/>
      <c r="EL223" s="496"/>
      <c r="EM223" s="496"/>
      <c r="EN223" s="496"/>
      <c r="EO223" s="496"/>
      <c r="EP223" s="496"/>
      <c r="EQ223" s="496"/>
      <c r="ER223" s="496"/>
      <c r="ES223" s="496"/>
      <c r="ET223" s="496"/>
      <c r="EU223" s="496"/>
      <c r="EV223" s="496"/>
      <c r="EW223" s="496"/>
      <c r="EX223" s="496"/>
      <c r="EY223" s="496"/>
      <c r="EZ223" s="496"/>
      <c r="FA223" s="496"/>
      <c r="FB223" s="496"/>
      <c r="FC223" s="496"/>
      <c r="FD223" s="496"/>
      <c r="FE223" s="496"/>
      <c r="FF223" s="496"/>
      <c r="FG223" s="496"/>
      <c r="FH223" s="496"/>
      <c r="FI223" s="496"/>
      <c r="FJ223" s="496"/>
      <c r="FK223" s="496"/>
      <c r="FL223" s="496"/>
      <c r="FM223" s="496"/>
      <c r="FN223" s="496"/>
      <c r="FO223" s="496"/>
      <c r="FP223" s="496"/>
      <c r="FQ223" s="496"/>
      <c r="FR223" s="496"/>
      <c r="FS223" s="496"/>
      <c r="FT223" s="496"/>
      <c r="FU223" s="496"/>
      <c r="FV223" s="496"/>
      <c r="FW223" s="496"/>
      <c r="FX223" s="496"/>
      <c r="FY223" s="496"/>
      <c r="FZ223" s="496"/>
      <c r="GA223" s="496"/>
      <c r="GB223" s="496"/>
      <c r="GC223" s="496"/>
      <c r="GD223" s="496"/>
      <c r="GE223" s="496"/>
      <c r="GF223" s="496"/>
      <c r="GG223" s="496"/>
      <c r="GH223" s="496"/>
      <c r="GI223" s="496"/>
      <c r="GJ223" s="496"/>
      <c r="GK223" s="496"/>
      <c r="GL223" s="496"/>
      <c r="GM223" s="496"/>
      <c r="GN223" s="496"/>
      <c r="GO223" s="496"/>
      <c r="GP223" s="496"/>
      <c r="GQ223" s="496"/>
      <c r="GR223" s="496"/>
      <c r="GS223" s="496"/>
      <c r="GT223" s="496"/>
      <c r="GU223" s="496"/>
      <c r="GV223" s="496"/>
      <c r="GW223" s="496"/>
      <c r="GX223" s="496"/>
      <c r="GY223" s="496"/>
      <c r="GZ223" s="496"/>
      <c r="HA223" s="496"/>
      <c r="HB223" s="496"/>
    </row>
    <row r="224" spans="1:242" ht="20.100000000000001" customHeight="1"/>
    <row r="225" spans="1:242" s="154" customFormat="1" ht="20.100000000000001" hidden="1" customHeight="1">
      <c r="A225" s="173" t="s">
        <v>717</v>
      </c>
      <c r="B225" s="173"/>
      <c r="C225" s="179"/>
      <c r="D225" s="180"/>
      <c r="E225" s="181"/>
      <c r="F225" s="180"/>
      <c r="G225" s="180"/>
      <c r="H225" s="181"/>
      <c r="I225" s="180"/>
      <c r="J225" s="180"/>
      <c r="K225" s="181"/>
      <c r="L225" s="180"/>
      <c r="M225" s="180"/>
      <c r="N225" s="181"/>
      <c r="O225" s="180"/>
      <c r="P225" s="180"/>
      <c r="Q225" s="181"/>
      <c r="R225" s="180"/>
      <c r="S225" s="180"/>
      <c r="T225" s="181"/>
      <c r="U225" s="180"/>
      <c r="V225" s="180"/>
      <c r="W225" s="181"/>
      <c r="X225" s="180"/>
      <c r="Y225" s="180"/>
      <c r="Z225" s="181"/>
      <c r="AA225" s="180"/>
      <c r="AB225" s="180"/>
      <c r="AC225" s="181"/>
      <c r="AD225" s="180"/>
      <c r="AE225" s="180"/>
      <c r="AF225" s="181"/>
      <c r="AG225" s="180"/>
      <c r="AH225" s="180"/>
      <c r="AI225" s="181"/>
      <c r="AJ225" s="180"/>
      <c r="AK225" s="180"/>
      <c r="AL225" s="181"/>
      <c r="AM225" s="180"/>
      <c r="AN225" s="180"/>
      <c r="IE225" s="571"/>
      <c r="IF225" s="571"/>
      <c r="IG225" s="571"/>
      <c r="IH225" s="571"/>
    </row>
    <row r="226" spans="1:242" s="164" customFormat="1" ht="20.100000000000001" hidden="1" customHeight="1">
      <c r="A226" s="572">
        <v>0</v>
      </c>
      <c r="B226" s="573" t="s">
        <v>718</v>
      </c>
      <c r="E226" s="156"/>
      <c r="F226" s="1046" t="s">
        <v>646</v>
      </c>
      <c r="G226" s="1047" t="s">
        <v>647</v>
      </c>
      <c r="H226" s="1047"/>
      <c r="I226" s="574" t="s">
        <v>648</v>
      </c>
      <c r="J226" s="575"/>
      <c r="K226" s="576" t="str">
        <f ca="1">OFFSET(貼付け_2027実績,4,SUM(COLUMN()-COLUMN(貼付け_2027実績)))</f>
        <v>横浜1</v>
      </c>
      <c r="L226" s="577"/>
      <c r="M226" s="577"/>
      <c r="N226" s="578"/>
      <c r="O226" s="576" t="str">
        <f ca="1">OFFSET(貼付け_2027実績,4,SUM(COLUMN()-COLUMN(貼付け_2027実績)))</f>
        <v>横浜2</v>
      </c>
      <c r="P226" s="577"/>
      <c r="Q226" s="577"/>
      <c r="R226" s="578"/>
      <c r="S226" s="576" t="str">
        <f ca="1">OFFSET(貼付け_2027実績,4,SUM(COLUMN()-COLUMN(貼付け_2027実績)))</f>
        <v>横浜3</v>
      </c>
      <c r="T226" s="577"/>
      <c r="U226" s="577"/>
      <c r="V226" s="578"/>
      <c r="W226" s="576" t="str">
        <f ca="1">OFFSET(貼付け_2027実績,4,SUM(COLUMN()-COLUMN(貼付け_2027実績)))</f>
        <v>県域1</v>
      </c>
      <c r="X226" s="577"/>
      <c r="Y226" s="577"/>
      <c r="Z226" s="578"/>
      <c r="AA226" s="576" t="str">
        <f ca="1">OFFSET(貼付け_2027実績,4,SUM(COLUMN()-COLUMN(貼付け_2027実績)))</f>
        <v>県域2</v>
      </c>
      <c r="AB226" s="577"/>
      <c r="AC226" s="577"/>
      <c r="AD226" s="578"/>
      <c r="AE226" s="576" t="str">
        <f ca="1">OFFSET(貼付け_2027実績,4,SUM(COLUMN()-COLUMN(貼付け_2027実績)))</f>
        <v>県域3</v>
      </c>
      <c r="AF226" s="577"/>
      <c r="AG226" s="577"/>
      <c r="AH226" s="578"/>
      <c r="AI226" s="576" t="str">
        <f ca="1">OFFSET(貼付け_2027実績,4,SUM(COLUMN()-COLUMN(貼付け_2027実績)))</f>
        <v>エネルギー管理指定工場等1</v>
      </c>
      <c r="AJ226" s="577"/>
      <c r="AK226" s="577"/>
      <c r="AL226" s="578"/>
      <c r="AM226" s="576" t="str">
        <f ca="1">OFFSET(貼付け_2027実績,4,SUM(COLUMN()-COLUMN(貼付け_2027実績)))</f>
        <v>エネルギー管理指定工場等2</v>
      </c>
      <c r="AN226" s="577"/>
      <c r="AO226" s="577"/>
      <c r="AP226" s="578"/>
      <c r="AQ226" s="576" t="str">
        <f ca="1">OFFSET(貼付け_2027実績,4,SUM(COLUMN()-COLUMN(貼付け_2027実績)))</f>
        <v>エネルギー管理指定工場等3</v>
      </c>
      <c r="AR226" s="577"/>
      <c r="AS226" s="577"/>
      <c r="AT226" s="578"/>
      <c r="AU226" s="576" t="str">
        <f ca="1">OFFSET(貼付け_2027実績,4,SUM(COLUMN()-COLUMN(貼付け_2027実績)))</f>
        <v>エネルギー管理指定工場等4</v>
      </c>
      <c r="AV226" s="577"/>
      <c r="AW226" s="577"/>
      <c r="AX226" s="578"/>
      <c r="AY226" s="576" t="str">
        <f ca="1">OFFSET(貼付け_2027実績,4,SUM(COLUMN()-COLUMN(貼付け_2027実績)))</f>
        <v>エネルギー管理指定工場等5</v>
      </c>
      <c r="AZ226" s="577"/>
      <c r="BA226" s="577"/>
      <c r="BB226" s="578"/>
      <c r="BC226" s="576" t="str">
        <f ca="1">OFFSET(貼付け_2027実績,4,SUM(COLUMN()-COLUMN(貼付け_2027実績)))</f>
        <v>エネルギー管理指定工場等6</v>
      </c>
      <c r="BD226" s="577"/>
      <c r="BE226" s="577"/>
      <c r="BF226" s="578"/>
      <c r="BG226" s="576" t="str">
        <f ca="1">OFFSET(貼付け_2027実績,4,SUM(COLUMN()-COLUMN(貼付け_2027実績)))</f>
        <v>エネルギー管理指定工場等7</v>
      </c>
      <c r="BH226" s="577"/>
      <c r="BI226" s="577"/>
      <c r="BJ226" s="578"/>
      <c r="BK226" s="576" t="str">
        <f ca="1">OFFSET(貼付け_2027実績,4,SUM(COLUMN()-COLUMN(貼付け_2027実績)))</f>
        <v>エネルギー管理指定工場等8</v>
      </c>
      <c r="BL226" s="577"/>
      <c r="BM226" s="577"/>
      <c r="BN226" s="578"/>
      <c r="BO226" s="576" t="str">
        <f ca="1">OFFSET(貼付け_2027実績,4,SUM(COLUMN()-COLUMN(貼付け_2027実績)))</f>
        <v>エネルギー管理指定工場等9</v>
      </c>
      <c r="BP226" s="577"/>
      <c r="BQ226" s="577"/>
      <c r="BR226" s="578"/>
      <c r="BS226" s="576" t="str">
        <f ca="1">OFFSET(貼付け_2027実績,4,SUM(COLUMN()-COLUMN(貼付け_2027実績)))</f>
        <v>エネルギー管理指定工場等10</v>
      </c>
      <c r="BT226" s="577"/>
      <c r="BU226" s="577"/>
      <c r="BV226" s="578"/>
      <c r="BW226" s="576">
        <f ca="1">OFFSET(貼付け_2027実績,4,SUM(COLUMN()-COLUMN(貼付け_2027実績)))</f>
        <v>0</v>
      </c>
      <c r="BX226" s="577"/>
      <c r="BY226" s="577"/>
      <c r="BZ226" s="578"/>
      <c r="CA226" s="576" t="str">
        <f ca="1">OFFSET(貼付け_2027実績,4,SUM(COLUMN()-COLUMN(貼付け_2027実績)))</f>
        <v>県域4</v>
      </c>
      <c r="CB226" s="577"/>
      <c r="CC226" s="577"/>
      <c r="CD226" s="578"/>
      <c r="CE226" s="576" t="str">
        <f ca="1">OFFSET(貼付け_2027実績,4,SUM(COLUMN()-COLUMN(貼付け_2027実績)))</f>
        <v>県域5</v>
      </c>
      <c r="CF226" s="577"/>
      <c r="CG226" s="577"/>
      <c r="CH226" s="578"/>
      <c r="CI226" s="576" t="str">
        <f ca="1">OFFSET(貼付け_2027実績,4,SUM(COLUMN()-COLUMN(貼付け_2027実績)))</f>
        <v>県域6</v>
      </c>
      <c r="CJ226" s="577"/>
      <c r="CK226" s="577"/>
      <c r="CL226" s="578"/>
      <c r="CM226" s="576" t="str">
        <f ca="1">OFFSET(貼付け_2027実績,4,SUM(COLUMN()-COLUMN(貼付け_2027実績)))</f>
        <v>県域7</v>
      </c>
      <c r="CN226" s="577"/>
      <c r="CO226" s="577"/>
      <c r="CP226" s="578"/>
      <c r="CQ226" s="576" t="str">
        <f ca="1">OFFSET(貼付け_2027実績,4,SUM(COLUMN()-COLUMN(貼付け_2027実績)))</f>
        <v>県域8</v>
      </c>
      <c r="CR226" s="577"/>
      <c r="CS226" s="577"/>
      <c r="CT226" s="578"/>
      <c r="CU226" s="576" t="str">
        <f ca="1">OFFSET(貼付け_2027実績,4,SUM(COLUMN()-COLUMN(貼付け_2027実績)))</f>
        <v>県域9</v>
      </c>
      <c r="CV226" s="577"/>
      <c r="CW226" s="577"/>
      <c r="CX226" s="578"/>
      <c r="CY226" s="576" t="str">
        <f ca="1">OFFSET(貼付け_2027実績,4,SUM(COLUMN()-COLUMN(貼付け_2027実績)))</f>
        <v>県域10</v>
      </c>
      <c r="CZ226" s="577"/>
      <c r="DA226" s="577"/>
      <c r="DB226" s="578"/>
      <c r="DC226" s="576" t="str">
        <f ca="1">OFFSET(貼付け_2027実績,4,SUM(COLUMN()-COLUMN(貼付け_2027実績)))</f>
        <v>横浜3</v>
      </c>
      <c r="DD226" s="577"/>
      <c r="DE226" s="577"/>
      <c r="DF226" s="578"/>
      <c r="DG226" s="576" t="str">
        <f ca="1">OFFSET(貼付け_2027実績,4,SUM(COLUMN()-COLUMN(貼付け_2027実績)))</f>
        <v>横浜4</v>
      </c>
      <c r="DH226" s="577"/>
      <c r="DI226" s="577"/>
      <c r="DJ226" s="578"/>
      <c r="DK226" s="576" t="str">
        <f ca="1">OFFSET(貼付け_2027実績,4,SUM(COLUMN()-COLUMN(貼付け_2027実績)))</f>
        <v>横浜5</v>
      </c>
      <c r="DL226" s="577"/>
      <c r="DM226" s="577"/>
      <c r="DN226" s="578"/>
      <c r="DO226" s="576" t="str">
        <f ca="1">OFFSET(貼付け_2027実績,4,SUM(COLUMN()-COLUMN(貼付け_2027実績)))</f>
        <v>横浜6</v>
      </c>
      <c r="DP226" s="577"/>
      <c r="DQ226" s="577"/>
      <c r="DR226" s="578"/>
      <c r="DS226" s="576" t="str">
        <f ca="1">OFFSET(貼付け_2027実績,4,SUM(COLUMN()-COLUMN(貼付け_2027実績)))</f>
        <v>横浜7</v>
      </c>
      <c r="DT226" s="577"/>
      <c r="DU226" s="577"/>
      <c r="DV226" s="578"/>
      <c r="DW226" s="576" t="str">
        <f ca="1">OFFSET(貼付け_2027実績,4,SUM(COLUMN()-COLUMN(貼付け_2027実績)))</f>
        <v>横浜8</v>
      </c>
      <c r="DX226" s="577"/>
      <c r="DY226" s="577"/>
      <c r="DZ226" s="578"/>
      <c r="EA226" s="576" t="str">
        <f ca="1">OFFSET(貼付け_2027実績,4,SUM(COLUMN()-COLUMN(貼付け_2027実績)))</f>
        <v>横浜9</v>
      </c>
      <c r="EB226" s="577"/>
      <c r="EC226" s="577"/>
      <c r="ED226" s="578"/>
      <c r="EE226" s="576" t="str">
        <f ca="1">OFFSET(貼付け_2027実績,4,SUM(COLUMN()-COLUMN(貼付け_2027実績)))</f>
        <v>横浜10</v>
      </c>
      <c r="EF226" s="577"/>
      <c r="EG226" s="577"/>
      <c r="EH226" s="578"/>
      <c r="EI226" s="576" t="str">
        <f ca="1">OFFSET(貼付け_2027実績,4,SUM(COLUMN()-COLUMN(貼付け_2027実績)))</f>
        <v>川崎1</v>
      </c>
      <c r="EJ226" s="577"/>
      <c r="EK226" s="577"/>
      <c r="EL226" s="578"/>
      <c r="EM226" s="576" t="str">
        <f ca="1">OFFSET(貼付け_2027実績,4,SUM(COLUMN()-COLUMN(貼付け_2027実績)))</f>
        <v>川崎2</v>
      </c>
      <c r="EN226" s="577"/>
      <c r="EO226" s="577"/>
      <c r="EP226" s="578"/>
      <c r="EQ226" s="576" t="str">
        <f ca="1">OFFSET(貼付け_2027実績,4,SUM(COLUMN()-COLUMN(貼付け_2027実績)))</f>
        <v>川崎3</v>
      </c>
      <c r="ER226" s="577"/>
      <c r="ES226" s="577"/>
      <c r="ET226" s="578"/>
      <c r="EU226" s="576" t="str">
        <f ca="1">OFFSET(貼付け_2027実績,4,SUM(COLUMN()-COLUMN(貼付け_2027実績)))</f>
        <v>川崎6</v>
      </c>
      <c r="EV226" s="577"/>
      <c r="EW226" s="577"/>
      <c r="EX226" s="578"/>
      <c r="EY226" s="576" t="str">
        <f ca="1">OFFSET(貼付け_2027実績,4,SUM(COLUMN()-COLUMN(貼付け_2027実績)))</f>
        <v>川崎7</v>
      </c>
      <c r="EZ226" s="577"/>
      <c r="FA226" s="577"/>
      <c r="FB226" s="578"/>
      <c r="FC226" s="576" t="str">
        <f ca="1">OFFSET(貼付け_2027実績,4,SUM(COLUMN()-COLUMN(貼付け_2027実績)))</f>
        <v>川崎8</v>
      </c>
      <c r="FD226" s="577"/>
      <c r="FE226" s="577"/>
      <c r="FF226" s="578"/>
      <c r="FG226" s="576" t="str">
        <f ca="1">OFFSET(貼付け_2027実績,4,SUM(COLUMN()-COLUMN(貼付け_2027実績)))</f>
        <v>川崎9</v>
      </c>
      <c r="FH226" s="577"/>
      <c r="FI226" s="577"/>
      <c r="FJ226" s="578"/>
      <c r="FK226" s="576" t="str">
        <f ca="1">OFFSET(貼付け_2027実績,4,SUM(COLUMN()-COLUMN(貼付け_2027実績)))</f>
        <v>川崎10</v>
      </c>
      <c r="FL226" s="577"/>
      <c r="FM226" s="577"/>
      <c r="FN226" s="578"/>
      <c r="FO226" s="576" t="str">
        <f ca="1">OFFSET(貼付け_2027実績,4,SUM(COLUMN()-COLUMN(貼付け_2027実績)))</f>
        <v>川崎11</v>
      </c>
      <c r="FP226" s="577"/>
      <c r="FQ226" s="577"/>
      <c r="FR226" s="578"/>
      <c r="FS226" s="576" t="str">
        <f ca="1">OFFSET(貼付け_2027実績,4,SUM(COLUMN()-COLUMN(貼付け_2027実績)))</f>
        <v>川崎12</v>
      </c>
      <c r="FT226" s="577"/>
      <c r="FU226" s="577"/>
      <c r="FV226" s="578"/>
      <c r="FW226" s="576" t="str">
        <f ca="1">OFFSET(貼付け_2027実績,4,SUM(COLUMN()-COLUMN(貼付け_2027実績)))</f>
        <v>川崎13</v>
      </c>
      <c r="FX226" s="577"/>
      <c r="FY226" s="577"/>
      <c r="FZ226" s="578"/>
      <c r="GA226" s="576" t="str">
        <f ca="1">OFFSET(貼付け_2027実績,4,SUM(COLUMN()-COLUMN(貼付け_2027実績)))</f>
        <v>川崎14</v>
      </c>
      <c r="GB226" s="577"/>
      <c r="GC226" s="577"/>
      <c r="GD226" s="578"/>
      <c r="GE226" s="576" t="str">
        <f ca="1">OFFSET(貼付け_2027実績,4,SUM(COLUMN()-COLUMN(貼付け_2027実績)))</f>
        <v>川崎15</v>
      </c>
      <c r="GF226" s="577"/>
      <c r="GG226" s="577"/>
      <c r="GH226" s="578"/>
      <c r="GI226" s="576" t="str">
        <f ca="1">OFFSET(貼付け_2027実績,4,SUM(COLUMN()-COLUMN(貼付け_2027実績)))</f>
        <v>川崎16</v>
      </c>
      <c r="GJ226" s="577"/>
      <c r="GK226" s="577"/>
      <c r="GL226" s="578"/>
      <c r="GM226" s="576" t="str">
        <f ca="1">OFFSET(貼付け_2027実績,4,SUM(COLUMN()-COLUMN(貼付け_2027実績)))</f>
        <v>川崎17</v>
      </c>
      <c r="GN226" s="577"/>
      <c r="GO226" s="577"/>
      <c r="GP226" s="578"/>
      <c r="GQ226" s="576" t="str">
        <f ca="1">OFFSET(貼付け_2027実績,4,SUM(COLUMN()-COLUMN(貼付け_2027実績)))</f>
        <v>川崎18</v>
      </c>
      <c r="GR226" s="577"/>
      <c r="GS226" s="577"/>
      <c r="GT226" s="578"/>
      <c r="GU226" s="576" t="str">
        <f ca="1">OFFSET(貼付け_2027実績,4,SUM(COLUMN()-COLUMN(貼付け_2027実績)))</f>
        <v>川崎19</v>
      </c>
      <c r="GV226" s="577"/>
      <c r="GW226" s="577"/>
      <c r="GX226" s="578"/>
      <c r="GY226" s="576" t="str">
        <f ca="1">OFFSET(貼付け_2027実績,4,SUM(COLUMN()-COLUMN(貼付け_2027実績)))</f>
        <v>川崎20</v>
      </c>
      <c r="GZ226" s="577"/>
      <c r="HA226" s="577"/>
      <c r="HB226" s="578"/>
      <c r="IE226" s="579"/>
      <c r="IF226" s="579"/>
      <c r="IG226" s="579"/>
      <c r="IH226" s="579"/>
    </row>
    <row r="227" spans="1:242" s="164" customFormat="1" ht="19.8" hidden="1">
      <c r="A227" s="572">
        <v>1</v>
      </c>
      <c r="C227" s="156"/>
      <c r="D227" s="156"/>
      <c r="E227" s="156"/>
      <c r="F227" s="1046"/>
      <c r="G227" s="580" t="s">
        <v>649</v>
      </c>
      <c r="H227" s="580" t="s">
        <v>650</v>
      </c>
      <c r="I227" s="581" t="s">
        <v>651</v>
      </c>
      <c r="J227" s="581" t="s">
        <v>652</v>
      </c>
      <c r="K227" s="582" t="s">
        <v>449</v>
      </c>
      <c r="L227" s="583" t="s">
        <v>450</v>
      </c>
      <c r="M227" s="583" t="s">
        <v>451</v>
      </c>
      <c r="N227" s="583" t="s">
        <v>452</v>
      </c>
      <c r="O227" s="582" t="s">
        <v>449</v>
      </c>
      <c r="P227" s="583" t="s">
        <v>450</v>
      </c>
      <c r="Q227" s="583" t="s">
        <v>451</v>
      </c>
      <c r="R227" s="583" t="s">
        <v>452</v>
      </c>
      <c r="S227" s="582" t="s">
        <v>449</v>
      </c>
      <c r="T227" s="583" t="s">
        <v>450</v>
      </c>
      <c r="U227" s="583" t="s">
        <v>451</v>
      </c>
      <c r="V227" s="583" t="s">
        <v>452</v>
      </c>
      <c r="W227" s="582" t="s">
        <v>449</v>
      </c>
      <c r="X227" s="583" t="s">
        <v>450</v>
      </c>
      <c r="Y227" s="583" t="s">
        <v>451</v>
      </c>
      <c r="Z227" s="583" t="s">
        <v>452</v>
      </c>
      <c r="AA227" s="582" t="s">
        <v>449</v>
      </c>
      <c r="AB227" s="583" t="s">
        <v>450</v>
      </c>
      <c r="AC227" s="583" t="s">
        <v>451</v>
      </c>
      <c r="AD227" s="583" t="s">
        <v>452</v>
      </c>
      <c r="AE227" s="582" t="s">
        <v>449</v>
      </c>
      <c r="AF227" s="583" t="s">
        <v>450</v>
      </c>
      <c r="AG227" s="583" t="s">
        <v>451</v>
      </c>
      <c r="AH227" s="583" t="s">
        <v>452</v>
      </c>
      <c r="AI227" s="582" t="s">
        <v>449</v>
      </c>
      <c r="AJ227" s="583" t="s">
        <v>450</v>
      </c>
      <c r="AK227" s="583" t="s">
        <v>451</v>
      </c>
      <c r="AL227" s="583" t="s">
        <v>452</v>
      </c>
      <c r="AM227" s="582" t="s">
        <v>449</v>
      </c>
      <c r="AN227" s="583" t="s">
        <v>450</v>
      </c>
      <c r="AO227" s="583" t="s">
        <v>451</v>
      </c>
      <c r="AP227" s="583" t="s">
        <v>452</v>
      </c>
      <c r="AQ227" s="582" t="s">
        <v>449</v>
      </c>
      <c r="AR227" s="583" t="s">
        <v>450</v>
      </c>
      <c r="AS227" s="583" t="s">
        <v>451</v>
      </c>
      <c r="AT227" s="583" t="s">
        <v>452</v>
      </c>
      <c r="AU227" s="582" t="s">
        <v>449</v>
      </c>
      <c r="AV227" s="583" t="s">
        <v>450</v>
      </c>
      <c r="AW227" s="583" t="s">
        <v>451</v>
      </c>
      <c r="AX227" s="583" t="s">
        <v>452</v>
      </c>
      <c r="AY227" s="582" t="s">
        <v>449</v>
      </c>
      <c r="AZ227" s="583" t="s">
        <v>450</v>
      </c>
      <c r="BA227" s="583" t="s">
        <v>451</v>
      </c>
      <c r="BB227" s="583" t="s">
        <v>452</v>
      </c>
      <c r="BC227" s="582" t="s">
        <v>449</v>
      </c>
      <c r="BD227" s="583" t="s">
        <v>450</v>
      </c>
      <c r="BE227" s="583" t="s">
        <v>451</v>
      </c>
      <c r="BF227" s="583" t="s">
        <v>452</v>
      </c>
      <c r="BG227" s="582" t="s">
        <v>449</v>
      </c>
      <c r="BH227" s="583" t="s">
        <v>450</v>
      </c>
      <c r="BI227" s="583" t="s">
        <v>451</v>
      </c>
      <c r="BJ227" s="583" t="s">
        <v>452</v>
      </c>
      <c r="BK227" s="582" t="s">
        <v>449</v>
      </c>
      <c r="BL227" s="583" t="s">
        <v>450</v>
      </c>
      <c r="BM227" s="583" t="s">
        <v>451</v>
      </c>
      <c r="BN227" s="583" t="s">
        <v>452</v>
      </c>
      <c r="BO227" s="582" t="s">
        <v>449</v>
      </c>
      <c r="BP227" s="583" t="s">
        <v>450</v>
      </c>
      <c r="BQ227" s="583" t="s">
        <v>451</v>
      </c>
      <c r="BR227" s="583" t="s">
        <v>452</v>
      </c>
      <c r="BS227" s="582" t="s">
        <v>449</v>
      </c>
      <c r="BT227" s="583" t="s">
        <v>450</v>
      </c>
      <c r="BU227" s="583" t="s">
        <v>451</v>
      </c>
      <c r="BV227" s="583" t="s">
        <v>452</v>
      </c>
      <c r="BW227" s="582" t="s">
        <v>449</v>
      </c>
      <c r="BX227" s="583" t="s">
        <v>450</v>
      </c>
      <c r="BY227" s="583" t="s">
        <v>451</v>
      </c>
      <c r="BZ227" s="583" t="s">
        <v>452</v>
      </c>
      <c r="CA227" s="582" t="s">
        <v>449</v>
      </c>
      <c r="CB227" s="583" t="s">
        <v>450</v>
      </c>
      <c r="CC227" s="583" t="s">
        <v>451</v>
      </c>
      <c r="CD227" s="583" t="s">
        <v>452</v>
      </c>
      <c r="CE227" s="582" t="s">
        <v>449</v>
      </c>
      <c r="CF227" s="583" t="s">
        <v>450</v>
      </c>
      <c r="CG227" s="583" t="s">
        <v>451</v>
      </c>
      <c r="CH227" s="583" t="s">
        <v>452</v>
      </c>
      <c r="CI227" s="582" t="s">
        <v>449</v>
      </c>
      <c r="CJ227" s="583" t="s">
        <v>450</v>
      </c>
      <c r="CK227" s="583" t="s">
        <v>451</v>
      </c>
      <c r="CL227" s="583" t="s">
        <v>452</v>
      </c>
      <c r="CM227" s="582" t="s">
        <v>449</v>
      </c>
      <c r="CN227" s="583" t="s">
        <v>450</v>
      </c>
      <c r="CO227" s="583" t="s">
        <v>451</v>
      </c>
      <c r="CP227" s="583" t="s">
        <v>452</v>
      </c>
      <c r="CQ227" s="582" t="s">
        <v>449</v>
      </c>
      <c r="CR227" s="583" t="s">
        <v>450</v>
      </c>
      <c r="CS227" s="583" t="s">
        <v>451</v>
      </c>
      <c r="CT227" s="583" t="s">
        <v>452</v>
      </c>
      <c r="CU227" s="582" t="s">
        <v>449</v>
      </c>
      <c r="CV227" s="583" t="s">
        <v>450</v>
      </c>
      <c r="CW227" s="583" t="s">
        <v>451</v>
      </c>
      <c r="CX227" s="583" t="s">
        <v>452</v>
      </c>
      <c r="CY227" s="582" t="s">
        <v>449</v>
      </c>
      <c r="CZ227" s="583" t="s">
        <v>450</v>
      </c>
      <c r="DA227" s="583" t="s">
        <v>451</v>
      </c>
      <c r="DB227" s="583" t="s">
        <v>452</v>
      </c>
      <c r="DC227" s="582" t="s">
        <v>449</v>
      </c>
      <c r="DD227" s="583" t="s">
        <v>450</v>
      </c>
      <c r="DE227" s="583" t="s">
        <v>451</v>
      </c>
      <c r="DF227" s="583" t="s">
        <v>452</v>
      </c>
      <c r="DG227" s="582" t="s">
        <v>449</v>
      </c>
      <c r="DH227" s="583" t="s">
        <v>450</v>
      </c>
      <c r="DI227" s="583" t="s">
        <v>451</v>
      </c>
      <c r="DJ227" s="583" t="s">
        <v>452</v>
      </c>
      <c r="DK227" s="582" t="s">
        <v>449</v>
      </c>
      <c r="DL227" s="583" t="s">
        <v>450</v>
      </c>
      <c r="DM227" s="583" t="s">
        <v>451</v>
      </c>
      <c r="DN227" s="583" t="s">
        <v>452</v>
      </c>
      <c r="DO227" s="582" t="s">
        <v>449</v>
      </c>
      <c r="DP227" s="583" t="s">
        <v>450</v>
      </c>
      <c r="DQ227" s="583" t="s">
        <v>451</v>
      </c>
      <c r="DR227" s="583" t="s">
        <v>452</v>
      </c>
      <c r="DS227" s="582" t="s">
        <v>449</v>
      </c>
      <c r="DT227" s="583" t="s">
        <v>450</v>
      </c>
      <c r="DU227" s="583" t="s">
        <v>451</v>
      </c>
      <c r="DV227" s="583" t="s">
        <v>452</v>
      </c>
      <c r="DW227" s="582" t="s">
        <v>449</v>
      </c>
      <c r="DX227" s="583" t="s">
        <v>450</v>
      </c>
      <c r="DY227" s="583" t="s">
        <v>451</v>
      </c>
      <c r="DZ227" s="583" t="s">
        <v>452</v>
      </c>
      <c r="EA227" s="582" t="s">
        <v>449</v>
      </c>
      <c r="EB227" s="583" t="s">
        <v>450</v>
      </c>
      <c r="EC227" s="583" t="s">
        <v>451</v>
      </c>
      <c r="ED227" s="583" t="s">
        <v>452</v>
      </c>
      <c r="EE227" s="582" t="s">
        <v>449</v>
      </c>
      <c r="EF227" s="583" t="s">
        <v>450</v>
      </c>
      <c r="EG227" s="583" t="s">
        <v>451</v>
      </c>
      <c r="EH227" s="583" t="s">
        <v>452</v>
      </c>
      <c r="EI227" s="582" t="s">
        <v>449</v>
      </c>
      <c r="EJ227" s="583" t="s">
        <v>450</v>
      </c>
      <c r="EK227" s="583" t="s">
        <v>451</v>
      </c>
      <c r="EL227" s="583" t="s">
        <v>452</v>
      </c>
      <c r="EM227" s="582" t="s">
        <v>449</v>
      </c>
      <c r="EN227" s="583" t="s">
        <v>450</v>
      </c>
      <c r="EO227" s="583" t="s">
        <v>451</v>
      </c>
      <c r="EP227" s="583" t="s">
        <v>452</v>
      </c>
      <c r="EQ227" s="582" t="s">
        <v>449</v>
      </c>
      <c r="ER227" s="583" t="s">
        <v>450</v>
      </c>
      <c r="ES227" s="583" t="s">
        <v>451</v>
      </c>
      <c r="ET227" s="583" t="s">
        <v>452</v>
      </c>
      <c r="EU227" s="582" t="s">
        <v>449</v>
      </c>
      <c r="EV227" s="583" t="s">
        <v>450</v>
      </c>
      <c r="EW227" s="583" t="s">
        <v>451</v>
      </c>
      <c r="EX227" s="583" t="s">
        <v>452</v>
      </c>
      <c r="EY227" s="582" t="s">
        <v>449</v>
      </c>
      <c r="EZ227" s="583" t="s">
        <v>450</v>
      </c>
      <c r="FA227" s="583" t="s">
        <v>451</v>
      </c>
      <c r="FB227" s="583" t="s">
        <v>452</v>
      </c>
      <c r="FC227" s="582" t="s">
        <v>449</v>
      </c>
      <c r="FD227" s="583" t="s">
        <v>450</v>
      </c>
      <c r="FE227" s="583" t="s">
        <v>451</v>
      </c>
      <c r="FF227" s="583" t="s">
        <v>452</v>
      </c>
      <c r="FG227" s="582" t="s">
        <v>449</v>
      </c>
      <c r="FH227" s="583" t="s">
        <v>450</v>
      </c>
      <c r="FI227" s="583" t="s">
        <v>451</v>
      </c>
      <c r="FJ227" s="583" t="s">
        <v>452</v>
      </c>
      <c r="FK227" s="582" t="s">
        <v>449</v>
      </c>
      <c r="FL227" s="583" t="s">
        <v>450</v>
      </c>
      <c r="FM227" s="583" t="s">
        <v>451</v>
      </c>
      <c r="FN227" s="583" t="s">
        <v>452</v>
      </c>
      <c r="FO227" s="582" t="s">
        <v>449</v>
      </c>
      <c r="FP227" s="583" t="s">
        <v>450</v>
      </c>
      <c r="FQ227" s="583" t="s">
        <v>451</v>
      </c>
      <c r="FR227" s="583" t="s">
        <v>452</v>
      </c>
      <c r="FS227" s="582" t="s">
        <v>449</v>
      </c>
      <c r="FT227" s="583" t="s">
        <v>450</v>
      </c>
      <c r="FU227" s="583" t="s">
        <v>451</v>
      </c>
      <c r="FV227" s="583" t="s">
        <v>452</v>
      </c>
      <c r="FW227" s="582" t="s">
        <v>449</v>
      </c>
      <c r="FX227" s="583" t="s">
        <v>450</v>
      </c>
      <c r="FY227" s="583" t="s">
        <v>451</v>
      </c>
      <c r="FZ227" s="583" t="s">
        <v>452</v>
      </c>
      <c r="GA227" s="582" t="s">
        <v>449</v>
      </c>
      <c r="GB227" s="583" t="s">
        <v>450</v>
      </c>
      <c r="GC227" s="583" t="s">
        <v>451</v>
      </c>
      <c r="GD227" s="583" t="s">
        <v>452</v>
      </c>
      <c r="GE227" s="582" t="s">
        <v>449</v>
      </c>
      <c r="GF227" s="583" t="s">
        <v>450</v>
      </c>
      <c r="GG227" s="583" t="s">
        <v>451</v>
      </c>
      <c r="GH227" s="583" t="s">
        <v>452</v>
      </c>
      <c r="GI227" s="582" t="s">
        <v>449</v>
      </c>
      <c r="GJ227" s="583" t="s">
        <v>450</v>
      </c>
      <c r="GK227" s="583" t="s">
        <v>451</v>
      </c>
      <c r="GL227" s="583" t="s">
        <v>452</v>
      </c>
      <c r="GM227" s="582" t="s">
        <v>449</v>
      </c>
      <c r="GN227" s="583" t="s">
        <v>450</v>
      </c>
      <c r="GO227" s="583" t="s">
        <v>451</v>
      </c>
      <c r="GP227" s="583" t="s">
        <v>452</v>
      </c>
      <c r="GQ227" s="582" t="s">
        <v>449</v>
      </c>
      <c r="GR227" s="583" t="s">
        <v>450</v>
      </c>
      <c r="GS227" s="583" t="s">
        <v>451</v>
      </c>
      <c r="GT227" s="583" t="s">
        <v>452</v>
      </c>
      <c r="GU227" s="582" t="s">
        <v>449</v>
      </c>
      <c r="GV227" s="583" t="s">
        <v>450</v>
      </c>
      <c r="GW227" s="583" t="s">
        <v>451</v>
      </c>
      <c r="GX227" s="583" t="s">
        <v>452</v>
      </c>
      <c r="GY227" s="582" t="s">
        <v>449</v>
      </c>
      <c r="GZ227" s="583" t="s">
        <v>450</v>
      </c>
      <c r="HA227" s="583" t="s">
        <v>451</v>
      </c>
      <c r="HB227" s="583" t="s">
        <v>452</v>
      </c>
      <c r="IE227" s="579"/>
      <c r="IF227" s="579"/>
      <c r="IG227" s="579"/>
      <c r="IH227" s="579"/>
    </row>
    <row r="228" spans="1:242" s="164" customFormat="1" ht="19.8" hidden="1">
      <c r="A228" s="572">
        <v>2</v>
      </c>
      <c r="C228" s="584" t="s">
        <v>653</v>
      </c>
      <c r="D228" s="585"/>
      <c r="E228" s="586"/>
      <c r="F228" s="587">
        <v>200</v>
      </c>
      <c r="G228" s="587">
        <v>103</v>
      </c>
      <c r="H228" s="587">
        <v>169</v>
      </c>
      <c r="I228" s="587">
        <f ca="1">SUMPRODUCT(OFFSET(貼付け_2027実績,$F228,6,5,1),OFFSET(貼付け_2027実績,$F228,SUM(COLUMN()-COLUMN(貼付け_2027実績)),5,1))</f>
        <v>0</v>
      </c>
      <c r="J228" s="587">
        <f ca="1">SUMPRODUCT(OFFSET(貼付け_2027実績,$F228,6,5,1),OFFSET(貼付け_2027実績,$F228,SUM(COLUMN()-COLUMN(貼付け_2027実績)),5,1))</f>
        <v>0</v>
      </c>
      <c r="K228" s="587">
        <f t="shared" ref="K228:AP228" ca="1" si="85">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L228" s="587">
        <f t="shared" ca="1" si="85"/>
        <v>0</v>
      </c>
      <c r="M228" s="587">
        <f t="shared" ca="1" si="85"/>
        <v>0</v>
      </c>
      <c r="N228" s="587">
        <f t="shared" ca="1" si="85"/>
        <v>0</v>
      </c>
      <c r="O228" s="587">
        <f ca="1">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P228" s="587">
        <f t="shared" ca="1" si="85"/>
        <v>0</v>
      </c>
      <c r="Q228" s="587">
        <f t="shared" ca="1" si="85"/>
        <v>0</v>
      </c>
      <c r="R228" s="587">
        <f t="shared" ca="1" si="85"/>
        <v>0</v>
      </c>
      <c r="S228" s="587">
        <f t="shared" ca="1" si="85"/>
        <v>0</v>
      </c>
      <c r="T228" s="587">
        <f t="shared" ca="1" si="85"/>
        <v>0</v>
      </c>
      <c r="U228" s="587">
        <f t="shared" ca="1" si="85"/>
        <v>0</v>
      </c>
      <c r="V228" s="587">
        <f t="shared" ca="1" si="85"/>
        <v>0</v>
      </c>
      <c r="W228" s="587">
        <f t="shared" ca="1" si="85"/>
        <v>0</v>
      </c>
      <c r="X228" s="587">
        <f t="shared" ca="1" si="85"/>
        <v>0</v>
      </c>
      <c r="Y228" s="587">
        <f t="shared" ca="1" si="85"/>
        <v>0</v>
      </c>
      <c r="Z228" s="587">
        <f t="shared" ca="1" si="85"/>
        <v>0</v>
      </c>
      <c r="AA228" s="587">
        <f t="shared" ca="1" si="85"/>
        <v>0</v>
      </c>
      <c r="AB228" s="587">
        <f t="shared" ca="1" si="85"/>
        <v>0</v>
      </c>
      <c r="AC228" s="587">
        <f t="shared" ca="1" si="85"/>
        <v>0</v>
      </c>
      <c r="AD228" s="587">
        <f t="shared" ca="1" si="85"/>
        <v>0</v>
      </c>
      <c r="AE228" s="587">
        <f t="shared" ca="1" si="85"/>
        <v>0</v>
      </c>
      <c r="AF228" s="587">
        <f t="shared" ca="1" si="85"/>
        <v>0</v>
      </c>
      <c r="AG228" s="587">
        <f t="shared" ca="1" si="85"/>
        <v>0</v>
      </c>
      <c r="AH228" s="587">
        <f t="shared" ca="1" si="85"/>
        <v>0</v>
      </c>
      <c r="AI228" s="587">
        <f t="shared" ca="1" si="85"/>
        <v>0</v>
      </c>
      <c r="AJ228" s="587">
        <f t="shared" ca="1" si="85"/>
        <v>0</v>
      </c>
      <c r="AK228" s="587">
        <f t="shared" ca="1" si="85"/>
        <v>0</v>
      </c>
      <c r="AL228" s="587">
        <f t="shared" ca="1" si="85"/>
        <v>0</v>
      </c>
      <c r="AM228" s="587">
        <f t="shared" ca="1" si="85"/>
        <v>0</v>
      </c>
      <c r="AN228" s="587">
        <f t="shared" ca="1" si="85"/>
        <v>0</v>
      </c>
      <c r="AO228" s="587">
        <f t="shared" ca="1" si="85"/>
        <v>0</v>
      </c>
      <c r="AP228" s="587">
        <f t="shared" ca="1" si="85"/>
        <v>0</v>
      </c>
      <c r="AQ228" s="587">
        <f t="shared" ref="AQ228:BV228" ca="1" si="86">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AR228" s="587">
        <f t="shared" ca="1" si="86"/>
        <v>0</v>
      </c>
      <c r="AS228" s="587">
        <f t="shared" ca="1" si="86"/>
        <v>0</v>
      </c>
      <c r="AT228" s="587">
        <f t="shared" ca="1" si="86"/>
        <v>0</v>
      </c>
      <c r="AU228" s="587">
        <f t="shared" ca="1" si="86"/>
        <v>0</v>
      </c>
      <c r="AV228" s="587">
        <f t="shared" ca="1" si="86"/>
        <v>0</v>
      </c>
      <c r="AW228" s="587">
        <f t="shared" ca="1" si="86"/>
        <v>0</v>
      </c>
      <c r="AX228" s="587">
        <f t="shared" ca="1" si="86"/>
        <v>0</v>
      </c>
      <c r="AY228" s="587">
        <f t="shared" ca="1" si="86"/>
        <v>0</v>
      </c>
      <c r="AZ228" s="587">
        <f t="shared" ca="1" si="86"/>
        <v>0</v>
      </c>
      <c r="BA228" s="587">
        <f t="shared" ca="1" si="86"/>
        <v>0</v>
      </c>
      <c r="BB228" s="587">
        <f t="shared" ca="1" si="86"/>
        <v>0</v>
      </c>
      <c r="BC228" s="587">
        <f t="shared" ca="1" si="86"/>
        <v>0</v>
      </c>
      <c r="BD228" s="587">
        <f t="shared" ca="1" si="86"/>
        <v>0</v>
      </c>
      <c r="BE228" s="587">
        <f t="shared" ca="1" si="86"/>
        <v>0</v>
      </c>
      <c r="BF228" s="587">
        <f t="shared" ca="1" si="86"/>
        <v>0</v>
      </c>
      <c r="BG228" s="587">
        <f t="shared" ca="1" si="86"/>
        <v>0</v>
      </c>
      <c r="BH228" s="587">
        <f t="shared" ca="1" si="86"/>
        <v>0</v>
      </c>
      <c r="BI228" s="587">
        <f t="shared" ca="1" si="86"/>
        <v>0</v>
      </c>
      <c r="BJ228" s="587">
        <f t="shared" ca="1" si="86"/>
        <v>0</v>
      </c>
      <c r="BK228" s="587">
        <f t="shared" ca="1" si="86"/>
        <v>0</v>
      </c>
      <c r="BL228" s="587">
        <f t="shared" ca="1" si="86"/>
        <v>0</v>
      </c>
      <c r="BM228" s="587">
        <f t="shared" ca="1" si="86"/>
        <v>0</v>
      </c>
      <c r="BN228" s="587">
        <f t="shared" ca="1" si="86"/>
        <v>0</v>
      </c>
      <c r="BO228" s="587">
        <f t="shared" ca="1" si="86"/>
        <v>0</v>
      </c>
      <c r="BP228" s="587">
        <f t="shared" ca="1" si="86"/>
        <v>0</v>
      </c>
      <c r="BQ228" s="587">
        <f t="shared" ca="1" si="86"/>
        <v>0</v>
      </c>
      <c r="BR228" s="587">
        <f t="shared" ca="1" si="86"/>
        <v>0</v>
      </c>
      <c r="BS228" s="587">
        <f t="shared" ca="1" si="86"/>
        <v>0</v>
      </c>
      <c r="BT228" s="587">
        <f t="shared" ca="1" si="86"/>
        <v>0</v>
      </c>
      <c r="BU228" s="587">
        <f t="shared" ca="1" si="86"/>
        <v>0</v>
      </c>
      <c r="BV228" s="587">
        <f t="shared" ca="1" si="86"/>
        <v>0</v>
      </c>
      <c r="BW228" s="587">
        <f t="shared" ref="BW228:DB228" ca="1" si="87">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BX228" s="587">
        <f t="shared" ca="1" si="87"/>
        <v>0</v>
      </c>
      <c r="BY228" s="587">
        <f t="shared" ca="1" si="87"/>
        <v>0</v>
      </c>
      <c r="BZ228" s="587">
        <f t="shared" ca="1" si="87"/>
        <v>0</v>
      </c>
      <c r="CA228" s="587">
        <f t="shared" ca="1" si="87"/>
        <v>0</v>
      </c>
      <c r="CB228" s="587">
        <f t="shared" ca="1" si="87"/>
        <v>0</v>
      </c>
      <c r="CC228" s="587">
        <f t="shared" ca="1" si="87"/>
        <v>0</v>
      </c>
      <c r="CD228" s="587">
        <f t="shared" ca="1" si="87"/>
        <v>0</v>
      </c>
      <c r="CE228" s="587">
        <f t="shared" ca="1" si="87"/>
        <v>0</v>
      </c>
      <c r="CF228" s="587">
        <f t="shared" ca="1" si="87"/>
        <v>0</v>
      </c>
      <c r="CG228" s="587">
        <f t="shared" ca="1" si="87"/>
        <v>0</v>
      </c>
      <c r="CH228" s="587">
        <f t="shared" ca="1" si="87"/>
        <v>0</v>
      </c>
      <c r="CI228" s="587">
        <f t="shared" ca="1" si="87"/>
        <v>0</v>
      </c>
      <c r="CJ228" s="587">
        <f t="shared" ca="1" si="87"/>
        <v>0</v>
      </c>
      <c r="CK228" s="587">
        <f t="shared" ca="1" si="87"/>
        <v>0</v>
      </c>
      <c r="CL228" s="587">
        <f t="shared" ca="1" si="87"/>
        <v>0</v>
      </c>
      <c r="CM228" s="587">
        <f t="shared" ca="1" si="87"/>
        <v>0</v>
      </c>
      <c r="CN228" s="587">
        <f t="shared" ca="1" si="87"/>
        <v>0</v>
      </c>
      <c r="CO228" s="587">
        <f t="shared" ca="1" si="87"/>
        <v>0</v>
      </c>
      <c r="CP228" s="587">
        <f t="shared" ca="1" si="87"/>
        <v>0</v>
      </c>
      <c r="CQ228" s="587">
        <f t="shared" ca="1" si="87"/>
        <v>0</v>
      </c>
      <c r="CR228" s="587">
        <f t="shared" ca="1" si="87"/>
        <v>0</v>
      </c>
      <c r="CS228" s="587">
        <f t="shared" ca="1" si="87"/>
        <v>0</v>
      </c>
      <c r="CT228" s="587">
        <f t="shared" ca="1" si="87"/>
        <v>0</v>
      </c>
      <c r="CU228" s="587">
        <f t="shared" ca="1" si="87"/>
        <v>0</v>
      </c>
      <c r="CV228" s="587">
        <f t="shared" ca="1" si="87"/>
        <v>0</v>
      </c>
      <c r="CW228" s="587">
        <f t="shared" ca="1" si="87"/>
        <v>0</v>
      </c>
      <c r="CX228" s="587">
        <f t="shared" ca="1" si="87"/>
        <v>0</v>
      </c>
      <c r="CY228" s="587">
        <f t="shared" ca="1" si="87"/>
        <v>0</v>
      </c>
      <c r="CZ228" s="587">
        <f t="shared" ca="1" si="87"/>
        <v>0</v>
      </c>
      <c r="DA228" s="587">
        <f t="shared" ca="1" si="87"/>
        <v>0</v>
      </c>
      <c r="DB228" s="587">
        <f t="shared" ca="1" si="87"/>
        <v>0</v>
      </c>
      <c r="DC228" s="587">
        <f t="shared" ref="DC228:EH228" ca="1" si="88">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DD228" s="587">
        <f t="shared" ca="1" si="88"/>
        <v>0</v>
      </c>
      <c r="DE228" s="587">
        <f t="shared" ca="1" si="88"/>
        <v>0</v>
      </c>
      <c r="DF228" s="587">
        <f t="shared" ca="1" si="88"/>
        <v>0</v>
      </c>
      <c r="DG228" s="587">
        <f t="shared" ca="1" si="88"/>
        <v>0</v>
      </c>
      <c r="DH228" s="587">
        <f t="shared" ca="1" si="88"/>
        <v>0</v>
      </c>
      <c r="DI228" s="587">
        <f t="shared" ca="1" si="88"/>
        <v>0</v>
      </c>
      <c r="DJ228" s="587">
        <f t="shared" ca="1" si="88"/>
        <v>0</v>
      </c>
      <c r="DK228" s="587">
        <f t="shared" ca="1" si="88"/>
        <v>0</v>
      </c>
      <c r="DL228" s="587">
        <f t="shared" ca="1" si="88"/>
        <v>0</v>
      </c>
      <c r="DM228" s="587">
        <f t="shared" ca="1" si="88"/>
        <v>0</v>
      </c>
      <c r="DN228" s="587">
        <f t="shared" ca="1" si="88"/>
        <v>0</v>
      </c>
      <c r="DO228" s="587">
        <f t="shared" ca="1" si="88"/>
        <v>0</v>
      </c>
      <c r="DP228" s="587">
        <f t="shared" ca="1" si="88"/>
        <v>0</v>
      </c>
      <c r="DQ228" s="587">
        <f t="shared" ca="1" si="88"/>
        <v>0</v>
      </c>
      <c r="DR228" s="587">
        <f t="shared" ca="1" si="88"/>
        <v>0</v>
      </c>
      <c r="DS228" s="587">
        <f t="shared" ca="1" si="88"/>
        <v>0</v>
      </c>
      <c r="DT228" s="587">
        <f t="shared" ca="1" si="88"/>
        <v>0</v>
      </c>
      <c r="DU228" s="587">
        <f t="shared" ca="1" si="88"/>
        <v>0</v>
      </c>
      <c r="DV228" s="587">
        <f t="shared" ca="1" si="88"/>
        <v>0</v>
      </c>
      <c r="DW228" s="587">
        <f t="shared" ca="1" si="88"/>
        <v>0</v>
      </c>
      <c r="DX228" s="587">
        <f t="shared" ca="1" si="88"/>
        <v>0</v>
      </c>
      <c r="DY228" s="587">
        <f t="shared" ca="1" si="88"/>
        <v>0</v>
      </c>
      <c r="DZ228" s="587">
        <f t="shared" ca="1" si="88"/>
        <v>0</v>
      </c>
      <c r="EA228" s="587">
        <f t="shared" ca="1" si="88"/>
        <v>0</v>
      </c>
      <c r="EB228" s="587">
        <f t="shared" ca="1" si="88"/>
        <v>0</v>
      </c>
      <c r="EC228" s="587">
        <f t="shared" ca="1" si="88"/>
        <v>0</v>
      </c>
      <c r="ED228" s="587">
        <f t="shared" ca="1" si="88"/>
        <v>0</v>
      </c>
      <c r="EE228" s="587">
        <f t="shared" ca="1" si="88"/>
        <v>0</v>
      </c>
      <c r="EF228" s="587">
        <f t="shared" ca="1" si="88"/>
        <v>0</v>
      </c>
      <c r="EG228" s="587">
        <f t="shared" ca="1" si="88"/>
        <v>0</v>
      </c>
      <c r="EH228" s="587">
        <f t="shared" ca="1" si="88"/>
        <v>0</v>
      </c>
      <c r="EI228" s="587">
        <f t="shared" ref="EI228:FN228" ca="1" si="89">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EJ228" s="587">
        <f t="shared" ca="1" si="89"/>
        <v>0</v>
      </c>
      <c r="EK228" s="587">
        <f t="shared" ca="1" si="89"/>
        <v>0</v>
      </c>
      <c r="EL228" s="587">
        <f t="shared" ca="1" si="89"/>
        <v>0</v>
      </c>
      <c r="EM228" s="587">
        <f t="shared" ca="1" si="89"/>
        <v>0</v>
      </c>
      <c r="EN228" s="587">
        <f t="shared" ca="1" si="89"/>
        <v>0</v>
      </c>
      <c r="EO228" s="587">
        <f t="shared" ca="1" si="89"/>
        <v>0</v>
      </c>
      <c r="EP228" s="587">
        <f t="shared" ca="1" si="89"/>
        <v>0</v>
      </c>
      <c r="EQ228" s="587">
        <f t="shared" ca="1" si="89"/>
        <v>0</v>
      </c>
      <c r="ER228" s="587">
        <f t="shared" ca="1" si="89"/>
        <v>0</v>
      </c>
      <c r="ES228" s="587">
        <f t="shared" ca="1" si="89"/>
        <v>0</v>
      </c>
      <c r="ET228" s="587">
        <f t="shared" ca="1" si="89"/>
        <v>0</v>
      </c>
      <c r="EU228" s="587">
        <f t="shared" ca="1" si="89"/>
        <v>0</v>
      </c>
      <c r="EV228" s="587">
        <f t="shared" ca="1" si="89"/>
        <v>0</v>
      </c>
      <c r="EW228" s="587">
        <f t="shared" ca="1" si="89"/>
        <v>0</v>
      </c>
      <c r="EX228" s="587">
        <f t="shared" ca="1" si="89"/>
        <v>0</v>
      </c>
      <c r="EY228" s="587">
        <f t="shared" ca="1" si="89"/>
        <v>0</v>
      </c>
      <c r="EZ228" s="587">
        <f t="shared" ca="1" si="89"/>
        <v>0</v>
      </c>
      <c r="FA228" s="587">
        <f t="shared" ca="1" si="89"/>
        <v>0</v>
      </c>
      <c r="FB228" s="587">
        <f t="shared" ca="1" si="89"/>
        <v>0</v>
      </c>
      <c r="FC228" s="587">
        <f t="shared" ca="1" si="89"/>
        <v>0</v>
      </c>
      <c r="FD228" s="587">
        <f t="shared" ca="1" si="89"/>
        <v>0</v>
      </c>
      <c r="FE228" s="587">
        <f t="shared" ca="1" si="89"/>
        <v>0</v>
      </c>
      <c r="FF228" s="587">
        <f t="shared" ca="1" si="89"/>
        <v>0</v>
      </c>
      <c r="FG228" s="587">
        <f t="shared" ca="1" si="89"/>
        <v>0</v>
      </c>
      <c r="FH228" s="587">
        <f t="shared" ca="1" si="89"/>
        <v>0</v>
      </c>
      <c r="FI228" s="587">
        <f t="shared" ca="1" si="89"/>
        <v>0</v>
      </c>
      <c r="FJ228" s="587">
        <f t="shared" ca="1" si="89"/>
        <v>0</v>
      </c>
      <c r="FK228" s="587">
        <f t="shared" ca="1" si="89"/>
        <v>0</v>
      </c>
      <c r="FL228" s="587">
        <f t="shared" ca="1" si="89"/>
        <v>0</v>
      </c>
      <c r="FM228" s="587">
        <f t="shared" ca="1" si="89"/>
        <v>0</v>
      </c>
      <c r="FN228" s="587">
        <f t="shared" ca="1" si="89"/>
        <v>0</v>
      </c>
      <c r="FO228" s="587">
        <f t="shared" ref="FO228:GT228" ca="1" si="90">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FP228" s="587">
        <f t="shared" ca="1" si="90"/>
        <v>0</v>
      </c>
      <c r="FQ228" s="587">
        <f t="shared" ca="1" si="90"/>
        <v>0</v>
      </c>
      <c r="FR228" s="587">
        <f t="shared" ca="1" si="90"/>
        <v>0</v>
      </c>
      <c r="FS228" s="587">
        <f t="shared" ca="1" si="90"/>
        <v>0</v>
      </c>
      <c r="FT228" s="587">
        <f t="shared" ca="1" si="90"/>
        <v>0</v>
      </c>
      <c r="FU228" s="587">
        <f t="shared" ca="1" si="90"/>
        <v>0</v>
      </c>
      <c r="FV228" s="587">
        <f t="shared" ca="1" si="90"/>
        <v>0</v>
      </c>
      <c r="FW228" s="587">
        <f t="shared" ca="1" si="90"/>
        <v>0</v>
      </c>
      <c r="FX228" s="587">
        <f t="shared" ca="1" si="90"/>
        <v>0</v>
      </c>
      <c r="FY228" s="587">
        <f t="shared" ca="1" si="90"/>
        <v>0</v>
      </c>
      <c r="FZ228" s="587">
        <f t="shared" ca="1" si="90"/>
        <v>0</v>
      </c>
      <c r="GA228" s="587">
        <f t="shared" ca="1" si="90"/>
        <v>0</v>
      </c>
      <c r="GB228" s="587">
        <f t="shared" ca="1" si="90"/>
        <v>0</v>
      </c>
      <c r="GC228" s="587">
        <f t="shared" ca="1" si="90"/>
        <v>0</v>
      </c>
      <c r="GD228" s="587">
        <f t="shared" ca="1" si="90"/>
        <v>0</v>
      </c>
      <c r="GE228" s="587">
        <f t="shared" ca="1" si="90"/>
        <v>0</v>
      </c>
      <c r="GF228" s="587">
        <f t="shared" ca="1" si="90"/>
        <v>0</v>
      </c>
      <c r="GG228" s="587">
        <f t="shared" ca="1" si="90"/>
        <v>0</v>
      </c>
      <c r="GH228" s="587">
        <f t="shared" ca="1" si="90"/>
        <v>0</v>
      </c>
      <c r="GI228" s="587">
        <f t="shared" ca="1" si="90"/>
        <v>0</v>
      </c>
      <c r="GJ228" s="587">
        <f t="shared" ca="1" si="90"/>
        <v>0</v>
      </c>
      <c r="GK228" s="587">
        <f t="shared" ca="1" si="90"/>
        <v>0</v>
      </c>
      <c r="GL228" s="587">
        <f t="shared" ca="1" si="90"/>
        <v>0</v>
      </c>
      <c r="GM228" s="587">
        <f t="shared" ca="1" si="90"/>
        <v>0</v>
      </c>
      <c r="GN228" s="587">
        <f t="shared" ca="1" si="90"/>
        <v>0</v>
      </c>
      <c r="GO228" s="587">
        <f t="shared" ca="1" si="90"/>
        <v>0</v>
      </c>
      <c r="GP228" s="587">
        <f t="shared" ca="1" si="90"/>
        <v>0</v>
      </c>
      <c r="GQ228" s="587">
        <f t="shared" ca="1" si="90"/>
        <v>0</v>
      </c>
      <c r="GR228" s="587">
        <f t="shared" ca="1" si="90"/>
        <v>0</v>
      </c>
      <c r="GS228" s="587">
        <f t="shared" ca="1" si="90"/>
        <v>0</v>
      </c>
      <c r="GT228" s="587">
        <f t="shared" ca="1" si="90"/>
        <v>0</v>
      </c>
      <c r="GU228" s="587">
        <f t="shared" ref="GU228:HB228" ca="1" si="91">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GV228" s="587">
        <f t="shared" ca="1" si="91"/>
        <v>0</v>
      </c>
      <c r="GW228" s="587">
        <f t="shared" ca="1" si="91"/>
        <v>0</v>
      </c>
      <c r="GX228" s="587">
        <f t="shared" ca="1" si="91"/>
        <v>0</v>
      </c>
      <c r="GY228" s="587">
        <f t="shared" ca="1" si="91"/>
        <v>0</v>
      </c>
      <c r="GZ228" s="587">
        <f t="shared" ca="1" si="91"/>
        <v>0</v>
      </c>
      <c r="HA228" s="587">
        <f t="shared" ca="1" si="91"/>
        <v>0</v>
      </c>
      <c r="HB228" s="587">
        <f t="shared" ca="1" si="91"/>
        <v>0</v>
      </c>
      <c r="IE228" s="579"/>
      <c r="IF228" s="579"/>
      <c r="IG228" s="579"/>
      <c r="IH228" s="579"/>
    </row>
    <row r="229" spans="1:242" s="164" customFormat="1" ht="19.8" hidden="1">
      <c r="A229" s="572">
        <v>3</v>
      </c>
      <c r="C229" s="584" t="s">
        <v>654</v>
      </c>
      <c r="D229" s="586"/>
      <c r="E229" s="586"/>
      <c r="F229" s="587"/>
      <c r="G229" s="587">
        <v>8</v>
      </c>
      <c r="H229" s="587">
        <v>98</v>
      </c>
      <c r="I229" s="587"/>
      <c r="J229" s="587"/>
      <c r="K229" s="587">
        <f ca="1">(SUMPRODUCT($G$17:$G$65,K17:K65)+$G$67*K67+$G$69*K69+$G$71*K71+$G$73*K73+SUMPRODUCT($G$75:$G$81,K75:K81)+$G$83*K83+$G$85*K85+$G$86*K86+$G$89*K89+SUMPRODUCT($G$92:$G$103,K92:K103)+K228)*0.0258</f>
        <v>0</v>
      </c>
      <c r="L229" s="587">
        <f t="shared" ref="L229:BW229" ca="1" si="92">(SUMPRODUCT($G$17:$G$65,L17:L65)+$G$67*L67+$G$69*L69+$G$71*L71+$G$73*L73+SUMPRODUCT($G$75:$G$81,L75:L81)+$G$83*L83+$G$85*L85+$G$86*L86+$G$89*L89+SUMPRODUCT($G$92:$G$103,L92:L103)+L228)*0.0258</f>
        <v>0</v>
      </c>
      <c r="M229" s="587">
        <f t="shared" ca="1" si="92"/>
        <v>0</v>
      </c>
      <c r="N229" s="587">
        <f t="shared" ca="1" si="92"/>
        <v>0</v>
      </c>
      <c r="O229" s="587">
        <f t="shared" ca="1" si="92"/>
        <v>0</v>
      </c>
      <c r="P229" s="587">
        <f t="shared" ca="1" si="92"/>
        <v>0</v>
      </c>
      <c r="Q229" s="587">
        <f t="shared" ca="1" si="92"/>
        <v>0</v>
      </c>
      <c r="R229" s="587">
        <f t="shared" ca="1" si="92"/>
        <v>0</v>
      </c>
      <c r="S229" s="587">
        <f t="shared" ca="1" si="92"/>
        <v>0</v>
      </c>
      <c r="T229" s="587">
        <f t="shared" ca="1" si="92"/>
        <v>0</v>
      </c>
      <c r="U229" s="587">
        <f t="shared" ca="1" si="92"/>
        <v>0</v>
      </c>
      <c r="V229" s="587">
        <f t="shared" ca="1" si="92"/>
        <v>0</v>
      </c>
      <c r="W229" s="587">
        <f t="shared" ca="1" si="92"/>
        <v>0</v>
      </c>
      <c r="X229" s="587">
        <f t="shared" ca="1" si="92"/>
        <v>0</v>
      </c>
      <c r="Y229" s="587">
        <f t="shared" ca="1" si="92"/>
        <v>0</v>
      </c>
      <c r="Z229" s="587">
        <f t="shared" ca="1" si="92"/>
        <v>0</v>
      </c>
      <c r="AA229" s="587">
        <f t="shared" ca="1" si="92"/>
        <v>0</v>
      </c>
      <c r="AB229" s="587">
        <f t="shared" ca="1" si="92"/>
        <v>0</v>
      </c>
      <c r="AC229" s="587">
        <f t="shared" ca="1" si="92"/>
        <v>0</v>
      </c>
      <c r="AD229" s="587">
        <f t="shared" ca="1" si="92"/>
        <v>0</v>
      </c>
      <c r="AE229" s="587">
        <f t="shared" ca="1" si="92"/>
        <v>0</v>
      </c>
      <c r="AF229" s="587">
        <f t="shared" ca="1" si="92"/>
        <v>0</v>
      </c>
      <c r="AG229" s="587">
        <f t="shared" ca="1" si="92"/>
        <v>0</v>
      </c>
      <c r="AH229" s="587">
        <f t="shared" ca="1" si="92"/>
        <v>0</v>
      </c>
      <c r="AI229" s="587">
        <f t="shared" ca="1" si="92"/>
        <v>0</v>
      </c>
      <c r="AJ229" s="587">
        <f t="shared" ca="1" si="92"/>
        <v>0</v>
      </c>
      <c r="AK229" s="587">
        <f t="shared" ca="1" si="92"/>
        <v>0</v>
      </c>
      <c r="AL229" s="587">
        <f t="shared" ca="1" si="92"/>
        <v>0</v>
      </c>
      <c r="AM229" s="587">
        <f t="shared" ca="1" si="92"/>
        <v>0</v>
      </c>
      <c r="AN229" s="587">
        <f t="shared" ca="1" si="92"/>
        <v>0</v>
      </c>
      <c r="AO229" s="587">
        <f t="shared" ca="1" si="92"/>
        <v>0</v>
      </c>
      <c r="AP229" s="587">
        <f t="shared" ca="1" si="92"/>
        <v>0</v>
      </c>
      <c r="AQ229" s="587">
        <f t="shared" ca="1" si="92"/>
        <v>0</v>
      </c>
      <c r="AR229" s="587">
        <f t="shared" ca="1" si="92"/>
        <v>0</v>
      </c>
      <c r="AS229" s="587">
        <f t="shared" ca="1" si="92"/>
        <v>0</v>
      </c>
      <c r="AT229" s="587">
        <f t="shared" ca="1" si="92"/>
        <v>0</v>
      </c>
      <c r="AU229" s="587">
        <f t="shared" ca="1" si="92"/>
        <v>0</v>
      </c>
      <c r="AV229" s="587">
        <f t="shared" ca="1" si="92"/>
        <v>0</v>
      </c>
      <c r="AW229" s="587">
        <f t="shared" ca="1" si="92"/>
        <v>0</v>
      </c>
      <c r="AX229" s="587">
        <f t="shared" ca="1" si="92"/>
        <v>0</v>
      </c>
      <c r="AY229" s="587">
        <f t="shared" ca="1" si="92"/>
        <v>0</v>
      </c>
      <c r="AZ229" s="587">
        <f t="shared" ca="1" si="92"/>
        <v>0</v>
      </c>
      <c r="BA229" s="587">
        <f t="shared" ca="1" si="92"/>
        <v>0</v>
      </c>
      <c r="BB229" s="587">
        <f t="shared" ca="1" si="92"/>
        <v>0</v>
      </c>
      <c r="BC229" s="587">
        <f t="shared" ca="1" si="92"/>
        <v>0</v>
      </c>
      <c r="BD229" s="587">
        <f t="shared" ca="1" si="92"/>
        <v>0</v>
      </c>
      <c r="BE229" s="587">
        <f t="shared" ca="1" si="92"/>
        <v>0</v>
      </c>
      <c r="BF229" s="587">
        <f t="shared" ca="1" si="92"/>
        <v>0</v>
      </c>
      <c r="BG229" s="587">
        <f t="shared" ca="1" si="92"/>
        <v>0</v>
      </c>
      <c r="BH229" s="587">
        <f t="shared" ca="1" si="92"/>
        <v>0</v>
      </c>
      <c r="BI229" s="587">
        <f t="shared" ca="1" si="92"/>
        <v>0</v>
      </c>
      <c r="BJ229" s="587">
        <f t="shared" ca="1" si="92"/>
        <v>0</v>
      </c>
      <c r="BK229" s="587">
        <f t="shared" ca="1" si="92"/>
        <v>0</v>
      </c>
      <c r="BL229" s="587">
        <f t="shared" ca="1" si="92"/>
        <v>0</v>
      </c>
      <c r="BM229" s="587">
        <f t="shared" ca="1" si="92"/>
        <v>0</v>
      </c>
      <c r="BN229" s="587">
        <f t="shared" ca="1" si="92"/>
        <v>0</v>
      </c>
      <c r="BO229" s="587">
        <f t="shared" ca="1" si="92"/>
        <v>0</v>
      </c>
      <c r="BP229" s="587">
        <f t="shared" ca="1" si="92"/>
        <v>0</v>
      </c>
      <c r="BQ229" s="587">
        <f t="shared" ca="1" si="92"/>
        <v>0</v>
      </c>
      <c r="BR229" s="587">
        <f t="shared" ca="1" si="92"/>
        <v>0</v>
      </c>
      <c r="BS229" s="587">
        <f t="shared" ca="1" si="92"/>
        <v>0</v>
      </c>
      <c r="BT229" s="587">
        <f t="shared" ca="1" si="92"/>
        <v>0</v>
      </c>
      <c r="BU229" s="587">
        <f t="shared" ca="1" si="92"/>
        <v>0</v>
      </c>
      <c r="BV229" s="587">
        <f t="shared" ca="1" si="92"/>
        <v>0</v>
      </c>
      <c r="BW229" s="587">
        <f t="shared" ca="1" si="92"/>
        <v>0</v>
      </c>
      <c r="BX229" s="587">
        <f t="shared" ref="BX229:EI229" ca="1" si="93">(SUMPRODUCT($G$17:$G$65,BX17:BX65)+$G$67*BX67+$G$69*BX69+$G$71*BX71+$G$73*BX73+SUMPRODUCT($G$75:$G$81,BX75:BX81)+$G$83*BX83+$G$85*BX85+$G$86*BX86+$G$89*BX89+SUMPRODUCT($G$92:$G$103,BX92:BX103)+BX228)*0.0258</f>
        <v>0</v>
      </c>
      <c r="BY229" s="587">
        <f t="shared" ca="1" si="93"/>
        <v>0</v>
      </c>
      <c r="BZ229" s="587">
        <f t="shared" ca="1" si="93"/>
        <v>0</v>
      </c>
      <c r="CA229" s="587">
        <f t="shared" ca="1" si="93"/>
        <v>0</v>
      </c>
      <c r="CB229" s="587">
        <f t="shared" ca="1" si="93"/>
        <v>0</v>
      </c>
      <c r="CC229" s="587">
        <f t="shared" ca="1" si="93"/>
        <v>0</v>
      </c>
      <c r="CD229" s="587">
        <f t="shared" ca="1" si="93"/>
        <v>0</v>
      </c>
      <c r="CE229" s="587">
        <f t="shared" ca="1" si="93"/>
        <v>0</v>
      </c>
      <c r="CF229" s="587">
        <f t="shared" ca="1" si="93"/>
        <v>0</v>
      </c>
      <c r="CG229" s="587">
        <f t="shared" ca="1" si="93"/>
        <v>0</v>
      </c>
      <c r="CH229" s="587">
        <f t="shared" ca="1" si="93"/>
        <v>0</v>
      </c>
      <c r="CI229" s="587">
        <f t="shared" ca="1" si="93"/>
        <v>0</v>
      </c>
      <c r="CJ229" s="587">
        <f t="shared" ca="1" si="93"/>
        <v>0</v>
      </c>
      <c r="CK229" s="587">
        <f t="shared" ca="1" si="93"/>
        <v>0</v>
      </c>
      <c r="CL229" s="587">
        <f t="shared" ca="1" si="93"/>
        <v>0</v>
      </c>
      <c r="CM229" s="587">
        <f t="shared" ca="1" si="93"/>
        <v>0</v>
      </c>
      <c r="CN229" s="587">
        <f t="shared" ca="1" si="93"/>
        <v>0</v>
      </c>
      <c r="CO229" s="587">
        <f t="shared" ca="1" si="93"/>
        <v>0</v>
      </c>
      <c r="CP229" s="587">
        <f t="shared" ca="1" si="93"/>
        <v>0</v>
      </c>
      <c r="CQ229" s="587">
        <f t="shared" ca="1" si="93"/>
        <v>0</v>
      </c>
      <c r="CR229" s="587">
        <f t="shared" ca="1" si="93"/>
        <v>0</v>
      </c>
      <c r="CS229" s="587">
        <f t="shared" ca="1" si="93"/>
        <v>0</v>
      </c>
      <c r="CT229" s="587">
        <f t="shared" ca="1" si="93"/>
        <v>0</v>
      </c>
      <c r="CU229" s="587">
        <f t="shared" ca="1" si="93"/>
        <v>0</v>
      </c>
      <c r="CV229" s="587">
        <f t="shared" ca="1" si="93"/>
        <v>0</v>
      </c>
      <c r="CW229" s="587">
        <f t="shared" ca="1" si="93"/>
        <v>0</v>
      </c>
      <c r="CX229" s="587">
        <f t="shared" ca="1" si="93"/>
        <v>0</v>
      </c>
      <c r="CY229" s="587">
        <f t="shared" ca="1" si="93"/>
        <v>0</v>
      </c>
      <c r="CZ229" s="587">
        <f t="shared" ca="1" si="93"/>
        <v>0</v>
      </c>
      <c r="DA229" s="587">
        <f t="shared" ca="1" si="93"/>
        <v>0</v>
      </c>
      <c r="DB229" s="587">
        <f t="shared" ca="1" si="93"/>
        <v>0</v>
      </c>
      <c r="DC229" s="587">
        <f t="shared" ca="1" si="93"/>
        <v>0</v>
      </c>
      <c r="DD229" s="587">
        <f t="shared" ca="1" si="93"/>
        <v>0</v>
      </c>
      <c r="DE229" s="587">
        <f t="shared" ca="1" si="93"/>
        <v>0</v>
      </c>
      <c r="DF229" s="587">
        <f t="shared" ca="1" si="93"/>
        <v>0</v>
      </c>
      <c r="DG229" s="587">
        <f t="shared" ca="1" si="93"/>
        <v>0</v>
      </c>
      <c r="DH229" s="587">
        <f t="shared" ca="1" si="93"/>
        <v>0</v>
      </c>
      <c r="DI229" s="587">
        <f t="shared" ca="1" si="93"/>
        <v>0</v>
      </c>
      <c r="DJ229" s="587">
        <f t="shared" ca="1" si="93"/>
        <v>0</v>
      </c>
      <c r="DK229" s="587">
        <f t="shared" ca="1" si="93"/>
        <v>0</v>
      </c>
      <c r="DL229" s="587">
        <f t="shared" ca="1" si="93"/>
        <v>0</v>
      </c>
      <c r="DM229" s="587">
        <f t="shared" ca="1" si="93"/>
        <v>0</v>
      </c>
      <c r="DN229" s="587">
        <f t="shared" ca="1" si="93"/>
        <v>0</v>
      </c>
      <c r="DO229" s="587">
        <f t="shared" ca="1" si="93"/>
        <v>0</v>
      </c>
      <c r="DP229" s="587">
        <f t="shared" ca="1" si="93"/>
        <v>0</v>
      </c>
      <c r="DQ229" s="587">
        <f t="shared" ca="1" si="93"/>
        <v>0</v>
      </c>
      <c r="DR229" s="587">
        <f t="shared" ca="1" si="93"/>
        <v>0</v>
      </c>
      <c r="DS229" s="587">
        <f t="shared" ca="1" si="93"/>
        <v>0</v>
      </c>
      <c r="DT229" s="587">
        <f t="shared" ca="1" si="93"/>
        <v>0</v>
      </c>
      <c r="DU229" s="587">
        <f t="shared" ca="1" si="93"/>
        <v>0</v>
      </c>
      <c r="DV229" s="587">
        <f t="shared" ca="1" si="93"/>
        <v>0</v>
      </c>
      <c r="DW229" s="587">
        <f t="shared" ca="1" si="93"/>
        <v>0</v>
      </c>
      <c r="DX229" s="587">
        <f t="shared" ca="1" si="93"/>
        <v>0</v>
      </c>
      <c r="DY229" s="587">
        <f t="shared" ca="1" si="93"/>
        <v>0</v>
      </c>
      <c r="DZ229" s="587">
        <f t="shared" ca="1" si="93"/>
        <v>0</v>
      </c>
      <c r="EA229" s="587">
        <f t="shared" ca="1" si="93"/>
        <v>0</v>
      </c>
      <c r="EB229" s="587">
        <f t="shared" ca="1" si="93"/>
        <v>0</v>
      </c>
      <c r="EC229" s="587">
        <f t="shared" ca="1" si="93"/>
        <v>0</v>
      </c>
      <c r="ED229" s="587">
        <f t="shared" ca="1" si="93"/>
        <v>0</v>
      </c>
      <c r="EE229" s="587">
        <f t="shared" ca="1" si="93"/>
        <v>0</v>
      </c>
      <c r="EF229" s="587">
        <f t="shared" ca="1" si="93"/>
        <v>0</v>
      </c>
      <c r="EG229" s="587">
        <f t="shared" ca="1" si="93"/>
        <v>0</v>
      </c>
      <c r="EH229" s="587">
        <f t="shared" ca="1" si="93"/>
        <v>0</v>
      </c>
      <c r="EI229" s="587">
        <f t="shared" ca="1" si="93"/>
        <v>0</v>
      </c>
      <c r="EJ229" s="587">
        <f t="shared" ref="EJ229:GU229" ca="1" si="94">(SUMPRODUCT($G$17:$G$65,EJ17:EJ65)+$G$67*EJ67+$G$69*EJ69+$G$71*EJ71+$G$73*EJ73+SUMPRODUCT($G$75:$G$81,EJ75:EJ81)+$G$83*EJ83+$G$85*EJ85+$G$86*EJ86+$G$89*EJ89+SUMPRODUCT($G$92:$G$103,EJ92:EJ103)+EJ228)*0.0258</f>
        <v>0</v>
      </c>
      <c r="EK229" s="587">
        <f t="shared" ca="1" si="94"/>
        <v>0</v>
      </c>
      <c r="EL229" s="587">
        <f t="shared" ca="1" si="94"/>
        <v>0</v>
      </c>
      <c r="EM229" s="587">
        <f t="shared" ca="1" si="94"/>
        <v>0</v>
      </c>
      <c r="EN229" s="587">
        <f t="shared" ca="1" si="94"/>
        <v>0</v>
      </c>
      <c r="EO229" s="587">
        <f t="shared" ca="1" si="94"/>
        <v>0</v>
      </c>
      <c r="EP229" s="587">
        <f t="shared" ca="1" si="94"/>
        <v>0</v>
      </c>
      <c r="EQ229" s="587">
        <f t="shared" ca="1" si="94"/>
        <v>0</v>
      </c>
      <c r="ER229" s="587">
        <f t="shared" ca="1" si="94"/>
        <v>0</v>
      </c>
      <c r="ES229" s="587">
        <f t="shared" ca="1" si="94"/>
        <v>0</v>
      </c>
      <c r="ET229" s="587">
        <f t="shared" ca="1" si="94"/>
        <v>0</v>
      </c>
      <c r="EU229" s="587">
        <f t="shared" ca="1" si="94"/>
        <v>0</v>
      </c>
      <c r="EV229" s="587">
        <f t="shared" ca="1" si="94"/>
        <v>0</v>
      </c>
      <c r="EW229" s="587">
        <f t="shared" ca="1" si="94"/>
        <v>0</v>
      </c>
      <c r="EX229" s="587">
        <f t="shared" ca="1" si="94"/>
        <v>0</v>
      </c>
      <c r="EY229" s="587">
        <f t="shared" ca="1" si="94"/>
        <v>0</v>
      </c>
      <c r="EZ229" s="587">
        <f t="shared" ca="1" si="94"/>
        <v>0</v>
      </c>
      <c r="FA229" s="587">
        <f t="shared" ca="1" si="94"/>
        <v>0</v>
      </c>
      <c r="FB229" s="587">
        <f t="shared" ca="1" si="94"/>
        <v>0</v>
      </c>
      <c r="FC229" s="587">
        <f t="shared" ca="1" si="94"/>
        <v>0</v>
      </c>
      <c r="FD229" s="587">
        <f t="shared" ca="1" si="94"/>
        <v>0</v>
      </c>
      <c r="FE229" s="587">
        <f t="shared" ca="1" si="94"/>
        <v>0</v>
      </c>
      <c r="FF229" s="587">
        <f t="shared" ca="1" si="94"/>
        <v>0</v>
      </c>
      <c r="FG229" s="587">
        <f t="shared" ca="1" si="94"/>
        <v>0</v>
      </c>
      <c r="FH229" s="587">
        <f t="shared" ca="1" si="94"/>
        <v>0</v>
      </c>
      <c r="FI229" s="587">
        <f t="shared" ca="1" si="94"/>
        <v>0</v>
      </c>
      <c r="FJ229" s="587">
        <f t="shared" ca="1" si="94"/>
        <v>0</v>
      </c>
      <c r="FK229" s="587">
        <f t="shared" ca="1" si="94"/>
        <v>0</v>
      </c>
      <c r="FL229" s="587">
        <f t="shared" ca="1" si="94"/>
        <v>0</v>
      </c>
      <c r="FM229" s="587">
        <f t="shared" ca="1" si="94"/>
        <v>0</v>
      </c>
      <c r="FN229" s="587">
        <f t="shared" ca="1" si="94"/>
        <v>0</v>
      </c>
      <c r="FO229" s="587">
        <f t="shared" ca="1" si="94"/>
        <v>0</v>
      </c>
      <c r="FP229" s="587">
        <f t="shared" ca="1" si="94"/>
        <v>0</v>
      </c>
      <c r="FQ229" s="587">
        <f t="shared" ca="1" si="94"/>
        <v>0</v>
      </c>
      <c r="FR229" s="587">
        <f t="shared" ca="1" si="94"/>
        <v>0</v>
      </c>
      <c r="FS229" s="587">
        <f t="shared" ca="1" si="94"/>
        <v>0</v>
      </c>
      <c r="FT229" s="587">
        <f t="shared" ca="1" si="94"/>
        <v>0</v>
      </c>
      <c r="FU229" s="587">
        <f t="shared" ca="1" si="94"/>
        <v>0</v>
      </c>
      <c r="FV229" s="587">
        <f t="shared" ca="1" si="94"/>
        <v>0</v>
      </c>
      <c r="FW229" s="587">
        <f t="shared" ca="1" si="94"/>
        <v>0</v>
      </c>
      <c r="FX229" s="587">
        <f t="shared" ca="1" si="94"/>
        <v>0</v>
      </c>
      <c r="FY229" s="587">
        <f t="shared" ca="1" si="94"/>
        <v>0</v>
      </c>
      <c r="FZ229" s="587">
        <f t="shared" ca="1" si="94"/>
        <v>0</v>
      </c>
      <c r="GA229" s="587">
        <f t="shared" ca="1" si="94"/>
        <v>0</v>
      </c>
      <c r="GB229" s="587">
        <f t="shared" ca="1" si="94"/>
        <v>0</v>
      </c>
      <c r="GC229" s="587">
        <f t="shared" ca="1" si="94"/>
        <v>0</v>
      </c>
      <c r="GD229" s="587">
        <f t="shared" ca="1" si="94"/>
        <v>0</v>
      </c>
      <c r="GE229" s="587">
        <f t="shared" ca="1" si="94"/>
        <v>0</v>
      </c>
      <c r="GF229" s="587">
        <f t="shared" ca="1" si="94"/>
        <v>0</v>
      </c>
      <c r="GG229" s="587">
        <f t="shared" ca="1" si="94"/>
        <v>0</v>
      </c>
      <c r="GH229" s="587">
        <f t="shared" ca="1" si="94"/>
        <v>0</v>
      </c>
      <c r="GI229" s="587">
        <f t="shared" ca="1" si="94"/>
        <v>0</v>
      </c>
      <c r="GJ229" s="587">
        <f t="shared" ca="1" si="94"/>
        <v>0</v>
      </c>
      <c r="GK229" s="587">
        <f t="shared" ca="1" si="94"/>
        <v>0</v>
      </c>
      <c r="GL229" s="587">
        <f t="shared" ca="1" si="94"/>
        <v>0</v>
      </c>
      <c r="GM229" s="587">
        <f t="shared" ca="1" si="94"/>
        <v>0</v>
      </c>
      <c r="GN229" s="587">
        <f t="shared" ca="1" si="94"/>
        <v>0</v>
      </c>
      <c r="GO229" s="587">
        <f t="shared" ca="1" si="94"/>
        <v>0</v>
      </c>
      <c r="GP229" s="587">
        <f t="shared" ca="1" si="94"/>
        <v>0</v>
      </c>
      <c r="GQ229" s="587">
        <f t="shared" ca="1" si="94"/>
        <v>0</v>
      </c>
      <c r="GR229" s="587">
        <f t="shared" ca="1" si="94"/>
        <v>0</v>
      </c>
      <c r="GS229" s="587">
        <f t="shared" ca="1" si="94"/>
        <v>0</v>
      </c>
      <c r="GT229" s="587">
        <f t="shared" ca="1" si="94"/>
        <v>0</v>
      </c>
      <c r="GU229" s="587">
        <f t="shared" ca="1" si="94"/>
        <v>0</v>
      </c>
      <c r="GV229" s="587">
        <f t="shared" ref="GV229:HB229" ca="1" si="95">(SUMPRODUCT($G$17:$G$65,GV17:GV65)+$G$67*GV67+$G$69*GV69+$G$71*GV71+$G$73*GV73+SUMPRODUCT($G$75:$G$81,GV75:GV81)+$G$83*GV83+$G$85*GV85+$G$86*GV86+$G$89*GV89+SUMPRODUCT($G$92:$G$103,GV92:GV103)+GV228)*0.0258</f>
        <v>0</v>
      </c>
      <c r="GW229" s="587">
        <f t="shared" ca="1" si="95"/>
        <v>0</v>
      </c>
      <c r="GX229" s="587">
        <f t="shared" ca="1" si="95"/>
        <v>0</v>
      </c>
      <c r="GY229" s="587">
        <f t="shared" ca="1" si="95"/>
        <v>0</v>
      </c>
      <c r="GZ229" s="587">
        <f t="shared" ca="1" si="95"/>
        <v>0</v>
      </c>
      <c r="HA229" s="587">
        <f t="shared" ca="1" si="95"/>
        <v>0</v>
      </c>
      <c r="HB229" s="587">
        <f t="shared" ca="1" si="95"/>
        <v>0</v>
      </c>
      <c r="IE229" s="579"/>
      <c r="IF229" s="579"/>
      <c r="IG229" s="579"/>
      <c r="IH229" s="579"/>
    </row>
    <row r="230" spans="1:242" s="164" customFormat="1" ht="19.8" hidden="1">
      <c r="A230" s="572">
        <v>4</v>
      </c>
      <c r="C230" s="584" t="s">
        <v>655</v>
      </c>
      <c r="D230" s="586"/>
      <c r="E230" s="586"/>
      <c r="F230" s="587"/>
      <c r="G230" s="587">
        <v>37</v>
      </c>
      <c r="H230" s="587">
        <v>55</v>
      </c>
      <c r="I230" s="587"/>
      <c r="J230" s="587"/>
      <c r="K230" s="587">
        <f ca="1">SUMPRODUCT(OFFSET(貼付け_2027実績,$G230,5,($H230-$G230+1),1),OFFSET(貼付け_2027実績,$G230,SUM(COLUMN()-COLUMN(貼付け_2027実績)),($H230-$G230+1),1))*0.0258</f>
        <v>0</v>
      </c>
      <c r="L230" s="588"/>
      <c r="M230" s="588"/>
      <c r="N230" s="588"/>
      <c r="O230" s="587">
        <f ca="1">SUMPRODUCT(OFFSET(貼付け_2027実績,$G230,5,($H230-$G230+1),1),OFFSET(貼付け_2027実績,$G230,SUM(COLUMN()-COLUMN(貼付け_2027実績)),($H230-$G230+1),1))*0.0258</f>
        <v>0</v>
      </c>
      <c r="P230" s="588"/>
      <c r="Q230" s="588"/>
      <c r="R230" s="588"/>
      <c r="S230" s="587">
        <f ca="1">SUMPRODUCT(OFFSET(貼付け_2027実績,$G230,5,($H230-$G230+1),1),OFFSET(貼付け_2027実績,$G230,SUM(COLUMN()-COLUMN(貼付け_2027実績)),($H230-$G230+1),1))*0.0258</f>
        <v>0</v>
      </c>
      <c r="T230" s="588"/>
      <c r="U230" s="588"/>
      <c r="V230" s="588"/>
      <c r="W230" s="587">
        <f ca="1">SUMPRODUCT(OFFSET(貼付け_2027実績,$G230,5,($H230-$G230+1),1),OFFSET(貼付け_2027実績,$G230,SUM(COLUMN()-COLUMN(貼付け_2027実績)),($H230-$G230+1),1))*0.0258</f>
        <v>0</v>
      </c>
      <c r="X230" s="588"/>
      <c r="Y230" s="588"/>
      <c r="Z230" s="588"/>
      <c r="AA230" s="587">
        <f ca="1">SUMPRODUCT(OFFSET(貼付け_2027実績,$G230,5,($H230-$G230+1),1),OFFSET(貼付け_2027実績,$G230,SUM(COLUMN()-COLUMN(貼付け_2027実績)),($H230-$G230+1),1))*0.0258</f>
        <v>0</v>
      </c>
      <c r="AB230" s="588"/>
      <c r="AC230" s="588"/>
      <c r="AD230" s="588"/>
      <c r="AE230" s="587">
        <f ca="1">SUMPRODUCT(OFFSET(貼付け_2027実績,$G230,5,($H230-$G230+1),1),OFFSET(貼付け_2027実績,$G230,SUM(COLUMN()-COLUMN(貼付け_2027実績)),($H230-$G230+1),1))*0.0258</f>
        <v>0</v>
      </c>
      <c r="AF230" s="588"/>
      <c r="AG230" s="588"/>
      <c r="AH230" s="588"/>
      <c r="AI230" s="587">
        <f ca="1">SUMPRODUCT(OFFSET(貼付け_2027実績,$G230,5,($H230-$G230+1),1),OFFSET(貼付け_2027実績,$G230,SUM(COLUMN()-COLUMN(貼付け_2027実績)),($H230-$G230+1),1))*0.0258</f>
        <v>0</v>
      </c>
      <c r="AJ230" s="588"/>
      <c r="AK230" s="588"/>
      <c r="AL230" s="588"/>
      <c r="AM230" s="587">
        <f ca="1">SUMPRODUCT(OFFSET(貼付け_2027実績,$G230,5,($H230-$G230+1),1),OFFSET(貼付け_2027実績,$G230,SUM(COLUMN()-COLUMN(貼付け_2027実績)),($H230-$G230+1),1))*0.0258</f>
        <v>0</v>
      </c>
      <c r="AN230" s="588"/>
      <c r="AO230" s="588"/>
      <c r="AP230" s="588"/>
      <c r="AQ230" s="587">
        <f ca="1">SUMPRODUCT(OFFSET(貼付け_2027実績,$G230,5,($H230-$G230+1),1),OFFSET(貼付け_2027実績,$G230,SUM(COLUMN()-COLUMN(貼付け_2027実績)),($H230-$G230+1),1))*0.0258</f>
        <v>0</v>
      </c>
      <c r="AR230" s="588"/>
      <c r="AS230" s="588"/>
      <c r="AT230" s="588"/>
      <c r="AU230" s="587">
        <f ca="1">SUMPRODUCT(OFFSET(貼付け_2027実績,$G230,5,($H230-$G230+1),1),OFFSET(貼付け_2027実績,$G230,SUM(COLUMN()-COLUMN(貼付け_2027実績)),($H230-$G230+1),1))*0.0258</f>
        <v>0</v>
      </c>
      <c r="AV230" s="588"/>
      <c r="AW230" s="588"/>
      <c r="AX230" s="588"/>
      <c r="AY230" s="587">
        <f ca="1">SUMPRODUCT(OFFSET(貼付け_2027実績,$G230,5,($H230-$G230+1),1),OFFSET(貼付け_2027実績,$G230,SUM(COLUMN()-COLUMN(貼付け_2027実績)),($H230-$G230+1),1))*0.0258</f>
        <v>0</v>
      </c>
      <c r="AZ230" s="588"/>
      <c r="BA230" s="588"/>
      <c r="BB230" s="588"/>
      <c r="BC230" s="587">
        <f ca="1">SUMPRODUCT(OFFSET(貼付け_2027実績,$G230,5,($H230-$G230+1),1),OFFSET(貼付け_2027実績,$G230,SUM(COLUMN()-COLUMN(貼付け_2027実績)),($H230-$G230+1),1))*0.0258</f>
        <v>0</v>
      </c>
      <c r="BD230" s="588"/>
      <c r="BE230" s="588"/>
      <c r="BF230" s="588"/>
      <c r="BG230" s="587">
        <f ca="1">SUMPRODUCT(OFFSET(貼付け_2027実績,$G230,5,($H230-$G230+1),1),OFFSET(貼付け_2027実績,$G230,SUM(COLUMN()-COLUMN(貼付け_2027実績)),($H230-$G230+1),1))*0.0258</f>
        <v>0</v>
      </c>
      <c r="BH230" s="588"/>
      <c r="BI230" s="588"/>
      <c r="BJ230" s="588"/>
      <c r="BK230" s="587">
        <f ca="1">SUMPRODUCT(OFFSET(貼付け_2027実績,$G230,5,($H230-$G230+1),1),OFFSET(貼付け_2027実績,$G230,SUM(COLUMN()-COLUMN(貼付け_2027実績)),($H230-$G230+1),1))*0.0258</f>
        <v>0</v>
      </c>
      <c r="BL230" s="588"/>
      <c r="BM230" s="588"/>
      <c r="BN230" s="588"/>
      <c r="BO230" s="587">
        <f ca="1">SUMPRODUCT(OFFSET(貼付け_2027実績,$G230,5,($H230-$G230+1),1),OFFSET(貼付け_2027実績,$G230,SUM(COLUMN()-COLUMN(貼付け_2027実績)),($H230-$G230+1),1))*0.0258</f>
        <v>0</v>
      </c>
      <c r="BP230" s="588"/>
      <c r="BQ230" s="588"/>
      <c r="BR230" s="588"/>
      <c r="BS230" s="587">
        <f ca="1">SUMPRODUCT(OFFSET(貼付け_2027実績,$G230,5,($H230-$G230+1),1),OFFSET(貼付け_2027実績,$G230,SUM(COLUMN()-COLUMN(貼付け_2027実績)),($H230-$G230+1),1))*0.0258</f>
        <v>0</v>
      </c>
      <c r="BT230" s="588"/>
      <c r="BU230" s="588"/>
      <c r="BV230" s="588"/>
      <c r="BW230" s="587">
        <f ca="1">SUMPRODUCT(OFFSET(貼付け_2027実績,$G230,5,($H230-$G230+1),1),OFFSET(貼付け_2027実績,$G230,SUM(COLUMN()-COLUMN(貼付け_2027実績)),($H230-$G230+1),1))*0.0258</f>
        <v>0</v>
      </c>
      <c r="BX230" s="588"/>
      <c r="BY230" s="588"/>
      <c r="BZ230" s="588"/>
      <c r="CA230" s="587">
        <f ca="1">SUMPRODUCT(OFFSET(貼付け_2027実績,$G230,5,($H230-$G230+1),1),OFFSET(貼付け_2027実績,$G230,SUM(COLUMN()-COLUMN(貼付け_2027実績)),($H230-$G230+1),1))*0.0258</f>
        <v>0</v>
      </c>
      <c r="CB230" s="588"/>
      <c r="CC230" s="588"/>
      <c r="CD230" s="588"/>
      <c r="CE230" s="587">
        <f ca="1">SUMPRODUCT(OFFSET(貼付け_2027実績,$G230,5,($H230-$G230+1),1),OFFSET(貼付け_2027実績,$G230,SUM(COLUMN()-COLUMN(貼付け_2027実績)),($H230-$G230+1),1))*0.0258</f>
        <v>0</v>
      </c>
      <c r="CF230" s="588"/>
      <c r="CG230" s="588"/>
      <c r="CH230" s="588"/>
      <c r="CI230" s="587">
        <f ca="1">SUMPRODUCT(OFFSET(貼付け_2027実績,$G230,5,($H230-$G230+1),1),OFFSET(貼付け_2027実績,$G230,SUM(COLUMN()-COLUMN(貼付け_2027実績)),($H230-$G230+1),1))*0.0258</f>
        <v>0</v>
      </c>
      <c r="CJ230" s="588"/>
      <c r="CK230" s="588"/>
      <c r="CL230" s="588"/>
      <c r="CM230" s="587">
        <f ca="1">SUMPRODUCT(OFFSET(貼付け_2027実績,$G230,5,($H230-$G230+1),1),OFFSET(貼付け_2027実績,$G230,SUM(COLUMN()-COLUMN(貼付け_2027実績)),($H230-$G230+1),1))*0.0258</f>
        <v>0</v>
      </c>
      <c r="CN230" s="588"/>
      <c r="CO230" s="588"/>
      <c r="CP230" s="588"/>
      <c r="CQ230" s="587">
        <f ca="1">SUMPRODUCT(OFFSET(貼付け_2027実績,$G230,5,($H230-$G230+1),1),OFFSET(貼付け_2027実績,$G230,SUM(COLUMN()-COLUMN(貼付け_2027実績)),($H230-$G230+1),1))*0.0258</f>
        <v>0</v>
      </c>
      <c r="CR230" s="588"/>
      <c r="CS230" s="588"/>
      <c r="CT230" s="588"/>
      <c r="CU230" s="587">
        <f ca="1">SUMPRODUCT(OFFSET(貼付け_2027実績,$G230,5,($H230-$G230+1),1),OFFSET(貼付け_2027実績,$G230,SUM(COLUMN()-COLUMN(貼付け_2027実績)),($H230-$G230+1),1))*0.0258</f>
        <v>0</v>
      </c>
      <c r="CV230" s="588"/>
      <c r="CW230" s="588"/>
      <c r="CX230" s="588"/>
      <c r="CY230" s="587">
        <f ca="1">SUMPRODUCT(OFFSET(貼付け_2027実績,$G230,5,($H230-$G230+1),1),OFFSET(貼付け_2027実績,$G230,SUM(COLUMN()-COLUMN(貼付け_2027実績)),($H230-$G230+1),1))*0.0258</f>
        <v>0</v>
      </c>
      <c r="CZ230" s="588"/>
      <c r="DA230" s="588"/>
      <c r="DB230" s="588"/>
      <c r="DC230" s="587">
        <f ca="1">SUMPRODUCT(OFFSET(貼付け_2027実績,$G230,5,($H230-$G230+1),1),OFFSET(貼付け_2027実績,$G230,SUM(COLUMN()-COLUMN(貼付け_2027実績)),($H230-$G230+1),1))*0.0258</f>
        <v>0</v>
      </c>
      <c r="DD230" s="588"/>
      <c r="DE230" s="588"/>
      <c r="DF230" s="588"/>
      <c r="DG230" s="587">
        <f ca="1">SUMPRODUCT(OFFSET(貼付け_2027実績,$G230,5,($H230-$G230+1),1),OFFSET(貼付け_2027実績,$G230,SUM(COLUMN()-COLUMN(貼付け_2027実績)),($H230-$G230+1),1))*0.0258</f>
        <v>0</v>
      </c>
      <c r="DH230" s="588"/>
      <c r="DI230" s="588"/>
      <c r="DJ230" s="588"/>
      <c r="DK230" s="587">
        <f ca="1">SUMPRODUCT(OFFSET(貼付け_2027実績,$G230,5,($H230-$G230+1),1),OFFSET(貼付け_2027実績,$G230,SUM(COLUMN()-COLUMN(貼付け_2027実績)),($H230-$G230+1),1))*0.0258</f>
        <v>0</v>
      </c>
      <c r="DL230" s="588"/>
      <c r="DM230" s="588"/>
      <c r="DN230" s="588"/>
      <c r="DO230" s="587">
        <f ca="1">SUMPRODUCT(OFFSET(貼付け_2027実績,$G230,5,($H230-$G230+1),1),OFFSET(貼付け_2027実績,$G230,SUM(COLUMN()-COLUMN(貼付け_2027実績)),($H230-$G230+1),1))*0.0258</f>
        <v>0</v>
      </c>
      <c r="DP230" s="588"/>
      <c r="DQ230" s="588"/>
      <c r="DR230" s="588"/>
      <c r="DS230" s="587">
        <f ca="1">SUMPRODUCT(OFFSET(貼付け_2027実績,$G230,5,($H230-$G230+1),1),OFFSET(貼付け_2027実績,$G230,SUM(COLUMN()-COLUMN(貼付け_2027実績)),($H230-$G230+1),1))*0.0258</f>
        <v>0</v>
      </c>
      <c r="DT230" s="588"/>
      <c r="DU230" s="588"/>
      <c r="DV230" s="588"/>
      <c r="DW230" s="587">
        <f ca="1">SUMPRODUCT(OFFSET(貼付け_2027実績,$G230,5,($H230-$G230+1),1),OFFSET(貼付け_2027実績,$G230,SUM(COLUMN()-COLUMN(貼付け_2027実績)),($H230-$G230+1),1))*0.0258</f>
        <v>0</v>
      </c>
      <c r="DX230" s="588"/>
      <c r="DY230" s="588"/>
      <c r="DZ230" s="588"/>
      <c r="EA230" s="587">
        <f ca="1">SUMPRODUCT(OFFSET(貼付け_2027実績,$G230,5,($H230-$G230+1),1),OFFSET(貼付け_2027実績,$G230,SUM(COLUMN()-COLUMN(貼付け_2027実績)),($H230-$G230+1),1))*0.0258</f>
        <v>0</v>
      </c>
      <c r="EB230" s="588"/>
      <c r="EC230" s="588"/>
      <c r="ED230" s="588"/>
      <c r="EE230" s="587">
        <f ca="1">SUMPRODUCT(OFFSET(貼付け_2027実績,$G230,5,($H230-$G230+1),1),OFFSET(貼付け_2027実績,$G230,SUM(COLUMN()-COLUMN(貼付け_2027実績)),($H230-$G230+1),1))*0.0258</f>
        <v>0</v>
      </c>
      <c r="EF230" s="588"/>
      <c r="EG230" s="588"/>
      <c r="EH230" s="588"/>
      <c r="EI230" s="587">
        <f ca="1">SUMPRODUCT(OFFSET(貼付け_2027実績,$G230,5,($H230-$G230+1),1),OFFSET(貼付け_2027実績,$G230,SUM(COLUMN()-COLUMN(貼付け_2027実績)),($H230-$G230+1),1))*0.0258</f>
        <v>0</v>
      </c>
      <c r="EJ230" s="588"/>
      <c r="EK230" s="588"/>
      <c r="EL230" s="588"/>
      <c r="EM230" s="587">
        <f ca="1">SUMPRODUCT(OFFSET(貼付け_2027実績,$G230,5,($H230-$G230+1),1),OFFSET(貼付け_2027実績,$G230,SUM(COLUMN()-COLUMN(貼付け_2027実績)),($H230-$G230+1),1))*0.0258</f>
        <v>0</v>
      </c>
      <c r="EN230" s="588"/>
      <c r="EO230" s="588"/>
      <c r="EP230" s="588"/>
      <c r="EQ230" s="587">
        <f ca="1">SUMPRODUCT(OFFSET(貼付け_2027実績,$G230,5,($H230-$G230+1),1),OFFSET(貼付け_2027実績,$G230,SUM(COLUMN()-COLUMN(貼付け_2027実績)),($H230-$G230+1),1))*0.0258</f>
        <v>0</v>
      </c>
      <c r="ER230" s="588"/>
      <c r="ES230" s="588"/>
      <c r="ET230" s="588"/>
      <c r="EU230" s="587">
        <f ca="1">SUMPRODUCT(OFFSET(貼付け_2027実績,$G230,5,($H230-$G230+1),1),OFFSET(貼付け_2027実績,$G230,SUM(COLUMN()-COLUMN(貼付け_2027実績)),($H230-$G230+1),1))*0.0258</f>
        <v>0</v>
      </c>
      <c r="EV230" s="588"/>
      <c r="EW230" s="588"/>
      <c r="EX230" s="588"/>
      <c r="EY230" s="587">
        <f ca="1">SUMPRODUCT(OFFSET(貼付け_2027実績,$G230,5,($H230-$G230+1),1),OFFSET(貼付け_2027実績,$G230,SUM(COLUMN()-COLUMN(貼付け_2027実績)),($H230-$G230+1),1))*0.0258</f>
        <v>0</v>
      </c>
      <c r="EZ230" s="588"/>
      <c r="FA230" s="588"/>
      <c r="FB230" s="588"/>
      <c r="FC230" s="587">
        <f ca="1">SUMPRODUCT(OFFSET(貼付け_2027実績,$G230,5,($H230-$G230+1),1),OFFSET(貼付け_2027実績,$G230,SUM(COLUMN()-COLUMN(貼付け_2027実績)),($H230-$G230+1),1))*0.0258</f>
        <v>0</v>
      </c>
      <c r="FD230" s="588"/>
      <c r="FE230" s="588"/>
      <c r="FF230" s="588"/>
      <c r="FG230" s="587">
        <f ca="1">SUMPRODUCT(OFFSET(貼付け_2027実績,$G230,5,($H230-$G230+1),1),OFFSET(貼付け_2027実績,$G230,SUM(COLUMN()-COLUMN(貼付け_2027実績)),($H230-$G230+1),1))*0.0258</f>
        <v>0</v>
      </c>
      <c r="FH230" s="588"/>
      <c r="FI230" s="588"/>
      <c r="FJ230" s="588"/>
      <c r="FK230" s="587">
        <f ca="1">SUMPRODUCT(OFFSET(貼付け_2027実績,$G230,5,($H230-$G230+1),1),OFFSET(貼付け_2027実績,$G230,SUM(COLUMN()-COLUMN(貼付け_2027実績)),($H230-$G230+1),1))*0.0258</f>
        <v>0</v>
      </c>
      <c r="FL230" s="588"/>
      <c r="FM230" s="588"/>
      <c r="FN230" s="588"/>
      <c r="FO230" s="587">
        <f ca="1">SUMPRODUCT(OFFSET(貼付け_2027実績,$G230,5,($H230-$G230+1),1),OFFSET(貼付け_2027実績,$G230,SUM(COLUMN()-COLUMN(貼付け_2027実績)),($H230-$G230+1),1))*0.0258</f>
        <v>0</v>
      </c>
      <c r="FP230" s="588"/>
      <c r="FQ230" s="588"/>
      <c r="FR230" s="588"/>
      <c r="FS230" s="587">
        <f ca="1">SUMPRODUCT(OFFSET(貼付け_2027実績,$G230,5,($H230-$G230+1),1),OFFSET(貼付け_2027実績,$G230,SUM(COLUMN()-COLUMN(貼付け_2027実績)),($H230-$G230+1),1))*0.0258</f>
        <v>0</v>
      </c>
      <c r="FT230" s="588"/>
      <c r="FU230" s="588"/>
      <c r="FV230" s="588"/>
      <c r="FW230" s="587">
        <f ca="1">SUMPRODUCT(OFFSET(貼付け_2027実績,$G230,5,($H230-$G230+1),1),OFFSET(貼付け_2027実績,$G230,SUM(COLUMN()-COLUMN(貼付け_2027実績)),($H230-$G230+1),1))*0.0258</f>
        <v>0</v>
      </c>
      <c r="FX230" s="588"/>
      <c r="FY230" s="588"/>
      <c r="FZ230" s="588"/>
      <c r="GA230" s="587">
        <f ca="1">SUMPRODUCT(OFFSET(貼付け_2027実績,$G230,5,($H230-$G230+1),1),OFFSET(貼付け_2027実績,$G230,SUM(COLUMN()-COLUMN(貼付け_2027実績)),($H230-$G230+1),1))*0.0258</f>
        <v>0</v>
      </c>
      <c r="GB230" s="588"/>
      <c r="GC230" s="588"/>
      <c r="GD230" s="588"/>
      <c r="GE230" s="587">
        <f ca="1">SUMPRODUCT(OFFSET(貼付け_2027実績,$G230,5,($H230-$G230+1),1),OFFSET(貼付け_2027実績,$G230,SUM(COLUMN()-COLUMN(貼付け_2027実績)),($H230-$G230+1),1))*0.0258</f>
        <v>0</v>
      </c>
      <c r="GF230" s="588"/>
      <c r="GG230" s="588"/>
      <c r="GH230" s="588"/>
      <c r="GI230" s="587">
        <f ca="1">SUMPRODUCT(OFFSET(貼付け_2027実績,$G230,5,($H230-$G230+1),1),OFFSET(貼付け_2027実績,$G230,SUM(COLUMN()-COLUMN(貼付け_2027実績)),($H230-$G230+1),1))*0.0258</f>
        <v>0</v>
      </c>
      <c r="GJ230" s="588"/>
      <c r="GK230" s="588"/>
      <c r="GL230" s="588"/>
      <c r="GM230" s="587">
        <f ca="1">SUMPRODUCT(OFFSET(貼付け_2027実績,$G230,5,($H230-$G230+1),1),OFFSET(貼付け_2027実績,$G230,SUM(COLUMN()-COLUMN(貼付け_2027実績)),($H230-$G230+1),1))*0.0258</f>
        <v>0</v>
      </c>
      <c r="GN230" s="588"/>
      <c r="GO230" s="588"/>
      <c r="GP230" s="588"/>
      <c r="GQ230" s="587">
        <f ca="1">SUMPRODUCT(OFFSET(貼付け_2027実績,$G230,5,($H230-$G230+1),1),OFFSET(貼付け_2027実績,$G230,SUM(COLUMN()-COLUMN(貼付け_2027実績)),($H230-$G230+1),1))*0.0258</f>
        <v>0</v>
      </c>
      <c r="GR230" s="588"/>
      <c r="GS230" s="588"/>
      <c r="GT230" s="588"/>
      <c r="GU230" s="587">
        <f ca="1">SUMPRODUCT(OFFSET(貼付け_2027実績,$G230,5,($H230-$G230+1),1),OFFSET(貼付け_2027実績,$G230,SUM(COLUMN()-COLUMN(貼付け_2027実績)),($H230-$G230+1),1))*0.0258</f>
        <v>0</v>
      </c>
      <c r="GV230" s="588"/>
      <c r="GW230" s="588"/>
      <c r="GX230" s="588"/>
      <c r="GY230" s="587">
        <f ca="1">SUMPRODUCT(OFFSET(貼付け_2027実績,$G230,5,($H230-$G230+1),1),OFFSET(貼付け_2027実績,$G230,SUM(COLUMN()-COLUMN(貼付け_2027実績)),($H230-$G230+1),1))*0.0258</f>
        <v>0</v>
      </c>
      <c r="GZ230" s="588"/>
      <c r="HA230" s="588"/>
      <c r="HB230" s="588"/>
      <c r="IE230" s="579"/>
      <c r="IF230" s="579"/>
      <c r="IG230" s="579"/>
      <c r="IH230" s="579"/>
    </row>
    <row r="231" spans="1:242" s="164" customFormat="1" ht="19.8" hidden="1">
      <c r="A231" s="572">
        <v>5</v>
      </c>
      <c r="C231" s="584" t="s">
        <v>656</v>
      </c>
      <c r="D231" s="586"/>
      <c r="E231" s="586"/>
      <c r="F231" s="587"/>
      <c r="G231" s="587"/>
      <c r="H231" s="587"/>
      <c r="I231" s="587"/>
      <c r="J231" s="587"/>
      <c r="K231" s="587">
        <f ca="1">(K229-K230*0.2)</f>
        <v>0</v>
      </c>
      <c r="L231" s="588"/>
      <c r="M231" s="588"/>
      <c r="N231" s="588"/>
      <c r="O231" s="587">
        <f ca="1">(O229-O230*0.2)</f>
        <v>0</v>
      </c>
      <c r="P231" s="588"/>
      <c r="Q231" s="588"/>
      <c r="R231" s="588"/>
      <c r="S231" s="587">
        <f ca="1">(S229-S230*0.2)</f>
        <v>0</v>
      </c>
      <c r="T231" s="588"/>
      <c r="U231" s="588"/>
      <c r="V231" s="588"/>
      <c r="W231" s="587">
        <f ca="1">(W229-W230*0.2)</f>
        <v>0</v>
      </c>
      <c r="X231" s="588"/>
      <c r="Y231" s="588"/>
      <c r="Z231" s="588"/>
      <c r="AA231" s="587">
        <f ca="1">(AA229-AA230*0.2)</f>
        <v>0</v>
      </c>
      <c r="AB231" s="588"/>
      <c r="AC231" s="588"/>
      <c r="AD231" s="588"/>
      <c r="AE231" s="587">
        <f ca="1">(AE229-AE230*0.2)</f>
        <v>0</v>
      </c>
      <c r="AF231" s="588"/>
      <c r="AG231" s="588"/>
      <c r="AH231" s="588"/>
      <c r="AI231" s="587">
        <f ca="1">(AI229-AI230*0.2)</f>
        <v>0</v>
      </c>
      <c r="AJ231" s="588"/>
      <c r="AK231" s="588"/>
      <c r="AL231" s="588"/>
      <c r="AM231" s="587">
        <f ca="1">(AM229-AM230*0.2)</f>
        <v>0</v>
      </c>
      <c r="AN231" s="588"/>
      <c r="AO231" s="588"/>
      <c r="AP231" s="588"/>
      <c r="AQ231" s="587">
        <f ca="1">(AQ229-AQ230*0.2)</f>
        <v>0</v>
      </c>
      <c r="AR231" s="588"/>
      <c r="AS231" s="588"/>
      <c r="AT231" s="588"/>
      <c r="AU231" s="587">
        <f ca="1">(AU229-AU230*0.2)</f>
        <v>0</v>
      </c>
      <c r="AV231" s="588"/>
      <c r="AW231" s="588"/>
      <c r="AX231" s="588"/>
      <c r="AY231" s="587">
        <f ca="1">(AY229-AY230*0.2)</f>
        <v>0</v>
      </c>
      <c r="AZ231" s="588"/>
      <c r="BA231" s="588"/>
      <c r="BB231" s="588"/>
      <c r="BC231" s="587">
        <f ca="1">(BC229-BC230*0.2)</f>
        <v>0</v>
      </c>
      <c r="BD231" s="588"/>
      <c r="BE231" s="588"/>
      <c r="BF231" s="588"/>
      <c r="BG231" s="587">
        <f ca="1">(BG229-BG230*0.2)</f>
        <v>0</v>
      </c>
      <c r="BH231" s="588"/>
      <c r="BI231" s="588"/>
      <c r="BJ231" s="588"/>
      <c r="BK231" s="587">
        <f ca="1">(BK229-BK230*0.2)</f>
        <v>0</v>
      </c>
      <c r="BL231" s="588"/>
      <c r="BM231" s="588"/>
      <c r="BN231" s="588"/>
      <c r="BO231" s="587">
        <f ca="1">(BO229-BO230*0.2)</f>
        <v>0</v>
      </c>
      <c r="BP231" s="588"/>
      <c r="BQ231" s="588"/>
      <c r="BR231" s="588"/>
      <c r="BS231" s="587">
        <f ca="1">(BS229-BS230*0.2)</f>
        <v>0</v>
      </c>
      <c r="BT231" s="588"/>
      <c r="BU231" s="588"/>
      <c r="BV231" s="588"/>
      <c r="BW231" s="587">
        <f ca="1">(BW229-BW230*0.2)</f>
        <v>0</v>
      </c>
      <c r="BX231" s="588"/>
      <c r="BY231" s="588"/>
      <c r="BZ231" s="588"/>
      <c r="CA231" s="587">
        <f ca="1">(CA229-CA230*0.2)</f>
        <v>0</v>
      </c>
      <c r="CB231" s="588"/>
      <c r="CC231" s="588"/>
      <c r="CD231" s="588"/>
      <c r="CE231" s="587">
        <f ca="1">(CE229-CE230*0.2)</f>
        <v>0</v>
      </c>
      <c r="CF231" s="588"/>
      <c r="CG231" s="588"/>
      <c r="CH231" s="588"/>
      <c r="CI231" s="587">
        <f ca="1">(CI229-CI230*0.2)</f>
        <v>0</v>
      </c>
      <c r="CJ231" s="588"/>
      <c r="CK231" s="588"/>
      <c r="CL231" s="588"/>
      <c r="CM231" s="587">
        <f ca="1">(CM229-CM230*0.2)</f>
        <v>0</v>
      </c>
      <c r="CN231" s="588"/>
      <c r="CO231" s="588"/>
      <c r="CP231" s="588"/>
      <c r="CQ231" s="587">
        <f ca="1">(CQ229-CQ230*0.2)</f>
        <v>0</v>
      </c>
      <c r="CR231" s="588"/>
      <c r="CS231" s="588"/>
      <c r="CT231" s="588"/>
      <c r="CU231" s="587">
        <f ca="1">(CU229-CU230*0.2)</f>
        <v>0</v>
      </c>
      <c r="CV231" s="588"/>
      <c r="CW231" s="588"/>
      <c r="CX231" s="588"/>
      <c r="CY231" s="587">
        <f ca="1">(CY229-CY230*0.2)</f>
        <v>0</v>
      </c>
      <c r="CZ231" s="588"/>
      <c r="DA231" s="588"/>
      <c r="DB231" s="588"/>
      <c r="DC231" s="587">
        <f ca="1">(DC229-DC230*0.2)</f>
        <v>0</v>
      </c>
      <c r="DD231" s="588"/>
      <c r="DE231" s="588"/>
      <c r="DF231" s="588"/>
      <c r="DG231" s="587">
        <f ca="1">(DG229-DG230*0.2)</f>
        <v>0</v>
      </c>
      <c r="DH231" s="588"/>
      <c r="DI231" s="588"/>
      <c r="DJ231" s="588"/>
      <c r="DK231" s="587">
        <f ca="1">(DK229-DK230*0.2)</f>
        <v>0</v>
      </c>
      <c r="DL231" s="588"/>
      <c r="DM231" s="588"/>
      <c r="DN231" s="588"/>
      <c r="DO231" s="587">
        <f ca="1">(DO229-DO230*0.2)</f>
        <v>0</v>
      </c>
      <c r="DP231" s="588"/>
      <c r="DQ231" s="588"/>
      <c r="DR231" s="588"/>
      <c r="DS231" s="587">
        <f ca="1">(DS229-DS230*0.2)</f>
        <v>0</v>
      </c>
      <c r="DT231" s="588"/>
      <c r="DU231" s="588"/>
      <c r="DV231" s="588"/>
      <c r="DW231" s="587">
        <f ca="1">(DW229-DW230*0.2)</f>
        <v>0</v>
      </c>
      <c r="DX231" s="588"/>
      <c r="DY231" s="588"/>
      <c r="DZ231" s="588"/>
      <c r="EA231" s="587">
        <f ca="1">(EA229-EA230*0.2)</f>
        <v>0</v>
      </c>
      <c r="EB231" s="588"/>
      <c r="EC231" s="588"/>
      <c r="ED231" s="588"/>
      <c r="EE231" s="587">
        <f ca="1">(EE229-EE230*0.2)</f>
        <v>0</v>
      </c>
      <c r="EF231" s="588"/>
      <c r="EG231" s="588"/>
      <c r="EH231" s="588"/>
      <c r="EI231" s="587">
        <f ca="1">(EI229-EI230*0.2)</f>
        <v>0</v>
      </c>
      <c r="EJ231" s="588"/>
      <c r="EK231" s="588"/>
      <c r="EL231" s="588"/>
      <c r="EM231" s="587">
        <f ca="1">(EM229-EM230*0.2)</f>
        <v>0</v>
      </c>
      <c r="EN231" s="588"/>
      <c r="EO231" s="588"/>
      <c r="EP231" s="588"/>
      <c r="EQ231" s="587">
        <f ca="1">(EQ229-EQ230*0.2)</f>
        <v>0</v>
      </c>
      <c r="ER231" s="588"/>
      <c r="ES231" s="588"/>
      <c r="ET231" s="588"/>
      <c r="EU231" s="587">
        <f ca="1">(EU229-EU230*0.2)</f>
        <v>0</v>
      </c>
      <c r="EV231" s="588"/>
      <c r="EW231" s="588"/>
      <c r="EX231" s="588"/>
      <c r="EY231" s="587">
        <f ca="1">(EY229-EY230*0.2)</f>
        <v>0</v>
      </c>
      <c r="EZ231" s="588"/>
      <c r="FA231" s="588"/>
      <c r="FB231" s="588"/>
      <c r="FC231" s="587">
        <f ca="1">(FC229-FC230*0.2)</f>
        <v>0</v>
      </c>
      <c r="FD231" s="588"/>
      <c r="FE231" s="588"/>
      <c r="FF231" s="588"/>
      <c r="FG231" s="587">
        <f ca="1">(FG229-FG230*0.2)</f>
        <v>0</v>
      </c>
      <c r="FH231" s="588"/>
      <c r="FI231" s="588"/>
      <c r="FJ231" s="588"/>
      <c r="FK231" s="587">
        <f ca="1">(FK229-FK230*0.2)</f>
        <v>0</v>
      </c>
      <c r="FL231" s="588"/>
      <c r="FM231" s="588"/>
      <c r="FN231" s="588"/>
      <c r="FO231" s="587">
        <f ca="1">(FO229-FO230*0.2)</f>
        <v>0</v>
      </c>
      <c r="FP231" s="588"/>
      <c r="FQ231" s="588"/>
      <c r="FR231" s="588"/>
      <c r="FS231" s="587">
        <f ca="1">(FS229-FS230*0.2)</f>
        <v>0</v>
      </c>
      <c r="FT231" s="588"/>
      <c r="FU231" s="588"/>
      <c r="FV231" s="588"/>
      <c r="FW231" s="587">
        <f ca="1">(FW229-FW230*0.2)</f>
        <v>0</v>
      </c>
      <c r="FX231" s="588"/>
      <c r="FY231" s="588"/>
      <c r="FZ231" s="588"/>
      <c r="GA231" s="587">
        <f ca="1">(GA229-GA230*0.2)</f>
        <v>0</v>
      </c>
      <c r="GB231" s="588"/>
      <c r="GC231" s="588"/>
      <c r="GD231" s="588"/>
      <c r="GE231" s="587">
        <f ca="1">(GE229-GE230*0.2)</f>
        <v>0</v>
      </c>
      <c r="GF231" s="588"/>
      <c r="GG231" s="588"/>
      <c r="GH231" s="588"/>
      <c r="GI231" s="587">
        <f ca="1">(GI229-GI230*0.2)</f>
        <v>0</v>
      </c>
      <c r="GJ231" s="588"/>
      <c r="GK231" s="588"/>
      <c r="GL231" s="588"/>
      <c r="GM231" s="587">
        <f ca="1">(GM229-GM230*0.2)</f>
        <v>0</v>
      </c>
      <c r="GN231" s="588"/>
      <c r="GO231" s="588"/>
      <c r="GP231" s="588"/>
      <c r="GQ231" s="587">
        <f ca="1">(GQ229-GQ230*0.2)</f>
        <v>0</v>
      </c>
      <c r="GR231" s="588"/>
      <c r="GS231" s="588"/>
      <c r="GT231" s="588"/>
      <c r="GU231" s="587">
        <f ca="1">(GU229-GU230*0.2)</f>
        <v>0</v>
      </c>
      <c r="GV231" s="588"/>
      <c r="GW231" s="588"/>
      <c r="GX231" s="588"/>
      <c r="GY231" s="587">
        <f ca="1">(GY229-GY230*0.2)</f>
        <v>0</v>
      </c>
      <c r="GZ231" s="588"/>
      <c r="HA231" s="588"/>
      <c r="HB231" s="588"/>
      <c r="IE231" s="579"/>
      <c r="IF231" s="579"/>
      <c r="IG231" s="579"/>
      <c r="IH231" s="579"/>
    </row>
    <row r="232" spans="1:242" s="164" customFormat="1" ht="19.8" hidden="1">
      <c r="A232" s="572">
        <v>6</v>
      </c>
      <c r="C232" s="584" t="s">
        <v>657</v>
      </c>
      <c r="D232" s="586"/>
      <c r="E232" s="586"/>
      <c r="F232" s="587"/>
      <c r="G232" s="587">
        <v>101</v>
      </c>
      <c r="H232" s="587"/>
      <c r="I232" s="587"/>
      <c r="J232" s="587"/>
      <c r="K232" s="587">
        <f ca="1">K231-M229-N229</f>
        <v>0</v>
      </c>
      <c r="L232" s="587">
        <f ca="1">OFFSET(貼付け_2027実績,$G232,SUM(COLUMN()-COLUMN(貼付け_2027実績))-1)</f>
        <v>0</v>
      </c>
      <c r="M232" s="587" t="str">
        <f ca="1">IFERROR(K232/L232,"")</f>
        <v/>
      </c>
      <c r="N232" s="589"/>
      <c r="O232" s="587">
        <f ca="1">O231-Q229-R229</f>
        <v>0</v>
      </c>
      <c r="P232" s="587">
        <f ca="1">OFFSET(貼付け_2027実績,$G232,SUM(COLUMN()-COLUMN(貼付け_2027実績))-1)</f>
        <v>0</v>
      </c>
      <c r="Q232" s="587" t="str">
        <f ca="1">IFERROR(O232/P232,"")</f>
        <v/>
      </c>
      <c r="R232" s="589"/>
      <c r="S232" s="587">
        <f ca="1">S231-U229-V229</f>
        <v>0</v>
      </c>
      <c r="T232" s="587">
        <f ca="1">OFFSET(貼付け_2027実績,$G232,SUM(COLUMN()-COLUMN(貼付け_2027実績))-1)</f>
        <v>0</v>
      </c>
      <c r="U232" s="587" t="str">
        <f ca="1">IFERROR(S232/T232,"")</f>
        <v/>
      </c>
      <c r="V232" s="589"/>
      <c r="W232" s="587">
        <f ca="1">W231-Y229-Z229</f>
        <v>0</v>
      </c>
      <c r="X232" s="587">
        <f ca="1">OFFSET(貼付け_2027実績,$G232,SUM(COLUMN()-COLUMN(貼付け_2027実績))-1)</f>
        <v>0</v>
      </c>
      <c r="Y232" s="587" t="str">
        <f ca="1">IFERROR(W232/X232,"")</f>
        <v/>
      </c>
      <c r="Z232" s="589"/>
      <c r="AA232" s="587">
        <f ca="1">AA231-AC229-AD229</f>
        <v>0</v>
      </c>
      <c r="AB232" s="587">
        <f ca="1">OFFSET(貼付け_2027実績,$G232,SUM(COLUMN()-COLUMN(貼付け_2027実績))-1)</f>
        <v>0</v>
      </c>
      <c r="AC232" s="587" t="str">
        <f ca="1">IFERROR(AA232/AB232,"")</f>
        <v/>
      </c>
      <c r="AD232" s="589"/>
      <c r="AE232" s="587">
        <f ca="1">AE231-AG229-AH229</f>
        <v>0</v>
      </c>
      <c r="AF232" s="587">
        <f ca="1">OFFSET(貼付け_2027実績,$G232,SUM(COLUMN()-COLUMN(貼付け_2027実績))-1)</f>
        <v>0</v>
      </c>
      <c r="AG232" s="587" t="str">
        <f ca="1">IFERROR(AE232/AF232,"")</f>
        <v/>
      </c>
      <c r="AH232" s="589"/>
      <c r="AI232" s="587">
        <f ca="1">AI231-AK229-AL229</f>
        <v>0</v>
      </c>
      <c r="AJ232" s="587">
        <f ca="1">OFFSET(貼付け_2027実績,$G232,SUM(COLUMN()-COLUMN(貼付け_2027実績))-1)</f>
        <v>0</v>
      </c>
      <c r="AK232" s="587" t="str">
        <f ca="1">IFERROR(AI232/AJ232,"")</f>
        <v/>
      </c>
      <c r="AL232" s="589"/>
      <c r="AM232" s="587">
        <f ca="1">AM231-AO229-AP229</f>
        <v>0</v>
      </c>
      <c r="AN232" s="587">
        <f ca="1">OFFSET(貼付け_2027実績,$G232,SUM(COLUMN()-COLUMN(貼付け_2027実績))-1)</f>
        <v>0</v>
      </c>
      <c r="AO232" s="587" t="str">
        <f ca="1">IFERROR(AM232/AN232,"")</f>
        <v/>
      </c>
      <c r="AP232" s="589"/>
      <c r="AQ232" s="587">
        <f ca="1">AQ231-AS229-AT229</f>
        <v>0</v>
      </c>
      <c r="AR232" s="587">
        <f ca="1">OFFSET(貼付け_2027実績,$G232,SUM(COLUMN()-COLUMN(貼付け_2027実績))-1)</f>
        <v>0</v>
      </c>
      <c r="AS232" s="587" t="str">
        <f ca="1">IFERROR(AQ232/AR232,"")</f>
        <v/>
      </c>
      <c r="AT232" s="589"/>
      <c r="AU232" s="587">
        <f ca="1">AU231-AW229-AX229</f>
        <v>0</v>
      </c>
      <c r="AV232" s="587">
        <f ca="1">OFFSET(貼付け_2027実績,$G232,SUM(COLUMN()-COLUMN(貼付け_2027実績))-1)</f>
        <v>0</v>
      </c>
      <c r="AW232" s="587" t="str">
        <f ca="1">IFERROR(AU232/AV232,"")</f>
        <v/>
      </c>
      <c r="AX232" s="589"/>
      <c r="AY232" s="587">
        <f ca="1">AY231-BA229-BB229</f>
        <v>0</v>
      </c>
      <c r="AZ232" s="587">
        <f ca="1">OFFSET(貼付け_2027実績,$G232,SUM(COLUMN()-COLUMN(貼付け_2027実績))-1)</f>
        <v>0</v>
      </c>
      <c r="BA232" s="587" t="str">
        <f ca="1">IFERROR(AY232/AZ232,"")</f>
        <v/>
      </c>
      <c r="BB232" s="589"/>
      <c r="BC232" s="587">
        <f ca="1">BC231-BE229-BF229</f>
        <v>0</v>
      </c>
      <c r="BD232" s="587">
        <f ca="1">OFFSET(貼付け_2027実績,$G232,SUM(COLUMN()-COLUMN(貼付け_2027実績))-1)</f>
        <v>0</v>
      </c>
      <c r="BE232" s="587" t="str">
        <f ca="1">IFERROR(BC232/BD232,"")</f>
        <v/>
      </c>
      <c r="BF232" s="589"/>
      <c r="BG232" s="587">
        <f ca="1">BG231-BI229-BJ229</f>
        <v>0</v>
      </c>
      <c r="BH232" s="587">
        <f ca="1">OFFSET(貼付け_2027実績,$G232,SUM(COLUMN()-COLUMN(貼付け_2027実績))-1)</f>
        <v>0</v>
      </c>
      <c r="BI232" s="587" t="str">
        <f ca="1">IFERROR(BG232/BH232,"")</f>
        <v/>
      </c>
      <c r="BJ232" s="589"/>
      <c r="BK232" s="587">
        <f ca="1">BK231-BM229-BN229</f>
        <v>0</v>
      </c>
      <c r="BL232" s="587">
        <f ca="1">OFFSET(貼付け_2027実績,$G232,SUM(COLUMN()-COLUMN(貼付け_2027実績))-1)</f>
        <v>0</v>
      </c>
      <c r="BM232" s="587" t="str">
        <f ca="1">IFERROR(BK232/BL232,"")</f>
        <v/>
      </c>
      <c r="BN232" s="589"/>
      <c r="BO232" s="587">
        <f ca="1">BO231-BQ229-BR229</f>
        <v>0</v>
      </c>
      <c r="BP232" s="587">
        <f ca="1">OFFSET(貼付け_2027実績,$G232,SUM(COLUMN()-COLUMN(貼付け_2027実績))-1)</f>
        <v>0</v>
      </c>
      <c r="BQ232" s="587" t="str">
        <f ca="1">IFERROR(BO232/BP232,"")</f>
        <v/>
      </c>
      <c r="BR232" s="589"/>
      <c r="BS232" s="587">
        <f ca="1">BS231-BU229-BV229</f>
        <v>0</v>
      </c>
      <c r="BT232" s="587">
        <f ca="1">OFFSET(貼付け_2027実績,$G232,SUM(COLUMN()-COLUMN(貼付け_2027実績))-1)</f>
        <v>0</v>
      </c>
      <c r="BU232" s="587" t="str">
        <f ca="1">IFERROR(BS232/BT232,"")</f>
        <v/>
      </c>
      <c r="BV232" s="589"/>
      <c r="BW232" s="587">
        <f ca="1">BW231-BY229-BZ229</f>
        <v>0</v>
      </c>
      <c r="BX232" s="587">
        <f ca="1">OFFSET(貼付け_2027実績,$G232,SUM(COLUMN()-COLUMN(貼付け_2027実績))-1)</f>
        <v>0</v>
      </c>
      <c r="BY232" s="587" t="str">
        <f ca="1">IFERROR(BW232/BX232,"")</f>
        <v/>
      </c>
      <c r="BZ232" s="589"/>
      <c r="CA232" s="587">
        <f ca="1">CA231-CC229-CD229</f>
        <v>0</v>
      </c>
      <c r="CB232" s="587">
        <f ca="1">OFFSET(貼付け_2027実績,$G232,SUM(COLUMN()-COLUMN(貼付け_2027実績))-1)</f>
        <v>0</v>
      </c>
      <c r="CC232" s="587" t="str">
        <f ca="1">IFERROR(CA232/CB232,"")</f>
        <v/>
      </c>
      <c r="CD232" s="589"/>
      <c r="CE232" s="587">
        <f ca="1">CE231-CG229-CH229</f>
        <v>0</v>
      </c>
      <c r="CF232" s="587">
        <f ca="1">OFFSET(貼付け_2027実績,$G232,SUM(COLUMN()-COLUMN(貼付け_2027実績))-1)</f>
        <v>0</v>
      </c>
      <c r="CG232" s="587" t="str">
        <f ca="1">IFERROR(CE232/CF232,"")</f>
        <v/>
      </c>
      <c r="CH232" s="589"/>
      <c r="CI232" s="587">
        <f ca="1">CI231-CK229-CL229</f>
        <v>0</v>
      </c>
      <c r="CJ232" s="587">
        <f ca="1">OFFSET(貼付け_2027実績,$G232,SUM(COLUMN()-COLUMN(貼付け_2027実績))-1)</f>
        <v>0</v>
      </c>
      <c r="CK232" s="587" t="str">
        <f ca="1">IFERROR(CI232/CJ232,"")</f>
        <v/>
      </c>
      <c r="CL232" s="589"/>
      <c r="CM232" s="587">
        <f ca="1">CM231-CO229-CP229</f>
        <v>0</v>
      </c>
      <c r="CN232" s="587">
        <f ca="1">OFFSET(貼付け_2027実績,$G232,SUM(COLUMN()-COLUMN(貼付け_2027実績))-1)</f>
        <v>0</v>
      </c>
      <c r="CO232" s="587" t="str">
        <f ca="1">IFERROR(CM232/CN232,"")</f>
        <v/>
      </c>
      <c r="CP232" s="589"/>
      <c r="CQ232" s="587">
        <f ca="1">CQ231-CS229-CT229</f>
        <v>0</v>
      </c>
      <c r="CR232" s="587">
        <f ca="1">OFFSET(貼付け_2027実績,$G232,SUM(COLUMN()-COLUMN(貼付け_2027実績))-1)</f>
        <v>0</v>
      </c>
      <c r="CS232" s="587" t="str">
        <f ca="1">IFERROR(CQ232/CR232,"")</f>
        <v/>
      </c>
      <c r="CT232" s="589"/>
      <c r="CU232" s="587">
        <f ca="1">CU231-CW229-CX229</f>
        <v>0</v>
      </c>
      <c r="CV232" s="587">
        <f ca="1">OFFSET(貼付け_2027実績,$G232,SUM(COLUMN()-COLUMN(貼付け_2027実績))-1)</f>
        <v>0</v>
      </c>
      <c r="CW232" s="587" t="str">
        <f ca="1">IFERROR(CU232/CV232,"")</f>
        <v/>
      </c>
      <c r="CX232" s="589"/>
      <c r="CY232" s="587">
        <f ca="1">CY231-DA229-DB229</f>
        <v>0</v>
      </c>
      <c r="CZ232" s="587">
        <f ca="1">OFFSET(貼付け_2027実績,$G232,SUM(COLUMN()-COLUMN(貼付け_2027実績))-1)</f>
        <v>0</v>
      </c>
      <c r="DA232" s="587" t="str">
        <f ca="1">IFERROR(CY232/CZ232,"")</f>
        <v/>
      </c>
      <c r="DB232" s="589"/>
      <c r="DC232" s="587">
        <f ca="1">DC231-DE229-DF229</f>
        <v>0</v>
      </c>
      <c r="DD232" s="587">
        <f ca="1">OFFSET(貼付け_2027実績,$G232,SUM(COLUMN()-COLUMN(貼付け_2027実績))-1)</f>
        <v>0</v>
      </c>
      <c r="DE232" s="587" t="str">
        <f ca="1">IFERROR(DC232/DD232,"")</f>
        <v/>
      </c>
      <c r="DF232" s="589"/>
      <c r="DG232" s="587">
        <f ca="1">DG231-DI229-DJ229</f>
        <v>0</v>
      </c>
      <c r="DH232" s="587">
        <f ca="1">OFFSET(貼付け_2027実績,$G232,SUM(COLUMN()-COLUMN(貼付け_2027実績))-1)</f>
        <v>0</v>
      </c>
      <c r="DI232" s="587" t="str">
        <f ca="1">IFERROR(DG232/DH232,"")</f>
        <v/>
      </c>
      <c r="DJ232" s="589"/>
      <c r="DK232" s="587">
        <f ca="1">DK231-DM229-DN229</f>
        <v>0</v>
      </c>
      <c r="DL232" s="587">
        <f ca="1">OFFSET(貼付け_2027実績,$G232,SUM(COLUMN()-COLUMN(貼付け_2027実績))-1)</f>
        <v>0</v>
      </c>
      <c r="DM232" s="587" t="str">
        <f ca="1">IFERROR(DK232/DL232,"")</f>
        <v/>
      </c>
      <c r="DN232" s="589"/>
      <c r="DO232" s="587">
        <f ca="1">DO231-DQ229-DR229</f>
        <v>0</v>
      </c>
      <c r="DP232" s="587">
        <f ca="1">OFFSET(貼付け_2027実績,$G232,SUM(COLUMN()-COLUMN(貼付け_2027実績))-1)</f>
        <v>0</v>
      </c>
      <c r="DQ232" s="587" t="str">
        <f ca="1">IFERROR(DO232/DP232,"")</f>
        <v/>
      </c>
      <c r="DR232" s="589"/>
      <c r="DS232" s="587">
        <f ca="1">DS231-DU229-DV229</f>
        <v>0</v>
      </c>
      <c r="DT232" s="587">
        <f ca="1">OFFSET(貼付け_2027実績,$G232,SUM(COLUMN()-COLUMN(貼付け_2027実績))-1)</f>
        <v>0</v>
      </c>
      <c r="DU232" s="587" t="str">
        <f ca="1">IFERROR(DS232/DT232,"")</f>
        <v/>
      </c>
      <c r="DV232" s="589"/>
      <c r="DW232" s="587">
        <f ca="1">DW231-DY229-DZ229</f>
        <v>0</v>
      </c>
      <c r="DX232" s="587">
        <f ca="1">OFFSET(貼付け_2027実績,$G232,SUM(COLUMN()-COLUMN(貼付け_2027実績))-1)</f>
        <v>0</v>
      </c>
      <c r="DY232" s="587" t="str">
        <f ca="1">IFERROR(DW232/DX232,"")</f>
        <v/>
      </c>
      <c r="DZ232" s="589"/>
      <c r="EA232" s="587">
        <f ca="1">EA231-EC229-ED229</f>
        <v>0</v>
      </c>
      <c r="EB232" s="587">
        <f ca="1">OFFSET(貼付け_2027実績,$G232,SUM(COLUMN()-COLUMN(貼付け_2027実績))-1)</f>
        <v>0</v>
      </c>
      <c r="EC232" s="587" t="str">
        <f ca="1">IFERROR(EA232/EB232,"")</f>
        <v/>
      </c>
      <c r="ED232" s="589"/>
      <c r="EE232" s="587">
        <f ca="1">EE231-EG229-EH229</f>
        <v>0</v>
      </c>
      <c r="EF232" s="587">
        <f ca="1">OFFSET(貼付け_2027実績,$G232,SUM(COLUMN()-COLUMN(貼付け_2027実績))-1)</f>
        <v>0</v>
      </c>
      <c r="EG232" s="587" t="str">
        <f ca="1">IFERROR(EE232/EF232,"")</f>
        <v/>
      </c>
      <c r="EH232" s="589"/>
      <c r="EI232" s="587">
        <f ca="1">EI231-EK229-EL229</f>
        <v>0</v>
      </c>
      <c r="EJ232" s="587">
        <f ca="1">OFFSET(貼付け_2027実績,$G232,SUM(COLUMN()-COLUMN(貼付け_2027実績))-1)</f>
        <v>0</v>
      </c>
      <c r="EK232" s="587" t="str">
        <f ca="1">IFERROR(EI232/EJ232,"")</f>
        <v/>
      </c>
      <c r="EL232" s="589"/>
      <c r="EM232" s="587">
        <f ca="1">EM231-EO229-EP229</f>
        <v>0</v>
      </c>
      <c r="EN232" s="587">
        <f ca="1">OFFSET(貼付け_2027実績,$G232,SUM(COLUMN()-COLUMN(貼付け_2027実績))-1)</f>
        <v>0</v>
      </c>
      <c r="EO232" s="587" t="str">
        <f ca="1">IFERROR(EM232/EN232,"")</f>
        <v/>
      </c>
      <c r="EP232" s="589"/>
      <c r="EQ232" s="587">
        <f ca="1">EQ231-ES229-ET229</f>
        <v>0</v>
      </c>
      <c r="ER232" s="587">
        <f ca="1">OFFSET(貼付け_2027実績,$G232,SUM(COLUMN()-COLUMN(貼付け_2027実績))-1)</f>
        <v>0</v>
      </c>
      <c r="ES232" s="587" t="str">
        <f ca="1">IFERROR(EQ232/ER232,"")</f>
        <v/>
      </c>
      <c r="ET232" s="589"/>
      <c r="EU232" s="587">
        <f ca="1">EU231-EW229-EX229</f>
        <v>0</v>
      </c>
      <c r="EV232" s="587">
        <f ca="1">OFFSET(貼付け_2027実績,$G232,SUM(COLUMN()-COLUMN(貼付け_2027実績))-1)</f>
        <v>0</v>
      </c>
      <c r="EW232" s="587" t="str">
        <f ca="1">IFERROR(EU232/EV232,"")</f>
        <v/>
      </c>
      <c r="EX232" s="589"/>
      <c r="EY232" s="587">
        <f ca="1">EY231-FA229-FB229</f>
        <v>0</v>
      </c>
      <c r="EZ232" s="587">
        <f ca="1">OFFSET(貼付け_2027実績,$G232,SUM(COLUMN()-COLUMN(貼付け_2027実績))-1)</f>
        <v>0</v>
      </c>
      <c r="FA232" s="587" t="str">
        <f ca="1">IFERROR(EY232/EZ232,"")</f>
        <v/>
      </c>
      <c r="FB232" s="589"/>
      <c r="FC232" s="587">
        <f ca="1">FC231-FE229-FF229</f>
        <v>0</v>
      </c>
      <c r="FD232" s="587">
        <f ca="1">OFFSET(貼付け_2027実績,$G232,SUM(COLUMN()-COLUMN(貼付け_2027実績))-1)</f>
        <v>0</v>
      </c>
      <c r="FE232" s="587" t="str">
        <f ca="1">IFERROR(FC232/FD232,"")</f>
        <v/>
      </c>
      <c r="FF232" s="589"/>
      <c r="FG232" s="587">
        <f ca="1">FG231-FI229-FJ229</f>
        <v>0</v>
      </c>
      <c r="FH232" s="587">
        <f ca="1">OFFSET(貼付け_2027実績,$G232,SUM(COLUMN()-COLUMN(貼付け_2027実績))-1)</f>
        <v>0</v>
      </c>
      <c r="FI232" s="587" t="str">
        <f ca="1">IFERROR(FG232/FH232,"")</f>
        <v/>
      </c>
      <c r="FJ232" s="589"/>
      <c r="FK232" s="587">
        <f ca="1">FK231-FM229-FN229</f>
        <v>0</v>
      </c>
      <c r="FL232" s="587">
        <f ca="1">OFFSET(貼付け_2027実績,$G232,SUM(COLUMN()-COLUMN(貼付け_2027実績))-1)</f>
        <v>0</v>
      </c>
      <c r="FM232" s="587" t="str">
        <f ca="1">IFERROR(FK232/FL232,"")</f>
        <v/>
      </c>
      <c r="FN232" s="589"/>
      <c r="FO232" s="587">
        <f ca="1">FO231-FQ229-FR229</f>
        <v>0</v>
      </c>
      <c r="FP232" s="587">
        <f ca="1">OFFSET(貼付け_2027実績,$G232,SUM(COLUMN()-COLUMN(貼付け_2027実績))-1)</f>
        <v>0</v>
      </c>
      <c r="FQ232" s="587" t="str">
        <f ca="1">IFERROR(FO232/FP232,"")</f>
        <v/>
      </c>
      <c r="FR232" s="589"/>
      <c r="FS232" s="587">
        <f ca="1">FS231-FU229-FV229</f>
        <v>0</v>
      </c>
      <c r="FT232" s="587">
        <f ca="1">OFFSET(貼付け_2027実績,$G232,SUM(COLUMN()-COLUMN(貼付け_2027実績))-1)</f>
        <v>0</v>
      </c>
      <c r="FU232" s="587" t="str">
        <f ca="1">IFERROR(FS232/FT232,"")</f>
        <v/>
      </c>
      <c r="FV232" s="589"/>
      <c r="FW232" s="587">
        <f ca="1">FW231-FY229-FZ229</f>
        <v>0</v>
      </c>
      <c r="FX232" s="587">
        <f ca="1">OFFSET(貼付け_2027実績,$G232,SUM(COLUMN()-COLUMN(貼付け_2027実績))-1)</f>
        <v>0</v>
      </c>
      <c r="FY232" s="587" t="str">
        <f ca="1">IFERROR(FW232/FX232,"")</f>
        <v/>
      </c>
      <c r="FZ232" s="589"/>
      <c r="GA232" s="587">
        <f ca="1">GA231-GC229-GD229</f>
        <v>0</v>
      </c>
      <c r="GB232" s="587">
        <f ca="1">OFFSET(貼付け_2027実績,$G232,SUM(COLUMN()-COLUMN(貼付け_2027実績))-1)</f>
        <v>0</v>
      </c>
      <c r="GC232" s="587" t="str">
        <f ca="1">IFERROR(GA232/GB232,"")</f>
        <v/>
      </c>
      <c r="GD232" s="589"/>
      <c r="GE232" s="587">
        <f ca="1">GE231-GG229-GH229</f>
        <v>0</v>
      </c>
      <c r="GF232" s="587">
        <f ca="1">OFFSET(貼付け_2027実績,$G232,SUM(COLUMN()-COLUMN(貼付け_2027実績))-1)</f>
        <v>0</v>
      </c>
      <c r="GG232" s="587" t="str">
        <f ca="1">IFERROR(GE232/GF232,"")</f>
        <v/>
      </c>
      <c r="GH232" s="589"/>
      <c r="GI232" s="587">
        <f ca="1">GI231-GK229-GL229</f>
        <v>0</v>
      </c>
      <c r="GJ232" s="587">
        <f ca="1">OFFSET(貼付け_2027実績,$G232,SUM(COLUMN()-COLUMN(貼付け_2027実績))-1)</f>
        <v>0</v>
      </c>
      <c r="GK232" s="587" t="str">
        <f ca="1">IFERROR(GI232/GJ232,"")</f>
        <v/>
      </c>
      <c r="GL232" s="589"/>
      <c r="GM232" s="587">
        <f ca="1">GM231-GO229-GP229</f>
        <v>0</v>
      </c>
      <c r="GN232" s="587">
        <f ca="1">OFFSET(貼付け_2027実績,$G232,SUM(COLUMN()-COLUMN(貼付け_2027実績))-1)</f>
        <v>0</v>
      </c>
      <c r="GO232" s="587" t="str">
        <f ca="1">IFERROR(GM232/GN232,"")</f>
        <v/>
      </c>
      <c r="GP232" s="589"/>
      <c r="GQ232" s="587">
        <f ca="1">GQ231-GS229-GT229</f>
        <v>0</v>
      </c>
      <c r="GR232" s="587">
        <f ca="1">OFFSET(貼付け_2027実績,$G232,SUM(COLUMN()-COLUMN(貼付け_2027実績))-1)</f>
        <v>0</v>
      </c>
      <c r="GS232" s="587" t="str">
        <f ca="1">IFERROR(GQ232/GR232,"")</f>
        <v/>
      </c>
      <c r="GT232" s="589"/>
      <c r="GU232" s="587">
        <f ca="1">GU231-GW229-GX229</f>
        <v>0</v>
      </c>
      <c r="GV232" s="587">
        <f ca="1">OFFSET(貼付け_2027実績,$G232,SUM(COLUMN()-COLUMN(貼付け_2027実績))-1)</f>
        <v>0</v>
      </c>
      <c r="GW232" s="587" t="str">
        <f ca="1">IFERROR(GU232/GV232,"")</f>
        <v/>
      </c>
      <c r="GX232" s="589"/>
      <c r="GY232" s="587">
        <f ca="1">GY231-HA229-HB229</f>
        <v>0</v>
      </c>
      <c r="GZ232" s="587">
        <f ca="1">OFFSET(貼付け_2027実績,$G232,SUM(COLUMN()-COLUMN(貼付け_2027実績))-1)</f>
        <v>0</v>
      </c>
      <c r="HA232" s="587" t="str">
        <f ca="1">IFERROR(GY232/GZ232,"")</f>
        <v/>
      </c>
      <c r="HB232" s="589"/>
      <c r="IE232" s="579"/>
      <c r="IF232" s="579"/>
      <c r="IG232" s="579"/>
      <c r="IH232" s="579"/>
    </row>
    <row r="233" spans="1:242" s="164" customFormat="1" ht="19.8" hidden="1">
      <c r="A233" s="572">
        <v>7</v>
      </c>
      <c r="C233" s="584" t="s">
        <v>658</v>
      </c>
      <c r="D233" s="586"/>
      <c r="E233" s="586"/>
      <c r="F233" s="587">
        <v>200</v>
      </c>
      <c r="G233" s="587">
        <v>103</v>
      </c>
      <c r="H233" s="587">
        <v>169</v>
      </c>
      <c r="I233" s="587">
        <f ca="1">SUMPRODUCT(OFFSET(貼付け_2027実績,$F233,4,5,1),OFFSET(貼付け_2027実績,$F233,SUM(COLUMN()-COLUMN(貼付け_2027実績)),5,1))</f>
        <v>0</v>
      </c>
      <c r="J233" s="587">
        <f ca="1">SUMPRODUCT(OFFSET(貼付け_2027実績,$F233,4,5,1),OFFSET(貼付け_2027実績,$F233,SUM(COLUMN()-COLUMN(貼付け_2027実績)),5,1))</f>
        <v>0</v>
      </c>
      <c r="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L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N233" s="589"/>
      <c r="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P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R233" s="589"/>
      <c r="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T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V233" s="589"/>
      <c r="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X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Z233" s="589"/>
      <c r="A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B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C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D233" s="589"/>
      <c r="AE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F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G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H233" s="589"/>
      <c r="AI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J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L233" s="589"/>
      <c r="A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N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P233" s="589"/>
      <c r="A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R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T233" s="589"/>
      <c r="A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V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X233" s="589"/>
      <c r="A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Z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B233" s="589"/>
      <c r="BC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D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E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F233" s="589"/>
      <c r="BG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H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I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J233" s="589"/>
      <c r="B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L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N233" s="589"/>
      <c r="B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P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R233" s="589"/>
      <c r="B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T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V233" s="589"/>
      <c r="B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X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Z233" s="589"/>
      <c r="C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B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C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D233" s="589"/>
      <c r="CE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F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G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H233" s="589"/>
      <c r="CI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J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L233" s="589"/>
      <c r="C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N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P233" s="589"/>
      <c r="C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R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T233" s="589"/>
      <c r="C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V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X233" s="589"/>
      <c r="C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Z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B233" s="589"/>
      <c r="DC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D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E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F233" s="589"/>
      <c r="DG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H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I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J233" s="589"/>
      <c r="D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L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N233" s="589"/>
      <c r="D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P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R233" s="589"/>
      <c r="D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T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V233" s="589"/>
      <c r="D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X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Z233" s="589"/>
      <c r="E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B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C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D233" s="589"/>
      <c r="EE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F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G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H233" s="589"/>
      <c r="EI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J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L233" s="589"/>
      <c r="E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N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P233" s="589"/>
      <c r="E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R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T233" s="589"/>
      <c r="E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V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X233" s="589"/>
      <c r="E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Z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B233" s="589"/>
      <c r="FC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D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E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F233" s="589"/>
      <c r="FG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H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I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J233" s="589"/>
      <c r="F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L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N233" s="589"/>
      <c r="F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P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R233" s="589"/>
      <c r="F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T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V233" s="589"/>
      <c r="F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X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Z233" s="589"/>
      <c r="G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B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C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D233" s="589"/>
      <c r="GE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F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G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H233" s="589"/>
      <c r="GI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J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K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L233" s="589"/>
      <c r="GM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N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O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P233" s="589"/>
      <c r="GQ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R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S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T233" s="589"/>
      <c r="GU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V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W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X233" s="589"/>
      <c r="GY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Z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HA233" s="587">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HB233" s="589"/>
      <c r="IE233" s="579"/>
      <c r="IF233" s="579"/>
      <c r="IG233" s="579"/>
      <c r="IH233" s="579"/>
    </row>
    <row r="234" spans="1:242" s="164" customFormat="1" ht="19.8" hidden="1">
      <c r="A234" s="572">
        <v>8</v>
      </c>
      <c r="C234" s="584" t="s">
        <v>659</v>
      </c>
      <c r="D234" s="586"/>
      <c r="E234" s="586"/>
      <c r="F234" s="587">
        <v>200</v>
      </c>
      <c r="G234" s="587">
        <v>103</v>
      </c>
      <c r="H234" s="587">
        <v>169</v>
      </c>
      <c r="I234" s="587">
        <f ca="1">SUMPRODUCT(OFFSET(貼付け_2027実績,$F234,5,5,1),OFFSET(貼付け_2027実績,$F234,SUM(COLUMN()-COLUMN(貼付け_2027実績)),5,1))</f>
        <v>0</v>
      </c>
      <c r="J234" s="587">
        <f ca="1">SUMPRODUCT(OFFSET(貼付け_2027実績,$F234,5,5,1),OFFSET(貼付け_2027実績,$F234,SUM(COLUMN()-COLUMN(貼付け_2027実績)),5,1))</f>
        <v>0</v>
      </c>
      <c r="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L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N234" s="589"/>
      <c r="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P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R234" s="589"/>
      <c r="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T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V234" s="589"/>
      <c r="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X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Z234" s="589"/>
      <c r="A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B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C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D234" s="589"/>
      <c r="AE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F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G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H234" s="589"/>
      <c r="AI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J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L234" s="589"/>
      <c r="A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N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P234" s="589"/>
      <c r="A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R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T234" s="589"/>
      <c r="A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V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X234" s="589"/>
      <c r="A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Z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B234" s="589"/>
      <c r="BC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D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E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F234" s="589"/>
      <c r="BG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H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I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J234" s="589"/>
      <c r="B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L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N234" s="589"/>
      <c r="B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P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R234" s="589"/>
      <c r="B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T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V234" s="589"/>
      <c r="B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X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Z234" s="589"/>
      <c r="C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B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C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D234" s="589"/>
      <c r="CE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F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G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H234" s="589"/>
      <c r="CI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J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L234" s="589"/>
      <c r="C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N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P234" s="589"/>
      <c r="C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R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T234" s="589"/>
      <c r="C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V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X234" s="589"/>
      <c r="C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Z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B234" s="589"/>
      <c r="DC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D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E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F234" s="589"/>
      <c r="DG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H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I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J234" s="589"/>
      <c r="D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L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N234" s="589"/>
      <c r="D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P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R234" s="589"/>
      <c r="D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T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V234" s="589"/>
      <c r="D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X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Z234" s="589"/>
      <c r="E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B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C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D234" s="589"/>
      <c r="EE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F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G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H234" s="589"/>
      <c r="EI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J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L234" s="589"/>
      <c r="E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N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P234" s="589"/>
      <c r="E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R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T234" s="589"/>
      <c r="E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V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X234" s="589"/>
      <c r="E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Z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B234" s="589"/>
      <c r="FC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D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E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F234" s="589"/>
      <c r="FG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H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I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J234" s="589"/>
      <c r="F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L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N234" s="589"/>
      <c r="F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P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R234" s="589"/>
      <c r="F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T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V234" s="589"/>
      <c r="F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X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Z234" s="589"/>
      <c r="G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B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C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D234" s="589"/>
      <c r="GE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F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G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H234" s="589"/>
      <c r="GI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J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K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L234" s="589"/>
      <c r="GM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N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O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P234" s="589"/>
      <c r="GQ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R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S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T234" s="589"/>
      <c r="GU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V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W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X234" s="589"/>
      <c r="GY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Z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HA234" s="587">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HB234" s="589"/>
      <c r="IE234" s="579"/>
      <c r="IF234" s="579"/>
      <c r="IG234" s="579"/>
      <c r="IH234" s="579"/>
    </row>
    <row r="235" spans="1:242" s="164" customFormat="1" ht="19.8" hidden="1">
      <c r="A235" s="572">
        <v>9</v>
      </c>
      <c r="C235" s="584" t="s">
        <v>660</v>
      </c>
      <c r="D235" s="586"/>
      <c r="E235" s="586"/>
      <c r="F235" s="587"/>
      <c r="G235" s="587">
        <v>113</v>
      </c>
      <c r="H235" s="587">
        <v>169</v>
      </c>
      <c r="I235" s="589"/>
      <c r="J235" s="589"/>
      <c r="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L235" s="589"/>
      <c r="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N235" s="589"/>
      <c r="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P235" s="589"/>
      <c r="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R235" s="589"/>
      <c r="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T235" s="589"/>
      <c r="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V235" s="589"/>
      <c r="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X235" s="589"/>
      <c r="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Z235" s="589"/>
      <c r="A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B235" s="589"/>
      <c r="AC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D235" s="589"/>
      <c r="AE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F235" s="589"/>
      <c r="AG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H235" s="589"/>
      <c r="AI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J235" s="589"/>
      <c r="A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L235" s="589"/>
      <c r="A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N235" s="589"/>
      <c r="A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P235" s="589"/>
      <c r="A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R235" s="589"/>
      <c r="A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T235" s="589"/>
      <c r="A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V235" s="589"/>
      <c r="A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X235" s="589"/>
      <c r="A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Z235" s="589"/>
      <c r="B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B235" s="589"/>
      <c r="BC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D235" s="589"/>
      <c r="BE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F235" s="589"/>
      <c r="BG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H235" s="589"/>
      <c r="BI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J235" s="589"/>
      <c r="B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L235" s="589"/>
      <c r="B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N235" s="589"/>
      <c r="B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P235" s="589"/>
      <c r="B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R235" s="589"/>
      <c r="B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T235" s="589"/>
      <c r="B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V235" s="589"/>
      <c r="B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X235" s="589"/>
      <c r="B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Z235" s="589"/>
      <c r="C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B235" s="589"/>
      <c r="CC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D235" s="589"/>
      <c r="CE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F235" s="589"/>
      <c r="CG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H235" s="589"/>
      <c r="CI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J235" s="589"/>
      <c r="C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L235" s="589"/>
      <c r="C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N235" s="589"/>
      <c r="C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P235" s="589"/>
      <c r="C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R235" s="589"/>
      <c r="C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T235" s="589"/>
      <c r="C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V235" s="589"/>
      <c r="C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X235" s="589"/>
      <c r="C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Z235" s="589"/>
      <c r="D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B235" s="589"/>
      <c r="DC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D235" s="589"/>
      <c r="DE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F235" s="589"/>
      <c r="DG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H235" s="589"/>
      <c r="DI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J235" s="589"/>
      <c r="D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L235" s="589"/>
      <c r="D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N235" s="589"/>
      <c r="D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P235" s="589"/>
      <c r="D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R235" s="589"/>
      <c r="D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T235" s="589"/>
      <c r="D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V235" s="589"/>
      <c r="D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X235" s="589"/>
      <c r="D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Z235" s="589"/>
      <c r="E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B235" s="589"/>
      <c r="EC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D235" s="589"/>
      <c r="EE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F235" s="589"/>
      <c r="EG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H235" s="589"/>
      <c r="EI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J235" s="589"/>
      <c r="E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L235" s="589"/>
      <c r="E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N235" s="589"/>
      <c r="E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P235" s="589"/>
      <c r="E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R235" s="589"/>
      <c r="E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T235" s="589"/>
      <c r="E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V235" s="589"/>
      <c r="E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X235" s="589"/>
      <c r="E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Z235" s="589"/>
      <c r="F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B235" s="589"/>
      <c r="FC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D235" s="589"/>
      <c r="FE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F235" s="589"/>
      <c r="FG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H235" s="589"/>
      <c r="FI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J235" s="589"/>
      <c r="F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L235" s="589"/>
      <c r="F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N235" s="589"/>
      <c r="F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P235" s="589"/>
      <c r="F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R235" s="589"/>
      <c r="F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T235" s="589"/>
      <c r="F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V235" s="589"/>
      <c r="F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X235" s="589"/>
      <c r="F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Z235" s="589"/>
      <c r="G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B235" s="589"/>
      <c r="GC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D235" s="589"/>
      <c r="GE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F235" s="589"/>
      <c r="GG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H235" s="589"/>
      <c r="GI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J235" s="589"/>
      <c r="GK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L235" s="589"/>
      <c r="GM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N235" s="589"/>
      <c r="GO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P235" s="589"/>
      <c r="GQ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R235" s="589"/>
      <c r="GS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T235" s="589"/>
      <c r="GU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V235" s="589"/>
      <c r="GW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X235" s="589"/>
      <c r="GY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Z235" s="589"/>
      <c r="HA235" s="587">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HB235" s="589"/>
      <c r="IE235" s="579"/>
      <c r="IF235" s="579"/>
      <c r="IG235" s="579"/>
      <c r="IH235" s="579"/>
    </row>
    <row r="236" spans="1:242" s="164" customFormat="1" ht="19.8" hidden="1">
      <c r="A236" s="572">
        <v>10</v>
      </c>
      <c r="C236" s="584" t="s">
        <v>661</v>
      </c>
      <c r="D236" s="586"/>
      <c r="E236" s="586"/>
      <c r="F236" s="587"/>
      <c r="G236" s="587">
        <v>113</v>
      </c>
      <c r="H236" s="587">
        <v>169</v>
      </c>
      <c r="I236" s="589"/>
      <c r="J236" s="589"/>
      <c r="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L236" s="589"/>
      <c r="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N236" s="589"/>
      <c r="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P236" s="589"/>
      <c r="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R236" s="589"/>
      <c r="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T236" s="589"/>
      <c r="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V236" s="589"/>
      <c r="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X236" s="589"/>
      <c r="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Z236" s="589"/>
      <c r="A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B236" s="589"/>
      <c r="AC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D236" s="589"/>
      <c r="AE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F236" s="589"/>
      <c r="AG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H236" s="589"/>
      <c r="AI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J236" s="589"/>
      <c r="A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L236" s="589"/>
      <c r="A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N236" s="589"/>
      <c r="A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P236" s="589"/>
      <c r="A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R236" s="589"/>
      <c r="A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T236" s="589"/>
      <c r="A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V236" s="589"/>
      <c r="A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X236" s="589"/>
      <c r="A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Z236" s="589"/>
      <c r="B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B236" s="589"/>
      <c r="BC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D236" s="589"/>
      <c r="BE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F236" s="589"/>
      <c r="BG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H236" s="589"/>
      <c r="BI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J236" s="589"/>
      <c r="B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L236" s="589"/>
      <c r="B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N236" s="589"/>
      <c r="B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P236" s="589"/>
      <c r="B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R236" s="589"/>
      <c r="B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T236" s="589"/>
      <c r="B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V236" s="589"/>
      <c r="B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X236" s="589"/>
      <c r="B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Z236" s="589"/>
      <c r="C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B236" s="589"/>
      <c r="CC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D236" s="589"/>
      <c r="CE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F236" s="589"/>
      <c r="CG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H236" s="589"/>
      <c r="CI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J236" s="589"/>
      <c r="C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L236" s="589"/>
      <c r="C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N236" s="589"/>
      <c r="C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P236" s="589"/>
      <c r="C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R236" s="589"/>
      <c r="C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T236" s="589"/>
      <c r="C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V236" s="589"/>
      <c r="C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X236" s="589"/>
      <c r="C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Z236" s="589"/>
      <c r="D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B236" s="589"/>
      <c r="DC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D236" s="589"/>
      <c r="DE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F236" s="589"/>
      <c r="DG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H236" s="589"/>
      <c r="DI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J236" s="589"/>
      <c r="D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L236" s="589"/>
      <c r="D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N236" s="589"/>
      <c r="D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P236" s="589"/>
      <c r="D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R236" s="589"/>
      <c r="D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T236" s="589"/>
      <c r="D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V236" s="589"/>
      <c r="D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X236" s="589"/>
      <c r="D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Z236" s="589"/>
      <c r="E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B236" s="589"/>
      <c r="EC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D236" s="589"/>
      <c r="EE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F236" s="589"/>
      <c r="EG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H236" s="589"/>
      <c r="EI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J236" s="589"/>
      <c r="E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L236" s="589"/>
      <c r="E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N236" s="589"/>
      <c r="E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P236" s="589"/>
      <c r="E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R236" s="589"/>
      <c r="E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T236" s="589"/>
      <c r="E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V236" s="589"/>
      <c r="E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X236" s="589"/>
      <c r="E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Z236" s="589"/>
      <c r="F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B236" s="589"/>
      <c r="FC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D236" s="589"/>
      <c r="FE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F236" s="589"/>
      <c r="FG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H236" s="589"/>
      <c r="FI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J236" s="589"/>
      <c r="F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L236" s="589"/>
      <c r="F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N236" s="589"/>
      <c r="F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P236" s="589"/>
      <c r="F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R236" s="589"/>
      <c r="F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T236" s="589"/>
      <c r="F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V236" s="589"/>
      <c r="F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X236" s="589"/>
      <c r="F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Z236" s="589"/>
      <c r="G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B236" s="589"/>
      <c r="GC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D236" s="589"/>
      <c r="GE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F236" s="589"/>
      <c r="GG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H236" s="589"/>
      <c r="GI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J236" s="589"/>
      <c r="GK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L236" s="589"/>
      <c r="GM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N236" s="589"/>
      <c r="GO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P236" s="589"/>
      <c r="GQ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R236" s="589"/>
      <c r="GS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T236" s="589"/>
      <c r="GU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V236" s="589"/>
      <c r="GW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X236" s="589"/>
      <c r="GY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Z236" s="589"/>
      <c r="HA236" s="587">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HB236" s="589"/>
      <c r="IE236" s="579"/>
      <c r="IF236" s="579"/>
      <c r="IG236" s="579"/>
      <c r="IH236" s="579"/>
    </row>
    <row r="237" spans="1:242" s="164" customFormat="1" ht="19.8" hidden="1">
      <c r="A237" s="572">
        <v>11</v>
      </c>
      <c r="C237" s="584" t="s">
        <v>662</v>
      </c>
      <c r="D237" s="586"/>
      <c r="E237" s="586"/>
      <c r="F237" s="587"/>
      <c r="G237" s="587">
        <v>116</v>
      </c>
      <c r="H237" s="587">
        <v>169</v>
      </c>
      <c r="I237" s="589"/>
      <c r="J237" s="589"/>
      <c r="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L237" s="589"/>
      <c r="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N237" s="589"/>
      <c r="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P237" s="589"/>
      <c r="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R237" s="589"/>
      <c r="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T237" s="589"/>
      <c r="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V237" s="589"/>
      <c r="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X237" s="589"/>
      <c r="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Z237" s="589"/>
      <c r="A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B237" s="589"/>
      <c r="AC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D237" s="589"/>
      <c r="AE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F237" s="589"/>
      <c r="AG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H237" s="589"/>
      <c r="AI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J237" s="589"/>
      <c r="A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L237" s="589"/>
      <c r="A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N237" s="589"/>
      <c r="A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P237" s="589"/>
      <c r="A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R237" s="589"/>
      <c r="A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T237" s="589"/>
      <c r="A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V237" s="589"/>
      <c r="A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X237" s="589"/>
      <c r="A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Z237" s="589"/>
      <c r="B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B237" s="589"/>
      <c r="BC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D237" s="589"/>
      <c r="BE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F237" s="589"/>
      <c r="BG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H237" s="589"/>
      <c r="BI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J237" s="589"/>
      <c r="B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L237" s="589"/>
      <c r="B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N237" s="589"/>
      <c r="B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P237" s="589"/>
      <c r="B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R237" s="589"/>
      <c r="B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T237" s="589"/>
      <c r="B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V237" s="589"/>
      <c r="B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X237" s="589"/>
      <c r="B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Z237" s="589"/>
      <c r="C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B237" s="589"/>
      <c r="CC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D237" s="589"/>
      <c r="CE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F237" s="589"/>
      <c r="CG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H237" s="589"/>
      <c r="CI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J237" s="589"/>
      <c r="C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L237" s="589"/>
      <c r="C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N237" s="589"/>
      <c r="C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P237" s="589"/>
      <c r="C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R237" s="589"/>
      <c r="C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T237" s="589"/>
      <c r="C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V237" s="589"/>
      <c r="C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X237" s="589"/>
      <c r="C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Z237" s="589"/>
      <c r="D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B237" s="589"/>
      <c r="DC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D237" s="589"/>
      <c r="DE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F237" s="589"/>
      <c r="DG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H237" s="589"/>
      <c r="DI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J237" s="589"/>
      <c r="D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L237" s="589"/>
      <c r="D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N237" s="589"/>
      <c r="D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P237" s="589"/>
      <c r="D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R237" s="589"/>
      <c r="D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T237" s="589"/>
      <c r="D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V237" s="589"/>
      <c r="D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X237" s="589"/>
      <c r="D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Z237" s="589"/>
      <c r="E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B237" s="589"/>
      <c r="EC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D237" s="589"/>
      <c r="EE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F237" s="589"/>
      <c r="EG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H237" s="589"/>
      <c r="EI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J237" s="589"/>
      <c r="E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L237" s="589"/>
      <c r="E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N237" s="589"/>
      <c r="E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P237" s="589"/>
      <c r="E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R237" s="589"/>
      <c r="E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T237" s="589"/>
      <c r="E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V237" s="589"/>
      <c r="E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X237" s="589"/>
      <c r="E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Z237" s="589"/>
      <c r="F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B237" s="589"/>
      <c r="FC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D237" s="589"/>
      <c r="FE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F237" s="589"/>
      <c r="FG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H237" s="589"/>
      <c r="FI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J237" s="589"/>
      <c r="F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L237" s="589"/>
      <c r="F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N237" s="589"/>
      <c r="F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P237" s="589"/>
      <c r="F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R237" s="589"/>
      <c r="F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T237" s="589"/>
      <c r="F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V237" s="589"/>
      <c r="F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X237" s="589"/>
      <c r="F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Z237" s="589"/>
      <c r="G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B237" s="589"/>
      <c r="GC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D237" s="589"/>
      <c r="GE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F237" s="589"/>
      <c r="GG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H237" s="589"/>
      <c r="GI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J237" s="589"/>
      <c r="GK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L237" s="589"/>
      <c r="GM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N237" s="589"/>
      <c r="GO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P237" s="589"/>
      <c r="GQ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R237" s="589"/>
      <c r="GS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T237" s="589"/>
      <c r="GU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V237" s="589"/>
      <c r="GW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X237" s="589"/>
      <c r="GY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Z237" s="589"/>
      <c r="HA237" s="587">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HB237" s="589"/>
      <c r="IE237" s="579"/>
      <c r="IF237" s="579"/>
      <c r="IG237" s="579"/>
      <c r="IH237" s="579"/>
    </row>
    <row r="238" spans="1:242" s="164" customFormat="1" ht="19.8" hidden="1">
      <c r="A238" s="572">
        <v>12</v>
      </c>
      <c r="C238" s="584" t="s">
        <v>663</v>
      </c>
      <c r="D238" s="586"/>
      <c r="E238" s="586"/>
      <c r="F238" s="587"/>
      <c r="G238" s="587">
        <v>116</v>
      </c>
      <c r="H238" s="587">
        <v>169</v>
      </c>
      <c r="I238" s="589"/>
      <c r="J238" s="589"/>
      <c r="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L238" s="589"/>
      <c r="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N238" s="589"/>
      <c r="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P238" s="589"/>
      <c r="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R238" s="589"/>
      <c r="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T238" s="589"/>
      <c r="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V238" s="589"/>
      <c r="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X238" s="589"/>
      <c r="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Z238" s="589"/>
      <c r="A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B238" s="589"/>
      <c r="AC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D238" s="589"/>
      <c r="AE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F238" s="589"/>
      <c r="AG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H238" s="589"/>
      <c r="AI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J238" s="589"/>
      <c r="A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L238" s="589"/>
      <c r="A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N238" s="589"/>
      <c r="A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P238" s="589"/>
      <c r="A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R238" s="589"/>
      <c r="A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T238" s="589"/>
      <c r="A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V238" s="589"/>
      <c r="A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X238" s="589"/>
      <c r="A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Z238" s="589"/>
      <c r="B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B238" s="589"/>
      <c r="BC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D238" s="589"/>
      <c r="BE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F238" s="589"/>
      <c r="BG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H238" s="589"/>
      <c r="BI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J238" s="589"/>
      <c r="B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L238" s="589"/>
      <c r="B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N238" s="589"/>
      <c r="B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P238" s="589"/>
      <c r="B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R238" s="589"/>
      <c r="B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T238" s="589"/>
      <c r="B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V238" s="589"/>
      <c r="B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X238" s="589"/>
      <c r="B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Z238" s="589"/>
      <c r="C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B238" s="589"/>
      <c r="CC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D238" s="589"/>
      <c r="CE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F238" s="589"/>
      <c r="CG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H238" s="589"/>
      <c r="CI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J238" s="589"/>
      <c r="C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L238" s="589"/>
      <c r="C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N238" s="589"/>
      <c r="C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P238" s="589"/>
      <c r="C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R238" s="589"/>
      <c r="C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T238" s="589"/>
      <c r="C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V238" s="589"/>
      <c r="C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X238" s="589"/>
      <c r="C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Z238" s="589"/>
      <c r="D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B238" s="589"/>
      <c r="DC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D238" s="589"/>
      <c r="DE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F238" s="589"/>
      <c r="DG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H238" s="589"/>
      <c r="DI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J238" s="589"/>
      <c r="D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L238" s="589"/>
      <c r="D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N238" s="589"/>
      <c r="D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P238" s="589"/>
      <c r="D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R238" s="589"/>
      <c r="D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T238" s="589"/>
      <c r="D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V238" s="589"/>
      <c r="D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X238" s="589"/>
      <c r="D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Z238" s="589"/>
      <c r="E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B238" s="589"/>
      <c r="EC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D238" s="589"/>
      <c r="EE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F238" s="589"/>
      <c r="EG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H238" s="589"/>
      <c r="EI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J238" s="589"/>
      <c r="E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L238" s="589"/>
      <c r="E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N238" s="589"/>
      <c r="E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P238" s="589"/>
      <c r="E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R238" s="589"/>
      <c r="E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T238" s="589"/>
      <c r="E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V238" s="589"/>
      <c r="E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X238" s="589"/>
      <c r="E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Z238" s="589"/>
      <c r="F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B238" s="589"/>
      <c r="FC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D238" s="589"/>
      <c r="FE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F238" s="589"/>
      <c r="FG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H238" s="589"/>
      <c r="FI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J238" s="589"/>
      <c r="F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L238" s="589"/>
      <c r="F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N238" s="589"/>
      <c r="F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P238" s="589"/>
      <c r="F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R238" s="589"/>
      <c r="F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T238" s="589"/>
      <c r="F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V238" s="589"/>
      <c r="F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X238" s="589"/>
      <c r="F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Z238" s="589"/>
      <c r="G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B238" s="589"/>
      <c r="GC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D238" s="589"/>
      <c r="GE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F238" s="589"/>
      <c r="GG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H238" s="589"/>
      <c r="GI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J238" s="589"/>
      <c r="GK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L238" s="589"/>
      <c r="GM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N238" s="589"/>
      <c r="GO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P238" s="589"/>
      <c r="GQ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R238" s="589"/>
      <c r="GS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T238" s="589"/>
      <c r="GU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V238" s="589"/>
      <c r="GW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X238" s="589"/>
      <c r="GY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Z238" s="589"/>
      <c r="HA238" s="587">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HB238" s="589"/>
      <c r="IE238" s="579"/>
      <c r="IF238" s="579"/>
      <c r="IG238" s="579"/>
      <c r="IH238" s="579"/>
    </row>
    <row r="239" spans="1:242" s="164" customFormat="1" ht="19.8" hidden="1">
      <c r="A239" s="572">
        <v>13</v>
      </c>
      <c r="C239" s="584" t="s">
        <v>664</v>
      </c>
      <c r="D239" s="586"/>
      <c r="E239" s="586"/>
      <c r="F239" s="587"/>
      <c r="G239" s="587">
        <v>119</v>
      </c>
      <c r="H239" s="587">
        <v>169</v>
      </c>
      <c r="I239" s="589"/>
      <c r="J239" s="589"/>
      <c r="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L239" s="589"/>
      <c r="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N239" s="589"/>
      <c r="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P239" s="589"/>
      <c r="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R239" s="589"/>
      <c r="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T239" s="589"/>
      <c r="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V239" s="589"/>
      <c r="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X239" s="589"/>
      <c r="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Z239" s="589"/>
      <c r="A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B239" s="589"/>
      <c r="AC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D239" s="589"/>
      <c r="AE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F239" s="589"/>
      <c r="AG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H239" s="589"/>
      <c r="AI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J239" s="589"/>
      <c r="A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L239" s="589"/>
      <c r="A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N239" s="589"/>
      <c r="A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P239" s="589"/>
      <c r="A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R239" s="589"/>
      <c r="A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T239" s="589"/>
      <c r="A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V239" s="589"/>
      <c r="A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X239" s="589"/>
      <c r="A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Z239" s="589"/>
      <c r="B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B239" s="589"/>
      <c r="BC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D239" s="589"/>
      <c r="BE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F239" s="589"/>
      <c r="BG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H239" s="589"/>
      <c r="BI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J239" s="589"/>
      <c r="B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L239" s="589"/>
      <c r="B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N239" s="589"/>
      <c r="B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P239" s="589"/>
      <c r="B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R239" s="589"/>
      <c r="B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T239" s="589"/>
      <c r="B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V239" s="589"/>
      <c r="B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X239" s="589"/>
      <c r="B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Z239" s="589"/>
      <c r="C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B239" s="589"/>
      <c r="CC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D239" s="589"/>
      <c r="CE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F239" s="589"/>
      <c r="CG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H239" s="589"/>
      <c r="CI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J239" s="589"/>
      <c r="C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L239" s="589"/>
      <c r="C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N239" s="589"/>
      <c r="C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P239" s="589"/>
      <c r="C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R239" s="589"/>
      <c r="C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T239" s="589"/>
      <c r="C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V239" s="589"/>
      <c r="C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X239" s="589"/>
      <c r="C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Z239" s="589"/>
      <c r="D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B239" s="589"/>
      <c r="DC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D239" s="589"/>
      <c r="DE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F239" s="589"/>
      <c r="DG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H239" s="589"/>
      <c r="DI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J239" s="589"/>
      <c r="D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L239" s="589"/>
      <c r="D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N239" s="589"/>
      <c r="D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P239" s="589"/>
      <c r="D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R239" s="589"/>
      <c r="D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T239" s="589"/>
      <c r="D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V239" s="589"/>
      <c r="D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X239" s="589"/>
      <c r="D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Z239" s="589"/>
      <c r="E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B239" s="589"/>
      <c r="EC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D239" s="589"/>
      <c r="EE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F239" s="589"/>
      <c r="EG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H239" s="589"/>
      <c r="EI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J239" s="589"/>
      <c r="E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L239" s="589"/>
      <c r="E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N239" s="589"/>
      <c r="E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P239" s="589"/>
      <c r="E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R239" s="589"/>
      <c r="E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T239" s="589"/>
      <c r="E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V239" s="589"/>
      <c r="E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X239" s="589"/>
      <c r="E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Z239" s="589"/>
      <c r="F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B239" s="589"/>
      <c r="FC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D239" s="589"/>
      <c r="FE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F239" s="589"/>
      <c r="FG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H239" s="589"/>
      <c r="FI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J239" s="589"/>
      <c r="F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L239" s="589"/>
      <c r="F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N239" s="589"/>
      <c r="F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P239" s="589"/>
      <c r="F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R239" s="589"/>
      <c r="F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T239" s="589"/>
      <c r="F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V239" s="589"/>
      <c r="F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X239" s="589"/>
      <c r="F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Z239" s="589"/>
      <c r="G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B239" s="589"/>
      <c r="GC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D239" s="589"/>
      <c r="GE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F239" s="589"/>
      <c r="GG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H239" s="589"/>
      <c r="GI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J239" s="589"/>
      <c r="GK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L239" s="589"/>
      <c r="GM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N239" s="589"/>
      <c r="GO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P239" s="589"/>
      <c r="GQ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R239" s="589"/>
      <c r="GS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T239" s="589"/>
      <c r="GU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V239" s="589"/>
      <c r="GW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X239" s="589"/>
      <c r="GY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Z239" s="589"/>
      <c r="HA239" s="587">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HB239" s="589"/>
      <c r="IE239" s="579"/>
      <c r="IF239" s="579"/>
      <c r="IG239" s="579"/>
      <c r="IH239" s="579"/>
    </row>
    <row r="240" spans="1:242" s="164" customFormat="1" ht="19.8" hidden="1">
      <c r="A240" s="572">
        <v>14</v>
      </c>
      <c r="C240" s="584" t="s">
        <v>665</v>
      </c>
      <c r="D240" s="586"/>
      <c r="E240" s="586"/>
      <c r="F240" s="587"/>
      <c r="G240" s="587">
        <v>119</v>
      </c>
      <c r="H240" s="587">
        <v>169</v>
      </c>
      <c r="I240" s="589"/>
      <c r="J240" s="589"/>
      <c r="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L240" s="589"/>
      <c r="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N240" s="589"/>
      <c r="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P240" s="589"/>
      <c r="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R240" s="589"/>
      <c r="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T240" s="589"/>
      <c r="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V240" s="589"/>
      <c r="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X240" s="589"/>
      <c r="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Z240" s="589"/>
      <c r="A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B240" s="589"/>
      <c r="AC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D240" s="589"/>
      <c r="AE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F240" s="589"/>
      <c r="AG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H240" s="589"/>
      <c r="AI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J240" s="589"/>
      <c r="A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L240" s="589"/>
      <c r="A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N240" s="589"/>
      <c r="A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P240" s="589"/>
      <c r="A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R240" s="589"/>
      <c r="A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T240" s="589"/>
      <c r="A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V240" s="589"/>
      <c r="A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X240" s="589"/>
      <c r="A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Z240" s="589"/>
      <c r="B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B240" s="589"/>
      <c r="BC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D240" s="589"/>
      <c r="BE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F240" s="589"/>
      <c r="BG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H240" s="589"/>
      <c r="BI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J240" s="589"/>
      <c r="B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L240" s="589"/>
      <c r="B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N240" s="589"/>
      <c r="B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P240" s="589"/>
      <c r="B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R240" s="589"/>
      <c r="B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T240" s="589"/>
      <c r="B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V240" s="589"/>
      <c r="B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X240" s="589"/>
      <c r="B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Z240" s="589"/>
      <c r="C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B240" s="589"/>
      <c r="CC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D240" s="589"/>
      <c r="CE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F240" s="589"/>
      <c r="CG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H240" s="589"/>
      <c r="CI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J240" s="589"/>
      <c r="C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L240" s="589"/>
      <c r="C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N240" s="589"/>
      <c r="C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P240" s="589"/>
      <c r="C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R240" s="589"/>
      <c r="C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T240" s="589"/>
      <c r="C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V240" s="589"/>
      <c r="C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X240" s="589"/>
      <c r="C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Z240" s="589"/>
      <c r="D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B240" s="589"/>
      <c r="DC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D240" s="589"/>
      <c r="DE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F240" s="589"/>
      <c r="DG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H240" s="589"/>
      <c r="DI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J240" s="589"/>
      <c r="D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L240" s="589"/>
      <c r="D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N240" s="589"/>
      <c r="D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P240" s="589"/>
      <c r="D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R240" s="589"/>
      <c r="D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T240" s="589"/>
      <c r="D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V240" s="589"/>
      <c r="D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X240" s="589"/>
      <c r="D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Z240" s="589"/>
      <c r="E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B240" s="589"/>
      <c r="EC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D240" s="589"/>
      <c r="EE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F240" s="589"/>
      <c r="EG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H240" s="589"/>
      <c r="EI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J240" s="589"/>
      <c r="E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L240" s="589"/>
      <c r="E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N240" s="589"/>
      <c r="E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P240" s="589"/>
      <c r="E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R240" s="589"/>
      <c r="E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T240" s="589"/>
      <c r="E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V240" s="589"/>
      <c r="E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X240" s="589"/>
      <c r="E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Z240" s="589"/>
      <c r="F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B240" s="589"/>
      <c r="FC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D240" s="589"/>
      <c r="FE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F240" s="589"/>
      <c r="FG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H240" s="589"/>
      <c r="FI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J240" s="589"/>
      <c r="F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L240" s="589"/>
      <c r="F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N240" s="589"/>
      <c r="F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P240" s="589"/>
      <c r="F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R240" s="589"/>
      <c r="F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T240" s="589"/>
      <c r="F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V240" s="589"/>
      <c r="F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X240" s="589"/>
      <c r="F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Z240" s="589"/>
      <c r="G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B240" s="589"/>
      <c r="GC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D240" s="589"/>
      <c r="GE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F240" s="589"/>
      <c r="GG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H240" s="589"/>
      <c r="GI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J240" s="589"/>
      <c r="GK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L240" s="589"/>
      <c r="GM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N240" s="589"/>
      <c r="GO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P240" s="589"/>
      <c r="GQ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R240" s="589"/>
      <c r="GS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T240" s="589"/>
      <c r="GU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V240" s="589"/>
      <c r="GW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X240" s="589"/>
      <c r="GY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Z240" s="589"/>
      <c r="HA240" s="587">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HB240" s="589"/>
      <c r="IE240" s="579"/>
      <c r="IF240" s="579"/>
      <c r="IG240" s="579"/>
      <c r="IH240" s="579"/>
    </row>
    <row r="241" spans="1:242" s="164" customFormat="1" ht="19.8" hidden="1">
      <c r="A241" s="572">
        <v>15</v>
      </c>
      <c r="C241" s="584" t="s">
        <v>666</v>
      </c>
      <c r="D241" s="586"/>
      <c r="E241" s="586"/>
      <c r="F241" s="587">
        <v>205</v>
      </c>
      <c r="G241" s="587">
        <v>122</v>
      </c>
      <c r="H241" s="587">
        <v>169</v>
      </c>
      <c r="I241" s="587">
        <f ca="1">SUMPRODUCT(OFFSET(貼付け_2027実績,$F241,4,10,1),OFFSET(貼付け_2027実績,$F241,SUM(COLUMN()-COLUMN(貼付け_2027実績)),10,1))*1000</f>
        <v>0</v>
      </c>
      <c r="J241" s="587">
        <f ca="1">SUMPRODUCT(OFFSET(貼付け_2027実績,$F241,4,10,1),OFFSET(貼付け_2027実績,$F241,SUM(COLUMN()-COLUMN(貼付け_2027実績)),10,1))*1000</f>
        <v>0</v>
      </c>
      <c r="K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L241" s="589"/>
      <c r="M241" s="589"/>
      <c r="N241" s="589"/>
      <c r="O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P241" s="589"/>
      <c r="Q241" s="589"/>
      <c r="R241" s="589"/>
      <c r="S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T241" s="589"/>
      <c r="U241" s="589"/>
      <c r="V241" s="589"/>
      <c r="W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X241" s="589"/>
      <c r="Y241" s="589"/>
      <c r="Z241" s="589"/>
      <c r="AA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B241" s="589"/>
      <c r="AC241" s="589"/>
      <c r="AD241" s="589"/>
      <c r="AE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F241" s="589"/>
      <c r="AG241" s="589"/>
      <c r="AH241" s="589"/>
      <c r="AI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J241" s="589"/>
      <c r="AK241" s="589"/>
      <c r="AL241" s="589"/>
      <c r="AM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N241" s="589"/>
      <c r="AO241" s="589"/>
      <c r="AP241" s="589"/>
      <c r="AQ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R241" s="589"/>
      <c r="AS241" s="589"/>
      <c r="AT241" s="589"/>
      <c r="AU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V241" s="589"/>
      <c r="AW241" s="589"/>
      <c r="AX241" s="589"/>
      <c r="AY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Z241" s="589"/>
      <c r="BA241" s="589"/>
      <c r="BB241" s="589"/>
      <c r="BC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D241" s="589"/>
      <c r="BE241" s="589"/>
      <c r="BF241" s="589"/>
      <c r="BG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H241" s="589"/>
      <c r="BI241" s="589"/>
      <c r="BJ241" s="589"/>
      <c r="BK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L241" s="589"/>
      <c r="BM241" s="589"/>
      <c r="BN241" s="589"/>
      <c r="BO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P241" s="589"/>
      <c r="BQ241" s="589"/>
      <c r="BR241" s="589"/>
      <c r="BS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T241" s="589"/>
      <c r="BU241" s="589"/>
      <c r="BV241" s="589"/>
      <c r="BW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X241" s="589"/>
      <c r="BY241" s="589"/>
      <c r="BZ241" s="589"/>
      <c r="CA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B241" s="589"/>
      <c r="CC241" s="589"/>
      <c r="CD241" s="589"/>
      <c r="CE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F241" s="589"/>
      <c r="CG241" s="589"/>
      <c r="CH241" s="589"/>
      <c r="CI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J241" s="589"/>
      <c r="CK241" s="589"/>
      <c r="CL241" s="589"/>
      <c r="CM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N241" s="589"/>
      <c r="CO241" s="589"/>
      <c r="CP241" s="589"/>
      <c r="CQ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R241" s="589"/>
      <c r="CS241" s="589"/>
      <c r="CT241" s="589"/>
      <c r="CU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V241" s="589"/>
      <c r="CW241" s="589"/>
      <c r="CX241" s="589"/>
      <c r="CY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Z241" s="589"/>
      <c r="DA241" s="589"/>
      <c r="DB241" s="589"/>
      <c r="DC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D241" s="589"/>
      <c r="DE241" s="589"/>
      <c r="DF241" s="589"/>
      <c r="DG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H241" s="589"/>
      <c r="DI241" s="589"/>
      <c r="DJ241" s="589"/>
      <c r="DK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L241" s="589"/>
      <c r="DM241" s="589"/>
      <c r="DN241" s="589"/>
      <c r="DO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P241" s="589"/>
      <c r="DQ241" s="589"/>
      <c r="DR241" s="589"/>
      <c r="DS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T241" s="589"/>
      <c r="DU241" s="589"/>
      <c r="DV241" s="589"/>
      <c r="DW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X241" s="589"/>
      <c r="DY241" s="589"/>
      <c r="DZ241" s="589"/>
      <c r="EA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B241" s="589"/>
      <c r="EC241" s="589"/>
      <c r="ED241" s="589"/>
      <c r="EE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F241" s="589"/>
      <c r="EG241" s="589"/>
      <c r="EH241" s="589"/>
      <c r="EI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J241" s="589"/>
      <c r="EK241" s="589"/>
      <c r="EL241" s="589"/>
      <c r="EM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N241" s="589"/>
      <c r="EO241" s="589"/>
      <c r="EP241" s="589"/>
      <c r="EQ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R241" s="589"/>
      <c r="ES241" s="589"/>
      <c r="ET241" s="589"/>
      <c r="EU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V241" s="589"/>
      <c r="EW241" s="589"/>
      <c r="EX241" s="589"/>
      <c r="EY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Z241" s="589"/>
      <c r="FA241" s="589"/>
      <c r="FB241" s="589"/>
      <c r="FC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D241" s="589"/>
      <c r="FE241" s="589"/>
      <c r="FF241" s="589"/>
      <c r="FG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H241" s="589"/>
      <c r="FI241" s="589"/>
      <c r="FJ241" s="589"/>
      <c r="FK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L241" s="589"/>
      <c r="FM241" s="589"/>
      <c r="FN241" s="589"/>
      <c r="FO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P241" s="589"/>
      <c r="FQ241" s="589"/>
      <c r="FR241" s="589"/>
      <c r="FS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T241" s="589"/>
      <c r="FU241" s="589"/>
      <c r="FV241" s="589"/>
      <c r="FW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X241" s="589"/>
      <c r="FY241" s="589"/>
      <c r="FZ241" s="589"/>
      <c r="GA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B241" s="589"/>
      <c r="GC241" s="589"/>
      <c r="GD241" s="589"/>
      <c r="GE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F241" s="589"/>
      <c r="GG241" s="589"/>
      <c r="GH241" s="589"/>
      <c r="GI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J241" s="589"/>
      <c r="GK241" s="589"/>
      <c r="GL241" s="589"/>
      <c r="GM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N241" s="589"/>
      <c r="GO241" s="589"/>
      <c r="GP241" s="589"/>
      <c r="GQ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R241" s="589"/>
      <c r="GS241" s="589"/>
      <c r="GT241" s="589"/>
      <c r="GU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V241" s="589"/>
      <c r="GW241" s="589"/>
      <c r="GX241" s="589"/>
      <c r="GY241" s="587">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Z241" s="589"/>
      <c r="HA241" s="589"/>
      <c r="HB241" s="589"/>
      <c r="IE241" s="579"/>
      <c r="IF241" s="579"/>
      <c r="IG241" s="579"/>
      <c r="IH241" s="579"/>
    </row>
    <row r="242" spans="1:242" s="164" customFormat="1" ht="19.8" hidden="1">
      <c r="A242" s="572">
        <v>16</v>
      </c>
      <c r="C242" s="584" t="s">
        <v>667</v>
      </c>
      <c r="D242" s="586"/>
      <c r="E242" s="586"/>
      <c r="F242" s="587">
        <v>205</v>
      </c>
      <c r="G242" s="587">
        <v>122</v>
      </c>
      <c r="H242" s="587">
        <v>169</v>
      </c>
      <c r="I242" s="587">
        <f ca="1">SUMPRODUCT(OFFSET(貼付け_2027実績,$F242,5,10,1),OFFSET(貼付け_2027実績,$F242,SUM(COLUMN()-COLUMN(貼付け_2027実績)),10,1))*1000</f>
        <v>0</v>
      </c>
      <c r="J242" s="587">
        <f ca="1">SUMPRODUCT(OFFSET(貼付け_2027実績,$F242,5,10,1),OFFSET(貼付け_2027実績,$F242,SUM(COLUMN()-COLUMN(貼付け_2027実績)),10,1))*1000</f>
        <v>0</v>
      </c>
      <c r="K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L242" s="589"/>
      <c r="M242" s="589"/>
      <c r="N242" s="589"/>
      <c r="O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P242" s="589"/>
      <c r="Q242" s="589"/>
      <c r="R242" s="589"/>
      <c r="S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T242" s="589"/>
      <c r="U242" s="589"/>
      <c r="V242" s="589"/>
      <c r="W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X242" s="589"/>
      <c r="Y242" s="589"/>
      <c r="Z242" s="589"/>
      <c r="AA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B242" s="589"/>
      <c r="AC242" s="589"/>
      <c r="AD242" s="589"/>
      <c r="AE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F242" s="589"/>
      <c r="AG242" s="589"/>
      <c r="AH242" s="589"/>
      <c r="AI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J242" s="589"/>
      <c r="AK242" s="589"/>
      <c r="AL242" s="589"/>
      <c r="AM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N242" s="589"/>
      <c r="AO242" s="589"/>
      <c r="AP242" s="589"/>
      <c r="AQ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R242" s="589"/>
      <c r="AS242" s="589"/>
      <c r="AT242" s="589"/>
      <c r="AU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V242" s="589"/>
      <c r="AW242" s="589"/>
      <c r="AX242" s="589"/>
      <c r="AY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Z242" s="589"/>
      <c r="BA242" s="589"/>
      <c r="BB242" s="589"/>
      <c r="BC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D242" s="589"/>
      <c r="BE242" s="589"/>
      <c r="BF242" s="589"/>
      <c r="BG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H242" s="589"/>
      <c r="BI242" s="589"/>
      <c r="BJ242" s="589"/>
      <c r="BK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L242" s="589"/>
      <c r="BM242" s="589"/>
      <c r="BN242" s="589"/>
      <c r="BO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P242" s="589"/>
      <c r="BQ242" s="589"/>
      <c r="BR242" s="589"/>
      <c r="BS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T242" s="589"/>
      <c r="BU242" s="589"/>
      <c r="BV242" s="589"/>
      <c r="BW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X242" s="589"/>
      <c r="BY242" s="589"/>
      <c r="BZ242" s="589"/>
      <c r="CA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B242" s="589"/>
      <c r="CC242" s="589"/>
      <c r="CD242" s="589"/>
      <c r="CE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F242" s="589"/>
      <c r="CG242" s="589"/>
      <c r="CH242" s="589"/>
      <c r="CI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J242" s="589"/>
      <c r="CK242" s="589"/>
      <c r="CL242" s="589"/>
      <c r="CM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N242" s="589"/>
      <c r="CO242" s="589"/>
      <c r="CP242" s="589"/>
      <c r="CQ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R242" s="589"/>
      <c r="CS242" s="589"/>
      <c r="CT242" s="589"/>
      <c r="CU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V242" s="589"/>
      <c r="CW242" s="589"/>
      <c r="CX242" s="589"/>
      <c r="CY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Z242" s="589"/>
      <c r="DA242" s="589"/>
      <c r="DB242" s="589"/>
      <c r="DC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D242" s="589"/>
      <c r="DE242" s="589"/>
      <c r="DF242" s="589"/>
      <c r="DG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H242" s="589"/>
      <c r="DI242" s="589"/>
      <c r="DJ242" s="589"/>
      <c r="DK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L242" s="589"/>
      <c r="DM242" s="589"/>
      <c r="DN242" s="589"/>
      <c r="DO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P242" s="589"/>
      <c r="DQ242" s="589"/>
      <c r="DR242" s="589"/>
      <c r="DS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T242" s="589"/>
      <c r="DU242" s="589"/>
      <c r="DV242" s="589"/>
      <c r="DW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X242" s="589"/>
      <c r="DY242" s="589"/>
      <c r="DZ242" s="589"/>
      <c r="EA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B242" s="589"/>
      <c r="EC242" s="589"/>
      <c r="ED242" s="589"/>
      <c r="EE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F242" s="589"/>
      <c r="EG242" s="589"/>
      <c r="EH242" s="589"/>
      <c r="EI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J242" s="589"/>
      <c r="EK242" s="589"/>
      <c r="EL242" s="589"/>
      <c r="EM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N242" s="589"/>
      <c r="EO242" s="589"/>
      <c r="EP242" s="589"/>
      <c r="EQ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R242" s="589"/>
      <c r="ES242" s="589"/>
      <c r="ET242" s="589"/>
      <c r="EU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V242" s="589"/>
      <c r="EW242" s="589"/>
      <c r="EX242" s="589"/>
      <c r="EY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Z242" s="589"/>
      <c r="FA242" s="589"/>
      <c r="FB242" s="589"/>
      <c r="FC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D242" s="589"/>
      <c r="FE242" s="589"/>
      <c r="FF242" s="589"/>
      <c r="FG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H242" s="589"/>
      <c r="FI242" s="589"/>
      <c r="FJ242" s="589"/>
      <c r="FK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L242" s="589"/>
      <c r="FM242" s="589"/>
      <c r="FN242" s="589"/>
      <c r="FO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P242" s="589"/>
      <c r="FQ242" s="589"/>
      <c r="FR242" s="589"/>
      <c r="FS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T242" s="589"/>
      <c r="FU242" s="589"/>
      <c r="FV242" s="589"/>
      <c r="FW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X242" s="589"/>
      <c r="FY242" s="589"/>
      <c r="FZ242" s="589"/>
      <c r="GA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B242" s="589"/>
      <c r="GC242" s="589"/>
      <c r="GD242" s="589"/>
      <c r="GE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F242" s="589"/>
      <c r="GG242" s="589"/>
      <c r="GH242" s="589"/>
      <c r="GI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J242" s="589"/>
      <c r="GK242" s="589"/>
      <c r="GL242" s="589"/>
      <c r="GM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N242" s="589"/>
      <c r="GO242" s="589"/>
      <c r="GP242" s="589"/>
      <c r="GQ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R242" s="589"/>
      <c r="GS242" s="589"/>
      <c r="GT242" s="589"/>
      <c r="GU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V242" s="589"/>
      <c r="GW242" s="589"/>
      <c r="GX242" s="589"/>
      <c r="GY242" s="587">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Z242" s="589"/>
      <c r="HA242" s="589"/>
      <c r="HB242" s="589"/>
      <c r="IE242" s="579"/>
      <c r="IF242" s="579"/>
      <c r="IG242" s="579"/>
      <c r="IH242" s="579"/>
    </row>
    <row r="243" spans="1:242" s="164" customFormat="1" ht="19.8" hidden="1">
      <c r="A243" s="572">
        <v>17</v>
      </c>
      <c r="C243" s="584" t="s">
        <v>668</v>
      </c>
      <c r="D243" s="586"/>
      <c r="E243" s="586"/>
      <c r="F243" s="587"/>
      <c r="G243" s="587">
        <v>122</v>
      </c>
      <c r="H243" s="587">
        <v>169</v>
      </c>
      <c r="I243" s="589"/>
      <c r="J243" s="589"/>
      <c r="K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L243" s="589"/>
      <c r="M243" s="589"/>
      <c r="N243" s="589"/>
      <c r="O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P243" s="589"/>
      <c r="Q243" s="589"/>
      <c r="R243" s="589"/>
      <c r="S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T243" s="589"/>
      <c r="U243" s="589"/>
      <c r="V243" s="589"/>
      <c r="W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X243" s="589"/>
      <c r="Y243" s="589"/>
      <c r="Z243" s="589"/>
      <c r="AA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B243" s="589"/>
      <c r="AC243" s="589"/>
      <c r="AD243" s="589"/>
      <c r="AE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F243" s="589"/>
      <c r="AG243" s="589"/>
      <c r="AH243" s="589"/>
      <c r="AI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J243" s="589"/>
      <c r="AK243" s="589"/>
      <c r="AL243" s="589"/>
      <c r="AM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N243" s="589"/>
      <c r="AO243" s="589"/>
      <c r="AP243" s="589"/>
      <c r="AQ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R243" s="589"/>
      <c r="AS243" s="589"/>
      <c r="AT243" s="589"/>
      <c r="AU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V243" s="589"/>
      <c r="AW243" s="589"/>
      <c r="AX243" s="589"/>
      <c r="AY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Z243" s="589"/>
      <c r="BA243" s="589"/>
      <c r="BB243" s="589"/>
      <c r="BC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D243" s="589"/>
      <c r="BE243" s="589"/>
      <c r="BF243" s="589"/>
      <c r="BG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H243" s="589"/>
      <c r="BI243" s="589"/>
      <c r="BJ243" s="589"/>
      <c r="BK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L243" s="589"/>
      <c r="BM243" s="589"/>
      <c r="BN243" s="589"/>
      <c r="BO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P243" s="589"/>
      <c r="BQ243" s="589"/>
      <c r="BR243" s="589"/>
      <c r="BS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T243" s="589"/>
      <c r="BU243" s="589"/>
      <c r="BV243" s="589"/>
      <c r="BW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X243" s="589"/>
      <c r="BY243" s="589"/>
      <c r="BZ243" s="589"/>
      <c r="CA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B243" s="589"/>
      <c r="CC243" s="589"/>
      <c r="CD243" s="589"/>
      <c r="CE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F243" s="589"/>
      <c r="CG243" s="589"/>
      <c r="CH243" s="589"/>
      <c r="CI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J243" s="589"/>
      <c r="CK243" s="589"/>
      <c r="CL243" s="589"/>
      <c r="CM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N243" s="589"/>
      <c r="CO243" s="589"/>
      <c r="CP243" s="589"/>
      <c r="CQ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R243" s="589"/>
      <c r="CS243" s="589"/>
      <c r="CT243" s="589"/>
      <c r="CU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V243" s="589"/>
      <c r="CW243" s="589"/>
      <c r="CX243" s="589"/>
      <c r="CY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Z243" s="589"/>
      <c r="DA243" s="589"/>
      <c r="DB243" s="589"/>
      <c r="DC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D243" s="589"/>
      <c r="DE243" s="589"/>
      <c r="DF243" s="589"/>
      <c r="DG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H243" s="589"/>
      <c r="DI243" s="589"/>
      <c r="DJ243" s="589"/>
      <c r="DK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L243" s="589"/>
      <c r="DM243" s="589"/>
      <c r="DN243" s="589"/>
      <c r="DO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P243" s="589"/>
      <c r="DQ243" s="589"/>
      <c r="DR243" s="589"/>
      <c r="DS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T243" s="589"/>
      <c r="DU243" s="589"/>
      <c r="DV243" s="589"/>
      <c r="DW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X243" s="589"/>
      <c r="DY243" s="589"/>
      <c r="DZ243" s="589"/>
      <c r="EA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B243" s="589"/>
      <c r="EC243" s="589"/>
      <c r="ED243" s="589"/>
      <c r="EE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F243" s="589"/>
      <c r="EG243" s="589"/>
      <c r="EH243" s="589"/>
      <c r="EI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J243" s="589"/>
      <c r="EK243" s="589"/>
      <c r="EL243" s="589"/>
      <c r="EM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N243" s="589"/>
      <c r="EO243" s="589"/>
      <c r="EP243" s="589"/>
      <c r="EQ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R243" s="589"/>
      <c r="ES243" s="589"/>
      <c r="ET243" s="589"/>
      <c r="EU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V243" s="589"/>
      <c r="EW243" s="589"/>
      <c r="EX243" s="589"/>
      <c r="EY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Z243" s="589"/>
      <c r="FA243" s="589"/>
      <c r="FB243" s="589"/>
      <c r="FC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D243" s="589"/>
      <c r="FE243" s="589"/>
      <c r="FF243" s="589"/>
      <c r="FG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H243" s="589"/>
      <c r="FI243" s="589"/>
      <c r="FJ243" s="589"/>
      <c r="FK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L243" s="589"/>
      <c r="FM243" s="589"/>
      <c r="FN243" s="589"/>
      <c r="FO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P243" s="589"/>
      <c r="FQ243" s="589"/>
      <c r="FR243" s="589"/>
      <c r="FS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T243" s="589"/>
      <c r="FU243" s="589"/>
      <c r="FV243" s="589"/>
      <c r="FW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X243" s="589"/>
      <c r="FY243" s="589"/>
      <c r="FZ243" s="589"/>
      <c r="GA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B243" s="589"/>
      <c r="GC243" s="589"/>
      <c r="GD243" s="589"/>
      <c r="GE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F243" s="589"/>
      <c r="GG243" s="589"/>
      <c r="GH243" s="589"/>
      <c r="GI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J243" s="589"/>
      <c r="GK243" s="589"/>
      <c r="GL243" s="589"/>
      <c r="GM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N243" s="589"/>
      <c r="GO243" s="589"/>
      <c r="GP243" s="589"/>
      <c r="GQ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R243" s="589"/>
      <c r="GS243" s="589"/>
      <c r="GT243" s="589"/>
      <c r="GU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V243" s="589"/>
      <c r="GW243" s="589"/>
      <c r="GX243" s="589"/>
      <c r="GY243" s="587">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Z243" s="589"/>
      <c r="HA243" s="589"/>
      <c r="HB243" s="589"/>
      <c r="IE243" s="579"/>
      <c r="IF243" s="579"/>
      <c r="IG243" s="579"/>
      <c r="IH243" s="579"/>
    </row>
    <row r="244" spans="1:242" hidden="1"/>
    <row r="245" spans="1:242" s="154" customFormat="1" ht="20.100000000000001" hidden="1" customHeight="1">
      <c r="A245" s="173" t="s">
        <v>719</v>
      </c>
      <c r="B245" s="173"/>
      <c r="C245" s="179"/>
      <c r="D245" s="180"/>
      <c r="E245" s="181"/>
      <c r="F245" s="180"/>
      <c r="G245" s="180"/>
      <c r="H245" s="181"/>
      <c r="I245" s="180"/>
      <c r="J245" s="180"/>
      <c r="K245" s="181"/>
      <c r="L245" s="180"/>
      <c r="M245" s="180"/>
      <c r="N245" s="181"/>
      <c r="O245" s="180"/>
      <c r="P245" s="180"/>
      <c r="Q245" s="181"/>
      <c r="R245" s="180"/>
      <c r="S245" s="180"/>
      <c r="T245" s="181"/>
      <c r="U245" s="180"/>
      <c r="V245" s="180"/>
      <c r="W245" s="181"/>
      <c r="X245" s="180"/>
      <c r="Y245" s="180"/>
      <c r="Z245" s="181"/>
      <c r="AA245" s="180"/>
      <c r="AB245" s="180"/>
      <c r="AC245" s="181"/>
      <c r="AD245" s="180"/>
      <c r="AE245" s="180"/>
      <c r="AF245" s="181"/>
      <c r="AG245" s="180"/>
      <c r="AH245" s="180"/>
      <c r="AI245" s="181"/>
      <c r="AJ245" s="180"/>
      <c r="AK245" s="180"/>
      <c r="AL245" s="181"/>
      <c r="AM245" s="180"/>
      <c r="AN245" s="180"/>
      <c r="IE245" s="571"/>
      <c r="IF245" s="571"/>
      <c r="IG245" s="571"/>
      <c r="IH245" s="571"/>
    </row>
    <row r="246" spans="1:242" ht="20.100000000000001" hidden="1" customHeight="1" thickBot="1">
      <c r="B246" s="590" t="s">
        <v>720</v>
      </c>
      <c r="C246" s="591">
        <v>1</v>
      </c>
      <c r="D246" s="592">
        <v>2</v>
      </c>
      <c r="E246" s="591">
        <v>3</v>
      </c>
      <c r="F246" s="592">
        <v>4</v>
      </c>
      <c r="G246" s="591">
        <v>5</v>
      </c>
      <c r="H246" s="592">
        <v>6</v>
      </c>
      <c r="I246" s="591">
        <v>7</v>
      </c>
      <c r="J246" s="592">
        <v>8</v>
      </c>
      <c r="K246" s="591">
        <v>9</v>
      </c>
      <c r="L246" s="592">
        <v>10</v>
      </c>
      <c r="M246" s="591">
        <v>11</v>
      </c>
      <c r="N246" s="592">
        <v>12</v>
      </c>
      <c r="O246" s="591">
        <v>13</v>
      </c>
      <c r="P246" s="592">
        <v>14</v>
      </c>
      <c r="Q246" s="591">
        <v>15</v>
      </c>
      <c r="R246" s="592">
        <v>16</v>
      </c>
      <c r="S246" s="591">
        <v>17</v>
      </c>
      <c r="T246" s="592">
        <v>18</v>
      </c>
      <c r="U246" s="591">
        <v>19</v>
      </c>
      <c r="V246" s="592">
        <v>20</v>
      </c>
      <c r="W246" s="591">
        <v>21</v>
      </c>
      <c r="X246" s="592">
        <v>22</v>
      </c>
      <c r="Y246" s="591">
        <v>23</v>
      </c>
      <c r="Z246" s="592">
        <v>24</v>
      </c>
      <c r="AA246" s="591">
        <v>25</v>
      </c>
      <c r="AB246" s="592">
        <v>26</v>
      </c>
      <c r="AC246" s="591">
        <v>27</v>
      </c>
      <c r="AD246" s="592">
        <v>28</v>
      </c>
      <c r="AE246" s="591">
        <v>29</v>
      </c>
      <c r="AF246" s="592">
        <v>30</v>
      </c>
      <c r="AG246" s="591">
        <v>31</v>
      </c>
      <c r="AH246" s="592">
        <v>32</v>
      </c>
      <c r="AI246" s="591">
        <v>33</v>
      </c>
      <c r="AJ246" s="592">
        <v>34</v>
      </c>
      <c r="AK246" s="591">
        <v>35</v>
      </c>
      <c r="AL246" s="592">
        <v>36</v>
      </c>
      <c r="AM246" s="591">
        <v>37</v>
      </c>
      <c r="AN246" s="592">
        <v>38</v>
      </c>
      <c r="AO246" s="591">
        <v>39</v>
      </c>
      <c r="AP246" s="592">
        <v>40</v>
      </c>
      <c r="AQ246" s="591">
        <v>41</v>
      </c>
      <c r="AR246" s="592">
        <v>42</v>
      </c>
    </row>
    <row r="247" spans="1:242" ht="19.5" hidden="1" customHeight="1" thickBot="1">
      <c r="A247" s="156">
        <v>1</v>
      </c>
      <c r="B247" s="1048" t="s">
        <v>671</v>
      </c>
      <c r="C247" s="1049"/>
      <c r="D247" s="1050"/>
      <c r="E247" s="593">
        <v>1</v>
      </c>
      <c r="F247" s="594">
        <v>2</v>
      </c>
      <c r="G247" s="594">
        <v>3</v>
      </c>
      <c r="H247" s="594">
        <v>4</v>
      </c>
      <c r="I247" s="594">
        <v>5</v>
      </c>
      <c r="J247" s="594">
        <v>6</v>
      </c>
      <c r="K247" s="594">
        <v>7</v>
      </c>
      <c r="L247" s="594">
        <v>8</v>
      </c>
      <c r="M247" s="594">
        <v>9</v>
      </c>
      <c r="N247" s="594">
        <v>10</v>
      </c>
      <c r="O247" s="594">
        <v>11</v>
      </c>
      <c r="P247" s="594">
        <v>12</v>
      </c>
      <c r="Q247" s="594">
        <v>13</v>
      </c>
      <c r="R247" s="593">
        <v>14</v>
      </c>
      <c r="S247" s="594">
        <v>15</v>
      </c>
      <c r="T247" s="594">
        <v>16</v>
      </c>
      <c r="U247" s="594">
        <v>17</v>
      </c>
      <c r="V247" s="594">
        <v>18</v>
      </c>
      <c r="W247" s="594">
        <v>19</v>
      </c>
      <c r="X247" s="594">
        <v>20</v>
      </c>
      <c r="Y247" s="594">
        <v>21</v>
      </c>
      <c r="Z247" s="594">
        <v>22</v>
      </c>
      <c r="AA247" s="594">
        <v>23</v>
      </c>
      <c r="AB247" s="594">
        <v>24</v>
      </c>
      <c r="AC247" s="594">
        <v>25</v>
      </c>
      <c r="AD247" s="594">
        <v>26</v>
      </c>
      <c r="AE247" s="593">
        <v>27</v>
      </c>
      <c r="AF247" s="594">
        <v>28</v>
      </c>
      <c r="AG247" s="594">
        <v>29</v>
      </c>
      <c r="AH247" s="594">
        <v>30</v>
      </c>
      <c r="AI247" s="594">
        <v>31</v>
      </c>
      <c r="AJ247" s="594">
        <v>32</v>
      </c>
      <c r="AK247" s="594">
        <v>33</v>
      </c>
      <c r="AL247" s="594">
        <v>34</v>
      </c>
      <c r="AM247" s="594">
        <v>35</v>
      </c>
      <c r="AN247" s="594">
        <v>36</v>
      </c>
      <c r="AO247" s="594">
        <v>37</v>
      </c>
      <c r="AP247" s="594">
        <v>38</v>
      </c>
      <c r="AQ247" s="594">
        <v>39</v>
      </c>
      <c r="AR247" s="594">
        <v>40</v>
      </c>
      <c r="AS247" s="594">
        <v>41</v>
      </c>
      <c r="AT247" s="594">
        <v>42</v>
      </c>
      <c r="AU247" s="594">
        <v>43</v>
      </c>
      <c r="AV247" s="594">
        <v>44</v>
      </c>
      <c r="AW247" s="594">
        <v>45</v>
      </c>
      <c r="AX247" s="594">
        <v>46</v>
      </c>
      <c r="AY247" s="594">
        <v>47</v>
      </c>
      <c r="AZ247" s="594">
        <v>48</v>
      </c>
      <c r="BA247" s="594">
        <v>49</v>
      </c>
      <c r="BB247" s="595">
        <v>50</v>
      </c>
      <c r="BC247" s="592"/>
    </row>
    <row r="248" spans="1:242" s="569" customFormat="1" ht="18.75" hidden="1" customHeight="1">
      <c r="A248" s="156">
        <v>2</v>
      </c>
      <c r="B248" s="1051" t="s">
        <v>672</v>
      </c>
      <c r="C248" s="596" t="s">
        <v>673</v>
      </c>
      <c r="D248" s="597">
        <v>2027</v>
      </c>
      <c r="E248" s="733">
        <f t="shared" ref="E248:BB248" ca="1" si="96">IFERROR(MATCH($B248&amp;E$247,OFFSET(INDIRECT("貼付け_"&amp;$D248&amp;"実績"),4,0,1,205),0)-1,"")</f>
        <v>33</v>
      </c>
      <c r="F248" s="598">
        <f t="shared" ca="1" si="96"/>
        <v>37</v>
      </c>
      <c r="G248" s="598">
        <f t="shared" ca="1" si="96"/>
        <v>41</v>
      </c>
      <c r="H248" s="598">
        <f t="shared" ca="1" si="96"/>
        <v>45</v>
      </c>
      <c r="I248" s="598">
        <f t="shared" ca="1" si="96"/>
        <v>49</v>
      </c>
      <c r="J248" s="598">
        <f t="shared" ca="1" si="96"/>
        <v>53</v>
      </c>
      <c r="K248" s="598">
        <f t="shared" ca="1" si="96"/>
        <v>57</v>
      </c>
      <c r="L248" s="598">
        <f t="shared" ca="1" si="96"/>
        <v>61</v>
      </c>
      <c r="M248" s="598">
        <f t="shared" ca="1" si="96"/>
        <v>65</v>
      </c>
      <c r="N248" s="598">
        <f t="shared" ca="1" si="96"/>
        <v>69</v>
      </c>
      <c r="O248" s="598" t="str">
        <f ca="1">IFERROR(MATCH($B248&amp;O$247,OFFSET(INDIRECT("貼付け_"&amp;$D248&amp;"実績"),4,0,1,205),0)-1,"")</f>
        <v/>
      </c>
      <c r="P248" s="598" t="str">
        <f t="shared" ca="1" si="96"/>
        <v/>
      </c>
      <c r="Q248" s="598" t="str">
        <f t="shared" ca="1" si="96"/>
        <v/>
      </c>
      <c r="R248" s="598" t="str">
        <f t="shared" ca="1" si="96"/>
        <v/>
      </c>
      <c r="S248" s="598" t="str">
        <f t="shared" ca="1" si="96"/>
        <v/>
      </c>
      <c r="T248" s="598" t="str">
        <f t="shared" ca="1" si="96"/>
        <v/>
      </c>
      <c r="U248" s="598" t="str">
        <f t="shared" ca="1" si="96"/>
        <v/>
      </c>
      <c r="V248" s="598" t="str">
        <f t="shared" ca="1" si="96"/>
        <v/>
      </c>
      <c r="W248" s="598" t="str">
        <f t="shared" ca="1" si="96"/>
        <v/>
      </c>
      <c r="X248" s="598" t="str">
        <f t="shared" ca="1" si="96"/>
        <v/>
      </c>
      <c r="Y248" s="598" t="str">
        <f t="shared" ca="1" si="96"/>
        <v/>
      </c>
      <c r="Z248" s="598" t="str">
        <f t="shared" ca="1" si="96"/>
        <v/>
      </c>
      <c r="AA248" s="598" t="str">
        <f t="shared" ca="1" si="96"/>
        <v/>
      </c>
      <c r="AB248" s="598" t="str">
        <f t="shared" ca="1" si="96"/>
        <v/>
      </c>
      <c r="AC248" s="598" t="str">
        <f t="shared" ca="1" si="96"/>
        <v/>
      </c>
      <c r="AD248" s="598" t="str">
        <f t="shared" ca="1" si="96"/>
        <v/>
      </c>
      <c r="AE248" s="598" t="str">
        <f t="shared" ca="1" si="96"/>
        <v/>
      </c>
      <c r="AF248" s="598" t="str">
        <f t="shared" ca="1" si="96"/>
        <v/>
      </c>
      <c r="AG248" s="598" t="str">
        <f t="shared" ca="1" si="96"/>
        <v/>
      </c>
      <c r="AH248" s="598" t="str">
        <f t="shared" ca="1" si="96"/>
        <v/>
      </c>
      <c r="AI248" s="598" t="str">
        <f t="shared" ca="1" si="96"/>
        <v/>
      </c>
      <c r="AJ248" s="598" t="str">
        <f t="shared" ca="1" si="96"/>
        <v/>
      </c>
      <c r="AK248" s="598" t="str">
        <f t="shared" ca="1" si="96"/>
        <v/>
      </c>
      <c r="AL248" s="598" t="str">
        <f t="shared" ca="1" si="96"/>
        <v/>
      </c>
      <c r="AM248" s="598" t="str">
        <f t="shared" ca="1" si="96"/>
        <v/>
      </c>
      <c r="AN248" s="598" t="str">
        <f t="shared" ca="1" si="96"/>
        <v/>
      </c>
      <c r="AO248" s="598" t="str">
        <f t="shared" ca="1" si="96"/>
        <v/>
      </c>
      <c r="AP248" s="598" t="str">
        <f t="shared" ca="1" si="96"/>
        <v/>
      </c>
      <c r="AQ248" s="598" t="str">
        <f t="shared" ca="1" si="96"/>
        <v/>
      </c>
      <c r="AR248" s="598" t="str">
        <f t="shared" ca="1" si="96"/>
        <v/>
      </c>
      <c r="AS248" s="598" t="str">
        <f t="shared" ca="1" si="96"/>
        <v/>
      </c>
      <c r="AT248" s="598" t="str">
        <f t="shared" ca="1" si="96"/>
        <v/>
      </c>
      <c r="AU248" s="598" t="str">
        <f t="shared" ca="1" si="96"/>
        <v/>
      </c>
      <c r="AV248" s="598" t="str">
        <f t="shared" ca="1" si="96"/>
        <v/>
      </c>
      <c r="AW248" s="598" t="str">
        <f t="shared" ca="1" si="96"/>
        <v/>
      </c>
      <c r="AX248" s="598" t="str">
        <f t="shared" ca="1" si="96"/>
        <v/>
      </c>
      <c r="AY248" s="598" t="str">
        <f t="shared" ca="1" si="96"/>
        <v/>
      </c>
      <c r="AZ248" s="598" t="str">
        <f t="shared" ca="1" si="96"/>
        <v/>
      </c>
      <c r="BA248" s="598" t="str">
        <f t="shared" ca="1" si="96"/>
        <v/>
      </c>
      <c r="BB248" s="649" t="str">
        <f t="shared" ca="1" si="96"/>
        <v/>
      </c>
      <c r="BC248" s="156" t="str">
        <f>D248&amp;"年度"</f>
        <v>2027年度</v>
      </c>
      <c r="BD248" s="156">
        <v>1</v>
      </c>
      <c r="BE248" s="156">
        <v>2</v>
      </c>
      <c r="BF248" s="156">
        <v>3</v>
      </c>
      <c r="BG248" s="156">
        <v>4</v>
      </c>
      <c r="BH248" s="156">
        <v>5</v>
      </c>
      <c r="BI248" s="156">
        <v>6</v>
      </c>
      <c r="BJ248" s="156">
        <v>7</v>
      </c>
      <c r="BK248" s="156">
        <v>8</v>
      </c>
      <c r="BL248" s="156">
        <v>9</v>
      </c>
      <c r="BM248" s="156">
        <v>10</v>
      </c>
      <c r="BN248" s="156">
        <v>11</v>
      </c>
      <c r="BO248" s="156">
        <v>12</v>
      </c>
      <c r="BP248" s="156">
        <v>13</v>
      </c>
      <c r="BQ248" s="156">
        <v>14</v>
      </c>
      <c r="BR248" s="156">
        <v>15</v>
      </c>
      <c r="BS248" s="156">
        <v>16</v>
      </c>
      <c r="BT248" s="156">
        <v>17</v>
      </c>
      <c r="BU248" s="156">
        <v>18</v>
      </c>
      <c r="BV248" s="156">
        <v>19</v>
      </c>
      <c r="BW248" s="156">
        <v>20</v>
      </c>
      <c r="BX248" s="156">
        <v>21</v>
      </c>
      <c r="BY248" s="156">
        <v>22</v>
      </c>
      <c r="BZ248" s="156">
        <v>23</v>
      </c>
      <c r="CA248" s="156">
        <v>24</v>
      </c>
      <c r="CB248" s="156">
        <v>25</v>
      </c>
      <c r="CC248" s="156">
        <v>26</v>
      </c>
      <c r="CD248" s="156">
        <v>27</v>
      </c>
      <c r="CE248" s="156">
        <v>28</v>
      </c>
      <c r="CF248" s="156">
        <v>29</v>
      </c>
      <c r="CG248" s="156">
        <v>30</v>
      </c>
      <c r="CH248" s="156">
        <v>31</v>
      </c>
      <c r="CI248" s="156">
        <v>32</v>
      </c>
      <c r="CJ248" s="156">
        <v>33</v>
      </c>
      <c r="CK248" s="156">
        <v>34</v>
      </c>
      <c r="CL248" s="156">
        <v>35</v>
      </c>
      <c r="CM248" s="156">
        <v>36</v>
      </c>
      <c r="CN248" s="156">
        <v>37</v>
      </c>
      <c r="CO248" s="156">
        <v>38</v>
      </c>
      <c r="CP248" s="156">
        <v>39</v>
      </c>
      <c r="CQ248" s="156">
        <v>40</v>
      </c>
      <c r="CR248" s="156">
        <v>41</v>
      </c>
      <c r="CS248" s="156">
        <v>42</v>
      </c>
      <c r="CT248" s="156">
        <v>43</v>
      </c>
      <c r="CU248" s="156">
        <v>44</v>
      </c>
      <c r="CV248" s="156">
        <v>45</v>
      </c>
      <c r="CW248" s="156">
        <v>46</v>
      </c>
      <c r="CX248" s="156">
        <v>47</v>
      </c>
      <c r="CY248" s="156">
        <v>48</v>
      </c>
      <c r="CZ248" s="156">
        <v>49</v>
      </c>
      <c r="DA248" s="156">
        <v>50</v>
      </c>
      <c r="DB248" s="156"/>
      <c r="DC248" s="156"/>
      <c r="DD248" s="156"/>
      <c r="DE248" s="156"/>
      <c r="DF248" s="156"/>
      <c r="DG248" s="156"/>
      <c r="DH248" s="156"/>
      <c r="DI248" s="156"/>
      <c r="DJ248" s="156"/>
      <c r="DK248" s="156"/>
      <c r="DL248" s="156"/>
      <c r="DM248" s="156"/>
      <c r="DN248" s="156"/>
      <c r="DO248" s="156"/>
      <c r="DP248" s="156"/>
      <c r="DQ248" s="156"/>
      <c r="DR248" s="156"/>
      <c r="DS248" s="156"/>
      <c r="DT248" s="156"/>
      <c r="DU248" s="156"/>
      <c r="DV248" s="156"/>
      <c r="DW248" s="156"/>
      <c r="DX248" s="156"/>
      <c r="DY248" s="156"/>
      <c r="DZ248" s="156"/>
      <c r="EA248" s="156"/>
      <c r="EB248" s="156"/>
      <c r="EC248" s="156"/>
      <c r="ED248" s="156"/>
      <c r="EE248" s="156"/>
      <c r="EF248" s="156"/>
      <c r="EG248" s="156"/>
      <c r="EH248" s="156"/>
      <c r="EI248" s="156"/>
      <c r="EJ248" s="156"/>
      <c r="EK248" s="156"/>
      <c r="EL248" s="156"/>
      <c r="EM248" s="156"/>
      <c r="EN248" s="156"/>
      <c r="EO248" s="156"/>
      <c r="EP248" s="156"/>
      <c r="EQ248" s="156"/>
      <c r="ER248" s="156"/>
      <c r="ES248" s="156"/>
      <c r="ET248" s="156"/>
      <c r="EU248" s="156"/>
      <c r="EV248" s="156"/>
      <c r="EW248" s="156"/>
      <c r="EX248" s="156"/>
      <c r="EY248" s="156"/>
      <c r="EZ248" s="156"/>
      <c r="FA248" s="156"/>
      <c r="FB248" s="156"/>
      <c r="FC248" s="156"/>
      <c r="FD248" s="156"/>
      <c r="FE248" s="156"/>
      <c r="FF248" s="156"/>
      <c r="FG248" s="156"/>
      <c r="FH248" s="156"/>
      <c r="FI248" s="156"/>
      <c r="FJ248" s="156"/>
      <c r="FK248" s="156"/>
      <c r="FL248" s="156"/>
      <c r="FM248" s="156"/>
      <c r="FN248" s="156"/>
      <c r="FO248" s="156"/>
      <c r="FP248" s="156"/>
      <c r="FQ248" s="156"/>
      <c r="FR248" s="156"/>
      <c r="FS248" s="156"/>
      <c r="FT248" s="156"/>
      <c r="FU248" s="156"/>
      <c r="FV248" s="156"/>
      <c r="FW248" s="156"/>
      <c r="FX248" s="156"/>
      <c r="FY248" s="156"/>
      <c r="FZ248" s="156"/>
      <c r="GA248" s="156"/>
      <c r="GB248" s="156"/>
      <c r="GC248" s="156"/>
      <c r="GD248" s="156"/>
      <c r="GE248" s="156"/>
      <c r="GF248" s="156"/>
      <c r="GG248" s="156"/>
      <c r="GH248" s="156"/>
      <c r="GI248" s="156"/>
      <c r="GJ248" s="156"/>
      <c r="GK248" s="156"/>
      <c r="GL248" s="156"/>
      <c r="GM248" s="156"/>
      <c r="GN248" s="156"/>
      <c r="GO248" s="156"/>
      <c r="GP248" s="156"/>
      <c r="GQ248" s="156"/>
      <c r="GR248" s="156"/>
      <c r="GS248" s="156"/>
      <c r="GT248" s="156"/>
      <c r="GU248" s="156"/>
      <c r="GV248" s="156"/>
      <c r="GW248" s="156"/>
      <c r="GX248" s="156"/>
      <c r="GY248" s="156"/>
      <c r="GZ248" s="156"/>
      <c r="HA248" s="156"/>
      <c r="HB248" s="156"/>
      <c r="HC248" s="156"/>
      <c r="HD248" s="156"/>
      <c r="HE248" s="156"/>
      <c r="HF248" s="156"/>
      <c r="HG248" s="156"/>
      <c r="HH248" s="156"/>
      <c r="HI248" s="156"/>
      <c r="HJ248" s="156"/>
      <c r="HK248" s="156"/>
      <c r="IE248" s="603"/>
      <c r="IF248" s="603"/>
      <c r="IG248" s="603"/>
      <c r="IH248" s="603"/>
    </row>
    <row r="249" spans="1:242" s="569" customFormat="1" ht="19.5" hidden="1" customHeight="1">
      <c r="A249" s="569">
        <v>3</v>
      </c>
      <c r="B249" s="1052"/>
      <c r="C249" s="599" t="str">
        <f>"~"&amp;D248-1&amp;"/"&amp;D248</f>
        <v>~2026/2027</v>
      </c>
      <c r="D249" s="600" t="str">
        <f>""</f>
        <v/>
      </c>
      <c r="E249" s="734" t="str">
        <f t="shared" ref="E249:AJ249" ca="1" si="97">IF(OFFSET(A1_原単位2026,6,E$247+2)="",OFFSET(A1_原単位2026,3,E$247+2),OFFSET(A1_原単位2026,6,E$247+2))</f>
        <v/>
      </c>
      <c r="F249" s="601" t="str">
        <f t="shared" ca="1" si="97"/>
        <v/>
      </c>
      <c r="G249" s="601" t="str">
        <f t="shared" ca="1" si="97"/>
        <v/>
      </c>
      <c r="H249" s="601" t="str">
        <f t="shared" ca="1" si="97"/>
        <v/>
      </c>
      <c r="I249" s="601" t="str">
        <f t="shared" ca="1" si="97"/>
        <v/>
      </c>
      <c r="J249" s="601" t="str">
        <f t="shared" ca="1" si="97"/>
        <v/>
      </c>
      <c r="K249" s="601" t="str">
        <f t="shared" ca="1" si="97"/>
        <v/>
      </c>
      <c r="L249" s="601" t="str">
        <f t="shared" ca="1" si="97"/>
        <v/>
      </c>
      <c r="M249" s="601" t="str">
        <f t="shared" ca="1" si="97"/>
        <v/>
      </c>
      <c r="N249" s="601" t="str">
        <f t="shared" ca="1" si="97"/>
        <v/>
      </c>
      <c r="O249" s="601" t="str">
        <f ca="1">IF(OFFSET(A1_原単位2026,6,O$247+2)="",OFFSET(A1_原単位2026,3,O$247+2),OFFSET(A1_原単位2026,6,O$247+2))</f>
        <v/>
      </c>
      <c r="P249" s="601" t="str">
        <f t="shared" ca="1" si="97"/>
        <v/>
      </c>
      <c r="Q249" s="601" t="str">
        <f t="shared" ca="1" si="97"/>
        <v/>
      </c>
      <c r="R249" s="601" t="str">
        <f t="shared" ca="1" si="97"/>
        <v/>
      </c>
      <c r="S249" s="601" t="str">
        <f t="shared" ca="1" si="97"/>
        <v/>
      </c>
      <c r="T249" s="601" t="str">
        <f t="shared" ca="1" si="97"/>
        <v/>
      </c>
      <c r="U249" s="601" t="str">
        <f t="shared" ca="1" si="97"/>
        <v/>
      </c>
      <c r="V249" s="601" t="str">
        <f t="shared" ca="1" si="97"/>
        <v/>
      </c>
      <c r="W249" s="601" t="str">
        <f t="shared" ca="1" si="97"/>
        <v/>
      </c>
      <c r="X249" s="601" t="str">
        <f t="shared" ca="1" si="97"/>
        <v/>
      </c>
      <c r="Y249" s="601" t="str">
        <f t="shared" ca="1" si="97"/>
        <v/>
      </c>
      <c r="Z249" s="601" t="str">
        <f t="shared" ca="1" si="97"/>
        <v/>
      </c>
      <c r="AA249" s="601" t="str">
        <f t="shared" ca="1" si="97"/>
        <v/>
      </c>
      <c r="AB249" s="601" t="str">
        <f t="shared" ca="1" si="97"/>
        <v/>
      </c>
      <c r="AC249" s="601" t="str">
        <f t="shared" ca="1" si="97"/>
        <v/>
      </c>
      <c r="AD249" s="601" t="str">
        <f t="shared" ca="1" si="97"/>
        <v/>
      </c>
      <c r="AE249" s="601" t="str">
        <f t="shared" ca="1" si="97"/>
        <v/>
      </c>
      <c r="AF249" s="601" t="str">
        <f t="shared" ca="1" si="97"/>
        <v/>
      </c>
      <c r="AG249" s="601" t="str">
        <f t="shared" ca="1" si="97"/>
        <v/>
      </c>
      <c r="AH249" s="601" t="str">
        <f t="shared" ca="1" si="97"/>
        <v/>
      </c>
      <c r="AI249" s="601" t="str">
        <f t="shared" ca="1" si="97"/>
        <v/>
      </c>
      <c r="AJ249" s="601" t="str">
        <f t="shared" ca="1" si="97"/>
        <v/>
      </c>
      <c r="AK249" s="601" t="str">
        <f t="shared" ref="AK249:BB249" ca="1" si="98">IF(OFFSET(A1_原単位2026,6,AK$247+2)="",OFFSET(A1_原単位2026,3,AK$247+2),OFFSET(A1_原単位2026,6,AK$247+2))</f>
        <v/>
      </c>
      <c r="AL249" s="601" t="str">
        <f t="shared" ca="1" si="98"/>
        <v/>
      </c>
      <c r="AM249" s="601" t="str">
        <f t="shared" ca="1" si="98"/>
        <v/>
      </c>
      <c r="AN249" s="601" t="str">
        <f t="shared" ca="1" si="98"/>
        <v/>
      </c>
      <c r="AO249" s="601" t="str">
        <f t="shared" ca="1" si="98"/>
        <v/>
      </c>
      <c r="AP249" s="601" t="str">
        <f t="shared" ca="1" si="98"/>
        <v/>
      </c>
      <c r="AQ249" s="601" t="str">
        <f t="shared" ca="1" si="98"/>
        <v/>
      </c>
      <c r="AR249" s="601" t="str">
        <f t="shared" ca="1" si="98"/>
        <v/>
      </c>
      <c r="AS249" s="601" t="str">
        <f t="shared" ca="1" si="98"/>
        <v/>
      </c>
      <c r="AT249" s="601" t="str">
        <f t="shared" ca="1" si="98"/>
        <v/>
      </c>
      <c r="AU249" s="601" t="str">
        <f t="shared" ca="1" si="98"/>
        <v/>
      </c>
      <c r="AV249" s="601" t="str">
        <f t="shared" ca="1" si="98"/>
        <v/>
      </c>
      <c r="AW249" s="601" t="str">
        <f t="shared" ca="1" si="98"/>
        <v/>
      </c>
      <c r="AX249" s="601" t="str">
        <f t="shared" ca="1" si="98"/>
        <v/>
      </c>
      <c r="AY249" s="601" t="str">
        <f t="shared" ca="1" si="98"/>
        <v/>
      </c>
      <c r="AZ249" s="601" t="str">
        <f t="shared" ca="1" si="98"/>
        <v/>
      </c>
      <c r="BA249" s="601" t="str">
        <f t="shared" ca="1" si="98"/>
        <v/>
      </c>
      <c r="BB249" s="650" t="str">
        <f t="shared" ca="1" si="98"/>
        <v/>
      </c>
      <c r="BC249" s="601" t="str">
        <f>""</f>
        <v/>
      </c>
      <c r="BD249" s="601" t="str">
        <f t="shared" ref="BD249:CI249" ca="1" si="99">IFERROR(OFFSET(貼付け_2027実績,5,E248+1),"")&amp;""</f>
        <v/>
      </c>
      <c r="BE249" s="601" t="str">
        <f t="shared" ca="1" si="99"/>
        <v/>
      </c>
      <c r="BF249" s="601" t="str">
        <f t="shared" ca="1" si="99"/>
        <v/>
      </c>
      <c r="BG249" s="601" t="str">
        <f t="shared" ca="1" si="99"/>
        <v/>
      </c>
      <c r="BH249" s="601" t="str">
        <f t="shared" ca="1" si="99"/>
        <v/>
      </c>
      <c r="BI249" s="601" t="str">
        <f t="shared" ca="1" si="99"/>
        <v/>
      </c>
      <c r="BJ249" s="601" t="str">
        <f t="shared" ca="1" si="99"/>
        <v/>
      </c>
      <c r="BK249" s="601" t="str">
        <f t="shared" ca="1" si="99"/>
        <v/>
      </c>
      <c r="BL249" s="601" t="str">
        <f t="shared" ca="1" si="99"/>
        <v/>
      </c>
      <c r="BM249" s="601" t="str">
        <f t="shared" ca="1" si="99"/>
        <v/>
      </c>
      <c r="BN249" s="601" t="str">
        <f ca="1">IFERROR(OFFSET(貼付け_2027実績,5,O248+1),"")&amp;""</f>
        <v/>
      </c>
      <c r="BO249" s="601" t="str">
        <f t="shared" ca="1" si="99"/>
        <v/>
      </c>
      <c r="BP249" s="601" t="str">
        <f t="shared" ca="1" si="99"/>
        <v/>
      </c>
      <c r="BQ249" s="601" t="str">
        <f t="shared" ca="1" si="99"/>
        <v/>
      </c>
      <c r="BR249" s="601" t="str">
        <f t="shared" ca="1" si="99"/>
        <v/>
      </c>
      <c r="BS249" s="601" t="str">
        <f t="shared" ca="1" si="99"/>
        <v/>
      </c>
      <c r="BT249" s="601" t="str">
        <f t="shared" ca="1" si="99"/>
        <v/>
      </c>
      <c r="BU249" s="601" t="str">
        <f t="shared" ca="1" si="99"/>
        <v/>
      </c>
      <c r="BV249" s="601" t="str">
        <f t="shared" ca="1" si="99"/>
        <v/>
      </c>
      <c r="BW249" s="601" t="str">
        <f t="shared" ca="1" si="99"/>
        <v/>
      </c>
      <c r="BX249" s="601" t="str">
        <f t="shared" ca="1" si="99"/>
        <v/>
      </c>
      <c r="BY249" s="601" t="str">
        <f t="shared" ca="1" si="99"/>
        <v/>
      </c>
      <c r="BZ249" s="601" t="str">
        <f t="shared" ca="1" si="99"/>
        <v/>
      </c>
      <c r="CA249" s="601" t="str">
        <f t="shared" ca="1" si="99"/>
        <v/>
      </c>
      <c r="CB249" s="601" t="str">
        <f t="shared" ca="1" si="99"/>
        <v/>
      </c>
      <c r="CC249" s="601" t="str">
        <f t="shared" ca="1" si="99"/>
        <v/>
      </c>
      <c r="CD249" s="601" t="str">
        <f t="shared" ca="1" si="99"/>
        <v/>
      </c>
      <c r="CE249" s="601" t="str">
        <f t="shared" ca="1" si="99"/>
        <v/>
      </c>
      <c r="CF249" s="601" t="str">
        <f t="shared" ca="1" si="99"/>
        <v/>
      </c>
      <c r="CG249" s="601" t="str">
        <f t="shared" ca="1" si="99"/>
        <v/>
      </c>
      <c r="CH249" s="601" t="str">
        <f t="shared" ca="1" si="99"/>
        <v/>
      </c>
      <c r="CI249" s="601" t="str">
        <f t="shared" ca="1" si="99"/>
        <v/>
      </c>
      <c r="CJ249" s="601" t="str">
        <f t="shared" ref="CJ249:DA249" ca="1" si="100">IFERROR(OFFSET(貼付け_2027実績,5,AK248+1),"")&amp;""</f>
        <v/>
      </c>
      <c r="CK249" s="601" t="str">
        <f t="shared" ca="1" si="100"/>
        <v/>
      </c>
      <c r="CL249" s="601" t="str">
        <f t="shared" ca="1" si="100"/>
        <v/>
      </c>
      <c r="CM249" s="601" t="str">
        <f t="shared" ca="1" si="100"/>
        <v/>
      </c>
      <c r="CN249" s="601" t="str">
        <f t="shared" ca="1" si="100"/>
        <v/>
      </c>
      <c r="CO249" s="601" t="str">
        <f t="shared" ca="1" si="100"/>
        <v/>
      </c>
      <c r="CP249" s="601" t="str">
        <f t="shared" ca="1" si="100"/>
        <v/>
      </c>
      <c r="CQ249" s="601" t="str">
        <f t="shared" ca="1" si="100"/>
        <v/>
      </c>
      <c r="CR249" s="601" t="str">
        <f t="shared" ca="1" si="100"/>
        <v/>
      </c>
      <c r="CS249" s="601" t="str">
        <f t="shared" ca="1" si="100"/>
        <v/>
      </c>
      <c r="CT249" s="601" t="str">
        <f t="shared" ca="1" si="100"/>
        <v/>
      </c>
      <c r="CU249" s="601" t="str">
        <f t="shared" ca="1" si="100"/>
        <v/>
      </c>
      <c r="CV249" s="601" t="str">
        <f t="shared" ca="1" si="100"/>
        <v/>
      </c>
      <c r="CW249" s="601" t="str">
        <f t="shared" ca="1" si="100"/>
        <v/>
      </c>
      <c r="CX249" s="601" t="str">
        <f t="shared" ca="1" si="100"/>
        <v/>
      </c>
      <c r="CY249" s="601" t="str">
        <f t="shared" ca="1" si="100"/>
        <v/>
      </c>
      <c r="CZ249" s="601" t="str">
        <f t="shared" ca="1" si="100"/>
        <v/>
      </c>
      <c r="DA249" s="601" t="str">
        <f t="shared" ca="1" si="100"/>
        <v/>
      </c>
      <c r="IE249" s="603"/>
      <c r="IF249" s="603"/>
      <c r="IG249" s="603"/>
      <c r="IH249" s="603"/>
    </row>
    <row r="250" spans="1:242" s="569" customFormat="1" hidden="1">
      <c r="A250" s="569">
        <v>4</v>
      </c>
      <c r="B250" s="1052"/>
      <c r="C250" s="599" t="str">
        <f>"~"&amp;D248-1&amp;"&amp;"&amp;D248</f>
        <v>~2026&amp;2027</v>
      </c>
      <c r="D250" s="600" t="str">
        <f>""</f>
        <v/>
      </c>
      <c r="E250" s="734" t="str">
        <f t="array" aca="1" ref="E250" ca="1">IFERROR(INDEX($E249:$DA249,MATCH(0,COUNTIF($D250:D250,$E249:$DA249),0)),"")</f>
        <v/>
      </c>
      <c r="F250" s="601" t="str">
        <f t="array" aca="1" ref="F250" ca="1">IFERROR(INDEX($E249:$DA249,MATCH(0,COUNTIF($D250:E250,$E249:$DA249),0)),"")</f>
        <v/>
      </c>
      <c r="G250" s="601" t="str">
        <f t="array" aca="1" ref="G250" ca="1">IFERROR(INDEX($E249:$DA249,MATCH(0,COUNTIF($D250:F250,$E249:$DA249),0)),"")</f>
        <v/>
      </c>
      <c r="H250" s="601" t="str">
        <f t="array" aca="1" ref="H250" ca="1">IFERROR(INDEX($E249:$DA249,MATCH(0,COUNTIF($D250:G250,$E249:$DA249),0)),"")</f>
        <v/>
      </c>
      <c r="I250" s="601" t="str">
        <f t="array" aca="1" ref="I250" ca="1">IFERROR(INDEX($E249:$DA249,MATCH(0,COUNTIF($D250:H250,$E249:$DA249),0)),"")</f>
        <v/>
      </c>
      <c r="J250" s="601" t="str">
        <f t="array" aca="1" ref="J250" ca="1">IFERROR(INDEX($E249:$DA249,MATCH(0,COUNTIF($D250:I250,$E249:$DA249),0)),"")</f>
        <v/>
      </c>
      <c r="K250" s="601" t="str">
        <f t="array" aca="1" ref="K250" ca="1">IFERROR(INDEX($E249:$DA249,MATCH(0,COUNTIF($D250:J250,$E249:$DA249),0)),"")</f>
        <v/>
      </c>
      <c r="L250" s="601" t="str">
        <f t="array" aca="1" ref="L250" ca="1">IFERROR(INDEX($E249:$DA249,MATCH(0,COUNTIF($D250:K250,$E249:$DA249),0)),"")</f>
        <v/>
      </c>
      <c r="M250" s="601" t="str">
        <f t="array" aca="1" ref="M250" ca="1">IFERROR(INDEX($E249:$DA249,MATCH(0,COUNTIF($D250:L250,$E249:$DA249),0)),"")</f>
        <v/>
      </c>
      <c r="N250" s="601" t="str">
        <f t="array" aca="1" ref="N250" ca="1">IFERROR(INDEX($E249:$DA249,MATCH(0,COUNTIF($D250:M250,$E249:$DA249),0)),"")</f>
        <v/>
      </c>
      <c r="O250" s="601" t="str">
        <f t="array" aca="1" ref="O250" ca="1">IFERROR(INDEX($E249:$DA249,MATCH(0,COUNTIF($D250:N250,$E249:$DA249),0)),"")</f>
        <v/>
      </c>
      <c r="P250" s="601" t="str">
        <f t="array" aca="1" ref="P250" ca="1">IFERROR(INDEX($E249:$DA249,MATCH(0,COUNTIF($D250:O250,$E249:$DA249),0)),"")</f>
        <v/>
      </c>
      <c r="Q250" s="601" t="str">
        <f t="array" aca="1" ref="Q250" ca="1">IFERROR(INDEX($E249:$DA249,MATCH(0,COUNTIF($D250:P250,$E249:$DA249),0)),"")</f>
        <v/>
      </c>
      <c r="R250" s="601" t="str">
        <f t="array" aca="1" ref="R250" ca="1">IFERROR(INDEX($E249:$DA249,MATCH(0,COUNTIF($D250:Q250,$E249:$DA249),0)),"")</f>
        <v/>
      </c>
      <c r="S250" s="601" t="str">
        <f t="array" aca="1" ref="S250" ca="1">IFERROR(INDEX($E249:$DA249,MATCH(0,COUNTIF($D250:R250,$E249:$DA249),0)),"")</f>
        <v/>
      </c>
      <c r="T250" s="601" t="str">
        <f t="array" aca="1" ref="T250" ca="1">IFERROR(INDEX($E249:$DA249,MATCH(0,COUNTIF($D250:S250,$E249:$DA249),0)),"")</f>
        <v/>
      </c>
      <c r="U250" s="601" t="str">
        <f t="array" aca="1" ref="U250" ca="1">IFERROR(INDEX($E249:$DA249,MATCH(0,COUNTIF($D250:T250,$E249:$DA249),0)),"")</f>
        <v/>
      </c>
      <c r="V250" s="601" t="str">
        <f t="array" aca="1" ref="V250" ca="1">IFERROR(INDEX($E249:$DA249,MATCH(0,COUNTIF($D250:U250,$E249:$DA249),0)),"")</f>
        <v/>
      </c>
      <c r="W250" s="601" t="str">
        <f t="array" aca="1" ref="W250" ca="1">IFERROR(INDEX($E249:$DA249,MATCH(0,COUNTIF($D250:V250,$E249:$DA249),0)),"")</f>
        <v/>
      </c>
      <c r="X250" s="601" t="str">
        <f t="array" aca="1" ref="X250" ca="1">IFERROR(INDEX($E249:$DA249,MATCH(0,COUNTIF($D250:W250,$E249:$DA249),0)),"")</f>
        <v/>
      </c>
      <c r="Y250" s="601" t="str">
        <f t="array" aca="1" ref="Y250" ca="1">IFERROR(INDEX($E249:$DA249,MATCH(0,COUNTIF($D250:X250,$E249:$DA249),0)),"")</f>
        <v/>
      </c>
      <c r="Z250" s="601" t="str">
        <f t="array" aca="1" ref="Z250" ca="1">IFERROR(INDEX($E249:$DA249,MATCH(0,COUNTIF($D250:Y250,$E249:$DA249),0)),"")</f>
        <v/>
      </c>
      <c r="AA250" s="601" t="str">
        <f t="array" aca="1" ref="AA250" ca="1">IFERROR(INDEX($E249:$DA249,MATCH(0,COUNTIF($D250:Z250,$E249:$DA249),0)),"")</f>
        <v/>
      </c>
      <c r="AB250" s="601" t="str">
        <f t="array" aca="1" ref="AB250" ca="1">IFERROR(INDEX($E249:$DA249,MATCH(0,COUNTIF($D250:AA250,$E249:$DA249),0)),"")</f>
        <v/>
      </c>
      <c r="AC250" s="601" t="str">
        <f t="array" aca="1" ref="AC250" ca="1">IFERROR(INDEX($E249:$DA249,MATCH(0,COUNTIF($D250:AB250,$E249:$DA249),0)),"")</f>
        <v/>
      </c>
      <c r="AD250" s="601" t="str">
        <f t="array" aca="1" ref="AD250" ca="1">IFERROR(INDEX($E249:$DA249,MATCH(0,COUNTIF($D250:AC250,$E249:$DA249),0)),"")</f>
        <v/>
      </c>
      <c r="AE250" s="601" t="str">
        <f t="array" aca="1" ref="AE250" ca="1">IFERROR(INDEX($E249:$DA249,MATCH(0,COUNTIF($D250:AD250,$E249:$DA249),0)),"")</f>
        <v/>
      </c>
      <c r="AF250" s="601" t="str">
        <f t="array" aca="1" ref="AF250" ca="1">IFERROR(INDEX($E249:$DA249,MATCH(0,COUNTIF($D250:AE250,$E249:$DA249),0)),"")</f>
        <v/>
      </c>
      <c r="AG250" s="601" t="str">
        <f t="array" aca="1" ref="AG250" ca="1">IFERROR(INDEX($E249:$DA249,MATCH(0,COUNTIF($D250:AF250,$E249:$DA249),0)),"")</f>
        <v/>
      </c>
      <c r="AH250" s="601" t="str">
        <f t="array" aca="1" ref="AH250" ca="1">IFERROR(INDEX($E249:$DA249,MATCH(0,COUNTIF($D250:AG250,$E249:$DA249),0)),"")</f>
        <v/>
      </c>
      <c r="AI250" s="601" t="str">
        <f t="array" aca="1" ref="AI250" ca="1">IFERROR(INDEX($E249:$DA249,MATCH(0,COUNTIF($D250:AH250,$E249:$DA249),0)),"")</f>
        <v/>
      </c>
      <c r="AJ250" s="601" t="str">
        <f t="array" aca="1" ref="AJ250" ca="1">IFERROR(INDEX($E249:$DA249,MATCH(0,COUNTIF($D250:AI250,$E249:$DA249),0)),"")</f>
        <v/>
      </c>
      <c r="AK250" s="601" t="str">
        <f t="array" aca="1" ref="AK250" ca="1">IFERROR(INDEX($E249:$DA249,MATCH(0,COUNTIF($D250:AJ250,$E249:$DA249),0)),"")</f>
        <v/>
      </c>
      <c r="AL250" s="601" t="str">
        <f t="array" aca="1" ref="AL250" ca="1">IFERROR(INDEX($E249:$DA249,MATCH(0,COUNTIF($D250:AK250,$E249:$DA249),0)),"")</f>
        <v/>
      </c>
      <c r="AM250" s="601" t="str">
        <f t="array" aca="1" ref="AM250" ca="1">IFERROR(INDEX($E249:$DA249,MATCH(0,COUNTIF($D250:AL250,$E249:$DA249),0)),"")</f>
        <v/>
      </c>
      <c r="AN250" s="601" t="str">
        <f t="array" aca="1" ref="AN250" ca="1">IFERROR(INDEX($E249:$DA249,MATCH(0,COUNTIF($D250:AM250,$E249:$DA249),0)),"")</f>
        <v/>
      </c>
      <c r="AO250" s="601" t="str">
        <f t="array" aca="1" ref="AO250" ca="1">IFERROR(INDEX($E249:$DA249,MATCH(0,COUNTIF($D250:AN250,$E249:$DA249),0)),"")</f>
        <v/>
      </c>
      <c r="AP250" s="601" t="str">
        <f t="array" aca="1" ref="AP250" ca="1">IFERROR(INDEX($E249:$DA249,MATCH(0,COUNTIF($D250:AO250,$E249:$DA249),0)),"")</f>
        <v/>
      </c>
      <c r="AQ250" s="601" t="str">
        <f t="array" aca="1" ref="AQ250" ca="1">IFERROR(INDEX($E249:$DA249,MATCH(0,COUNTIF($D250:AP250,$E249:$DA249),0)),"")</f>
        <v/>
      </c>
      <c r="AR250" s="601" t="str">
        <f t="array" aca="1" ref="AR250" ca="1">IFERROR(INDEX($E249:$DA249,MATCH(0,COUNTIF($D250:AQ250,$E249:$DA249),0)),"")</f>
        <v/>
      </c>
      <c r="AS250" s="601" t="str">
        <f t="array" aca="1" ref="AS250" ca="1">IFERROR(INDEX($E249:$DA249,MATCH(0,COUNTIF($D250:AR250,$E249:$DA249),0)),"")</f>
        <v/>
      </c>
      <c r="AT250" s="601" t="str">
        <f t="array" aca="1" ref="AT250" ca="1">IFERROR(INDEX($E249:$DA249,MATCH(0,COUNTIF($D250:AS250,$E249:$DA249),0)),"")</f>
        <v/>
      </c>
      <c r="AU250" s="601" t="str">
        <f t="array" aca="1" ref="AU250" ca="1">IFERROR(INDEX($E249:$DA249,MATCH(0,COUNTIF($D250:AT250,$E249:$DA249),0)),"")</f>
        <v/>
      </c>
      <c r="AV250" s="601" t="str">
        <f t="array" aca="1" ref="AV250" ca="1">IFERROR(INDEX($E249:$DA249,MATCH(0,COUNTIF($D250:AU250,$E249:$DA249),0)),"")</f>
        <v/>
      </c>
      <c r="AW250" s="601" t="str">
        <f t="array" aca="1" ref="AW250" ca="1">IFERROR(INDEX($E249:$DA249,MATCH(0,COUNTIF($D250:AV250,$E249:$DA249),0)),"")</f>
        <v/>
      </c>
      <c r="AX250" s="601" t="str">
        <f t="array" aca="1" ref="AX250" ca="1">IFERROR(INDEX($E249:$DA249,MATCH(0,COUNTIF($D250:AW250,$E249:$DA249),0)),"")</f>
        <v/>
      </c>
      <c r="AY250" s="601" t="str">
        <f t="array" aca="1" ref="AY250" ca="1">IFERROR(INDEX($E249:$DA249,MATCH(0,COUNTIF($D250:AX250,$E249:$DA249),0)),"")</f>
        <v/>
      </c>
      <c r="AZ250" s="601" t="str">
        <f t="array" aca="1" ref="AZ250" ca="1">IFERROR(INDEX($E249:$DA249,MATCH(0,COUNTIF($D250:AY250,$E249:$DA249),0)),"")</f>
        <v/>
      </c>
      <c r="BA250" s="602" t="str">
        <f t="array" aca="1" ref="BA250" ca="1">IFERROR(INDEX($E249:$DA249,MATCH(0,COUNTIF($D250:AZ250,$E249:$DA249),0)),"")</f>
        <v/>
      </c>
      <c r="BB250" s="650" t="str">
        <f t="array" aca="1" ref="BB250" ca="1">IFERROR(INDEX($E249:$DA249,MATCH(0,COUNTIF($D250:BA250,$E249:$DA249),0)),"")</f>
        <v/>
      </c>
      <c r="BC250" s="604"/>
      <c r="BD250" s="604" t="str">
        <f>""</f>
        <v/>
      </c>
      <c r="BE250" s="604"/>
      <c r="BF250" s="604"/>
      <c r="BG250" s="604"/>
      <c r="BH250" s="604"/>
      <c r="BI250" s="604"/>
      <c r="BJ250" s="604"/>
      <c r="BK250" s="604"/>
      <c r="BL250" s="604"/>
      <c r="BM250" s="604"/>
      <c r="BN250" s="604"/>
      <c r="BO250" s="604"/>
      <c r="BP250" s="604"/>
      <c r="BQ250" s="604"/>
      <c r="BR250" s="604"/>
      <c r="BS250" s="604"/>
      <c r="BT250" s="604"/>
      <c r="BU250" s="604"/>
      <c r="BV250" s="604"/>
      <c r="BW250" s="604"/>
      <c r="IE250" s="603"/>
      <c r="IF250" s="603"/>
      <c r="IG250" s="603"/>
      <c r="IH250" s="603"/>
    </row>
    <row r="251" spans="1:242" s="569" customFormat="1" hidden="1">
      <c r="A251" s="569">
        <v>5</v>
      </c>
      <c r="B251" s="1052"/>
      <c r="C251" s="599" t="s">
        <v>674</v>
      </c>
      <c r="D251" s="600" t="str">
        <f>""</f>
        <v/>
      </c>
      <c r="E251" s="734" t="str">
        <f t="shared" ref="E251:AJ251" ca="1" si="101">IF(OFFSET(貼付け_2027実績,2,12)="■",BD249,IFERROR(INDEX($BD249:$DA249,MATCH(E250,$BD249:$DA249,0)),""))</f>
        <v/>
      </c>
      <c r="F251" s="601" t="str">
        <f t="shared" ca="1" si="101"/>
        <v/>
      </c>
      <c r="G251" s="601" t="str">
        <f t="shared" ca="1" si="101"/>
        <v/>
      </c>
      <c r="H251" s="601" t="str">
        <f t="shared" ca="1" si="101"/>
        <v/>
      </c>
      <c r="I251" s="601" t="str">
        <f t="shared" ca="1" si="101"/>
        <v/>
      </c>
      <c r="J251" s="601" t="str">
        <f t="shared" ca="1" si="101"/>
        <v/>
      </c>
      <c r="K251" s="601" t="str">
        <f t="shared" ca="1" si="101"/>
        <v/>
      </c>
      <c r="L251" s="601" t="str">
        <f t="shared" ca="1" si="101"/>
        <v/>
      </c>
      <c r="M251" s="601" t="str">
        <f t="shared" ca="1" si="101"/>
        <v/>
      </c>
      <c r="N251" s="601" t="str">
        <f t="shared" ca="1" si="101"/>
        <v/>
      </c>
      <c r="O251" s="601" t="str">
        <f ca="1">IF(OFFSET(貼付け_2027実績,2,12)="■",BN249,IFERROR(INDEX($BD249:$DA249,MATCH(O250,$BD249:$DA249,0)),""))</f>
        <v/>
      </c>
      <c r="P251" s="601" t="str">
        <f t="shared" ca="1" si="101"/>
        <v/>
      </c>
      <c r="Q251" s="601" t="str">
        <f t="shared" ca="1" si="101"/>
        <v/>
      </c>
      <c r="R251" s="601" t="str">
        <f t="shared" ca="1" si="101"/>
        <v/>
      </c>
      <c r="S251" s="601" t="str">
        <f t="shared" ca="1" si="101"/>
        <v/>
      </c>
      <c r="T251" s="601" t="str">
        <f t="shared" ca="1" si="101"/>
        <v/>
      </c>
      <c r="U251" s="601" t="str">
        <f t="shared" ca="1" si="101"/>
        <v/>
      </c>
      <c r="V251" s="601" t="str">
        <f t="shared" ca="1" si="101"/>
        <v/>
      </c>
      <c r="W251" s="601" t="str">
        <f t="shared" ca="1" si="101"/>
        <v/>
      </c>
      <c r="X251" s="601" t="str">
        <f t="shared" ca="1" si="101"/>
        <v/>
      </c>
      <c r="Y251" s="601" t="str">
        <f t="shared" ca="1" si="101"/>
        <v/>
      </c>
      <c r="Z251" s="601" t="str">
        <f t="shared" ca="1" si="101"/>
        <v/>
      </c>
      <c r="AA251" s="601" t="str">
        <f t="shared" ca="1" si="101"/>
        <v/>
      </c>
      <c r="AB251" s="601" t="str">
        <f t="shared" ca="1" si="101"/>
        <v/>
      </c>
      <c r="AC251" s="601" t="str">
        <f t="shared" ca="1" si="101"/>
        <v/>
      </c>
      <c r="AD251" s="601" t="str">
        <f t="shared" ca="1" si="101"/>
        <v/>
      </c>
      <c r="AE251" s="601" t="str">
        <f t="shared" ca="1" si="101"/>
        <v/>
      </c>
      <c r="AF251" s="601" t="str">
        <f t="shared" ca="1" si="101"/>
        <v/>
      </c>
      <c r="AG251" s="601" t="str">
        <f t="shared" ca="1" si="101"/>
        <v/>
      </c>
      <c r="AH251" s="601" t="str">
        <f t="shared" ca="1" si="101"/>
        <v/>
      </c>
      <c r="AI251" s="601" t="str">
        <f t="shared" ca="1" si="101"/>
        <v/>
      </c>
      <c r="AJ251" s="601" t="str">
        <f t="shared" ca="1" si="101"/>
        <v/>
      </c>
      <c r="AK251" s="601" t="str">
        <f t="shared" ref="AK251:BB251" ca="1" si="102">IF(OFFSET(貼付け_2027実績,2,12)="■",CJ249,IFERROR(INDEX($BD249:$DA249,MATCH(AK250,$BD249:$DA249,0)),""))</f>
        <v/>
      </c>
      <c r="AL251" s="601" t="str">
        <f t="shared" ca="1" si="102"/>
        <v/>
      </c>
      <c r="AM251" s="601" t="str">
        <f t="shared" ca="1" si="102"/>
        <v/>
      </c>
      <c r="AN251" s="601" t="str">
        <f t="shared" ca="1" si="102"/>
        <v/>
      </c>
      <c r="AO251" s="601" t="str">
        <f t="shared" ca="1" si="102"/>
        <v/>
      </c>
      <c r="AP251" s="601" t="str">
        <f t="shared" ca="1" si="102"/>
        <v/>
      </c>
      <c r="AQ251" s="601" t="str">
        <f t="shared" ca="1" si="102"/>
        <v/>
      </c>
      <c r="AR251" s="601" t="str">
        <f t="shared" ca="1" si="102"/>
        <v/>
      </c>
      <c r="AS251" s="601" t="str">
        <f t="shared" ca="1" si="102"/>
        <v/>
      </c>
      <c r="AT251" s="601" t="str">
        <f t="shared" ca="1" si="102"/>
        <v/>
      </c>
      <c r="AU251" s="601" t="str">
        <f t="shared" ca="1" si="102"/>
        <v/>
      </c>
      <c r="AV251" s="601" t="str">
        <f t="shared" ca="1" si="102"/>
        <v/>
      </c>
      <c r="AW251" s="601" t="str">
        <f t="shared" ca="1" si="102"/>
        <v/>
      </c>
      <c r="AX251" s="601" t="str">
        <f t="shared" ca="1" si="102"/>
        <v/>
      </c>
      <c r="AY251" s="601" t="str">
        <f t="shared" ca="1" si="102"/>
        <v/>
      </c>
      <c r="AZ251" s="601" t="str">
        <f t="shared" ca="1" si="102"/>
        <v/>
      </c>
      <c r="BA251" s="602" t="str">
        <f t="shared" ca="1" si="102"/>
        <v/>
      </c>
      <c r="BB251" s="650" t="str">
        <f t="shared" ca="1" si="102"/>
        <v/>
      </c>
      <c r="BD251" s="569" t="str">
        <f>""</f>
        <v/>
      </c>
      <c r="IE251" s="603"/>
      <c r="IF251" s="603"/>
      <c r="IG251" s="603"/>
      <c r="IH251" s="603"/>
    </row>
    <row r="252" spans="1:242" s="569" customFormat="1" hidden="1">
      <c r="A252" s="569">
        <v>6</v>
      </c>
      <c r="B252" s="1052"/>
      <c r="C252" s="605" t="s">
        <v>675</v>
      </c>
      <c r="D252" s="606">
        <v>2</v>
      </c>
      <c r="E252" s="735" t="str">
        <f t="shared" ref="E252:AJ252" ca="1" si="103">OFFSET(A1_名称2027,E$247+2,$D252)&amp;""</f>
        <v/>
      </c>
      <c r="F252" s="607" t="str">
        <f t="shared" ca="1" si="103"/>
        <v/>
      </c>
      <c r="G252" s="607" t="str">
        <f t="shared" ca="1" si="103"/>
        <v/>
      </c>
      <c r="H252" s="607" t="str">
        <f t="shared" ca="1" si="103"/>
        <v/>
      </c>
      <c r="I252" s="607" t="str">
        <f t="shared" ca="1" si="103"/>
        <v/>
      </c>
      <c r="J252" s="607" t="str">
        <f t="shared" ca="1" si="103"/>
        <v/>
      </c>
      <c r="K252" s="607" t="str">
        <f t="shared" ca="1" si="103"/>
        <v/>
      </c>
      <c r="L252" s="607" t="str">
        <f t="shared" ca="1" si="103"/>
        <v/>
      </c>
      <c r="M252" s="607" t="str">
        <f t="shared" ca="1" si="103"/>
        <v/>
      </c>
      <c r="N252" s="607" t="str">
        <f t="shared" ca="1" si="103"/>
        <v/>
      </c>
      <c r="O252" s="607" t="str">
        <f ca="1">OFFSET(A1_名称2027,O$247+2,$D252)&amp;""</f>
        <v/>
      </c>
      <c r="P252" s="607" t="str">
        <f t="shared" ca="1" si="103"/>
        <v/>
      </c>
      <c r="Q252" s="607" t="str">
        <f t="shared" ca="1" si="103"/>
        <v/>
      </c>
      <c r="R252" s="607" t="str">
        <f t="shared" ca="1" si="103"/>
        <v/>
      </c>
      <c r="S252" s="607" t="str">
        <f t="shared" ca="1" si="103"/>
        <v/>
      </c>
      <c r="T252" s="607" t="str">
        <f t="shared" ca="1" si="103"/>
        <v/>
      </c>
      <c r="U252" s="607" t="str">
        <f t="shared" ca="1" si="103"/>
        <v/>
      </c>
      <c r="V252" s="607" t="str">
        <f t="shared" ca="1" si="103"/>
        <v/>
      </c>
      <c r="W252" s="607" t="str">
        <f t="shared" ca="1" si="103"/>
        <v/>
      </c>
      <c r="X252" s="607" t="str">
        <f t="shared" ca="1" si="103"/>
        <v/>
      </c>
      <c r="Y252" s="607" t="str">
        <f t="shared" ca="1" si="103"/>
        <v/>
      </c>
      <c r="Z252" s="607" t="str">
        <f t="shared" ca="1" si="103"/>
        <v/>
      </c>
      <c r="AA252" s="607" t="str">
        <f t="shared" ca="1" si="103"/>
        <v/>
      </c>
      <c r="AB252" s="607" t="str">
        <f t="shared" ca="1" si="103"/>
        <v/>
      </c>
      <c r="AC252" s="607" t="str">
        <f t="shared" ca="1" si="103"/>
        <v/>
      </c>
      <c r="AD252" s="607" t="str">
        <f t="shared" ca="1" si="103"/>
        <v/>
      </c>
      <c r="AE252" s="607" t="str">
        <f t="shared" ca="1" si="103"/>
        <v/>
      </c>
      <c r="AF252" s="607" t="str">
        <f t="shared" ca="1" si="103"/>
        <v/>
      </c>
      <c r="AG252" s="607" t="str">
        <f t="shared" ca="1" si="103"/>
        <v/>
      </c>
      <c r="AH252" s="607" t="str">
        <f t="shared" ca="1" si="103"/>
        <v/>
      </c>
      <c r="AI252" s="607" t="str">
        <f t="shared" ca="1" si="103"/>
        <v/>
      </c>
      <c r="AJ252" s="607" t="str">
        <f t="shared" ca="1" si="103"/>
        <v/>
      </c>
      <c r="AK252" s="607" t="str">
        <f t="shared" ref="AK252:BB252" ca="1" si="104">OFFSET(A1_名称2027,AK$247+2,$D252)&amp;""</f>
        <v/>
      </c>
      <c r="AL252" s="607" t="str">
        <f t="shared" ca="1" si="104"/>
        <v/>
      </c>
      <c r="AM252" s="607" t="str">
        <f t="shared" ca="1" si="104"/>
        <v/>
      </c>
      <c r="AN252" s="607" t="str">
        <f t="shared" ca="1" si="104"/>
        <v/>
      </c>
      <c r="AO252" s="607" t="str">
        <f t="shared" ca="1" si="104"/>
        <v/>
      </c>
      <c r="AP252" s="607" t="str">
        <f t="shared" ca="1" si="104"/>
        <v/>
      </c>
      <c r="AQ252" s="607" t="str">
        <f t="shared" ca="1" si="104"/>
        <v/>
      </c>
      <c r="AR252" s="607" t="str">
        <f t="shared" ca="1" si="104"/>
        <v/>
      </c>
      <c r="AS252" s="607" t="str">
        <f t="shared" ca="1" si="104"/>
        <v/>
      </c>
      <c r="AT252" s="607" t="str">
        <f t="shared" ca="1" si="104"/>
        <v/>
      </c>
      <c r="AU252" s="607" t="str">
        <f t="shared" ca="1" si="104"/>
        <v/>
      </c>
      <c r="AV252" s="607" t="str">
        <f t="shared" ca="1" si="104"/>
        <v/>
      </c>
      <c r="AW252" s="607" t="str">
        <f t="shared" ca="1" si="104"/>
        <v/>
      </c>
      <c r="AX252" s="607" t="str">
        <f t="shared" ca="1" si="104"/>
        <v/>
      </c>
      <c r="AY252" s="607" t="str">
        <f t="shared" ca="1" si="104"/>
        <v/>
      </c>
      <c r="AZ252" s="607" t="str">
        <f t="shared" ca="1" si="104"/>
        <v/>
      </c>
      <c r="BA252" s="608" t="str">
        <f t="shared" ca="1" si="104"/>
        <v/>
      </c>
      <c r="BB252" s="651" t="str">
        <f t="shared" ca="1" si="104"/>
        <v/>
      </c>
      <c r="IE252" s="603"/>
      <c r="IF252" s="603"/>
      <c r="IG252" s="603"/>
      <c r="IH252" s="603"/>
    </row>
    <row r="253" spans="1:242" s="164" customFormat="1" ht="19.8" hidden="1">
      <c r="A253" s="569">
        <v>7</v>
      </c>
      <c r="B253" s="1052"/>
      <c r="C253" s="599" t="s">
        <v>676</v>
      </c>
      <c r="D253" s="600"/>
      <c r="E253" s="734" t="str">
        <f ca="1">IF(E252="","",IFERROR(INDEX($E248:$BB248,MATCH(E252,$BD249:$DA249,0)),""))</f>
        <v/>
      </c>
      <c r="F253" s="601" t="str">
        <f t="shared" ref="F253:BB253" ca="1" si="105">IF(F252="","",IFERROR(INDEX($E248:$BB248,MATCH(F252,$BD249:$DA249,0)),""))</f>
        <v/>
      </c>
      <c r="G253" s="601" t="str">
        <f t="shared" ca="1" si="105"/>
        <v/>
      </c>
      <c r="H253" s="601" t="str">
        <f t="shared" ca="1" si="105"/>
        <v/>
      </c>
      <c r="I253" s="601" t="str">
        <f t="shared" ca="1" si="105"/>
        <v/>
      </c>
      <c r="J253" s="601" t="str">
        <f t="shared" ca="1" si="105"/>
        <v/>
      </c>
      <c r="K253" s="601" t="str">
        <f t="shared" ca="1" si="105"/>
        <v/>
      </c>
      <c r="L253" s="601" t="str">
        <f t="shared" ca="1" si="105"/>
        <v/>
      </c>
      <c r="M253" s="601" t="str">
        <f t="shared" ca="1" si="105"/>
        <v/>
      </c>
      <c r="N253" s="601" t="str">
        <f t="shared" ca="1" si="105"/>
        <v/>
      </c>
      <c r="O253" s="601" t="str">
        <f ca="1">IF(O252="","",IFERROR(INDEX($E248:$BB248,MATCH(O252,$BD249:$DA249,0)),""))</f>
        <v/>
      </c>
      <c r="P253" s="601" t="str">
        <f t="shared" ca="1" si="105"/>
        <v/>
      </c>
      <c r="Q253" s="601" t="str">
        <f t="shared" ca="1" si="105"/>
        <v/>
      </c>
      <c r="R253" s="601" t="str">
        <f t="shared" ca="1" si="105"/>
        <v/>
      </c>
      <c r="S253" s="601" t="str">
        <f t="shared" ca="1" si="105"/>
        <v/>
      </c>
      <c r="T253" s="601" t="str">
        <f t="shared" ca="1" si="105"/>
        <v/>
      </c>
      <c r="U253" s="601" t="str">
        <f t="shared" ca="1" si="105"/>
        <v/>
      </c>
      <c r="V253" s="601" t="str">
        <f t="shared" ca="1" si="105"/>
        <v/>
      </c>
      <c r="W253" s="601" t="str">
        <f t="shared" ca="1" si="105"/>
        <v/>
      </c>
      <c r="X253" s="601" t="str">
        <f t="shared" ca="1" si="105"/>
        <v/>
      </c>
      <c r="Y253" s="601" t="str">
        <f t="shared" ca="1" si="105"/>
        <v/>
      </c>
      <c r="Z253" s="601" t="str">
        <f t="shared" ca="1" si="105"/>
        <v/>
      </c>
      <c r="AA253" s="601" t="str">
        <f t="shared" ca="1" si="105"/>
        <v/>
      </c>
      <c r="AB253" s="601" t="str">
        <f t="shared" ca="1" si="105"/>
        <v/>
      </c>
      <c r="AC253" s="601" t="str">
        <f t="shared" ca="1" si="105"/>
        <v/>
      </c>
      <c r="AD253" s="601" t="str">
        <f t="shared" ca="1" si="105"/>
        <v/>
      </c>
      <c r="AE253" s="601" t="str">
        <f t="shared" ca="1" si="105"/>
        <v/>
      </c>
      <c r="AF253" s="601" t="str">
        <f t="shared" ca="1" si="105"/>
        <v/>
      </c>
      <c r="AG253" s="601" t="str">
        <f t="shared" ca="1" si="105"/>
        <v/>
      </c>
      <c r="AH253" s="601" t="str">
        <f t="shared" ca="1" si="105"/>
        <v/>
      </c>
      <c r="AI253" s="601" t="str">
        <f t="shared" ca="1" si="105"/>
        <v/>
      </c>
      <c r="AJ253" s="601" t="str">
        <f t="shared" ca="1" si="105"/>
        <v/>
      </c>
      <c r="AK253" s="601" t="str">
        <f t="shared" ca="1" si="105"/>
        <v/>
      </c>
      <c r="AL253" s="601" t="str">
        <f t="shared" ca="1" si="105"/>
        <v/>
      </c>
      <c r="AM253" s="601" t="str">
        <f t="shared" ca="1" si="105"/>
        <v/>
      </c>
      <c r="AN253" s="601" t="str">
        <f t="shared" ca="1" si="105"/>
        <v/>
      </c>
      <c r="AO253" s="601" t="str">
        <f t="shared" ca="1" si="105"/>
        <v/>
      </c>
      <c r="AP253" s="601" t="str">
        <f t="shared" ca="1" si="105"/>
        <v/>
      </c>
      <c r="AQ253" s="601" t="str">
        <f t="shared" ca="1" si="105"/>
        <v/>
      </c>
      <c r="AR253" s="601" t="str">
        <f t="shared" ca="1" si="105"/>
        <v/>
      </c>
      <c r="AS253" s="601" t="str">
        <f t="shared" ca="1" si="105"/>
        <v/>
      </c>
      <c r="AT253" s="601" t="str">
        <f t="shared" ca="1" si="105"/>
        <v/>
      </c>
      <c r="AU253" s="601" t="str">
        <f t="shared" ca="1" si="105"/>
        <v/>
      </c>
      <c r="AV253" s="601" t="str">
        <f t="shared" ca="1" si="105"/>
        <v/>
      </c>
      <c r="AW253" s="601" t="str">
        <f t="shared" ca="1" si="105"/>
        <v/>
      </c>
      <c r="AX253" s="601" t="str">
        <f t="shared" ca="1" si="105"/>
        <v/>
      </c>
      <c r="AY253" s="601" t="str">
        <f t="shared" ca="1" si="105"/>
        <v/>
      </c>
      <c r="AZ253" s="601" t="str">
        <f t="shared" ca="1" si="105"/>
        <v/>
      </c>
      <c r="BA253" s="602" t="str">
        <f t="shared" ca="1" si="105"/>
        <v/>
      </c>
      <c r="BB253" s="650" t="str">
        <f t="shared" ca="1" si="105"/>
        <v/>
      </c>
      <c r="BC253" s="569"/>
      <c r="BD253" s="569"/>
      <c r="BE253" s="569"/>
      <c r="BF253" s="569"/>
      <c r="BG253" s="569"/>
      <c r="BH253" s="569"/>
      <c r="BI253" s="569"/>
      <c r="BJ253" s="569"/>
      <c r="BK253" s="569"/>
      <c r="BL253" s="569"/>
      <c r="BM253" s="569"/>
      <c r="BN253" s="569"/>
      <c r="BO253" s="569"/>
      <c r="BP253" s="569"/>
      <c r="BQ253" s="569"/>
      <c r="BR253" s="569"/>
      <c r="BS253" s="569"/>
      <c r="BT253" s="569"/>
      <c r="BU253" s="569"/>
      <c r="BV253" s="569"/>
      <c r="BW253" s="569"/>
      <c r="BX253" s="569"/>
      <c r="BY253" s="569"/>
      <c r="BZ253" s="569"/>
      <c r="CA253" s="569"/>
      <c r="CB253" s="569"/>
      <c r="CC253" s="569"/>
      <c r="CD253" s="569"/>
      <c r="CE253" s="569"/>
      <c r="CF253" s="569"/>
      <c r="CG253" s="569"/>
      <c r="CH253" s="569"/>
      <c r="CI253" s="569"/>
      <c r="CJ253" s="569"/>
      <c r="CK253" s="569"/>
      <c r="CL253" s="569"/>
      <c r="CM253" s="569"/>
      <c r="CN253" s="569"/>
      <c r="CO253" s="569"/>
      <c r="CP253" s="569"/>
      <c r="CQ253" s="569"/>
      <c r="CR253" s="569"/>
      <c r="CS253" s="569"/>
      <c r="CT253" s="569"/>
      <c r="CU253" s="569"/>
      <c r="CV253" s="569"/>
      <c r="CW253" s="569"/>
      <c r="CX253" s="569"/>
      <c r="CY253" s="569"/>
      <c r="CZ253" s="569"/>
      <c r="DA253" s="569"/>
      <c r="DB253" s="569"/>
      <c r="DC253" s="569"/>
      <c r="DD253" s="569"/>
      <c r="DE253" s="569"/>
      <c r="DF253" s="569"/>
      <c r="DG253" s="569"/>
      <c r="DH253" s="569"/>
      <c r="DI253" s="569"/>
      <c r="DJ253" s="569"/>
      <c r="DK253" s="569"/>
      <c r="DL253" s="569"/>
      <c r="DM253" s="569"/>
      <c r="DN253" s="569"/>
      <c r="DO253" s="569"/>
      <c r="DP253" s="569"/>
      <c r="DQ253" s="569"/>
      <c r="DR253" s="569"/>
      <c r="DS253" s="569"/>
      <c r="DT253" s="569"/>
      <c r="DU253" s="569"/>
      <c r="DV253" s="569"/>
      <c r="DW253" s="569"/>
      <c r="DX253" s="569"/>
      <c r="DY253" s="569"/>
      <c r="DZ253" s="569"/>
      <c r="EA253" s="569"/>
      <c r="EB253" s="569"/>
      <c r="EC253" s="569"/>
      <c r="ED253" s="569"/>
      <c r="EE253" s="569"/>
      <c r="EF253" s="569"/>
      <c r="EG253" s="569"/>
      <c r="EH253" s="569"/>
      <c r="EI253" s="569"/>
      <c r="EJ253" s="569"/>
      <c r="EK253" s="569"/>
      <c r="EL253" s="569"/>
      <c r="EM253" s="569"/>
      <c r="EN253" s="569"/>
      <c r="EO253" s="569"/>
      <c r="EP253" s="569"/>
      <c r="EQ253" s="569"/>
      <c r="ER253" s="569"/>
      <c r="ES253" s="569"/>
      <c r="ET253" s="569"/>
      <c r="EU253" s="569"/>
      <c r="EV253" s="569"/>
      <c r="EW253" s="569"/>
      <c r="EX253" s="569"/>
      <c r="EY253" s="569"/>
      <c r="EZ253" s="569"/>
      <c r="FA253" s="569"/>
      <c r="FB253" s="569"/>
      <c r="FC253" s="569"/>
      <c r="FD253" s="569"/>
      <c r="FE253" s="569"/>
      <c r="FF253" s="569"/>
      <c r="FG253" s="569"/>
      <c r="FH253" s="569"/>
      <c r="FI253" s="569"/>
      <c r="FJ253" s="569"/>
      <c r="FK253" s="569"/>
      <c r="FL253" s="569"/>
      <c r="FM253" s="569"/>
      <c r="FN253" s="569"/>
      <c r="FO253" s="569"/>
      <c r="FP253" s="569"/>
      <c r="FQ253" s="569"/>
      <c r="FR253" s="569"/>
      <c r="FS253" s="569"/>
      <c r="FT253" s="569"/>
      <c r="FU253" s="569"/>
      <c r="FV253" s="569"/>
      <c r="FW253" s="569"/>
      <c r="FX253" s="569"/>
      <c r="FY253" s="569"/>
      <c r="FZ253" s="569"/>
      <c r="GA253" s="569"/>
      <c r="GB253" s="569"/>
      <c r="GC253" s="569"/>
      <c r="GD253" s="569"/>
      <c r="GE253" s="569"/>
      <c r="GF253" s="569"/>
      <c r="GG253" s="569"/>
      <c r="GH253" s="569"/>
      <c r="GI253" s="569"/>
      <c r="GJ253" s="569"/>
      <c r="GK253" s="569"/>
      <c r="GL253" s="569"/>
      <c r="GM253" s="569"/>
      <c r="GN253" s="569"/>
      <c r="GO253" s="569"/>
      <c r="GP253" s="569"/>
      <c r="GQ253" s="569"/>
      <c r="GR253" s="569"/>
      <c r="GS253" s="569"/>
      <c r="GT253" s="569"/>
      <c r="GU253" s="569"/>
      <c r="GV253" s="569"/>
      <c r="GW253" s="569"/>
      <c r="GX253" s="569"/>
      <c r="GY253" s="569"/>
      <c r="GZ253" s="569"/>
      <c r="HA253" s="569"/>
      <c r="HB253" s="569"/>
      <c r="HC253" s="569"/>
      <c r="HD253" s="569"/>
      <c r="HE253" s="569"/>
      <c r="HF253" s="569"/>
      <c r="HG253" s="569"/>
      <c r="HH253" s="569"/>
      <c r="HI253" s="569"/>
      <c r="HJ253" s="569"/>
      <c r="HK253" s="569"/>
      <c r="IE253" s="579"/>
      <c r="IF253" s="579"/>
      <c r="IG253" s="579"/>
      <c r="IH253" s="579"/>
    </row>
    <row r="254" spans="1:242" s="164" customFormat="1" ht="20.100000000000001" hidden="1" customHeight="1">
      <c r="A254" s="569">
        <v>8</v>
      </c>
      <c r="B254" s="1052"/>
      <c r="C254" s="609" t="s">
        <v>677</v>
      </c>
      <c r="D254" s="610">
        <v>6</v>
      </c>
      <c r="E254" s="736" t="str">
        <f t="shared" ref="E254:AJ254" ca="1" si="106">IFERROR(OFFSET(貼付け_2027実績,$D254,E253+1)&amp;"","")</f>
        <v/>
      </c>
      <c r="F254" s="611" t="str">
        <f t="shared" ca="1" si="106"/>
        <v/>
      </c>
      <c r="G254" s="611" t="str">
        <f t="shared" ca="1" si="106"/>
        <v/>
      </c>
      <c r="H254" s="611" t="str">
        <f t="shared" ca="1" si="106"/>
        <v/>
      </c>
      <c r="I254" s="611" t="str">
        <f t="shared" ca="1" si="106"/>
        <v/>
      </c>
      <c r="J254" s="611" t="str">
        <f t="shared" ca="1" si="106"/>
        <v/>
      </c>
      <c r="K254" s="611" t="str">
        <f t="shared" ca="1" si="106"/>
        <v/>
      </c>
      <c r="L254" s="611" t="str">
        <f t="shared" ca="1" si="106"/>
        <v/>
      </c>
      <c r="M254" s="611" t="str">
        <f t="shared" ca="1" si="106"/>
        <v/>
      </c>
      <c r="N254" s="611" t="str">
        <f t="shared" ca="1" si="106"/>
        <v/>
      </c>
      <c r="O254" s="611" t="str">
        <f ca="1">IFERROR(OFFSET(貼付け_2027実績,$D254,O253+1)&amp;"","")</f>
        <v/>
      </c>
      <c r="P254" s="611" t="str">
        <f t="shared" ca="1" si="106"/>
        <v/>
      </c>
      <c r="Q254" s="611" t="str">
        <f t="shared" ca="1" si="106"/>
        <v/>
      </c>
      <c r="R254" s="611" t="str">
        <f t="shared" ca="1" si="106"/>
        <v/>
      </c>
      <c r="S254" s="611" t="str">
        <f t="shared" ca="1" si="106"/>
        <v/>
      </c>
      <c r="T254" s="611" t="str">
        <f t="shared" ca="1" si="106"/>
        <v/>
      </c>
      <c r="U254" s="611" t="str">
        <f t="shared" ca="1" si="106"/>
        <v/>
      </c>
      <c r="V254" s="611" t="str">
        <f t="shared" ca="1" si="106"/>
        <v/>
      </c>
      <c r="W254" s="611" t="str">
        <f t="shared" ca="1" si="106"/>
        <v/>
      </c>
      <c r="X254" s="611" t="str">
        <f t="shared" ca="1" si="106"/>
        <v/>
      </c>
      <c r="Y254" s="611" t="str">
        <f t="shared" ca="1" si="106"/>
        <v/>
      </c>
      <c r="Z254" s="611" t="str">
        <f t="shared" ca="1" si="106"/>
        <v/>
      </c>
      <c r="AA254" s="611" t="str">
        <f t="shared" ca="1" si="106"/>
        <v/>
      </c>
      <c r="AB254" s="611" t="str">
        <f t="shared" ca="1" si="106"/>
        <v/>
      </c>
      <c r="AC254" s="611" t="str">
        <f t="shared" ca="1" si="106"/>
        <v/>
      </c>
      <c r="AD254" s="611" t="str">
        <f t="shared" ca="1" si="106"/>
        <v/>
      </c>
      <c r="AE254" s="611" t="str">
        <f t="shared" ca="1" si="106"/>
        <v/>
      </c>
      <c r="AF254" s="611" t="str">
        <f t="shared" ca="1" si="106"/>
        <v/>
      </c>
      <c r="AG254" s="611" t="str">
        <f t="shared" ca="1" si="106"/>
        <v/>
      </c>
      <c r="AH254" s="611" t="str">
        <f t="shared" ca="1" si="106"/>
        <v/>
      </c>
      <c r="AI254" s="611" t="str">
        <f t="shared" ca="1" si="106"/>
        <v/>
      </c>
      <c r="AJ254" s="611" t="str">
        <f t="shared" ca="1" si="106"/>
        <v/>
      </c>
      <c r="AK254" s="611" t="str">
        <f t="shared" ref="AK254:BB254" ca="1" si="107">IFERROR(OFFSET(貼付け_2027実績,$D254,AK253+1)&amp;"","")</f>
        <v/>
      </c>
      <c r="AL254" s="611" t="str">
        <f t="shared" ca="1" si="107"/>
        <v/>
      </c>
      <c r="AM254" s="611" t="str">
        <f t="shared" ca="1" si="107"/>
        <v/>
      </c>
      <c r="AN254" s="611" t="str">
        <f t="shared" ca="1" si="107"/>
        <v/>
      </c>
      <c r="AO254" s="611" t="str">
        <f t="shared" ca="1" si="107"/>
        <v/>
      </c>
      <c r="AP254" s="611" t="str">
        <f t="shared" ca="1" si="107"/>
        <v/>
      </c>
      <c r="AQ254" s="611" t="str">
        <f t="shared" ca="1" si="107"/>
        <v/>
      </c>
      <c r="AR254" s="611" t="str">
        <f t="shared" ca="1" si="107"/>
        <v/>
      </c>
      <c r="AS254" s="611" t="str">
        <f t="shared" ca="1" si="107"/>
        <v/>
      </c>
      <c r="AT254" s="611" t="str">
        <f t="shared" ca="1" si="107"/>
        <v/>
      </c>
      <c r="AU254" s="611" t="str">
        <f t="shared" ca="1" si="107"/>
        <v/>
      </c>
      <c r="AV254" s="611" t="str">
        <f t="shared" ca="1" si="107"/>
        <v/>
      </c>
      <c r="AW254" s="611" t="str">
        <f t="shared" ca="1" si="107"/>
        <v/>
      </c>
      <c r="AX254" s="611" t="str">
        <f t="shared" ca="1" si="107"/>
        <v/>
      </c>
      <c r="AY254" s="611" t="str">
        <f t="shared" ca="1" si="107"/>
        <v/>
      </c>
      <c r="AZ254" s="611" t="str">
        <f t="shared" ca="1" si="107"/>
        <v/>
      </c>
      <c r="BA254" s="612" t="str">
        <f t="shared" ca="1" si="107"/>
        <v/>
      </c>
      <c r="BB254" s="652" t="str">
        <f t="shared" ca="1" si="107"/>
        <v/>
      </c>
      <c r="BC254" s="613"/>
      <c r="IE254" s="579"/>
      <c r="IF254" s="579"/>
      <c r="IG254" s="579"/>
      <c r="IH254" s="579"/>
    </row>
    <row r="255" spans="1:242" s="164" customFormat="1" ht="20.100000000000001" hidden="1" customHeight="1">
      <c r="A255" s="569">
        <v>9</v>
      </c>
      <c r="B255" s="1052"/>
      <c r="C255" s="614" t="s">
        <v>678</v>
      </c>
      <c r="D255" s="615">
        <v>99</v>
      </c>
      <c r="E255" s="737" t="str">
        <f t="shared" ref="E255:AJ255" ca="1" si="108">IFERROR(OFFSET(貼付け_2027実績,$D255,E253),"")</f>
        <v/>
      </c>
      <c r="F255" s="616" t="str">
        <f t="shared" ca="1" si="108"/>
        <v/>
      </c>
      <c r="G255" s="616" t="str">
        <f t="shared" ca="1" si="108"/>
        <v/>
      </c>
      <c r="H255" s="616" t="str">
        <f t="shared" ca="1" si="108"/>
        <v/>
      </c>
      <c r="I255" s="616" t="str">
        <f t="shared" ca="1" si="108"/>
        <v/>
      </c>
      <c r="J255" s="616" t="str">
        <f t="shared" ca="1" si="108"/>
        <v/>
      </c>
      <c r="K255" s="616" t="str">
        <f t="shared" ca="1" si="108"/>
        <v/>
      </c>
      <c r="L255" s="616" t="str">
        <f t="shared" ca="1" si="108"/>
        <v/>
      </c>
      <c r="M255" s="616" t="str">
        <f t="shared" ca="1" si="108"/>
        <v/>
      </c>
      <c r="N255" s="616" t="str">
        <f t="shared" ca="1" si="108"/>
        <v/>
      </c>
      <c r="O255" s="616" t="str">
        <f ca="1">IFERROR(OFFSET(貼付け_2027実績,$D255,O253),"")</f>
        <v/>
      </c>
      <c r="P255" s="616" t="str">
        <f t="shared" ca="1" si="108"/>
        <v/>
      </c>
      <c r="Q255" s="616" t="str">
        <f t="shared" ca="1" si="108"/>
        <v/>
      </c>
      <c r="R255" s="616" t="str">
        <f t="shared" ca="1" si="108"/>
        <v/>
      </c>
      <c r="S255" s="616" t="str">
        <f t="shared" ca="1" si="108"/>
        <v/>
      </c>
      <c r="T255" s="616" t="str">
        <f t="shared" ca="1" si="108"/>
        <v/>
      </c>
      <c r="U255" s="616" t="str">
        <f t="shared" ca="1" si="108"/>
        <v/>
      </c>
      <c r="V255" s="616" t="str">
        <f t="shared" ca="1" si="108"/>
        <v/>
      </c>
      <c r="W255" s="616" t="str">
        <f t="shared" ca="1" si="108"/>
        <v/>
      </c>
      <c r="X255" s="616" t="str">
        <f t="shared" ca="1" si="108"/>
        <v/>
      </c>
      <c r="Y255" s="616" t="str">
        <f t="shared" ca="1" si="108"/>
        <v/>
      </c>
      <c r="Z255" s="616" t="str">
        <f t="shared" ca="1" si="108"/>
        <v/>
      </c>
      <c r="AA255" s="616" t="str">
        <f t="shared" ca="1" si="108"/>
        <v/>
      </c>
      <c r="AB255" s="616" t="str">
        <f t="shared" ca="1" si="108"/>
        <v/>
      </c>
      <c r="AC255" s="616" t="str">
        <f t="shared" ca="1" si="108"/>
        <v/>
      </c>
      <c r="AD255" s="616" t="str">
        <f t="shared" ca="1" si="108"/>
        <v/>
      </c>
      <c r="AE255" s="616" t="str">
        <f t="shared" ca="1" si="108"/>
        <v/>
      </c>
      <c r="AF255" s="616" t="str">
        <f t="shared" ca="1" si="108"/>
        <v/>
      </c>
      <c r="AG255" s="616" t="str">
        <f t="shared" ca="1" si="108"/>
        <v/>
      </c>
      <c r="AH255" s="616" t="str">
        <f t="shared" ca="1" si="108"/>
        <v/>
      </c>
      <c r="AI255" s="616" t="str">
        <f t="shared" ca="1" si="108"/>
        <v/>
      </c>
      <c r="AJ255" s="616" t="str">
        <f t="shared" ca="1" si="108"/>
        <v/>
      </c>
      <c r="AK255" s="616" t="str">
        <f t="shared" ref="AK255:BB255" ca="1" si="109">IFERROR(OFFSET(貼付け_2027実績,$D255,AK253),"")</f>
        <v/>
      </c>
      <c r="AL255" s="616" t="str">
        <f t="shared" ca="1" si="109"/>
        <v/>
      </c>
      <c r="AM255" s="616" t="str">
        <f t="shared" ca="1" si="109"/>
        <v/>
      </c>
      <c r="AN255" s="616" t="str">
        <f t="shared" ca="1" si="109"/>
        <v/>
      </c>
      <c r="AO255" s="616" t="str">
        <f t="shared" ca="1" si="109"/>
        <v/>
      </c>
      <c r="AP255" s="616" t="str">
        <f t="shared" ca="1" si="109"/>
        <v/>
      </c>
      <c r="AQ255" s="616" t="str">
        <f t="shared" ca="1" si="109"/>
        <v/>
      </c>
      <c r="AR255" s="616" t="str">
        <f t="shared" ca="1" si="109"/>
        <v/>
      </c>
      <c r="AS255" s="616" t="str">
        <f t="shared" ca="1" si="109"/>
        <v/>
      </c>
      <c r="AT255" s="616" t="str">
        <f t="shared" ca="1" si="109"/>
        <v/>
      </c>
      <c r="AU255" s="616" t="str">
        <f t="shared" ca="1" si="109"/>
        <v/>
      </c>
      <c r="AV255" s="616" t="str">
        <f t="shared" ca="1" si="109"/>
        <v/>
      </c>
      <c r="AW255" s="616" t="str">
        <f t="shared" ca="1" si="109"/>
        <v/>
      </c>
      <c r="AX255" s="616" t="str">
        <f t="shared" ca="1" si="109"/>
        <v/>
      </c>
      <c r="AY255" s="616" t="str">
        <f t="shared" ca="1" si="109"/>
        <v/>
      </c>
      <c r="AZ255" s="616" t="str">
        <f t="shared" ca="1" si="109"/>
        <v/>
      </c>
      <c r="BA255" s="587" t="str">
        <f t="shared" ca="1" si="109"/>
        <v/>
      </c>
      <c r="BB255" s="653" t="str">
        <f t="shared" ca="1" si="109"/>
        <v/>
      </c>
      <c r="IE255" s="579"/>
      <c r="IF255" s="579"/>
      <c r="IG255" s="579"/>
      <c r="IH255" s="579"/>
    </row>
    <row r="256" spans="1:242" s="164" customFormat="1" ht="20.100000000000001" hidden="1" customHeight="1">
      <c r="A256" s="569">
        <v>10</v>
      </c>
      <c r="B256" s="1052"/>
      <c r="C256" s="614" t="s">
        <v>679</v>
      </c>
      <c r="D256" s="615">
        <v>6</v>
      </c>
      <c r="E256" s="737" t="str">
        <f t="shared" ref="E256:AJ256" ca="1" si="110">IFERROR(OFFSET(A1_集計2027,$D256,E253),"")</f>
        <v/>
      </c>
      <c r="F256" s="616" t="str">
        <f t="shared" ca="1" si="110"/>
        <v/>
      </c>
      <c r="G256" s="616" t="str">
        <f t="shared" ca="1" si="110"/>
        <v/>
      </c>
      <c r="H256" s="616" t="str">
        <f t="shared" ca="1" si="110"/>
        <v/>
      </c>
      <c r="I256" s="616" t="str">
        <f t="shared" ca="1" si="110"/>
        <v/>
      </c>
      <c r="J256" s="616" t="str">
        <f t="shared" ca="1" si="110"/>
        <v/>
      </c>
      <c r="K256" s="616" t="str">
        <f t="shared" ca="1" si="110"/>
        <v/>
      </c>
      <c r="L256" s="616" t="str">
        <f t="shared" ca="1" si="110"/>
        <v/>
      </c>
      <c r="M256" s="616" t="str">
        <f t="shared" ca="1" si="110"/>
        <v/>
      </c>
      <c r="N256" s="616" t="str">
        <f t="shared" ca="1" si="110"/>
        <v/>
      </c>
      <c r="O256" s="616" t="str">
        <f ca="1">IFERROR(OFFSET(A1_集計2027,$D256,O253),"")</f>
        <v/>
      </c>
      <c r="P256" s="616" t="str">
        <f t="shared" ca="1" si="110"/>
        <v/>
      </c>
      <c r="Q256" s="616" t="str">
        <f t="shared" ca="1" si="110"/>
        <v/>
      </c>
      <c r="R256" s="616" t="str">
        <f t="shared" ca="1" si="110"/>
        <v/>
      </c>
      <c r="S256" s="616" t="str">
        <f t="shared" ca="1" si="110"/>
        <v/>
      </c>
      <c r="T256" s="616" t="str">
        <f t="shared" ca="1" si="110"/>
        <v/>
      </c>
      <c r="U256" s="616" t="str">
        <f t="shared" ca="1" si="110"/>
        <v/>
      </c>
      <c r="V256" s="616" t="str">
        <f t="shared" ca="1" si="110"/>
        <v/>
      </c>
      <c r="W256" s="616" t="str">
        <f t="shared" ca="1" si="110"/>
        <v/>
      </c>
      <c r="X256" s="616" t="str">
        <f t="shared" ca="1" si="110"/>
        <v/>
      </c>
      <c r="Y256" s="616" t="str">
        <f t="shared" ca="1" si="110"/>
        <v/>
      </c>
      <c r="Z256" s="616" t="str">
        <f t="shared" ca="1" si="110"/>
        <v/>
      </c>
      <c r="AA256" s="616" t="str">
        <f t="shared" ca="1" si="110"/>
        <v/>
      </c>
      <c r="AB256" s="616" t="str">
        <f t="shared" ca="1" si="110"/>
        <v/>
      </c>
      <c r="AC256" s="616" t="str">
        <f t="shared" ca="1" si="110"/>
        <v/>
      </c>
      <c r="AD256" s="616" t="str">
        <f t="shared" ca="1" si="110"/>
        <v/>
      </c>
      <c r="AE256" s="616" t="str">
        <f t="shared" ca="1" si="110"/>
        <v/>
      </c>
      <c r="AF256" s="616" t="str">
        <f t="shared" ca="1" si="110"/>
        <v/>
      </c>
      <c r="AG256" s="616" t="str">
        <f t="shared" ca="1" si="110"/>
        <v/>
      </c>
      <c r="AH256" s="616" t="str">
        <f t="shared" ca="1" si="110"/>
        <v/>
      </c>
      <c r="AI256" s="616" t="str">
        <f t="shared" ca="1" si="110"/>
        <v/>
      </c>
      <c r="AJ256" s="616" t="str">
        <f t="shared" ca="1" si="110"/>
        <v/>
      </c>
      <c r="AK256" s="616" t="str">
        <f t="shared" ref="AK256:BB256" ca="1" si="111">IFERROR(OFFSET(A1_集計2027,$D256,AK253),"")</f>
        <v/>
      </c>
      <c r="AL256" s="616" t="str">
        <f t="shared" ca="1" si="111"/>
        <v/>
      </c>
      <c r="AM256" s="616" t="str">
        <f t="shared" ca="1" si="111"/>
        <v/>
      </c>
      <c r="AN256" s="616" t="str">
        <f t="shared" ca="1" si="111"/>
        <v/>
      </c>
      <c r="AO256" s="616" t="str">
        <f t="shared" ca="1" si="111"/>
        <v/>
      </c>
      <c r="AP256" s="616" t="str">
        <f t="shared" ca="1" si="111"/>
        <v/>
      </c>
      <c r="AQ256" s="616" t="str">
        <f t="shared" ca="1" si="111"/>
        <v/>
      </c>
      <c r="AR256" s="616" t="str">
        <f t="shared" ca="1" si="111"/>
        <v/>
      </c>
      <c r="AS256" s="616" t="str">
        <f t="shared" ca="1" si="111"/>
        <v/>
      </c>
      <c r="AT256" s="616" t="str">
        <f t="shared" ca="1" si="111"/>
        <v/>
      </c>
      <c r="AU256" s="616" t="str">
        <f t="shared" ca="1" si="111"/>
        <v/>
      </c>
      <c r="AV256" s="616" t="str">
        <f t="shared" ca="1" si="111"/>
        <v/>
      </c>
      <c r="AW256" s="616" t="str">
        <f t="shared" ca="1" si="111"/>
        <v/>
      </c>
      <c r="AX256" s="616" t="str">
        <f t="shared" ca="1" si="111"/>
        <v/>
      </c>
      <c r="AY256" s="616" t="str">
        <f t="shared" ca="1" si="111"/>
        <v/>
      </c>
      <c r="AZ256" s="616" t="str">
        <f t="shared" ca="1" si="111"/>
        <v/>
      </c>
      <c r="BA256" s="587" t="str">
        <f t="shared" ca="1" si="111"/>
        <v/>
      </c>
      <c r="BB256" s="653" t="str">
        <f t="shared" ca="1" si="111"/>
        <v/>
      </c>
      <c r="IE256" s="579"/>
      <c r="IF256" s="579"/>
      <c r="IG256" s="579"/>
      <c r="IH256" s="579"/>
    </row>
    <row r="257" spans="1:242" s="164" customFormat="1" ht="20.100000000000001" hidden="1" customHeight="1">
      <c r="A257" s="569">
        <v>11</v>
      </c>
      <c r="B257" s="1052"/>
      <c r="C257" s="614" t="s">
        <v>680</v>
      </c>
      <c r="D257" s="615">
        <v>101</v>
      </c>
      <c r="E257" s="737" t="str">
        <f t="shared" ref="E257:AJ257" ca="1" si="112">IFERROR(OFFSET(貼付け_2027実績,$D257,E253),"")</f>
        <v/>
      </c>
      <c r="F257" s="616" t="str">
        <f t="shared" ca="1" si="112"/>
        <v/>
      </c>
      <c r="G257" s="616" t="str">
        <f t="shared" ca="1" si="112"/>
        <v/>
      </c>
      <c r="H257" s="616" t="str">
        <f t="shared" ca="1" si="112"/>
        <v/>
      </c>
      <c r="I257" s="616" t="str">
        <f t="shared" ca="1" si="112"/>
        <v/>
      </c>
      <c r="J257" s="616" t="str">
        <f t="shared" ca="1" si="112"/>
        <v/>
      </c>
      <c r="K257" s="616" t="str">
        <f t="shared" ca="1" si="112"/>
        <v/>
      </c>
      <c r="L257" s="616" t="str">
        <f t="shared" ca="1" si="112"/>
        <v/>
      </c>
      <c r="M257" s="616" t="str">
        <f t="shared" ca="1" si="112"/>
        <v/>
      </c>
      <c r="N257" s="616" t="str">
        <f t="shared" ca="1" si="112"/>
        <v/>
      </c>
      <c r="O257" s="616" t="str">
        <f ca="1">IFERROR(OFFSET(貼付け_2027実績,$D257,O253),"")</f>
        <v/>
      </c>
      <c r="P257" s="616" t="str">
        <f t="shared" ca="1" si="112"/>
        <v/>
      </c>
      <c r="Q257" s="616" t="str">
        <f t="shared" ca="1" si="112"/>
        <v/>
      </c>
      <c r="R257" s="616" t="str">
        <f t="shared" ca="1" si="112"/>
        <v/>
      </c>
      <c r="S257" s="616" t="str">
        <f t="shared" ca="1" si="112"/>
        <v/>
      </c>
      <c r="T257" s="616" t="str">
        <f t="shared" ca="1" si="112"/>
        <v/>
      </c>
      <c r="U257" s="616" t="str">
        <f t="shared" ca="1" si="112"/>
        <v/>
      </c>
      <c r="V257" s="616" t="str">
        <f t="shared" ca="1" si="112"/>
        <v/>
      </c>
      <c r="W257" s="616" t="str">
        <f t="shared" ca="1" si="112"/>
        <v/>
      </c>
      <c r="X257" s="616" t="str">
        <f t="shared" ca="1" si="112"/>
        <v/>
      </c>
      <c r="Y257" s="616" t="str">
        <f t="shared" ca="1" si="112"/>
        <v/>
      </c>
      <c r="Z257" s="616" t="str">
        <f t="shared" ca="1" si="112"/>
        <v/>
      </c>
      <c r="AA257" s="616" t="str">
        <f t="shared" ca="1" si="112"/>
        <v/>
      </c>
      <c r="AB257" s="616" t="str">
        <f t="shared" ca="1" si="112"/>
        <v/>
      </c>
      <c r="AC257" s="616" t="str">
        <f t="shared" ca="1" si="112"/>
        <v/>
      </c>
      <c r="AD257" s="616" t="str">
        <f t="shared" ca="1" si="112"/>
        <v/>
      </c>
      <c r="AE257" s="616" t="str">
        <f t="shared" ca="1" si="112"/>
        <v/>
      </c>
      <c r="AF257" s="616" t="str">
        <f t="shared" ca="1" si="112"/>
        <v/>
      </c>
      <c r="AG257" s="616" t="str">
        <f t="shared" ca="1" si="112"/>
        <v/>
      </c>
      <c r="AH257" s="616" t="str">
        <f t="shared" ca="1" si="112"/>
        <v/>
      </c>
      <c r="AI257" s="616" t="str">
        <f t="shared" ca="1" si="112"/>
        <v/>
      </c>
      <c r="AJ257" s="616" t="str">
        <f t="shared" ca="1" si="112"/>
        <v/>
      </c>
      <c r="AK257" s="616" t="str">
        <f t="shared" ref="AK257:BB257" ca="1" si="113">IFERROR(OFFSET(貼付け_2027実績,$D257,AK253),"")</f>
        <v/>
      </c>
      <c r="AL257" s="616" t="str">
        <f t="shared" ca="1" si="113"/>
        <v/>
      </c>
      <c r="AM257" s="616" t="str">
        <f t="shared" ca="1" si="113"/>
        <v/>
      </c>
      <c r="AN257" s="616" t="str">
        <f t="shared" ca="1" si="113"/>
        <v/>
      </c>
      <c r="AO257" s="616" t="str">
        <f t="shared" ca="1" si="113"/>
        <v/>
      </c>
      <c r="AP257" s="616" t="str">
        <f t="shared" ca="1" si="113"/>
        <v/>
      </c>
      <c r="AQ257" s="616" t="str">
        <f t="shared" ca="1" si="113"/>
        <v/>
      </c>
      <c r="AR257" s="616" t="str">
        <f t="shared" ca="1" si="113"/>
        <v/>
      </c>
      <c r="AS257" s="616" t="str">
        <f t="shared" ca="1" si="113"/>
        <v/>
      </c>
      <c r="AT257" s="616" t="str">
        <f t="shared" ca="1" si="113"/>
        <v/>
      </c>
      <c r="AU257" s="616" t="str">
        <f t="shared" ca="1" si="113"/>
        <v/>
      </c>
      <c r="AV257" s="616" t="str">
        <f t="shared" ca="1" si="113"/>
        <v/>
      </c>
      <c r="AW257" s="616" t="str">
        <f t="shared" ca="1" si="113"/>
        <v/>
      </c>
      <c r="AX257" s="616" t="str">
        <f t="shared" ca="1" si="113"/>
        <v/>
      </c>
      <c r="AY257" s="616" t="str">
        <f t="shared" ca="1" si="113"/>
        <v/>
      </c>
      <c r="AZ257" s="616" t="str">
        <f t="shared" ca="1" si="113"/>
        <v/>
      </c>
      <c r="BA257" s="587" t="str">
        <f t="shared" ca="1" si="113"/>
        <v/>
      </c>
      <c r="BB257" s="653" t="str">
        <f t="shared" ca="1" si="113"/>
        <v/>
      </c>
      <c r="IE257" s="579"/>
      <c r="IF257" s="579"/>
      <c r="IG257" s="579"/>
      <c r="IH257" s="579"/>
    </row>
    <row r="258" spans="1:242" s="164" customFormat="1" ht="20.100000000000001" hidden="1" customHeight="1">
      <c r="A258" s="569">
        <v>12</v>
      </c>
      <c r="B258" s="1052"/>
      <c r="C258" s="614" t="s">
        <v>681</v>
      </c>
      <c r="D258" s="615"/>
      <c r="E258" s="737" t="str">
        <f ca="1">IFERROR(E256/E257,"")</f>
        <v/>
      </c>
      <c r="F258" s="616" t="str">
        <f t="shared" ref="F258:BB258" ca="1" si="114">IFERROR(F256/F257,"")</f>
        <v/>
      </c>
      <c r="G258" s="616" t="str">
        <f t="shared" ca="1" si="114"/>
        <v/>
      </c>
      <c r="H258" s="616" t="str">
        <f t="shared" ca="1" si="114"/>
        <v/>
      </c>
      <c r="I258" s="616" t="str">
        <f t="shared" ca="1" si="114"/>
        <v/>
      </c>
      <c r="J258" s="616" t="str">
        <f t="shared" ca="1" si="114"/>
        <v/>
      </c>
      <c r="K258" s="616" t="str">
        <f t="shared" ca="1" si="114"/>
        <v/>
      </c>
      <c r="L258" s="616" t="str">
        <f t="shared" ca="1" si="114"/>
        <v/>
      </c>
      <c r="M258" s="616" t="str">
        <f t="shared" ca="1" si="114"/>
        <v/>
      </c>
      <c r="N258" s="616" t="str">
        <f t="shared" ca="1" si="114"/>
        <v/>
      </c>
      <c r="O258" s="616" t="str">
        <f t="shared" ca="1" si="114"/>
        <v/>
      </c>
      <c r="P258" s="616" t="str">
        <f t="shared" ca="1" si="114"/>
        <v/>
      </c>
      <c r="Q258" s="616" t="str">
        <f t="shared" ca="1" si="114"/>
        <v/>
      </c>
      <c r="R258" s="616" t="str">
        <f t="shared" ca="1" si="114"/>
        <v/>
      </c>
      <c r="S258" s="616" t="str">
        <f t="shared" ca="1" si="114"/>
        <v/>
      </c>
      <c r="T258" s="616" t="str">
        <f t="shared" ca="1" si="114"/>
        <v/>
      </c>
      <c r="U258" s="616" t="str">
        <f t="shared" ca="1" si="114"/>
        <v/>
      </c>
      <c r="V258" s="616" t="str">
        <f t="shared" ca="1" si="114"/>
        <v/>
      </c>
      <c r="W258" s="616" t="str">
        <f t="shared" ca="1" si="114"/>
        <v/>
      </c>
      <c r="X258" s="616" t="str">
        <f t="shared" ca="1" si="114"/>
        <v/>
      </c>
      <c r="Y258" s="616" t="str">
        <f t="shared" ca="1" si="114"/>
        <v/>
      </c>
      <c r="Z258" s="616" t="str">
        <f t="shared" ca="1" si="114"/>
        <v/>
      </c>
      <c r="AA258" s="616" t="str">
        <f t="shared" ca="1" si="114"/>
        <v/>
      </c>
      <c r="AB258" s="616" t="str">
        <f t="shared" ca="1" si="114"/>
        <v/>
      </c>
      <c r="AC258" s="616" t="str">
        <f t="shared" ca="1" si="114"/>
        <v/>
      </c>
      <c r="AD258" s="616" t="str">
        <f t="shared" ca="1" si="114"/>
        <v/>
      </c>
      <c r="AE258" s="616" t="str">
        <f t="shared" ca="1" si="114"/>
        <v/>
      </c>
      <c r="AF258" s="616" t="str">
        <f t="shared" ca="1" si="114"/>
        <v/>
      </c>
      <c r="AG258" s="616" t="str">
        <f t="shared" ca="1" si="114"/>
        <v/>
      </c>
      <c r="AH258" s="616" t="str">
        <f t="shared" ca="1" si="114"/>
        <v/>
      </c>
      <c r="AI258" s="616" t="str">
        <f t="shared" ca="1" si="114"/>
        <v/>
      </c>
      <c r="AJ258" s="616" t="str">
        <f t="shared" ca="1" si="114"/>
        <v/>
      </c>
      <c r="AK258" s="616" t="str">
        <f t="shared" ca="1" si="114"/>
        <v/>
      </c>
      <c r="AL258" s="616" t="str">
        <f t="shared" ca="1" si="114"/>
        <v/>
      </c>
      <c r="AM258" s="616" t="str">
        <f t="shared" ca="1" si="114"/>
        <v/>
      </c>
      <c r="AN258" s="616" t="str">
        <f t="shared" ca="1" si="114"/>
        <v/>
      </c>
      <c r="AO258" s="616" t="str">
        <f t="shared" ca="1" si="114"/>
        <v/>
      </c>
      <c r="AP258" s="616" t="str">
        <f t="shared" ca="1" si="114"/>
        <v/>
      </c>
      <c r="AQ258" s="616" t="str">
        <f t="shared" ca="1" si="114"/>
        <v/>
      </c>
      <c r="AR258" s="616" t="str">
        <f t="shared" ca="1" si="114"/>
        <v/>
      </c>
      <c r="AS258" s="616" t="str">
        <f t="shared" ca="1" si="114"/>
        <v/>
      </c>
      <c r="AT258" s="616" t="str">
        <f t="shared" ca="1" si="114"/>
        <v/>
      </c>
      <c r="AU258" s="616" t="str">
        <f t="shared" ca="1" si="114"/>
        <v/>
      </c>
      <c r="AV258" s="616" t="str">
        <f t="shared" ca="1" si="114"/>
        <v/>
      </c>
      <c r="AW258" s="616" t="str">
        <f t="shared" ca="1" si="114"/>
        <v/>
      </c>
      <c r="AX258" s="616" t="str">
        <f t="shared" ca="1" si="114"/>
        <v/>
      </c>
      <c r="AY258" s="616" t="str">
        <f t="shared" ca="1" si="114"/>
        <v/>
      </c>
      <c r="AZ258" s="616" t="str">
        <f t="shared" ca="1" si="114"/>
        <v/>
      </c>
      <c r="BA258" s="587" t="str">
        <f t="shared" ca="1" si="114"/>
        <v/>
      </c>
      <c r="BB258" s="653" t="str">
        <f t="shared" ca="1" si="114"/>
        <v/>
      </c>
      <c r="IE258" s="579"/>
      <c r="IF258" s="579"/>
      <c r="IG258" s="579"/>
      <c r="IH258" s="579"/>
    </row>
    <row r="259" spans="1:242" ht="19.5" hidden="1" customHeight="1" thickBot="1">
      <c r="A259" s="569">
        <v>13</v>
      </c>
      <c r="B259" s="1053"/>
      <c r="C259" s="617" t="s">
        <v>682</v>
      </c>
      <c r="D259" s="618">
        <v>12</v>
      </c>
      <c r="E259" s="738" t="str">
        <f t="shared" ref="E259:AJ259" ca="1" si="115">IFERROR(1-(E258/OFFSET(A1_原単位2026,$D259,E$247+2)),"")</f>
        <v/>
      </c>
      <c r="F259" s="619" t="str">
        <f t="shared" ca="1" si="115"/>
        <v/>
      </c>
      <c r="G259" s="619" t="str">
        <f t="shared" ca="1" si="115"/>
        <v/>
      </c>
      <c r="H259" s="619" t="str">
        <f t="shared" ca="1" si="115"/>
        <v/>
      </c>
      <c r="I259" s="619" t="str">
        <f t="shared" ca="1" si="115"/>
        <v/>
      </c>
      <c r="J259" s="619" t="str">
        <f t="shared" ca="1" si="115"/>
        <v/>
      </c>
      <c r="K259" s="619" t="str">
        <f t="shared" ca="1" si="115"/>
        <v/>
      </c>
      <c r="L259" s="619" t="str">
        <f t="shared" ca="1" si="115"/>
        <v/>
      </c>
      <c r="M259" s="619" t="str">
        <f t="shared" ca="1" si="115"/>
        <v/>
      </c>
      <c r="N259" s="619" t="str">
        <f t="shared" ca="1" si="115"/>
        <v/>
      </c>
      <c r="O259" s="619" t="str">
        <f t="shared" ca="1" si="115"/>
        <v/>
      </c>
      <c r="P259" s="619" t="str">
        <f t="shared" ca="1" si="115"/>
        <v/>
      </c>
      <c r="Q259" s="619" t="str">
        <f t="shared" ca="1" si="115"/>
        <v/>
      </c>
      <c r="R259" s="619" t="str">
        <f t="shared" ca="1" si="115"/>
        <v/>
      </c>
      <c r="S259" s="619" t="str">
        <f t="shared" ca="1" si="115"/>
        <v/>
      </c>
      <c r="T259" s="619" t="str">
        <f t="shared" ca="1" si="115"/>
        <v/>
      </c>
      <c r="U259" s="619" t="str">
        <f t="shared" ca="1" si="115"/>
        <v/>
      </c>
      <c r="V259" s="619" t="str">
        <f t="shared" ca="1" si="115"/>
        <v/>
      </c>
      <c r="W259" s="619" t="str">
        <f t="shared" ca="1" si="115"/>
        <v/>
      </c>
      <c r="X259" s="619" t="str">
        <f t="shared" ca="1" si="115"/>
        <v/>
      </c>
      <c r="Y259" s="619" t="str">
        <f t="shared" ca="1" si="115"/>
        <v/>
      </c>
      <c r="Z259" s="619" t="str">
        <f t="shared" ca="1" si="115"/>
        <v/>
      </c>
      <c r="AA259" s="619" t="str">
        <f t="shared" ca="1" si="115"/>
        <v/>
      </c>
      <c r="AB259" s="619" t="str">
        <f t="shared" ca="1" si="115"/>
        <v/>
      </c>
      <c r="AC259" s="619" t="str">
        <f t="shared" ca="1" si="115"/>
        <v/>
      </c>
      <c r="AD259" s="619" t="str">
        <f t="shared" ca="1" si="115"/>
        <v/>
      </c>
      <c r="AE259" s="619" t="str">
        <f t="shared" ca="1" si="115"/>
        <v/>
      </c>
      <c r="AF259" s="619" t="str">
        <f t="shared" ca="1" si="115"/>
        <v/>
      </c>
      <c r="AG259" s="619" t="str">
        <f t="shared" ca="1" si="115"/>
        <v/>
      </c>
      <c r="AH259" s="619" t="str">
        <f t="shared" ca="1" si="115"/>
        <v/>
      </c>
      <c r="AI259" s="619" t="str">
        <f t="shared" ca="1" si="115"/>
        <v/>
      </c>
      <c r="AJ259" s="619" t="str">
        <f t="shared" ca="1" si="115"/>
        <v/>
      </c>
      <c r="AK259" s="619" t="str">
        <f t="shared" ref="AK259:BB259" ca="1" si="116">IFERROR(1-(AK258/OFFSET(A1_原単位2026,$D259,AK$247+2)),"")</f>
        <v/>
      </c>
      <c r="AL259" s="619" t="str">
        <f t="shared" ca="1" si="116"/>
        <v/>
      </c>
      <c r="AM259" s="619" t="str">
        <f t="shared" ca="1" si="116"/>
        <v/>
      </c>
      <c r="AN259" s="619" t="str">
        <f t="shared" ca="1" si="116"/>
        <v/>
      </c>
      <c r="AO259" s="619" t="str">
        <f t="shared" ca="1" si="116"/>
        <v/>
      </c>
      <c r="AP259" s="619" t="str">
        <f t="shared" ca="1" si="116"/>
        <v/>
      </c>
      <c r="AQ259" s="619" t="str">
        <f t="shared" ca="1" si="116"/>
        <v/>
      </c>
      <c r="AR259" s="619" t="str">
        <f t="shared" ca="1" si="116"/>
        <v/>
      </c>
      <c r="AS259" s="619" t="str">
        <f t="shared" ca="1" si="116"/>
        <v/>
      </c>
      <c r="AT259" s="619" t="str">
        <f t="shared" ca="1" si="116"/>
        <v/>
      </c>
      <c r="AU259" s="619" t="str">
        <f t="shared" ca="1" si="116"/>
        <v/>
      </c>
      <c r="AV259" s="619" t="str">
        <f t="shared" ca="1" si="116"/>
        <v/>
      </c>
      <c r="AW259" s="619" t="str">
        <f t="shared" ca="1" si="116"/>
        <v/>
      </c>
      <c r="AX259" s="619" t="str">
        <f t="shared" ca="1" si="116"/>
        <v/>
      </c>
      <c r="AY259" s="619" t="str">
        <f t="shared" ca="1" si="116"/>
        <v/>
      </c>
      <c r="AZ259" s="619" t="str">
        <f t="shared" ca="1" si="116"/>
        <v/>
      </c>
      <c r="BA259" s="619" t="str">
        <f t="shared" ca="1" si="116"/>
        <v/>
      </c>
      <c r="BB259" s="739" t="str">
        <f t="shared" ca="1" si="116"/>
        <v/>
      </c>
      <c r="BC259" s="164"/>
      <c r="BD259" s="164"/>
      <c r="BE259" s="164"/>
      <c r="BF259" s="164"/>
      <c r="BG259" s="164"/>
      <c r="BH259" s="164"/>
      <c r="BI259" s="164"/>
      <c r="BJ259" s="164"/>
      <c r="BK259" s="164"/>
      <c r="BL259" s="164"/>
      <c r="BM259" s="164"/>
      <c r="BN259" s="164"/>
      <c r="BO259" s="164"/>
      <c r="BP259" s="164"/>
      <c r="BQ259" s="164"/>
      <c r="BR259" s="164"/>
      <c r="BS259" s="164"/>
      <c r="BT259" s="164"/>
      <c r="BU259" s="164"/>
      <c r="BV259" s="164"/>
      <c r="BW259" s="164"/>
      <c r="BX259" s="164"/>
      <c r="BY259" s="164"/>
      <c r="BZ259" s="164"/>
      <c r="CA259" s="164"/>
      <c r="CB259" s="164"/>
      <c r="CC259" s="164"/>
      <c r="CD259" s="164"/>
      <c r="CE259" s="164"/>
      <c r="CF259" s="164"/>
      <c r="CG259" s="164"/>
      <c r="CH259" s="164"/>
      <c r="CI259" s="164"/>
      <c r="CJ259" s="164"/>
      <c r="CK259" s="164"/>
      <c r="CL259" s="164"/>
      <c r="CM259" s="164"/>
      <c r="CN259" s="164"/>
      <c r="CO259" s="164"/>
      <c r="CP259" s="164"/>
      <c r="CQ259" s="164"/>
      <c r="CR259" s="164"/>
      <c r="CS259" s="164"/>
      <c r="CT259" s="164"/>
      <c r="CU259" s="164"/>
      <c r="CV259" s="164"/>
      <c r="CW259" s="164"/>
      <c r="CX259" s="164"/>
      <c r="CY259" s="164"/>
      <c r="CZ259" s="164"/>
      <c r="DA259" s="164"/>
      <c r="DB259" s="164"/>
      <c r="DC259" s="164"/>
      <c r="DD259" s="164"/>
      <c r="DE259" s="164"/>
      <c r="DF259" s="164"/>
      <c r="DG259" s="164"/>
      <c r="DH259" s="164"/>
      <c r="DI259" s="164"/>
      <c r="DJ259" s="164"/>
      <c r="DK259" s="164"/>
      <c r="DL259" s="164"/>
      <c r="DM259" s="164"/>
      <c r="DN259" s="164"/>
      <c r="DO259" s="164"/>
      <c r="DP259" s="164"/>
      <c r="DQ259" s="164"/>
      <c r="DR259" s="164"/>
      <c r="DS259" s="164"/>
      <c r="DT259" s="164"/>
      <c r="DU259" s="164"/>
      <c r="DV259" s="164"/>
      <c r="DW259" s="164"/>
      <c r="DX259" s="164"/>
      <c r="DY259" s="164"/>
      <c r="DZ259" s="164"/>
      <c r="EA259" s="164"/>
      <c r="EB259" s="164"/>
      <c r="EC259" s="164"/>
      <c r="ED259" s="164"/>
      <c r="EE259" s="164"/>
      <c r="EF259" s="164"/>
      <c r="EG259" s="164"/>
      <c r="EH259" s="164"/>
      <c r="EI259" s="164"/>
      <c r="EJ259" s="164"/>
      <c r="EK259" s="164"/>
      <c r="EL259" s="164"/>
      <c r="EM259" s="164"/>
      <c r="EN259" s="164"/>
      <c r="EO259" s="164"/>
      <c r="EP259" s="164"/>
      <c r="EQ259" s="164"/>
      <c r="ER259" s="164"/>
      <c r="ES259" s="164"/>
      <c r="ET259" s="164"/>
      <c r="EU259" s="164"/>
      <c r="EV259" s="164"/>
      <c r="EW259" s="164"/>
      <c r="EX259" s="164"/>
      <c r="EY259" s="164"/>
      <c r="EZ259" s="164"/>
      <c r="FA259" s="164"/>
      <c r="FB259" s="164"/>
      <c r="FC259" s="164"/>
      <c r="FD259" s="164"/>
      <c r="FE259" s="164"/>
      <c r="FF259" s="164"/>
      <c r="FG259" s="164"/>
      <c r="FH259" s="164"/>
      <c r="FI259" s="164"/>
      <c r="FJ259" s="164"/>
      <c r="FK259" s="164"/>
      <c r="FL259" s="164"/>
      <c r="FM259" s="164"/>
      <c r="FN259" s="164"/>
      <c r="FO259" s="164"/>
      <c r="FP259" s="164"/>
      <c r="FQ259" s="164"/>
      <c r="FR259" s="164"/>
      <c r="FS259" s="164"/>
      <c r="FT259" s="164"/>
      <c r="FU259" s="164"/>
      <c r="FV259" s="164"/>
      <c r="FW259" s="164"/>
      <c r="FX259" s="164"/>
      <c r="FY259" s="164"/>
      <c r="FZ259" s="164"/>
      <c r="GA259" s="164"/>
      <c r="GB259" s="164"/>
      <c r="GC259" s="164"/>
      <c r="GD259" s="164"/>
      <c r="GE259" s="164"/>
      <c r="GF259" s="164"/>
      <c r="GG259" s="164"/>
      <c r="GH259" s="164"/>
      <c r="GI259" s="164"/>
      <c r="GJ259" s="164"/>
      <c r="GK259" s="164"/>
      <c r="GL259" s="164"/>
      <c r="GM259" s="164"/>
      <c r="GN259" s="164"/>
      <c r="GO259" s="164"/>
      <c r="GP259" s="164"/>
      <c r="GQ259" s="164"/>
      <c r="GR259" s="164"/>
      <c r="GS259" s="164"/>
      <c r="GT259" s="164"/>
      <c r="GU259" s="164"/>
      <c r="GV259" s="164"/>
      <c r="GW259" s="164"/>
      <c r="GX259" s="164"/>
      <c r="GY259" s="164"/>
      <c r="GZ259" s="164"/>
      <c r="HA259" s="164"/>
      <c r="HB259" s="164"/>
      <c r="HC259" s="164"/>
      <c r="HD259" s="164"/>
      <c r="HE259" s="164"/>
      <c r="HF259" s="164"/>
      <c r="HG259" s="164"/>
      <c r="HH259" s="164"/>
      <c r="HI259" s="164"/>
      <c r="HJ259" s="164"/>
      <c r="HK259" s="164"/>
    </row>
    <row r="260" spans="1:242" s="569" customFormat="1" ht="18.75" hidden="1" customHeight="1">
      <c r="A260" s="569">
        <v>14</v>
      </c>
      <c r="B260" s="1051" t="s">
        <v>652</v>
      </c>
      <c r="C260" s="596" t="s">
        <v>673</v>
      </c>
      <c r="D260" s="597">
        <v>2027</v>
      </c>
      <c r="E260" s="733">
        <f t="shared" ref="E260:BB260" ca="1" si="117">IFERROR(MATCH($B260&amp;E$247,OFFSET(INDIRECT("貼付け_"&amp;$D260&amp;"実績"),4,0,1,205),0)-1,"")</f>
        <v>21</v>
      </c>
      <c r="F260" s="598">
        <f t="shared" ca="1" si="117"/>
        <v>25</v>
      </c>
      <c r="G260" s="598">
        <f t="shared" ca="1" si="117"/>
        <v>29</v>
      </c>
      <c r="H260" s="598">
        <f t="shared" ca="1" si="117"/>
        <v>77</v>
      </c>
      <c r="I260" s="598">
        <f t="shared" ca="1" si="117"/>
        <v>81</v>
      </c>
      <c r="J260" s="598">
        <f t="shared" ca="1" si="117"/>
        <v>85</v>
      </c>
      <c r="K260" s="598">
        <f t="shared" ca="1" si="117"/>
        <v>89</v>
      </c>
      <c r="L260" s="598">
        <f t="shared" ca="1" si="117"/>
        <v>93</v>
      </c>
      <c r="M260" s="598">
        <f t="shared" ca="1" si="117"/>
        <v>97</v>
      </c>
      <c r="N260" s="598">
        <f t="shared" ca="1" si="117"/>
        <v>101</v>
      </c>
      <c r="O260" s="598" t="str">
        <f ca="1">IFERROR(MATCH($B260&amp;O$247,OFFSET(INDIRECT("貼付け_"&amp;$D260&amp;"実績"),4,0,1,205),0)-1,"")</f>
        <v/>
      </c>
      <c r="P260" s="598" t="str">
        <f t="shared" ca="1" si="117"/>
        <v/>
      </c>
      <c r="Q260" s="598" t="str">
        <f t="shared" ca="1" si="117"/>
        <v/>
      </c>
      <c r="R260" s="598" t="str">
        <f t="shared" ca="1" si="117"/>
        <v/>
      </c>
      <c r="S260" s="598" t="str">
        <f t="shared" ca="1" si="117"/>
        <v/>
      </c>
      <c r="T260" s="598" t="str">
        <f t="shared" ca="1" si="117"/>
        <v/>
      </c>
      <c r="U260" s="598" t="str">
        <f t="shared" ca="1" si="117"/>
        <v/>
      </c>
      <c r="V260" s="598" t="str">
        <f t="shared" ca="1" si="117"/>
        <v/>
      </c>
      <c r="W260" s="598" t="str">
        <f t="shared" ca="1" si="117"/>
        <v/>
      </c>
      <c r="X260" s="598" t="str">
        <f t="shared" ca="1" si="117"/>
        <v/>
      </c>
      <c r="Y260" s="598" t="str">
        <f t="shared" ca="1" si="117"/>
        <v/>
      </c>
      <c r="Z260" s="598" t="str">
        <f t="shared" ca="1" si="117"/>
        <v/>
      </c>
      <c r="AA260" s="598" t="str">
        <f t="shared" ca="1" si="117"/>
        <v/>
      </c>
      <c r="AB260" s="598" t="str">
        <f t="shared" ca="1" si="117"/>
        <v/>
      </c>
      <c r="AC260" s="598" t="str">
        <f t="shared" ca="1" si="117"/>
        <v/>
      </c>
      <c r="AD260" s="598" t="str">
        <f t="shared" ca="1" si="117"/>
        <v/>
      </c>
      <c r="AE260" s="598" t="str">
        <f t="shared" ca="1" si="117"/>
        <v/>
      </c>
      <c r="AF260" s="598" t="str">
        <f t="shared" ca="1" si="117"/>
        <v/>
      </c>
      <c r="AG260" s="598" t="str">
        <f t="shared" ca="1" si="117"/>
        <v/>
      </c>
      <c r="AH260" s="598" t="str">
        <f t="shared" ca="1" si="117"/>
        <v/>
      </c>
      <c r="AI260" s="598" t="str">
        <f t="shared" ca="1" si="117"/>
        <v/>
      </c>
      <c r="AJ260" s="598" t="str">
        <f t="shared" ca="1" si="117"/>
        <v/>
      </c>
      <c r="AK260" s="598" t="str">
        <f t="shared" ca="1" si="117"/>
        <v/>
      </c>
      <c r="AL260" s="598" t="str">
        <f t="shared" ca="1" si="117"/>
        <v/>
      </c>
      <c r="AM260" s="598" t="str">
        <f t="shared" ca="1" si="117"/>
        <v/>
      </c>
      <c r="AN260" s="598" t="str">
        <f t="shared" ca="1" si="117"/>
        <v/>
      </c>
      <c r="AO260" s="598" t="str">
        <f t="shared" ca="1" si="117"/>
        <v/>
      </c>
      <c r="AP260" s="598" t="str">
        <f t="shared" ca="1" si="117"/>
        <v/>
      </c>
      <c r="AQ260" s="598" t="str">
        <f t="shared" ca="1" si="117"/>
        <v/>
      </c>
      <c r="AR260" s="598" t="str">
        <f t="shared" ca="1" si="117"/>
        <v/>
      </c>
      <c r="AS260" s="598" t="str">
        <f t="shared" ca="1" si="117"/>
        <v/>
      </c>
      <c r="AT260" s="598" t="str">
        <f t="shared" ca="1" si="117"/>
        <v/>
      </c>
      <c r="AU260" s="598" t="str">
        <f t="shared" ca="1" si="117"/>
        <v/>
      </c>
      <c r="AV260" s="598" t="str">
        <f t="shared" ca="1" si="117"/>
        <v/>
      </c>
      <c r="AW260" s="598" t="str">
        <f t="shared" ca="1" si="117"/>
        <v/>
      </c>
      <c r="AX260" s="598" t="str">
        <f t="shared" ca="1" si="117"/>
        <v/>
      </c>
      <c r="AY260" s="598" t="str">
        <f t="shared" ca="1" si="117"/>
        <v/>
      </c>
      <c r="AZ260" s="598" t="str">
        <f t="shared" ca="1" si="117"/>
        <v/>
      </c>
      <c r="BA260" s="598" t="str">
        <f t="shared" ca="1" si="117"/>
        <v/>
      </c>
      <c r="BB260" s="649" t="str">
        <f t="shared" ca="1" si="117"/>
        <v/>
      </c>
      <c r="BC260" s="156" t="str">
        <f>D260&amp;"年度"</f>
        <v>2027年度</v>
      </c>
      <c r="BD260" s="156">
        <v>1</v>
      </c>
      <c r="BE260" s="156">
        <v>2</v>
      </c>
      <c r="BF260" s="156">
        <v>3</v>
      </c>
      <c r="BG260" s="156">
        <v>4</v>
      </c>
      <c r="BH260" s="156">
        <v>5</v>
      </c>
      <c r="BI260" s="156">
        <v>6</v>
      </c>
      <c r="BJ260" s="156">
        <v>7</v>
      </c>
      <c r="BK260" s="156">
        <v>8</v>
      </c>
      <c r="BL260" s="156">
        <v>9</v>
      </c>
      <c r="BM260" s="156">
        <v>10</v>
      </c>
      <c r="BN260" s="156">
        <v>11</v>
      </c>
      <c r="BO260" s="156">
        <v>12</v>
      </c>
      <c r="BP260" s="156">
        <v>13</v>
      </c>
      <c r="BQ260" s="156">
        <v>14</v>
      </c>
      <c r="BR260" s="156">
        <v>15</v>
      </c>
      <c r="BS260" s="156">
        <v>16</v>
      </c>
      <c r="BT260" s="156">
        <v>17</v>
      </c>
      <c r="BU260" s="156">
        <v>18</v>
      </c>
      <c r="BV260" s="156">
        <v>19</v>
      </c>
      <c r="BW260" s="156">
        <v>20</v>
      </c>
      <c r="BX260" s="156">
        <v>21</v>
      </c>
      <c r="BY260" s="156">
        <v>22</v>
      </c>
      <c r="BZ260" s="156">
        <v>23</v>
      </c>
      <c r="CA260" s="156">
        <v>24</v>
      </c>
      <c r="CB260" s="156">
        <v>25</v>
      </c>
      <c r="CC260" s="156">
        <v>26</v>
      </c>
      <c r="CD260" s="156">
        <v>27</v>
      </c>
      <c r="CE260" s="156">
        <v>28</v>
      </c>
      <c r="CF260" s="156">
        <v>29</v>
      </c>
      <c r="CG260" s="156">
        <v>30</v>
      </c>
      <c r="CH260" s="156">
        <v>31</v>
      </c>
      <c r="CI260" s="156">
        <v>32</v>
      </c>
      <c r="CJ260" s="156">
        <v>33</v>
      </c>
      <c r="CK260" s="156">
        <v>34</v>
      </c>
      <c r="CL260" s="156">
        <v>35</v>
      </c>
      <c r="CM260" s="156">
        <v>36</v>
      </c>
      <c r="CN260" s="156">
        <v>37</v>
      </c>
      <c r="CO260" s="156">
        <v>38</v>
      </c>
      <c r="CP260" s="156">
        <v>39</v>
      </c>
      <c r="CQ260" s="156">
        <v>40</v>
      </c>
      <c r="CR260" s="156">
        <v>41</v>
      </c>
      <c r="CS260" s="156">
        <v>42</v>
      </c>
      <c r="CT260" s="156">
        <v>43</v>
      </c>
      <c r="CU260" s="156">
        <v>44</v>
      </c>
      <c r="CV260" s="156">
        <v>45</v>
      </c>
      <c r="CW260" s="156">
        <v>46</v>
      </c>
      <c r="CX260" s="156">
        <v>47</v>
      </c>
      <c r="CY260" s="156">
        <v>48</v>
      </c>
      <c r="CZ260" s="156">
        <v>49</v>
      </c>
      <c r="DA260" s="156">
        <v>50</v>
      </c>
      <c r="DB260" s="156"/>
      <c r="DC260" s="156"/>
      <c r="DD260" s="156"/>
      <c r="DE260" s="156"/>
      <c r="DF260" s="156"/>
      <c r="DG260" s="156"/>
      <c r="DH260" s="156"/>
      <c r="DI260" s="156"/>
      <c r="DJ260" s="156"/>
      <c r="DK260" s="156"/>
      <c r="DL260" s="156"/>
      <c r="DM260" s="156"/>
      <c r="DN260" s="156"/>
      <c r="DO260" s="156"/>
      <c r="DP260" s="156"/>
      <c r="DQ260" s="156"/>
      <c r="DR260" s="156"/>
      <c r="DS260" s="156"/>
      <c r="DT260" s="156"/>
      <c r="DU260" s="156"/>
      <c r="DV260" s="156"/>
      <c r="DW260" s="156"/>
      <c r="DX260" s="156"/>
      <c r="DY260" s="156"/>
      <c r="DZ260" s="156"/>
      <c r="EA260" s="156"/>
      <c r="EB260" s="156"/>
      <c r="EC260" s="156"/>
      <c r="ED260" s="156"/>
      <c r="EE260" s="156"/>
      <c r="EF260" s="156"/>
      <c r="EG260" s="156"/>
      <c r="EH260" s="156"/>
      <c r="EI260" s="156"/>
      <c r="EJ260" s="156"/>
      <c r="EK260" s="156"/>
      <c r="EL260" s="156"/>
      <c r="EM260" s="156"/>
      <c r="EN260" s="156"/>
      <c r="EO260" s="156"/>
      <c r="EP260" s="156"/>
      <c r="EQ260" s="156"/>
      <c r="ER260" s="156"/>
      <c r="ES260" s="156"/>
      <c r="ET260" s="156"/>
      <c r="EU260" s="156"/>
      <c r="EV260" s="156"/>
      <c r="EW260" s="156"/>
      <c r="EX260" s="156"/>
      <c r="EY260" s="156"/>
      <c r="EZ260" s="156"/>
      <c r="FA260" s="156"/>
      <c r="FB260" s="156"/>
      <c r="FC260" s="156"/>
      <c r="FD260" s="156"/>
      <c r="FE260" s="156"/>
      <c r="FF260" s="156"/>
      <c r="FG260" s="156"/>
      <c r="FH260" s="156"/>
      <c r="FI260" s="156"/>
      <c r="FJ260" s="156"/>
      <c r="FK260" s="156"/>
      <c r="FL260" s="156"/>
      <c r="FM260" s="156"/>
      <c r="FN260" s="156"/>
      <c r="FO260" s="156"/>
      <c r="FP260" s="156"/>
      <c r="FQ260" s="156"/>
      <c r="FR260" s="156"/>
      <c r="FS260" s="156"/>
      <c r="FT260" s="156"/>
      <c r="FU260" s="156"/>
      <c r="FV260" s="156"/>
      <c r="FW260" s="156"/>
      <c r="FX260" s="156"/>
      <c r="FY260" s="156"/>
      <c r="FZ260" s="156"/>
      <c r="GA260" s="156"/>
      <c r="GB260" s="156"/>
      <c r="GC260" s="156"/>
      <c r="GD260" s="156"/>
      <c r="GE260" s="156"/>
      <c r="GF260" s="156"/>
      <c r="GG260" s="156"/>
      <c r="GH260" s="156"/>
      <c r="GI260" s="156"/>
      <c r="GJ260" s="156"/>
      <c r="GK260" s="156"/>
      <c r="GL260" s="156"/>
      <c r="GM260" s="156"/>
      <c r="GN260" s="156"/>
      <c r="GO260" s="156"/>
      <c r="GP260" s="156"/>
      <c r="GQ260" s="156"/>
      <c r="GR260" s="156"/>
      <c r="GS260" s="156"/>
      <c r="GT260" s="156"/>
      <c r="GU260" s="156"/>
      <c r="GV260" s="156"/>
      <c r="GW260" s="156"/>
      <c r="GX260" s="156"/>
      <c r="GY260" s="156"/>
      <c r="GZ260" s="156"/>
      <c r="HA260" s="156"/>
      <c r="HB260" s="156"/>
      <c r="HC260" s="156"/>
      <c r="HD260" s="156"/>
      <c r="HE260" s="156"/>
      <c r="HF260" s="156"/>
      <c r="HG260" s="156"/>
      <c r="HH260" s="156"/>
      <c r="HI260" s="156"/>
      <c r="HJ260" s="156"/>
      <c r="HK260" s="156"/>
      <c r="IE260" s="603"/>
      <c r="IF260" s="603"/>
      <c r="IG260" s="603"/>
      <c r="IH260" s="603"/>
    </row>
    <row r="261" spans="1:242" s="569" customFormat="1" ht="19.5" hidden="1" customHeight="1">
      <c r="A261" s="569">
        <v>15</v>
      </c>
      <c r="B261" s="1052"/>
      <c r="C261" s="599" t="str">
        <f>"~"&amp;D260-1&amp;"/"&amp;D260</f>
        <v>~2026/2027</v>
      </c>
      <c r="D261" s="600" t="str">
        <f>""</f>
        <v/>
      </c>
      <c r="E261" s="734" t="str">
        <f t="shared" ref="E261:AJ261" ca="1" si="118">IF(OFFSET(A1_原単位2026,18,E$247+2)="",OFFSET(A1_原単位2026,15,E$247+2),OFFSET(A1_原単位2026,18,E$247+2))</f>
        <v/>
      </c>
      <c r="F261" s="601" t="str">
        <f t="shared" ca="1" si="118"/>
        <v/>
      </c>
      <c r="G261" s="601" t="str">
        <f t="shared" ca="1" si="118"/>
        <v/>
      </c>
      <c r="H261" s="601" t="str">
        <f t="shared" ca="1" si="118"/>
        <v/>
      </c>
      <c r="I261" s="601" t="str">
        <f t="shared" ca="1" si="118"/>
        <v/>
      </c>
      <c r="J261" s="601" t="str">
        <f t="shared" ca="1" si="118"/>
        <v/>
      </c>
      <c r="K261" s="601" t="str">
        <f t="shared" ca="1" si="118"/>
        <v/>
      </c>
      <c r="L261" s="601" t="str">
        <f t="shared" ca="1" si="118"/>
        <v/>
      </c>
      <c r="M261" s="601" t="str">
        <f t="shared" ca="1" si="118"/>
        <v/>
      </c>
      <c r="N261" s="601" t="str">
        <f t="shared" ca="1" si="118"/>
        <v/>
      </c>
      <c r="O261" s="601" t="str">
        <f ca="1">IF(OFFSET(A1_原単位2026,18,O$247+2)="",OFFSET(A1_原単位2026,15,O$247+2),OFFSET(A1_原単位2026,18,O$247+2))</f>
        <v/>
      </c>
      <c r="P261" s="601" t="str">
        <f t="shared" ca="1" si="118"/>
        <v/>
      </c>
      <c r="Q261" s="601" t="str">
        <f t="shared" ca="1" si="118"/>
        <v/>
      </c>
      <c r="R261" s="601" t="str">
        <f t="shared" ca="1" si="118"/>
        <v/>
      </c>
      <c r="S261" s="601" t="str">
        <f t="shared" ca="1" si="118"/>
        <v/>
      </c>
      <c r="T261" s="601" t="str">
        <f t="shared" ca="1" si="118"/>
        <v/>
      </c>
      <c r="U261" s="601" t="str">
        <f t="shared" ca="1" si="118"/>
        <v/>
      </c>
      <c r="V261" s="601" t="str">
        <f t="shared" ca="1" si="118"/>
        <v/>
      </c>
      <c r="W261" s="601" t="str">
        <f t="shared" ca="1" si="118"/>
        <v/>
      </c>
      <c r="X261" s="601" t="str">
        <f t="shared" ca="1" si="118"/>
        <v/>
      </c>
      <c r="Y261" s="601" t="str">
        <f t="shared" ca="1" si="118"/>
        <v/>
      </c>
      <c r="Z261" s="601" t="str">
        <f t="shared" ca="1" si="118"/>
        <v/>
      </c>
      <c r="AA261" s="601" t="str">
        <f t="shared" ca="1" si="118"/>
        <v/>
      </c>
      <c r="AB261" s="601" t="str">
        <f t="shared" ca="1" si="118"/>
        <v/>
      </c>
      <c r="AC261" s="601" t="str">
        <f t="shared" ca="1" si="118"/>
        <v/>
      </c>
      <c r="AD261" s="601" t="str">
        <f t="shared" ca="1" si="118"/>
        <v/>
      </c>
      <c r="AE261" s="601" t="str">
        <f t="shared" ca="1" si="118"/>
        <v/>
      </c>
      <c r="AF261" s="601" t="str">
        <f t="shared" ca="1" si="118"/>
        <v/>
      </c>
      <c r="AG261" s="601" t="str">
        <f t="shared" ca="1" si="118"/>
        <v/>
      </c>
      <c r="AH261" s="601" t="str">
        <f t="shared" ca="1" si="118"/>
        <v/>
      </c>
      <c r="AI261" s="601" t="str">
        <f t="shared" ca="1" si="118"/>
        <v/>
      </c>
      <c r="AJ261" s="601" t="str">
        <f t="shared" ca="1" si="118"/>
        <v/>
      </c>
      <c r="AK261" s="601" t="str">
        <f t="shared" ref="AK261:BB261" ca="1" si="119">IF(OFFSET(A1_原単位2026,18,AK$247+2)="",OFFSET(A1_原単位2026,15,AK$247+2),OFFSET(A1_原単位2026,18,AK$247+2))</f>
        <v/>
      </c>
      <c r="AL261" s="601" t="str">
        <f t="shared" ca="1" si="119"/>
        <v/>
      </c>
      <c r="AM261" s="601" t="str">
        <f t="shared" ca="1" si="119"/>
        <v/>
      </c>
      <c r="AN261" s="601" t="str">
        <f t="shared" ca="1" si="119"/>
        <v/>
      </c>
      <c r="AO261" s="601" t="str">
        <f t="shared" ca="1" si="119"/>
        <v/>
      </c>
      <c r="AP261" s="601" t="str">
        <f t="shared" ca="1" si="119"/>
        <v/>
      </c>
      <c r="AQ261" s="601" t="str">
        <f t="shared" ca="1" si="119"/>
        <v/>
      </c>
      <c r="AR261" s="601" t="str">
        <f t="shared" ca="1" si="119"/>
        <v/>
      </c>
      <c r="AS261" s="601" t="str">
        <f t="shared" ca="1" si="119"/>
        <v/>
      </c>
      <c r="AT261" s="601" t="str">
        <f t="shared" ca="1" si="119"/>
        <v/>
      </c>
      <c r="AU261" s="601" t="str">
        <f t="shared" ca="1" si="119"/>
        <v/>
      </c>
      <c r="AV261" s="601" t="str">
        <f t="shared" ca="1" si="119"/>
        <v/>
      </c>
      <c r="AW261" s="601" t="str">
        <f t="shared" ca="1" si="119"/>
        <v/>
      </c>
      <c r="AX261" s="601" t="str">
        <f t="shared" ca="1" si="119"/>
        <v/>
      </c>
      <c r="AY261" s="601" t="str">
        <f t="shared" ca="1" si="119"/>
        <v/>
      </c>
      <c r="AZ261" s="601" t="str">
        <f t="shared" ca="1" si="119"/>
        <v/>
      </c>
      <c r="BA261" s="601" t="str">
        <f t="shared" ca="1" si="119"/>
        <v/>
      </c>
      <c r="BB261" s="650" t="str">
        <f t="shared" ca="1" si="119"/>
        <v/>
      </c>
      <c r="BC261" s="601" t="str">
        <f>""</f>
        <v/>
      </c>
      <c r="BD261" s="601" t="str">
        <f t="shared" ref="BD261:CI261" ca="1" si="120">IFERROR(OFFSET(貼付け_2027実績,5,E260+1),"")&amp;""</f>
        <v/>
      </c>
      <c r="BE261" s="601" t="str">
        <f t="shared" ca="1" si="120"/>
        <v/>
      </c>
      <c r="BF261" s="601" t="str">
        <f t="shared" ca="1" si="120"/>
        <v/>
      </c>
      <c r="BG261" s="601" t="str">
        <f t="shared" ca="1" si="120"/>
        <v/>
      </c>
      <c r="BH261" s="601" t="str">
        <f t="shared" ca="1" si="120"/>
        <v/>
      </c>
      <c r="BI261" s="601" t="str">
        <f t="shared" ca="1" si="120"/>
        <v/>
      </c>
      <c r="BJ261" s="601" t="str">
        <f t="shared" ca="1" si="120"/>
        <v/>
      </c>
      <c r="BK261" s="601" t="str">
        <f t="shared" ca="1" si="120"/>
        <v/>
      </c>
      <c r="BL261" s="601" t="str">
        <f t="shared" ca="1" si="120"/>
        <v/>
      </c>
      <c r="BM261" s="601" t="str">
        <f t="shared" ca="1" si="120"/>
        <v/>
      </c>
      <c r="BN261" s="601" t="str">
        <f ca="1">IFERROR(OFFSET(貼付け_2027実績,5,O260+1),"")&amp;""</f>
        <v/>
      </c>
      <c r="BO261" s="601" t="str">
        <f t="shared" ca="1" si="120"/>
        <v/>
      </c>
      <c r="BP261" s="601" t="str">
        <f t="shared" ca="1" si="120"/>
        <v/>
      </c>
      <c r="BQ261" s="601" t="str">
        <f t="shared" ca="1" si="120"/>
        <v/>
      </c>
      <c r="BR261" s="601" t="str">
        <f t="shared" ca="1" si="120"/>
        <v/>
      </c>
      <c r="BS261" s="601" t="str">
        <f t="shared" ca="1" si="120"/>
        <v/>
      </c>
      <c r="BT261" s="601" t="str">
        <f t="shared" ca="1" si="120"/>
        <v/>
      </c>
      <c r="BU261" s="601" t="str">
        <f t="shared" ca="1" si="120"/>
        <v/>
      </c>
      <c r="BV261" s="601" t="str">
        <f t="shared" ca="1" si="120"/>
        <v/>
      </c>
      <c r="BW261" s="601" t="str">
        <f t="shared" ca="1" si="120"/>
        <v/>
      </c>
      <c r="BX261" s="601" t="str">
        <f t="shared" ca="1" si="120"/>
        <v/>
      </c>
      <c r="BY261" s="601" t="str">
        <f t="shared" ca="1" si="120"/>
        <v/>
      </c>
      <c r="BZ261" s="601" t="str">
        <f t="shared" ca="1" si="120"/>
        <v/>
      </c>
      <c r="CA261" s="601" t="str">
        <f t="shared" ca="1" si="120"/>
        <v/>
      </c>
      <c r="CB261" s="601" t="str">
        <f t="shared" ca="1" si="120"/>
        <v/>
      </c>
      <c r="CC261" s="601" t="str">
        <f t="shared" ca="1" si="120"/>
        <v/>
      </c>
      <c r="CD261" s="601" t="str">
        <f t="shared" ca="1" si="120"/>
        <v/>
      </c>
      <c r="CE261" s="601" t="str">
        <f t="shared" ca="1" si="120"/>
        <v/>
      </c>
      <c r="CF261" s="601" t="str">
        <f t="shared" ca="1" si="120"/>
        <v/>
      </c>
      <c r="CG261" s="601" t="str">
        <f t="shared" ca="1" si="120"/>
        <v/>
      </c>
      <c r="CH261" s="601" t="str">
        <f t="shared" ca="1" si="120"/>
        <v/>
      </c>
      <c r="CI261" s="601" t="str">
        <f t="shared" ca="1" si="120"/>
        <v/>
      </c>
      <c r="CJ261" s="601" t="str">
        <f t="shared" ref="CJ261:DA261" ca="1" si="121">IFERROR(OFFSET(貼付け_2027実績,5,AK260+1),"")&amp;""</f>
        <v/>
      </c>
      <c r="CK261" s="601" t="str">
        <f t="shared" ca="1" si="121"/>
        <v/>
      </c>
      <c r="CL261" s="601" t="str">
        <f t="shared" ca="1" si="121"/>
        <v/>
      </c>
      <c r="CM261" s="601" t="str">
        <f t="shared" ca="1" si="121"/>
        <v/>
      </c>
      <c r="CN261" s="601" t="str">
        <f t="shared" ca="1" si="121"/>
        <v/>
      </c>
      <c r="CO261" s="601" t="str">
        <f t="shared" ca="1" si="121"/>
        <v/>
      </c>
      <c r="CP261" s="601" t="str">
        <f t="shared" ca="1" si="121"/>
        <v/>
      </c>
      <c r="CQ261" s="601" t="str">
        <f t="shared" ca="1" si="121"/>
        <v/>
      </c>
      <c r="CR261" s="601" t="str">
        <f t="shared" ca="1" si="121"/>
        <v/>
      </c>
      <c r="CS261" s="601" t="str">
        <f t="shared" ca="1" si="121"/>
        <v/>
      </c>
      <c r="CT261" s="601" t="str">
        <f t="shared" ca="1" si="121"/>
        <v/>
      </c>
      <c r="CU261" s="601" t="str">
        <f t="shared" ca="1" si="121"/>
        <v/>
      </c>
      <c r="CV261" s="601" t="str">
        <f t="shared" ca="1" si="121"/>
        <v/>
      </c>
      <c r="CW261" s="601" t="str">
        <f t="shared" ca="1" si="121"/>
        <v/>
      </c>
      <c r="CX261" s="601" t="str">
        <f t="shared" ca="1" si="121"/>
        <v/>
      </c>
      <c r="CY261" s="601" t="str">
        <f t="shared" ca="1" si="121"/>
        <v/>
      </c>
      <c r="CZ261" s="601" t="str">
        <f t="shared" ca="1" si="121"/>
        <v/>
      </c>
      <c r="DA261" s="601" t="str">
        <f t="shared" ca="1" si="121"/>
        <v/>
      </c>
      <c r="IE261" s="603"/>
      <c r="IF261" s="603"/>
      <c r="IG261" s="603"/>
      <c r="IH261" s="603"/>
    </row>
    <row r="262" spans="1:242" s="569" customFormat="1" hidden="1">
      <c r="A262" s="569">
        <v>16</v>
      </c>
      <c r="B262" s="1052"/>
      <c r="C262" s="599" t="str">
        <f>"~"&amp;D260-1&amp;"&amp;"&amp;D260</f>
        <v>~2026&amp;2027</v>
      </c>
      <c r="D262" s="600" t="str">
        <f>""</f>
        <v/>
      </c>
      <c r="E262" s="734" t="str">
        <f t="array" aca="1" ref="E262" ca="1">IFERROR(INDEX($E261:$DA261,MATCH(0,COUNTIF($D262:D262,$E261:$DA261),0)),"")</f>
        <v/>
      </c>
      <c r="F262" s="601" t="str">
        <f t="array" aca="1" ref="F262" ca="1">IFERROR(INDEX($E261:$DA261,MATCH(0,COUNTIF($D262:E262,$E261:$DA261),0)),"")</f>
        <v/>
      </c>
      <c r="G262" s="601" t="str">
        <f t="array" aca="1" ref="G262" ca="1">IFERROR(INDEX($E261:$DA261,MATCH(0,COUNTIF($D262:F262,$E261:$DA261),0)),"")</f>
        <v/>
      </c>
      <c r="H262" s="601" t="str">
        <f t="array" aca="1" ref="H262" ca="1">IFERROR(INDEX($E261:$DA261,MATCH(0,COUNTIF($D262:G262,$E261:$DA261),0)),"")</f>
        <v/>
      </c>
      <c r="I262" s="601" t="str">
        <f t="array" aca="1" ref="I262" ca="1">IFERROR(INDEX($E261:$DA261,MATCH(0,COUNTIF($D262:H262,$E261:$DA261),0)),"")</f>
        <v/>
      </c>
      <c r="J262" s="601" t="str">
        <f t="array" aca="1" ref="J262" ca="1">IFERROR(INDEX($E261:$DA261,MATCH(0,COUNTIF($D262:I262,$E261:$DA261),0)),"")</f>
        <v/>
      </c>
      <c r="K262" s="601" t="str">
        <f t="array" aca="1" ref="K262" ca="1">IFERROR(INDEX($E261:$DA261,MATCH(0,COUNTIF($D262:J262,$E261:$DA261),0)),"")</f>
        <v/>
      </c>
      <c r="L262" s="601" t="str">
        <f t="array" aca="1" ref="L262" ca="1">IFERROR(INDEX($E261:$DA261,MATCH(0,COUNTIF($D262:K262,$E261:$DA261),0)),"")</f>
        <v/>
      </c>
      <c r="M262" s="601" t="str">
        <f t="array" aca="1" ref="M262" ca="1">IFERROR(INDEX($E261:$DA261,MATCH(0,COUNTIF($D262:L262,$E261:$DA261),0)),"")</f>
        <v/>
      </c>
      <c r="N262" s="601" t="str">
        <f t="array" aca="1" ref="N262" ca="1">IFERROR(INDEX($E261:$DA261,MATCH(0,COUNTIF($D262:M262,$E261:$DA261),0)),"")</f>
        <v/>
      </c>
      <c r="O262" s="601" t="str">
        <f t="array" aca="1" ref="O262" ca="1">IFERROR(INDEX($E261:$DA261,MATCH(0,COUNTIF($D262:N262,$E261:$DA261),0)),"")</f>
        <v/>
      </c>
      <c r="P262" s="601" t="str">
        <f t="array" aca="1" ref="P262" ca="1">IFERROR(INDEX($E261:$DA261,MATCH(0,COUNTIF($D262:O262,$E261:$DA261),0)),"")</f>
        <v/>
      </c>
      <c r="Q262" s="601" t="str">
        <f t="array" aca="1" ref="Q262" ca="1">IFERROR(INDEX($E261:$DA261,MATCH(0,COUNTIF($D262:P262,$E261:$DA261),0)),"")</f>
        <v/>
      </c>
      <c r="R262" s="601" t="str">
        <f t="array" aca="1" ref="R262" ca="1">IFERROR(INDEX($E261:$DA261,MATCH(0,COUNTIF($D262:Q262,$E261:$DA261),0)),"")</f>
        <v/>
      </c>
      <c r="S262" s="601" t="str">
        <f t="array" aca="1" ref="S262" ca="1">IFERROR(INDEX($E261:$DA261,MATCH(0,COUNTIF($D262:R262,$E261:$DA261),0)),"")</f>
        <v/>
      </c>
      <c r="T262" s="601" t="str">
        <f t="array" aca="1" ref="T262" ca="1">IFERROR(INDEX($E261:$DA261,MATCH(0,COUNTIF($D262:S262,$E261:$DA261),0)),"")</f>
        <v/>
      </c>
      <c r="U262" s="601" t="str">
        <f t="array" aca="1" ref="U262" ca="1">IFERROR(INDEX($E261:$DA261,MATCH(0,COUNTIF($D262:T262,$E261:$DA261),0)),"")</f>
        <v/>
      </c>
      <c r="V262" s="601" t="str">
        <f t="array" aca="1" ref="V262" ca="1">IFERROR(INDEX($E261:$DA261,MATCH(0,COUNTIF($D262:U262,$E261:$DA261),0)),"")</f>
        <v/>
      </c>
      <c r="W262" s="601" t="str">
        <f t="array" aca="1" ref="W262" ca="1">IFERROR(INDEX($E261:$DA261,MATCH(0,COUNTIF($D262:V262,$E261:$DA261),0)),"")</f>
        <v/>
      </c>
      <c r="X262" s="601" t="str">
        <f t="array" aca="1" ref="X262" ca="1">IFERROR(INDEX($E261:$DA261,MATCH(0,COUNTIF($D262:W262,$E261:$DA261),0)),"")</f>
        <v/>
      </c>
      <c r="Y262" s="601" t="str">
        <f t="array" aca="1" ref="Y262" ca="1">IFERROR(INDEX($E261:$DA261,MATCH(0,COUNTIF($D262:X262,$E261:$DA261),0)),"")</f>
        <v/>
      </c>
      <c r="Z262" s="601" t="str">
        <f t="array" aca="1" ref="Z262" ca="1">IFERROR(INDEX($E261:$DA261,MATCH(0,COUNTIF($D262:Y262,$E261:$DA261),0)),"")</f>
        <v/>
      </c>
      <c r="AA262" s="601" t="str">
        <f t="array" aca="1" ref="AA262" ca="1">IFERROR(INDEX($E261:$DA261,MATCH(0,COUNTIF($D262:Z262,$E261:$DA261),0)),"")</f>
        <v/>
      </c>
      <c r="AB262" s="601" t="str">
        <f t="array" aca="1" ref="AB262" ca="1">IFERROR(INDEX($E261:$DA261,MATCH(0,COUNTIF($D262:AA262,$E261:$DA261),0)),"")</f>
        <v/>
      </c>
      <c r="AC262" s="601" t="str">
        <f t="array" aca="1" ref="AC262" ca="1">IFERROR(INDEX($E261:$DA261,MATCH(0,COUNTIF($D262:AB262,$E261:$DA261),0)),"")</f>
        <v/>
      </c>
      <c r="AD262" s="601" t="str">
        <f t="array" aca="1" ref="AD262" ca="1">IFERROR(INDEX($E261:$DA261,MATCH(0,COUNTIF($D262:AC262,$E261:$DA261),0)),"")</f>
        <v/>
      </c>
      <c r="AE262" s="601" t="str">
        <f t="array" aca="1" ref="AE262" ca="1">IFERROR(INDEX($E261:$DA261,MATCH(0,COUNTIF($D262:AD262,$E261:$DA261),0)),"")</f>
        <v/>
      </c>
      <c r="AF262" s="601" t="str">
        <f t="array" aca="1" ref="AF262" ca="1">IFERROR(INDEX($E261:$DA261,MATCH(0,COUNTIF($D262:AE262,$E261:$DA261),0)),"")</f>
        <v/>
      </c>
      <c r="AG262" s="601" t="str">
        <f t="array" aca="1" ref="AG262" ca="1">IFERROR(INDEX($E261:$DA261,MATCH(0,COUNTIF($D262:AF262,$E261:$DA261),0)),"")</f>
        <v/>
      </c>
      <c r="AH262" s="601" t="str">
        <f t="array" aca="1" ref="AH262" ca="1">IFERROR(INDEX($E261:$DA261,MATCH(0,COUNTIF($D262:AG262,$E261:$DA261),0)),"")</f>
        <v/>
      </c>
      <c r="AI262" s="601" t="str">
        <f t="array" aca="1" ref="AI262" ca="1">IFERROR(INDEX($E261:$DA261,MATCH(0,COUNTIF($D262:AH262,$E261:$DA261),0)),"")</f>
        <v/>
      </c>
      <c r="AJ262" s="601" t="str">
        <f t="array" aca="1" ref="AJ262" ca="1">IFERROR(INDEX($E261:$DA261,MATCH(0,COUNTIF($D262:AI262,$E261:$DA261),0)),"")</f>
        <v/>
      </c>
      <c r="AK262" s="601" t="str">
        <f t="array" aca="1" ref="AK262" ca="1">IFERROR(INDEX($E261:$DA261,MATCH(0,COUNTIF($D262:AJ262,$E261:$DA261),0)),"")</f>
        <v/>
      </c>
      <c r="AL262" s="601" t="str">
        <f t="array" aca="1" ref="AL262" ca="1">IFERROR(INDEX($E261:$DA261,MATCH(0,COUNTIF($D262:AK262,$E261:$DA261),0)),"")</f>
        <v/>
      </c>
      <c r="AM262" s="601" t="str">
        <f t="array" aca="1" ref="AM262" ca="1">IFERROR(INDEX($E261:$DA261,MATCH(0,COUNTIF($D262:AL262,$E261:$DA261),0)),"")</f>
        <v/>
      </c>
      <c r="AN262" s="601" t="str">
        <f t="array" aca="1" ref="AN262" ca="1">IFERROR(INDEX($E261:$DA261,MATCH(0,COUNTIF($D262:AM262,$E261:$DA261),0)),"")</f>
        <v/>
      </c>
      <c r="AO262" s="601" t="str">
        <f t="array" aca="1" ref="AO262" ca="1">IFERROR(INDEX($E261:$DA261,MATCH(0,COUNTIF($D262:AN262,$E261:$DA261),0)),"")</f>
        <v/>
      </c>
      <c r="AP262" s="601" t="str">
        <f t="array" aca="1" ref="AP262" ca="1">IFERROR(INDEX($E261:$DA261,MATCH(0,COUNTIF($D262:AO262,$E261:$DA261),0)),"")</f>
        <v/>
      </c>
      <c r="AQ262" s="601" t="str">
        <f t="array" aca="1" ref="AQ262" ca="1">IFERROR(INDEX($E261:$DA261,MATCH(0,COUNTIF($D262:AP262,$E261:$DA261),0)),"")</f>
        <v/>
      </c>
      <c r="AR262" s="601" t="str">
        <f t="array" aca="1" ref="AR262" ca="1">IFERROR(INDEX($E261:$DA261,MATCH(0,COUNTIF($D262:AQ262,$E261:$DA261),0)),"")</f>
        <v/>
      </c>
      <c r="AS262" s="601" t="str">
        <f t="array" aca="1" ref="AS262" ca="1">IFERROR(INDEX($E261:$DA261,MATCH(0,COUNTIF($D262:AR262,$E261:$DA261),0)),"")</f>
        <v/>
      </c>
      <c r="AT262" s="601" t="str">
        <f t="array" aca="1" ref="AT262" ca="1">IFERROR(INDEX($E261:$DA261,MATCH(0,COUNTIF($D262:AS262,$E261:$DA261),0)),"")</f>
        <v/>
      </c>
      <c r="AU262" s="601" t="str">
        <f t="array" aca="1" ref="AU262" ca="1">IFERROR(INDEX($E261:$DA261,MATCH(0,COUNTIF($D262:AT262,$E261:$DA261),0)),"")</f>
        <v/>
      </c>
      <c r="AV262" s="601" t="str">
        <f t="array" aca="1" ref="AV262" ca="1">IFERROR(INDEX($E261:$DA261,MATCH(0,COUNTIF($D262:AU262,$E261:$DA261),0)),"")</f>
        <v/>
      </c>
      <c r="AW262" s="601" t="str">
        <f t="array" aca="1" ref="AW262" ca="1">IFERROR(INDEX($E261:$DA261,MATCH(0,COUNTIF($D262:AV262,$E261:$DA261),0)),"")</f>
        <v/>
      </c>
      <c r="AX262" s="601" t="str">
        <f t="array" aca="1" ref="AX262" ca="1">IFERROR(INDEX($E261:$DA261,MATCH(0,COUNTIF($D262:AW262,$E261:$DA261),0)),"")</f>
        <v/>
      </c>
      <c r="AY262" s="601" t="str">
        <f t="array" aca="1" ref="AY262" ca="1">IFERROR(INDEX($E261:$DA261,MATCH(0,COUNTIF($D262:AX262,$E261:$DA261),0)),"")</f>
        <v/>
      </c>
      <c r="AZ262" s="601" t="str">
        <f t="array" aca="1" ref="AZ262" ca="1">IFERROR(INDEX($E261:$DA261,MATCH(0,COUNTIF($D262:AY262,$E261:$DA261),0)),"")</f>
        <v/>
      </c>
      <c r="BA262" s="602" t="str">
        <f t="array" aca="1" ref="BA262" ca="1">IFERROR(INDEX($E261:$DA261,MATCH(0,COUNTIF($D262:AZ262,$E261:$DA261),0)),"")</f>
        <v/>
      </c>
      <c r="BB262" s="650" t="str">
        <f t="array" aca="1" ref="BB262" ca="1">IFERROR(INDEX($E261:$DA261,MATCH(0,COUNTIF($D262:BA262,$E261:$DA261),0)),"")</f>
        <v/>
      </c>
      <c r="BC262" s="604"/>
      <c r="BD262" s="604" t="str">
        <f>""</f>
        <v/>
      </c>
      <c r="BE262" s="604"/>
      <c r="BF262" s="604"/>
      <c r="BG262" s="604"/>
      <c r="BH262" s="604"/>
      <c r="BI262" s="604"/>
      <c r="BJ262" s="604"/>
      <c r="BK262" s="604"/>
      <c r="BL262" s="604"/>
      <c r="BM262" s="604"/>
      <c r="BN262" s="604"/>
      <c r="BO262" s="604"/>
      <c r="BP262" s="604"/>
      <c r="BQ262" s="604"/>
      <c r="BR262" s="604"/>
      <c r="BS262" s="604"/>
      <c r="BT262" s="604"/>
      <c r="BU262" s="604"/>
      <c r="BV262" s="604"/>
      <c r="BW262" s="604"/>
      <c r="IE262" s="603"/>
      <c r="IF262" s="603"/>
      <c r="IG262" s="603"/>
      <c r="IH262" s="603"/>
    </row>
    <row r="263" spans="1:242" s="569" customFormat="1" hidden="1">
      <c r="A263" s="569">
        <v>17</v>
      </c>
      <c r="B263" s="1052"/>
      <c r="C263" s="599" t="s">
        <v>674</v>
      </c>
      <c r="D263" s="600" t="str">
        <f>""</f>
        <v/>
      </c>
      <c r="E263" s="734" t="str">
        <f t="shared" ref="E263:AJ263" ca="1" si="122">IF(OFFSET(貼付け_2027実績,2,12)="■",BD261,IFERROR(INDEX($BD261:$DA261,MATCH(E262,$BD261:$DA261,0)),""))</f>
        <v/>
      </c>
      <c r="F263" s="601" t="str">
        <f t="shared" ca="1" si="122"/>
        <v/>
      </c>
      <c r="G263" s="601" t="str">
        <f t="shared" ca="1" si="122"/>
        <v/>
      </c>
      <c r="H263" s="601" t="str">
        <f t="shared" ca="1" si="122"/>
        <v/>
      </c>
      <c r="I263" s="601" t="str">
        <f t="shared" ca="1" si="122"/>
        <v/>
      </c>
      <c r="J263" s="601" t="str">
        <f t="shared" ca="1" si="122"/>
        <v/>
      </c>
      <c r="K263" s="601" t="str">
        <f t="shared" ca="1" si="122"/>
        <v/>
      </c>
      <c r="L263" s="601" t="str">
        <f t="shared" ca="1" si="122"/>
        <v/>
      </c>
      <c r="M263" s="601" t="str">
        <f t="shared" ca="1" si="122"/>
        <v/>
      </c>
      <c r="N263" s="601" t="str">
        <f t="shared" ca="1" si="122"/>
        <v/>
      </c>
      <c r="O263" s="601" t="str">
        <f ca="1">IF(OFFSET(貼付け_2027実績,2,12)="■",BN261,IFERROR(INDEX($BD261:$DA261,MATCH(O262,$BD261:$DA261,0)),""))</f>
        <v/>
      </c>
      <c r="P263" s="601" t="str">
        <f t="shared" ca="1" si="122"/>
        <v/>
      </c>
      <c r="Q263" s="601" t="str">
        <f t="shared" ca="1" si="122"/>
        <v/>
      </c>
      <c r="R263" s="601" t="str">
        <f t="shared" ca="1" si="122"/>
        <v/>
      </c>
      <c r="S263" s="601" t="str">
        <f t="shared" ca="1" si="122"/>
        <v/>
      </c>
      <c r="T263" s="601" t="str">
        <f t="shared" ca="1" si="122"/>
        <v/>
      </c>
      <c r="U263" s="601" t="str">
        <f t="shared" ca="1" si="122"/>
        <v/>
      </c>
      <c r="V263" s="601" t="str">
        <f t="shared" ca="1" si="122"/>
        <v/>
      </c>
      <c r="W263" s="601" t="str">
        <f t="shared" ca="1" si="122"/>
        <v/>
      </c>
      <c r="X263" s="601" t="str">
        <f t="shared" ca="1" si="122"/>
        <v/>
      </c>
      <c r="Y263" s="601" t="str">
        <f t="shared" ca="1" si="122"/>
        <v/>
      </c>
      <c r="Z263" s="601" t="str">
        <f t="shared" ca="1" si="122"/>
        <v/>
      </c>
      <c r="AA263" s="601" t="str">
        <f t="shared" ca="1" si="122"/>
        <v/>
      </c>
      <c r="AB263" s="601" t="str">
        <f t="shared" ca="1" si="122"/>
        <v/>
      </c>
      <c r="AC263" s="601" t="str">
        <f t="shared" ca="1" si="122"/>
        <v/>
      </c>
      <c r="AD263" s="601" t="str">
        <f t="shared" ca="1" si="122"/>
        <v/>
      </c>
      <c r="AE263" s="601" t="str">
        <f t="shared" ca="1" si="122"/>
        <v/>
      </c>
      <c r="AF263" s="601" t="str">
        <f t="shared" ca="1" si="122"/>
        <v/>
      </c>
      <c r="AG263" s="601" t="str">
        <f t="shared" ca="1" si="122"/>
        <v/>
      </c>
      <c r="AH263" s="601" t="str">
        <f t="shared" ca="1" si="122"/>
        <v/>
      </c>
      <c r="AI263" s="601" t="str">
        <f t="shared" ca="1" si="122"/>
        <v/>
      </c>
      <c r="AJ263" s="601" t="str">
        <f t="shared" ca="1" si="122"/>
        <v/>
      </c>
      <c r="AK263" s="601" t="str">
        <f t="shared" ref="AK263:BB263" ca="1" si="123">IF(OFFSET(貼付け_2027実績,2,12)="■",CJ261,IFERROR(INDEX($BD261:$DA261,MATCH(AK262,$BD261:$DA261,0)),""))</f>
        <v/>
      </c>
      <c r="AL263" s="601" t="str">
        <f t="shared" ca="1" si="123"/>
        <v/>
      </c>
      <c r="AM263" s="601" t="str">
        <f t="shared" ca="1" si="123"/>
        <v/>
      </c>
      <c r="AN263" s="601" t="str">
        <f t="shared" ca="1" si="123"/>
        <v/>
      </c>
      <c r="AO263" s="601" t="str">
        <f t="shared" ca="1" si="123"/>
        <v/>
      </c>
      <c r="AP263" s="601" t="str">
        <f t="shared" ca="1" si="123"/>
        <v/>
      </c>
      <c r="AQ263" s="601" t="str">
        <f t="shared" ca="1" si="123"/>
        <v/>
      </c>
      <c r="AR263" s="601" t="str">
        <f t="shared" ca="1" si="123"/>
        <v/>
      </c>
      <c r="AS263" s="601" t="str">
        <f t="shared" ca="1" si="123"/>
        <v/>
      </c>
      <c r="AT263" s="601" t="str">
        <f t="shared" ca="1" si="123"/>
        <v/>
      </c>
      <c r="AU263" s="601" t="str">
        <f t="shared" ca="1" si="123"/>
        <v/>
      </c>
      <c r="AV263" s="601" t="str">
        <f t="shared" ca="1" si="123"/>
        <v/>
      </c>
      <c r="AW263" s="601" t="str">
        <f t="shared" ca="1" si="123"/>
        <v/>
      </c>
      <c r="AX263" s="601" t="str">
        <f t="shared" ca="1" si="123"/>
        <v/>
      </c>
      <c r="AY263" s="601" t="str">
        <f t="shared" ca="1" si="123"/>
        <v/>
      </c>
      <c r="AZ263" s="601" t="str">
        <f t="shared" ca="1" si="123"/>
        <v/>
      </c>
      <c r="BA263" s="602" t="str">
        <f t="shared" ca="1" si="123"/>
        <v/>
      </c>
      <c r="BB263" s="650" t="str">
        <f t="shared" ca="1" si="123"/>
        <v/>
      </c>
      <c r="BD263" s="569" t="str">
        <f>""</f>
        <v/>
      </c>
      <c r="IE263" s="603"/>
      <c r="IF263" s="603"/>
      <c r="IG263" s="603"/>
      <c r="IH263" s="603"/>
    </row>
    <row r="264" spans="1:242" s="569" customFormat="1" hidden="1">
      <c r="A264" s="569">
        <v>18</v>
      </c>
      <c r="B264" s="1052"/>
      <c r="C264" s="605" t="s">
        <v>675</v>
      </c>
      <c r="D264" s="606">
        <v>6</v>
      </c>
      <c r="E264" s="735" t="str">
        <f t="shared" ref="E264:AJ264" ca="1" si="124">OFFSET(A1_名称2027,E$247+2,$D264)&amp;""</f>
        <v/>
      </c>
      <c r="F264" s="607" t="str">
        <f t="shared" ca="1" si="124"/>
        <v/>
      </c>
      <c r="G264" s="607" t="str">
        <f t="shared" ca="1" si="124"/>
        <v/>
      </c>
      <c r="H264" s="607" t="str">
        <f t="shared" ca="1" si="124"/>
        <v/>
      </c>
      <c r="I264" s="607" t="str">
        <f t="shared" ca="1" si="124"/>
        <v/>
      </c>
      <c r="J264" s="607" t="str">
        <f t="shared" ca="1" si="124"/>
        <v/>
      </c>
      <c r="K264" s="607" t="str">
        <f t="shared" ca="1" si="124"/>
        <v/>
      </c>
      <c r="L264" s="607" t="str">
        <f t="shared" ca="1" si="124"/>
        <v/>
      </c>
      <c r="M264" s="607" t="str">
        <f t="shared" ca="1" si="124"/>
        <v/>
      </c>
      <c r="N264" s="607" t="str">
        <f t="shared" ca="1" si="124"/>
        <v/>
      </c>
      <c r="O264" s="607" t="str">
        <f ca="1">OFFSET(A1_名称2027,O$247+2,$D264)&amp;""</f>
        <v/>
      </c>
      <c r="P264" s="607" t="str">
        <f t="shared" ca="1" si="124"/>
        <v/>
      </c>
      <c r="Q264" s="607" t="str">
        <f t="shared" ca="1" si="124"/>
        <v/>
      </c>
      <c r="R264" s="607" t="str">
        <f t="shared" ca="1" si="124"/>
        <v/>
      </c>
      <c r="S264" s="607" t="str">
        <f t="shared" ca="1" si="124"/>
        <v/>
      </c>
      <c r="T264" s="607" t="str">
        <f t="shared" ca="1" si="124"/>
        <v/>
      </c>
      <c r="U264" s="607" t="str">
        <f t="shared" ca="1" si="124"/>
        <v/>
      </c>
      <c r="V264" s="607" t="str">
        <f t="shared" ca="1" si="124"/>
        <v/>
      </c>
      <c r="W264" s="607" t="str">
        <f t="shared" ca="1" si="124"/>
        <v/>
      </c>
      <c r="X264" s="607" t="str">
        <f t="shared" ca="1" si="124"/>
        <v/>
      </c>
      <c r="Y264" s="607" t="str">
        <f t="shared" ca="1" si="124"/>
        <v/>
      </c>
      <c r="Z264" s="607" t="str">
        <f t="shared" ca="1" si="124"/>
        <v/>
      </c>
      <c r="AA264" s="607" t="str">
        <f t="shared" ca="1" si="124"/>
        <v/>
      </c>
      <c r="AB264" s="607" t="str">
        <f t="shared" ca="1" si="124"/>
        <v/>
      </c>
      <c r="AC264" s="607" t="str">
        <f t="shared" ca="1" si="124"/>
        <v/>
      </c>
      <c r="AD264" s="607" t="str">
        <f t="shared" ca="1" si="124"/>
        <v/>
      </c>
      <c r="AE264" s="607" t="str">
        <f t="shared" ca="1" si="124"/>
        <v/>
      </c>
      <c r="AF264" s="607" t="str">
        <f t="shared" ca="1" si="124"/>
        <v/>
      </c>
      <c r="AG264" s="607" t="str">
        <f t="shared" ca="1" si="124"/>
        <v/>
      </c>
      <c r="AH264" s="607" t="str">
        <f t="shared" ca="1" si="124"/>
        <v/>
      </c>
      <c r="AI264" s="607" t="str">
        <f t="shared" ca="1" si="124"/>
        <v/>
      </c>
      <c r="AJ264" s="607" t="str">
        <f t="shared" ca="1" si="124"/>
        <v/>
      </c>
      <c r="AK264" s="607" t="str">
        <f t="shared" ref="AK264:BB264" ca="1" si="125">OFFSET(A1_名称2027,AK$247+2,$D264)&amp;""</f>
        <v/>
      </c>
      <c r="AL264" s="607" t="str">
        <f t="shared" ca="1" si="125"/>
        <v/>
      </c>
      <c r="AM264" s="607" t="str">
        <f t="shared" ca="1" si="125"/>
        <v/>
      </c>
      <c r="AN264" s="607" t="str">
        <f t="shared" ca="1" si="125"/>
        <v/>
      </c>
      <c r="AO264" s="607" t="str">
        <f t="shared" ca="1" si="125"/>
        <v/>
      </c>
      <c r="AP264" s="607" t="str">
        <f t="shared" ca="1" si="125"/>
        <v/>
      </c>
      <c r="AQ264" s="607" t="str">
        <f t="shared" ca="1" si="125"/>
        <v/>
      </c>
      <c r="AR264" s="607" t="str">
        <f t="shared" ca="1" si="125"/>
        <v/>
      </c>
      <c r="AS264" s="607" t="str">
        <f t="shared" ca="1" si="125"/>
        <v/>
      </c>
      <c r="AT264" s="607" t="str">
        <f t="shared" ca="1" si="125"/>
        <v/>
      </c>
      <c r="AU264" s="607" t="str">
        <f t="shared" ca="1" si="125"/>
        <v/>
      </c>
      <c r="AV264" s="607" t="str">
        <f t="shared" ca="1" si="125"/>
        <v/>
      </c>
      <c r="AW264" s="607" t="str">
        <f t="shared" ca="1" si="125"/>
        <v/>
      </c>
      <c r="AX264" s="607" t="str">
        <f t="shared" ca="1" si="125"/>
        <v/>
      </c>
      <c r="AY264" s="607" t="str">
        <f t="shared" ca="1" si="125"/>
        <v/>
      </c>
      <c r="AZ264" s="607" t="str">
        <f t="shared" ca="1" si="125"/>
        <v/>
      </c>
      <c r="BA264" s="608" t="str">
        <f t="shared" ca="1" si="125"/>
        <v/>
      </c>
      <c r="BB264" s="651" t="str">
        <f t="shared" ca="1" si="125"/>
        <v/>
      </c>
      <c r="IE264" s="603"/>
      <c r="IF264" s="603"/>
      <c r="IG264" s="603"/>
      <c r="IH264" s="603"/>
    </row>
    <row r="265" spans="1:242" s="164" customFormat="1" ht="19.8" hidden="1">
      <c r="A265" s="569">
        <v>19</v>
      </c>
      <c r="B265" s="1052"/>
      <c r="C265" s="599" t="s">
        <v>676</v>
      </c>
      <c r="D265" s="600"/>
      <c r="E265" s="734" t="str">
        <f ca="1">IF(E264="","",IFERROR(INDEX($E260:$BB260,MATCH(E264,$BD261:$DA261,0)),""))</f>
        <v/>
      </c>
      <c r="F265" s="601" t="str">
        <f t="shared" ref="F265:BB265" ca="1" si="126">IF(F264="","",IFERROR(INDEX($E260:$BB260,MATCH(F264,$BD261:$DA261,0)),""))</f>
        <v/>
      </c>
      <c r="G265" s="601" t="str">
        <f t="shared" ca="1" si="126"/>
        <v/>
      </c>
      <c r="H265" s="601" t="str">
        <f t="shared" ca="1" si="126"/>
        <v/>
      </c>
      <c r="I265" s="601" t="str">
        <f t="shared" ca="1" si="126"/>
        <v/>
      </c>
      <c r="J265" s="601" t="str">
        <f t="shared" ca="1" si="126"/>
        <v/>
      </c>
      <c r="K265" s="601" t="str">
        <f t="shared" ca="1" si="126"/>
        <v/>
      </c>
      <c r="L265" s="601" t="str">
        <f t="shared" ca="1" si="126"/>
        <v/>
      </c>
      <c r="M265" s="601" t="str">
        <f t="shared" ca="1" si="126"/>
        <v/>
      </c>
      <c r="N265" s="601" t="str">
        <f t="shared" ca="1" si="126"/>
        <v/>
      </c>
      <c r="O265" s="601" t="str">
        <f ca="1">IF(O264="","",IFERROR(INDEX($E260:$BB260,MATCH(O264,$BD261:$DA261,0)),""))</f>
        <v/>
      </c>
      <c r="P265" s="601" t="str">
        <f t="shared" ca="1" si="126"/>
        <v/>
      </c>
      <c r="Q265" s="601" t="str">
        <f t="shared" ca="1" si="126"/>
        <v/>
      </c>
      <c r="R265" s="601" t="str">
        <f t="shared" ca="1" si="126"/>
        <v/>
      </c>
      <c r="S265" s="601" t="str">
        <f t="shared" ca="1" si="126"/>
        <v/>
      </c>
      <c r="T265" s="601" t="str">
        <f t="shared" ca="1" si="126"/>
        <v/>
      </c>
      <c r="U265" s="601" t="str">
        <f t="shared" ca="1" si="126"/>
        <v/>
      </c>
      <c r="V265" s="601" t="str">
        <f t="shared" ca="1" si="126"/>
        <v/>
      </c>
      <c r="W265" s="601" t="str">
        <f t="shared" ca="1" si="126"/>
        <v/>
      </c>
      <c r="X265" s="601" t="str">
        <f t="shared" ca="1" si="126"/>
        <v/>
      </c>
      <c r="Y265" s="601" t="str">
        <f t="shared" ca="1" si="126"/>
        <v/>
      </c>
      <c r="Z265" s="601" t="str">
        <f t="shared" ca="1" si="126"/>
        <v/>
      </c>
      <c r="AA265" s="601" t="str">
        <f t="shared" ca="1" si="126"/>
        <v/>
      </c>
      <c r="AB265" s="601" t="str">
        <f t="shared" ca="1" si="126"/>
        <v/>
      </c>
      <c r="AC265" s="601" t="str">
        <f t="shared" ca="1" si="126"/>
        <v/>
      </c>
      <c r="AD265" s="601" t="str">
        <f t="shared" ca="1" si="126"/>
        <v/>
      </c>
      <c r="AE265" s="601" t="str">
        <f t="shared" ca="1" si="126"/>
        <v/>
      </c>
      <c r="AF265" s="601" t="str">
        <f t="shared" ca="1" si="126"/>
        <v/>
      </c>
      <c r="AG265" s="601" t="str">
        <f t="shared" ca="1" si="126"/>
        <v/>
      </c>
      <c r="AH265" s="601" t="str">
        <f t="shared" ca="1" si="126"/>
        <v/>
      </c>
      <c r="AI265" s="601" t="str">
        <f t="shared" ca="1" si="126"/>
        <v/>
      </c>
      <c r="AJ265" s="601" t="str">
        <f t="shared" ca="1" si="126"/>
        <v/>
      </c>
      <c r="AK265" s="601" t="str">
        <f t="shared" ca="1" si="126"/>
        <v/>
      </c>
      <c r="AL265" s="601" t="str">
        <f t="shared" ca="1" si="126"/>
        <v/>
      </c>
      <c r="AM265" s="601" t="str">
        <f t="shared" ca="1" si="126"/>
        <v/>
      </c>
      <c r="AN265" s="601" t="str">
        <f t="shared" ca="1" si="126"/>
        <v/>
      </c>
      <c r="AO265" s="601" t="str">
        <f t="shared" ca="1" si="126"/>
        <v/>
      </c>
      <c r="AP265" s="601" t="str">
        <f t="shared" ca="1" si="126"/>
        <v/>
      </c>
      <c r="AQ265" s="601" t="str">
        <f t="shared" ca="1" si="126"/>
        <v/>
      </c>
      <c r="AR265" s="601" t="str">
        <f t="shared" ca="1" si="126"/>
        <v/>
      </c>
      <c r="AS265" s="601" t="str">
        <f t="shared" ca="1" si="126"/>
        <v/>
      </c>
      <c r="AT265" s="601" t="str">
        <f t="shared" ca="1" si="126"/>
        <v/>
      </c>
      <c r="AU265" s="601" t="str">
        <f t="shared" ca="1" si="126"/>
        <v/>
      </c>
      <c r="AV265" s="601" t="str">
        <f t="shared" ca="1" si="126"/>
        <v/>
      </c>
      <c r="AW265" s="601" t="str">
        <f t="shared" ca="1" si="126"/>
        <v/>
      </c>
      <c r="AX265" s="601" t="str">
        <f t="shared" ca="1" si="126"/>
        <v/>
      </c>
      <c r="AY265" s="601" t="str">
        <f t="shared" ca="1" si="126"/>
        <v/>
      </c>
      <c r="AZ265" s="601" t="str">
        <f t="shared" ca="1" si="126"/>
        <v/>
      </c>
      <c r="BA265" s="602" t="str">
        <f t="shared" ca="1" si="126"/>
        <v/>
      </c>
      <c r="BB265" s="650" t="str">
        <f t="shared" ca="1" si="126"/>
        <v/>
      </c>
      <c r="BC265" s="569"/>
      <c r="BD265" s="569"/>
      <c r="BE265" s="569"/>
      <c r="BF265" s="569"/>
      <c r="BG265" s="569"/>
      <c r="BH265" s="569"/>
      <c r="BI265" s="569"/>
      <c r="BJ265" s="569"/>
      <c r="BK265" s="569"/>
      <c r="BL265" s="569"/>
      <c r="BM265" s="569"/>
      <c r="BN265" s="569"/>
      <c r="BO265" s="569"/>
      <c r="BP265" s="569"/>
      <c r="BQ265" s="569"/>
      <c r="BR265" s="569"/>
      <c r="BS265" s="569"/>
      <c r="BT265" s="569"/>
      <c r="BU265" s="569"/>
      <c r="BV265" s="569"/>
      <c r="BW265" s="569"/>
      <c r="BX265" s="569"/>
      <c r="BY265" s="569"/>
      <c r="BZ265" s="569"/>
      <c r="CA265" s="569"/>
      <c r="CB265" s="569"/>
      <c r="CC265" s="569"/>
      <c r="CD265" s="569"/>
      <c r="CE265" s="569"/>
      <c r="CF265" s="569"/>
      <c r="CG265" s="569"/>
      <c r="CH265" s="569"/>
      <c r="CI265" s="569"/>
      <c r="CJ265" s="569"/>
      <c r="CK265" s="569"/>
      <c r="CL265" s="569"/>
      <c r="CM265" s="569"/>
      <c r="CN265" s="569"/>
      <c r="CO265" s="569"/>
      <c r="CP265" s="569"/>
      <c r="CQ265" s="569"/>
      <c r="CR265" s="569"/>
      <c r="CS265" s="569"/>
      <c r="CT265" s="569"/>
      <c r="CU265" s="569"/>
      <c r="CV265" s="569"/>
      <c r="CW265" s="569"/>
      <c r="CX265" s="569"/>
      <c r="CY265" s="569"/>
      <c r="CZ265" s="569"/>
      <c r="DA265" s="569"/>
      <c r="DB265" s="569"/>
      <c r="DC265" s="569"/>
      <c r="DD265" s="569"/>
      <c r="DE265" s="569"/>
      <c r="DF265" s="569"/>
      <c r="DG265" s="569"/>
      <c r="DH265" s="569"/>
      <c r="DI265" s="569"/>
      <c r="DJ265" s="569"/>
      <c r="DK265" s="569"/>
      <c r="DL265" s="569"/>
      <c r="DM265" s="569"/>
      <c r="DN265" s="569"/>
      <c r="DO265" s="569"/>
      <c r="DP265" s="569"/>
      <c r="DQ265" s="569"/>
      <c r="DR265" s="569"/>
      <c r="DS265" s="569"/>
      <c r="DT265" s="569"/>
      <c r="DU265" s="569"/>
      <c r="DV265" s="569"/>
      <c r="DW265" s="569"/>
      <c r="DX265" s="569"/>
      <c r="DY265" s="569"/>
      <c r="DZ265" s="569"/>
      <c r="EA265" s="569"/>
      <c r="EB265" s="569"/>
      <c r="EC265" s="569"/>
      <c r="ED265" s="569"/>
      <c r="EE265" s="569"/>
      <c r="EF265" s="569"/>
      <c r="EG265" s="569"/>
      <c r="EH265" s="569"/>
      <c r="EI265" s="569"/>
      <c r="EJ265" s="569"/>
      <c r="EK265" s="569"/>
      <c r="EL265" s="569"/>
      <c r="EM265" s="569"/>
      <c r="EN265" s="569"/>
      <c r="EO265" s="569"/>
      <c r="EP265" s="569"/>
      <c r="EQ265" s="569"/>
      <c r="ER265" s="569"/>
      <c r="ES265" s="569"/>
      <c r="ET265" s="569"/>
      <c r="EU265" s="569"/>
      <c r="EV265" s="569"/>
      <c r="EW265" s="569"/>
      <c r="EX265" s="569"/>
      <c r="EY265" s="569"/>
      <c r="EZ265" s="569"/>
      <c r="FA265" s="569"/>
      <c r="FB265" s="569"/>
      <c r="FC265" s="569"/>
      <c r="FD265" s="569"/>
      <c r="FE265" s="569"/>
      <c r="FF265" s="569"/>
      <c r="FG265" s="569"/>
      <c r="FH265" s="569"/>
      <c r="FI265" s="569"/>
      <c r="FJ265" s="569"/>
      <c r="FK265" s="569"/>
      <c r="FL265" s="569"/>
      <c r="FM265" s="569"/>
      <c r="FN265" s="569"/>
      <c r="FO265" s="569"/>
      <c r="FP265" s="569"/>
      <c r="FQ265" s="569"/>
      <c r="FR265" s="569"/>
      <c r="FS265" s="569"/>
      <c r="FT265" s="569"/>
      <c r="FU265" s="569"/>
      <c r="FV265" s="569"/>
      <c r="FW265" s="569"/>
      <c r="FX265" s="569"/>
      <c r="FY265" s="569"/>
      <c r="FZ265" s="569"/>
      <c r="GA265" s="569"/>
      <c r="GB265" s="569"/>
      <c r="GC265" s="569"/>
      <c r="GD265" s="569"/>
      <c r="GE265" s="569"/>
      <c r="GF265" s="569"/>
      <c r="GG265" s="569"/>
      <c r="GH265" s="569"/>
      <c r="GI265" s="569"/>
      <c r="GJ265" s="569"/>
      <c r="GK265" s="569"/>
      <c r="GL265" s="569"/>
      <c r="GM265" s="569"/>
      <c r="GN265" s="569"/>
      <c r="GO265" s="569"/>
      <c r="GP265" s="569"/>
      <c r="GQ265" s="569"/>
      <c r="GR265" s="569"/>
      <c r="GS265" s="569"/>
      <c r="GT265" s="569"/>
      <c r="GU265" s="569"/>
      <c r="GV265" s="569"/>
      <c r="GW265" s="569"/>
      <c r="GX265" s="569"/>
      <c r="GY265" s="569"/>
      <c r="GZ265" s="569"/>
      <c r="HA265" s="569"/>
      <c r="HB265" s="569"/>
      <c r="HC265" s="569"/>
      <c r="HD265" s="569"/>
      <c r="HE265" s="569"/>
      <c r="HF265" s="569"/>
      <c r="HG265" s="569"/>
      <c r="HH265" s="569"/>
      <c r="HI265" s="569"/>
      <c r="HJ265" s="569"/>
      <c r="HK265" s="569"/>
      <c r="IE265" s="579"/>
      <c r="IF265" s="579"/>
      <c r="IG265" s="579"/>
      <c r="IH265" s="579"/>
    </row>
    <row r="266" spans="1:242" s="164" customFormat="1" ht="20.100000000000001" hidden="1" customHeight="1">
      <c r="A266" s="569">
        <v>20</v>
      </c>
      <c r="B266" s="1052"/>
      <c r="C266" s="609" t="s">
        <v>677</v>
      </c>
      <c r="D266" s="610">
        <v>6</v>
      </c>
      <c r="E266" s="736" t="str">
        <f t="shared" ref="E266:AJ266" ca="1" si="127">IFERROR(OFFSET(貼付け_2027実績,$D266,E265+1)&amp;"","")</f>
        <v/>
      </c>
      <c r="F266" s="611" t="str">
        <f t="shared" ca="1" si="127"/>
        <v/>
      </c>
      <c r="G266" s="611" t="str">
        <f t="shared" ca="1" si="127"/>
        <v/>
      </c>
      <c r="H266" s="611" t="str">
        <f t="shared" ca="1" si="127"/>
        <v/>
      </c>
      <c r="I266" s="611" t="str">
        <f t="shared" ca="1" si="127"/>
        <v/>
      </c>
      <c r="J266" s="611" t="str">
        <f t="shared" ca="1" si="127"/>
        <v/>
      </c>
      <c r="K266" s="611" t="str">
        <f t="shared" ca="1" si="127"/>
        <v/>
      </c>
      <c r="L266" s="611" t="str">
        <f t="shared" ca="1" si="127"/>
        <v/>
      </c>
      <c r="M266" s="611" t="str">
        <f t="shared" ca="1" si="127"/>
        <v/>
      </c>
      <c r="N266" s="611" t="str">
        <f t="shared" ca="1" si="127"/>
        <v/>
      </c>
      <c r="O266" s="611" t="str">
        <f ca="1">IFERROR(OFFSET(貼付け_2027実績,$D266,O265+1)&amp;"","")</f>
        <v/>
      </c>
      <c r="P266" s="611" t="str">
        <f t="shared" ca="1" si="127"/>
        <v/>
      </c>
      <c r="Q266" s="611" t="str">
        <f t="shared" ca="1" si="127"/>
        <v/>
      </c>
      <c r="R266" s="611" t="str">
        <f t="shared" ca="1" si="127"/>
        <v/>
      </c>
      <c r="S266" s="611" t="str">
        <f t="shared" ca="1" si="127"/>
        <v/>
      </c>
      <c r="T266" s="611" t="str">
        <f t="shared" ca="1" si="127"/>
        <v/>
      </c>
      <c r="U266" s="611" t="str">
        <f t="shared" ca="1" si="127"/>
        <v/>
      </c>
      <c r="V266" s="611" t="str">
        <f t="shared" ca="1" si="127"/>
        <v/>
      </c>
      <c r="W266" s="611" t="str">
        <f t="shared" ca="1" si="127"/>
        <v/>
      </c>
      <c r="X266" s="611" t="str">
        <f t="shared" ca="1" si="127"/>
        <v/>
      </c>
      <c r="Y266" s="611" t="str">
        <f t="shared" ca="1" si="127"/>
        <v/>
      </c>
      <c r="Z266" s="611" t="str">
        <f t="shared" ca="1" si="127"/>
        <v/>
      </c>
      <c r="AA266" s="611" t="str">
        <f t="shared" ca="1" si="127"/>
        <v/>
      </c>
      <c r="AB266" s="611" t="str">
        <f t="shared" ca="1" si="127"/>
        <v/>
      </c>
      <c r="AC266" s="611" t="str">
        <f t="shared" ca="1" si="127"/>
        <v/>
      </c>
      <c r="AD266" s="611" t="str">
        <f t="shared" ca="1" si="127"/>
        <v/>
      </c>
      <c r="AE266" s="611" t="str">
        <f t="shared" ca="1" si="127"/>
        <v/>
      </c>
      <c r="AF266" s="611" t="str">
        <f t="shared" ca="1" si="127"/>
        <v/>
      </c>
      <c r="AG266" s="611" t="str">
        <f t="shared" ca="1" si="127"/>
        <v/>
      </c>
      <c r="AH266" s="611" t="str">
        <f t="shared" ca="1" si="127"/>
        <v/>
      </c>
      <c r="AI266" s="611" t="str">
        <f t="shared" ca="1" si="127"/>
        <v/>
      </c>
      <c r="AJ266" s="611" t="str">
        <f t="shared" ca="1" si="127"/>
        <v/>
      </c>
      <c r="AK266" s="611" t="str">
        <f t="shared" ref="AK266:BB266" ca="1" si="128">IFERROR(OFFSET(貼付け_2027実績,$D266,AK265+1)&amp;"","")</f>
        <v/>
      </c>
      <c r="AL266" s="611" t="str">
        <f t="shared" ca="1" si="128"/>
        <v/>
      </c>
      <c r="AM266" s="611" t="str">
        <f t="shared" ca="1" si="128"/>
        <v/>
      </c>
      <c r="AN266" s="611" t="str">
        <f t="shared" ca="1" si="128"/>
        <v/>
      </c>
      <c r="AO266" s="611" t="str">
        <f t="shared" ca="1" si="128"/>
        <v/>
      </c>
      <c r="AP266" s="611" t="str">
        <f t="shared" ca="1" si="128"/>
        <v/>
      </c>
      <c r="AQ266" s="611" t="str">
        <f t="shared" ca="1" si="128"/>
        <v/>
      </c>
      <c r="AR266" s="611" t="str">
        <f t="shared" ca="1" si="128"/>
        <v/>
      </c>
      <c r="AS266" s="611" t="str">
        <f t="shared" ca="1" si="128"/>
        <v/>
      </c>
      <c r="AT266" s="611" t="str">
        <f t="shared" ca="1" si="128"/>
        <v/>
      </c>
      <c r="AU266" s="611" t="str">
        <f t="shared" ca="1" si="128"/>
        <v/>
      </c>
      <c r="AV266" s="611" t="str">
        <f t="shared" ca="1" si="128"/>
        <v/>
      </c>
      <c r="AW266" s="611" t="str">
        <f t="shared" ca="1" si="128"/>
        <v/>
      </c>
      <c r="AX266" s="611" t="str">
        <f t="shared" ca="1" si="128"/>
        <v/>
      </c>
      <c r="AY266" s="611" t="str">
        <f t="shared" ca="1" si="128"/>
        <v/>
      </c>
      <c r="AZ266" s="611" t="str">
        <f t="shared" ca="1" si="128"/>
        <v/>
      </c>
      <c r="BA266" s="612" t="str">
        <f t="shared" ca="1" si="128"/>
        <v/>
      </c>
      <c r="BB266" s="652" t="str">
        <f t="shared" ca="1" si="128"/>
        <v/>
      </c>
      <c r="BC266" s="613"/>
      <c r="IE266" s="579"/>
      <c r="IF266" s="579"/>
      <c r="IG266" s="579"/>
      <c r="IH266" s="579"/>
    </row>
    <row r="267" spans="1:242" s="164" customFormat="1" ht="20.100000000000001" hidden="1" customHeight="1">
      <c r="A267" s="569">
        <v>21</v>
      </c>
      <c r="B267" s="1052"/>
      <c r="C267" s="614" t="s">
        <v>678</v>
      </c>
      <c r="D267" s="615">
        <v>99</v>
      </c>
      <c r="E267" s="737" t="str">
        <f t="shared" ref="E267:AJ267" ca="1" si="129">IFERROR(OFFSET(貼付け_2027実績,$D267,E265),"")&amp;""</f>
        <v/>
      </c>
      <c r="F267" s="616" t="str">
        <f t="shared" ca="1" si="129"/>
        <v/>
      </c>
      <c r="G267" s="616" t="str">
        <f t="shared" ca="1" si="129"/>
        <v/>
      </c>
      <c r="H267" s="616" t="str">
        <f t="shared" ca="1" si="129"/>
        <v/>
      </c>
      <c r="I267" s="616" t="str">
        <f t="shared" ca="1" si="129"/>
        <v/>
      </c>
      <c r="J267" s="616" t="str">
        <f t="shared" ca="1" si="129"/>
        <v/>
      </c>
      <c r="K267" s="616" t="str">
        <f t="shared" ca="1" si="129"/>
        <v/>
      </c>
      <c r="L267" s="616" t="str">
        <f t="shared" ca="1" si="129"/>
        <v/>
      </c>
      <c r="M267" s="616" t="str">
        <f t="shared" ca="1" si="129"/>
        <v/>
      </c>
      <c r="N267" s="616" t="str">
        <f t="shared" ca="1" si="129"/>
        <v/>
      </c>
      <c r="O267" s="616" t="str">
        <f ca="1">IFERROR(OFFSET(貼付け_2027実績,$D267,O265),"")&amp;""</f>
        <v/>
      </c>
      <c r="P267" s="616" t="str">
        <f t="shared" ca="1" si="129"/>
        <v/>
      </c>
      <c r="Q267" s="616" t="str">
        <f t="shared" ca="1" si="129"/>
        <v/>
      </c>
      <c r="R267" s="616" t="str">
        <f t="shared" ca="1" si="129"/>
        <v/>
      </c>
      <c r="S267" s="616" t="str">
        <f t="shared" ca="1" si="129"/>
        <v/>
      </c>
      <c r="T267" s="616" t="str">
        <f t="shared" ca="1" si="129"/>
        <v/>
      </c>
      <c r="U267" s="616" t="str">
        <f t="shared" ca="1" si="129"/>
        <v/>
      </c>
      <c r="V267" s="616" t="str">
        <f t="shared" ca="1" si="129"/>
        <v/>
      </c>
      <c r="W267" s="616" t="str">
        <f t="shared" ca="1" si="129"/>
        <v/>
      </c>
      <c r="X267" s="616" t="str">
        <f t="shared" ca="1" si="129"/>
        <v/>
      </c>
      <c r="Y267" s="616" t="str">
        <f t="shared" ca="1" si="129"/>
        <v/>
      </c>
      <c r="Z267" s="616" t="str">
        <f t="shared" ca="1" si="129"/>
        <v/>
      </c>
      <c r="AA267" s="616" t="str">
        <f t="shared" ca="1" si="129"/>
        <v/>
      </c>
      <c r="AB267" s="616" t="str">
        <f t="shared" ca="1" si="129"/>
        <v/>
      </c>
      <c r="AC267" s="616" t="str">
        <f t="shared" ca="1" si="129"/>
        <v/>
      </c>
      <c r="AD267" s="616" t="str">
        <f t="shared" ca="1" si="129"/>
        <v/>
      </c>
      <c r="AE267" s="616" t="str">
        <f t="shared" ca="1" si="129"/>
        <v/>
      </c>
      <c r="AF267" s="616" t="str">
        <f t="shared" ca="1" si="129"/>
        <v/>
      </c>
      <c r="AG267" s="616" t="str">
        <f t="shared" ca="1" si="129"/>
        <v/>
      </c>
      <c r="AH267" s="616" t="str">
        <f t="shared" ca="1" si="129"/>
        <v/>
      </c>
      <c r="AI267" s="616" t="str">
        <f t="shared" ca="1" si="129"/>
        <v/>
      </c>
      <c r="AJ267" s="616" t="str">
        <f t="shared" ca="1" si="129"/>
        <v/>
      </c>
      <c r="AK267" s="616" t="str">
        <f t="shared" ref="AK267:BB267" ca="1" si="130">IFERROR(OFFSET(貼付け_2027実績,$D267,AK265),"")&amp;""</f>
        <v/>
      </c>
      <c r="AL267" s="616" t="str">
        <f t="shared" ca="1" si="130"/>
        <v/>
      </c>
      <c r="AM267" s="616" t="str">
        <f t="shared" ca="1" si="130"/>
        <v/>
      </c>
      <c r="AN267" s="616" t="str">
        <f t="shared" ca="1" si="130"/>
        <v/>
      </c>
      <c r="AO267" s="616" t="str">
        <f t="shared" ca="1" si="130"/>
        <v/>
      </c>
      <c r="AP267" s="616" t="str">
        <f t="shared" ca="1" si="130"/>
        <v/>
      </c>
      <c r="AQ267" s="616" t="str">
        <f t="shared" ca="1" si="130"/>
        <v/>
      </c>
      <c r="AR267" s="616" t="str">
        <f t="shared" ca="1" si="130"/>
        <v/>
      </c>
      <c r="AS267" s="616" t="str">
        <f t="shared" ca="1" si="130"/>
        <v/>
      </c>
      <c r="AT267" s="616" t="str">
        <f t="shared" ca="1" si="130"/>
        <v/>
      </c>
      <c r="AU267" s="616" t="str">
        <f t="shared" ca="1" si="130"/>
        <v/>
      </c>
      <c r="AV267" s="616" t="str">
        <f t="shared" ca="1" si="130"/>
        <v/>
      </c>
      <c r="AW267" s="616" t="str">
        <f t="shared" ca="1" si="130"/>
        <v/>
      </c>
      <c r="AX267" s="616" t="str">
        <f t="shared" ca="1" si="130"/>
        <v/>
      </c>
      <c r="AY267" s="616" t="str">
        <f t="shared" ca="1" si="130"/>
        <v/>
      </c>
      <c r="AZ267" s="616" t="str">
        <f t="shared" ca="1" si="130"/>
        <v/>
      </c>
      <c r="BA267" s="616" t="str">
        <f t="shared" ca="1" si="130"/>
        <v/>
      </c>
      <c r="BB267" s="653" t="str">
        <f t="shared" ca="1" si="130"/>
        <v/>
      </c>
      <c r="IE267" s="579"/>
      <c r="IF267" s="579"/>
      <c r="IG267" s="579"/>
      <c r="IH267" s="579"/>
    </row>
    <row r="268" spans="1:242" s="164" customFormat="1" ht="20.100000000000001" hidden="1" customHeight="1">
      <c r="A268" s="569">
        <v>22</v>
      </c>
      <c r="B268" s="1052"/>
      <c r="C268" s="614" t="s">
        <v>679</v>
      </c>
      <c r="D268" s="615">
        <v>6</v>
      </c>
      <c r="E268" s="737" t="str">
        <f t="shared" ref="E268:AJ268" ca="1" si="131">IFERROR(OFFSET(A1_集計2027,$D268,E265),"")</f>
        <v/>
      </c>
      <c r="F268" s="616" t="str">
        <f t="shared" ca="1" si="131"/>
        <v/>
      </c>
      <c r="G268" s="616" t="str">
        <f t="shared" ca="1" si="131"/>
        <v/>
      </c>
      <c r="H268" s="616" t="str">
        <f t="shared" ca="1" si="131"/>
        <v/>
      </c>
      <c r="I268" s="616" t="str">
        <f t="shared" ca="1" si="131"/>
        <v/>
      </c>
      <c r="J268" s="616" t="str">
        <f t="shared" ca="1" si="131"/>
        <v/>
      </c>
      <c r="K268" s="616" t="str">
        <f t="shared" ca="1" si="131"/>
        <v/>
      </c>
      <c r="L268" s="616" t="str">
        <f t="shared" ca="1" si="131"/>
        <v/>
      </c>
      <c r="M268" s="616" t="str">
        <f t="shared" ca="1" si="131"/>
        <v/>
      </c>
      <c r="N268" s="616" t="str">
        <f t="shared" ca="1" si="131"/>
        <v/>
      </c>
      <c r="O268" s="616" t="str">
        <f ca="1">IFERROR(OFFSET(A1_集計2027,$D268,O265),"")</f>
        <v/>
      </c>
      <c r="P268" s="616" t="str">
        <f t="shared" ca="1" si="131"/>
        <v/>
      </c>
      <c r="Q268" s="616" t="str">
        <f t="shared" ca="1" si="131"/>
        <v/>
      </c>
      <c r="R268" s="616" t="str">
        <f t="shared" ca="1" si="131"/>
        <v/>
      </c>
      <c r="S268" s="616" t="str">
        <f t="shared" ca="1" si="131"/>
        <v/>
      </c>
      <c r="T268" s="616" t="str">
        <f t="shared" ca="1" si="131"/>
        <v/>
      </c>
      <c r="U268" s="616" t="str">
        <f t="shared" ca="1" si="131"/>
        <v/>
      </c>
      <c r="V268" s="616" t="str">
        <f t="shared" ca="1" si="131"/>
        <v/>
      </c>
      <c r="W268" s="616" t="str">
        <f t="shared" ca="1" si="131"/>
        <v/>
      </c>
      <c r="X268" s="616" t="str">
        <f t="shared" ca="1" si="131"/>
        <v/>
      </c>
      <c r="Y268" s="616" t="str">
        <f t="shared" ca="1" si="131"/>
        <v/>
      </c>
      <c r="Z268" s="616" t="str">
        <f t="shared" ca="1" si="131"/>
        <v/>
      </c>
      <c r="AA268" s="616" t="str">
        <f t="shared" ca="1" si="131"/>
        <v/>
      </c>
      <c r="AB268" s="616" t="str">
        <f t="shared" ca="1" si="131"/>
        <v/>
      </c>
      <c r="AC268" s="616" t="str">
        <f t="shared" ca="1" si="131"/>
        <v/>
      </c>
      <c r="AD268" s="616" t="str">
        <f t="shared" ca="1" si="131"/>
        <v/>
      </c>
      <c r="AE268" s="616" t="str">
        <f t="shared" ca="1" si="131"/>
        <v/>
      </c>
      <c r="AF268" s="616" t="str">
        <f t="shared" ca="1" si="131"/>
        <v/>
      </c>
      <c r="AG268" s="616" t="str">
        <f t="shared" ca="1" si="131"/>
        <v/>
      </c>
      <c r="AH268" s="616" t="str">
        <f t="shared" ca="1" si="131"/>
        <v/>
      </c>
      <c r="AI268" s="616" t="str">
        <f t="shared" ca="1" si="131"/>
        <v/>
      </c>
      <c r="AJ268" s="616" t="str">
        <f t="shared" ca="1" si="131"/>
        <v/>
      </c>
      <c r="AK268" s="616" t="str">
        <f t="shared" ref="AK268:BB268" ca="1" si="132">IFERROR(OFFSET(A1_集計2027,$D268,AK265),"")</f>
        <v/>
      </c>
      <c r="AL268" s="616" t="str">
        <f t="shared" ca="1" si="132"/>
        <v/>
      </c>
      <c r="AM268" s="616" t="str">
        <f t="shared" ca="1" si="132"/>
        <v/>
      </c>
      <c r="AN268" s="616" t="str">
        <f t="shared" ca="1" si="132"/>
        <v/>
      </c>
      <c r="AO268" s="616" t="str">
        <f t="shared" ca="1" si="132"/>
        <v/>
      </c>
      <c r="AP268" s="616" t="str">
        <f t="shared" ca="1" si="132"/>
        <v/>
      </c>
      <c r="AQ268" s="616" t="str">
        <f t="shared" ca="1" si="132"/>
        <v/>
      </c>
      <c r="AR268" s="616" t="str">
        <f t="shared" ca="1" si="132"/>
        <v/>
      </c>
      <c r="AS268" s="616" t="str">
        <f t="shared" ca="1" si="132"/>
        <v/>
      </c>
      <c r="AT268" s="616" t="str">
        <f t="shared" ca="1" si="132"/>
        <v/>
      </c>
      <c r="AU268" s="616" t="str">
        <f t="shared" ca="1" si="132"/>
        <v/>
      </c>
      <c r="AV268" s="616" t="str">
        <f t="shared" ca="1" si="132"/>
        <v/>
      </c>
      <c r="AW268" s="616" t="str">
        <f t="shared" ca="1" si="132"/>
        <v/>
      </c>
      <c r="AX268" s="616" t="str">
        <f t="shared" ca="1" si="132"/>
        <v/>
      </c>
      <c r="AY268" s="616" t="str">
        <f t="shared" ca="1" si="132"/>
        <v/>
      </c>
      <c r="AZ268" s="616" t="str">
        <f t="shared" ca="1" si="132"/>
        <v/>
      </c>
      <c r="BA268" s="587" t="str">
        <f t="shared" ca="1" si="132"/>
        <v/>
      </c>
      <c r="BB268" s="653" t="str">
        <f t="shared" ca="1" si="132"/>
        <v/>
      </c>
      <c r="IE268" s="579"/>
      <c r="IF268" s="579"/>
      <c r="IG268" s="579"/>
      <c r="IH268" s="579"/>
    </row>
    <row r="269" spans="1:242" s="164" customFormat="1" ht="20.100000000000001" hidden="1" customHeight="1">
      <c r="A269" s="569">
        <v>23</v>
      </c>
      <c r="B269" s="1052"/>
      <c r="C269" s="614" t="s">
        <v>680</v>
      </c>
      <c r="D269" s="615">
        <v>101</v>
      </c>
      <c r="E269" s="737" t="str">
        <f t="shared" ref="E269:AJ269" ca="1" si="133">IFERROR(OFFSET(貼付け_2027実績,$D269,E265),"")</f>
        <v/>
      </c>
      <c r="F269" s="616" t="str">
        <f t="shared" ca="1" si="133"/>
        <v/>
      </c>
      <c r="G269" s="616" t="str">
        <f t="shared" ca="1" si="133"/>
        <v/>
      </c>
      <c r="H269" s="616" t="str">
        <f t="shared" ca="1" si="133"/>
        <v/>
      </c>
      <c r="I269" s="616" t="str">
        <f t="shared" ca="1" si="133"/>
        <v/>
      </c>
      <c r="J269" s="616" t="str">
        <f t="shared" ca="1" si="133"/>
        <v/>
      </c>
      <c r="K269" s="616" t="str">
        <f t="shared" ca="1" si="133"/>
        <v/>
      </c>
      <c r="L269" s="616" t="str">
        <f t="shared" ca="1" si="133"/>
        <v/>
      </c>
      <c r="M269" s="616" t="str">
        <f t="shared" ca="1" si="133"/>
        <v/>
      </c>
      <c r="N269" s="616" t="str">
        <f t="shared" ca="1" si="133"/>
        <v/>
      </c>
      <c r="O269" s="616" t="str">
        <f ca="1">IFERROR(OFFSET(貼付け_2027実績,$D269,O265),"")</f>
        <v/>
      </c>
      <c r="P269" s="616" t="str">
        <f t="shared" ca="1" si="133"/>
        <v/>
      </c>
      <c r="Q269" s="616" t="str">
        <f t="shared" ca="1" si="133"/>
        <v/>
      </c>
      <c r="R269" s="616" t="str">
        <f t="shared" ca="1" si="133"/>
        <v/>
      </c>
      <c r="S269" s="616" t="str">
        <f t="shared" ca="1" si="133"/>
        <v/>
      </c>
      <c r="T269" s="616" t="str">
        <f t="shared" ca="1" si="133"/>
        <v/>
      </c>
      <c r="U269" s="616" t="str">
        <f t="shared" ca="1" si="133"/>
        <v/>
      </c>
      <c r="V269" s="616" t="str">
        <f t="shared" ca="1" si="133"/>
        <v/>
      </c>
      <c r="W269" s="616" t="str">
        <f t="shared" ca="1" si="133"/>
        <v/>
      </c>
      <c r="X269" s="616" t="str">
        <f t="shared" ca="1" si="133"/>
        <v/>
      </c>
      <c r="Y269" s="616" t="str">
        <f t="shared" ca="1" si="133"/>
        <v/>
      </c>
      <c r="Z269" s="616" t="str">
        <f t="shared" ca="1" si="133"/>
        <v/>
      </c>
      <c r="AA269" s="616" t="str">
        <f t="shared" ca="1" si="133"/>
        <v/>
      </c>
      <c r="AB269" s="616" t="str">
        <f t="shared" ca="1" si="133"/>
        <v/>
      </c>
      <c r="AC269" s="616" t="str">
        <f t="shared" ca="1" si="133"/>
        <v/>
      </c>
      <c r="AD269" s="616" t="str">
        <f t="shared" ca="1" si="133"/>
        <v/>
      </c>
      <c r="AE269" s="616" t="str">
        <f t="shared" ca="1" si="133"/>
        <v/>
      </c>
      <c r="AF269" s="616" t="str">
        <f t="shared" ca="1" si="133"/>
        <v/>
      </c>
      <c r="AG269" s="616" t="str">
        <f t="shared" ca="1" si="133"/>
        <v/>
      </c>
      <c r="AH269" s="616" t="str">
        <f t="shared" ca="1" si="133"/>
        <v/>
      </c>
      <c r="AI269" s="616" t="str">
        <f t="shared" ca="1" si="133"/>
        <v/>
      </c>
      <c r="AJ269" s="616" t="str">
        <f t="shared" ca="1" si="133"/>
        <v/>
      </c>
      <c r="AK269" s="616" t="str">
        <f t="shared" ref="AK269:BB269" ca="1" si="134">IFERROR(OFFSET(貼付け_2027実績,$D269,AK265),"")</f>
        <v/>
      </c>
      <c r="AL269" s="616" t="str">
        <f t="shared" ca="1" si="134"/>
        <v/>
      </c>
      <c r="AM269" s="616" t="str">
        <f t="shared" ca="1" si="134"/>
        <v/>
      </c>
      <c r="AN269" s="616" t="str">
        <f t="shared" ca="1" si="134"/>
        <v/>
      </c>
      <c r="AO269" s="616" t="str">
        <f t="shared" ca="1" si="134"/>
        <v/>
      </c>
      <c r="AP269" s="616" t="str">
        <f t="shared" ca="1" si="134"/>
        <v/>
      </c>
      <c r="AQ269" s="616" t="str">
        <f t="shared" ca="1" si="134"/>
        <v/>
      </c>
      <c r="AR269" s="616" t="str">
        <f t="shared" ca="1" si="134"/>
        <v/>
      </c>
      <c r="AS269" s="616" t="str">
        <f t="shared" ca="1" si="134"/>
        <v/>
      </c>
      <c r="AT269" s="616" t="str">
        <f t="shared" ca="1" si="134"/>
        <v/>
      </c>
      <c r="AU269" s="616" t="str">
        <f t="shared" ca="1" si="134"/>
        <v/>
      </c>
      <c r="AV269" s="616" t="str">
        <f t="shared" ca="1" si="134"/>
        <v/>
      </c>
      <c r="AW269" s="616" t="str">
        <f t="shared" ca="1" si="134"/>
        <v/>
      </c>
      <c r="AX269" s="616" t="str">
        <f t="shared" ca="1" si="134"/>
        <v/>
      </c>
      <c r="AY269" s="616" t="str">
        <f t="shared" ca="1" si="134"/>
        <v/>
      </c>
      <c r="AZ269" s="616" t="str">
        <f t="shared" ca="1" si="134"/>
        <v/>
      </c>
      <c r="BA269" s="587" t="str">
        <f t="shared" ca="1" si="134"/>
        <v/>
      </c>
      <c r="BB269" s="653" t="str">
        <f t="shared" ca="1" si="134"/>
        <v/>
      </c>
      <c r="IE269" s="579"/>
      <c r="IF269" s="579"/>
      <c r="IG269" s="579"/>
      <c r="IH269" s="579"/>
    </row>
    <row r="270" spans="1:242" s="164" customFormat="1" ht="20.100000000000001" hidden="1" customHeight="1">
      <c r="A270" s="569">
        <v>24</v>
      </c>
      <c r="B270" s="1052"/>
      <c r="C270" s="614" t="s">
        <v>681</v>
      </c>
      <c r="D270" s="615"/>
      <c r="E270" s="737" t="str">
        <f ca="1">IFERROR(E268/E269,"")</f>
        <v/>
      </c>
      <c r="F270" s="616" t="str">
        <f t="shared" ref="F270:BB270" ca="1" si="135">IFERROR(F268/F269,"")</f>
        <v/>
      </c>
      <c r="G270" s="616" t="str">
        <f t="shared" ca="1" si="135"/>
        <v/>
      </c>
      <c r="H270" s="616" t="str">
        <f t="shared" ca="1" si="135"/>
        <v/>
      </c>
      <c r="I270" s="616" t="str">
        <f t="shared" ca="1" si="135"/>
        <v/>
      </c>
      <c r="J270" s="616" t="str">
        <f t="shared" ca="1" si="135"/>
        <v/>
      </c>
      <c r="K270" s="616" t="str">
        <f t="shared" ca="1" si="135"/>
        <v/>
      </c>
      <c r="L270" s="616" t="str">
        <f t="shared" ca="1" si="135"/>
        <v/>
      </c>
      <c r="M270" s="616" t="str">
        <f t="shared" ca="1" si="135"/>
        <v/>
      </c>
      <c r="N270" s="616" t="str">
        <f t="shared" ca="1" si="135"/>
        <v/>
      </c>
      <c r="O270" s="616" t="str">
        <f t="shared" ca="1" si="135"/>
        <v/>
      </c>
      <c r="P270" s="616" t="str">
        <f t="shared" ca="1" si="135"/>
        <v/>
      </c>
      <c r="Q270" s="616" t="str">
        <f t="shared" ca="1" si="135"/>
        <v/>
      </c>
      <c r="R270" s="616" t="str">
        <f t="shared" ca="1" si="135"/>
        <v/>
      </c>
      <c r="S270" s="616" t="str">
        <f t="shared" ca="1" si="135"/>
        <v/>
      </c>
      <c r="T270" s="616" t="str">
        <f t="shared" ca="1" si="135"/>
        <v/>
      </c>
      <c r="U270" s="616" t="str">
        <f t="shared" ca="1" si="135"/>
        <v/>
      </c>
      <c r="V270" s="616" t="str">
        <f t="shared" ca="1" si="135"/>
        <v/>
      </c>
      <c r="W270" s="616" t="str">
        <f t="shared" ca="1" si="135"/>
        <v/>
      </c>
      <c r="X270" s="616" t="str">
        <f t="shared" ca="1" si="135"/>
        <v/>
      </c>
      <c r="Y270" s="616" t="str">
        <f t="shared" ca="1" si="135"/>
        <v/>
      </c>
      <c r="Z270" s="616" t="str">
        <f t="shared" ca="1" si="135"/>
        <v/>
      </c>
      <c r="AA270" s="616" t="str">
        <f t="shared" ca="1" si="135"/>
        <v/>
      </c>
      <c r="AB270" s="616" t="str">
        <f t="shared" ca="1" si="135"/>
        <v/>
      </c>
      <c r="AC270" s="616" t="str">
        <f t="shared" ca="1" si="135"/>
        <v/>
      </c>
      <c r="AD270" s="616" t="str">
        <f t="shared" ca="1" si="135"/>
        <v/>
      </c>
      <c r="AE270" s="616" t="str">
        <f t="shared" ca="1" si="135"/>
        <v/>
      </c>
      <c r="AF270" s="616" t="str">
        <f t="shared" ca="1" si="135"/>
        <v/>
      </c>
      <c r="AG270" s="616" t="str">
        <f t="shared" ca="1" si="135"/>
        <v/>
      </c>
      <c r="AH270" s="616" t="str">
        <f t="shared" ca="1" si="135"/>
        <v/>
      </c>
      <c r="AI270" s="616" t="str">
        <f t="shared" ca="1" si="135"/>
        <v/>
      </c>
      <c r="AJ270" s="616" t="str">
        <f t="shared" ca="1" si="135"/>
        <v/>
      </c>
      <c r="AK270" s="616" t="str">
        <f t="shared" ca="1" si="135"/>
        <v/>
      </c>
      <c r="AL270" s="616" t="str">
        <f t="shared" ca="1" si="135"/>
        <v/>
      </c>
      <c r="AM270" s="616" t="str">
        <f t="shared" ca="1" si="135"/>
        <v/>
      </c>
      <c r="AN270" s="616" t="str">
        <f t="shared" ca="1" si="135"/>
        <v/>
      </c>
      <c r="AO270" s="616" t="str">
        <f t="shared" ca="1" si="135"/>
        <v/>
      </c>
      <c r="AP270" s="616" t="str">
        <f t="shared" ca="1" si="135"/>
        <v/>
      </c>
      <c r="AQ270" s="616" t="str">
        <f t="shared" ca="1" si="135"/>
        <v/>
      </c>
      <c r="AR270" s="616" t="str">
        <f t="shared" ca="1" si="135"/>
        <v/>
      </c>
      <c r="AS270" s="616" t="str">
        <f t="shared" ca="1" si="135"/>
        <v/>
      </c>
      <c r="AT270" s="616" t="str">
        <f t="shared" ca="1" si="135"/>
        <v/>
      </c>
      <c r="AU270" s="616" t="str">
        <f t="shared" ca="1" si="135"/>
        <v/>
      </c>
      <c r="AV270" s="616" t="str">
        <f t="shared" ca="1" si="135"/>
        <v/>
      </c>
      <c r="AW270" s="616" t="str">
        <f t="shared" ca="1" si="135"/>
        <v/>
      </c>
      <c r="AX270" s="616" t="str">
        <f t="shared" ca="1" si="135"/>
        <v/>
      </c>
      <c r="AY270" s="616" t="str">
        <f t="shared" ca="1" si="135"/>
        <v/>
      </c>
      <c r="AZ270" s="616" t="str">
        <f t="shared" ca="1" si="135"/>
        <v/>
      </c>
      <c r="BA270" s="587" t="str">
        <f t="shared" ca="1" si="135"/>
        <v/>
      </c>
      <c r="BB270" s="653" t="str">
        <f t="shared" ca="1" si="135"/>
        <v/>
      </c>
      <c r="IE270" s="579"/>
      <c r="IF270" s="579"/>
      <c r="IG270" s="579"/>
      <c r="IH270" s="579"/>
    </row>
    <row r="271" spans="1:242" ht="19.5" hidden="1" customHeight="1" thickBot="1">
      <c r="A271" s="569">
        <v>25</v>
      </c>
      <c r="B271" s="1053"/>
      <c r="C271" s="617" t="s">
        <v>682</v>
      </c>
      <c r="D271" s="618">
        <v>24</v>
      </c>
      <c r="E271" s="738" t="str">
        <f t="shared" ref="E271:AJ271" ca="1" si="136">IFERROR(1-(E270/OFFSET(A1_原単位2026,$D271,E$247+2)),"")</f>
        <v/>
      </c>
      <c r="F271" s="619" t="str">
        <f t="shared" ca="1" si="136"/>
        <v/>
      </c>
      <c r="G271" s="619" t="str">
        <f t="shared" ca="1" si="136"/>
        <v/>
      </c>
      <c r="H271" s="619" t="str">
        <f t="shared" ca="1" si="136"/>
        <v/>
      </c>
      <c r="I271" s="619" t="str">
        <f t="shared" ca="1" si="136"/>
        <v/>
      </c>
      <c r="J271" s="619" t="str">
        <f t="shared" ca="1" si="136"/>
        <v/>
      </c>
      <c r="K271" s="619" t="str">
        <f t="shared" ca="1" si="136"/>
        <v/>
      </c>
      <c r="L271" s="619" t="str">
        <f t="shared" ca="1" si="136"/>
        <v/>
      </c>
      <c r="M271" s="619" t="str">
        <f t="shared" ca="1" si="136"/>
        <v/>
      </c>
      <c r="N271" s="619" t="str">
        <f t="shared" ca="1" si="136"/>
        <v/>
      </c>
      <c r="O271" s="619" t="str">
        <f t="shared" ca="1" si="136"/>
        <v/>
      </c>
      <c r="P271" s="619" t="str">
        <f t="shared" ca="1" si="136"/>
        <v/>
      </c>
      <c r="Q271" s="619" t="str">
        <f t="shared" ca="1" si="136"/>
        <v/>
      </c>
      <c r="R271" s="619" t="str">
        <f t="shared" ca="1" si="136"/>
        <v/>
      </c>
      <c r="S271" s="619" t="str">
        <f t="shared" ca="1" si="136"/>
        <v/>
      </c>
      <c r="T271" s="619" t="str">
        <f t="shared" ca="1" si="136"/>
        <v/>
      </c>
      <c r="U271" s="619" t="str">
        <f t="shared" ca="1" si="136"/>
        <v/>
      </c>
      <c r="V271" s="619" t="str">
        <f t="shared" ca="1" si="136"/>
        <v/>
      </c>
      <c r="W271" s="619" t="str">
        <f t="shared" ca="1" si="136"/>
        <v/>
      </c>
      <c r="X271" s="619" t="str">
        <f t="shared" ca="1" si="136"/>
        <v/>
      </c>
      <c r="Y271" s="619" t="str">
        <f t="shared" ca="1" si="136"/>
        <v/>
      </c>
      <c r="Z271" s="619" t="str">
        <f t="shared" ca="1" si="136"/>
        <v/>
      </c>
      <c r="AA271" s="619" t="str">
        <f t="shared" ca="1" si="136"/>
        <v/>
      </c>
      <c r="AB271" s="619" t="str">
        <f t="shared" ca="1" si="136"/>
        <v/>
      </c>
      <c r="AC271" s="619" t="str">
        <f t="shared" ca="1" si="136"/>
        <v/>
      </c>
      <c r="AD271" s="619" t="str">
        <f t="shared" ca="1" si="136"/>
        <v/>
      </c>
      <c r="AE271" s="619" t="str">
        <f t="shared" ca="1" si="136"/>
        <v/>
      </c>
      <c r="AF271" s="619" t="str">
        <f t="shared" ca="1" si="136"/>
        <v/>
      </c>
      <c r="AG271" s="619" t="str">
        <f t="shared" ca="1" si="136"/>
        <v/>
      </c>
      <c r="AH271" s="619" t="str">
        <f t="shared" ca="1" si="136"/>
        <v/>
      </c>
      <c r="AI271" s="619" t="str">
        <f t="shared" ca="1" si="136"/>
        <v/>
      </c>
      <c r="AJ271" s="619" t="str">
        <f t="shared" ca="1" si="136"/>
        <v/>
      </c>
      <c r="AK271" s="619" t="str">
        <f t="shared" ref="AK271:BB271" ca="1" si="137">IFERROR(1-(AK270/OFFSET(A1_原単位2026,$D271,AK$247+2)),"")</f>
        <v/>
      </c>
      <c r="AL271" s="619" t="str">
        <f t="shared" ca="1" si="137"/>
        <v/>
      </c>
      <c r="AM271" s="619" t="str">
        <f t="shared" ca="1" si="137"/>
        <v/>
      </c>
      <c r="AN271" s="619" t="str">
        <f t="shared" ca="1" si="137"/>
        <v/>
      </c>
      <c r="AO271" s="619" t="str">
        <f t="shared" ca="1" si="137"/>
        <v/>
      </c>
      <c r="AP271" s="619" t="str">
        <f t="shared" ca="1" si="137"/>
        <v/>
      </c>
      <c r="AQ271" s="619" t="str">
        <f t="shared" ca="1" si="137"/>
        <v/>
      </c>
      <c r="AR271" s="619" t="str">
        <f t="shared" ca="1" si="137"/>
        <v/>
      </c>
      <c r="AS271" s="619" t="str">
        <f t="shared" ca="1" si="137"/>
        <v/>
      </c>
      <c r="AT271" s="619" t="str">
        <f t="shared" ca="1" si="137"/>
        <v/>
      </c>
      <c r="AU271" s="619" t="str">
        <f t="shared" ca="1" si="137"/>
        <v/>
      </c>
      <c r="AV271" s="619" t="str">
        <f t="shared" ca="1" si="137"/>
        <v/>
      </c>
      <c r="AW271" s="619" t="str">
        <f t="shared" ca="1" si="137"/>
        <v/>
      </c>
      <c r="AX271" s="619" t="str">
        <f t="shared" ca="1" si="137"/>
        <v/>
      </c>
      <c r="AY271" s="619" t="str">
        <f t="shared" ca="1" si="137"/>
        <v/>
      </c>
      <c r="AZ271" s="619" t="str">
        <f t="shared" ca="1" si="137"/>
        <v/>
      </c>
      <c r="BA271" s="619" t="str">
        <f t="shared" ca="1" si="137"/>
        <v/>
      </c>
      <c r="BB271" s="739" t="str">
        <f t="shared" ca="1" si="137"/>
        <v/>
      </c>
      <c r="BC271" s="164"/>
      <c r="BD271" s="164"/>
      <c r="BE271" s="164"/>
      <c r="BF271" s="164"/>
      <c r="BG271" s="164"/>
      <c r="BH271" s="164"/>
      <c r="BI271" s="164"/>
      <c r="BJ271" s="164"/>
      <c r="BK271" s="164"/>
      <c r="BL271" s="164"/>
      <c r="BM271" s="164"/>
      <c r="BN271" s="164"/>
      <c r="BO271" s="164"/>
      <c r="BP271" s="164"/>
      <c r="BQ271" s="164"/>
      <c r="BR271" s="164"/>
      <c r="BS271" s="164"/>
      <c r="BT271" s="164"/>
      <c r="BU271" s="164"/>
      <c r="BV271" s="164"/>
      <c r="BW271" s="164"/>
      <c r="BX271" s="164"/>
      <c r="BY271" s="164"/>
      <c r="BZ271" s="164"/>
      <c r="CA271" s="164"/>
      <c r="CB271" s="164"/>
      <c r="CC271" s="164"/>
      <c r="CD271" s="164"/>
      <c r="CE271" s="164"/>
      <c r="CF271" s="164"/>
      <c r="CG271" s="164"/>
      <c r="CH271" s="164"/>
      <c r="CI271" s="164"/>
      <c r="CJ271" s="164"/>
      <c r="CK271" s="164"/>
      <c r="CL271" s="164"/>
      <c r="CM271" s="164"/>
      <c r="CN271" s="164"/>
      <c r="CO271" s="164"/>
      <c r="CP271" s="164"/>
      <c r="CQ271" s="164"/>
      <c r="CR271" s="164"/>
      <c r="CS271" s="164"/>
      <c r="CT271" s="164"/>
      <c r="CU271" s="164"/>
      <c r="CV271" s="164"/>
      <c r="CW271" s="164"/>
      <c r="CX271" s="164"/>
      <c r="CY271" s="164"/>
      <c r="CZ271" s="164"/>
      <c r="DA271" s="164"/>
      <c r="DB271" s="164"/>
      <c r="DC271" s="164"/>
      <c r="DD271" s="164"/>
      <c r="DE271" s="164"/>
      <c r="DF271" s="164"/>
      <c r="DG271" s="164"/>
      <c r="DH271" s="164"/>
      <c r="DI271" s="164"/>
      <c r="DJ271" s="164"/>
      <c r="DK271" s="164"/>
      <c r="DL271" s="164"/>
      <c r="DM271" s="164"/>
      <c r="DN271" s="164"/>
      <c r="DO271" s="164"/>
      <c r="DP271" s="164"/>
      <c r="DQ271" s="164"/>
      <c r="DR271" s="164"/>
      <c r="DS271" s="164"/>
      <c r="DT271" s="164"/>
      <c r="DU271" s="164"/>
      <c r="DV271" s="164"/>
      <c r="DW271" s="164"/>
      <c r="DX271" s="164"/>
      <c r="DY271" s="164"/>
      <c r="DZ271" s="164"/>
      <c r="EA271" s="164"/>
      <c r="EB271" s="164"/>
      <c r="EC271" s="164"/>
      <c r="ED271" s="164"/>
      <c r="EE271" s="164"/>
      <c r="EF271" s="164"/>
      <c r="EG271" s="164"/>
      <c r="EH271" s="164"/>
      <c r="EI271" s="164"/>
      <c r="EJ271" s="164"/>
      <c r="EK271" s="164"/>
      <c r="EL271" s="164"/>
      <c r="EM271" s="164"/>
      <c r="EN271" s="164"/>
      <c r="EO271" s="164"/>
      <c r="EP271" s="164"/>
      <c r="EQ271" s="164"/>
      <c r="ER271" s="164"/>
      <c r="ES271" s="164"/>
      <c r="ET271" s="164"/>
      <c r="EU271" s="164"/>
      <c r="EV271" s="164"/>
      <c r="EW271" s="164"/>
      <c r="EX271" s="164"/>
      <c r="EY271" s="164"/>
      <c r="EZ271" s="164"/>
      <c r="FA271" s="164"/>
      <c r="FB271" s="164"/>
      <c r="FC271" s="164"/>
      <c r="FD271" s="164"/>
      <c r="FE271" s="164"/>
      <c r="FF271" s="164"/>
      <c r="FG271" s="164"/>
      <c r="FH271" s="164"/>
      <c r="FI271" s="164"/>
      <c r="FJ271" s="164"/>
      <c r="FK271" s="164"/>
      <c r="FL271" s="164"/>
      <c r="FM271" s="164"/>
      <c r="FN271" s="164"/>
      <c r="FO271" s="164"/>
      <c r="FP271" s="164"/>
      <c r="FQ271" s="164"/>
      <c r="FR271" s="164"/>
      <c r="FS271" s="164"/>
      <c r="FT271" s="164"/>
      <c r="FU271" s="164"/>
      <c r="FV271" s="164"/>
      <c r="FW271" s="164"/>
      <c r="FX271" s="164"/>
      <c r="FY271" s="164"/>
      <c r="FZ271" s="164"/>
      <c r="GA271" s="164"/>
      <c r="GB271" s="164"/>
      <c r="GC271" s="164"/>
      <c r="GD271" s="164"/>
      <c r="GE271" s="164"/>
      <c r="GF271" s="164"/>
      <c r="GG271" s="164"/>
      <c r="GH271" s="164"/>
      <c r="GI271" s="164"/>
      <c r="GJ271" s="164"/>
      <c r="GK271" s="164"/>
      <c r="GL271" s="164"/>
      <c r="GM271" s="164"/>
      <c r="GN271" s="164"/>
      <c r="GO271" s="164"/>
      <c r="GP271" s="164"/>
      <c r="GQ271" s="164"/>
      <c r="GR271" s="164"/>
      <c r="GS271" s="164"/>
      <c r="GT271" s="164"/>
      <c r="GU271" s="164"/>
      <c r="GV271" s="164"/>
      <c r="GW271" s="164"/>
      <c r="GX271" s="164"/>
      <c r="GY271" s="164"/>
      <c r="GZ271" s="164"/>
      <c r="HA271" s="164"/>
      <c r="HB271" s="164"/>
      <c r="HC271" s="164"/>
      <c r="HD271" s="164"/>
      <c r="HE271" s="164"/>
      <c r="HF271" s="164"/>
      <c r="HG271" s="164"/>
      <c r="HH271" s="164"/>
      <c r="HI271" s="164"/>
      <c r="HJ271" s="164"/>
      <c r="HK271" s="164"/>
    </row>
    <row r="272" spans="1:242" s="569" customFormat="1" ht="18.75" hidden="1" customHeight="1">
      <c r="A272" s="569">
        <v>26</v>
      </c>
      <c r="B272" s="1051" t="s">
        <v>683</v>
      </c>
      <c r="C272" s="596" t="s">
        <v>673</v>
      </c>
      <c r="D272" s="597">
        <v>2027</v>
      </c>
      <c r="E272" s="733">
        <f t="shared" ref="E272:BB272" ca="1" si="138">IFERROR(MATCH($B272&amp;E$247,OFFSET(INDIRECT("貼付け_"&amp;$D272&amp;"実績"),4,0,1,205),0)-1,"")</f>
        <v>9</v>
      </c>
      <c r="F272" s="598">
        <f t="shared" ca="1" si="138"/>
        <v>13</v>
      </c>
      <c r="G272" s="598">
        <f t="shared" ca="1" si="138"/>
        <v>17</v>
      </c>
      <c r="H272" s="598">
        <f t="shared" ca="1" si="138"/>
        <v>109</v>
      </c>
      <c r="I272" s="598">
        <f t="shared" ca="1" si="138"/>
        <v>113</v>
      </c>
      <c r="J272" s="598">
        <f t="shared" ca="1" si="138"/>
        <v>117</v>
      </c>
      <c r="K272" s="598">
        <f t="shared" ca="1" si="138"/>
        <v>121</v>
      </c>
      <c r="L272" s="598">
        <f t="shared" ca="1" si="138"/>
        <v>125</v>
      </c>
      <c r="M272" s="598">
        <f t="shared" ca="1" si="138"/>
        <v>129</v>
      </c>
      <c r="N272" s="598">
        <f t="shared" ca="1" si="138"/>
        <v>133</v>
      </c>
      <c r="O272" s="598" t="str">
        <f ca="1">IFERROR(MATCH($B272&amp;O$247,OFFSET(INDIRECT("貼付け_"&amp;$D272&amp;"実績"),4,0,1,205),0)-1,"")</f>
        <v/>
      </c>
      <c r="P272" s="598" t="str">
        <f t="shared" ca="1" si="138"/>
        <v/>
      </c>
      <c r="Q272" s="598" t="str">
        <f t="shared" ca="1" si="138"/>
        <v/>
      </c>
      <c r="R272" s="598" t="str">
        <f t="shared" ca="1" si="138"/>
        <v/>
      </c>
      <c r="S272" s="598" t="str">
        <f t="shared" ca="1" si="138"/>
        <v/>
      </c>
      <c r="T272" s="598" t="str">
        <f t="shared" ca="1" si="138"/>
        <v/>
      </c>
      <c r="U272" s="598" t="str">
        <f t="shared" ca="1" si="138"/>
        <v/>
      </c>
      <c r="V272" s="598" t="str">
        <f t="shared" ca="1" si="138"/>
        <v/>
      </c>
      <c r="W272" s="598" t="str">
        <f t="shared" ca="1" si="138"/>
        <v/>
      </c>
      <c r="X272" s="598" t="str">
        <f t="shared" ca="1" si="138"/>
        <v/>
      </c>
      <c r="Y272" s="598" t="str">
        <f t="shared" ca="1" si="138"/>
        <v/>
      </c>
      <c r="Z272" s="598" t="str">
        <f t="shared" ca="1" si="138"/>
        <v/>
      </c>
      <c r="AA272" s="598" t="str">
        <f t="shared" ca="1" si="138"/>
        <v/>
      </c>
      <c r="AB272" s="598" t="str">
        <f t="shared" ca="1" si="138"/>
        <v/>
      </c>
      <c r="AC272" s="598" t="str">
        <f t="shared" ca="1" si="138"/>
        <v/>
      </c>
      <c r="AD272" s="598" t="str">
        <f t="shared" ca="1" si="138"/>
        <v/>
      </c>
      <c r="AE272" s="598" t="str">
        <f t="shared" ca="1" si="138"/>
        <v/>
      </c>
      <c r="AF272" s="598" t="str">
        <f t="shared" ca="1" si="138"/>
        <v/>
      </c>
      <c r="AG272" s="598" t="str">
        <f t="shared" ca="1" si="138"/>
        <v/>
      </c>
      <c r="AH272" s="598" t="str">
        <f t="shared" ca="1" si="138"/>
        <v/>
      </c>
      <c r="AI272" s="598" t="str">
        <f t="shared" ca="1" si="138"/>
        <v/>
      </c>
      <c r="AJ272" s="598" t="str">
        <f t="shared" ca="1" si="138"/>
        <v/>
      </c>
      <c r="AK272" s="598" t="str">
        <f t="shared" ca="1" si="138"/>
        <v/>
      </c>
      <c r="AL272" s="598" t="str">
        <f t="shared" ca="1" si="138"/>
        <v/>
      </c>
      <c r="AM272" s="598" t="str">
        <f t="shared" ca="1" si="138"/>
        <v/>
      </c>
      <c r="AN272" s="598" t="str">
        <f t="shared" ca="1" si="138"/>
        <v/>
      </c>
      <c r="AO272" s="598" t="str">
        <f t="shared" ca="1" si="138"/>
        <v/>
      </c>
      <c r="AP272" s="598" t="str">
        <f t="shared" ca="1" si="138"/>
        <v/>
      </c>
      <c r="AQ272" s="598" t="str">
        <f t="shared" ca="1" si="138"/>
        <v/>
      </c>
      <c r="AR272" s="598" t="str">
        <f t="shared" ca="1" si="138"/>
        <v/>
      </c>
      <c r="AS272" s="598" t="str">
        <f t="shared" ca="1" si="138"/>
        <v/>
      </c>
      <c r="AT272" s="598" t="str">
        <f t="shared" ca="1" si="138"/>
        <v/>
      </c>
      <c r="AU272" s="598" t="str">
        <f t="shared" ca="1" si="138"/>
        <v/>
      </c>
      <c r="AV272" s="598" t="str">
        <f t="shared" ca="1" si="138"/>
        <v/>
      </c>
      <c r="AW272" s="598" t="str">
        <f t="shared" ca="1" si="138"/>
        <v/>
      </c>
      <c r="AX272" s="598" t="str">
        <f t="shared" ca="1" si="138"/>
        <v/>
      </c>
      <c r="AY272" s="598" t="str">
        <f t="shared" ca="1" si="138"/>
        <v/>
      </c>
      <c r="AZ272" s="598" t="str">
        <f t="shared" ca="1" si="138"/>
        <v/>
      </c>
      <c r="BA272" s="598" t="str">
        <f t="shared" ca="1" si="138"/>
        <v/>
      </c>
      <c r="BB272" s="649" t="str">
        <f t="shared" ca="1" si="138"/>
        <v/>
      </c>
      <c r="BC272" s="156" t="str">
        <f>D272&amp;"年度"</f>
        <v>2027年度</v>
      </c>
      <c r="BD272" s="156">
        <v>1</v>
      </c>
      <c r="BE272" s="156">
        <v>2</v>
      </c>
      <c r="BF272" s="156">
        <v>3</v>
      </c>
      <c r="BG272" s="156">
        <v>4</v>
      </c>
      <c r="BH272" s="156">
        <v>5</v>
      </c>
      <c r="BI272" s="156">
        <v>6</v>
      </c>
      <c r="BJ272" s="156">
        <v>7</v>
      </c>
      <c r="BK272" s="156">
        <v>8</v>
      </c>
      <c r="BL272" s="156">
        <v>9</v>
      </c>
      <c r="BM272" s="156">
        <v>10</v>
      </c>
      <c r="BN272" s="156">
        <v>11</v>
      </c>
      <c r="BO272" s="156">
        <v>12</v>
      </c>
      <c r="BP272" s="156">
        <v>13</v>
      </c>
      <c r="BQ272" s="156">
        <v>14</v>
      </c>
      <c r="BR272" s="156">
        <v>15</v>
      </c>
      <c r="BS272" s="156">
        <v>16</v>
      </c>
      <c r="BT272" s="156">
        <v>17</v>
      </c>
      <c r="BU272" s="156">
        <v>18</v>
      </c>
      <c r="BV272" s="156">
        <v>19</v>
      </c>
      <c r="BW272" s="156">
        <v>20</v>
      </c>
      <c r="BX272" s="156">
        <v>21</v>
      </c>
      <c r="BY272" s="156">
        <v>22</v>
      </c>
      <c r="BZ272" s="156">
        <v>23</v>
      </c>
      <c r="CA272" s="156">
        <v>24</v>
      </c>
      <c r="CB272" s="156">
        <v>25</v>
      </c>
      <c r="CC272" s="156">
        <v>26</v>
      </c>
      <c r="CD272" s="156">
        <v>27</v>
      </c>
      <c r="CE272" s="156">
        <v>28</v>
      </c>
      <c r="CF272" s="156">
        <v>29</v>
      </c>
      <c r="CG272" s="156">
        <v>30</v>
      </c>
      <c r="CH272" s="156">
        <v>31</v>
      </c>
      <c r="CI272" s="156">
        <v>32</v>
      </c>
      <c r="CJ272" s="156">
        <v>33</v>
      </c>
      <c r="CK272" s="156">
        <v>34</v>
      </c>
      <c r="CL272" s="156">
        <v>35</v>
      </c>
      <c r="CM272" s="156">
        <v>36</v>
      </c>
      <c r="CN272" s="156">
        <v>37</v>
      </c>
      <c r="CO272" s="156">
        <v>38</v>
      </c>
      <c r="CP272" s="156">
        <v>39</v>
      </c>
      <c r="CQ272" s="156">
        <v>40</v>
      </c>
      <c r="CR272" s="156">
        <v>41</v>
      </c>
      <c r="CS272" s="156">
        <v>42</v>
      </c>
      <c r="CT272" s="156">
        <v>43</v>
      </c>
      <c r="CU272" s="156">
        <v>44</v>
      </c>
      <c r="CV272" s="156">
        <v>45</v>
      </c>
      <c r="CW272" s="156">
        <v>46</v>
      </c>
      <c r="CX272" s="156">
        <v>47</v>
      </c>
      <c r="CY272" s="156">
        <v>48</v>
      </c>
      <c r="CZ272" s="156">
        <v>49</v>
      </c>
      <c r="DA272" s="156">
        <v>50</v>
      </c>
      <c r="DB272" s="156"/>
      <c r="DC272" s="156"/>
      <c r="DD272" s="156"/>
      <c r="DE272" s="156"/>
      <c r="DF272" s="156"/>
      <c r="DG272" s="156"/>
      <c r="DH272" s="156"/>
      <c r="DI272" s="156"/>
      <c r="DJ272" s="156"/>
      <c r="DK272" s="156"/>
      <c r="DL272" s="156"/>
      <c r="DM272" s="156"/>
      <c r="DN272" s="156"/>
      <c r="DO272" s="156"/>
      <c r="DP272" s="156"/>
      <c r="DQ272" s="156"/>
      <c r="DR272" s="156"/>
      <c r="DS272" s="156"/>
      <c r="DT272" s="156"/>
      <c r="DU272" s="156"/>
      <c r="DV272" s="156"/>
      <c r="DW272" s="156"/>
      <c r="DX272" s="156"/>
      <c r="DY272" s="156"/>
      <c r="DZ272" s="156"/>
      <c r="EA272" s="156"/>
      <c r="EB272" s="156"/>
      <c r="EC272" s="156"/>
      <c r="ED272" s="156"/>
      <c r="EE272" s="156"/>
      <c r="EF272" s="156"/>
      <c r="EG272" s="156"/>
      <c r="EH272" s="156"/>
      <c r="EI272" s="156"/>
      <c r="EJ272" s="156"/>
      <c r="EK272" s="156"/>
      <c r="EL272" s="156"/>
      <c r="EM272" s="156"/>
      <c r="EN272" s="156"/>
      <c r="EO272" s="156"/>
      <c r="EP272" s="156"/>
      <c r="EQ272" s="156"/>
      <c r="ER272" s="156"/>
      <c r="ES272" s="156"/>
      <c r="ET272" s="156"/>
      <c r="EU272" s="156"/>
      <c r="EV272" s="156"/>
      <c r="EW272" s="156"/>
      <c r="EX272" s="156"/>
      <c r="EY272" s="156"/>
      <c r="EZ272" s="156"/>
      <c r="FA272" s="156"/>
      <c r="FB272" s="156"/>
      <c r="FC272" s="156"/>
      <c r="FD272" s="156"/>
      <c r="FE272" s="156"/>
      <c r="FF272" s="156"/>
      <c r="FG272" s="156"/>
      <c r="FH272" s="156"/>
      <c r="FI272" s="156"/>
      <c r="FJ272" s="156"/>
      <c r="FK272" s="156"/>
      <c r="FL272" s="156"/>
      <c r="FM272" s="156"/>
      <c r="FN272" s="156"/>
      <c r="FO272" s="156"/>
      <c r="FP272" s="156"/>
      <c r="FQ272" s="156"/>
      <c r="FR272" s="156"/>
      <c r="FS272" s="156"/>
      <c r="FT272" s="156"/>
      <c r="FU272" s="156"/>
      <c r="FV272" s="156"/>
      <c r="FW272" s="156"/>
      <c r="FX272" s="156"/>
      <c r="FY272" s="156"/>
      <c r="FZ272" s="156"/>
      <c r="GA272" s="156"/>
      <c r="GB272" s="156"/>
      <c r="GC272" s="156"/>
      <c r="GD272" s="156"/>
      <c r="GE272" s="156"/>
      <c r="GF272" s="156"/>
      <c r="GG272" s="156"/>
      <c r="GH272" s="156"/>
      <c r="GI272" s="156"/>
      <c r="GJ272" s="156"/>
      <c r="GK272" s="156"/>
      <c r="GL272" s="156"/>
      <c r="GM272" s="156"/>
      <c r="GN272" s="156"/>
      <c r="GO272" s="156"/>
      <c r="GP272" s="156"/>
      <c r="GQ272" s="156"/>
      <c r="GR272" s="156"/>
      <c r="GS272" s="156"/>
      <c r="GT272" s="156"/>
      <c r="GU272" s="156"/>
      <c r="GV272" s="156"/>
      <c r="GW272" s="156"/>
      <c r="GX272" s="156"/>
      <c r="GY272" s="156"/>
      <c r="GZ272" s="156"/>
      <c r="HA272" s="156"/>
      <c r="HB272" s="156"/>
      <c r="HC272" s="156"/>
      <c r="HD272" s="156"/>
      <c r="HE272" s="156"/>
      <c r="HF272" s="156"/>
      <c r="HG272" s="156"/>
      <c r="HH272" s="156"/>
      <c r="HI272" s="156"/>
      <c r="HJ272" s="156"/>
      <c r="HK272" s="156"/>
      <c r="IE272" s="603"/>
      <c r="IF272" s="603"/>
      <c r="IG272" s="603"/>
      <c r="IH272" s="603"/>
    </row>
    <row r="273" spans="1:242" s="569" customFormat="1" ht="19.5" hidden="1" customHeight="1">
      <c r="A273" s="569">
        <v>27</v>
      </c>
      <c r="B273" s="1052"/>
      <c r="C273" s="599" t="str">
        <f>"~"&amp;D272-1&amp;"/"&amp;D272</f>
        <v>~2026/2027</v>
      </c>
      <c r="D273" s="600" t="str">
        <f>""</f>
        <v/>
      </c>
      <c r="E273" s="734" t="str">
        <f t="shared" ref="E273:AJ273" ca="1" si="139">IF(OFFSET(A1_原単位2026,30,E$247+2)="",OFFSET(A1_原単位2026,27,E$247+2),OFFSET(A1_原単位2026,30,E$247+2))</f>
        <v/>
      </c>
      <c r="F273" s="601" t="str">
        <f t="shared" ca="1" si="139"/>
        <v/>
      </c>
      <c r="G273" s="601" t="str">
        <f t="shared" ca="1" si="139"/>
        <v/>
      </c>
      <c r="H273" s="601" t="str">
        <f t="shared" ca="1" si="139"/>
        <v/>
      </c>
      <c r="I273" s="601" t="str">
        <f t="shared" ca="1" si="139"/>
        <v/>
      </c>
      <c r="J273" s="601" t="str">
        <f t="shared" ca="1" si="139"/>
        <v/>
      </c>
      <c r="K273" s="601" t="str">
        <f t="shared" ca="1" si="139"/>
        <v/>
      </c>
      <c r="L273" s="601" t="str">
        <f t="shared" ca="1" si="139"/>
        <v/>
      </c>
      <c r="M273" s="601" t="str">
        <f t="shared" ca="1" si="139"/>
        <v/>
      </c>
      <c r="N273" s="601" t="str">
        <f t="shared" ca="1" si="139"/>
        <v/>
      </c>
      <c r="O273" s="601" t="str">
        <f ca="1">IF(OFFSET(A1_原単位2026,30,O$247+2)="",OFFSET(A1_原単位2026,27,O$247+2),OFFSET(A1_原単位2026,30,O$247+2))</f>
        <v/>
      </c>
      <c r="P273" s="601" t="str">
        <f t="shared" ca="1" si="139"/>
        <v/>
      </c>
      <c r="Q273" s="601" t="str">
        <f t="shared" ca="1" si="139"/>
        <v/>
      </c>
      <c r="R273" s="601" t="str">
        <f t="shared" ca="1" si="139"/>
        <v/>
      </c>
      <c r="S273" s="601" t="str">
        <f t="shared" ca="1" si="139"/>
        <v/>
      </c>
      <c r="T273" s="601" t="str">
        <f t="shared" ca="1" si="139"/>
        <v/>
      </c>
      <c r="U273" s="601" t="str">
        <f t="shared" ca="1" si="139"/>
        <v/>
      </c>
      <c r="V273" s="601" t="str">
        <f t="shared" ca="1" si="139"/>
        <v/>
      </c>
      <c r="W273" s="601" t="str">
        <f t="shared" ca="1" si="139"/>
        <v/>
      </c>
      <c r="X273" s="601" t="str">
        <f t="shared" ca="1" si="139"/>
        <v/>
      </c>
      <c r="Y273" s="601" t="str">
        <f t="shared" ca="1" si="139"/>
        <v/>
      </c>
      <c r="Z273" s="601" t="str">
        <f t="shared" ca="1" si="139"/>
        <v/>
      </c>
      <c r="AA273" s="601" t="str">
        <f t="shared" ca="1" si="139"/>
        <v/>
      </c>
      <c r="AB273" s="601" t="str">
        <f t="shared" ca="1" si="139"/>
        <v/>
      </c>
      <c r="AC273" s="601" t="str">
        <f t="shared" ca="1" si="139"/>
        <v/>
      </c>
      <c r="AD273" s="601" t="str">
        <f t="shared" ca="1" si="139"/>
        <v/>
      </c>
      <c r="AE273" s="601" t="str">
        <f t="shared" ca="1" si="139"/>
        <v/>
      </c>
      <c r="AF273" s="601" t="str">
        <f t="shared" ca="1" si="139"/>
        <v/>
      </c>
      <c r="AG273" s="601" t="str">
        <f t="shared" ca="1" si="139"/>
        <v/>
      </c>
      <c r="AH273" s="601" t="str">
        <f t="shared" ca="1" si="139"/>
        <v/>
      </c>
      <c r="AI273" s="601" t="str">
        <f t="shared" ca="1" si="139"/>
        <v/>
      </c>
      <c r="AJ273" s="601" t="str">
        <f t="shared" ca="1" si="139"/>
        <v/>
      </c>
      <c r="AK273" s="601" t="str">
        <f t="shared" ref="AK273:BB273" ca="1" si="140">IF(OFFSET(A1_原単位2026,30,AK$247+2)="",OFFSET(A1_原単位2026,27,AK$247+2),OFFSET(A1_原単位2026,30,AK$247+2))</f>
        <v/>
      </c>
      <c r="AL273" s="601" t="str">
        <f t="shared" ca="1" si="140"/>
        <v/>
      </c>
      <c r="AM273" s="601" t="str">
        <f t="shared" ca="1" si="140"/>
        <v/>
      </c>
      <c r="AN273" s="601" t="str">
        <f t="shared" ca="1" si="140"/>
        <v/>
      </c>
      <c r="AO273" s="601" t="str">
        <f t="shared" ca="1" si="140"/>
        <v/>
      </c>
      <c r="AP273" s="601" t="str">
        <f t="shared" ca="1" si="140"/>
        <v/>
      </c>
      <c r="AQ273" s="601" t="str">
        <f t="shared" ca="1" si="140"/>
        <v/>
      </c>
      <c r="AR273" s="601" t="str">
        <f t="shared" ca="1" si="140"/>
        <v/>
      </c>
      <c r="AS273" s="601" t="str">
        <f t="shared" ca="1" si="140"/>
        <v/>
      </c>
      <c r="AT273" s="601" t="str">
        <f t="shared" ca="1" si="140"/>
        <v/>
      </c>
      <c r="AU273" s="601" t="str">
        <f t="shared" ca="1" si="140"/>
        <v/>
      </c>
      <c r="AV273" s="601" t="str">
        <f t="shared" ca="1" si="140"/>
        <v/>
      </c>
      <c r="AW273" s="601" t="str">
        <f t="shared" ca="1" si="140"/>
        <v/>
      </c>
      <c r="AX273" s="601" t="str">
        <f t="shared" ca="1" si="140"/>
        <v/>
      </c>
      <c r="AY273" s="601" t="str">
        <f t="shared" ca="1" si="140"/>
        <v/>
      </c>
      <c r="AZ273" s="601" t="str">
        <f t="shared" ca="1" si="140"/>
        <v/>
      </c>
      <c r="BA273" s="601" t="str">
        <f t="shared" ca="1" si="140"/>
        <v/>
      </c>
      <c r="BB273" s="650" t="str">
        <f t="shared" ca="1" si="140"/>
        <v/>
      </c>
      <c r="BC273" s="601" t="str">
        <f>""</f>
        <v/>
      </c>
      <c r="BD273" s="601" t="str">
        <f t="shared" ref="BD273:CI273" ca="1" si="141">IFERROR(OFFSET(貼付け_2027実績,5,E272+1),"")&amp;""</f>
        <v/>
      </c>
      <c r="BE273" s="601" t="str">
        <f t="shared" ca="1" si="141"/>
        <v/>
      </c>
      <c r="BF273" s="601" t="str">
        <f t="shared" ca="1" si="141"/>
        <v/>
      </c>
      <c r="BG273" s="601" t="str">
        <f t="shared" ca="1" si="141"/>
        <v/>
      </c>
      <c r="BH273" s="601" t="str">
        <f t="shared" ca="1" si="141"/>
        <v/>
      </c>
      <c r="BI273" s="601" t="str">
        <f t="shared" ca="1" si="141"/>
        <v/>
      </c>
      <c r="BJ273" s="601" t="str">
        <f t="shared" ca="1" si="141"/>
        <v/>
      </c>
      <c r="BK273" s="601" t="str">
        <f t="shared" ca="1" si="141"/>
        <v/>
      </c>
      <c r="BL273" s="601" t="str">
        <f t="shared" ca="1" si="141"/>
        <v/>
      </c>
      <c r="BM273" s="601" t="str">
        <f t="shared" ca="1" si="141"/>
        <v/>
      </c>
      <c r="BN273" s="601" t="str">
        <f ca="1">IFERROR(OFFSET(貼付け_2027実績,5,O272+1),"")&amp;""</f>
        <v/>
      </c>
      <c r="BO273" s="601" t="str">
        <f t="shared" ca="1" si="141"/>
        <v/>
      </c>
      <c r="BP273" s="601" t="str">
        <f t="shared" ca="1" si="141"/>
        <v/>
      </c>
      <c r="BQ273" s="601" t="str">
        <f t="shared" ca="1" si="141"/>
        <v/>
      </c>
      <c r="BR273" s="601" t="str">
        <f t="shared" ca="1" si="141"/>
        <v/>
      </c>
      <c r="BS273" s="601" t="str">
        <f t="shared" ca="1" si="141"/>
        <v/>
      </c>
      <c r="BT273" s="601" t="str">
        <f t="shared" ca="1" si="141"/>
        <v/>
      </c>
      <c r="BU273" s="601" t="str">
        <f t="shared" ca="1" si="141"/>
        <v/>
      </c>
      <c r="BV273" s="601" t="str">
        <f t="shared" ca="1" si="141"/>
        <v/>
      </c>
      <c r="BW273" s="601" t="str">
        <f t="shared" ca="1" si="141"/>
        <v/>
      </c>
      <c r="BX273" s="601" t="str">
        <f t="shared" ca="1" si="141"/>
        <v/>
      </c>
      <c r="BY273" s="601" t="str">
        <f t="shared" ca="1" si="141"/>
        <v/>
      </c>
      <c r="BZ273" s="601" t="str">
        <f t="shared" ca="1" si="141"/>
        <v/>
      </c>
      <c r="CA273" s="601" t="str">
        <f t="shared" ca="1" si="141"/>
        <v/>
      </c>
      <c r="CB273" s="601" t="str">
        <f t="shared" ca="1" si="141"/>
        <v/>
      </c>
      <c r="CC273" s="601" t="str">
        <f t="shared" ca="1" si="141"/>
        <v/>
      </c>
      <c r="CD273" s="601" t="str">
        <f t="shared" ca="1" si="141"/>
        <v/>
      </c>
      <c r="CE273" s="601" t="str">
        <f t="shared" ca="1" si="141"/>
        <v/>
      </c>
      <c r="CF273" s="601" t="str">
        <f t="shared" ca="1" si="141"/>
        <v/>
      </c>
      <c r="CG273" s="601" t="str">
        <f t="shared" ca="1" si="141"/>
        <v/>
      </c>
      <c r="CH273" s="601" t="str">
        <f t="shared" ca="1" si="141"/>
        <v/>
      </c>
      <c r="CI273" s="601" t="str">
        <f t="shared" ca="1" si="141"/>
        <v/>
      </c>
      <c r="CJ273" s="601" t="str">
        <f t="shared" ref="CJ273:DA273" ca="1" si="142">IFERROR(OFFSET(貼付け_2027実績,5,AK272+1),"")&amp;""</f>
        <v/>
      </c>
      <c r="CK273" s="601" t="str">
        <f t="shared" ca="1" si="142"/>
        <v/>
      </c>
      <c r="CL273" s="601" t="str">
        <f t="shared" ca="1" si="142"/>
        <v/>
      </c>
      <c r="CM273" s="601" t="str">
        <f t="shared" ca="1" si="142"/>
        <v/>
      </c>
      <c r="CN273" s="601" t="str">
        <f t="shared" ca="1" si="142"/>
        <v/>
      </c>
      <c r="CO273" s="601" t="str">
        <f t="shared" ca="1" si="142"/>
        <v/>
      </c>
      <c r="CP273" s="601" t="str">
        <f t="shared" ca="1" si="142"/>
        <v/>
      </c>
      <c r="CQ273" s="601" t="str">
        <f t="shared" ca="1" si="142"/>
        <v/>
      </c>
      <c r="CR273" s="601" t="str">
        <f t="shared" ca="1" si="142"/>
        <v/>
      </c>
      <c r="CS273" s="601" t="str">
        <f t="shared" ca="1" si="142"/>
        <v/>
      </c>
      <c r="CT273" s="601" t="str">
        <f t="shared" ca="1" si="142"/>
        <v/>
      </c>
      <c r="CU273" s="601" t="str">
        <f t="shared" ca="1" si="142"/>
        <v/>
      </c>
      <c r="CV273" s="601" t="str">
        <f t="shared" ca="1" si="142"/>
        <v/>
      </c>
      <c r="CW273" s="601" t="str">
        <f t="shared" ca="1" si="142"/>
        <v/>
      </c>
      <c r="CX273" s="601" t="str">
        <f t="shared" ca="1" si="142"/>
        <v/>
      </c>
      <c r="CY273" s="601" t="str">
        <f t="shared" ca="1" si="142"/>
        <v/>
      </c>
      <c r="CZ273" s="601" t="str">
        <f t="shared" ca="1" si="142"/>
        <v/>
      </c>
      <c r="DA273" s="601" t="str">
        <f t="shared" ca="1" si="142"/>
        <v/>
      </c>
      <c r="IE273" s="603"/>
      <c r="IF273" s="603"/>
      <c r="IG273" s="603"/>
      <c r="IH273" s="603"/>
    </row>
    <row r="274" spans="1:242" s="569" customFormat="1" hidden="1">
      <c r="A274" s="569">
        <v>28</v>
      </c>
      <c r="B274" s="1052"/>
      <c r="C274" s="599" t="str">
        <f>"~"&amp;D272-1&amp;"&amp;"&amp;D272</f>
        <v>~2026&amp;2027</v>
      </c>
      <c r="D274" s="600" t="str">
        <f>""</f>
        <v/>
      </c>
      <c r="E274" s="734" t="str">
        <f t="array" aca="1" ref="E274" ca="1">IFERROR(INDEX($E273:$DA273,MATCH(0,COUNTIF($D274:D274,$E273:$DA273),0)),"")</f>
        <v/>
      </c>
      <c r="F274" s="601" t="str">
        <f t="array" aca="1" ref="F274" ca="1">IFERROR(INDEX($E273:$DA273,MATCH(0,COUNTIF($D274:E274,$E273:$DA273),0)),"")</f>
        <v/>
      </c>
      <c r="G274" s="601" t="str">
        <f t="array" aca="1" ref="G274" ca="1">IFERROR(INDEX($E273:$DA273,MATCH(0,COUNTIF($D274:F274,$E273:$DA273),0)),"")</f>
        <v/>
      </c>
      <c r="H274" s="601" t="str">
        <f t="array" aca="1" ref="H274" ca="1">IFERROR(INDEX($E273:$DA273,MATCH(0,COUNTIF($D274:G274,$E273:$DA273),0)),"")</f>
        <v/>
      </c>
      <c r="I274" s="601" t="str">
        <f t="array" aca="1" ref="I274" ca="1">IFERROR(INDEX($E273:$DA273,MATCH(0,COUNTIF($D274:H274,$E273:$DA273),0)),"")</f>
        <v/>
      </c>
      <c r="J274" s="601" t="str">
        <f t="array" aca="1" ref="J274" ca="1">IFERROR(INDEX($E273:$DA273,MATCH(0,COUNTIF($D274:I274,$E273:$DA273),0)),"")</f>
        <v/>
      </c>
      <c r="K274" s="601" t="str">
        <f t="array" aca="1" ref="K274" ca="1">IFERROR(INDEX($E273:$DA273,MATCH(0,COUNTIF($D274:J274,$E273:$DA273),0)),"")</f>
        <v/>
      </c>
      <c r="L274" s="601" t="str">
        <f t="array" aca="1" ref="L274" ca="1">IFERROR(INDEX($E273:$DA273,MATCH(0,COUNTIF($D274:K274,$E273:$DA273),0)),"")</f>
        <v/>
      </c>
      <c r="M274" s="601" t="str">
        <f t="array" aca="1" ref="M274" ca="1">IFERROR(INDEX($E273:$DA273,MATCH(0,COUNTIF($D274:L274,$E273:$DA273),0)),"")</f>
        <v/>
      </c>
      <c r="N274" s="601" t="str">
        <f t="array" aca="1" ref="N274" ca="1">IFERROR(INDEX($E273:$DA273,MATCH(0,COUNTIF($D274:M274,$E273:$DA273),0)),"")</f>
        <v/>
      </c>
      <c r="O274" s="601" t="str">
        <f t="array" aca="1" ref="O274" ca="1">IFERROR(INDEX($E273:$DA273,MATCH(0,COUNTIF($D274:N274,$E273:$DA273),0)),"")</f>
        <v/>
      </c>
      <c r="P274" s="601" t="str">
        <f t="array" aca="1" ref="P274" ca="1">IFERROR(INDEX($E273:$DA273,MATCH(0,COUNTIF($D274:O274,$E273:$DA273),0)),"")</f>
        <v/>
      </c>
      <c r="Q274" s="601" t="str">
        <f t="array" aca="1" ref="Q274" ca="1">IFERROR(INDEX($E273:$DA273,MATCH(0,COUNTIF($D274:P274,$E273:$DA273),0)),"")</f>
        <v/>
      </c>
      <c r="R274" s="601" t="str">
        <f t="array" aca="1" ref="R274" ca="1">IFERROR(INDEX($E273:$DA273,MATCH(0,COUNTIF($D274:Q274,$E273:$DA273),0)),"")</f>
        <v/>
      </c>
      <c r="S274" s="601" t="str">
        <f t="array" aca="1" ref="S274" ca="1">IFERROR(INDEX($E273:$DA273,MATCH(0,COUNTIF($D274:R274,$E273:$DA273),0)),"")</f>
        <v/>
      </c>
      <c r="T274" s="601" t="str">
        <f t="array" aca="1" ref="T274" ca="1">IFERROR(INDEX($E273:$DA273,MATCH(0,COUNTIF($D274:S274,$E273:$DA273),0)),"")</f>
        <v/>
      </c>
      <c r="U274" s="601" t="str">
        <f t="array" aca="1" ref="U274" ca="1">IFERROR(INDEX($E273:$DA273,MATCH(0,COUNTIF($D274:T274,$E273:$DA273),0)),"")</f>
        <v/>
      </c>
      <c r="V274" s="601" t="str">
        <f t="array" aca="1" ref="V274" ca="1">IFERROR(INDEX($E273:$DA273,MATCH(0,COUNTIF($D274:U274,$E273:$DA273),0)),"")</f>
        <v/>
      </c>
      <c r="W274" s="601" t="str">
        <f t="array" aca="1" ref="W274" ca="1">IFERROR(INDEX($E273:$DA273,MATCH(0,COUNTIF($D274:V274,$E273:$DA273),0)),"")</f>
        <v/>
      </c>
      <c r="X274" s="601" t="str">
        <f t="array" aca="1" ref="X274" ca="1">IFERROR(INDEX($E273:$DA273,MATCH(0,COUNTIF($D274:W274,$E273:$DA273),0)),"")</f>
        <v/>
      </c>
      <c r="Y274" s="601" t="str">
        <f t="array" aca="1" ref="Y274" ca="1">IFERROR(INDEX($E273:$DA273,MATCH(0,COUNTIF($D274:X274,$E273:$DA273),0)),"")</f>
        <v/>
      </c>
      <c r="Z274" s="601" t="str">
        <f t="array" aca="1" ref="Z274" ca="1">IFERROR(INDEX($E273:$DA273,MATCH(0,COUNTIF($D274:Y274,$E273:$DA273),0)),"")</f>
        <v/>
      </c>
      <c r="AA274" s="601" t="str">
        <f t="array" aca="1" ref="AA274" ca="1">IFERROR(INDEX($E273:$DA273,MATCH(0,COUNTIF($D274:Z274,$E273:$DA273),0)),"")</f>
        <v/>
      </c>
      <c r="AB274" s="601" t="str">
        <f t="array" aca="1" ref="AB274" ca="1">IFERROR(INDEX($E273:$DA273,MATCH(0,COUNTIF($D274:AA274,$E273:$DA273),0)),"")</f>
        <v/>
      </c>
      <c r="AC274" s="601" t="str">
        <f t="array" aca="1" ref="AC274" ca="1">IFERROR(INDEX($E273:$DA273,MATCH(0,COUNTIF($D274:AB274,$E273:$DA273),0)),"")</f>
        <v/>
      </c>
      <c r="AD274" s="601" t="str">
        <f t="array" aca="1" ref="AD274" ca="1">IFERROR(INDEX($E273:$DA273,MATCH(0,COUNTIF($D274:AC274,$E273:$DA273),0)),"")</f>
        <v/>
      </c>
      <c r="AE274" s="601" t="str">
        <f t="array" aca="1" ref="AE274" ca="1">IFERROR(INDEX($E273:$DA273,MATCH(0,COUNTIF($D274:AD274,$E273:$DA273),0)),"")</f>
        <v/>
      </c>
      <c r="AF274" s="601" t="str">
        <f t="array" aca="1" ref="AF274" ca="1">IFERROR(INDEX($E273:$DA273,MATCH(0,COUNTIF($D274:AE274,$E273:$DA273),0)),"")</f>
        <v/>
      </c>
      <c r="AG274" s="601" t="str">
        <f t="array" aca="1" ref="AG274" ca="1">IFERROR(INDEX($E273:$DA273,MATCH(0,COUNTIF($D274:AF274,$E273:$DA273),0)),"")</f>
        <v/>
      </c>
      <c r="AH274" s="601" t="str">
        <f t="array" aca="1" ref="AH274" ca="1">IFERROR(INDEX($E273:$DA273,MATCH(0,COUNTIF($D274:AG274,$E273:$DA273),0)),"")</f>
        <v/>
      </c>
      <c r="AI274" s="601" t="str">
        <f t="array" aca="1" ref="AI274" ca="1">IFERROR(INDEX($E273:$DA273,MATCH(0,COUNTIF($D274:AH274,$E273:$DA273),0)),"")</f>
        <v/>
      </c>
      <c r="AJ274" s="601" t="str">
        <f t="array" aca="1" ref="AJ274" ca="1">IFERROR(INDEX($E273:$DA273,MATCH(0,COUNTIF($D274:AI274,$E273:$DA273),0)),"")</f>
        <v/>
      </c>
      <c r="AK274" s="601" t="str">
        <f t="array" aca="1" ref="AK274" ca="1">IFERROR(INDEX($E273:$DA273,MATCH(0,COUNTIF($D274:AJ274,$E273:$DA273),0)),"")</f>
        <v/>
      </c>
      <c r="AL274" s="601" t="str">
        <f t="array" aca="1" ref="AL274" ca="1">IFERROR(INDEX($E273:$DA273,MATCH(0,COUNTIF($D274:AK274,$E273:$DA273),0)),"")</f>
        <v/>
      </c>
      <c r="AM274" s="601" t="str">
        <f t="array" aca="1" ref="AM274" ca="1">IFERROR(INDEX($E273:$DA273,MATCH(0,COUNTIF($D274:AL274,$E273:$DA273),0)),"")</f>
        <v/>
      </c>
      <c r="AN274" s="601" t="str">
        <f t="array" aca="1" ref="AN274" ca="1">IFERROR(INDEX($E273:$DA273,MATCH(0,COUNTIF($D274:AM274,$E273:$DA273),0)),"")</f>
        <v/>
      </c>
      <c r="AO274" s="601" t="str">
        <f t="array" aca="1" ref="AO274" ca="1">IFERROR(INDEX($E273:$DA273,MATCH(0,COUNTIF($D274:AN274,$E273:$DA273),0)),"")</f>
        <v/>
      </c>
      <c r="AP274" s="601" t="str">
        <f t="array" aca="1" ref="AP274" ca="1">IFERROR(INDEX($E273:$DA273,MATCH(0,COUNTIF($D274:AO274,$E273:$DA273),0)),"")</f>
        <v/>
      </c>
      <c r="AQ274" s="601" t="str">
        <f t="array" aca="1" ref="AQ274" ca="1">IFERROR(INDEX($E273:$DA273,MATCH(0,COUNTIF($D274:AP274,$E273:$DA273),0)),"")</f>
        <v/>
      </c>
      <c r="AR274" s="601" t="str">
        <f t="array" aca="1" ref="AR274" ca="1">IFERROR(INDEX($E273:$DA273,MATCH(0,COUNTIF($D274:AQ274,$E273:$DA273),0)),"")</f>
        <v/>
      </c>
      <c r="AS274" s="601" t="str">
        <f t="array" aca="1" ref="AS274" ca="1">IFERROR(INDEX($E273:$DA273,MATCH(0,COUNTIF($D274:AR274,$E273:$DA273),0)),"")</f>
        <v/>
      </c>
      <c r="AT274" s="601" t="str">
        <f t="array" aca="1" ref="AT274" ca="1">IFERROR(INDEX($E273:$DA273,MATCH(0,COUNTIF($D274:AS274,$E273:$DA273),0)),"")</f>
        <v/>
      </c>
      <c r="AU274" s="601" t="str">
        <f t="array" aca="1" ref="AU274" ca="1">IFERROR(INDEX($E273:$DA273,MATCH(0,COUNTIF($D274:AT274,$E273:$DA273),0)),"")</f>
        <v/>
      </c>
      <c r="AV274" s="601" t="str">
        <f t="array" aca="1" ref="AV274" ca="1">IFERROR(INDEX($E273:$DA273,MATCH(0,COUNTIF($D274:AU274,$E273:$DA273),0)),"")</f>
        <v/>
      </c>
      <c r="AW274" s="601" t="str">
        <f t="array" aca="1" ref="AW274" ca="1">IFERROR(INDEX($E273:$DA273,MATCH(0,COUNTIF($D274:AV274,$E273:$DA273),0)),"")</f>
        <v/>
      </c>
      <c r="AX274" s="601" t="str">
        <f t="array" aca="1" ref="AX274" ca="1">IFERROR(INDEX($E273:$DA273,MATCH(0,COUNTIF($D274:AW274,$E273:$DA273),0)),"")</f>
        <v/>
      </c>
      <c r="AY274" s="601" t="str">
        <f t="array" aca="1" ref="AY274" ca="1">IFERROR(INDEX($E273:$DA273,MATCH(0,COUNTIF($D274:AX274,$E273:$DA273),0)),"")</f>
        <v/>
      </c>
      <c r="AZ274" s="601" t="str">
        <f t="array" aca="1" ref="AZ274" ca="1">IFERROR(INDEX($E273:$DA273,MATCH(0,COUNTIF($D274:AY274,$E273:$DA273),0)),"")</f>
        <v/>
      </c>
      <c r="BA274" s="602" t="str">
        <f t="array" aca="1" ref="BA274" ca="1">IFERROR(INDEX($E273:$DA273,MATCH(0,COUNTIF($D274:AZ274,$E273:$DA273),0)),"")</f>
        <v/>
      </c>
      <c r="BB274" s="650" t="str">
        <f t="array" aca="1" ref="BB274" ca="1">IFERROR(INDEX($E273:$DA273,MATCH(0,COUNTIF($D274:BA274,$E273:$DA273),0)),"")</f>
        <v/>
      </c>
      <c r="BC274" s="604"/>
      <c r="BD274" s="604" t="str">
        <f>""</f>
        <v/>
      </c>
      <c r="BE274" s="604"/>
      <c r="BF274" s="604"/>
      <c r="BG274" s="604"/>
      <c r="BH274" s="604"/>
      <c r="BI274" s="604"/>
      <c r="BJ274" s="604"/>
      <c r="BK274" s="604"/>
      <c r="BL274" s="604"/>
      <c r="BM274" s="604"/>
      <c r="BN274" s="604"/>
      <c r="BO274" s="604"/>
      <c r="BP274" s="604"/>
      <c r="BQ274" s="604"/>
      <c r="BR274" s="604"/>
      <c r="BS274" s="604"/>
      <c r="BT274" s="604"/>
      <c r="BU274" s="604"/>
      <c r="BV274" s="604"/>
      <c r="BW274" s="604"/>
      <c r="IE274" s="603"/>
      <c r="IF274" s="603"/>
      <c r="IG274" s="603"/>
      <c r="IH274" s="603"/>
    </row>
    <row r="275" spans="1:242" s="569" customFormat="1" hidden="1">
      <c r="A275" s="569">
        <v>29</v>
      </c>
      <c r="B275" s="1052"/>
      <c r="C275" s="599" t="s">
        <v>674</v>
      </c>
      <c r="D275" s="600" t="str">
        <f>""</f>
        <v/>
      </c>
      <c r="E275" s="734" t="str">
        <f t="shared" ref="E275:AJ275" ca="1" si="143">IF(OFFSET(貼付け_2027実績,2,12)="■",BD273,IFERROR(INDEX($BD273:$DA273,MATCH(E274,$BD273:$DA273,0)),""))</f>
        <v/>
      </c>
      <c r="F275" s="601" t="str">
        <f t="shared" ca="1" si="143"/>
        <v/>
      </c>
      <c r="G275" s="601" t="str">
        <f t="shared" ca="1" si="143"/>
        <v/>
      </c>
      <c r="H275" s="601" t="str">
        <f t="shared" ca="1" si="143"/>
        <v/>
      </c>
      <c r="I275" s="601" t="str">
        <f t="shared" ca="1" si="143"/>
        <v/>
      </c>
      <c r="J275" s="601" t="str">
        <f t="shared" ca="1" si="143"/>
        <v/>
      </c>
      <c r="K275" s="601" t="str">
        <f t="shared" ca="1" si="143"/>
        <v/>
      </c>
      <c r="L275" s="601" t="str">
        <f t="shared" ca="1" si="143"/>
        <v/>
      </c>
      <c r="M275" s="601" t="str">
        <f t="shared" ca="1" si="143"/>
        <v/>
      </c>
      <c r="N275" s="601" t="str">
        <f t="shared" ca="1" si="143"/>
        <v/>
      </c>
      <c r="O275" s="601" t="str">
        <f ca="1">IF(OFFSET(貼付け_2027実績,2,12)="■",BN273,IFERROR(INDEX($BD273:$DA273,MATCH(O274,$BD273:$DA273,0)),""))</f>
        <v/>
      </c>
      <c r="P275" s="601" t="str">
        <f t="shared" ca="1" si="143"/>
        <v/>
      </c>
      <c r="Q275" s="601" t="str">
        <f t="shared" ca="1" si="143"/>
        <v/>
      </c>
      <c r="R275" s="601" t="str">
        <f t="shared" ca="1" si="143"/>
        <v/>
      </c>
      <c r="S275" s="601" t="str">
        <f t="shared" ca="1" si="143"/>
        <v/>
      </c>
      <c r="T275" s="601" t="str">
        <f t="shared" ca="1" si="143"/>
        <v/>
      </c>
      <c r="U275" s="601" t="str">
        <f t="shared" ca="1" si="143"/>
        <v/>
      </c>
      <c r="V275" s="601" t="str">
        <f t="shared" ca="1" si="143"/>
        <v/>
      </c>
      <c r="W275" s="601" t="str">
        <f t="shared" ca="1" si="143"/>
        <v/>
      </c>
      <c r="X275" s="601" t="str">
        <f t="shared" ca="1" si="143"/>
        <v/>
      </c>
      <c r="Y275" s="601" t="str">
        <f t="shared" ca="1" si="143"/>
        <v/>
      </c>
      <c r="Z275" s="601" t="str">
        <f t="shared" ca="1" si="143"/>
        <v/>
      </c>
      <c r="AA275" s="601" t="str">
        <f t="shared" ca="1" si="143"/>
        <v/>
      </c>
      <c r="AB275" s="601" t="str">
        <f t="shared" ca="1" si="143"/>
        <v/>
      </c>
      <c r="AC275" s="601" t="str">
        <f t="shared" ca="1" si="143"/>
        <v/>
      </c>
      <c r="AD275" s="601" t="str">
        <f t="shared" ca="1" si="143"/>
        <v/>
      </c>
      <c r="AE275" s="601" t="str">
        <f t="shared" ca="1" si="143"/>
        <v/>
      </c>
      <c r="AF275" s="601" t="str">
        <f t="shared" ca="1" si="143"/>
        <v/>
      </c>
      <c r="AG275" s="601" t="str">
        <f t="shared" ca="1" si="143"/>
        <v/>
      </c>
      <c r="AH275" s="601" t="str">
        <f t="shared" ca="1" si="143"/>
        <v/>
      </c>
      <c r="AI275" s="601" t="str">
        <f t="shared" ca="1" si="143"/>
        <v/>
      </c>
      <c r="AJ275" s="601" t="str">
        <f t="shared" ca="1" si="143"/>
        <v/>
      </c>
      <c r="AK275" s="601" t="str">
        <f t="shared" ref="AK275:BB275" ca="1" si="144">IF(OFFSET(貼付け_2027実績,2,12)="■",CJ273,IFERROR(INDEX($BD273:$DA273,MATCH(AK274,$BD273:$DA273,0)),""))</f>
        <v/>
      </c>
      <c r="AL275" s="601" t="str">
        <f t="shared" ca="1" si="144"/>
        <v/>
      </c>
      <c r="AM275" s="601" t="str">
        <f t="shared" ca="1" si="144"/>
        <v/>
      </c>
      <c r="AN275" s="601" t="str">
        <f t="shared" ca="1" si="144"/>
        <v/>
      </c>
      <c r="AO275" s="601" t="str">
        <f t="shared" ca="1" si="144"/>
        <v/>
      </c>
      <c r="AP275" s="601" t="str">
        <f t="shared" ca="1" si="144"/>
        <v/>
      </c>
      <c r="AQ275" s="601" t="str">
        <f t="shared" ca="1" si="144"/>
        <v/>
      </c>
      <c r="AR275" s="601" t="str">
        <f t="shared" ca="1" si="144"/>
        <v/>
      </c>
      <c r="AS275" s="601" t="str">
        <f t="shared" ca="1" si="144"/>
        <v/>
      </c>
      <c r="AT275" s="601" t="str">
        <f t="shared" ca="1" si="144"/>
        <v/>
      </c>
      <c r="AU275" s="601" t="str">
        <f t="shared" ca="1" si="144"/>
        <v/>
      </c>
      <c r="AV275" s="601" t="str">
        <f t="shared" ca="1" si="144"/>
        <v/>
      </c>
      <c r="AW275" s="601" t="str">
        <f t="shared" ca="1" si="144"/>
        <v/>
      </c>
      <c r="AX275" s="601" t="str">
        <f t="shared" ca="1" si="144"/>
        <v/>
      </c>
      <c r="AY275" s="601" t="str">
        <f t="shared" ca="1" si="144"/>
        <v/>
      </c>
      <c r="AZ275" s="601" t="str">
        <f t="shared" ca="1" si="144"/>
        <v/>
      </c>
      <c r="BA275" s="602" t="str">
        <f t="shared" ca="1" si="144"/>
        <v/>
      </c>
      <c r="BB275" s="650" t="str">
        <f t="shared" ca="1" si="144"/>
        <v/>
      </c>
      <c r="BD275" s="569" t="str">
        <f>""</f>
        <v/>
      </c>
      <c r="IE275" s="603"/>
      <c r="IF275" s="603"/>
      <c r="IG275" s="603"/>
      <c r="IH275" s="603"/>
    </row>
    <row r="276" spans="1:242" s="569" customFormat="1" hidden="1">
      <c r="A276" s="569">
        <v>30</v>
      </c>
      <c r="B276" s="1052"/>
      <c r="C276" s="605" t="s">
        <v>675</v>
      </c>
      <c r="D276" s="606">
        <v>10</v>
      </c>
      <c r="E276" s="735" t="str">
        <f t="shared" ref="E276:AJ276" ca="1" si="145">OFFSET(A1_名称2027,E$247+2,$D276)&amp;""</f>
        <v/>
      </c>
      <c r="F276" s="607" t="str">
        <f t="shared" ca="1" si="145"/>
        <v/>
      </c>
      <c r="G276" s="607" t="str">
        <f t="shared" ca="1" si="145"/>
        <v/>
      </c>
      <c r="H276" s="607" t="str">
        <f t="shared" ca="1" si="145"/>
        <v/>
      </c>
      <c r="I276" s="607" t="str">
        <f t="shared" ca="1" si="145"/>
        <v/>
      </c>
      <c r="J276" s="607" t="str">
        <f t="shared" ca="1" si="145"/>
        <v/>
      </c>
      <c r="K276" s="607" t="str">
        <f t="shared" ca="1" si="145"/>
        <v/>
      </c>
      <c r="L276" s="607" t="str">
        <f t="shared" ca="1" si="145"/>
        <v/>
      </c>
      <c r="M276" s="607" t="str">
        <f t="shared" ca="1" si="145"/>
        <v/>
      </c>
      <c r="N276" s="607" t="str">
        <f t="shared" ca="1" si="145"/>
        <v/>
      </c>
      <c r="O276" s="607" t="str">
        <f ca="1">OFFSET(A1_名称2027,O$247+2,$D276)&amp;""</f>
        <v/>
      </c>
      <c r="P276" s="607" t="str">
        <f t="shared" ca="1" si="145"/>
        <v/>
      </c>
      <c r="Q276" s="607" t="str">
        <f t="shared" ca="1" si="145"/>
        <v/>
      </c>
      <c r="R276" s="607" t="str">
        <f t="shared" ca="1" si="145"/>
        <v/>
      </c>
      <c r="S276" s="607" t="str">
        <f t="shared" ca="1" si="145"/>
        <v/>
      </c>
      <c r="T276" s="607" t="str">
        <f t="shared" ca="1" si="145"/>
        <v/>
      </c>
      <c r="U276" s="607" t="str">
        <f t="shared" ca="1" si="145"/>
        <v/>
      </c>
      <c r="V276" s="607" t="str">
        <f t="shared" ca="1" si="145"/>
        <v/>
      </c>
      <c r="W276" s="607" t="str">
        <f t="shared" ca="1" si="145"/>
        <v/>
      </c>
      <c r="X276" s="607" t="str">
        <f t="shared" ca="1" si="145"/>
        <v/>
      </c>
      <c r="Y276" s="607" t="str">
        <f t="shared" ca="1" si="145"/>
        <v/>
      </c>
      <c r="Z276" s="607" t="str">
        <f t="shared" ca="1" si="145"/>
        <v/>
      </c>
      <c r="AA276" s="607" t="str">
        <f t="shared" ca="1" si="145"/>
        <v/>
      </c>
      <c r="AB276" s="607" t="str">
        <f t="shared" ca="1" si="145"/>
        <v/>
      </c>
      <c r="AC276" s="607" t="str">
        <f t="shared" ca="1" si="145"/>
        <v/>
      </c>
      <c r="AD276" s="607" t="str">
        <f t="shared" ca="1" si="145"/>
        <v/>
      </c>
      <c r="AE276" s="607" t="str">
        <f t="shared" ca="1" si="145"/>
        <v/>
      </c>
      <c r="AF276" s="607" t="str">
        <f t="shared" ca="1" si="145"/>
        <v/>
      </c>
      <c r="AG276" s="607" t="str">
        <f t="shared" ca="1" si="145"/>
        <v/>
      </c>
      <c r="AH276" s="607" t="str">
        <f t="shared" ca="1" si="145"/>
        <v/>
      </c>
      <c r="AI276" s="607" t="str">
        <f t="shared" ca="1" si="145"/>
        <v/>
      </c>
      <c r="AJ276" s="607" t="str">
        <f t="shared" ca="1" si="145"/>
        <v/>
      </c>
      <c r="AK276" s="607" t="str">
        <f t="shared" ref="AK276:BB276" ca="1" si="146">OFFSET(A1_名称2027,AK$247+2,$D276)&amp;""</f>
        <v/>
      </c>
      <c r="AL276" s="607" t="str">
        <f t="shared" ca="1" si="146"/>
        <v/>
      </c>
      <c r="AM276" s="607" t="str">
        <f t="shared" ca="1" si="146"/>
        <v/>
      </c>
      <c r="AN276" s="607" t="str">
        <f t="shared" ca="1" si="146"/>
        <v/>
      </c>
      <c r="AO276" s="607" t="str">
        <f t="shared" ca="1" si="146"/>
        <v/>
      </c>
      <c r="AP276" s="607" t="str">
        <f t="shared" ca="1" si="146"/>
        <v/>
      </c>
      <c r="AQ276" s="607" t="str">
        <f t="shared" ca="1" si="146"/>
        <v/>
      </c>
      <c r="AR276" s="607" t="str">
        <f t="shared" ca="1" si="146"/>
        <v/>
      </c>
      <c r="AS276" s="607" t="str">
        <f t="shared" ca="1" si="146"/>
        <v/>
      </c>
      <c r="AT276" s="607" t="str">
        <f t="shared" ca="1" si="146"/>
        <v/>
      </c>
      <c r="AU276" s="607" t="str">
        <f t="shared" ca="1" si="146"/>
        <v/>
      </c>
      <c r="AV276" s="607" t="str">
        <f t="shared" ca="1" si="146"/>
        <v/>
      </c>
      <c r="AW276" s="607" t="str">
        <f t="shared" ca="1" si="146"/>
        <v/>
      </c>
      <c r="AX276" s="607" t="str">
        <f t="shared" ca="1" si="146"/>
        <v/>
      </c>
      <c r="AY276" s="607" t="str">
        <f t="shared" ca="1" si="146"/>
        <v/>
      </c>
      <c r="AZ276" s="607" t="str">
        <f t="shared" ca="1" si="146"/>
        <v/>
      </c>
      <c r="BA276" s="608" t="str">
        <f t="shared" ca="1" si="146"/>
        <v/>
      </c>
      <c r="BB276" s="651" t="str">
        <f t="shared" ca="1" si="146"/>
        <v/>
      </c>
      <c r="IE276" s="603"/>
      <c r="IF276" s="603"/>
      <c r="IG276" s="603"/>
      <c r="IH276" s="603"/>
    </row>
    <row r="277" spans="1:242" s="164" customFormat="1" ht="19.8" hidden="1">
      <c r="A277" s="569">
        <v>31</v>
      </c>
      <c r="B277" s="1052"/>
      <c r="C277" s="599" t="s">
        <v>676</v>
      </c>
      <c r="D277" s="600"/>
      <c r="E277" s="734" t="str">
        <f ca="1">IF(E276="","",IFERROR(INDEX($E272:$BB272,MATCH(E276,$BD273:$DA273,0)),""))</f>
        <v/>
      </c>
      <c r="F277" s="601" t="str">
        <f t="shared" ref="F277:BB277" ca="1" si="147">IF(F276="","",IFERROR(INDEX($E272:$BB272,MATCH(F276,$BD273:$DA273,0)),""))</f>
        <v/>
      </c>
      <c r="G277" s="601" t="str">
        <f t="shared" ca="1" si="147"/>
        <v/>
      </c>
      <c r="H277" s="601" t="str">
        <f t="shared" ca="1" si="147"/>
        <v/>
      </c>
      <c r="I277" s="601" t="str">
        <f t="shared" ca="1" si="147"/>
        <v/>
      </c>
      <c r="J277" s="601" t="str">
        <f t="shared" ca="1" si="147"/>
        <v/>
      </c>
      <c r="K277" s="601" t="str">
        <f t="shared" ca="1" si="147"/>
        <v/>
      </c>
      <c r="L277" s="601" t="str">
        <f t="shared" ca="1" si="147"/>
        <v/>
      </c>
      <c r="M277" s="601" t="str">
        <f t="shared" ca="1" si="147"/>
        <v/>
      </c>
      <c r="N277" s="601" t="str">
        <f t="shared" ca="1" si="147"/>
        <v/>
      </c>
      <c r="O277" s="601" t="str">
        <f ca="1">IF(O276="","",IFERROR(INDEX($E272:$BB272,MATCH(O276,$BD273:$DA273,0)),""))</f>
        <v/>
      </c>
      <c r="P277" s="601" t="str">
        <f t="shared" ca="1" si="147"/>
        <v/>
      </c>
      <c r="Q277" s="601" t="str">
        <f t="shared" ca="1" si="147"/>
        <v/>
      </c>
      <c r="R277" s="601" t="str">
        <f t="shared" ca="1" si="147"/>
        <v/>
      </c>
      <c r="S277" s="601" t="str">
        <f t="shared" ca="1" si="147"/>
        <v/>
      </c>
      <c r="T277" s="601" t="str">
        <f t="shared" ca="1" si="147"/>
        <v/>
      </c>
      <c r="U277" s="601" t="str">
        <f t="shared" ca="1" si="147"/>
        <v/>
      </c>
      <c r="V277" s="601" t="str">
        <f t="shared" ca="1" si="147"/>
        <v/>
      </c>
      <c r="W277" s="601" t="str">
        <f t="shared" ca="1" si="147"/>
        <v/>
      </c>
      <c r="X277" s="601" t="str">
        <f t="shared" ca="1" si="147"/>
        <v/>
      </c>
      <c r="Y277" s="601" t="str">
        <f t="shared" ca="1" si="147"/>
        <v/>
      </c>
      <c r="Z277" s="601" t="str">
        <f t="shared" ca="1" si="147"/>
        <v/>
      </c>
      <c r="AA277" s="601" t="str">
        <f t="shared" ca="1" si="147"/>
        <v/>
      </c>
      <c r="AB277" s="601" t="str">
        <f t="shared" ca="1" si="147"/>
        <v/>
      </c>
      <c r="AC277" s="601" t="str">
        <f t="shared" ca="1" si="147"/>
        <v/>
      </c>
      <c r="AD277" s="601" t="str">
        <f t="shared" ca="1" si="147"/>
        <v/>
      </c>
      <c r="AE277" s="601" t="str">
        <f t="shared" ca="1" si="147"/>
        <v/>
      </c>
      <c r="AF277" s="601" t="str">
        <f t="shared" ca="1" si="147"/>
        <v/>
      </c>
      <c r="AG277" s="601" t="str">
        <f t="shared" ca="1" si="147"/>
        <v/>
      </c>
      <c r="AH277" s="601" t="str">
        <f t="shared" ca="1" si="147"/>
        <v/>
      </c>
      <c r="AI277" s="601" t="str">
        <f t="shared" ca="1" si="147"/>
        <v/>
      </c>
      <c r="AJ277" s="601" t="str">
        <f t="shared" ca="1" si="147"/>
        <v/>
      </c>
      <c r="AK277" s="601" t="str">
        <f t="shared" ca="1" si="147"/>
        <v/>
      </c>
      <c r="AL277" s="601" t="str">
        <f t="shared" ca="1" si="147"/>
        <v/>
      </c>
      <c r="AM277" s="601" t="str">
        <f t="shared" ca="1" si="147"/>
        <v/>
      </c>
      <c r="AN277" s="601" t="str">
        <f t="shared" ca="1" si="147"/>
        <v/>
      </c>
      <c r="AO277" s="601" t="str">
        <f t="shared" ca="1" si="147"/>
        <v/>
      </c>
      <c r="AP277" s="601" t="str">
        <f t="shared" ca="1" si="147"/>
        <v/>
      </c>
      <c r="AQ277" s="601" t="str">
        <f t="shared" ca="1" si="147"/>
        <v/>
      </c>
      <c r="AR277" s="601" t="str">
        <f t="shared" ca="1" si="147"/>
        <v/>
      </c>
      <c r="AS277" s="601" t="str">
        <f t="shared" ca="1" si="147"/>
        <v/>
      </c>
      <c r="AT277" s="601" t="str">
        <f t="shared" ca="1" si="147"/>
        <v/>
      </c>
      <c r="AU277" s="601" t="str">
        <f t="shared" ca="1" si="147"/>
        <v/>
      </c>
      <c r="AV277" s="601" t="str">
        <f t="shared" ca="1" si="147"/>
        <v/>
      </c>
      <c r="AW277" s="601" t="str">
        <f t="shared" ca="1" si="147"/>
        <v/>
      </c>
      <c r="AX277" s="601" t="str">
        <f t="shared" ca="1" si="147"/>
        <v/>
      </c>
      <c r="AY277" s="601" t="str">
        <f t="shared" ca="1" si="147"/>
        <v/>
      </c>
      <c r="AZ277" s="601" t="str">
        <f t="shared" ca="1" si="147"/>
        <v/>
      </c>
      <c r="BA277" s="602" t="str">
        <f t="shared" ca="1" si="147"/>
        <v/>
      </c>
      <c r="BB277" s="650" t="str">
        <f t="shared" ca="1" si="147"/>
        <v/>
      </c>
      <c r="BC277" s="569"/>
      <c r="BD277" s="569"/>
      <c r="BE277" s="569"/>
      <c r="BF277" s="569"/>
      <c r="BG277" s="569"/>
      <c r="BH277" s="569"/>
      <c r="BI277" s="569"/>
      <c r="BJ277" s="569"/>
      <c r="BK277" s="569"/>
      <c r="BL277" s="569"/>
      <c r="BM277" s="569"/>
      <c r="BN277" s="569"/>
      <c r="BO277" s="569"/>
      <c r="BP277" s="569"/>
      <c r="BQ277" s="569"/>
      <c r="BR277" s="569"/>
      <c r="BS277" s="569"/>
      <c r="BT277" s="569"/>
      <c r="BU277" s="569"/>
      <c r="BV277" s="569"/>
      <c r="BW277" s="569"/>
      <c r="BX277" s="569"/>
      <c r="BY277" s="569"/>
      <c r="BZ277" s="569"/>
      <c r="CA277" s="569"/>
      <c r="CB277" s="569"/>
      <c r="CC277" s="569"/>
      <c r="CD277" s="569"/>
      <c r="CE277" s="569"/>
      <c r="CF277" s="569"/>
      <c r="CG277" s="569"/>
      <c r="CH277" s="569"/>
      <c r="CI277" s="569"/>
      <c r="CJ277" s="569"/>
      <c r="CK277" s="569"/>
      <c r="CL277" s="569"/>
      <c r="CM277" s="569"/>
      <c r="CN277" s="569"/>
      <c r="CO277" s="569"/>
      <c r="CP277" s="569"/>
      <c r="CQ277" s="569"/>
      <c r="CR277" s="569"/>
      <c r="CS277" s="569"/>
      <c r="CT277" s="569"/>
      <c r="CU277" s="569"/>
      <c r="CV277" s="569"/>
      <c r="CW277" s="569"/>
      <c r="CX277" s="569"/>
      <c r="CY277" s="569"/>
      <c r="CZ277" s="569"/>
      <c r="DA277" s="569"/>
      <c r="DB277" s="569"/>
      <c r="DC277" s="569"/>
      <c r="DD277" s="569"/>
      <c r="DE277" s="569"/>
      <c r="DF277" s="569"/>
      <c r="DG277" s="569"/>
      <c r="DH277" s="569"/>
      <c r="DI277" s="569"/>
      <c r="DJ277" s="569"/>
      <c r="DK277" s="569"/>
      <c r="DL277" s="569"/>
      <c r="DM277" s="569"/>
      <c r="DN277" s="569"/>
      <c r="DO277" s="569"/>
      <c r="DP277" s="569"/>
      <c r="DQ277" s="569"/>
      <c r="DR277" s="569"/>
      <c r="DS277" s="569"/>
      <c r="DT277" s="569"/>
      <c r="DU277" s="569"/>
      <c r="DV277" s="569"/>
      <c r="DW277" s="569"/>
      <c r="DX277" s="569"/>
      <c r="DY277" s="569"/>
      <c r="DZ277" s="569"/>
      <c r="EA277" s="569"/>
      <c r="EB277" s="569"/>
      <c r="EC277" s="569"/>
      <c r="ED277" s="569"/>
      <c r="EE277" s="569"/>
      <c r="EF277" s="569"/>
      <c r="EG277" s="569"/>
      <c r="EH277" s="569"/>
      <c r="EI277" s="569"/>
      <c r="EJ277" s="569"/>
      <c r="EK277" s="569"/>
      <c r="EL277" s="569"/>
      <c r="EM277" s="569"/>
      <c r="EN277" s="569"/>
      <c r="EO277" s="569"/>
      <c r="EP277" s="569"/>
      <c r="EQ277" s="569"/>
      <c r="ER277" s="569"/>
      <c r="ES277" s="569"/>
      <c r="ET277" s="569"/>
      <c r="EU277" s="569"/>
      <c r="EV277" s="569"/>
      <c r="EW277" s="569"/>
      <c r="EX277" s="569"/>
      <c r="EY277" s="569"/>
      <c r="EZ277" s="569"/>
      <c r="FA277" s="569"/>
      <c r="FB277" s="569"/>
      <c r="FC277" s="569"/>
      <c r="FD277" s="569"/>
      <c r="FE277" s="569"/>
      <c r="FF277" s="569"/>
      <c r="FG277" s="569"/>
      <c r="FH277" s="569"/>
      <c r="FI277" s="569"/>
      <c r="FJ277" s="569"/>
      <c r="FK277" s="569"/>
      <c r="FL277" s="569"/>
      <c r="FM277" s="569"/>
      <c r="FN277" s="569"/>
      <c r="FO277" s="569"/>
      <c r="FP277" s="569"/>
      <c r="FQ277" s="569"/>
      <c r="FR277" s="569"/>
      <c r="FS277" s="569"/>
      <c r="FT277" s="569"/>
      <c r="FU277" s="569"/>
      <c r="FV277" s="569"/>
      <c r="FW277" s="569"/>
      <c r="FX277" s="569"/>
      <c r="FY277" s="569"/>
      <c r="FZ277" s="569"/>
      <c r="GA277" s="569"/>
      <c r="GB277" s="569"/>
      <c r="GC277" s="569"/>
      <c r="GD277" s="569"/>
      <c r="GE277" s="569"/>
      <c r="GF277" s="569"/>
      <c r="GG277" s="569"/>
      <c r="GH277" s="569"/>
      <c r="GI277" s="569"/>
      <c r="GJ277" s="569"/>
      <c r="GK277" s="569"/>
      <c r="GL277" s="569"/>
      <c r="GM277" s="569"/>
      <c r="GN277" s="569"/>
      <c r="GO277" s="569"/>
      <c r="GP277" s="569"/>
      <c r="GQ277" s="569"/>
      <c r="GR277" s="569"/>
      <c r="GS277" s="569"/>
      <c r="GT277" s="569"/>
      <c r="GU277" s="569"/>
      <c r="GV277" s="569"/>
      <c r="GW277" s="569"/>
      <c r="GX277" s="569"/>
      <c r="GY277" s="569"/>
      <c r="GZ277" s="569"/>
      <c r="HA277" s="569"/>
      <c r="HB277" s="569"/>
      <c r="HC277" s="569"/>
      <c r="HD277" s="569"/>
      <c r="HE277" s="569"/>
      <c r="HF277" s="569"/>
      <c r="HG277" s="569"/>
      <c r="HH277" s="569"/>
      <c r="HI277" s="569"/>
      <c r="HJ277" s="569"/>
      <c r="HK277" s="569"/>
      <c r="IE277" s="579"/>
      <c r="IF277" s="579"/>
      <c r="IG277" s="579"/>
      <c r="IH277" s="579"/>
    </row>
    <row r="278" spans="1:242" s="164" customFormat="1" ht="20.100000000000001" hidden="1" customHeight="1">
      <c r="A278" s="569">
        <v>32</v>
      </c>
      <c r="B278" s="1052"/>
      <c r="C278" s="609" t="s">
        <v>677</v>
      </c>
      <c r="D278" s="610">
        <v>6</v>
      </c>
      <c r="E278" s="736" t="str">
        <f t="shared" ref="E278:AJ278" ca="1" si="148">IFERROR(OFFSET(貼付け_2027実績,$D278,E277+1)&amp;"","")</f>
        <v/>
      </c>
      <c r="F278" s="611" t="str">
        <f t="shared" ca="1" si="148"/>
        <v/>
      </c>
      <c r="G278" s="611" t="str">
        <f t="shared" ca="1" si="148"/>
        <v/>
      </c>
      <c r="H278" s="611" t="str">
        <f t="shared" ca="1" si="148"/>
        <v/>
      </c>
      <c r="I278" s="611" t="str">
        <f t="shared" ca="1" si="148"/>
        <v/>
      </c>
      <c r="J278" s="611" t="str">
        <f t="shared" ca="1" si="148"/>
        <v/>
      </c>
      <c r="K278" s="611" t="str">
        <f t="shared" ca="1" si="148"/>
        <v/>
      </c>
      <c r="L278" s="611" t="str">
        <f t="shared" ca="1" si="148"/>
        <v/>
      </c>
      <c r="M278" s="611" t="str">
        <f t="shared" ca="1" si="148"/>
        <v/>
      </c>
      <c r="N278" s="611" t="str">
        <f t="shared" ca="1" si="148"/>
        <v/>
      </c>
      <c r="O278" s="611" t="str">
        <f ca="1">IFERROR(OFFSET(貼付け_2027実績,$D278,O277+1)&amp;"","")</f>
        <v/>
      </c>
      <c r="P278" s="611" t="str">
        <f t="shared" ca="1" si="148"/>
        <v/>
      </c>
      <c r="Q278" s="611" t="str">
        <f t="shared" ca="1" si="148"/>
        <v/>
      </c>
      <c r="R278" s="611" t="str">
        <f t="shared" ca="1" si="148"/>
        <v/>
      </c>
      <c r="S278" s="611" t="str">
        <f t="shared" ca="1" si="148"/>
        <v/>
      </c>
      <c r="T278" s="611" t="str">
        <f t="shared" ca="1" si="148"/>
        <v/>
      </c>
      <c r="U278" s="611" t="str">
        <f t="shared" ca="1" si="148"/>
        <v/>
      </c>
      <c r="V278" s="611" t="str">
        <f t="shared" ca="1" si="148"/>
        <v/>
      </c>
      <c r="W278" s="611" t="str">
        <f t="shared" ca="1" si="148"/>
        <v/>
      </c>
      <c r="X278" s="611" t="str">
        <f t="shared" ca="1" si="148"/>
        <v/>
      </c>
      <c r="Y278" s="611" t="str">
        <f t="shared" ca="1" si="148"/>
        <v/>
      </c>
      <c r="Z278" s="611" t="str">
        <f t="shared" ca="1" si="148"/>
        <v/>
      </c>
      <c r="AA278" s="611" t="str">
        <f t="shared" ca="1" si="148"/>
        <v/>
      </c>
      <c r="AB278" s="611" t="str">
        <f t="shared" ca="1" si="148"/>
        <v/>
      </c>
      <c r="AC278" s="611" t="str">
        <f t="shared" ca="1" si="148"/>
        <v/>
      </c>
      <c r="AD278" s="611" t="str">
        <f t="shared" ca="1" si="148"/>
        <v/>
      </c>
      <c r="AE278" s="611" t="str">
        <f t="shared" ca="1" si="148"/>
        <v/>
      </c>
      <c r="AF278" s="611" t="str">
        <f t="shared" ca="1" si="148"/>
        <v/>
      </c>
      <c r="AG278" s="611" t="str">
        <f t="shared" ca="1" si="148"/>
        <v/>
      </c>
      <c r="AH278" s="611" t="str">
        <f t="shared" ca="1" si="148"/>
        <v/>
      </c>
      <c r="AI278" s="611" t="str">
        <f t="shared" ca="1" si="148"/>
        <v/>
      </c>
      <c r="AJ278" s="611" t="str">
        <f t="shared" ca="1" si="148"/>
        <v/>
      </c>
      <c r="AK278" s="611" t="str">
        <f t="shared" ref="AK278:BB278" ca="1" si="149">IFERROR(OFFSET(貼付け_2027実績,$D278,AK277+1)&amp;"","")</f>
        <v/>
      </c>
      <c r="AL278" s="611" t="str">
        <f t="shared" ca="1" si="149"/>
        <v/>
      </c>
      <c r="AM278" s="611" t="str">
        <f t="shared" ca="1" si="149"/>
        <v/>
      </c>
      <c r="AN278" s="611" t="str">
        <f t="shared" ca="1" si="149"/>
        <v/>
      </c>
      <c r="AO278" s="611" t="str">
        <f t="shared" ca="1" si="149"/>
        <v/>
      </c>
      <c r="AP278" s="611" t="str">
        <f t="shared" ca="1" si="149"/>
        <v/>
      </c>
      <c r="AQ278" s="611" t="str">
        <f t="shared" ca="1" si="149"/>
        <v/>
      </c>
      <c r="AR278" s="611" t="str">
        <f t="shared" ca="1" si="149"/>
        <v/>
      </c>
      <c r="AS278" s="611" t="str">
        <f t="shared" ca="1" si="149"/>
        <v/>
      </c>
      <c r="AT278" s="611" t="str">
        <f t="shared" ca="1" si="149"/>
        <v/>
      </c>
      <c r="AU278" s="611" t="str">
        <f t="shared" ca="1" si="149"/>
        <v/>
      </c>
      <c r="AV278" s="611" t="str">
        <f t="shared" ca="1" si="149"/>
        <v/>
      </c>
      <c r="AW278" s="611" t="str">
        <f t="shared" ca="1" si="149"/>
        <v/>
      </c>
      <c r="AX278" s="611" t="str">
        <f t="shared" ca="1" si="149"/>
        <v/>
      </c>
      <c r="AY278" s="611" t="str">
        <f t="shared" ca="1" si="149"/>
        <v/>
      </c>
      <c r="AZ278" s="611" t="str">
        <f t="shared" ca="1" si="149"/>
        <v/>
      </c>
      <c r="BA278" s="612" t="str">
        <f t="shared" ca="1" si="149"/>
        <v/>
      </c>
      <c r="BB278" s="652" t="str">
        <f t="shared" ca="1" si="149"/>
        <v/>
      </c>
      <c r="BC278" s="613"/>
      <c r="IE278" s="579"/>
      <c r="IF278" s="579"/>
      <c r="IG278" s="579"/>
      <c r="IH278" s="579"/>
    </row>
    <row r="279" spans="1:242" s="164" customFormat="1" ht="20.100000000000001" hidden="1" customHeight="1">
      <c r="A279" s="569">
        <v>33</v>
      </c>
      <c r="B279" s="1052"/>
      <c r="C279" s="614" t="s">
        <v>678</v>
      </c>
      <c r="D279" s="615">
        <v>99</v>
      </c>
      <c r="E279" s="737" t="str">
        <f t="shared" ref="E279:AJ279" ca="1" si="150">IFERROR(OFFSET(貼付け_2027実績,$D279,E277),"")&amp;""</f>
        <v/>
      </c>
      <c r="F279" s="616" t="str">
        <f t="shared" ca="1" si="150"/>
        <v/>
      </c>
      <c r="G279" s="616" t="str">
        <f t="shared" ca="1" si="150"/>
        <v/>
      </c>
      <c r="H279" s="616" t="str">
        <f t="shared" ca="1" si="150"/>
        <v/>
      </c>
      <c r="I279" s="616" t="str">
        <f t="shared" ca="1" si="150"/>
        <v/>
      </c>
      <c r="J279" s="616" t="str">
        <f t="shared" ca="1" si="150"/>
        <v/>
      </c>
      <c r="K279" s="616" t="str">
        <f t="shared" ca="1" si="150"/>
        <v/>
      </c>
      <c r="L279" s="616" t="str">
        <f t="shared" ca="1" si="150"/>
        <v/>
      </c>
      <c r="M279" s="616" t="str">
        <f t="shared" ca="1" si="150"/>
        <v/>
      </c>
      <c r="N279" s="616" t="str">
        <f t="shared" ca="1" si="150"/>
        <v/>
      </c>
      <c r="O279" s="616" t="str">
        <f ca="1">IFERROR(OFFSET(貼付け_2027実績,$D279,O277),"")&amp;""</f>
        <v/>
      </c>
      <c r="P279" s="616" t="str">
        <f t="shared" ca="1" si="150"/>
        <v/>
      </c>
      <c r="Q279" s="616" t="str">
        <f t="shared" ca="1" si="150"/>
        <v/>
      </c>
      <c r="R279" s="616" t="str">
        <f t="shared" ca="1" si="150"/>
        <v/>
      </c>
      <c r="S279" s="616" t="str">
        <f t="shared" ca="1" si="150"/>
        <v/>
      </c>
      <c r="T279" s="616" t="str">
        <f t="shared" ca="1" si="150"/>
        <v/>
      </c>
      <c r="U279" s="616" t="str">
        <f t="shared" ca="1" si="150"/>
        <v/>
      </c>
      <c r="V279" s="616" t="str">
        <f t="shared" ca="1" si="150"/>
        <v/>
      </c>
      <c r="W279" s="616" t="str">
        <f t="shared" ca="1" si="150"/>
        <v/>
      </c>
      <c r="X279" s="616" t="str">
        <f t="shared" ca="1" si="150"/>
        <v/>
      </c>
      <c r="Y279" s="616" t="str">
        <f t="shared" ca="1" si="150"/>
        <v/>
      </c>
      <c r="Z279" s="616" t="str">
        <f t="shared" ca="1" si="150"/>
        <v/>
      </c>
      <c r="AA279" s="616" t="str">
        <f t="shared" ca="1" si="150"/>
        <v/>
      </c>
      <c r="AB279" s="616" t="str">
        <f t="shared" ca="1" si="150"/>
        <v/>
      </c>
      <c r="AC279" s="616" t="str">
        <f t="shared" ca="1" si="150"/>
        <v/>
      </c>
      <c r="AD279" s="616" t="str">
        <f t="shared" ca="1" si="150"/>
        <v/>
      </c>
      <c r="AE279" s="616" t="str">
        <f t="shared" ca="1" si="150"/>
        <v/>
      </c>
      <c r="AF279" s="616" t="str">
        <f t="shared" ca="1" si="150"/>
        <v/>
      </c>
      <c r="AG279" s="616" t="str">
        <f t="shared" ca="1" si="150"/>
        <v/>
      </c>
      <c r="AH279" s="616" t="str">
        <f t="shared" ca="1" si="150"/>
        <v/>
      </c>
      <c r="AI279" s="616" t="str">
        <f t="shared" ca="1" si="150"/>
        <v/>
      </c>
      <c r="AJ279" s="616" t="str">
        <f t="shared" ca="1" si="150"/>
        <v/>
      </c>
      <c r="AK279" s="616" t="str">
        <f t="shared" ref="AK279:BB279" ca="1" si="151">IFERROR(OFFSET(貼付け_2027実績,$D279,AK277),"")&amp;""</f>
        <v/>
      </c>
      <c r="AL279" s="616" t="str">
        <f t="shared" ca="1" si="151"/>
        <v/>
      </c>
      <c r="AM279" s="616" t="str">
        <f t="shared" ca="1" si="151"/>
        <v/>
      </c>
      <c r="AN279" s="616" t="str">
        <f t="shared" ca="1" si="151"/>
        <v/>
      </c>
      <c r="AO279" s="616" t="str">
        <f t="shared" ca="1" si="151"/>
        <v/>
      </c>
      <c r="AP279" s="616" t="str">
        <f t="shared" ca="1" si="151"/>
        <v/>
      </c>
      <c r="AQ279" s="616" t="str">
        <f t="shared" ca="1" si="151"/>
        <v/>
      </c>
      <c r="AR279" s="616" t="str">
        <f t="shared" ca="1" si="151"/>
        <v/>
      </c>
      <c r="AS279" s="616" t="str">
        <f t="shared" ca="1" si="151"/>
        <v/>
      </c>
      <c r="AT279" s="616" t="str">
        <f t="shared" ca="1" si="151"/>
        <v/>
      </c>
      <c r="AU279" s="616" t="str">
        <f t="shared" ca="1" si="151"/>
        <v/>
      </c>
      <c r="AV279" s="616" t="str">
        <f t="shared" ca="1" si="151"/>
        <v/>
      </c>
      <c r="AW279" s="616" t="str">
        <f t="shared" ca="1" si="151"/>
        <v/>
      </c>
      <c r="AX279" s="616" t="str">
        <f t="shared" ca="1" si="151"/>
        <v/>
      </c>
      <c r="AY279" s="616" t="str">
        <f t="shared" ca="1" si="151"/>
        <v/>
      </c>
      <c r="AZ279" s="616" t="str">
        <f t="shared" ca="1" si="151"/>
        <v/>
      </c>
      <c r="BA279" s="616" t="str">
        <f t="shared" ca="1" si="151"/>
        <v/>
      </c>
      <c r="BB279" s="653" t="str">
        <f t="shared" ca="1" si="151"/>
        <v/>
      </c>
      <c r="IE279" s="579"/>
      <c r="IF279" s="579"/>
      <c r="IG279" s="579"/>
      <c r="IH279" s="579"/>
    </row>
    <row r="280" spans="1:242" s="164" customFormat="1" ht="20.100000000000001" hidden="1" customHeight="1">
      <c r="A280" s="569">
        <v>34</v>
      </c>
      <c r="B280" s="1052"/>
      <c r="C280" s="614" t="s">
        <v>679</v>
      </c>
      <c r="D280" s="615">
        <v>6</v>
      </c>
      <c r="E280" s="737" t="str">
        <f t="shared" ref="E280:AJ280" ca="1" si="152">IFERROR(OFFSET(A1_集計2027,$D280,E277),"")</f>
        <v/>
      </c>
      <c r="F280" s="616" t="str">
        <f t="shared" ca="1" si="152"/>
        <v/>
      </c>
      <c r="G280" s="616" t="str">
        <f t="shared" ca="1" si="152"/>
        <v/>
      </c>
      <c r="H280" s="616" t="str">
        <f t="shared" ca="1" si="152"/>
        <v/>
      </c>
      <c r="I280" s="616" t="str">
        <f t="shared" ca="1" si="152"/>
        <v/>
      </c>
      <c r="J280" s="616" t="str">
        <f t="shared" ca="1" si="152"/>
        <v/>
      </c>
      <c r="K280" s="616" t="str">
        <f t="shared" ca="1" si="152"/>
        <v/>
      </c>
      <c r="L280" s="616" t="str">
        <f t="shared" ca="1" si="152"/>
        <v/>
      </c>
      <c r="M280" s="616" t="str">
        <f t="shared" ca="1" si="152"/>
        <v/>
      </c>
      <c r="N280" s="616" t="str">
        <f t="shared" ca="1" si="152"/>
        <v/>
      </c>
      <c r="O280" s="616" t="str">
        <f ca="1">IFERROR(OFFSET(A1_集計2027,$D280,O277),"")</f>
        <v/>
      </c>
      <c r="P280" s="616" t="str">
        <f t="shared" ca="1" si="152"/>
        <v/>
      </c>
      <c r="Q280" s="616" t="str">
        <f t="shared" ca="1" si="152"/>
        <v/>
      </c>
      <c r="R280" s="616" t="str">
        <f t="shared" ca="1" si="152"/>
        <v/>
      </c>
      <c r="S280" s="616" t="str">
        <f t="shared" ca="1" si="152"/>
        <v/>
      </c>
      <c r="T280" s="616" t="str">
        <f t="shared" ca="1" si="152"/>
        <v/>
      </c>
      <c r="U280" s="616" t="str">
        <f t="shared" ca="1" si="152"/>
        <v/>
      </c>
      <c r="V280" s="616" t="str">
        <f t="shared" ca="1" si="152"/>
        <v/>
      </c>
      <c r="W280" s="616" t="str">
        <f t="shared" ca="1" si="152"/>
        <v/>
      </c>
      <c r="X280" s="616" t="str">
        <f t="shared" ca="1" si="152"/>
        <v/>
      </c>
      <c r="Y280" s="616" t="str">
        <f t="shared" ca="1" si="152"/>
        <v/>
      </c>
      <c r="Z280" s="616" t="str">
        <f t="shared" ca="1" si="152"/>
        <v/>
      </c>
      <c r="AA280" s="616" t="str">
        <f t="shared" ca="1" si="152"/>
        <v/>
      </c>
      <c r="AB280" s="616" t="str">
        <f t="shared" ca="1" si="152"/>
        <v/>
      </c>
      <c r="AC280" s="616" t="str">
        <f t="shared" ca="1" si="152"/>
        <v/>
      </c>
      <c r="AD280" s="616" t="str">
        <f t="shared" ca="1" si="152"/>
        <v/>
      </c>
      <c r="AE280" s="616" t="str">
        <f t="shared" ca="1" si="152"/>
        <v/>
      </c>
      <c r="AF280" s="616" t="str">
        <f t="shared" ca="1" si="152"/>
        <v/>
      </c>
      <c r="AG280" s="616" t="str">
        <f t="shared" ca="1" si="152"/>
        <v/>
      </c>
      <c r="AH280" s="616" t="str">
        <f t="shared" ca="1" si="152"/>
        <v/>
      </c>
      <c r="AI280" s="616" t="str">
        <f t="shared" ca="1" si="152"/>
        <v/>
      </c>
      <c r="AJ280" s="616" t="str">
        <f t="shared" ca="1" si="152"/>
        <v/>
      </c>
      <c r="AK280" s="616" t="str">
        <f t="shared" ref="AK280:BB280" ca="1" si="153">IFERROR(OFFSET(A1_集計2027,$D280,AK277),"")</f>
        <v/>
      </c>
      <c r="AL280" s="616" t="str">
        <f t="shared" ca="1" si="153"/>
        <v/>
      </c>
      <c r="AM280" s="616" t="str">
        <f t="shared" ca="1" si="153"/>
        <v/>
      </c>
      <c r="AN280" s="616" t="str">
        <f t="shared" ca="1" si="153"/>
        <v/>
      </c>
      <c r="AO280" s="616" t="str">
        <f t="shared" ca="1" si="153"/>
        <v/>
      </c>
      <c r="AP280" s="616" t="str">
        <f t="shared" ca="1" si="153"/>
        <v/>
      </c>
      <c r="AQ280" s="616" t="str">
        <f t="shared" ca="1" si="153"/>
        <v/>
      </c>
      <c r="AR280" s="616" t="str">
        <f t="shared" ca="1" si="153"/>
        <v/>
      </c>
      <c r="AS280" s="616" t="str">
        <f t="shared" ca="1" si="153"/>
        <v/>
      </c>
      <c r="AT280" s="616" t="str">
        <f t="shared" ca="1" si="153"/>
        <v/>
      </c>
      <c r="AU280" s="616" t="str">
        <f t="shared" ca="1" si="153"/>
        <v/>
      </c>
      <c r="AV280" s="616" t="str">
        <f t="shared" ca="1" si="153"/>
        <v/>
      </c>
      <c r="AW280" s="616" t="str">
        <f t="shared" ca="1" si="153"/>
        <v/>
      </c>
      <c r="AX280" s="616" t="str">
        <f t="shared" ca="1" si="153"/>
        <v/>
      </c>
      <c r="AY280" s="616" t="str">
        <f t="shared" ca="1" si="153"/>
        <v/>
      </c>
      <c r="AZ280" s="616" t="str">
        <f t="shared" ca="1" si="153"/>
        <v/>
      </c>
      <c r="BA280" s="587" t="str">
        <f t="shared" ca="1" si="153"/>
        <v/>
      </c>
      <c r="BB280" s="653" t="str">
        <f t="shared" ca="1" si="153"/>
        <v/>
      </c>
      <c r="IE280" s="579"/>
      <c r="IF280" s="579"/>
      <c r="IG280" s="579"/>
      <c r="IH280" s="579"/>
    </row>
    <row r="281" spans="1:242" s="164" customFormat="1" ht="20.100000000000001" hidden="1" customHeight="1">
      <c r="A281" s="569">
        <v>35</v>
      </c>
      <c r="B281" s="1052"/>
      <c r="C281" s="614" t="s">
        <v>680</v>
      </c>
      <c r="D281" s="615">
        <v>101</v>
      </c>
      <c r="E281" s="737" t="str">
        <f t="shared" ref="E281:AJ281" ca="1" si="154">IFERROR(OFFSET(貼付け_2027実績,$D281,E277),"")</f>
        <v/>
      </c>
      <c r="F281" s="616" t="str">
        <f t="shared" ca="1" si="154"/>
        <v/>
      </c>
      <c r="G281" s="616" t="str">
        <f t="shared" ca="1" si="154"/>
        <v/>
      </c>
      <c r="H281" s="616" t="str">
        <f t="shared" ca="1" si="154"/>
        <v/>
      </c>
      <c r="I281" s="616" t="str">
        <f t="shared" ca="1" si="154"/>
        <v/>
      </c>
      <c r="J281" s="616" t="str">
        <f t="shared" ca="1" si="154"/>
        <v/>
      </c>
      <c r="K281" s="616" t="str">
        <f t="shared" ca="1" si="154"/>
        <v/>
      </c>
      <c r="L281" s="616" t="str">
        <f t="shared" ca="1" si="154"/>
        <v/>
      </c>
      <c r="M281" s="616" t="str">
        <f t="shared" ca="1" si="154"/>
        <v/>
      </c>
      <c r="N281" s="616" t="str">
        <f t="shared" ca="1" si="154"/>
        <v/>
      </c>
      <c r="O281" s="616" t="str">
        <f ca="1">IFERROR(OFFSET(貼付け_2027実績,$D281,O277),"")</f>
        <v/>
      </c>
      <c r="P281" s="616" t="str">
        <f t="shared" ca="1" si="154"/>
        <v/>
      </c>
      <c r="Q281" s="616" t="str">
        <f t="shared" ca="1" si="154"/>
        <v/>
      </c>
      <c r="R281" s="616" t="str">
        <f t="shared" ca="1" si="154"/>
        <v/>
      </c>
      <c r="S281" s="616" t="str">
        <f t="shared" ca="1" si="154"/>
        <v/>
      </c>
      <c r="T281" s="616" t="str">
        <f t="shared" ca="1" si="154"/>
        <v/>
      </c>
      <c r="U281" s="616" t="str">
        <f t="shared" ca="1" si="154"/>
        <v/>
      </c>
      <c r="V281" s="616" t="str">
        <f t="shared" ca="1" si="154"/>
        <v/>
      </c>
      <c r="W281" s="616" t="str">
        <f t="shared" ca="1" si="154"/>
        <v/>
      </c>
      <c r="X281" s="616" t="str">
        <f t="shared" ca="1" si="154"/>
        <v/>
      </c>
      <c r="Y281" s="616" t="str">
        <f t="shared" ca="1" si="154"/>
        <v/>
      </c>
      <c r="Z281" s="616" t="str">
        <f t="shared" ca="1" si="154"/>
        <v/>
      </c>
      <c r="AA281" s="616" t="str">
        <f t="shared" ca="1" si="154"/>
        <v/>
      </c>
      <c r="AB281" s="616" t="str">
        <f t="shared" ca="1" si="154"/>
        <v/>
      </c>
      <c r="AC281" s="616" t="str">
        <f t="shared" ca="1" si="154"/>
        <v/>
      </c>
      <c r="AD281" s="616" t="str">
        <f t="shared" ca="1" si="154"/>
        <v/>
      </c>
      <c r="AE281" s="616" t="str">
        <f t="shared" ca="1" si="154"/>
        <v/>
      </c>
      <c r="AF281" s="616" t="str">
        <f t="shared" ca="1" si="154"/>
        <v/>
      </c>
      <c r="AG281" s="616" t="str">
        <f t="shared" ca="1" si="154"/>
        <v/>
      </c>
      <c r="AH281" s="616" t="str">
        <f t="shared" ca="1" si="154"/>
        <v/>
      </c>
      <c r="AI281" s="616" t="str">
        <f t="shared" ca="1" si="154"/>
        <v/>
      </c>
      <c r="AJ281" s="616" t="str">
        <f t="shared" ca="1" si="154"/>
        <v/>
      </c>
      <c r="AK281" s="616" t="str">
        <f t="shared" ref="AK281:BB281" ca="1" si="155">IFERROR(OFFSET(貼付け_2027実績,$D281,AK277),"")</f>
        <v/>
      </c>
      <c r="AL281" s="616" t="str">
        <f t="shared" ca="1" si="155"/>
        <v/>
      </c>
      <c r="AM281" s="616" t="str">
        <f t="shared" ca="1" si="155"/>
        <v/>
      </c>
      <c r="AN281" s="616" t="str">
        <f t="shared" ca="1" si="155"/>
        <v/>
      </c>
      <c r="AO281" s="616" t="str">
        <f t="shared" ca="1" si="155"/>
        <v/>
      </c>
      <c r="AP281" s="616" t="str">
        <f t="shared" ca="1" si="155"/>
        <v/>
      </c>
      <c r="AQ281" s="616" t="str">
        <f t="shared" ca="1" si="155"/>
        <v/>
      </c>
      <c r="AR281" s="616" t="str">
        <f t="shared" ca="1" si="155"/>
        <v/>
      </c>
      <c r="AS281" s="616" t="str">
        <f t="shared" ca="1" si="155"/>
        <v/>
      </c>
      <c r="AT281" s="616" t="str">
        <f t="shared" ca="1" si="155"/>
        <v/>
      </c>
      <c r="AU281" s="616" t="str">
        <f t="shared" ca="1" si="155"/>
        <v/>
      </c>
      <c r="AV281" s="616" t="str">
        <f t="shared" ca="1" si="155"/>
        <v/>
      </c>
      <c r="AW281" s="616" t="str">
        <f t="shared" ca="1" si="155"/>
        <v/>
      </c>
      <c r="AX281" s="616" t="str">
        <f t="shared" ca="1" si="155"/>
        <v/>
      </c>
      <c r="AY281" s="616" t="str">
        <f t="shared" ca="1" si="155"/>
        <v/>
      </c>
      <c r="AZ281" s="616" t="str">
        <f t="shared" ca="1" si="155"/>
        <v/>
      </c>
      <c r="BA281" s="587" t="str">
        <f t="shared" ca="1" si="155"/>
        <v/>
      </c>
      <c r="BB281" s="653" t="str">
        <f t="shared" ca="1" si="155"/>
        <v/>
      </c>
      <c r="IE281" s="579"/>
      <c r="IF281" s="579"/>
      <c r="IG281" s="579"/>
      <c r="IH281" s="579"/>
    </row>
    <row r="282" spans="1:242" s="164" customFormat="1" ht="20.100000000000001" hidden="1" customHeight="1">
      <c r="A282" s="569">
        <v>36</v>
      </c>
      <c r="B282" s="1052"/>
      <c r="C282" s="614" t="s">
        <v>681</v>
      </c>
      <c r="D282" s="615"/>
      <c r="E282" s="737" t="str">
        <f ca="1">IFERROR(E280/E281,"")</f>
        <v/>
      </c>
      <c r="F282" s="616" t="str">
        <f t="shared" ref="F282:BB282" ca="1" si="156">IFERROR(F280/F281,"")</f>
        <v/>
      </c>
      <c r="G282" s="616" t="str">
        <f t="shared" ca="1" si="156"/>
        <v/>
      </c>
      <c r="H282" s="616" t="str">
        <f t="shared" ca="1" si="156"/>
        <v/>
      </c>
      <c r="I282" s="616" t="str">
        <f t="shared" ca="1" si="156"/>
        <v/>
      </c>
      <c r="J282" s="616" t="str">
        <f t="shared" ca="1" si="156"/>
        <v/>
      </c>
      <c r="K282" s="616" t="str">
        <f t="shared" ca="1" si="156"/>
        <v/>
      </c>
      <c r="L282" s="616" t="str">
        <f t="shared" ca="1" si="156"/>
        <v/>
      </c>
      <c r="M282" s="616" t="str">
        <f t="shared" ca="1" si="156"/>
        <v/>
      </c>
      <c r="N282" s="616" t="str">
        <f t="shared" ca="1" si="156"/>
        <v/>
      </c>
      <c r="O282" s="616" t="str">
        <f t="shared" ca="1" si="156"/>
        <v/>
      </c>
      <c r="P282" s="616" t="str">
        <f t="shared" ca="1" si="156"/>
        <v/>
      </c>
      <c r="Q282" s="616" t="str">
        <f t="shared" ca="1" si="156"/>
        <v/>
      </c>
      <c r="R282" s="616" t="str">
        <f t="shared" ca="1" si="156"/>
        <v/>
      </c>
      <c r="S282" s="616" t="str">
        <f t="shared" ca="1" si="156"/>
        <v/>
      </c>
      <c r="T282" s="616" t="str">
        <f t="shared" ca="1" si="156"/>
        <v/>
      </c>
      <c r="U282" s="616" t="str">
        <f t="shared" ca="1" si="156"/>
        <v/>
      </c>
      <c r="V282" s="616" t="str">
        <f t="shared" ca="1" si="156"/>
        <v/>
      </c>
      <c r="W282" s="616" t="str">
        <f t="shared" ca="1" si="156"/>
        <v/>
      </c>
      <c r="X282" s="616" t="str">
        <f t="shared" ca="1" si="156"/>
        <v/>
      </c>
      <c r="Y282" s="616" t="str">
        <f t="shared" ca="1" si="156"/>
        <v/>
      </c>
      <c r="Z282" s="616" t="str">
        <f t="shared" ca="1" si="156"/>
        <v/>
      </c>
      <c r="AA282" s="616" t="str">
        <f t="shared" ca="1" si="156"/>
        <v/>
      </c>
      <c r="AB282" s="616" t="str">
        <f t="shared" ca="1" si="156"/>
        <v/>
      </c>
      <c r="AC282" s="616" t="str">
        <f t="shared" ca="1" si="156"/>
        <v/>
      </c>
      <c r="AD282" s="616" t="str">
        <f t="shared" ca="1" si="156"/>
        <v/>
      </c>
      <c r="AE282" s="616" t="str">
        <f t="shared" ca="1" si="156"/>
        <v/>
      </c>
      <c r="AF282" s="616" t="str">
        <f t="shared" ca="1" si="156"/>
        <v/>
      </c>
      <c r="AG282" s="616" t="str">
        <f t="shared" ca="1" si="156"/>
        <v/>
      </c>
      <c r="AH282" s="616" t="str">
        <f t="shared" ca="1" si="156"/>
        <v/>
      </c>
      <c r="AI282" s="616" t="str">
        <f t="shared" ca="1" si="156"/>
        <v/>
      </c>
      <c r="AJ282" s="616" t="str">
        <f t="shared" ca="1" si="156"/>
        <v/>
      </c>
      <c r="AK282" s="616" t="str">
        <f t="shared" ca="1" si="156"/>
        <v/>
      </c>
      <c r="AL282" s="616" t="str">
        <f t="shared" ca="1" si="156"/>
        <v/>
      </c>
      <c r="AM282" s="616" t="str">
        <f t="shared" ca="1" si="156"/>
        <v/>
      </c>
      <c r="AN282" s="616" t="str">
        <f t="shared" ca="1" si="156"/>
        <v/>
      </c>
      <c r="AO282" s="616" t="str">
        <f t="shared" ca="1" si="156"/>
        <v/>
      </c>
      <c r="AP282" s="616" t="str">
        <f t="shared" ca="1" si="156"/>
        <v/>
      </c>
      <c r="AQ282" s="616" t="str">
        <f t="shared" ca="1" si="156"/>
        <v/>
      </c>
      <c r="AR282" s="616" t="str">
        <f t="shared" ca="1" si="156"/>
        <v/>
      </c>
      <c r="AS282" s="616" t="str">
        <f t="shared" ca="1" si="156"/>
        <v/>
      </c>
      <c r="AT282" s="616" t="str">
        <f t="shared" ca="1" si="156"/>
        <v/>
      </c>
      <c r="AU282" s="616" t="str">
        <f t="shared" ca="1" si="156"/>
        <v/>
      </c>
      <c r="AV282" s="616" t="str">
        <f t="shared" ca="1" si="156"/>
        <v/>
      </c>
      <c r="AW282" s="616" t="str">
        <f t="shared" ca="1" si="156"/>
        <v/>
      </c>
      <c r="AX282" s="616" t="str">
        <f t="shared" ca="1" si="156"/>
        <v/>
      </c>
      <c r="AY282" s="616" t="str">
        <f t="shared" ca="1" si="156"/>
        <v/>
      </c>
      <c r="AZ282" s="616" t="str">
        <f t="shared" ca="1" si="156"/>
        <v/>
      </c>
      <c r="BA282" s="587" t="str">
        <f t="shared" ca="1" si="156"/>
        <v/>
      </c>
      <c r="BB282" s="653" t="str">
        <f t="shared" ca="1" si="156"/>
        <v/>
      </c>
      <c r="IE282" s="579"/>
      <c r="IF282" s="579"/>
      <c r="IG282" s="579"/>
      <c r="IH282" s="579"/>
    </row>
    <row r="283" spans="1:242" ht="19.5" hidden="1" customHeight="1" thickBot="1">
      <c r="A283" s="569">
        <v>37</v>
      </c>
      <c r="B283" s="1053"/>
      <c r="C283" s="617" t="s">
        <v>682</v>
      </c>
      <c r="D283" s="618">
        <v>36</v>
      </c>
      <c r="E283" s="738" t="str">
        <f t="shared" ref="E283:AJ283" ca="1" si="157">IFERROR(1-(E282/OFFSET(A1_原単位2026,$D283,E$247+2)),"")</f>
        <v/>
      </c>
      <c r="F283" s="619" t="str">
        <f t="shared" ca="1" si="157"/>
        <v/>
      </c>
      <c r="G283" s="619" t="str">
        <f t="shared" ca="1" si="157"/>
        <v/>
      </c>
      <c r="H283" s="619" t="str">
        <f t="shared" ca="1" si="157"/>
        <v/>
      </c>
      <c r="I283" s="619" t="str">
        <f t="shared" ca="1" si="157"/>
        <v/>
      </c>
      <c r="J283" s="619" t="str">
        <f t="shared" ca="1" si="157"/>
        <v/>
      </c>
      <c r="K283" s="619" t="str">
        <f t="shared" ca="1" si="157"/>
        <v/>
      </c>
      <c r="L283" s="619" t="str">
        <f t="shared" ca="1" si="157"/>
        <v/>
      </c>
      <c r="M283" s="619" t="str">
        <f t="shared" ca="1" si="157"/>
        <v/>
      </c>
      <c r="N283" s="619" t="str">
        <f t="shared" ca="1" si="157"/>
        <v/>
      </c>
      <c r="O283" s="619" t="str">
        <f t="shared" ca="1" si="157"/>
        <v/>
      </c>
      <c r="P283" s="619" t="str">
        <f t="shared" ca="1" si="157"/>
        <v/>
      </c>
      <c r="Q283" s="619" t="str">
        <f t="shared" ca="1" si="157"/>
        <v/>
      </c>
      <c r="R283" s="619" t="str">
        <f t="shared" ca="1" si="157"/>
        <v/>
      </c>
      <c r="S283" s="619" t="str">
        <f t="shared" ca="1" si="157"/>
        <v/>
      </c>
      <c r="T283" s="619" t="str">
        <f t="shared" ca="1" si="157"/>
        <v/>
      </c>
      <c r="U283" s="619" t="str">
        <f t="shared" ca="1" si="157"/>
        <v/>
      </c>
      <c r="V283" s="619" t="str">
        <f t="shared" ca="1" si="157"/>
        <v/>
      </c>
      <c r="W283" s="619" t="str">
        <f t="shared" ca="1" si="157"/>
        <v/>
      </c>
      <c r="X283" s="619" t="str">
        <f t="shared" ca="1" si="157"/>
        <v/>
      </c>
      <c r="Y283" s="619" t="str">
        <f t="shared" ca="1" si="157"/>
        <v/>
      </c>
      <c r="Z283" s="619" t="str">
        <f t="shared" ca="1" si="157"/>
        <v/>
      </c>
      <c r="AA283" s="619" t="str">
        <f t="shared" ca="1" si="157"/>
        <v/>
      </c>
      <c r="AB283" s="619" t="str">
        <f t="shared" ca="1" si="157"/>
        <v/>
      </c>
      <c r="AC283" s="619" t="str">
        <f t="shared" ca="1" si="157"/>
        <v/>
      </c>
      <c r="AD283" s="619" t="str">
        <f t="shared" ca="1" si="157"/>
        <v/>
      </c>
      <c r="AE283" s="619" t="str">
        <f t="shared" ca="1" si="157"/>
        <v/>
      </c>
      <c r="AF283" s="619" t="str">
        <f t="shared" ca="1" si="157"/>
        <v/>
      </c>
      <c r="AG283" s="619" t="str">
        <f t="shared" ca="1" si="157"/>
        <v/>
      </c>
      <c r="AH283" s="619" t="str">
        <f t="shared" ca="1" si="157"/>
        <v/>
      </c>
      <c r="AI283" s="619" t="str">
        <f t="shared" ca="1" si="157"/>
        <v/>
      </c>
      <c r="AJ283" s="619" t="str">
        <f t="shared" ca="1" si="157"/>
        <v/>
      </c>
      <c r="AK283" s="619" t="str">
        <f t="shared" ref="AK283:BB283" ca="1" si="158">IFERROR(1-(AK282/OFFSET(A1_原単位2026,$D283,AK$247+2)),"")</f>
        <v/>
      </c>
      <c r="AL283" s="619" t="str">
        <f t="shared" ca="1" si="158"/>
        <v/>
      </c>
      <c r="AM283" s="619" t="str">
        <f t="shared" ca="1" si="158"/>
        <v/>
      </c>
      <c r="AN283" s="619" t="str">
        <f t="shared" ca="1" si="158"/>
        <v/>
      </c>
      <c r="AO283" s="619" t="str">
        <f t="shared" ca="1" si="158"/>
        <v/>
      </c>
      <c r="AP283" s="619" t="str">
        <f t="shared" ca="1" si="158"/>
        <v/>
      </c>
      <c r="AQ283" s="619" t="str">
        <f t="shared" ca="1" si="158"/>
        <v/>
      </c>
      <c r="AR283" s="619" t="str">
        <f t="shared" ca="1" si="158"/>
        <v/>
      </c>
      <c r="AS283" s="619" t="str">
        <f t="shared" ca="1" si="158"/>
        <v/>
      </c>
      <c r="AT283" s="619" t="str">
        <f t="shared" ca="1" si="158"/>
        <v/>
      </c>
      <c r="AU283" s="619" t="str">
        <f t="shared" ca="1" si="158"/>
        <v/>
      </c>
      <c r="AV283" s="619" t="str">
        <f t="shared" ca="1" si="158"/>
        <v/>
      </c>
      <c r="AW283" s="619" t="str">
        <f t="shared" ca="1" si="158"/>
        <v/>
      </c>
      <c r="AX283" s="619" t="str">
        <f t="shared" ca="1" si="158"/>
        <v/>
      </c>
      <c r="AY283" s="619" t="str">
        <f t="shared" ca="1" si="158"/>
        <v/>
      </c>
      <c r="AZ283" s="619" t="str">
        <f t="shared" ca="1" si="158"/>
        <v/>
      </c>
      <c r="BA283" s="619" t="str">
        <f t="shared" ca="1" si="158"/>
        <v/>
      </c>
      <c r="BB283" s="739" t="str">
        <f t="shared" ca="1" si="158"/>
        <v/>
      </c>
      <c r="BC283" s="164"/>
      <c r="BD283" s="164"/>
      <c r="BE283" s="164"/>
      <c r="BF283" s="164"/>
      <c r="BG283" s="164"/>
      <c r="BH283" s="164"/>
      <c r="BI283" s="164"/>
      <c r="BJ283" s="164"/>
      <c r="BK283" s="164"/>
      <c r="BL283" s="164"/>
      <c r="BM283" s="164"/>
      <c r="BN283" s="164"/>
      <c r="BO283" s="164"/>
      <c r="BP283" s="164"/>
      <c r="BQ283" s="164"/>
      <c r="BR283" s="164"/>
      <c r="BS283" s="164"/>
      <c r="BT283" s="164"/>
      <c r="BU283" s="164"/>
      <c r="BV283" s="164"/>
      <c r="BW283" s="164"/>
      <c r="BX283" s="164"/>
      <c r="BY283" s="164"/>
      <c r="BZ283" s="164"/>
      <c r="CA283" s="164"/>
      <c r="CB283" s="164"/>
      <c r="CC283" s="164"/>
      <c r="CD283" s="164"/>
      <c r="CE283" s="164"/>
      <c r="CF283" s="164"/>
      <c r="CG283" s="164"/>
      <c r="CH283" s="164"/>
      <c r="CI283" s="164"/>
      <c r="CJ283" s="164"/>
      <c r="CK283" s="164"/>
      <c r="CL283" s="164"/>
      <c r="CM283" s="164"/>
      <c r="CN283" s="164"/>
      <c r="CO283" s="164"/>
      <c r="CP283" s="164"/>
      <c r="CQ283" s="164"/>
      <c r="CR283" s="164"/>
      <c r="CS283" s="164"/>
      <c r="CT283" s="164"/>
      <c r="CU283" s="164"/>
      <c r="CV283" s="164"/>
      <c r="CW283" s="164"/>
      <c r="CX283" s="164"/>
      <c r="CY283" s="164"/>
      <c r="CZ283" s="164"/>
      <c r="DA283" s="164"/>
      <c r="DB283" s="164"/>
      <c r="DC283" s="164"/>
      <c r="DD283" s="164"/>
      <c r="DE283" s="164"/>
      <c r="DF283" s="164"/>
      <c r="DG283" s="164"/>
      <c r="DH283" s="164"/>
      <c r="DI283" s="164"/>
      <c r="DJ283" s="164"/>
      <c r="DK283" s="164"/>
      <c r="DL283" s="164"/>
      <c r="DM283" s="164"/>
      <c r="DN283" s="164"/>
      <c r="DO283" s="164"/>
      <c r="DP283" s="164"/>
      <c r="DQ283" s="164"/>
      <c r="DR283" s="164"/>
      <c r="DS283" s="164"/>
      <c r="DT283" s="164"/>
      <c r="DU283" s="164"/>
      <c r="DV283" s="164"/>
      <c r="DW283" s="164"/>
      <c r="DX283" s="164"/>
      <c r="DY283" s="164"/>
      <c r="DZ283" s="164"/>
      <c r="EA283" s="164"/>
      <c r="EB283" s="164"/>
      <c r="EC283" s="164"/>
      <c r="ED283" s="164"/>
      <c r="EE283" s="164"/>
      <c r="EF283" s="164"/>
      <c r="EG283" s="164"/>
      <c r="EH283" s="164"/>
      <c r="EI283" s="164"/>
      <c r="EJ283" s="164"/>
      <c r="EK283" s="164"/>
      <c r="EL283" s="164"/>
      <c r="EM283" s="164"/>
      <c r="EN283" s="164"/>
      <c r="EO283" s="164"/>
      <c r="EP283" s="164"/>
      <c r="EQ283" s="164"/>
      <c r="ER283" s="164"/>
      <c r="ES283" s="164"/>
      <c r="ET283" s="164"/>
      <c r="EU283" s="164"/>
      <c r="EV283" s="164"/>
      <c r="EW283" s="164"/>
      <c r="EX283" s="164"/>
      <c r="EY283" s="164"/>
      <c r="EZ283" s="164"/>
      <c r="FA283" s="164"/>
      <c r="FB283" s="164"/>
      <c r="FC283" s="164"/>
      <c r="FD283" s="164"/>
      <c r="FE283" s="164"/>
      <c r="FF283" s="164"/>
      <c r="FG283" s="164"/>
      <c r="FH283" s="164"/>
      <c r="FI283" s="164"/>
      <c r="FJ283" s="164"/>
      <c r="FK283" s="164"/>
      <c r="FL283" s="164"/>
      <c r="FM283" s="164"/>
      <c r="FN283" s="164"/>
      <c r="FO283" s="164"/>
      <c r="FP283" s="164"/>
      <c r="FQ283" s="164"/>
      <c r="FR283" s="164"/>
      <c r="FS283" s="164"/>
      <c r="FT283" s="164"/>
      <c r="FU283" s="164"/>
      <c r="FV283" s="164"/>
      <c r="FW283" s="164"/>
      <c r="FX283" s="164"/>
      <c r="FY283" s="164"/>
      <c r="FZ283" s="164"/>
      <c r="GA283" s="164"/>
      <c r="GB283" s="164"/>
      <c r="GC283" s="164"/>
      <c r="GD283" s="164"/>
      <c r="GE283" s="164"/>
      <c r="GF283" s="164"/>
      <c r="GG283" s="164"/>
      <c r="GH283" s="164"/>
      <c r="GI283" s="164"/>
      <c r="GJ283" s="164"/>
      <c r="GK283" s="164"/>
      <c r="GL283" s="164"/>
      <c r="GM283" s="164"/>
      <c r="GN283" s="164"/>
      <c r="GO283" s="164"/>
      <c r="GP283" s="164"/>
      <c r="GQ283" s="164"/>
      <c r="GR283" s="164"/>
      <c r="GS283" s="164"/>
      <c r="GT283" s="164"/>
      <c r="GU283" s="164"/>
      <c r="GV283" s="164"/>
      <c r="GW283" s="164"/>
      <c r="GX283" s="164"/>
      <c r="GY283" s="164"/>
      <c r="GZ283" s="164"/>
      <c r="HA283" s="164"/>
      <c r="HB283" s="164"/>
      <c r="HC283" s="164"/>
      <c r="HD283" s="164"/>
      <c r="HE283" s="164"/>
      <c r="HF283" s="164"/>
      <c r="HG283" s="164"/>
      <c r="HH283" s="164"/>
      <c r="HI283" s="164"/>
      <c r="HJ283" s="164"/>
      <c r="HK283" s="164"/>
    </row>
    <row r="284" spans="1:242" s="569" customFormat="1" ht="18.75" hidden="1" customHeight="1">
      <c r="A284" s="569">
        <v>38</v>
      </c>
      <c r="B284" s="1051" t="s">
        <v>684</v>
      </c>
      <c r="C284" s="596" t="s">
        <v>673</v>
      </c>
      <c r="D284" s="597">
        <v>2027</v>
      </c>
      <c r="E284" s="733">
        <f t="shared" ref="E284:BB284" ca="1" si="159">IFERROR(MATCH($B284&amp;E$247,OFFSET(INDIRECT("貼付け_"&amp;$D284&amp;"実績"),4,0,1,205),0)-1,"")</f>
        <v>137</v>
      </c>
      <c r="F284" s="598">
        <f t="shared" ca="1" si="159"/>
        <v>141</v>
      </c>
      <c r="G284" s="598">
        <f t="shared" ca="1" si="159"/>
        <v>145</v>
      </c>
      <c r="H284" s="598" t="str">
        <f t="shared" ca="1" si="159"/>
        <v/>
      </c>
      <c r="I284" s="598" t="str">
        <f t="shared" ca="1" si="159"/>
        <v/>
      </c>
      <c r="J284" s="598">
        <f t="shared" ca="1" si="159"/>
        <v>149</v>
      </c>
      <c r="K284" s="598">
        <f t="shared" ca="1" si="159"/>
        <v>153</v>
      </c>
      <c r="L284" s="598">
        <f t="shared" ca="1" si="159"/>
        <v>157</v>
      </c>
      <c r="M284" s="598">
        <f t="shared" ca="1" si="159"/>
        <v>161</v>
      </c>
      <c r="N284" s="598">
        <f t="shared" ca="1" si="159"/>
        <v>165</v>
      </c>
      <c r="O284" s="598">
        <f ca="1">IFERROR(MATCH($B284&amp;O$247,OFFSET(INDIRECT("貼付け_"&amp;$D284&amp;"実績"),4,0,1,205),0)-1,"")</f>
        <v>169</v>
      </c>
      <c r="P284" s="598">
        <f t="shared" ca="1" si="159"/>
        <v>173</v>
      </c>
      <c r="Q284" s="598">
        <f t="shared" ca="1" si="159"/>
        <v>177</v>
      </c>
      <c r="R284" s="598">
        <f t="shared" ca="1" si="159"/>
        <v>181</v>
      </c>
      <c r="S284" s="598">
        <f t="shared" ca="1" si="159"/>
        <v>185</v>
      </c>
      <c r="T284" s="598">
        <f t="shared" ca="1" si="159"/>
        <v>189</v>
      </c>
      <c r="U284" s="598">
        <f t="shared" ca="1" si="159"/>
        <v>193</v>
      </c>
      <c r="V284" s="598">
        <f t="shared" ca="1" si="159"/>
        <v>197</v>
      </c>
      <c r="W284" s="598">
        <f t="shared" ca="1" si="159"/>
        <v>201</v>
      </c>
      <c r="X284" s="598" t="str">
        <f t="shared" ca="1" si="159"/>
        <v/>
      </c>
      <c r="Y284" s="598" t="str">
        <f t="shared" ca="1" si="159"/>
        <v/>
      </c>
      <c r="Z284" s="598" t="str">
        <f t="shared" ca="1" si="159"/>
        <v/>
      </c>
      <c r="AA284" s="598" t="str">
        <f t="shared" ca="1" si="159"/>
        <v/>
      </c>
      <c r="AB284" s="598" t="str">
        <f t="shared" ca="1" si="159"/>
        <v/>
      </c>
      <c r="AC284" s="598" t="str">
        <f t="shared" ca="1" si="159"/>
        <v/>
      </c>
      <c r="AD284" s="598" t="str">
        <f t="shared" ca="1" si="159"/>
        <v/>
      </c>
      <c r="AE284" s="598" t="str">
        <f t="shared" ca="1" si="159"/>
        <v/>
      </c>
      <c r="AF284" s="598" t="str">
        <f t="shared" ca="1" si="159"/>
        <v/>
      </c>
      <c r="AG284" s="598" t="str">
        <f t="shared" ca="1" si="159"/>
        <v/>
      </c>
      <c r="AH284" s="598" t="str">
        <f t="shared" ca="1" si="159"/>
        <v/>
      </c>
      <c r="AI284" s="598" t="str">
        <f t="shared" ca="1" si="159"/>
        <v/>
      </c>
      <c r="AJ284" s="598" t="str">
        <f t="shared" ca="1" si="159"/>
        <v/>
      </c>
      <c r="AK284" s="598" t="str">
        <f t="shared" ca="1" si="159"/>
        <v/>
      </c>
      <c r="AL284" s="598" t="str">
        <f t="shared" ca="1" si="159"/>
        <v/>
      </c>
      <c r="AM284" s="598" t="str">
        <f t="shared" ca="1" si="159"/>
        <v/>
      </c>
      <c r="AN284" s="598" t="str">
        <f t="shared" ca="1" si="159"/>
        <v/>
      </c>
      <c r="AO284" s="598" t="str">
        <f t="shared" ca="1" si="159"/>
        <v/>
      </c>
      <c r="AP284" s="598" t="str">
        <f t="shared" ca="1" si="159"/>
        <v/>
      </c>
      <c r="AQ284" s="598" t="str">
        <f t="shared" ca="1" si="159"/>
        <v/>
      </c>
      <c r="AR284" s="598" t="str">
        <f t="shared" ca="1" si="159"/>
        <v/>
      </c>
      <c r="AS284" s="598" t="str">
        <f t="shared" ca="1" si="159"/>
        <v/>
      </c>
      <c r="AT284" s="598" t="str">
        <f t="shared" ca="1" si="159"/>
        <v/>
      </c>
      <c r="AU284" s="598" t="str">
        <f t="shared" ca="1" si="159"/>
        <v/>
      </c>
      <c r="AV284" s="598" t="str">
        <f t="shared" ca="1" si="159"/>
        <v/>
      </c>
      <c r="AW284" s="598" t="str">
        <f t="shared" ca="1" si="159"/>
        <v/>
      </c>
      <c r="AX284" s="598" t="str">
        <f t="shared" ca="1" si="159"/>
        <v/>
      </c>
      <c r="AY284" s="598" t="str">
        <f t="shared" ca="1" si="159"/>
        <v/>
      </c>
      <c r="AZ284" s="598" t="str">
        <f t="shared" ca="1" si="159"/>
        <v/>
      </c>
      <c r="BA284" s="598" t="str">
        <f t="shared" ca="1" si="159"/>
        <v/>
      </c>
      <c r="BB284" s="649" t="str">
        <f t="shared" ca="1" si="159"/>
        <v/>
      </c>
      <c r="BC284" s="156" t="str">
        <f>D284&amp;"年度"</f>
        <v>2027年度</v>
      </c>
      <c r="BD284" s="156">
        <v>1</v>
      </c>
      <c r="BE284" s="156">
        <v>2</v>
      </c>
      <c r="BF284" s="156">
        <v>3</v>
      </c>
      <c r="BG284" s="156">
        <v>4</v>
      </c>
      <c r="BH284" s="156">
        <v>5</v>
      </c>
      <c r="BI284" s="156">
        <v>6</v>
      </c>
      <c r="BJ284" s="156">
        <v>7</v>
      </c>
      <c r="BK284" s="156">
        <v>8</v>
      </c>
      <c r="BL284" s="156">
        <v>9</v>
      </c>
      <c r="BM284" s="156">
        <v>10</v>
      </c>
      <c r="BN284" s="156">
        <v>11</v>
      </c>
      <c r="BO284" s="156">
        <v>12</v>
      </c>
      <c r="BP284" s="156">
        <v>13</v>
      </c>
      <c r="BQ284" s="156">
        <v>14</v>
      </c>
      <c r="BR284" s="156">
        <v>15</v>
      </c>
      <c r="BS284" s="156">
        <v>16</v>
      </c>
      <c r="BT284" s="156">
        <v>17</v>
      </c>
      <c r="BU284" s="156">
        <v>18</v>
      </c>
      <c r="BV284" s="156">
        <v>19</v>
      </c>
      <c r="BW284" s="156">
        <v>20</v>
      </c>
      <c r="BX284" s="156">
        <v>21</v>
      </c>
      <c r="BY284" s="156">
        <v>22</v>
      </c>
      <c r="BZ284" s="156">
        <v>23</v>
      </c>
      <c r="CA284" s="156">
        <v>24</v>
      </c>
      <c r="CB284" s="156">
        <v>25</v>
      </c>
      <c r="CC284" s="156">
        <v>26</v>
      </c>
      <c r="CD284" s="156">
        <v>27</v>
      </c>
      <c r="CE284" s="156">
        <v>28</v>
      </c>
      <c r="CF284" s="156">
        <v>29</v>
      </c>
      <c r="CG284" s="156">
        <v>30</v>
      </c>
      <c r="CH284" s="156">
        <v>31</v>
      </c>
      <c r="CI284" s="156">
        <v>32</v>
      </c>
      <c r="CJ284" s="156">
        <v>33</v>
      </c>
      <c r="CK284" s="156">
        <v>34</v>
      </c>
      <c r="CL284" s="156">
        <v>35</v>
      </c>
      <c r="CM284" s="156">
        <v>36</v>
      </c>
      <c r="CN284" s="156">
        <v>37</v>
      </c>
      <c r="CO284" s="156">
        <v>38</v>
      </c>
      <c r="CP284" s="156">
        <v>39</v>
      </c>
      <c r="CQ284" s="156">
        <v>40</v>
      </c>
      <c r="CR284" s="156">
        <v>41</v>
      </c>
      <c r="CS284" s="156">
        <v>42</v>
      </c>
      <c r="CT284" s="156">
        <v>43</v>
      </c>
      <c r="CU284" s="156">
        <v>44</v>
      </c>
      <c r="CV284" s="156">
        <v>45</v>
      </c>
      <c r="CW284" s="156">
        <v>46</v>
      </c>
      <c r="CX284" s="156">
        <v>47</v>
      </c>
      <c r="CY284" s="156">
        <v>48</v>
      </c>
      <c r="CZ284" s="156">
        <v>49</v>
      </c>
      <c r="DA284" s="156">
        <v>50</v>
      </c>
      <c r="DB284" s="156"/>
      <c r="DC284" s="156"/>
      <c r="DD284" s="156"/>
      <c r="DE284" s="156"/>
      <c r="DF284" s="156"/>
      <c r="DG284" s="156"/>
      <c r="DH284" s="156"/>
      <c r="DI284" s="156"/>
      <c r="DJ284" s="156"/>
      <c r="DK284" s="156"/>
      <c r="DL284" s="156"/>
      <c r="DM284" s="156"/>
      <c r="DN284" s="156"/>
      <c r="DO284" s="156"/>
      <c r="DP284" s="156"/>
      <c r="DQ284" s="156"/>
      <c r="DR284" s="156"/>
      <c r="DS284" s="156"/>
      <c r="DT284" s="156"/>
      <c r="DU284" s="156"/>
      <c r="DV284" s="156"/>
      <c r="DW284" s="156"/>
      <c r="DX284" s="156"/>
      <c r="DY284" s="156"/>
      <c r="DZ284" s="156"/>
      <c r="EA284" s="156"/>
      <c r="EB284" s="156"/>
      <c r="EC284" s="156"/>
      <c r="ED284" s="156"/>
      <c r="EE284" s="156"/>
      <c r="EF284" s="156"/>
      <c r="EG284" s="156"/>
      <c r="EH284" s="156"/>
      <c r="EI284" s="156"/>
      <c r="EJ284" s="156"/>
      <c r="EK284" s="156"/>
      <c r="EL284" s="156"/>
      <c r="EM284" s="156"/>
      <c r="EN284" s="156"/>
      <c r="EO284" s="156"/>
      <c r="EP284" s="156"/>
      <c r="EQ284" s="156"/>
      <c r="ER284" s="156"/>
      <c r="ES284" s="156"/>
      <c r="ET284" s="156"/>
      <c r="EU284" s="156"/>
      <c r="EV284" s="156"/>
      <c r="EW284" s="156"/>
      <c r="EX284" s="156"/>
      <c r="EY284" s="156"/>
      <c r="EZ284" s="156"/>
      <c r="FA284" s="156"/>
      <c r="FB284" s="156"/>
      <c r="FC284" s="156"/>
      <c r="FD284" s="156"/>
      <c r="FE284" s="156"/>
      <c r="FF284" s="156"/>
      <c r="FG284" s="156"/>
      <c r="FH284" s="156"/>
      <c r="FI284" s="156"/>
      <c r="FJ284" s="156"/>
      <c r="FK284" s="156"/>
      <c r="FL284" s="156"/>
      <c r="FM284" s="156"/>
      <c r="FN284" s="156"/>
      <c r="FO284" s="156"/>
      <c r="FP284" s="156"/>
      <c r="FQ284" s="156"/>
      <c r="FR284" s="156"/>
      <c r="FS284" s="156"/>
      <c r="FT284" s="156"/>
      <c r="FU284" s="156"/>
      <c r="FV284" s="156"/>
      <c r="FW284" s="156"/>
      <c r="FX284" s="156"/>
      <c r="FY284" s="156"/>
      <c r="FZ284" s="156"/>
      <c r="GA284" s="156"/>
      <c r="GB284" s="156"/>
      <c r="GC284" s="156"/>
      <c r="GD284" s="156"/>
      <c r="GE284" s="156"/>
      <c r="GF284" s="156"/>
      <c r="GG284" s="156"/>
      <c r="GH284" s="156"/>
      <c r="GI284" s="156"/>
      <c r="GJ284" s="156"/>
      <c r="GK284" s="156"/>
      <c r="GL284" s="156"/>
      <c r="GM284" s="156"/>
      <c r="GN284" s="156"/>
      <c r="GO284" s="156"/>
      <c r="GP284" s="156"/>
      <c r="GQ284" s="156"/>
      <c r="GR284" s="156"/>
      <c r="GS284" s="156"/>
      <c r="GT284" s="156"/>
      <c r="GU284" s="156"/>
      <c r="GV284" s="156"/>
      <c r="GW284" s="156"/>
      <c r="GX284" s="156"/>
      <c r="GY284" s="156"/>
      <c r="GZ284" s="156"/>
      <c r="HA284" s="156"/>
      <c r="HB284" s="156"/>
      <c r="HC284" s="156"/>
      <c r="HD284" s="156"/>
      <c r="HE284" s="156"/>
      <c r="HF284" s="156"/>
      <c r="HG284" s="156"/>
      <c r="HH284" s="156"/>
      <c r="HI284" s="156"/>
      <c r="HJ284" s="156"/>
      <c r="HK284" s="156"/>
      <c r="IE284" s="603"/>
      <c r="IF284" s="603"/>
      <c r="IG284" s="603"/>
      <c r="IH284" s="603"/>
    </row>
    <row r="285" spans="1:242" s="569" customFormat="1" ht="19.5" hidden="1" customHeight="1">
      <c r="A285" s="569">
        <v>39</v>
      </c>
      <c r="B285" s="1052"/>
      <c r="C285" s="599" t="str">
        <f>"~"&amp;D284-1&amp;"/"&amp;D284</f>
        <v>~2026/2027</v>
      </c>
      <c r="D285" s="600" t="str">
        <f>""</f>
        <v/>
      </c>
      <c r="E285" s="734" t="str">
        <f t="shared" ref="E285:AJ285" ca="1" si="160">IF(OFFSET(A1_原単位2026,42,E$247+2)="",OFFSET(A1_原単位2026,39,E$247+2),OFFSET(A1_原単位2026,42,E$247+2))</f>
        <v/>
      </c>
      <c r="F285" s="601" t="str">
        <f t="shared" ca="1" si="160"/>
        <v/>
      </c>
      <c r="G285" s="601" t="str">
        <f t="shared" ca="1" si="160"/>
        <v/>
      </c>
      <c r="H285" s="601" t="str">
        <f t="shared" ca="1" si="160"/>
        <v/>
      </c>
      <c r="I285" s="601" t="str">
        <f t="shared" ca="1" si="160"/>
        <v/>
      </c>
      <c r="J285" s="601" t="str">
        <f t="shared" ca="1" si="160"/>
        <v/>
      </c>
      <c r="K285" s="601" t="str">
        <f t="shared" ca="1" si="160"/>
        <v/>
      </c>
      <c r="L285" s="601" t="str">
        <f t="shared" ca="1" si="160"/>
        <v/>
      </c>
      <c r="M285" s="601" t="str">
        <f t="shared" ca="1" si="160"/>
        <v/>
      </c>
      <c r="N285" s="601" t="str">
        <f t="shared" ca="1" si="160"/>
        <v/>
      </c>
      <c r="O285" s="601" t="str">
        <f ca="1">IF(OFFSET(A1_原単位2026,42,O$247+2)="",OFFSET(A1_原単位2026,39,O$247+2),OFFSET(A1_原単位2026,42,O$247+2))</f>
        <v/>
      </c>
      <c r="P285" s="601" t="str">
        <f t="shared" ca="1" si="160"/>
        <v/>
      </c>
      <c r="Q285" s="601" t="str">
        <f t="shared" ca="1" si="160"/>
        <v/>
      </c>
      <c r="R285" s="601" t="str">
        <f t="shared" ca="1" si="160"/>
        <v/>
      </c>
      <c r="S285" s="601" t="str">
        <f t="shared" ca="1" si="160"/>
        <v/>
      </c>
      <c r="T285" s="601" t="str">
        <f t="shared" ca="1" si="160"/>
        <v/>
      </c>
      <c r="U285" s="601" t="str">
        <f t="shared" ca="1" si="160"/>
        <v/>
      </c>
      <c r="V285" s="601" t="str">
        <f t="shared" ca="1" si="160"/>
        <v/>
      </c>
      <c r="W285" s="601" t="str">
        <f t="shared" ca="1" si="160"/>
        <v/>
      </c>
      <c r="X285" s="601" t="str">
        <f t="shared" ca="1" si="160"/>
        <v/>
      </c>
      <c r="Y285" s="601" t="str">
        <f t="shared" ca="1" si="160"/>
        <v/>
      </c>
      <c r="Z285" s="601" t="str">
        <f t="shared" ca="1" si="160"/>
        <v/>
      </c>
      <c r="AA285" s="601" t="str">
        <f t="shared" ca="1" si="160"/>
        <v/>
      </c>
      <c r="AB285" s="601" t="str">
        <f t="shared" ca="1" si="160"/>
        <v/>
      </c>
      <c r="AC285" s="601" t="str">
        <f t="shared" ca="1" si="160"/>
        <v/>
      </c>
      <c r="AD285" s="601" t="str">
        <f t="shared" ca="1" si="160"/>
        <v/>
      </c>
      <c r="AE285" s="601" t="str">
        <f t="shared" ca="1" si="160"/>
        <v/>
      </c>
      <c r="AF285" s="601" t="str">
        <f t="shared" ca="1" si="160"/>
        <v/>
      </c>
      <c r="AG285" s="601" t="str">
        <f t="shared" ca="1" si="160"/>
        <v/>
      </c>
      <c r="AH285" s="601" t="str">
        <f t="shared" ca="1" si="160"/>
        <v/>
      </c>
      <c r="AI285" s="601" t="str">
        <f t="shared" ca="1" si="160"/>
        <v/>
      </c>
      <c r="AJ285" s="601" t="str">
        <f t="shared" ca="1" si="160"/>
        <v/>
      </c>
      <c r="AK285" s="601" t="str">
        <f t="shared" ref="AK285:BB285" ca="1" si="161">IF(OFFSET(A1_原単位2026,42,AK$247+2)="",OFFSET(A1_原単位2026,39,AK$247+2),OFFSET(A1_原単位2026,42,AK$247+2))</f>
        <v/>
      </c>
      <c r="AL285" s="601" t="str">
        <f t="shared" ca="1" si="161"/>
        <v/>
      </c>
      <c r="AM285" s="601" t="str">
        <f t="shared" ca="1" si="161"/>
        <v/>
      </c>
      <c r="AN285" s="601" t="str">
        <f t="shared" ca="1" si="161"/>
        <v/>
      </c>
      <c r="AO285" s="601" t="str">
        <f t="shared" ca="1" si="161"/>
        <v/>
      </c>
      <c r="AP285" s="601" t="str">
        <f t="shared" ca="1" si="161"/>
        <v/>
      </c>
      <c r="AQ285" s="601" t="str">
        <f t="shared" ca="1" si="161"/>
        <v/>
      </c>
      <c r="AR285" s="601" t="str">
        <f t="shared" ca="1" si="161"/>
        <v/>
      </c>
      <c r="AS285" s="601" t="str">
        <f t="shared" ca="1" si="161"/>
        <v/>
      </c>
      <c r="AT285" s="601" t="str">
        <f t="shared" ca="1" si="161"/>
        <v/>
      </c>
      <c r="AU285" s="601" t="str">
        <f t="shared" ca="1" si="161"/>
        <v/>
      </c>
      <c r="AV285" s="601" t="str">
        <f t="shared" ca="1" si="161"/>
        <v/>
      </c>
      <c r="AW285" s="601" t="str">
        <f t="shared" ca="1" si="161"/>
        <v/>
      </c>
      <c r="AX285" s="601" t="str">
        <f t="shared" ca="1" si="161"/>
        <v/>
      </c>
      <c r="AY285" s="601" t="str">
        <f t="shared" ca="1" si="161"/>
        <v/>
      </c>
      <c r="AZ285" s="601" t="str">
        <f t="shared" ca="1" si="161"/>
        <v/>
      </c>
      <c r="BA285" s="601" t="str">
        <f t="shared" ca="1" si="161"/>
        <v/>
      </c>
      <c r="BB285" s="650" t="str">
        <f t="shared" ca="1" si="161"/>
        <v/>
      </c>
      <c r="BC285" s="601" t="str">
        <f>""</f>
        <v/>
      </c>
      <c r="BD285" s="601" t="str">
        <f t="shared" ref="BD285:CI285" ca="1" si="162">IFERROR(OFFSET(貼付け_2027実績,5,E284+1),"")&amp;""</f>
        <v/>
      </c>
      <c r="BE285" s="601" t="str">
        <f t="shared" ca="1" si="162"/>
        <v/>
      </c>
      <c r="BF285" s="601" t="str">
        <f t="shared" ca="1" si="162"/>
        <v/>
      </c>
      <c r="BG285" s="601" t="str">
        <f t="shared" ca="1" si="162"/>
        <v/>
      </c>
      <c r="BH285" s="601" t="str">
        <f t="shared" ca="1" si="162"/>
        <v/>
      </c>
      <c r="BI285" s="601" t="str">
        <f t="shared" ca="1" si="162"/>
        <v/>
      </c>
      <c r="BJ285" s="601" t="str">
        <f t="shared" ca="1" si="162"/>
        <v/>
      </c>
      <c r="BK285" s="601" t="str">
        <f t="shared" ca="1" si="162"/>
        <v/>
      </c>
      <c r="BL285" s="601" t="str">
        <f t="shared" ca="1" si="162"/>
        <v/>
      </c>
      <c r="BM285" s="601" t="str">
        <f t="shared" ca="1" si="162"/>
        <v/>
      </c>
      <c r="BN285" s="601" t="str">
        <f ca="1">IFERROR(OFFSET(貼付け_2027実績,5,O284+1),"")&amp;""</f>
        <v/>
      </c>
      <c r="BO285" s="601" t="str">
        <f t="shared" ca="1" si="162"/>
        <v/>
      </c>
      <c r="BP285" s="601" t="str">
        <f t="shared" ca="1" si="162"/>
        <v/>
      </c>
      <c r="BQ285" s="601" t="str">
        <f t="shared" ca="1" si="162"/>
        <v/>
      </c>
      <c r="BR285" s="601" t="str">
        <f t="shared" ca="1" si="162"/>
        <v/>
      </c>
      <c r="BS285" s="601" t="str">
        <f t="shared" ca="1" si="162"/>
        <v/>
      </c>
      <c r="BT285" s="601" t="str">
        <f t="shared" ca="1" si="162"/>
        <v/>
      </c>
      <c r="BU285" s="601" t="str">
        <f t="shared" ca="1" si="162"/>
        <v/>
      </c>
      <c r="BV285" s="601" t="str">
        <f t="shared" ca="1" si="162"/>
        <v/>
      </c>
      <c r="BW285" s="601" t="str">
        <f t="shared" ca="1" si="162"/>
        <v/>
      </c>
      <c r="BX285" s="601" t="str">
        <f t="shared" ca="1" si="162"/>
        <v/>
      </c>
      <c r="BY285" s="601" t="str">
        <f t="shared" ca="1" si="162"/>
        <v/>
      </c>
      <c r="BZ285" s="601" t="str">
        <f t="shared" ca="1" si="162"/>
        <v/>
      </c>
      <c r="CA285" s="601" t="str">
        <f t="shared" ca="1" si="162"/>
        <v/>
      </c>
      <c r="CB285" s="601" t="str">
        <f t="shared" ca="1" si="162"/>
        <v/>
      </c>
      <c r="CC285" s="601" t="str">
        <f t="shared" ca="1" si="162"/>
        <v/>
      </c>
      <c r="CD285" s="601" t="str">
        <f t="shared" ca="1" si="162"/>
        <v/>
      </c>
      <c r="CE285" s="601" t="str">
        <f t="shared" ca="1" si="162"/>
        <v/>
      </c>
      <c r="CF285" s="601" t="str">
        <f t="shared" ca="1" si="162"/>
        <v/>
      </c>
      <c r="CG285" s="601" t="str">
        <f t="shared" ca="1" si="162"/>
        <v/>
      </c>
      <c r="CH285" s="601" t="str">
        <f t="shared" ca="1" si="162"/>
        <v/>
      </c>
      <c r="CI285" s="601" t="str">
        <f t="shared" ca="1" si="162"/>
        <v/>
      </c>
      <c r="CJ285" s="601" t="str">
        <f t="shared" ref="CJ285:DA285" ca="1" si="163">IFERROR(OFFSET(貼付け_2027実績,5,AK284+1),"")&amp;""</f>
        <v/>
      </c>
      <c r="CK285" s="601" t="str">
        <f t="shared" ca="1" si="163"/>
        <v/>
      </c>
      <c r="CL285" s="601" t="str">
        <f t="shared" ca="1" si="163"/>
        <v/>
      </c>
      <c r="CM285" s="601" t="str">
        <f t="shared" ca="1" si="163"/>
        <v/>
      </c>
      <c r="CN285" s="601" t="str">
        <f t="shared" ca="1" si="163"/>
        <v/>
      </c>
      <c r="CO285" s="601" t="str">
        <f t="shared" ca="1" si="163"/>
        <v/>
      </c>
      <c r="CP285" s="601" t="str">
        <f t="shared" ca="1" si="163"/>
        <v/>
      </c>
      <c r="CQ285" s="601" t="str">
        <f t="shared" ca="1" si="163"/>
        <v/>
      </c>
      <c r="CR285" s="601" t="str">
        <f t="shared" ca="1" si="163"/>
        <v/>
      </c>
      <c r="CS285" s="601" t="str">
        <f t="shared" ca="1" si="163"/>
        <v/>
      </c>
      <c r="CT285" s="601" t="str">
        <f t="shared" ca="1" si="163"/>
        <v/>
      </c>
      <c r="CU285" s="601" t="str">
        <f t="shared" ca="1" si="163"/>
        <v/>
      </c>
      <c r="CV285" s="601" t="str">
        <f t="shared" ca="1" si="163"/>
        <v/>
      </c>
      <c r="CW285" s="601" t="str">
        <f t="shared" ca="1" si="163"/>
        <v/>
      </c>
      <c r="CX285" s="601" t="str">
        <f t="shared" ca="1" si="163"/>
        <v/>
      </c>
      <c r="CY285" s="601" t="str">
        <f t="shared" ca="1" si="163"/>
        <v/>
      </c>
      <c r="CZ285" s="601" t="str">
        <f t="shared" ca="1" si="163"/>
        <v/>
      </c>
      <c r="DA285" s="601" t="str">
        <f t="shared" ca="1" si="163"/>
        <v/>
      </c>
      <c r="IE285" s="603"/>
      <c r="IF285" s="603"/>
      <c r="IG285" s="603"/>
      <c r="IH285" s="603"/>
    </row>
    <row r="286" spans="1:242" s="569" customFormat="1" hidden="1">
      <c r="A286" s="569">
        <v>40</v>
      </c>
      <c r="B286" s="1052"/>
      <c r="C286" s="599" t="str">
        <f>"~"&amp;D284-1&amp;"&amp;"&amp;D284</f>
        <v>~2026&amp;2027</v>
      </c>
      <c r="D286" s="600" t="str">
        <f>""</f>
        <v/>
      </c>
      <c r="E286" s="734" t="str">
        <f t="array" aca="1" ref="E286" ca="1">IFERROR(INDEX($E285:$DA285,MATCH(0,COUNTIF($D286:D286,$E285:$DA285),0)),"")</f>
        <v/>
      </c>
      <c r="F286" s="601" t="str">
        <f t="array" aca="1" ref="F286" ca="1">IFERROR(INDEX($E285:$DA285,MATCH(0,COUNTIF($D286:E286,$E285:$DA285),0)),"")</f>
        <v/>
      </c>
      <c r="G286" s="601" t="str">
        <f t="array" aca="1" ref="G286" ca="1">IFERROR(INDEX($E285:$DA285,MATCH(0,COUNTIF($D286:F286,$E285:$DA285),0)),"")</f>
        <v/>
      </c>
      <c r="H286" s="601" t="str">
        <f t="array" aca="1" ref="H286" ca="1">IFERROR(INDEX($E285:$DA285,MATCH(0,COUNTIF($D286:G286,$E285:$DA285),0)),"")</f>
        <v/>
      </c>
      <c r="I286" s="601" t="str">
        <f t="array" aca="1" ref="I286" ca="1">IFERROR(INDEX($E285:$DA285,MATCH(0,COUNTIF($D286:H286,$E285:$DA285),0)),"")</f>
        <v/>
      </c>
      <c r="J286" s="601" t="str">
        <f t="array" aca="1" ref="J286" ca="1">IFERROR(INDEX($E285:$DA285,MATCH(0,COUNTIF($D286:I286,$E285:$DA285),0)),"")</f>
        <v/>
      </c>
      <c r="K286" s="601" t="str">
        <f t="array" aca="1" ref="K286" ca="1">IFERROR(INDEX($E285:$DA285,MATCH(0,COUNTIF($D286:J286,$E285:$DA285),0)),"")</f>
        <v/>
      </c>
      <c r="L286" s="601" t="str">
        <f t="array" aca="1" ref="L286" ca="1">IFERROR(INDEX($E285:$DA285,MATCH(0,COUNTIF($D286:K286,$E285:$DA285),0)),"")</f>
        <v/>
      </c>
      <c r="M286" s="601" t="str">
        <f t="array" aca="1" ref="M286" ca="1">IFERROR(INDEX($E285:$DA285,MATCH(0,COUNTIF($D286:L286,$E285:$DA285),0)),"")</f>
        <v/>
      </c>
      <c r="N286" s="601" t="str">
        <f t="array" aca="1" ref="N286" ca="1">IFERROR(INDEX($E285:$DA285,MATCH(0,COUNTIF($D286:M286,$E285:$DA285),0)),"")</f>
        <v/>
      </c>
      <c r="O286" s="601" t="str">
        <f t="array" aca="1" ref="O286" ca="1">IFERROR(INDEX($E285:$DA285,MATCH(0,COUNTIF($D286:N286,$E285:$DA285),0)),"")</f>
        <v/>
      </c>
      <c r="P286" s="601" t="str">
        <f t="array" aca="1" ref="P286" ca="1">IFERROR(INDEX($E285:$DA285,MATCH(0,COUNTIF($D286:O286,$E285:$DA285),0)),"")</f>
        <v/>
      </c>
      <c r="Q286" s="601" t="str">
        <f t="array" aca="1" ref="Q286" ca="1">IFERROR(INDEX($E285:$DA285,MATCH(0,COUNTIF($D286:P286,$E285:$DA285),0)),"")</f>
        <v/>
      </c>
      <c r="R286" s="601" t="str">
        <f t="array" aca="1" ref="R286" ca="1">IFERROR(INDEX($E285:$DA285,MATCH(0,COUNTIF($D286:Q286,$E285:$DA285),0)),"")</f>
        <v/>
      </c>
      <c r="S286" s="601" t="str">
        <f t="array" aca="1" ref="S286" ca="1">IFERROR(INDEX($E285:$DA285,MATCH(0,COUNTIF($D286:R286,$E285:$DA285),0)),"")</f>
        <v/>
      </c>
      <c r="T286" s="601" t="str">
        <f t="array" aca="1" ref="T286" ca="1">IFERROR(INDEX($E285:$DA285,MATCH(0,COUNTIF($D286:S286,$E285:$DA285),0)),"")</f>
        <v/>
      </c>
      <c r="U286" s="601" t="str">
        <f t="array" aca="1" ref="U286" ca="1">IFERROR(INDEX($E285:$DA285,MATCH(0,COUNTIF($D286:T286,$E285:$DA285),0)),"")</f>
        <v/>
      </c>
      <c r="V286" s="601" t="str">
        <f t="array" aca="1" ref="V286" ca="1">IFERROR(INDEX($E285:$DA285,MATCH(0,COUNTIF($D286:U286,$E285:$DA285),0)),"")</f>
        <v/>
      </c>
      <c r="W286" s="601" t="str">
        <f t="array" aca="1" ref="W286" ca="1">IFERROR(INDEX($E285:$DA285,MATCH(0,COUNTIF($D286:V286,$E285:$DA285),0)),"")</f>
        <v/>
      </c>
      <c r="X286" s="601" t="str">
        <f t="array" aca="1" ref="X286" ca="1">IFERROR(INDEX($E285:$DA285,MATCH(0,COUNTIF($D286:W286,$E285:$DA285),0)),"")</f>
        <v/>
      </c>
      <c r="Y286" s="601" t="str">
        <f t="array" aca="1" ref="Y286" ca="1">IFERROR(INDEX($E285:$DA285,MATCH(0,COUNTIF($D286:X286,$E285:$DA285),0)),"")</f>
        <v/>
      </c>
      <c r="Z286" s="601" t="str">
        <f t="array" aca="1" ref="Z286" ca="1">IFERROR(INDEX($E285:$DA285,MATCH(0,COUNTIF($D286:Y286,$E285:$DA285),0)),"")</f>
        <v/>
      </c>
      <c r="AA286" s="601" t="str">
        <f t="array" aca="1" ref="AA286" ca="1">IFERROR(INDEX($E285:$DA285,MATCH(0,COUNTIF($D286:Z286,$E285:$DA285),0)),"")</f>
        <v/>
      </c>
      <c r="AB286" s="601" t="str">
        <f t="array" aca="1" ref="AB286" ca="1">IFERROR(INDEX($E285:$DA285,MATCH(0,COUNTIF($D286:AA286,$E285:$DA285),0)),"")</f>
        <v/>
      </c>
      <c r="AC286" s="601" t="str">
        <f t="array" aca="1" ref="AC286" ca="1">IFERROR(INDEX($E285:$DA285,MATCH(0,COUNTIF($D286:AB286,$E285:$DA285),0)),"")</f>
        <v/>
      </c>
      <c r="AD286" s="601" t="str">
        <f t="array" aca="1" ref="AD286" ca="1">IFERROR(INDEX($E285:$DA285,MATCH(0,COUNTIF($D286:AC286,$E285:$DA285),0)),"")</f>
        <v/>
      </c>
      <c r="AE286" s="601" t="str">
        <f t="array" aca="1" ref="AE286" ca="1">IFERROR(INDEX($E285:$DA285,MATCH(0,COUNTIF($D286:AD286,$E285:$DA285),0)),"")</f>
        <v/>
      </c>
      <c r="AF286" s="601" t="str">
        <f t="array" aca="1" ref="AF286" ca="1">IFERROR(INDEX($E285:$DA285,MATCH(0,COUNTIF($D286:AE286,$E285:$DA285),0)),"")</f>
        <v/>
      </c>
      <c r="AG286" s="601" t="str">
        <f t="array" aca="1" ref="AG286" ca="1">IFERROR(INDEX($E285:$DA285,MATCH(0,COUNTIF($D286:AF286,$E285:$DA285),0)),"")</f>
        <v/>
      </c>
      <c r="AH286" s="601" t="str">
        <f t="array" aca="1" ref="AH286" ca="1">IFERROR(INDEX($E285:$DA285,MATCH(0,COUNTIF($D286:AG286,$E285:$DA285),0)),"")</f>
        <v/>
      </c>
      <c r="AI286" s="601" t="str">
        <f t="array" aca="1" ref="AI286" ca="1">IFERROR(INDEX($E285:$DA285,MATCH(0,COUNTIF($D286:AH286,$E285:$DA285),0)),"")</f>
        <v/>
      </c>
      <c r="AJ286" s="601" t="str">
        <f t="array" aca="1" ref="AJ286" ca="1">IFERROR(INDEX($E285:$DA285,MATCH(0,COUNTIF($D286:AI286,$E285:$DA285),0)),"")</f>
        <v/>
      </c>
      <c r="AK286" s="601" t="str">
        <f t="array" aca="1" ref="AK286" ca="1">IFERROR(INDEX($E285:$DA285,MATCH(0,COUNTIF($D286:AJ286,$E285:$DA285),0)),"")</f>
        <v/>
      </c>
      <c r="AL286" s="601" t="str">
        <f t="array" aca="1" ref="AL286" ca="1">IFERROR(INDEX($E285:$DA285,MATCH(0,COUNTIF($D286:AK286,$E285:$DA285),0)),"")</f>
        <v/>
      </c>
      <c r="AM286" s="601" t="str">
        <f t="array" aca="1" ref="AM286" ca="1">IFERROR(INDEX($E285:$DA285,MATCH(0,COUNTIF($D286:AL286,$E285:$DA285),0)),"")</f>
        <v/>
      </c>
      <c r="AN286" s="601" t="str">
        <f t="array" aca="1" ref="AN286" ca="1">IFERROR(INDEX($E285:$DA285,MATCH(0,COUNTIF($D286:AM286,$E285:$DA285),0)),"")</f>
        <v/>
      </c>
      <c r="AO286" s="601" t="str">
        <f t="array" aca="1" ref="AO286" ca="1">IFERROR(INDEX($E285:$DA285,MATCH(0,COUNTIF($D286:AN286,$E285:$DA285),0)),"")</f>
        <v/>
      </c>
      <c r="AP286" s="601" t="str">
        <f t="array" aca="1" ref="AP286" ca="1">IFERROR(INDEX($E285:$DA285,MATCH(0,COUNTIF($D286:AO286,$E285:$DA285),0)),"")</f>
        <v/>
      </c>
      <c r="AQ286" s="601" t="str">
        <f t="array" aca="1" ref="AQ286" ca="1">IFERROR(INDEX($E285:$DA285,MATCH(0,COUNTIF($D286:AP286,$E285:$DA285),0)),"")</f>
        <v/>
      </c>
      <c r="AR286" s="601" t="str">
        <f t="array" aca="1" ref="AR286" ca="1">IFERROR(INDEX($E285:$DA285,MATCH(0,COUNTIF($D286:AQ286,$E285:$DA285),0)),"")</f>
        <v/>
      </c>
      <c r="AS286" s="601" t="str">
        <f t="array" aca="1" ref="AS286" ca="1">IFERROR(INDEX($E285:$DA285,MATCH(0,COUNTIF($D286:AR286,$E285:$DA285),0)),"")</f>
        <v/>
      </c>
      <c r="AT286" s="601" t="str">
        <f t="array" aca="1" ref="AT286" ca="1">IFERROR(INDEX($E285:$DA285,MATCH(0,COUNTIF($D286:AS286,$E285:$DA285),0)),"")</f>
        <v/>
      </c>
      <c r="AU286" s="601" t="str">
        <f t="array" aca="1" ref="AU286" ca="1">IFERROR(INDEX($E285:$DA285,MATCH(0,COUNTIF($D286:AT286,$E285:$DA285),0)),"")</f>
        <v/>
      </c>
      <c r="AV286" s="601" t="str">
        <f t="array" aca="1" ref="AV286" ca="1">IFERROR(INDEX($E285:$DA285,MATCH(0,COUNTIF($D286:AU286,$E285:$DA285),0)),"")</f>
        <v/>
      </c>
      <c r="AW286" s="601" t="str">
        <f t="array" aca="1" ref="AW286" ca="1">IFERROR(INDEX($E285:$DA285,MATCH(0,COUNTIF($D286:AV286,$E285:$DA285),0)),"")</f>
        <v/>
      </c>
      <c r="AX286" s="601" t="str">
        <f t="array" aca="1" ref="AX286" ca="1">IFERROR(INDEX($E285:$DA285,MATCH(0,COUNTIF($D286:AW286,$E285:$DA285),0)),"")</f>
        <v/>
      </c>
      <c r="AY286" s="601" t="str">
        <f t="array" aca="1" ref="AY286" ca="1">IFERROR(INDEX($E285:$DA285,MATCH(0,COUNTIF($D286:AX286,$E285:$DA285),0)),"")</f>
        <v/>
      </c>
      <c r="AZ286" s="601" t="str">
        <f t="array" aca="1" ref="AZ286" ca="1">IFERROR(INDEX($E285:$DA285,MATCH(0,COUNTIF($D286:AY286,$E285:$DA285),0)),"")</f>
        <v/>
      </c>
      <c r="BA286" s="602" t="str">
        <f t="array" aca="1" ref="BA286" ca="1">IFERROR(INDEX($E285:$DA285,MATCH(0,COUNTIF($D286:AZ286,$E285:$DA285),0)),"")</f>
        <v/>
      </c>
      <c r="BB286" s="650" t="str">
        <f t="array" aca="1" ref="BB286" ca="1">IFERROR(INDEX($E285:$DA285,MATCH(0,COUNTIF($D286:BA286,$E285:$DA285),0)),"")</f>
        <v/>
      </c>
      <c r="BC286" s="604"/>
      <c r="BD286" s="604" t="str">
        <f>""</f>
        <v/>
      </c>
      <c r="BE286" s="604"/>
      <c r="BF286" s="604"/>
      <c r="BG286" s="604"/>
      <c r="BH286" s="604"/>
      <c r="BI286" s="604"/>
      <c r="BJ286" s="604"/>
      <c r="BK286" s="604"/>
      <c r="BL286" s="604"/>
      <c r="BM286" s="604"/>
      <c r="BN286" s="604"/>
      <c r="BO286" s="604"/>
      <c r="BP286" s="604"/>
      <c r="BQ286" s="604"/>
      <c r="BR286" s="604"/>
      <c r="BS286" s="604"/>
      <c r="BT286" s="604"/>
      <c r="BU286" s="604"/>
      <c r="BV286" s="604"/>
      <c r="BW286" s="604"/>
      <c r="IE286" s="603"/>
      <c r="IF286" s="603"/>
      <c r="IG286" s="603"/>
      <c r="IH286" s="603"/>
    </row>
    <row r="287" spans="1:242" s="569" customFormat="1" hidden="1">
      <c r="A287" s="569">
        <v>41</v>
      </c>
      <c r="B287" s="1052"/>
      <c r="C287" s="599" t="s">
        <v>674</v>
      </c>
      <c r="D287" s="600" t="str">
        <f>""</f>
        <v/>
      </c>
      <c r="E287" s="734" t="str">
        <f t="shared" ref="E287:AJ287" ca="1" si="164">IF(OFFSET(貼付け_2027実績,2,12)="■",BD285,IFERROR(INDEX($BD285:$DA285,MATCH(E286,$BD285:$DA285,0)),""))</f>
        <v/>
      </c>
      <c r="F287" s="601" t="str">
        <f t="shared" ca="1" si="164"/>
        <v/>
      </c>
      <c r="G287" s="601" t="str">
        <f t="shared" ca="1" si="164"/>
        <v/>
      </c>
      <c r="H287" s="601" t="str">
        <f t="shared" ca="1" si="164"/>
        <v/>
      </c>
      <c r="I287" s="601" t="str">
        <f t="shared" ca="1" si="164"/>
        <v/>
      </c>
      <c r="J287" s="601" t="str">
        <f t="shared" ca="1" si="164"/>
        <v/>
      </c>
      <c r="K287" s="601" t="str">
        <f t="shared" ca="1" si="164"/>
        <v/>
      </c>
      <c r="L287" s="601" t="str">
        <f t="shared" ca="1" si="164"/>
        <v/>
      </c>
      <c r="M287" s="601" t="str">
        <f t="shared" ca="1" si="164"/>
        <v/>
      </c>
      <c r="N287" s="601" t="str">
        <f t="shared" ca="1" si="164"/>
        <v/>
      </c>
      <c r="O287" s="601" t="str">
        <f ca="1">IF(OFFSET(貼付け_2027実績,2,12)="■",BN285,IFERROR(INDEX($BD285:$DA285,MATCH(O286,$BD285:$DA285,0)),""))</f>
        <v/>
      </c>
      <c r="P287" s="601" t="str">
        <f t="shared" ca="1" si="164"/>
        <v/>
      </c>
      <c r="Q287" s="601" t="str">
        <f t="shared" ca="1" si="164"/>
        <v/>
      </c>
      <c r="R287" s="601" t="str">
        <f t="shared" ca="1" si="164"/>
        <v/>
      </c>
      <c r="S287" s="601" t="str">
        <f t="shared" ca="1" si="164"/>
        <v/>
      </c>
      <c r="T287" s="601" t="str">
        <f t="shared" ca="1" si="164"/>
        <v/>
      </c>
      <c r="U287" s="601" t="str">
        <f t="shared" ca="1" si="164"/>
        <v/>
      </c>
      <c r="V287" s="601" t="str">
        <f t="shared" ca="1" si="164"/>
        <v/>
      </c>
      <c r="W287" s="601" t="str">
        <f t="shared" ca="1" si="164"/>
        <v/>
      </c>
      <c r="X287" s="601" t="str">
        <f t="shared" ca="1" si="164"/>
        <v/>
      </c>
      <c r="Y287" s="601" t="str">
        <f t="shared" ca="1" si="164"/>
        <v/>
      </c>
      <c r="Z287" s="601" t="str">
        <f t="shared" ca="1" si="164"/>
        <v/>
      </c>
      <c r="AA287" s="601" t="str">
        <f t="shared" ca="1" si="164"/>
        <v/>
      </c>
      <c r="AB287" s="601" t="str">
        <f t="shared" ca="1" si="164"/>
        <v/>
      </c>
      <c r="AC287" s="601" t="str">
        <f t="shared" ca="1" si="164"/>
        <v/>
      </c>
      <c r="AD287" s="601" t="str">
        <f t="shared" ca="1" si="164"/>
        <v/>
      </c>
      <c r="AE287" s="601" t="str">
        <f t="shared" ca="1" si="164"/>
        <v/>
      </c>
      <c r="AF287" s="601" t="str">
        <f t="shared" ca="1" si="164"/>
        <v/>
      </c>
      <c r="AG287" s="601" t="str">
        <f t="shared" ca="1" si="164"/>
        <v/>
      </c>
      <c r="AH287" s="601" t="str">
        <f t="shared" ca="1" si="164"/>
        <v/>
      </c>
      <c r="AI287" s="601" t="str">
        <f t="shared" ca="1" si="164"/>
        <v/>
      </c>
      <c r="AJ287" s="601" t="str">
        <f t="shared" ca="1" si="164"/>
        <v/>
      </c>
      <c r="AK287" s="601" t="str">
        <f t="shared" ref="AK287:BB287" ca="1" si="165">IF(OFFSET(貼付け_2027実績,2,12)="■",CJ285,IFERROR(INDEX($BD285:$DA285,MATCH(AK286,$BD285:$DA285,0)),""))</f>
        <v/>
      </c>
      <c r="AL287" s="601" t="str">
        <f t="shared" ca="1" si="165"/>
        <v/>
      </c>
      <c r="AM287" s="601" t="str">
        <f t="shared" ca="1" si="165"/>
        <v/>
      </c>
      <c r="AN287" s="601" t="str">
        <f t="shared" ca="1" si="165"/>
        <v/>
      </c>
      <c r="AO287" s="601" t="str">
        <f t="shared" ca="1" si="165"/>
        <v/>
      </c>
      <c r="AP287" s="601" t="str">
        <f t="shared" ca="1" si="165"/>
        <v/>
      </c>
      <c r="AQ287" s="601" t="str">
        <f t="shared" ca="1" si="165"/>
        <v/>
      </c>
      <c r="AR287" s="601" t="str">
        <f t="shared" ca="1" si="165"/>
        <v/>
      </c>
      <c r="AS287" s="601" t="str">
        <f t="shared" ca="1" si="165"/>
        <v/>
      </c>
      <c r="AT287" s="601" t="str">
        <f t="shared" ca="1" si="165"/>
        <v/>
      </c>
      <c r="AU287" s="601" t="str">
        <f t="shared" ca="1" si="165"/>
        <v/>
      </c>
      <c r="AV287" s="601" t="str">
        <f t="shared" ca="1" si="165"/>
        <v/>
      </c>
      <c r="AW287" s="601" t="str">
        <f t="shared" ca="1" si="165"/>
        <v/>
      </c>
      <c r="AX287" s="601" t="str">
        <f t="shared" ca="1" si="165"/>
        <v/>
      </c>
      <c r="AY287" s="601" t="str">
        <f t="shared" ca="1" si="165"/>
        <v/>
      </c>
      <c r="AZ287" s="601" t="str">
        <f t="shared" ca="1" si="165"/>
        <v/>
      </c>
      <c r="BA287" s="602" t="str">
        <f t="shared" ca="1" si="165"/>
        <v/>
      </c>
      <c r="BB287" s="650" t="str">
        <f t="shared" ca="1" si="165"/>
        <v/>
      </c>
      <c r="BD287" s="569" t="str">
        <f>""</f>
        <v/>
      </c>
      <c r="IE287" s="603"/>
      <c r="IF287" s="603"/>
      <c r="IG287" s="603"/>
      <c r="IH287" s="603"/>
    </row>
    <row r="288" spans="1:242" s="569" customFormat="1" hidden="1">
      <c r="A288" s="569">
        <v>42</v>
      </c>
      <c r="B288" s="1052"/>
      <c r="C288" s="605" t="s">
        <v>675</v>
      </c>
      <c r="D288" s="606">
        <v>14</v>
      </c>
      <c r="E288" s="735" t="str">
        <f t="shared" ref="E288:AJ288" ca="1" si="166">OFFSET(A1_名称2027,E$247+2,$D288)&amp;""</f>
        <v/>
      </c>
      <c r="F288" s="607" t="str">
        <f t="shared" ca="1" si="166"/>
        <v/>
      </c>
      <c r="G288" s="607" t="str">
        <f t="shared" ca="1" si="166"/>
        <v/>
      </c>
      <c r="H288" s="607" t="str">
        <f t="shared" ca="1" si="166"/>
        <v/>
      </c>
      <c r="I288" s="607" t="str">
        <f t="shared" ca="1" si="166"/>
        <v/>
      </c>
      <c r="J288" s="607" t="str">
        <f t="shared" ca="1" si="166"/>
        <v/>
      </c>
      <c r="K288" s="607" t="str">
        <f t="shared" ca="1" si="166"/>
        <v/>
      </c>
      <c r="L288" s="607" t="str">
        <f t="shared" ca="1" si="166"/>
        <v/>
      </c>
      <c r="M288" s="607" t="str">
        <f t="shared" ca="1" si="166"/>
        <v/>
      </c>
      <c r="N288" s="607" t="str">
        <f t="shared" ca="1" si="166"/>
        <v/>
      </c>
      <c r="O288" s="607" t="str">
        <f ca="1">OFFSET(A1_名称2027,O$247+2,$D288)&amp;""</f>
        <v/>
      </c>
      <c r="P288" s="607" t="str">
        <f t="shared" ca="1" si="166"/>
        <v/>
      </c>
      <c r="Q288" s="607" t="str">
        <f t="shared" ca="1" si="166"/>
        <v/>
      </c>
      <c r="R288" s="607" t="str">
        <f t="shared" ca="1" si="166"/>
        <v/>
      </c>
      <c r="S288" s="607" t="str">
        <f t="shared" ca="1" si="166"/>
        <v/>
      </c>
      <c r="T288" s="607" t="str">
        <f t="shared" ca="1" si="166"/>
        <v/>
      </c>
      <c r="U288" s="607" t="str">
        <f t="shared" ca="1" si="166"/>
        <v/>
      </c>
      <c r="V288" s="607" t="str">
        <f t="shared" ca="1" si="166"/>
        <v/>
      </c>
      <c r="W288" s="607" t="str">
        <f t="shared" ca="1" si="166"/>
        <v/>
      </c>
      <c r="X288" s="607" t="str">
        <f t="shared" ca="1" si="166"/>
        <v/>
      </c>
      <c r="Y288" s="607" t="str">
        <f t="shared" ca="1" si="166"/>
        <v/>
      </c>
      <c r="Z288" s="607" t="str">
        <f t="shared" ca="1" si="166"/>
        <v/>
      </c>
      <c r="AA288" s="607" t="str">
        <f t="shared" ca="1" si="166"/>
        <v/>
      </c>
      <c r="AB288" s="607" t="str">
        <f t="shared" ca="1" si="166"/>
        <v/>
      </c>
      <c r="AC288" s="607" t="str">
        <f t="shared" ca="1" si="166"/>
        <v/>
      </c>
      <c r="AD288" s="607" t="str">
        <f t="shared" ca="1" si="166"/>
        <v/>
      </c>
      <c r="AE288" s="607" t="str">
        <f t="shared" ca="1" si="166"/>
        <v/>
      </c>
      <c r="AF288" s="607" t="str">
        <f t="shared" ca="1" si="166"/>
        <v/>
      </c>
      <c r="AG288" s="607" t="str">
        <f t="shared" ca="1" si="166"/>
        <v/>
      </c>
      <c r="AH288" s="607" t="str">
        <f t="shared" ca="1" si="166"/>
        <v/>
      </c>
      <c r="AI288" s="607" t="str">
        <f t="shared" ca="1" si="166"/>
        <v/>
      </c>
      <c r="AJ288" s="607" t="str">
        <f t="shared" ca="1" si="166"/>
        <v/>
      </c>
      <c r="AK288" s="607" t="str">
        <f t="shared" ref="AK288:BB288" ca="1" si="167">OFFSET(A1_名称2027,AK$247+2,$D288)&amp;""</f>
        <v/>
      </c>
      <c r="AL288" s="607" t="str">
        <f t="shared" ca="1" si="167"/>
        <v/>
      </c>
      <c r="AM288" s="607" t="str">
        <f t="shared" ca="1" si="167"/>
        <v/>
      </c>
      <c r="AN288" s="607" t="str">
        <f t="shared" ca="1" si="167"/>
        <v/>
      </c>
      <c r="AO288" s="607" t="str">
        <f t="shared" ca="1" si="167"/>
        <v/>
      </c>
      <c r="AP288" s="607" t="str">
        <f t="shared" ca="1" si="167"/>
        <v/>
      </c>
      <c r="AQ288" s="607" t="str">
        <f t="shared" ca="1" si="167"/>
        <v/>
      </c>
      <c r="AR288" s="607" t="str">
        <f t="shared" ca="1" si="167"/>
        <v/>
      </c>
      <c r="AS288" s="607" t="str">
        <f t="shared" ca="1" si="167"/>
        <v/>
      </c>
      <c r="AT288" s="607" t="str">
        <f t="shared" ca="1" si="167"/>
        <v/>
      </c>
      <c r="AU288" s="607" t="str">
        <f t="shared" ca="1" si="167"/>
        <v/>
      </c>
      <c r="AV288" s="607" t="str">
        <f t="shared" ca="1" si="167"/>
        <v/>
      </c>
      <c r="AW288" s="607" t="str">
        <f t="shared" ca="1" si="167"/>
        <v/>
      </c>
      <c r="AX288" s="607" t="str">
        <f t="shared" ca="1" si="167"/>
        <v/>
      </c>
      <c r="AY288" s="607" t="str">
        <f t="shared" ca="1" si="167"/>
        <v/>
      </c>
      <c r="AZ288" s="607" t="str">
        <f t="shared" ca="1" si="167"/>
        <v/>
      </c>
      <c r="BA288" s="608" t="str">
        <f t="shared" ca="1" si="167"/>
        <v/>
      </c>
      <c r="BB288" s="651" t="str">
        <f t="shared" ca="1" si="167"/>
        <v/>
      </c>
      <c r="IE288" s="603"/>
      <c r="IF288" s="603"/>
      <c r="IG288" s="603"/>
      <c r="IH288" s="603"/>
    </row>
    <row r="289" spans="1:242" s="164" customFormat="1" ht="19.8" hidden="1">
      <c r="A289" s="569">
        <v>43</v>
      </c>
      <c r="B289" s="1052"/>
      <c r="C289" s="599" t="s">
        <v>676</v>
      </c>
      <c r="D289" s="600"/>
      <c r="E289" s="734" t="str">
        <f ca="1">IF(E288="","",IFERROR(INDEX($E284:$BB284,MATCH(E288,$BD285:$DA285,0)),""))</f>
        <v/>
      </c>
      <c r="F289" s="601" t="str">
        <f t="shared" ref="F289:BB289" ca="1" si="168">IF(F288="","",IFERROR(INDEX($E284:$BB284,MATCH(F288,$BD285:$DA285,0)),""))</f>
        <v/>
      </c>
      <c r="G289" s="601" t="str">
        <f t="shared" ca="1" si="168"/>
        <v/>
      </c>
      <c r="H289" s="601" t="str">
        <f t="shared" ca="1" si="168"/>
        <v/>
      </c>
      <c r="I289" s="601" t="str">
        <f t="shared" ca="1" si="168"/>
        <v/>
      </c>
      <c r="J289" s="601" t="str">
        <f t="shared" ca="1" si="168"/>
        <v/>
      </c>
      <c r="K289" s="601" t="str">
        <f t="shared" ca="1" si="168"/>
        <v/>
      </c>
      <c r="L289" s="601" t="str">
        <f t="shared" ca="1" si="168"/>
        <v/>
      </c>
      <c r="M289" s="601" t="str">
        <f t="shared" ca="1" si="168"/>
        <v/>
      </c>
      <c r="N289" s="601" t="str">
        <f t="shared" ca="1" si="168"/>
        <v/>
      </c>
      <c r="O289" s="601" t="str">
        <f ca="1">IF(O288="","",IFERROR(INDEX($E284:$BB284,MATCH(O288,$BD285:$DA285,0)),""))</f>
        <v/>
      </c>
      <c r="P289" s="601" t="str">
        <f t="shared" ca="1" si="168"/>
        <v/>
      </c>
      <c r="Q289" s="601" t="str">
        <f t="shared" ca="1" si="168"/>
        <v/>
      </c>
      <c r="R289" s="601" t="str">
        <f t="shared" ca="1" si="168"/>
        <v/>
      </c>
      <c r="S289" s="601" t="str">
        <f t="shared" ca="1" si="168"/>
        <v/>
      </c>
      <c r="T289" s="601" t="str">
        <f t="shared" ca="1" si="168"/>
        <v/>
      </c>
      <c r="U289" s="601" t="str">
        <f t="shared" ca="1" si="168"/>
        <v/>
      </c>
      <c r="V289" s="601" t="str">
        <f t="shared" ca="1" si="168"/>
        <v/>
      </c>
      <c r="W289" s="601" t="str">
        <f t="shared" ca="1" si="168"/>
        <v/>
      </c>
      <c r="X289" s="601" t="str">
        <f t="shared" ca="1" si="168"/>
        <v/>
      </c>
      <c r="Y289" s="601" t="str">
        <f t="shared" ca="1" si="168"/>
        <v/>
      </c>
      <c r="Z289" s="601" t="str">
        <f t="shared" ca="1" si="168"/>
        <v/>
      </c>
      <c r="AA289" s="601" t="str">
        <f t="shared" ca="1" si="168"/>
        <v/>
      </c>
      <c r="AB289" s="601" t="str">
        <f t="shared" ca="1" si="168"/>
        <v/>
      </c>
      <c r="AC289" s="601" t="str">
        <f t="shared" ca="1" si="168"/>
        <v/>
      </c>
      <c r="AD289" s="601" t="str">
        <f t="shared" ca="1" si="168"/>
        <v/>
      </c>
      <c r="AE289" s="601" t="str">
        <f t="shared" ca="1" si="168"/>
        <v/>
      </c>
      <c r="AF289" s="601" t="str">
        <f t="shared" ca="1" si="168"/>
        <v/>
      </c>
      <c r="AG289" s="601" t="str">
        <f t="shared" ca="1" si="168"/>
        <v/>
      </c>
      <c r="AH289" s="601" t="str">
        <f t="shared" ca="1" si="168"/>
        <v/>
      </c>
      <c r="AI289" s="601" t="str">
        <f t="shared" ca="1" si="168"/>
        <v/>
      </c>
      <c r="AJ289" s="601" t="str">
        <f t="shared" ca="1" si="168"/>
        <v/>
      </c>
      <c r="AK289" s="601" t="str">
        <f t="shared" ca="1" si="168"/>
        <v/>
      </c>
      <c r="AL289" s="601" t="str">
        <f t="shared" ca="1" si="168"/>
        <v/>
      </c>
      <c r="AM289" s="601" t="str">
        <f t="shared" ca="1" si="168"/>
        <v/>
      </c>
      <c r="AN289" s="601" t="str">
        <f t="shared" ca="1" si="168"/>
        <v/>
      </c>
      <c r="AO289" s="601" t="str">
        <f t="shared" ca="1" si="168"/>
        <v/>
      </c>
      <c r="AP289" s="601" t="str">
        <f t="shared" ca="1" si="168"/>
        <v/>
      </c>
      <c r="AQ289" s="601" t="str">
        <f t="shared" ca="1" si="168"/>
        <v/>
      </c>
      <c r="AR289" s="601" t="str">
        <f t="shared" ca="1" si="168"/>
        <v/>
      </c>
      <c r="AS289" s="601" t="str">
        <f t="shared" ca="1" si="168"/>
        <v/>
      </c>
      <c r="AT289" s="601" t="str">
        <f t="shared" ca="1" si="168"/>
        <v/>
      </c>
      <c r="AU289" s="601" t="str">
        <f t="shared" ca="1" si="168"/>
        <v/>
      </c>
      <c r="AV289" s="601" t="str">
        <f t="shared" ca="1" si="168"/>
        <v/>
      </c>
      <c r="AW289" s="601" t="str">
        <f t="shared" ca="1" si="168"/>
        <v/>
      </c>
      <c r="AX289" s="601" t="str">
        <f t="shared" ca="1" si="168"/>
        <v/>
      </c>
      <c r="AY289" s="601" t="str">
        <f t="shared" ca="1" si="168"/>
        <v/>
      </c>
      <c r="AZ289" s="601" t="str">
        <f t="shared" ca="1" si="168"/>
        <v/>
      </c>
      <c r="BA289" s="602" t="str">
        <f t="shared" ca="1" si="168"/>
        <v/>
      </c>
      <c r="BB289" s="650" t="str">
        <f t="shared" ca="1" si="168"/>
        <v/>
      </c>
      <c r="BC289" s="569"/>
      <c r="BD289" s="569"/>
      <c r="BE289" s="569"/>
      <c r="BF289" s="569"/>
      <c r="BG289" s="569"/>
      <c r="BH289" s="569"/>
      <c r="BI289" s="569"/>
      <c r="BJ289" s="569"/>
      <c r="BK289" s="569"/>
      <c r="BL289" s="569"/>
      <c r="BM289" s="569"/>
      <c r="BN289" s="569"/>
      <c r="BO289" s="569"/>
      <c r="BP289" s="569"/>
      <c r="BQ289" s="569"/>
      <c r="BR289" s="569"/>
      <c r="BS289" s="569"/>
      <c r="BT289" s="569"/>
      <c r="BU289" s="569"/>
      <c r="BV289" s="569"/>
      <c r="BW289" s="569"/>
      <c r="BX289" s="569"/>
      <c r="BY289" s="569"/>
      <c r="BZ289" s="569"/>
      <c r="CA289" s="569"/>
      <c r="CB289" s="569"/>
      <c r="CC289" s="569"/>
      <c r="CD289" s="569"/>
      <c r="CE289" s="569"/>
      <c r="CF289" s="569"/>
      <c r="CG289" s="569"/>
      <c r="CH289" s="569"/>
      <c r="CI289" s="569"/>
      <c r="CJ289" s="569"/>
      <c r="CK289" s="569"/>
      <c r="CL289" s="569"/>
      <c r="CM289" s="569"/>
      <c r="CN289" s="569"/>
      <c r="CO289" s="569"/>
      <c r="CP289" s="569"/>
      <c r="CQ289" s="569"/>
      <c r="CR289" s="569"/>
      <c r="CS289" s="569"/>
      <c r="CT289" s="569"/>
      <c r="CU289" s="569"/>
      <c r="CV289" s="569"/>
      <c r="CW289" s="569"/>
      <c r="CX289" s="569"/>
      <c r="CY289" s="569"/>
      <c r="CZ289" s="569"/>
      <c r="DA289" s="569"/>
      <c r="DB289" s="569"/>
      <c r="DC289" s="569"/>
      <c r="DD289" s="569"/>
      <c r="DE289" s="569"/>
      <c r="DF289" s="569"/>
      <c r="DG289" s="569"/>
      <c r="DH289" s="569"/>
      <c r="DI289" s="569"/>
      <c r="DJ289" s="569"/>
      <c r="DK289" s="569"/>
      <c r="DL289" s="569"/>
      <c r="DM289" s="569"/>
      <c r="DN289" s="569"/>
      <c r="DO289" s="569"/>
      <c r="DP289" s="569"/>
      <c r="DQ289" s="569"/>
      <c r="DR289" s="569"/>
      <c r="DS289" s="569"/>
      <c r="DT289" s="569"/>
      <c r="DU289" s="569"/>
      <c r="DV289" s="569"/>
      <c r="DW289" s="569"/>
      <c r="DX289" s="569"/>
      <c r="DY289" s="569"/>
      <c r="DZ289" s="569"/>
      <c r="EA289" s="569"/>
      <c r="EB289" s="569"/>
      <c r="EC289" s="569"/>
      <c r="ED289" s="569"/>
      <c r="EE289" s="569"/>
      <c r="EF289" s="569"/>
      <c r="EG289" s="569"/>
      <c r="EH289" s="569"/>
      <c r="EI289" s="569"/>
      <c r="EJ289" s="569"/>
      <c r="EK289" s="569"/>
      <c r="EL289" s="569"/>
      <c r="EM289" s="569"/>
      <c r="EN289" s="569"/>
      <c r="EO289" s="569"/>
      <c r="EP289" s="569"/>
      <c r="EQ289" s="569"/>
      <c r="ER289" s="569"/>
      <c r="ES289" s="569"/>
      <c r="ET289" s="569"/>
      <c r="EU289" s="569"/>
      <c r="EV289" s="569"/>
      <c r="EW289" s="569"/>
      <c r="EX289" s="569"/>
      <c r="EY289" s="569"/>
      <c r="EZ289" s="569"/>
      <c r="FA289" s="569"/>
      <c r="FB289" s="569"/>
      <c r="FC289" s="569"/>
      <c r="FD289" s="569"/>
      <c r="FE289" s="569"/>
      <c r="FF289" s="569"/>
      <c r="FG289" s="569"/>
      <c r="FH289" s="569"/>
      <c r="FI289" s="569"/>
      <c r="FJ289" s="569"/>
      <c r="FK289" s="569"/>
      <c r="FL289" s="569"/>
      <c r="FM289" s="569"/>
      <c r="FN289" s="569"/>
      <c r="FO289" s="569"/>
      <c r="FP289" s="569"/>
      <c r="FQ289" s="569"/>
      <c r="FR289" s="569"/>
      <c r="FS289" s="569"/>
      <c r="FT289" s="569"/>
      <c r="FU289" s="569"/>
      <c r="FV289" s="569"/>
      <c r="FW289" s="569"/>
      <c r="FX289" s="569"/>
      <c r="FY289" s="569"/>
      <c r="FZ289" s="569"/>
      <c r="GA289" s="569"/>
      <c r="GB289" s="569"/>
      <c r="GC289" s="569"/>
      <c r="GD289" s="569"/>
      <c r="GE289" s="569"/>
      <c r="GF289" s="569"/>
      <c r="GG289" s="569"/>
      <c r="GH289" s="569"/>
      <c r="GI289" s="569"/>
      <c r="GJ289" s="569"/>
      <c r="GK289" s="569"/>
      <c r="GL289" s="569"/>
      <c r="GM289" s="569"/>
      <c r="GN289" s="569"/>
      <c r="GO289" s="569"/>
      <c r="GP289" s="569"/>
      <c r="GQ289" s="569"/>
      <c r="GR289" s="569"/>
      <c r="GS289" s="569"/>
      <c r="GT289" s="569"/>
      <c r="GU289" s="569"/>
      <c r="GV289" s="569"/>
      <c r="GW289" s="569"/>
      <c r="GX289" s="569"/>
      <c r="GY289" s="569"/>
      <c r="GZ289" s="569"/>
      <c r="HA289" s="569"/>
      <c r="HB289" s="569"/>
      <c r="HC289" s="569"/>
      <c r="HD289" s="569"/>
      <c r="HE289" s="569"/>
      <c r="HF289" s="569"/>
      <c r="HG289" s="569"/>
      <c r="HH289" s="569"/>
      <c r="HI289" s="569"/>
      <c r="HJ289" s="569"/>
      <c r="HK289" s="569"/>
      <c r="IE289" s="579"/>
      <c r="IF289" s="579"/>
      <c r="IG289" s="579"/>
      <c r="IH289" s="579"/>
    </row>
    <row r="290" spans="1:242" s="164" customFormat="1" ht="20.100000000000001" hidden="1" customHeight="1">
      <c r="A290" s="569">
        <v>44</v>
      </c>
      <c r="B290" s="1052"/>
      <c r="C290" s="609" t="s">
        <v>677</v>
      </c>
      <c r="D290" s="610">
        <v>6</v>
      </c>
      <c r="E290" s="736" t="str">
        <f t="shared" ref="E290:AJ290" ca="1" si="169">IFERROR(OFFSET(貼付け_2027実績,$D290,E289+1)&amp;"","")</f>
        <v/>
      </c>
      <c r="F290" s="611" t="str">
        <f t="shared" ca="1" si="169"/>
        <v/>
      </c>
      <c r="G290" s="611" t="str">
        <f t="shared" ca="1" si="169"/>
        <v/>
      </c>
      <c r="H290" s="611" t="str">
        <f t="shared" ca="1" si="169"/>
        <v/>
      </c>
      <c r="I290" s="611" t="str">
        <f t="shared" ca="1" si="169"/>
        <v/>
      </c>
      <c r="J290" s="611" t="str">
        <f t="shared" ca="1" si="169"/>
        <v/>
      </c>
      <c r="K290" s="611" t="str">
        <f t="shared" ca="1" si="169"/>
        <v/>
      </c>
      <c r="L290" s="611" t="str">
        <f t="shared" ca="1" si="169"/>
        <v/>
      </c>
      <c r="M290" s="611" t="str">
        <f t="shared" ca="1" si="169"/>
        <v/>
      </c>
      <c r="N290" s="611" t="str">
        <f t="shared" ca="1" si="169"/>
        <v/>
      </c>
      <c r="O290" s="611" t="str">
        <f ca="1">IFERROR(OFFSET(貼付け_2027実績,$D290,O289+1)&amp;"","")</f>
        <v/>
      </c>
      <c r="P290" s="611" t="str">
        <f t="shared" ca="1" si="169"/>
        <v/>
      </c>
      <c r="Q290" s="611" t="str">
        <f t="shared" ca="1" si="169"/>
        <v/>
      </c>
      <c r="R290" s="611" t="str">
        <f t="shared" ca="1" si="169"/>
        <v/>
      </c>
      <c r="S290" s="611" t="str">
        <f t="shared" ca="1" si="169"/>
        <v/>
      </c>
      <c r="T290" s="611" t="str">
        <f t="shared" ca="1" si="169"/>
        <v/>
      </c>
      <c r="U290" s="611" t="str">
        <f t="shared" ca="1" si="169"/>
        <v/>
      </c>
      <c r="V290" s="611" t="str">
        <f t="shared" ca="1" si="169"/>
        <v/>
      </c>
      <c r="W290" s="611" t="str">
        <f t="shared" ca="1" si="169"/>
        <v/>
      </c>
      <c r="X290" s="611" t="str">
        <f t="shared" ca="1" si="169"/>
        <v/>
      </c>
      <c r="Y290" s="611" t="str">
        <f t="shared" ca="1" si="169"/>
        <v/>
      </c>
      <c r="Z290" s="611" t="str">
        <f t="shared" ca="1" si="169"/>
        <v/>
      </c>
      <c r="AA290" s="611" t="str">
        <f t="shared" ca="1" si="169"/>
        <v/>
      </c>
      <c r="AB290" s="611" t="str">
        <f t="shared" ca="1" si="169"/>
        <v/>
      </c>
      <c r="AC290" s="611" t="str">
        <f t="shared" ca="1" si="169"/>
        <v/>
      </c>
      <c r="AD290" s="611" t="str">
        <f t="shared" ca="1" si="169"/>
        <v/>
      </c>
      <c r="AE290" s="611" t="str">
        <f t="shared" ca="1" si="169"/>
        <v/>
      </c>
      <c r="AF290" s="611" t="str">
        <f t="shared" ca="1" si="169"/>
        <v/>
      </c>
      <c r="AG290" s="611" t="str">
        <f t="shared" ca="1" si="169"/>
        <v/>
      </c>
      <c r="AH290" s="611" t="str">
        <f t="shared" ca="1" si="169"/>
        <v/>
      </c>
      <c r="AI290" s="611" t="str">
        <f t="shared" ca="1" si="169"/>
        <v/>
      </c>
      <c r="AJ290" s="611" t="str">
        <f t="shared" ca="1" si="169"/>
        <v/>
      </c>
      <c r="AK290" s="611" t="str">
        <f t="shared" ref="AK290:BB290" ca="1" si="170">IFERROR(OFFSET(貼付け_2027実績,$D290,AK289+1)&amp;"","")</f>
        <v/>
      </c>
      <c r="AL290" s="611" t="str">
        <f t="shared" ca="1" si="170"/>
        <v/>
      </c>
      <c r="AM290" s="611" t="str">
        <f t="shared" ca="1" si="170"/>
        <v/>
      </c>
      <c r="AN290" s="611" t="str">
        <f t="shared" ca="1" si="170"/>
        <v/>
      </c>
      <c r="AO290" s="611" t="str">
        <f t="shared" ca="1" si="170"/>
        <v/>
      </c>
      <c r="AP290" s="611" t="str">
        <f t="shared" ca="1" si="170"/>
        <v/>
      </c>
      <c r="AQ290" s="611" t="str">
        <f t="shared" ca="1" si="170"/>
        <v/>
      </c>
      <c r="AR290" s="611" t="str">
        <f t="shared" ca="1" si="170"/>
        <v/>
      </c>
      <c r="AS290" s="611" t="str">
        <f t="shared" ca="1" si="170"/>
        <v/>
      </c>
      <c r="AT290" s="611" t="str">
        <f t="shared" ca="1" si="170"/>
        <v/>
      </c>
      <c r="AU290" s="611" t="str">
        <f t="shared" ca="1" si="170"/>
        <v/>
      </c>
      <c r="AV290" s="611" t="str">
        <f t="shared" ca="1" si="170"/>
        <v/>
      </c>
      <c r="AW290" s="611" t="str">
        <f t="shared" ca="1" si="170"/>
        <v/>
      </c>
      <c r="AX290" s="611" t="str">
        <f t="shared" ca="1" si="170"/>
        <v/>
      </c>
      <c r="AY290" s="611" t="str">
        <f t="shared" ca="1" si="170"/>
        <v/>
      </c>
      <c r="AZ290" s="611" t="str">
        <f t="shared" ca="1" si="170"/>
        <v/>
      </c>
      <c r="BA290" s="612" t="str">
        <f t="shared" ca="1" si="170"/>
        <v/>
      </c>
      <c r="BB290" s="652" t="str">
        <f t="shared" ca="1" si="170"/>
        <v/>
      </c>
      <c r="BC290" s="613"/>
      <c r="IE290" s="579"/>
      <c r="IF290" s="579"/>
      <c r="IG290" s="579"/>
      <c r="IH290" s="579"/>
    </row>
    <row r="291" spans="1:242" s="164" customFormat="1" ht="20.100000000000001" hidden="1" customHeight="1">
      <c r="A291" s="569">
        <v>45</v>
      </c>
      <c r="B291" s="1052"/>
      <c r="C291" s="614" t="s">
        <v>678</v>
      </c>
      <c r="D291" s="615">
        <v>99</v>
      </c>
      <c r="E291" s="737" t="str">
        <f t="shared" ref="E291:AJ291" ca="1" si="171">IFERROR(OFFSET(貼付け_2027実績,$D291,E289),"")&amp;""</f>
        <v/>
      </c>
      <c r="F291" s="616" t="str">
        <f t="shared" ca="1" si="171"/>
        <v/>
      </c>
      <c r="G291" s="616" t="str">
        <f t="shared" ca="1" si="171"/>
        <v/>
      </c>
      <c r="H291" s="616" t="str">
        <f t="shared" ca="1" si="171"/>
        <v/>
      </c>
      <c r="I291" s="616" t="str">
        <f t="shared" ca="1" si="171"/>
        <v/>
      </c>
      <c r="J291" s="616" t="str">
        <f t="shared" ca="1" si="171"/>
        <v/>
      </c>
      <c r="K291" s="616" t="str">
        <f t="shared" ca="1" si="171"/>
        <v/>
      </c>
      <c r="L291" s="616" t="str">
        <f t="shared" ca="1" si="171"/>
        <v/>
      </c>
      <c r="M291" s="616" t="str">
        <f t="shared" ca="1" si="171"/>
        <v/>
      </c>
      <c r="N291" s="616" t="str">
        <f t="shared" ca="1" si="171"/>
        <v/>
      </c>
      <c r="O291" s="616" t="str">
        <f ca="1">IFERROR(OFFSET(貼付け_2027実績,$D291,O289),"")&amp;""</f>
        <v/>
      </c>
      <c r="P291" s="616" t="str">
        <f t="shared" ca="1" si="171"/>
        <v/>
      </c>
      <c r="Q291" s="616" t="str">
        <f t="shared" ca="1" si="171"/>
        <v/>
      </c>
      <c r="R291" s="616" t="str">
        <f t="shared" ca="1" si="171"/>
        <v/>
      </c>
      <c r="S291" s="616" t="str">
        <f t="shared" ca="1" si="171"/>
        <v/>
      </c>
      <c r="T291" s="616" t="str">
        <f t="shared" ca="1" si="171"/>
        <v/>
      </c>
      <c r="U291" s="616" t="str">
        <f t="shared" ca="1" si="171"/>
        <v/>
      </c>
      <c r="V291" s="616" t="str">
        <f t="shared" ca="1" si="171"/>
        <v/>
      </c>
      <c r="W291" s="616" t="str">
        <f t="shared" ca="1" si="171"/>
        <v/>
      </c>
      <c r="X291" s="616" t="str">
        <f t="shared" ca="1" si="171"/>
        <v/>
      </c>
      <c r="Y291" s="616" t="str">
        <f t="shared" ca="1" si="171"/>
        <v/>
      </c>
      <c r="Z291" s="616" t="str">
        <f t="shared" ca="1" si="171"/>
        <v/>
      </c>
      <c r="AA291" s="616" t="str">
        <f t="shared" ca="1" si="171"/>
        <v/>
      </c>
      <c r="AB291" s="616" t="str">
        <f t="shared" ca="1" si="171"/>
        <v/>
      </c>
      <c r="AC291" s="616" t="str">
        <f t="shared" ca="1" si="171"/>
        <v/>
      </c>
      <c r="AD291" s="616" t="str">
        <f t="shared" ca="1" si="171"/>
        <v/>
      </c>
      <c r="AE291" s="616" t="str">
        <f t="shared" ca="1" si="171"/>
        <v/>
      </c>
      <c r="AF291" s="616" t="str">
        <f t="shared" ca="1" si="171"/>
        <v/>
      </c>
      <c r="AG291" s="616" t="str">
        <f t="shared" ca="1" si="171"/>
        <v/>
      </c>
      <c r="AH291" s="616" t="str">
        <f t="shared" ca="1" si="171"/>
        <v/>
      </c>
      <c r="AI291" s="616" t="str">
        <f t="shared" ca="1" si="171"/>
        <v/>
      </c>
      <c r="AJ291" s="616" t="str">
        <f t="shared" ca="1" si="171"/>
        <v/>
      </c>
      <c r="AK291" s="616" t="str">
        <f t="shared" ref="AK291:BB291" ca="1" si="172">IFERROR(OFFSET(貼付け_2027実績,$D291,AK289),"")&amp;""</f>
        <v/>
      </c>
      <c r="AL291" s="616" t="str">
        <f t="shared" ca="1" si="172"/>
        <v/>
      </c>
      <c r="AM291" s="616" t="str">
        <f t="shared" ca="1" si="172"/>
        <v/>
      </c>
      <c r="AN291" s="616" t="str">
        <f t="shared" ca="1" si="172"/>
        <v/>
      </c>
      <c r="AO291" s="616" t="str">
        <f t="shared" ca="1" si="172"/>
        <v/>
      </c>
      <c r="AP291" s="616" t="str">
        <f t="shared" ca="1" si="172"/>
        <v/>
      </c>
      <c r="AQ291" s="616" t="str">
        <f t="shared" ca="1" si="172"/>
        <v/>
      </c>
      <c r="AR291" s="616" t="str">
        <f t="shared" ca="1" si="172"/>
        <v/>
      </c>
      <c r="AS291" s="616" t="str">
        <f t="shared" ca="1" si="172"/>
        <v/>
      </c>
      <c r="AT291" s="616" t="str">
        <f t="shared" ca="1" si="172"/>
        <v/>
      </c>
      <c r="AU291" s="616" t="str">
        <f t="shared" ca="1" si="172"/>
        <v/>
      </c>
      <c r="AV291" s="616" t="str">
        <f t="shared" ca="1" si="172"/>
        <v/>
      </c>
      <c r="AW291" s="616" t="str">
        <f t="shared" ca="1" si="172"/>
        <v/>
      </c>
      <c r="AX291" s="616" t="str">
        <f t="shared" ca="1" si="172"/>
        <v/>
      </c>
      <c r="AY291" s="616" t="str">
        <f t="shared" ca="1" si="172"/>
        <v/>
      </c>
      <c r="AZ291" s="616" t="str">
        <f t="shared" ca="1" si="172"/>
        <v/>
      </c>
      <c r="BA291" s="616" t="str">
        <f t="shared" ca="1" si="172"/>
        <v/>
      </c>
      <c r="BB291" s="653" t="str">
        <f t="shared" ca="1" si="172"/>
        <v/>
      </c>
      <c r="IE291" s="579"/>
      <c r="IF291" s="579"/>
      <c r="IG291" s="579"/>
      <c r="IH291" s="579"/>
    </row>
    <row r="292" spans="1:242" s="164" customFormat="1" ht="20.100000000000001" hidden="1" customHeight="1">
      <c r="A292" s="569">
        <v>46</v>
      </c>
      <c r="B292" s="1052"/>
      <c r="C292" s="614" t="s">
        <v>679</v>
      </c>
      <c r="D292" s="615">
        <v>6</v>
      </c>
      <c r="E292" s="737" t="str">
        <f t="shared" ref="E292:AJ292" ca="1" si="173">IFERROR(OFFSET(A1_集計2027,$D292,E289),"")</f>
        <v/>
      </c>
      <c r="F292" s="616" t="str">
        <f t="shared" ca="1" si="173"/>
        <v/>
      </c>
      <c r="G292" s="616" t="str">
        <f t="shared" ca="1" si="173"/>
        <v/>
      </c>
      <c r="H292" s="616" t="str">
        <f t="shared" ca="1" si="173"/>
        <v/>
      </c>
      <c r="I292" s="616" t="str">
        <f t="shared" ca="1" si="173"/>
        <v/>
      </c>
      <c r="J292" s="616" t="str">
        <f t="shared" ca="1" si="173"/>
        <v/>
      </c>
      <c r="K292" s="616" t="str">
        <f t="shared" ca="1" si="173"/>
        <v/>
      </c>
      <c r="L292" s="616" t="str">
        <f t="shared" ca="1" si="173"/>
        <v/>
      </c>
      <c r="M292" s="616" t="str">
        <f t="shared" ca="1" si="173"/>
        <v/>
      </c>
      <c r="N292" s="616" t="str">
        <f t="shared" ca="1" si="173"/>
        <v/>
      </c>
      <c r="O292" s="616" t="str">
        <f ca="1">IFERROR(OFFSET(A1_集計2027,$D292,O289),"")</f>
        <v/>
      </c>
      <c r="P292" s="616" t="str">
        <f t="shared" ca="1" si="173"/>
        <v/>
      </c>
      <c r="Q292" s="616" t="str">
        <f t="shared" ca="1" si="173"/>
        <v/>
      </c>
      <c r="R292" s="616" t="str">
        <f t="shared" ca="1" si="173"/>
        <v/>
      </c>
      <c r="S292" s="616" t="str">
        <f t="shared" ca="1" si="173"/>
        <v/>
      </c>
      <c r="T292" s="616" t="str">
        <f t="shared" ca="1" si="173"/>
        <v/>
      </c>
      <c r="U292" s="616" t="str">
        <f t="shared" ca="1" si="173"/>
        <v/>
      </c>
      <c r="V292" s="616" t="str">
        <f t="shared" ca="1" si="173"/>
        <v/>
      </c>
      <c r="W292" s="616" t="str">
        <f t="shared" ca="1" si="173"/>
        <v/>
      </c>
      <c r="X292" s="616" t="str">
        <f t="shared" ca="1" si="173"/>
        <v/>
      </c>
      <c r="Y292" s="616" t="str">
        <f t="shared" ca="1" si="173"/>
        <v/>
      </c>
      <c r="Z292" s="616" t="str">
        <f t="shared" ca="1" si="173"/>
        <v/>
      </c>
      <c r="AA292" s="616" t="str">
        <f t="shared" ca="1" si="173"/>
        <v/>
      </c>
      <c r="AB292" s="616" t="str">
        <f t="shared" ca="1" si="173"/>
        <v/>
      </c>
      <c r="AC292" s="616" t="str">
        <f t="shared" ca="1" si="173"/>
        <v/>
      </c>
      <c r="AD292" s="616" t="str">
        <f t="shared" ca="1" si="173"/>
        <v/>
      </c>
      <c r="AE292" s="616" t="str">
        <f t="shared" ca="1" si="173"/>
        <v/>
      </c>
      <c r="AF292" s="616" t="str">
        <f t="shared" ca="1" si="173"/>
        <v/>
      </c>
      <c r="AG292" s="616" t="str">
        <f t="shared" ca="1" si="173"/>
        <v/>
      </c>
      <c r="AH292" s="616" t="str">
        <f t="shared" ca="1" si="173"/>
        <v/>
      </c>
      <c r="AI292" s="616" t="str">
        <f t="shared" ca="1" si="173"/>
        <v/>
      </c>
      <c r="AJ292" s="616" t="str">
        <f t="shared" ca="1" si="173"/>
        <v/>
      </c>
      <c r="AK292" s="616" t="str">
        <f t="shared" ref="AK292:BB292" ca="1" si="174">IFERROR(OFFSET(A1_集計2027,$D292,AK289),"")</f>
        <v/>
      </c>
      <c r="AL292" s="616" t="str">
        <f t="shared" ca="1" si="174"/>
        <v/>
      </c>
      <c r="AM292" s="616" t="str">
        <f t="shared" ca="1" si="174"/>
        <v/>
      </c>
      <c r="AN292" s="616" t="str">
        <f t="shared" ca="1" si="174"/>
        <v/>
      </c>
      <c r="AO292" s="616" t="str">
        <f t="shared" ca="1" si="174"/>
        <v/>
      </c>
      <c r="AP292" s="616" t="str">
        <f t="shared" ca="1" si="174"/>
        <v/>
      </c>
      <c r="AQ292" s="616" t="str">
        <f t="shared" ca="1" si="174"/>
        <v/>
      </c>
      <c r="AR292" s="616" t="str">
        <f t="shared" ca="1" si="174"/>
        <v/>
      </c>
      <c r="AS292" s="616" t="str">
        <f t="shared" ca="1" si="174"/>
        <v/>
      </c>
      <c r="AT292" s="616" t="str">
        <f t="shared" ca="1" si="174"/>
        <v/>
      </c>
      <c r="AU292" s="616" t="str">
        <f t="shared" ca="1" si="174"/>
        <v/>
      </c>
      <c r="AV292" s="616" t="str">
        <f t="shared" ca="1" si="174"/>
        <v/>
      </c>
      <c r="AW292" s="616" t="str">
        <f t="shared" ca="1" si="174"/>
        <v/>
      </c>
      <c r="AX292" s="616" t="str">
        <f t="shared" ca="1" si="174"/>
        <v/>
      </c>
      <c r="AY292" s="616" t="str">
        <f t="shared" ca="1" si="174"/>
        <v/>
      </c>
      <c r="AZ292" s="616" t="str">
        <f t="shared" ca="1" si="174"/>
        <v/>
      </c>
      <c r="BA292" s="587" t="str">
        <f t="shared" ca="1" si="174"/>
        <v/>
      </c>
      <c r="BB292" s="653" t="str">
        <f t="shared" ca="1" si="174"/>
        <v/>
      </c>
      <c r="IE292" s="579"/>
      <c r="IF292" s="579"/>
      <c r="IG292" s="579"/>
      <c r="IH292" s="579"/>
    </row>
    <row r="293" spans="1:242" s="164" customFormat="1" ht="20.100000000000001" hidden="1" customHeight="1">
      <c r="A293" s="569">
        <v>47</v>
      </c>
      <c r="B293" s="1052"/>
      <c r="C293" s="614" t="s">
        <v>680</v>
      </c>
      <c r="D293" s="615">
        <v>101</v>
      </c>
      <c r="E293" s="737" t="str">
        <f t="shared" ref="E293:AJ293" ca="1" si="175">IFERROR(OFFSET(貼付け_2027実績,$D293,E289),"")</f>
        <v/>
      </c>
      <c r="F293" s="616" t="str">
        <f t="shared" ca="1" si="175"/>
        <v/>
      </c>
      <c r="G293" s="616" t="str">
        <f t="shared" ca="1" si="175"/>
        <v/>
      </c>
      <c r="H293" s="616" t="str">
        <f t="shared" ca="1" si="175"/>
        <v/>
      </c>
      <c r="I293" s="616" t="str">
        <f t="shared" ca="1" si="175"/>
        <v/>
      </c>
      <c r="J293" s="616" t="str">
        <f t="shared" ca="1" si="175"/>
        <v/>
      </c>
      <c r="K293" s="616" t="str">
        <f t="shared" ca="1" si="175"/>
        <v/>
      </c>
      <c r="L293" s="616" t="str">
        <f t="shared" ca="1" si="175"/>
        <v/>
      </c>
      <c r="M293" s="616" t="str">
        <f t="shared" ca="1" si="175"/>
        <v/>
      </c>
      <c r="N293" s="616" t="str">
        <f t="shared" ca="1" si="175"/>
        <v/>
      </c>
      <c r="O293" s="616" t="str">
        <f ca="1">IFERROR(OFFSET(貼付け_2027実績,$D293,O289),"")</f>
        <v/>
      </c>
      <c r="P293" s="616" t="str">
        <f t="shared" ca="1" si="175"/>
        <v/>
      </c>
      <c r="Q293" s="616" t="str">
        <f t="shared" ca="1" si="175"/>
        <v/>
      </c>
      <c r="R293" s="616" t="str">
        <f t="shared" ca="1" si="175"/>
        <v/>
      </c>
      <c r="S293" s="616" t="str">
        <f t="shared" ca="1" si="175"/>
        <v/>
      </c>
      <c r="T293" s="616" t="str">
        <f t="shared" ca="1" si="175"/>
        <v/>
      </c>
      <c r="U293" s="616" t="str">
        <f t="shared" ca="1" si="175"/>
        <v/>
      </c>
      <c r="V293" s="616" t="str">
        <f t="shared" ca="1" si="175"/>
        <v/>
      </c>
      <c r="W293" s="616" t="str">
        <f t="shared" ca="1" si="175"/>
        <v/>
      </c>
      <c r="X293" s="616" t="str">
        <f t="shared" ca="1" si="175"/>
        <v/>
      </c>
      <c r="Y293" s="616" t="str">
        <f t="shared" ca="1" si="175"/>
        <v/>
      </c>
      <c r="Z293" s="616" t="str">
        <f t="shared" ca="1" si="175"/>
        <v/>
      </c>
      <c r="AA293" s="616" t="str">
        <f t="shared" ca="1" si="175"/>
        <v/>
      </c>
      <c r="AB293" s="616" t="str">
        <f t="shared" ca="1" si="175"/>
        <v/>
      </c>
      <c r="AC293" s="616" t="str">
        <f t="shared" ca="1" si="175"/>
        <v/>
      </c>
      <c r="AD293" s="616" t="str">
        <f t="shared" ca="1" si="175"/>
        <v/>
      </c>
      <c r="AE293" s="616" t="str">
        <f t="shared" ca="1" si="175"/>
        <v/>
      </c>
      <c r="AF293" s="616" t="str">
        <f t="shared" ca="1" si="175"/>
        <v/>
      </c>
      <c r="AG293" s="616" t="str">
        <f t="shared" ca="1" si="175"/>
        <v/>
      </c>
      <c r="AH293" s="616" t="str">
        <f t="shared" ca="1" si="175"/>
        <v/>
      </c>
      <c r="AI293" s="616" t="str">
        <f t="shared" ca="1" si="175"/>
        <v/>
      </c>
      <c r="AJ293" s="616" t="str">
        <f t="shared" ca="1" si="175"/>
        <v/>
      </c>
      <c r="AK293" s="616" t="str">
        <f t="shared" ref="AK293:BB293" ca="1" si="176">IFERROR(OFFSET(貼付け_2027実績,$D293,AK289),"")</f>
        <v/>
      </c>
      <c r="AL293" s="616" t="str">
        <f t="shared" ca="1" si="176"/>
        <v/>
      </c>
      <c r="AM293" s="616" t="str">
        <f t="shared" ca="1" si="176"/>
        <v/>
      </c>
      <c r="AN293" s="616" t="str">
        <f t="shared" ca="1" si="176"/>
        <v/>
      </c>
      <c r="AO293" s="616" t="str">
        <f t="shared" ca="1" si="176"/>
        <v/>
      </c>
      <c r="AP293" s="616" t="str">
        <f t="shared" ca="1" si="176"/>
        <v/>
      </c>
      <c r="AQ293" s="616" t="str">
        <f t="shared" ca="1" si="176"/>
        <v/>
      </c>
      <c r="AR293" s="616" t="str">
        <f t="shared" ca="1" si="176"/>
        <v/>
      </c>
      <c r="AS293" s="616" t="str">
        <f t="shared" ca="1" si="176"/>
        <v/>
      </c>
      <c r="AT293" s="616" t="str">
        <f t="shared" ca="1" si="176"/>
        <v/>
      </c>
      <c r="AU293" s="616" t="str">
        <f t="shared" ca="1" si="176"/>
        <v/>
      </c>
      <c r="AV293" s="616" t="str">
        <f t="shared" ca="1" si="176"/>
        <v/>
      </c>
      <c r="AW293" s="616" t="str">
        <f t="shared" ca="1" si="176"/>
        <v/>
      </c>
      <c r="AX293" s="616" t="str">
        <f t="shared" ca="1" si="176"/>
        <v/>
      </c>
      <c r="AY293" s="616" t="str">
        <f t="shared" ca="1" si="176"/>
        <v/>
      </c>
      <c r="AZ293" s="616" t="str">
        <f t="shared" ca="1" si="176"/>
        <v/>
      </c>
      <c r="BA293" s="587" t="str">
        <f t="shared" ca="1" si="176"/>
        <v/>
      </c>
      <c r="BB293" s="653" t="str">
        <f t="shared" ca="1" si="176"/>
        <v/>
      </c>
      <c r="IE293" s="579"/>
      <c r="IF293" s="579"/>
      <c r="IG293" s="579"/>
      <c r="IH293" s="579"/>
    </row>
    <row r="294" spans="1:242" s="164" customFormat="1" ht="20.100000000000001" hidden="1" customHeight="1">
      <c r="A294" s="569">
        <v>48</v>
      </c>
      <c r="B294" s="1052"/>
      <c r="C294" s="614" t="s">
        <v>681</v>
      </c>
      <c r="D294" s="615"/>
      <c r="E294" s="737" t="str">
        <f ca="1">IFERROR(E292/E293,"")</f>
        <v/>
      </c>
      <c r="F294" s="616" t="str">
        <f t="shared" ref="F294:BB294" ca="1" si="177">IFERROR(F292/F293,"")</f>
        <v/>
      </c>
      <c r="G294" s="616" t="str">
        <f t="shared" ca="1" si="177"/>
        <v/>
      </c>
      <c r="H294" s="616" t="str">
        <f t="shared" ca="1" si="177"/>
        <v/>
      </c>
      <c r="I294" s="616" t="str">
        <f t="shared" ca="1" si="177"/>
        <v/>
      </c>
      <c r="J294" s="616" t="str">
        <f t="shared" ca="1" si="177"/>
        <v/>
      </c>
      <c r="K294" s="616" t="str">
        <f t="shared" ca="1" si="177"/>
        <v/>
      </c>
      <c r="L294" s="616" t="str">
        <f t="shared" ca="1" si="177"/>
        <v/>
      </c>
      <c r="M294" s="616" t="str">
        <f t="shared" ca="1" si="177"/>
        <v/>
      </c>
      <c r="N294" s="616" t="str">
        <f t="shared" ca="1" si="177"/>
        <v/>
      </c>
      <c r="O294" s="616" t="str">
        <f t="shared" ca="1" si="177"/>
        <v/>
      </c>
      <c r="P294" s="616" t="str">
        <f t="shared" ca="1" si="177"/>
        <v/>
      </c>
      <c r="Q294" s="616" t="str">
        <f t="shared" ca="1" si="177"/>
        <v/>
      </c>
      <c r="R294" s="616" t="str">
        <f t="shared" ca="1" si="177"/>
        <v/>
      </c>
      <c r="S294" s="616" t="str">
        <f t="shared" ca="1" si="177"/>
        <v/>
      </c>
      <c r="T294" s="616" t="str">
        <f t="shared" ca="1" si="177"/>
        <v/>
      </c>
      <c r="U294" s="616" t="str">
        <f t="shared" ca="1" si="177"/>
        <v/>
      </c>
      <c r="V294" s="616" t="str">
        <f t="shared" ca="1" si="177"/>
        <v/>
      </c>
      <c r="W294" s="616" t="str">
        <f t="shared" ca="1" si="177"/>
        <v/>
      </c>
      <c r="X294" s="616" t="str">
        <f t="shared" ca="1" si="177"/>
        <v/>
      </c>
      <c r="Y294" s="616" t="str">
        <f t="shared" ca="1" si="177"/>
        <v/>
      </c>
      <c r="Z294" s="616" t="str">
        <f t="shared" ca="1" si="177"/>
        <v/>
      </c>
      <c r="AA294" s="616" t="str">
        <f t="shared" ca="1" si="177"/>
        <v/>
      </c>
      <c r="AB294" s="616" t="str">
        <f t="shared" ca="1" si="177"/>
        <v/>
      </c>
      <c r="AC294" s="616" t="str">
        <f t="shared" ca="1" si="177"/>
        <v/>
      </c>
      <c r="AD294" s="616" t="str">
        <f t="shared" ca="1" si="177"/>
        <v/>
      </c>
      <c r="AE294" s="616" t="str">
        <f t="shared" ca="1" si="177"/>
        <v/>
      </c>
      <c r="AF294" s="616" t="str">
        <f t="shared" ca="1" si="177"/>
        <v/>
      </c>
      <c r="AG294" s="616" t="str">
        <f t="shared" ca="1" si="177"/>
        <v/>
      </c>
      <c r="AH294" s="616" t="str">
        <f t="shared" ca="1" si="177"/>
        <v/>
      </c>
      <c r="AI294" s="616" t="str">
        <f t="shared" ca="1" si="177"/>
        <v/>
      </c>
      <c r="AJ294" s="616" t="str">
        <f t="shared" ca="1" si="177"/>
        <v/>
      </c>
      <c r="AK294" s="616" t="str">
        <f t="shared" ca="1" si="177"/>
        <v/>
      </c>
      <c r="AL294" s="616" t="str">
        <f t="shared" ca="1" si="177"/>
        <v/>
      </c>
      <c r="AM294" s="616" t="str">
        <f t="shared" ca="1" si="177"/>
        <v/>
      </c>
      <c r="AN294" s="616" t="str">
        <f t="shared" ca="1" si="177"/>
        <v/>
      </c>
      <c r="AO294" s="616" t="str">
        <f t="shared" ca="1" si="177"/>
        <v/>
      </c>
      <c r="AP294" s="616" t="str">
        <f t="shared" ca="1" si="177"/>
        <v/>
      </c>
      <c r="AQ294" s="616" t="str">
        <f t="shared" ca="1" si="177"/>
        <v/>
      </c>
      <c r="AR294" s="616" t="str">
        <f t="shared" ca="1" si="177"/>
        <v/>
      </c>
      <c r="AS294" s="616" t="str">
        <f t="shared" ca="1" si="177"/>
        <v/>
      </c>
      <c r="AT294" s="616" t="str">
        <f t="shared" ca="1" si="177"/>
        <v/>
      </c>
      <c r="AU294" s="616" t="str">
        <f t="shared" ca="1" si="177"/>
        <v/>
      </c>
      <c r="AV294" s="616" t="str">
        <f t="shared" ca="1" si="177"/>
        <v/>
      </c>
      <c r="AW294" s="616" t="str">
        <f t="shared" ca="1" si="177"/>
        <v/>
      </c>
      <c r="AX294" s="616" t="str">
        <f t="shared" ca="1" si="177"/>
        <v/>
      </c>
      <c r="AY294" s="616" t="str">
        <f t="shared" ca="1" si="177"/>
        <v/>
      </c>
      <c r="AZ294" s="616" t="str">
        <f t="shared" ca="1" si="177"/>
        <v/>
      </c>
      <c r="BA294" s="587" t="str">
        <f t="shared" ca="1" si="177"/>
        <v/>
      </c>
      <c r="BB294" s="653" t="str">
        <f t="shared" ca="1" si="177"/>
        <v/>
      </c>
      <c r="IE294" s="579"/>
      <c r="IF294" s="579"/>
      <c r="IG294" s="579"/>
      <c r="IH294" s="579"/>
    </row>
    <row r="295" spans="1:242" ht="20.399999999999999" hidden="1" thickBot="1">
      <c r="A295" s="569">
        <v>49</v>
      </c>
      <c r="B295" s="1053"/>
      <c r="C295" s="617" t="s">
        <v>682</v>
      </c>
      <c r="D295" s="618">
        <v>48</v>
      </c>
      <c r="E295" s="738" t="str">
        <f t="shared" ref="E295:AJ295" ca="1" si="178">IFERROR(1-(E294/OFFSET(A1_原単位2026,$D295,E$247+2)),"")</f>
        <v/>
      </c>
      <c r="F295" s="619" t="str">
        <f t="shared" ca="1" si="178"/>
        <v/>
      </c>
      <c r="G295" s="619" t="str">
        <f t="shared" ca="1" si="178"/>
        <v/>
      </c>
      <c r="H295" s="619" t="str">
        <f t="shared" ca="1" si="178"/>
        <v/>
      </c>
      <c r="I295" s="619" t="str">
        <f t="shared" ca="1" si="178"/>
        <v/>
      </c>
      <c r="J295" s="619" t="str">
        <f t="shared" ca="1" si="178"/>
        <v/>
      </c>
      <c r="K295" s="619" t="str">
        <f t="shared" ca="1" si="178"/>
        <v/>
      </c>
      <c r="L295" s="619" t="str">
        <f t="shared" ca="1" si="178"/>
        <v/>
      </c>
      <c r="M295" s="619" t="str">
        <f t="shared" ca="1" si="178"/>
        <v/>
      </c>
      <c r="N295" s="619" t="str">
        <f t="shared" ca="1" si="178"/>
        <v/>
      </c>
      <c r="O295" s="619" t="str">
        <f t="shared" ca="1" si="178"/>
        <v/>
      </c>
      <c r="P295" s="619" t="str">
        <f t="shared" ca="1" si="178"/>
        <v/>
      </c>
      <c r="Q295" s="619" t="str">
        <f t="shared" ca="1" si="178"/>
        <v/>
      </c>
      <c r="R295" s="619" t="str">
        <f t="shared" ca="1" si="178"/>
        <v/>
      </c>
      <c r="S295" s="619" t="str">
        <f t="shared" ca="1" si="178"/>
        <v/>
      </c>
      <c r="T295" s="619" t="str">
        <f t="shared" ca="1" si="178"/>
        <v/>
      </c>
      <c r="U295" s="619" t="str">
        <f t="shared" ca="1" si="178"/>
        <v/>
      </c>
      <c r="V295" s="619" t="str">
        <f t="shared" ca="1" si="178"/>
        <v/>
      </c>
      <c r="W295" s="619" t="str">
        <f t="shared" ca="1" si="178"/>
        <v/>
      </c>
      <c r="X295" s="619" t="str">
        <f t="shared" ca="1" si="178"/>
        <v/>
      </c>
      <c r="Y295" s="619" t="str">
        <f t="shared" ca="1" si="178"/>
        <v/>
      </c>
      <c r="Z295" s="619" t="str">
        <f t="shared" ca="1" si="178"/>
        <v/>
      </c>
      <c r="AA295" s="619" t="str">
        <f t="shared" ca="1" si="178"/>
        <v/>
      </c>
      <c r="AB295" s="619" t="str">
        <f t="shared" ca="1" si="178"/>
        <v/>
      </c>
      <c r="AC295" s="619" t="str">
        <f t="shared" ca="1" si="178"/>
        <v/>
      </c>
      <c r="AD295" s="619" t="str">
        <f t="shared" ca="1" si="178"/>
        <v/>
      </c>
      <c r="AE295" s="619" t="str">
        <f t="shared" ca="1" si="178"/>
        <v/>
      </c>
      <c r="AF295" s="619" t="str">
        <f t="shared" ca="1" si="178"/>
        <v/>
      </c>
      <c r="AG295" s="619" t="str">
        <f t="shared" ca="1" si="178"/>
        <v/>
      </c>
      <c r="AH295" s="619" t="str">
        <f t="shared" ca="1" si="178"/>
        <v/>
      </c>
      <c r="AI295" s="619" t="str">
        <f t="shared" ca="1" si="178"/>
        <v/>
      </c>
      <c r="AJ295" s="619" t="str">
        <f t="shared" ca="1" si="178"/>
        <v/>
      </c>
      <c r="AK295" s="619" t="str">
        <f t="shared" ref="AK295:BB295" ca="1" si="179">IFERROR(1-(AK294/OFFSET(A1_原単位2026,$D295,AK$247+2)),"")</f>
        <v/>
      </c>
      <c r="AL295" s="619" t="str">
        <f t="shared" ca="1" si="179"/>
        <v/>
      </c>
      <c r="AM295" s="619" t="str">
        <f t="shared" ca="1" si="179"/>
        <v/>
      </c>
      <c r="AN295" s="619" t="str">
        <f t="shared" ca="1" si="179"/>
        <v/>
      </c>
      <c r="AO295" s="619" t="str">
        <f t="shared" ca="1" si="179"/>
        <v/>
      </c>
      <c r="AP295" s="619" t="str">
        <f t="shared" ca="1" si="179"/>
        <v/>
      </c>
      <c r="AQ295" s="619" t="str">
        <f t="shared" ca="1" si="179"/>
        <v/>
      </c>
      <c r="AR295" s="619" t="str">
        <f t="shared" ca="1" si="179"/>
        <v/>
      </c>
      <c r="AS295" s="619" t="str">
        <f t="shared" ca="1" si="179"/>
        <v/>
      </c>
      <c r="AT295" s="619" t="str">
        <f t="shared" ca="1" si="179"/>
        <v/>
      </c>
      <c r="AU295" s="619" t="str">
        <f t="shared" ca="1" si="179"/>
        <v/>
      </c>
      <c r="AV295" s="619" t="str">
        <f t="shared" ca="1" si="179"/>
        <v/>
      </c>
      <c r="AW295" s="619" t="str">
        <f t="shared" ca="1" si="179"/>
        <v/>
      </c>
      <c r="AX295" s="619" t="str">
        <f t="shared" ca="1" si="179"/>
        <v/>
      </c>
      <c r="AY295" s="619" t="str">
        <f t="shared" ca="1" si="179"/>
        <v/>
      </c>
      <c r="AZ295" s="619" t="str">
        <f t="shared" ca="1" si="179"/>
        <v/>
      </c>
      <c r="BA295" s="619" t="str">
        <f t="shared" ca="1" si="179"/>
        <v/>
      </c>
      <c r="BB295" s="739" t="str">
        <f t="shared" ca="1" si="179"/>
        <v/>
      </c>
      <c r="BC295" s="164"/>
      <c r="BD295" s="164"/>
      <c r="BE295" s="164"/>
      <c r="BF295" s="164"/>
      <c r="BG295" s="164"/>
      <c r="BH295" s="164"/>
      <c r="BI295" s="164"/>
      <c r="BJ295" s="164"/>
      <c r="BK295" s="164"/>
      <c r="BL295" s="164"/>
      <c r="BM295" s="164"/>
      <c r="BN295" s="164"/>
      <c r="BO295" s="164"/>
      <c r="BP295" s="164"/>
      <c r="BQ295" s="164"/>
      <c r="BR295" s="164"/>
      <c r="BS295" s="164"/>
      <c r="BT295" s="164"/>
      <c r="BU295" s="164"/>
      <c r="BV295" s="164"/>
      <c r="BW295" s="164"/>
      <c r="BX295" s="164"/>
      <c r="BY295" s="164"/>
      <c r="BZ295" s="164"/>
      <c r="CA295" s="164"/>
      <c r="CB295" s="164"/>
      <c r="CC295" s="164"/>
      <c r="CD295" s="164"/>
      <c r="CE295" s="164"/>
      <c r="CF295" s="164"/>
      <c r="CG295" s="164"/>
      <c r="CH295" s="164"/>
      <c r="CI295" s="164"/>
      <c r="CJ295" s="164"/>
      <c r="CK295" s="164"/>
      <c r="CL295" s="164"/>
      <c r="CM295" s="164"/>
      <c r="CN295" s="164"/>
      <c r="CO295" s="164"/>
      <c r="CP295" s="164"/>
      <c r="CQ295" s="164"/>
      <c r="CR295" s="164"/>
      <c r="CS295" s="164"/>
      <c r="CT295" s="164"/>
      <c r="CU295" s="164"/>
      <c r="CV295" s="164"/>
      <c r="CW295" s="164"/>
      <c r="CX295" s="164"/>
      <c r="CY295" s="164"/>
      <c r="CZ295" s="164"/>
      <c r="DA295" s="164"/>
      <c r="DB295" s="164"/>
      <c r="DC295" s="164"/>
      <c r="DD295" s="164"/>
      <c r="DE295" s="164"/>
      <c r="DF295" s="164"/>
      <c r="DG295" s="164"/>
      <c r="DH295" s="164"/>
      <c r="DI295" s="164"/>
      <c r="DJ295" s="164"/>
      <c r="DK295" s="164"/>
      <c r="DL295" s="164"/>
      <c r="DM295" s="164"/>
      <c r="DN295" s="164"/>
      <c r="DO295" s="164"/>
      <c r="DP295" s="164"/>
      <c r="DQ295" s="164"/>
      <c r="DR295" s="164"/>
      <c r="DS295" s="164"/>
      <c r="DT295" s="164"/>
      <c r="DU295" s="164"/>
      <c r="DV295" s="164"/>
      <c r="DW295" s="164"/>
      <c r="DX295" s="164"/>
      <c r="DY295" s="164"/>
      <c r="DZ295" s="164"/>
      <c r="EA295" s="164"/>
      <c r="EB295" s="164"/>
      <c r="EC295" s="164"/>
      <c r="ED295" s="164"/>
      <c r="EE295" s="164"/>
      <c r="EF295" s="164"/>
      <c r="EG295" s="164"/>
      <c r="EH295" s="164"/>
      <c r="EI295" s="164"/>
      <c r="EJ295" s="164"/>
      <c r="EK295" s="164"/>
      <c r="EL295" s="164"/>
      <c r="EM295" s="164"/>
      <c r="EN295" s="164"/>
      <c r="EO295" s="164"/>
      <c r="EP295" s="164"/>
      <c r="EQ295" s="164"/>
      <c r="ER295" s="164"/>
      <c r="ES295" s="164"/>
      <c r="ET295" s="164"/>
      <c r="EU295" s="164"/>
      <c r="EV295" s="164"/>
      <c r="EW295" s="164"/>
      <c r="EX295" s="164"/>
      <c r="EY295" s="164"/>
      <c r="EZ295" s="164"/>
      <c r="FA295" s="164"/>
      <c r="FB295" s="164"/>
      <c r="FC295" s="164"/>
      <c r="FD295" s="164"/>
      <c r="FE295" s="164"/>
      <c r="FF295" s="164"/>
      <c r="FG295" s="164"/>
      <c r="FH295" s="164"/>
      <c r="FI295" s="164"/>
      <c r="FJ295" s="164"/>
      <c r="FK295" s="164"/>
      <c r="FL295" s="164"/>
      <c r="FM295" s="164"/>
      <c r="FN295" s="164"/>
      <c r="FO295" s="164"/>
      <c r="FP295" s="164"/>
      <c r="FQ295" s="164"/>
      <c r="FR295" s="164"/>
      <c r="FS295" s="164"/>
      <c r="FT295" s="164"/>
      <c r="FU295" s="164"/>
      <c r="FV295" s="164"/>
      <c r="FW295" s="164"/>
      <c r="FX295" s="164"/>
      <c r="FY295" s="164"/>
      <c r="FZ295" s="164"/>
      <c r="GA295" s="164"/>
      <c r="GB295" s="164"/>
      <c r="GC295" s="164"/>
      <c r="GD295" s="164"/>
      <c r="GE295" s="164"/>
      <c r="GF295" s="164"/>
      <c r="GG295" s="164"/>
      <c r="GH295" s="164"/>
      <c r="GI295" s="164"/>
      <c r="GJ295" s="164"/>
      <c r="GK295" s="164"/>
      <c r="GL295" s="164"/>
      <c r="GM295" s="164"/>
      <c r="GN295" s="164"/>
      <c r="GO295" s="164"/>
      <c r="GP295" s="164"/>
      <c r="GQ295" s="164"/>
      <c r="GR295" s="164"/>
      <c r="GS295" s="164"/>
      <c r="GT295" s="164"/>
      <c r="GU295" s="164"/>
      <c r="GV295" s="164"/>
      <c r="GW295" s="164"/>
      <c r="GX295" s="164"/>
      <c r="GY295" s="164"/>
      <c r="GZ295" s="164"/>
      <c r="HA295" s="164"/>
      <c r="HB295" s="164"/>
      <c r="HC295" s="164"/>
      <c r="HD295" s="164"/>
      <c r="HE295" s="164"/>
      <c r="HF295" s="164"/>
      <c r="HG295" s="164"/>
      <c r="HH295" s="164"/>
      <c r="HI295" s="164"/>
      <c r="HJ295" s="164"/>
      <c r="HK295" s="164"/>
    </row>
    <row r="296" spans="1:242" ht="19.8" hidden="1">
      <c r="B296" s="621" t="s">
        <v>685</v>
      </c>
      <c r="C296" s="661" t="s">
        <v>686</v>
      </c>
      <c r="D296" s="662"/>
      <c r="E296" s="622" t="str">
        <f ca="1">IFERROR((SUMPRODUCT(E283:BB283,E280:BB280)+SUMPRODUCT(E295:BB295,E292:BB292))/SUM(E280:BB280,E292:BB292)*100,"")</f>
        <v/>
      </c>
      <c r="F296" s="1058" t="s">
        <v>687</v>
      </c>
      <c r="G296" s="622" t="str">
        <f ca="1">IF(ROUND(SUMPRODUCT(1/COUNTIF(E302:BB303,E302:BB303)),0)-1&lt;&gt;1,"-",IFERROR(INDEX(E302:BB302,MATCH(TRUE,INDEX(E302:BB302&lt;&gt;"",),0)),INDEX(E303:BB303,MATCH(TRUE,INDEX(E303:BB303&lt;&gt;"",),0))))</f>
        <v>-</v>
      </c>
      <c r="H296" s="1058" t="s">
        <v>688</v>
      </c>
      <c r="I296" s="622" t="str">
        <f ca="1">IF(G296="-","-",OFFSET(貼付け_2024実績,100,IFERROR(INDEX(E277:BB277,MATCH(G296,E279:BB279,0)),INDEX(E289:BB289,MATCH(G296,E291:BB291,0)))))</f>
        <v>-</v>
      </c>
      <c r="J296" s="1058" t="s">
        <v>689</v>
      </c>
      <c r="K296" s="622" t="str">
        <f ca="1">IF(G296="-","-",SUM(E281:BB281,E293:BB293))</f>
        <v>-</v>
      </c>
      <c r="L296" s="740" t="s">
        <v>1529</v>
      </c>
      <c r="M296" s="741" t="str">
        <f ca="1">IFERROR((SUMPRODUCT(E283:BB283,E280:BB280)+SUMPRODUCT(E295:BB295,E292:BB292)+(SUMPRODUCT(E271:BB271,E268:BB268)+SUMPRODUCT(E256:BB256,E259:BB259)))/SUM(E280:BB280,E292:BB292,E268:BB268,E256:BB256)*100,"")</f>
        <v/>
      </c>
    </row>
    <row r="297" spans="1:242" ht="18.600000000000001" hidden="1" thickBot="1">
      <c r="B297" s="623" t="s">
        <v>498</v>
      </c>
      <c r="C297" s="663" t="s">
        <v>712</v>
      </c>
      <c r="D297" s="664"/>
      <c r="E297" s="665" t="str">
        <f ca="1">IFERROR(SUMPRODUCT(E271:BB271,E268:BB268)/SUM(E268:BB268)*100,"")</f>
        <v/>
      </c>
      <c r="F297" s="1059"/>
      <c r="G297" s="625" t="str">
        <f ca="1">IF(SUMPRODUCT(1/COUNTIF(E301:BB301,E301:BB301))-1&lt;&gt;1,"-",INDEX(E301:BB301,MATCH(TRUE,INDEX(E301:BB301&lt;&gt;"",),0)))</f>
        <v>-</v>
      </c>
      <c r="H297" s="1059"/>
      <c r="I297" s="625" t="str">
        <f ca="1">IF(G297="-","-",OFFSET(貼付け_2024実績,100,INDEX(E265:BB265,MATCH(G297,E267:BB267,0))))</f>
        <v>-</v>
      </c>
      <c r="J297" s="1059"/>
      <c r="K297" s="625" t="str">
        <f ca="1">IF(G297="-","-",SUM(E269:BB269))</f>
        <v>-</v>
      </c>
      <c r="L297" s="742" t="s">
        <v>1530</v>
      </c>
      <c r="M297" s="743" t="str">
        <f ca="1">IFERROR((SUMPRODUCT(E271:BB271,E268:BB268)+SUMPRODUCT(E256:BB256,E259:BB259))/SUM(E268:BB268,E256:BB256)*100,"")</f>
        <v/>
      </c>
    </row>
    <row r="298" spans="1:242" ht="18.600000000000001" hidden="1" thickBot="1">
      <c r="B298" s="1043" t="s">
        <v>690</v>
      </c>
      <c r="C298" s="1044"/>
      <c r="D298" s="1045"/>
      <c r="E298" s="626" t="str">
        <f ca="1">IF(E252="",E249,E252)</f>
        <v/>
      </c>
      <c r="F298" s="627" t="str">
        <f t="shared" ref="F298:BB298" ca="1" si="180">IF(F252="",F249,F252)</f>
        <v/>
      </c>
      <c r="G298" s="627" t="str">
        <f t="shared" ca="1" si="180"/>
        <v/>
      </c>
      <c r="H298" s="627" t="str">
        <f t="shared" ca="1" si="180"/>
        <v/>
      </c>
      <c r="I298" s="627" t="str">
        <f t="shared" ca="1" si="180"/>
        <v/>
      </c>
      <c r="J298" s="627" t="str">
        <f t="shared" ca="1" si="180"/>
        <v/>
      </c>
      <c r="K298" s="627" t="str">
        <f t="shared" ca="1" si="180"/>
        <v/>
      </c>
      <c r="L298" s="627" t="str">
        <f t="shared" ca="1" si="180"/>
        <v/>
      </c>
      <c r="M298" s="627" t="str">
        <f t="shared" ca="1" si="180"/>
        <v/>
      </c>
      <c r="N298" s="627" t="str">
        <f t="shared" ca="1" si="180"/>
        <v/>
      </c>
      <c r="O298" s="627" t="str">
        <f t="shared" ca="1" si="180"/>
        <v/>
      </c>
      <c r="P298" s="627" t="str">
        <f t="shared" ca="1" si="180"/>
        <v/>
      </c>
      <c r="Q298" s="627" t="str">
        <f t="shared" ca="1" si="180"/>
        <v/>
      </c>
      <c r="R298" s="627" t="str">
        <f t="shared" ca="1" si="180"/>
        <v/>
      </c>
      <c r="S298" s="627" t="str">
        <f t="shared" ca="1" si="180"/>
        <v/>
      </c>
      <c r="T298" s="627" t="str">
        <f t="shared" ca="1" si="180"/>
        <v/>
      </c>
      <c r="U298" s="627" t="str">
        <f t="shared" ca="1" si="180"/>
        <v/>
      </c>
      <c r="V298" s="627" t="str">
        <f t="shared" ca="1" si="180"/>
        <v/>
      </c>
      <c r="W298" s="627" t="str">
        <f t="shared" ca="1" si="180"/>
        <v/>
      </c>
      <c r="X298" s="627" t="str">
        <f t="shared" ca="1" si="180"/>
        <v/>
      </c>
      <c r="Y298" s="627" t="str">
        <f t="shared" ca="1" si="180"/>
        <v/>
      </c>
      <c r="Z298" s="627" t="str">
        <f t="shared" ca="1" si="180"/>
        <v/>
      </c>
      <c r="AA298" s="627" t="str">
        <f t="shared" ca="1" si="180"/>
        <v/>
      </c>
      <c r="AB298" s="627" t="str">
        <f t="shared" ca="1" si="180"/>
        <v/>
      </c>
      <c r="AC298" s="627" t="str">
        <f t="shared" ca="1" si="180"/>
        <v/>
      </c>
      <c r="AD298" s="627" t="str">
        <f t="shared" ca="1" si="180"/>
        <v/>
      </c>
      <c r="AE298" s="627" t="str">
        <f t="shared" ca="1" si="180"/>
        <v/>
      </c>
      <c r="AF298" s="627" t="str">
        <f t="shared" ca="1" si="180"/>
        <v/>
      </c>
      <c r="AG298" s="627" t="str">
        <f t="shared" ca="1" si="180"/>
        <v/>
      </c>
      <c r="AH298" s="627" t="str">
        <f t="shared" ca="1" si="180"/>
        <v/>
      </c>
      <c r="AI298" s="627" t="str">
        <f t="shared" ca="1" si="180"/>
        <v/>
      </c>
      <c r="AJ298" s="627" t="str">
        <f t="shared" ca="1" si="180"/>
        <v/>
      </c>
      <c r="AK298" s="627" t="str">
        <f t="shared" ca="1" si="180"/>
        <v/>
      </c>
      <c r="AL298" s="627" t="str">
        <f t="shared" ca="1" si="180"/>
        <v/>
      </c>
      <c r="AM298" s="627" t="str">
        <f t="shared" ca="1" si="180"/>
        <v/>
      </c>
      <c r="AN298" s="627" t="str">
        <f t="shared" ca="1" si="180"/>
        <v/>
      </c>
      <c r="AO298" s="627" t="str">
        <f t="shared" ca="1" si="180"/>
        <v/>
      </c>
      <c r="AP298" s="627" t="str">
        <f t="shared" ca="1" si="180"/>
        <v/>
      </c>
      <c r="AQ298" s="627" t="str">
        <f t="shared" ca="1" si="180"/>
        <v/>
      </c>
      <c r="AR298" s="627" t="str">
        <f t="shared" ca="1" si="180"/>
        <v/>
      </c>
      <c r="AS298" s="627" t="str">
        <f t="shared" ca="1" si="180"/>
        <v/>
      </c>
      <c r="AT298" s="627" t="str">
        <f t="shared" ca="1" si="180"/>
        <v/>
      </c>
      <c r="AU298" s="627" t="str">
        <f t="shared" ca="1" si="180"/>
        <v/>
      </c>
      <c r="AV298" s="627" t="str">
        <f t="shared" ca="1" si="180"/>
        <v/>
      </c>
      <c r="AW298" s="627" t="str">
        <f t="shared" ca="1" si="180"/>
        <v/>
      </c>
      <c r="AX298" s="627" t="str">
        <f t="shared" ca="1" si="180"/>
        <v/>
      </c>
      <c r="AY298" s="627" t="str">
        <f t="shared" ca="1" si="180"/>
        <v/>
      </c>
      <c r="AZ298" s="627" t="str">
        <f t="shared" ca="1" si="180"/>
        <v/>
      </c>
      <c r="BA298" s="627" t="str">
        <f t="shared" ca="1" si="180"/>
        <v/>
      </c>
      <c r="BB298" s="628" t="str">
        <f t="shared" ca="1" si="180"/>
        <v/>
      </c>
    </row>
    <row r="299" spans="1:242" ht="18.600000000000001" hidden="1" thickBot="1">
      <c r="B299" s="1043" t="s">
        <v>690</v>
      </c>
      <c r="C299" s="1044"/>
      <c r="D299" s="1045"/>
      <c r="E299" s="626" t="str">
        <f t="shared" ref="E299:AJ299" ca="1" si="181">IF(E253="",OFFSET(A1_原単位2026,53,E247+2),IFERROR(OFFSET(貼付け_2027実績,6,E253+1)&amp;"",""))</f>
        <v/>
      </c>
      <c r="F299" s="627" t="str">
        <f t="shared" ca="1" si="181"/>
        <v/>
      </c>
      <c r="G299" s="627" t="str">
        <f t="shared" ca="1" si="181"/>
        <v/>
      </c>
      <c r="H299" s="627" t="str">
        <f t="shared" ca="1" si="181"/>
        <v/>
      </c>
      <c r="I299" s="627" t="str">
        <f t="shared" ca="1" si="181"/>
        <v/>
      </c>
      <c r="J299" s="627" t="str">
        <f t="shared" ca="1" si="181"/>
        <v/>
      </c>
      <c r="K299" s="627" t="str">
        <f t="shared" ca="1" si="181"/>
        <v/>
      </c>
      <c r="L299" s="627" t="str">
        <f t="shared" ca="1" si="181"/>
        <v/>
      </c>
      <c r="M299" s="627" t="str">
        <f t="shared" ca="1" si="181"/>
        <v/>
      </c>
      <c r="N299" s="627" t="str">
        <f t="shared" ca="1" si="181"/>
        <v/>
      </c>
      <c r="O299" s="627" t="str">
        <f t="shared" ca="1" si="181"/>
        <v/>
      </c>
      <c r="P299" s="627" t="str">
        <f t="shared" ca="1" si="181"/>
        <v/>
      </c>
      <c r="Q299" s="627" t="str">
        <f t="shared" ca="1" si="181"/>
        <v/>
      </c>
      <c r="R299" s="627" t="str">
        <f t="shared" ca="1" si="181"/>
        <v/>
      </c>
      <c r="S299" s="627" t="str">
        <f t="shared" ca="1" si="181"/>
        <v/>
      </c>
      <c r="T299" s="627" t="str">
        <f t="shared" ca="1" si="181"/>
        <v/>
      </c>
      <c r="U299" s="627" t="str">
        <f t="shared" ca="1" si="181"/>
        <v/>
      </c>
      <c r="V299" s="627" t="str">
        <f t="shared" ca="1" si="181"/>
        <v/>
      </c>
      <c r="W299" s="627" t="str">
        <f t="shared" ca="1" si="181"/>
        <v/>
      </c>
      <c r="X299" s="627" t="str">
        <f t="shared" ca="1" si="181"/>
        <v/>
      </c>
      <c r="Y299" s="627" t="str">
        <f t="shared" ca="1" si="181"/>
        <v/>
      </c>
      <c r="Z299" s="627" t="str">
        <f t="shared" ca="1" si="181"/>
        <v/>
      </c>
      <c r="AA299" s="627" t="str">
        <f t="shared" ca="1" si="181"/>
        <v/>
      </c>
      <c r="AB299" s="627" t="str">
        <f t="shared" ca="1" si="181"/>
        <v/>
      </c>
      <c r="AC299" s="627" t="str">
        <f t="shared" ca="1" si="181"/>
        <v/>
      </c>
      <c r="AD299" s="627" t="str">
        <f t="shared" ca="1" si="181"/>
        <v/>
      </c>
      <c r="AE299" s="627" t="str">
        <f t="shared" ca="1" si="181"/>
        <v/>
      </c>
      <c r="AF299" s="627" t="str">
        <f t="shared" ca="1" si="181"/>
        <v/>
      </c>
      <c r="AG299" s="627" t="str">
        <f t="shared" ca="1" si="181"/>
        <v/>
      </c>
      <c r="AH299" s="627" t="str">
        <f t="shared" ca="1" si="181"/>
        <v/>
      </c>
      <c r="AI299" s="627" t="str">
        <f t="shared" ca="1" si="181"/>
        <v/>
      </c>
      <c r="AJ299" s="627" t="str">
        <f t="shared" ca="1" si="181"/>
        <v/>
      </c>
      <c r="AK299" s="627" t="str">
        <f t="shared" ref="AK299:BB299" ca="1" si="182">IF(AK253="",OFFSET(A1_原単位2026,53,AK247+2),IFERROR(OFFSET(貼付け_2027実績,6,AK253+1)&amp;"",""))</f>
        <v/>
      </c>
      <c r="AL299" s="627" t="str">
        <f t="shared" ca="1" si="182"/>
        <v/>
      </c>
      <c r="AM299" s="627" t="str">
        <f t="shared" ca="1" si="182"/>
        <v/>
      </c>
      <c r="AN299" s="627" t="str">
        <f t="shared" ca="1" si="182"/>
        <v/>
      </c>
      <c r="AO299" s="627" t="str">
        <f t="shared" ca="1" si="182"/>
        <v/>
      </c>
      <c r="AP299" s="627" t="str">
        <f t="shared" ca="1" si="182"/>
        <v/>
      </c>
      <c r="AQ299" s="627" t="str">
        <f t="shared" ca="1" si="182"/>
        <v/>
      </c>
      <c r="AR299" s="627" t="str">
        <f t="shared" ca="1" si="182"/>
        <v/>
      </c>
      <c r="AS299" s="627" t="str">
        <f t="shared" ca="1" si="182"/>
        <v/>
      </c>
      <c r="AT299" s="627" t="str">
        <f t="shared" ca="1" si="182"/>
        <v/>
      </c>
      <c r="AU299" s="627" t="str">
        <f t="shared" ca="1" si="182"/>
        <v/>
      </c>
      <c r="AV299" s="627" t="str">
        <f t="shared" ca="1" si="182"/>
        <v/>
      </c>
      <c r="AW299" s="627" t="str">
        <f t="shared" ca="1" si="182"/>
        <v/>
      </c>
      <c r="AX299" s="627" t="str">
        <f t="shared" ca="1" si="182"/>
        <v/>
      </c>
      <c r="AY299" s="627" t="str">
        <f t="shared" ca="1" si="182"/>
        <v/>
      </c>
      <c r="AZ299" s="627" t="str">
        <f t="shared" ca="1" si="182"/>
        <v/>
      </c>
      <c r="BA299" s="627" t="str">
        <f t="shared" ca="1" si="182"/>
        <v/>
      </c>
      <c r="BB299" s="628" t="str">
        <f t="shared" ca="1" si="182"/>
        <v/>
      </c>
    </row>
    <row r="300" spans="1:242" hidden="1">
      <c r="A300" s="569">
        <v>54</v>
      </c>
      <c r="B300" s="1060" t="s">
        <v>691</v>
      </c>
      <c r="C300" s="629" t="s">
        <v>497</v>
      </c>
      <c r="D300" s="630"/>
      <c r="E300" s="631" t="str">
        <f ca="1">E255</f>
        <v/>
      </c>
      <c r="F300" s="631" t="str">
        <f t="shared" ref="F300:BB300" ca="1" si="183">F255</f>
        <v/>
      </c>
      <c r="G300" s="631" t="str">
        <f t="shared" ca="1" si="183"/>
        <v/>
      </c>
      <c r="H300" s="631" t="str">
        <f t="shared" ca="1" si="183"/>
        <v/>
      </c>
      <c r="I300" s="631" t="str">
        <f t="shared" ca="1" si="183"/>
        <v/>
      </c>
      <c r="J300" s="631" t="str">
        <f t="shared" ca="1" si="183"/>
        <v/>
      </c>
      <c r="K300" s="631" t="str">
        <f t="shared" ca="1" si="183"/>
        <v/>
      </c>
      <c r="L300" s="631" t="str">
        <f t="shared" ca="1" si="183"/>
        <v/>
      </c>
      <c r="M300" s="631" t="str">
        <f t="shared" ca="1" si="183"/>
        <v/>
      </c>
      <c r="N300" s="631" t="str">
        <f t="shared" ca="1" si="183"/>
        <v/>
      </c>
      <c r="O300" s="631" t="str">
        <f t="shared" ca="1" si="183"/>
        <v/>
      </c>
      <c r="P300" s="631" t="str">
        <f t="shared" ca="1" si="183"/>
        <v/>
      </c>
      <c r="Q300" s="631" t="str">
        <f t="shared" ca="1" si="183"/>
        <v/>
      </c>
      <c r="R300" s="631" t="str">
        <f t="shared" ca="1" si="183"/>
        <v/>
      </c>
      <c r="S300" s="631" t="str">
        <f t="shared" ca="1" si="183"/>
        <v/>
      </c>
      <c r="T300" s="631" t="str">
        <f t="shared" ca="1" si="183"/>
        <v/>
      </c>
      <c r="U300" s="631" t="str">
        <f t="shared" ca="1" si="183"/>
        <v/>
      </c>
      <c r="V300" s="631" t="str">
        <f t="shared" ca="1" si="183"/>
        <v/>
      </c>
      <c r="W300" s="631" t="str">
        <f t="shared" ca="1" si="183"/>
        <v/>
      </c>
      <c r="X300" s="631" t="str">
        <f t="shared" ca="1" si="183"/>
        <v/>
      </c>
      <c r="Y300" s="631" t="str">
        <f t="shared" ca="1" si="183"/>
        <v/>
      </c>
      <c r="Z300" s="631" t="str">
        <f t="shared" ca="1" si="183"/>
        <v/>
      </c>
      <c r="AA300" s="631" t="str">
        <f t="shared" ca="1" si="183"/>
        <v/>
      </c>
      <c r="AB300" s="631" t="str">
        <f t="shared" ca="1" si="183"/>
        <v/>
      </c>
      <c r="AC300" s="631" t="str">
        <f t="shared" ca="1" si="183"/>
        <v/>
      </c>
      <c r="AD300" s="631" t="str">
        <f t="shared" ca="1" si="183"/>
        <v/>
      </c>
      <c r="AE300" s="631" t="str">
        <f t="shared" ca="1" si="183"/>
        <v/>
      </c>
      <c r="AF300" s="631" t="str">
        <f t="shared" ca="1" si="183"/>
        <v/>
      </c>
      <c r="AG300" s="631" t="str">
        <f t="shared" ca="1" si="183"/>
        <v/>
      </c>
      <c r="AH300" s="631" t="str">
        <f t="shared" ca="1" si="183"/>
        <v/>
      </c>
      <c r="AI300" s="631" t="str">
        <f t="shared" ca="1" si="183"/>
        <v/>
      </c>
      <c r="AJ300" s="631" t="str">
        <f t="shared" ca="1" si="183"/>
        <v/>
      </c>
      <c r="AK300" s="631" t="str">
        <f t="shared" ca="1" si="183"/>
        <v/>
      </c>
      <c r="AL300" s="631" t="str">
        <f t="shared" ca="1" si="183"/>
        <v/>
      </c>
      <c r="AM300" s="631" t="str">
        <f t="shared" ca="1" si="183"/>
        <v/>
      </c>
      <c r="AN300" s="631" t="str">
        <f t="shared" ca="1" si="183"/>
        <v/>
      </c>
      <c r="AO300" s="631" t="str">
        <f t="shared" ca="1" si="183"/>
        <v/>
      </c>
      <c r="AP300" s="631" t="str">
        <f t="shared" ca="1" si="183"/>
        <v/>
      </c>
      <c r="AQ300" s="631" t="str">
        <f t="shared" ca="1" si="183"/>
        <v/>
      </c>
      <c r="AR300" s="631" t="str">
        <f t="shared" ca="1" si="183"/>
        <v/>
      </c>
      <c r="AS300" s="631" t="str">
        <f t="shared" ca="1" si="183"/>
        <v/>
      </c>
      <c r="AT300" s="631" t="str">
        <f t="shared" ca="1" si="183"/>
        <v/>
      </c>
      <c r="AU300" s="631" t="str">
        <f t="shared" ca="1" si="183"/>
        <v/>
      </c>
      <c r="AV300" s="631" t="str">
        <f t="shared" ca="1" si="183"/>
        <v/>
      </c>
      <c r="AW300" s="631" t="str">
        <f t="shared" ca="1" si="183"/>
        <v/>
      </c>
      <c r="AX300" s="631" t="str">
        <f t="shared" ca="1" si="183"/>
        <v/>
      </c>
      <c r="AY300" s="631" t="str">
        <f t="shared" ca="1" si="183"/>
        <v/>
      </c>
      <c r="AZ300" s="631" t="str">
        <f t="shared" ca="1" si="183"/>
        <v/>
      </c>
      <c r="BA300" s="631" t="str">
        <f t="shared" ca="1" si="183"/>
        <v/>
      </c>
      <c r="BB300" s="631" t="str">
        <f t="shared" ca="1" si="183"/>
        <v/>
      </c>
    </row>
    <row r="301" spans="1:242" hidden="1">
      <c r="A301" s="569">
        <v>55</v>
      </c>
      <c r="B301" s="1061"/>
      <c r="C301" s="633" t="s">
        <v>498</v>
      </c>
      <c r="D301" s="634"/>
      <c r="E301" s="581" t="str">
        <f ca="1">E267</f>
        <v/>
      </c>
      <c r="F301" s="581" t="str">
        <f t="shared" ref="F301:BB301" ca="1" si="184">F267</f>
        <v/>
      </c>
      <c r="G301" s="581" t="str">
        <f t="shared" ca="1" si="184"/>
        <v/>
      </c>
      <c r="H301" s="581" t="str">
        <f t="shared" ca="1" si="184"/>
        <v/>
      </c>
      <c r="I301" s="581" t="str">
        <f t="shared" ca="1" si="184"/>
        <v/>
      </c>
      <c r="J301" s="581" t="str">
        <f t="shared" ca="1" si="184"/>
        <v/>
      </c>
      <c r="K301" s="581" t="str">
        <f t="shared" ca="1" si="184"/>
        <v/>
      </c>
      <c r="L301" s="581" t="str">
        <f t="shared" ca="1" si="184"/>
        <v/>
      </c>
      <c r="M301" s="581" t="str">
        <f t="shared" ca="1" si="184"/>
        <v/>
      </c>
      <c r="N301" s="581" t="str">
        <f t="shared" ca="1" si="184"/>
        <v/>
      </c>
      <c r="O301" s="581" t="str">
        <f t="shared" ca="1" si="184"/>
        <v/>
      </c>
      <c r="P301" s="581" t="str">
        <f t="shared" ca="1" si="184"/>
        <v/>
      </c>
      <c r="Q301" s="581" t="str">
        <f t="shared" ca="1" si="184"/>
        <v/>
      </c>
      <c r="R301" s="581" t="str">
        <f t="shared" ca="1" si="184"/>
        <v/>
      </c>
      <c r="S301" s="581" t="str">
        <f t="shared" ca="1" si="184"/>
        <v/>
      </c>
      <c r="T301" s="581" t="str">
        <f t="shared" ca="1" si="184"/>
        <v/>
      </c>
      <c r="U301" s="581" t="str">
        <f t="shared" ca="1" si="184"/>
        <v/>
      </c>
      <c r="V301" s="581" t="str">
        <f t="shared" ca="1" si="184"/>
        <v/>
      </c>
      <c r="W301" s="581" t="str">
        <f t="shared" ca="1" si="184"/>
        <v/>
      </c>
      <c r="X301" s="581" t="str">
        <f t="shared" ca="1" si="184"/>
        <v/>
      </c>
      <c r="Y301" s="581" t="str">
        <f t="shared" ca="1" si="184"/>
        <v/>
      </c>
      <c r="Z301" s="581" t="str">
        <f t="shared" ca="1" si="184"/>
        <v/>
      </c>
      <c r="AA301" s="581" t="str">
        <f t="shared" ca="1" si="184"/>
        <v/>
      </c>
      <c r="AB301" s="581" t="str">
        <f t="shared" ca="1" si="184"/>
        <v/>
      </c>
      <c r="AC301" s="581" t="str">
        <f t="shared" ca="1" si="184"/>
        <v/>
      </c>
      <c r="AD301" s="581" t="str">
        <f t="shared" ca="1" si="184"/>
        <v/>
      </c>
      <c r="AE301" s="581" t="str">
        <f t="shared" ca="1" si="184"/>
        <v/>
      </c>
      <c r="AF301" s="581" t="str">
        <f t="shared" ca="1" si="184"/>
        <v/>
      </c>
      <c r="AG301" s="581" t="str">
        <f t="shared" ca="1" si="184"/>
        <v/>
      </c>
      <c r="AH301" s="581" t="str">
        <f t="shared" ca="1" si="184"/>
        <v/>
      </c>
      <c r="AI301" s="581" t="str">
        <f t="shared" ca="1" si="184"/>
        <v/>
      </c>
      <c r="AJ301" s="581" t="str">
        <f t="shared" ca="1" si="184"/>
        <v/>
      </c>
      <c r="AK301" s="581" t="str">
        <f t="shared" ca="1" si="184"/>
        <v/>
      </c>
      <c r="AL301" s="581" t="str">
        <f t="shared" ca="1" si="184"/>
        <v/>
      </c>
      <c r="AM301" s="581" t="str">
        <f t="shared" ca="1" si="184"/>
        <v/>
      </c>
      <c r="AN301" s="581" t="str">
        <f t="shared" ca="1" si="184"/>
        <v/>
      </c>
      <c r="AO301" s="581" t="str">
        <f t="shared" ca="1" si="184"/>
        <v/>
      </c>
      <c r="AP301" s="581" t="str">
        <f t="shared" ca="1" si="184"/>
        <v/>
      </c>
      <c r="AQ301" s="581" t="str">
        <f t="shared" ca="1" si="184"/>
        <v/>
      </c>
      <c r="AR301" s="581" t="str">
        <f t="shared" ca="1" si="184"/>
        <v/>
      </c>
      <c r="AS301" s="581" t="str">
        <f t="shared" ca="1" si="184"/>
        <v/>
      </c>
      <c r="AT301" s="581" t="str">
        <f t="shared" ca="1" si="184"/>
        <v/>
      </c>
      <c r="AU301" s="581" t="str">
        <f t="shared" ca="1" si="184"/>
        <v/>
      </c>
      <c r="AV301" s="581" t="str">
        <f t="shared" ca="1" si="184"/>
        <v/>
      </c>
      <c r="AW301" s="581" t="str">
        <f t="shared" ca="1" si="184"/>
        <v/>
      </c>
      <c r="AX301" s="581" t="str">
        <f t="shared" ca="1" si="184"/>
        <v/>
      </c>
      <c r="AY301" s="581" t="str">
        <f t="shared" ca="1" si="184"/>
        <v/>
      </c>
      <c r="AZ301" s="581" t="str">
        <f t="shared" ca="1" si="184"/>
        <v/>
      </c>
      <c r="BA301" s="581" t="str">
        <f t="shared" ca="1" si="184"/>
        <v/>
      </c>
      <c r="BB301" s="581" t="str">
        <f t="shared" ca="1" si="184"/>
        <v/>
      </c>
    </row>
    <row r="302" spans="1:242" hidden="1">
      <c r="A302" s="569">
        <v>56</v>
      </c>
      <c r="B302" s="1061"/>
      <c r="C302" s="633" t="s">
        <v>499</v>
      </c>
      <c r="D302" s="634"/>
      <c r="E302" s="581" t="str">
        <f ca="1">E279</f>
        <v/>
      </c>
      <c r="F302" s="581" t="str">
        <f t="shared" ref="F302:BB302" ca="1" si="185">F279</f>
        <v/>
      </c>
      <c r="G302" s="581" t="str">
        <f t="shared" ca="1" si="185"/>
        <v/>
      </c>
      <c r="H302" s="581" t="str">
        <f t="shared" ca="1" si="185"/>
        <v/>
      </c>
      <c r="I302" s="581" t="str">
        <f t="shared" ca="1" si="185"/>
        <v/>
      </c>
      <c r="J302" s="581" t="str">
        <f t="shared" ca="1" si="185"/>
        <v/>
      </c>
      <c r="K302" s="581" t="str">
        <f t="shared" ca="1" si="185"/>
        <v/>
      </c>
      <c r="L302" s="581" t="str">
        <f t="shared" ca="1" si="185"/>
        <v/>
      </c>
      <c r="M302" s="581" t="str">
        <f t="shared" ca="1" si="185"/>
        <v/>
      </c>
      <c r="N302" s="581" t="str">
        <f t="shared" ca="1" si="185"/>
        <v/>
      </c>
      <c r="O302" s="581" t="str">
        <f t="shared" ca="1" si="185"/>
        <v/>
      </c>
      <c r="P302" s="581" t="str">
        <f t="shared" ca="1" si="185"/>
        <v/>
      </c>
      <c r="Q302" s="581" t="str">
        <f t="shared" ca="1" si="185"/>
        <v/>
      </c>
      <c r="R302" s="581" t="str">
        <f t="shared" ca="1" si="185"/>
        <v/>
      </c>
      <c r="S302" s="581" t="str">
        <f t="shared" ca="1" si="185"/>
        <v/>
      </c>
      <c r="T302" s="581" t="str">
        <f t="shared" ca="1" si="185"/>
        <v/>
      </c>
      <c r="U302" s="581" t="str">
        <f t="shared" ca="1" si="185"/>
        <v/>
      </c>
      <c r="V302" s="581" t="str">
        <f t="shared" ca="1" si="185"/>
        <v/>
      </c>
      <c r="W302" s="581" t="str">
        <f t="shared" ca="1" si="185"/>
        <v/>
      </c>
      <c r="X302" s="581" t="str">
        <f t="shared" ca="1" si="185"/>
        <v/>
      </c>
      <c r="Y302" s="581" t="str">
        <f t="shared" ca="1" si="185"/>
        <v/>
      </c>
      <c r="Z302" s="581" t="str">
        <f t="shared" ca="1" si="185"/>
        <v/>
      </c>
      <c r="AA302" s="581" t="str">
        <f t="shared" ca="1" si="185"/>
        <v/>
      </c>
      <c r="AB302" s="581" t="str">
        <f t="shared" ca="1" si="185"/>
        <v/>
      </c>
      <c r="AC302" s="581" t="str">
        <f t="shared" ca="1" si="185"/>
        <v/>
      </c>
      <c r="AD302" s="581" t="str">
        <f t="shared" ca="1" si="185"/>
        <v/>
      </c>
      <c r="AE302" s="581" t="str">
        <f t="shared" ca="1" si="185"/>
        <v/>
      </c>
      <c r="AF302" s="581" t="str">
        <f t="shared" ca="1" si="185"/>
        <v/>
      </c>
      <c r="AG302" s="581" t="str">
        <f t="shared" ca="1" si="185"/>
        <v/>
      </c>
      <c r="AH302" s="581" t="str">
        <f t="shared" ca="1" si="185"/>
        <v/>
      </c>
      <c r="AI302" s="581" t="str">
        <f t="shared" ca="1" si="185"/>
        <v/>
      </c>
      <c r="AJ302" s="581" t="str">
        <f t="shared" ca="1" si="185"/>
        <v/>
      </c>
      <c r="AK302" s="581" t="str">
        <f t="shared" ca="1" si="185"/>
        <v/>
      </c>
      <c r="AL302" s="581" t="str">
        <f t="shared" ca="1" si="185"/>
        <v/>
      </c>
      <c r="AM302" s="581" t="str">
        <f t="shared" ca="1" si="185"/>
        <v/>
      </c>
      <c r="AN302" s="581" t="str">
        <f t="shared" ca="1" si="185"/>
        <v/>
      </c>
      <c r="AO302" s="581" t="str">
        <f t="shared" ca="1" si="185"/>
        <v/>
      </c>
      <c r="AP302" s="581" t="str">
        <f t="shared" ca="1" si="185"/>
        <v/>
      </c>
      <c r="AQ302" s="581" t="str">
        <f t="shared" ca="1" si="185"/>
        <v/>
      </c>
      <c r="AR302" s="581" t="str">
        <f t="shared" ca="1" si="185"/>
        <v/>
      </c>
      <c r="AS302" s="581" t="str">
        <f t="shared" ca="1" si="185"/>
        <v/>
      </c>
      <c r="AT302" s="581" t="str">
        <f t="shared" ca="1" si="185"/>
        <v/>
      </c>
      <c r="AU302" s="581" t="str">
        <f t="shared" ca="1" si="185"/>
        <v/>
      </c>
      <c r="AV302" s="581" t="str">
        <f t="shared" ca="1" si="185"/>
        <v/>
      </c>
      <c r="AW302" s="581" t="str">
        <f t="shared" ca="1" si="185"/>
        <v/>
      </c>
      <c r="AX302" s="581" t="str">
        <f t="shared" ca="1" si="185"/>
        <v/>
      </c>
      <c r="AY302" s="581" t="str">
        <f t="shared" ca="1" si="185"/>
        <v/>
      </c>
      <c r="AZ302" s="581" t="str">
        <f t="shared" ca="1" si="185"/>
        <v/>
      </c>
      <c r="BA302" s="581" t="str">
        <f t="shared" ca="1" si="185"/>
        <v/>
      </c>
      <c r="BB302" s="581" t="str">
        <f t="shared" ca="1" si="185"/>
        <v/>
      </c>
    </row>
    <row r="303" spans="1:242" ht="18.600000000000001" hidden="1" thickBot="1">
      <c r="A303" s="569">
        <v>57</v>
      </c>
      <c r="B303" s="1062"/>
      <c r="C303" s="636" t="s">
        <v>500</v>
      </c>
      <c r="D303" s="639"/>
      <c r="E303" s="637" t="str">
        <f ca="1">E291</f>
        <v/>
      </c>
      <c r="F303" s="637" t="str">
        <f t="shared" ref="F303:BB303" ca="1" si="186">F291</f>
        <v/>
      </c>
      <c r="G303" s="637" t="str">
        <f t="shared" ca="1" si="186"/>
        <v/>
      </c>
      <c r="H303" s="637" t="str">
        <f t="shared" ca="1" si="186"/>
        <v/>
      </c>
      <c r="I303" s="637" t="str">
        <f t="shared" ca="1" si="186"/>
        <v/>
      </c>
      <c r="J303" s="637" t="str">
        <f t="shared" ca="1" si="186"/>
        <v/>
      </c>
      <c r="K303" s="637" t="str">
        <f t="shared" ca="1" si="186"/>
        <v/>
      </c>
      <c r="L303" s="637" t="str">
        <f t="shared" ca="1" si="186"/>
        <v/>
      </c>
      <c r="M303" s="637" t="str">
        <f t="shared" ca="1" si="186"/>
        <v/>
      </c>
      <c r="N303" s="637" t="str">
        <f t="shared" ca="1" si="186"/>
        <v/>
      </c>
      <c r="O303" s="637" t="str">
        <f t="shared" ca="1" si="186"/>
        <v/>
      </c>
      <c r="P303" s="637" t="str">
        <f t="shared" ca="1" si="186"/>
        <v/>
      </c>
      <c r="Q303" s="637" t="str">
        <f t="shared" ca="1" si="186"/>
        <v/>
      </c>
      <c r="R303" s="637" t="str">
        <f t="shared" ca="1" si="186"/>
        <v/>
      </c>
      <c r="S303" s="637" t="str">
        <f t="shared" ca="1" si="186"/>
        <v/>
      </c>
      <c r="T303" s="637" t="str">
        <f t="shared" ca="1" si="186"/>
        <v/>
      </c>
      <c r="U303" s="637" t="str">
        <f t="shared" ca="1" si="186"/>
        <v/>
      </c>
      <c r="V303" s="637" t="str">
        <f t="shared" ca="1" si="186"/>
        <v/>
      </c>
      <c r="W303" s="637" t="str">
        <f t="shared" ca="1" si="186"/>
        <v/>
      </c>
      <c r="X303" s="637" t="str">
        <f t="shared" ca="1" si="186"/>
        <v/>
      </c>
      <c r="Y303" s="637" t="str">
        <f t="shared" ca="1" si="186"/>
        <v/>
      </c>
      <c r="Z303" s="637" t="str">
        <f t="shared" ca="1" si="186"/>
        <v/>
      </c>
      <c r="AA303" s="637" t="str">
        <f t="shared" ca="1" si="186"/>
        <v/>
      </c>
      <c r="AB303" s="637" t="str">
        <f t="shared" ca="1" si="186"/>
        <v/>
      </c>
      <c r="AC303" s="637" t="str">
        <f t="shared" ca="1" si="186"/>
        <v/>
      </c>
      <c r="AD303" s="637" t="str">
        <f t="shared" ca="1" si="186"/>
        <v/>
      </c>
      <c r="AE303" s="637" t="str">
        <f t="shared" ca="1" si="186"/>
        <v/>
      </c>
      <c r="AF303" s="637" t="str">
        <f t="shared" ca="1" si="186"/>
        <v/>
      </c>
      <c r="AG303" s="637" t="str">
        <f t="shared" ca="1" si="186"/>
        <v/>
      </c>
      <c r="AH303" s="637" t="str">
        <f t="shared" ca="1" si="186"/>
        <v/>
      </c>
      <c r="AI303" s="637" t="str">
        <f t="shared" ca="1" si="186"/>
        <v/>
      </c>
      <c r="AJ303" s="637" t="str">
        <f t="shared" ca="1" si="186"/>
        <v/>
      </c>
      <c r="AK303" s="637" t="str">
        <f t="shared" ca="1" si="186"/>
        <v/>
      </c>
      <c r="AL303" s="637" t="str">
        <f t="shared" ca="1" si="186"/>
        <v/>
      </c>
      <c r="AM303" s="637" t="str">
        <f t="shared" ca="1" si="186"/>
        <v/>
      </c>
      <c r="AN303" s="637" t="str">
        <f t="shared" ca="1" si="186"/>
        <v/>
      </c>
      <c r="AO303" s="637" t="str">
        <f t="shared" ca="1" si="186"/>
        <v/>
      </c>
      <c r="AP303" s="637" t="str">
        <f t="shared" ca="1" si="186"/>
        <v/>
      </c>
      <c r="AQ303" s="637" t="str">
        <f t="shared" ca="1" si="186"/>
        <v/>
      </c>
      <c r="AR303" s="637" t="str">
        <f t="shared" ca="1" si="186"/>
        <v/>
      </c>
      <c r="AS303" s="637" t="str">
        <f t="shared" ca="1" si="186"/>
        <v/>
      </c>
      <c r="AT303" s="637" t="str">
        <f t="shared" ca="1" si="186"/>
        <v/>
      </c>
      <c r="AU303" s="637" t="str">
        <f t="shared" ca="1" si="186"/>
        <v/>
      </c>
      <c r="AV303" s="637" t="str">
        <f t="shared" ca="1" si="186"/>
        <v/>
      </c>
      <c r="AW303" s="637" t="str">
        <f t="shared" ca="1" si="186"/>
        <v/>
      </c>
      <c r="AX303" s="637" t="str">
        <f t="shared" ca="1" si="186"/>
        <v/>
      </c>
      <c r="AY303" s="637" t="str">
        <f t="shared" ca="1" si="186"/>
        <v/>
      </c>
      <c r="AZ303" s="637" t="str">
        <f t="shared" ca="1" si="186"/>
        <v/>
      </c>
      <c r="BA303" s="637" t="str">
        <f t="shared" ca="1" si="186"/>
        <v/>
      </c>
      <c r="BB303" s="637" t="str">
        <f t="shared" ca="1" si="186"/>
        <v/>
      </c>
    </row>
    <row r="304" spans="1:242" hidden="1">
      <c r="A304" s="569">
        <v>58</v>
      </c>
      <c r="B304" s="1060" t="s">
        <v>692</v>
      </c>
      <c r="C304" s="629" t="s">
        <v>497</v>
      </c>
      <c r="D304" s="630"/>
      <c r="E304" s="631" t="str">
        <f t="shared" ref="E304:AJ304" ca="1" si="187">OFFSET(A1_原単位2026,9,E247+2)</f>
        <v/>
      </c>
      <c r="F304" s="631" t="str">
        <f t="shared" ca="1" si="187"/>
        <v/>
      </c>
      <c r="G304" s="631" t="str">
        <f t="shared" ca="1" si="187"/>
        <v/>
      </c>
      <c r="H304" s="631" t="str">
        <f t="shared" ca="1" si="187"/>
        <v/>
      </c>
      <c r="I304" s="631" t="str">
        <f t="shared" ca="1" si="187"/>
        <v/>
      </c>
      <c r="J304" s="631" t="str">
        <f t="shared" ca="1" si="187"/>
        <v/>
      </c>
      <c r="K304" s="631" t="str">
        <f t="shared" ca="1" si="187"/>
        <v/>
      </c>
      <c r="L304" s="631" t="str">
        <f t="shared" ca="1" si="187"/>
        <v/>
      </c>
      <c r="M304" s="631" t="str">
        <f t="shared" ca="1" si="187"/>
        <v/>
      </c>
      <c r="N304" s="631" t="str">
        <f t="shared" ca="1" si="187"/>
        <v/>
      </c>
      <c r="O304" s="631" t="str">
        <f t="shared" ca="1" si="187"/>
        <v/>
      </c>
      <c r="P304" s="631" t="str">
        <f t="shared" ca="1" si="187"/>
        <v/>
      </c>
      <c r="Q304" s="631" t="str">
        <f t="shared" ca="1" si="187"/>
        <v/>
      </c>
      <c r="R304" s="631" t="str">
        <f t="shared" ca="1" si="187"/>
        <v/>
      </c>
      <c r="S304" s="631" t="str">
        <f t="shared" ca="1" si="187"/>
        <v/>
      </c>
      <c r="T304" s="631" t="str">
        <f t="shared" ca="1" si="187"/>
        <v/>
      </c>
      <c r="U304" s="631" t="str">
        <f t="shared" ca="1" si="187"/>
        <v/>
      </c>
      <c r="V304" s="631" t="str">
        <f t="shared" ca="1" si="187"/>
        <v/>
      </c>
      <c r="W304" s="631" t="str">
        <f t="shared" ca="1" si="187"/>
        <v/>
      </c>
      <c r="X304" s="631" t="str">
        <f t="shared" ca="1" si="187"/>
        <v/>
      </c>
      <c r="Y304" s="631" t="str">
        <f t="shared" ca="1" si="187"/>
        <v/>
      </c>
      <c r="Z304" s="631" t="str">
        <f t="shared" ca="1" si="187"/>
        <v/>
      </c>
      <c r="AA304" s="631" t="str">
        <f t="shared" ca="1" si="187"/>
        <v/>
      </c>
      <c r="AB304" s="631" t="str">
        <f t="shared" ca="1" si="187"/>
        <v/>
      </c>
      <c r="AC304" s="631" t="str">
        <f t="shared" ca="1" si="187"/>
        <v/>
      </c>
      <c r="AD304" s="631" t="str">
        <f t="shared" ca="1" si="187"/>
        <v/>
      </c>
      <c r="AE304" s="631" t="str">
        <f t="shared" ca="1" si="187"/>
        <v/>
      </c>
      <c r="AF304" s="631" t="str">
        <f t="shared" ca="1" si="187"/>
        <v/>
      </c>
      <c r="AG304" s="631" t="str">
        <f t="shared" ca="1" si="187"/>
        <v/>
      </c>
      <c r="AH304" s="631" t="str">
        <f t="shared" ca="1" si="187"/>
        <v/>
      </c>
      <c r="AI304" s="631" t="str">
        <f t="shared" ca="1" si="187"/>
        <v/>
      </c>
      <c r="AJ304" s="631" t="str">
        <f t="shared" ca="1" si="187"/>
        <v/>
      </c>
      <c r="AK304" s="631" t="str">
        <f t="shared" ref="AK304:BB304" ca="1" si="188">OFFSET(A1_原単位2026,9,AK247+2)</f>
        <v/>
      </c>
      <c r="AL304" s="631" t="str">
        <f t="shared" ca="1" si="188"/>
        <v/>
      </c>
      <c r="AM304" s="631" t="str">
        <f t="shared" ca="1" si="188"/>
        <v/>
      </c>
      <c r="AN304" s="631" t="str">
        <f t="shared" ca="1" si="188"/>
        <v/>
      </c>
      <c r="AO304" s="631" t="str">
        <f t="shared" ca="1" si="188"/>
        <v/>
      </c>
      <c r="AP304" s="631" t="str">
        <f t="shared" ca="1" si="188"/>
        <v/>
      </c>
      <c r="AQ304" s="631" t="str">
        <f t="shared" ca="1" si="188"/>
        <v/>
      </c>
      <c r="AR304" s="631" t="str">
        <f t="shared" ca="1" si="188"/>
        <v/>
      </c>
      <c r="AS304" s="631" t="str">
        <f t="shared" ca="1" si="188"/>
        <v/>
      </c>
      <c r="AT304" s="631" t="str">
        <f t="shared" ca="1" si="188"/>
        <v/>
      </c>
      <c r="AU304" s="631" t="str">
        <f t="shared" ca="1" si="188"/>
        <v/>
      </c>
      <c r="AV304" s="631" t="str">
        <f t="shared" ca="1" si="188"/>
        <v/>
      </c>
      <c r="AW304" s="631" t="str">
        <f t="shared" ca="1" si="188"/>
        <v/>
      </c>
      <c r="AX304" s="631" t="str">
        <f t="shared" ca="1" si="188"/>
        <v/>
      </c>
      <c r="AY304" s="631" t="str">
        <f t="shared" ca="1" si="188"/>
        <v/>
      </c>
      <c r="AZ304" s="631" t="str">
        <f t="shared" ca="1" si="188"/>
        <v/>
      </c>
      <c r="BA304" s="631" t="str">
        <f t="shared" ca="1" si="188"/>
        <v/>
      </c>
      <c r="BB304" s="631" t="str">
        <f t="shared" ca="1" si="188"/>
        <v/>
      </c>
    </row>
    <row r="305" spans="1:242" hidden="1">
      <c r="A305" s="569">
        <v>59</v>
      </c>
      <c r="B305" s="1061"/>
      <c r="C305" s="633" t="s">
        <v>498</v>
      </c>
      <c r="D305" s="634"/>
      <c r="E305" s="581" t="str">
        <f t="shared" ref="E305:AJ305" ca="1" si="189">OFFSET(A1_原単位2026,9+12,E247+2)</f>
        <v/>
      </c>
      <c r="F305" s="581" t="str">
        <f t="shared" ca="1" si="189"/>
        <v/>
      </c>
      <c r="G305" s="581" t="str">
        <f t="shared" ca="1" si="189"/>
        <v/>
      </c>
      <c r="H305" s="581" t="str">
        <f t="shared" ca="1" si="189"/>
        <v/>
      </c>
      <c r="I305" s="581" t="str">
        <f t="shared" ca="1" si="189"/>
        <v/>
      </c>
      <c r="J305" s="581" t="str">
        <f t="shared" ca="1" si="189"/>
        <v/>
      </c>
      <c r="K305" s="581" t="str">
        <f t="shared" ca="1" si="189"/>
        <v/>
      </c>
      <c r="L305" s="581" t="str">
        <f t="shared" ca="1" si="189"/>
        <v/>
      </c>
      <c r="M305" s="581" t="str">
        <f t="shared" ca="1" si="189"/>
        <v/>
      </c>
      <c r="N305" s="581" t="str">
        <f t="shared" ca="1" si="189"/>
        <v/>
      </c>
      <c r="O305" s="581" t="str">
        <f t="shared" ca="1" si="189"/>
        <v/>
      </c>
      <c r="P305" s="581" t="str">
        <f t="shared" ca="1" si="189"/>
        <v/>
      </c>
      <c r="Q305" s="581" t="str">
        <f t="shared" ca="1" si="189"/>
        <v/>
      </c>
      <c r="R305" s="581" t="str">
        <f t="shared" ca="1" si="189"/>
        <v/>
      </c>
      <c r="S305" s="581" t="str">
        <f t="shared" ca="1" si="189"/>
        <v/>
      </c>
      <c r="T305" s="581" t="str">
        <f t="shared" ca="1" si="189"/>
        <v/>
      </c>
      <c r="U305" s="581" t="str">
        <f t="shared" ca="1" si="189"/>
        <v/>
      </c>
      <c r="V305" s="581" t="str">
        <f t="shared" ca="1" si="189"/>
        <v/>
      </c>
      <c r="W305" s="581" t="str">
        <f t="shared" ca="1" si="189"/>
        <v/>
      </c>
      <c r="X305" s="581" t="str">
        <f t="shared" ca="1" si="189"/>
        <v/>
      </c>
      <c r="Y305" s="581" t="str">
        <f t="shared" ca="1" si="189"/>
        <v/>
      </c>
      <c r="Z305" s="581" t="str">
        <f t="shared" ca="1" si="189"/>
        <v/>
      </c>
      <c r="AA305" s="581" t="str">
        <f t="shared" ca="1" si="189"/>
        <v/>
      </c>
      <c r="AB305" s="581" t="str">
        <f t="shared" ca="1" si="189"/>
        <v/>
      </c>
      <c r="AC305" s="581" t="str">
        <f t="shared" ca="1" si="189"/>
        <v/>
      </c>
      <c r="AD305" s="581" t="str">
        <f t="shared" ca="1" si="189"/>
        <v/>
      </c>
      <c r="AE305" s="581" t="str">
        <f t="shared" ca="1" si="189"/>
        <v/>
      </c>
      <c r="AF305" s="581" t="str">
        <f t="shared" ca="1" si="189"/>
        <v/>
      </c>
      <c r="AG305" s="581" t="str">
        <f t="shared" ca="1" si="189"/>
        <v/>
      </c>
      <c r="AH305" s="581" t="str">
        <f t="shared" ca="1" si="189"/>
        <v/>
      </c>
      <c r="AI305" s="581" t="str">
        <f t="shared" ca="1" si="189"/>
        <v/>
      </c>
      <c r="AJ305" s="581" t="str">
        <f t="shared" ca="1" si="189"/>
        <v/>
      </c>
      <c r="AK305" s="581" t="str">
        <f t="shared" ref="AK305:BB305" ca="1" si="190">OFFSET(A1_原単位2026,9+12,AK247+2)</f>
        <v/>
      </c>
      <c r="AL305" s="581" t="str">
        <f t="shared" ca="1" si="190"/>
        <v/>
      </c>
      <c r="AM305" s="581" t="str">
        <f t="shared" ca="1" si="190"/>
        <v/>
      </c>
      <c r="AN305" s="581" t="str">
        <f t="shared" ca="1" si="190"/>
        <v/>
      </c>
      <c r="AO305" s="581" t="str">
        <f t="shared" ca="1" si="190"/>
        <v/>
      </c>
      <c r="AP305" s="581" t="str">
        <f t="shared" ca="1" si="190"/>
        <v/>
      </c>
      <c r="AQ305" s="581" t="str">
        <f t="shared" ca="1" si="190"/>
        <v/>
      </c>
      <c r="AR305" s="581" t="str">
        <f t="shared" ca="1" si="190"/>
        <v/>
      </c>
      <c r="AS305" s="581" t="str">
        <f t="shared" ca="1" si="190"/>
        <v/>
      </c>
      <c r="AT305" s="581" t="str">
        <f t="shared" ca="1" si="190"/>
        <v/>
      </c>
      <c r="AU305" s="581" t="str">
        <f t="shared" ca="1" si="190"/>
        <v/>
      </c>
      <c r="AV305" s="581" t="str">
        <f t="shared" ca="1" si="190"/>
        <v/>
      </c>
      <c r="AW305" s="581" t="str">
        <f t="shared" ca="1" si="190"/>
        <v/>
      </c>
      <c r="AX305" s="581" t="str">
        <f t="shared" ca="1" si="190"/>
        <v/>
      </c>
      <c r="AY305" s="581" t="str">
        <f t="shared" ca="1" si="190"/>
        <v/>
      </c>
      <c r="AZ305" s="581" t="str">
        <f t="shared" ca="1" si="190"/>
        <v/>
      </c>
      <c r="BA305" s="581" t="str">
        <f t="shared" ca="1" si="190"/>
        <v/>
      </c>
      <c r="BB305" s="635" t="str">
        <f t="shared" ca="1" si="190"/>
        <v/>
      </c>
    </row>
    <row r="306" spans="1:242" hidden="1">
      <c r="A306" s="569">
        <v>60</v>
      </c>
      <c r="B306" s="1061"/>
      <c r="C306" s="633" t="s">
        <v>499</v>
      </c>
      <c r="D306" s="634"/>
      <c r="E306" s="581" t="str">
        <f t="shared" ref="E306:AJ306" ca="1" si="191">OFFSET(A1_原単位2026,9+24,E247+2)</f>
        <v/>
      </c>
      <c r="F306" s="581" t="str">
        <f t="shared" ca="1" si="191"/>
        <v/>
      </c>
      <c r="G306" s="581" t="str">
        <f t="shared" ca="1" si="191"/>
        <v/>
      </c>
      <c r="H306" s="581" t="str">
        <f t="shared" ca="1" si="191"/>
        <v/>
      </c>
      <c r="I306" s="581" t="str">
        <f t="shared" ca="1" si="191"/>
        <v/>
      </c>
      <c r="J306" s="581" t="str">
        <f t="shared" ca="1" si="191"/>
        <v/>
      </c>
      <c r="K306" s="581" t="str">
        <f t="shared" ca="1" si="191"/>
        <v/>
      </c>
      <c r="L306" s="581" t="str">
        <f t="shared" ca="1" si="191"/>
        <v/>
      </c>
      <c r="M306" s="581" t="str">
        <f t="shared" ca="1" si="191"/>
        <v/>
      </c>
      <c r="N306" s="581" t="str">
        <f t="shared" ca="1" si="191"/>
        <v/>
      </c>
      <c r="O306" s="581" t="str">
        <f t="shared" ca="1" si="191"/>
        <v/>
      </c>
      <c r="P306" s="581" t="str">
        <f t="shared" ca="1" si="191"/>
        <v/>
      </c>
      <c r="Q306" s="581" t="str">
        <f t="shared" ca="1" si="191"/>
        <v/>
      </c>
      <c r="R306" s="581" t="str">
        <f t="shared" ca="1" si="191"/>
        <v/>
      </c>
      <c r="S306" s="581" t="str">
        <f t="shared" ca="1" si="191"/>
        <v/>
      </c>
      <c r="T306" s="581" t="str">
        <f t="shared" ca="1" si="191"/>
        <v/>
      </c>
      <c r="U306" s="581" t="str">
        <f t="shared" ca="1" si="191"/>
        <v/>
      </c>
      <c r="V306" s="581" t="str">
        <f t="shared" ca="1" si="191"/>
        <v/>
      </c>
      <c r="W306" s="581" t="str">
        <f t="shared" ca="1" si="191"/>
        <v/>
      </c>
      <c r="X306" s="581" t="str">
        <f t="shared" ca="1" si="191"/>
        <v/>
      </c>
      <c r="Y306" s="581" t="str">
        <f t="shared" ca="1" si="191"/>
        <v/>
      </c>
      <c r="Z306" s="581" t="str">
        <f t="shared" ca="1" si="191"/>
        <v/>
      </c>
      <c r="AA306" s="581" t="str">
        <f t="shared" ca="1" si="191"/>
        <v/>
      </c>
      <c r="AB306" s="581" t="str">
        <f t="shared" ca="1" si="191"/>
        <v/>
      </c>
      <c r="AC306" s="581" t="str">
        <f t="shared" ca="1" si="191"/>
        <v/>
      </c>
      <c r="AD306" s="581" t="str">
        <f t="shared" ca="1" si="191"/>
        <v/>
      </c>
      <c r="AE306" s="581" t="str">
        <f t="shared" ca="1" si="191"/>
        <v/>
      </c>
      <c r="AF306" s="581" t="str">
        <f t="shared" ca="1" si="191"/>
        <v/>
      </c>
      <c r="AG306" s="581" t="str">
        <f t="shared" ca="1" si="191"/>
        <v/>
      </c>
      <c r="AH306" s="581" t="str">
        <f t="shared" ca="1" si="191"/>
        <v/>
      </c>
      <c r="AI306" s="581" t="str">
        <f t="shared" ca="1" si="191"/>
        <v/>
      </c>
      <c r="AJ306" s="581" t="str">
        <f t="shared" ca="1" si="191"/>
        <v/>
      </c>
      <c r="AK306" s="581" t="str">
        <f t="shared" ref="AK306:BB306" ca="1" si="192">OFFSET(A1_原単位2026,9+24,AK247+2)</f>
        <v/>
      </c>
      <c r="AL306" s="581" t="str">
        <f t="shared" ca="1" si="192"/>
        <v/>
      </c>
      <c r="AM306" s="581" t="str">
        <f t="shared" ca="1" si="192"/>
        <v/>
      </c>
      <c r="AN306" s="581" t="str">
        <f t="shared" ca="1" si="192"/>
        <v/>
      </c>
      <c r="AO306" s="581" t="str">
        <f t="shared" ca="1" si="192"/>
        <v/>
      </c>
      <c r="AP306" s="581" t="str">
        <f t="shared" ca="1" si="192"/>
        <v/>
      </c>
      <c r="AQ306" s="581" t="str">
        <f t="shared" ca="1" si="192"/>
        <v/>
      </c>
      <c r="AR306" s="581" t="str">
        <f t="shared" ca="1" si="192"/>
        <v/>
      </c>
      <c r="AS306" s="581" t="str">
        <f t="shared" ca="1" si="192"/>
        <v/>
      </c>
      <c r="AT306" s="581" t="str">
        <f t="shared" ca="1" si="192"/>
        <v/>
      </c>
      <c r="AU306" s="581" t="str">
        <f t="shared" ca="1" si="192"/>
        <v/>
      </c>
      <c r="AV306" s="581" t="str">
        <f t="shared" ca="1" si="192"/>
        <v/>
      </c>
      <c r="AW306" s="581" t="str">
        <f t="shared" ca="1" si="192"/>
        <v/>
      </c>
      <c r="AX306" s="581" t="str">
        <f t="shared" ca="1" si="192"/>
        <v/>
      </c>
      <c r="AY306" s="581" t="str">
        <f t="shared" ca="1" si="192"/>
        <v/>
      </c>
      <c r="AZ306" s="581" t="str">
        <f t="shared" ca="1" si="192"/>
        <v/>
      </c>
      <c r="BA306" s="581" t="str">
        <f t="shared" ca="1" si="192"/>
        <v/>
      </c>
      <c r="BB306" s="635" t="str">
        <f t="shared" ca="1" si="192"/>
        <v/>
      </c>
    </row>
    <row r="307" spans="1:242" ht="18.600000000000001" hidden="1" thickBot="1">
      <c r="A307" s="569">
        <v>61</v>
      </c>
      <c r="B307" s="1062"/>
      <c r="C307" s="636" t="s">
        <v>500</v>
      </c>
      <c r="D307" s="639"/>
      <c r="E307" s="637" t="str">
        <f t="shared" ref="E307:AJ307" ca="1" si="193">OFFSET(A1_原単位2026,9+36,E247+2)</f>
        <v/>
      </c>
      <c r="F307" s="637" t="str">
        <f t="shared" ca="1" si="193"/>
        <v/>
      </c>
      <c r="G307" s="637" t="str">
        <f t="shared" ca="1" si="193"/>
        <v/>
      </c>
      <c r="H307" s="637" t="str">
        <f t="shared" ca="1" si="193"/>
        <v/>
      </c>
      <c r="I307" s="637" t="str">
        <f t="shared" ca="1" si="193"/>
        <v/>
      </c>
      <c r="J307" s="637" t="str">
        <f t="shared" ca="1" si="193"/>
        <v/>
      </c>
      <c r="K307" s="637" t="str">
        <f t="shared" ca="1" si="193"/>
        <v/>
      </c>
      <c r="L307" s="637" t="str">
        <f t="shared" ca="1" si="193"/>
        <v/>
      </c>
      <c r="M307" s="637" t="str">
        <f t="shared" ca="1" si="193"/>
        <v/>
      </c>
      <c r="N307" s="637" t="str">
        <f t="shared" ca="1" si="193"/>
        <v/>
      </c>
      <c r="O307" s="637" t="str">
        <f t="shared" ca="1" si="193"/>
        <v/>
      </c>
      <c r="P307" s="637" t="str">
        <f t="shared" ca="1" si="193"/>
        <v/>
      </c>
      <c r="Q307" s="637" t="str">
        <f t="shared" ca="1" si="193"/>
        <v/>
      </c>
      <c r="R307" s="637" t="str">
        <f t="shared" ca="1" si="193"/>
        <v/>
      </c>
      <c r="S307" s="637" t="str">
        <f t="shared" ca="1" si="193"/>
        <v/>
      </c>
      <c r="T307" s="637" t="str">
        <f t="shared" ca="1" si="193"/>
        <v/>
      </c>
      <c r="U307" s="637" t="str">
        <f t="shared" ca="1" si="193"/>
        <v/>
      </c>
      <c r="V307" s="637" t="str">
        <f t="shared" ca="1" si="193"/>
        <v/>
      </c>
      <c r="W307" s="637" t="str">
        <f t="shared" ca="1" si="193"/>
        <v/>
      </c>
      <c r="X307" s="637" t="str">
        <f t="shared" ca="1" si="193"/>
        <v/>
      </c>
      <c r="Y307" s="637" t="str">
        <f t="shared" ca="1" si="193"/>
        <v/>
      </c>
      <c r="Z307" s="637" t="str">
        <f t="shared" ca="1" si="193"/>
        <v/>
      </c>
      <c r="AA307" s="637" t="str">
        <f t="shared" ca="1" si="193"/>
        <v/>
      </c>
      <c r="AB307" s="637" t="str">
        <f t="shared" ca="1" si="193"/>
        <v/>
      </c>
      <c r="AC307" s="637" t="str">
        <f t="shared" ca="1" si="193"/>
        <v/>
      </c>
      <c r="AD307" s="637" t="str">
        <f t="shared" ca="1" si="193"/>
        <v/>
      </c>
      <c r="AE307" s="637" t="str">
        <f t="shared" ca="1" si="193"/>
        <v/>
      </c>
      <c r="AF307" s="637" t="str">
        <f t="shared" ca="1" si="193"/>
        <v/>
      </c>
      <c r="AG307" s="637" t="str">
        <f t="shared" ca="1" si="193"/>
        <v/>
      </c>
      <c r="AH307" s="637" t="str">
        <f t="shared" ca="1" si="193"/>
        <v/>
      </c>
      <c r="AI307" s="637" t="str">
        <f t="shared" ca="1" si="193"/>
        <v/>
      </c>
      <c r="AJ307" s="637" t="str">
        <f t="shared" ca="1" si="193"/>
        <v/>
      </c>
      <c r="AK307" s="637" t="str">
        <f t="shared" ref="AK307:BB307" ca="1" si="194">OFFSET(A1_原単位2026,9+36,AK247+2)</f>
        <v/>
      </c>
      <c r="AL307" s="637" t="str">
        <f t="shared" ca="1" si="194"/>
        <v/>
      </c>
      <c r="AM307" s="637" t="str">
        <f t="shared" ca="1" si="194"/>
        <v/>
      </c>
      <c r="AN307" s="637" t="str">
        <f t="shared" ca="1" si="194"/>
        <v/>
      </c>
      <c r="AO307" s="637" t="str">
        <f t="shared" ca="1" si="194"/>
        <v/>
      </c>
      <c r="AP307" s="637" t="str">
        <f t="shared" ca="1" si="194"/>
        <v/>
      </c>
      <c r="AQ307" s="637" t="str">
        <f t="shared" ca="1" si="194"/>
        <v/>
      </c>
      <c r="AR307" s="637" t="str">
        <f t="shared" ca="1" si="194"/>
        <v/>
      </c>
      <c r="AS307" s="637" t="str">
        <f t="shared" ca="1" si="194"/>
        <v/>
      </c>
      <c r="AT307" s="637" t="str">
        <f t="shared" ca="1" si="194"/>
        <v/>
      </c>
      <c r="AU307" s="637" t="str">
        <f t="shared" ca="1" si="194"/>
        <v/>
      </c>
      <c r="AV307" s="637" t="str">
        <f t="shared" ca="1" si="194"/>
        <v/>
      </c>
      <c r="AW307" s="637" t="str">
        <f t="shared" ca="1" si="194"/>
        <v/>
      </c>
      <c r="AX307" s="637" t="str">
        <f t="shared" ca="1" si="194"/>
        <v/>
      </c>
      <c r="AY307" s="637" t="str">
        <f t="shared" ca="1" si="194"/>
        <v/>
      </c>
      <c r="AZ307" s="637" t="str">
        <f t="shared" ca="1" si="194"/>
        <v/>
      </c>
      <c r="BA307" s="637" t="str">
        <f t="shared" ca="1" si="194"/>
        <v/>
      </c>
      <c r="BB307" s="638" t="str">
        <f t="shared" ca="1" si="194"/>
        <v/>
      </c>
    </row>
    <row r="308" spans="1:242" hidden="1">
      <c r="A308" s="569">
        <v>62</v>
      </c>
      <c r="B308" s="1060" t="s">
        <v>693</v>
      </c>
      <c r="C308" s="629" t="s">
        <v>497</v>
      </c>
      <c r="D308" s="640"/>
      <c r="E308" s="631" t="str">
        <f ca="1">IF(AND($HE$10="",$HG$10=""),IF(AND(E300="",E252&lt;&gt;""),"&lt;"&amp;E312&amp;"&gt;要入力",IF(OR(E300=E304,E300="",E304=""),"","&lt;"&amp;E312&amp;"&gt;要修正("&amp;E300&amp;"→"&amp;E304&amp;")")),"")</f>
        <v/>
      </c>
      <c r="F308" s="631" t="str">
        <f t="shared" ref="F308:BB308" ca="1" si="195">IF(AND($HE$10="",$HG$10=""),IF(AND(F300="",F252&lt;&gt;""),"&lt;"&amp;F312&amp;"&gt;要入力",IF(OR(F300=F304,F300="",F304=""),"","&lt;"&amp;F312&amp;"&gt;要修正("&amp;F300&amp;"→"&amp;F304&amp;")")),"")</f>
        <v/>
      </c>
      <c r="G308" s="631" t="str">
        <f t="shared" ca="1" si="195"/>
        <v/>
      </c>
      <c r="H308" s="631" t="str">
        <f t="shared" ca="1" si="195"/>
        <v/>
      </c>
      <c r="I308" s="631" t="str">
        <f t="shared" ca="1" si="195"/>
        <v/>
      </c>
      <c r="J308" s="631" t="str">
        <f t="shared" ca="1" si="195"/>
        <v/>
      </c>
      <c r="K308" s="631" t="str">
        <f t="shared" ca="1" si="195"/>
        <v/>
      </c>
      <c r="L308" s="631" t="str">
        <f t="shared" ca="1" si="195"/>
        <v/>
      </c>
      <c r="M308" s="631" t="str">
        <f t="shared" ca="1" si="195"/>
        <v/>
      </c>
      <c r="N308" s="631" t="str">
        <f t="shared" ca="1" si="195"/>
        <v/>
      </c>
      <c r="O308" s="631" t="str">
        <f t="shared" ca="1" si="195"/>
        <v/>
      </c>
      <c r="P308" s="631" t="str">
        <f t="shared" ca="1" si="195"/>
        <v/>
      </c>
      <c r="Q308" s="631" t="str">
        <f t="shared" ca="1" si="195"/>
        <v/>
      </c>
      <c r="R308" s="631" t="str">
        <f t="shared" ca="1" si="195"/>
        <v/>
      </c>
      <c r="S308" s="631" t="str">
        <f t="shared" ca="1" si="195"/>
        <v/>
      </c>
      <c r="T308" s="631" t="str">
        <f t="shared" ca="1" si="195"/>
        <v/>
      </c>
      <c r="U308" s="631" t="str">
        <f t="shared" ca="1" si="195"/>
        <v/>
      </c>
      <c r="V308" s="631" t="str">
        <f t="shared" ca="1" si="195"/>
        <v/>
      </c>
      <c r="W308" s="631" t="str">
        <f t="shared" ca="1" si="195"/>
        <v/>
      </c>
      <c r="X308" s="631" t="str">
        <f t="shared" ca="1" si="195"/>
        <v/>
      </c>
      <c r="Y308" s="631" t="str">
        <f t="shared" ca="1" si="195"/>
        <v/>
      </c>
      <c r="Z308" s="631" t="str">
        <f t="shared" ca="1" si="195"/>
        <v/>
      </c>
      <c r="AA308" s="631" t="str">
        <f t="shared" ca="1" si="195"/>
        <v/>
      </c>
      <c r="AB308" s="631" t="str">
        <f t="shared" ca="1" si="195"/>
        <v/>
      </c>
      <c r="AC308" s="631" t="str">
        <f t="shared" ca="1" si="195"/>
        <v/>
      </c>
      <c r="AD308" s="631" t="str">
        <f t="shared" ca="1" si="195"/>
        <v/>
      </c>
      <c r="AE308" s="631" t="str">
        <f t="shared" ca="1" si="195"/>
        <v/>
      </c>
      <c r="AF308" s="631" t="str">
        <f t="shared" ca="1" si="195"/>
        <v/>
      </c>
      <c r="AG308" s="631" t="str">
        <f t="shared" ca="1" si="195"/>
        <v/>
      </c>
      <c r="AH308" s="631" t="str">
        <f t="shared" ca="1" si="195"/>
        <v/>
      </c>
      <c r="AI308" s="631" t="str">
        <f t="shared" ca="1" si="195"/>
        <v/>
      </c>
      <c r="AJ308" s="631" t="str">
        <f t="shared" ca="1" si="195"/>
        <v/>
      </c>
      <c r="AK308" s="631" t="str">
        <f t="shared" ca="1" si="195"/>
        <v/>
      </c>
      <c r="AL308" s="631" t="str">
        <f t="shared" ca="1" si="195"/>
        <v/>
      </c>
      <c r="AM308" s="631" t="str">
        <f t="shared" ca="1" si="195"/>
        <v/>
      </c>
      <c r="AN308" s="631" t="str">
        <f t="shared" ca="1" si="195"/>
        <v/>
      </c>
      <c r="AO308" s="631" t="str">
        <f t="shared" ca="1" si="195"/>
        <v/>
      </c>
      <c r="AP308" s="631" t="str">
        <f t="shared" ca="1" si="195"/>
        <v/>
      </c>
      <c r="AQ308" s="631" t="str">
        <f t="shared" ca="1" si="195"/>
        <v/>
      </c>
      <c r="AR308" s="631" t="str">
        <f t="shared" ca="1" si="195"/>
        <v/>
      </c>
      <c r="AS308" s="631" t="str">
        <f t="shared" ca="1" si="195"/>
        <v/>
      </c>
      <c r="AT308" s="631" t="str">
        <f t="shared" ca="1" si="195"/>
        <v/>
      </c>
      <c r="AU308" s="631" t="str">
        <f t="shared" ca="1" si="195"/>
        <v/>
      </c>
      <c r="AV308" s="631" t="str">
        <f t="shared" ca="1" si="195"/>
        <v/>
      </c>
      <c r="AW308" s="631" t="str">
        <f t="shared" ca="1" si="195"/>
        <v/>
      </c>
      <c r="AX308" s="631" t="str">
        <f t="shared" ca="1" si="195"/>
        <v/>
      </c>
      <c r="AY308" s="631" t="str">
        <f t="shared" ca="1" si="195"/>
        <v/>
      </c>
      <c r="AZ308" s="631" t="str">
        <f t="shared" ca="1" si="195"/>
        <v/>
      </c>
      <c r="BA308" s="631" t="str">
        <f t="shared" ca="1" si="195"/>
        <v/>
      </c>
      <c r="BB308" s="631" t="str">
        <f t="shared" ca="1" si="195"/>
        <v/>
      </c>
    </row>
    <row r="309" spans="1:242" hidden="1">
      <c r="A309" s="569">
        <v>63</v>
      </c>
      <c r="B309" s="1061"/>
      <c r="C309" s="633" t="s">
        <v>498</v>
      </c>
      <c r="D309" s="641"/>
      <c r="E309" s="581" t="str">
        <f ca="1">IF(AND($HE$10="",$HG$10=""),IF(AND(E301="",E264&lt;&gt;""),"&lt;"&amp;E313&amp;"&gt;要入力",IF(OR(E301=E305,E301="",E305=""),"","&lt;"&amp;E313&amp;"&gt;要修正("&amp;E301&amp;"→"&amp;E305&amp;")")),"")</f>
        <v/>
      </c>
      <c r="F309" s="581" t="str">
        <f t="shared" ref="F309:BB309" ca="1" si="196">IF(AND($HE$10="",$HG$10=""),IF(AND(F301="",F264&lt;&gt;""),"&lt;"&amp;F313&amp;"&gt;要入力",IF(OR(F301=F305,F301="",F305=""),"","&lt;"&amp;F313&amp;"&gt;要修正("&amp;F301&amp;"→"&amp;F305&amp;")")),"")</f>
        <v/>
      </c>
      <c r="G309" s="581" t="str">
        <f t="shared" ca="1" si="196"/>
        <v/>
      </c>
      <c r="H309" s="581" t="str">
        <f t="shared" ca="1" si="196"/>
        <v/>
      </c>
      <c r="I309" s="581" t="str">
        <f t="shared" ca="1" si="196"/>
        <v/>
      </c>
      <c r="J309" s="581" t="str">
        <f t="shared" ca="1" si="196"/>
        <v/>
      </c>
      <c r="K309" s="581" t="str">
        <f t="shared" ca="1" si="196"/>
        <v/>
      </c>
      <c r="L309" s="581" t="str">
        <f t="shared" ca="1" si="196"/>
        <v/>
      </c>
      <c r="M309" s="581" t="str">
        <f t="shared" ca="1" si="196"/>
        <v/>
      </c>
      <c r="N309" s="581" t="str">
        <f t="shared" ca="1" si="196"/>
        <v/>
      </c>
      <c r="O309" s="581" t="str">
        <f t="shared" ca="1" si="196"/>
        <v/>
      </c>
      <c r="P309" s="581" t="str">
        <f t="shared" ca="1" si="196"/>
        <v/>
      </c>
      <c r="Q309" s="581" t="str">
        <f t="shared" ca="1" si="196"/>
        <v/>
      </c>
      <c r="R309" s="581" t="str">
        <f t="shared" ca="1" si="196"/>
        <v/>
      </c>
      <c r="S309" s="581" t="str">
        <f t="shared" ca="1" si="196"/>
        <v/>
      </c>
      <c r="T309" s="581" t="str">
        <f t="shared" ca="1" si="196"/>
        <v/>
      </c>
      <c r="U309" s="581" t="str">
        <f t="shared" ca="1" si="196"/>
        <v/>
      </c>
      <c r="V309" s="581" t="str">
        <f t="shared" ca="1" si="196"/>
        <v/>
      </c>
      <c r="W309" s="581" t="str">
        <f t="shared" ca="1" si="196"/>
        <v/>
      </c>
      <c r="X309" s="581" t="str">
        <f t="shared" ca="1" si="196"/>
        <v/>
      </c>
      <c r="Y309" s="581" t="str">
        <f t="shared" ca="1" si="196"/>
        <v/>
      </c>
      <c r="Z309" s="581" t="str">
        <f t="shared" ca="1" si="196"/>
        <v/>
      </c>
      <c r="AA309" s="581" t="str">
        <f t="shared" ca="1" si="196"/>
        <v/>
      </c>
      <c r="AB309" s="581" t="str">
        <f t="shared" ca="1" si="196"/>
        <v/>
      </c>
      <c r="AC309" s="581" t="str">
        <f t="shared" ca="1" si="196"/>
        <v/>
      </c>
      <c r="AD309" s="581" t="str">
        <f t="shared" ca="1" si="196"/>
        <v/>
      </c>
      <c r="AE309" s="581" t="str">
        <f t="shared" ca="1" si="196"/>
        <v/>
      </c>
      <c r="AF309" s="581" t="str">
        <f t="shared" ca="1" si="196"/>
        <v/>
      </c>
      <c r="AG309" s="581" t="str">
        <f t="shared" ca="1" si="196"/>
        <v/>
      </c>
      <c r="AH309" s="581" t="str">
        <f t="shared" ca="1" si="196"/>
        <v/>
      </c>
      <c r="AI309" s="581" t="str">
        <f t="shared" ca="1" si="196"/>
        <v/>
      </c>
      <c r="AJ309" s="581" t="str">
        <f t="shared" ca="1" si="196"/>
        <v/>
      </c>
      <c r="AK309" s="581" t="str">
        <f t="shared" ca="1" si="196"/>
        <v/>
      </c>
      <c r="AL309" s="581" t="str">
        <f t="shared" ca="1" si="196"/>
        <v/>
      </c>
      <c r="AM309" s="581" t="str">
        <f t="shared" ca="1" si="196"/>
        <v/>
      </c>
      <c r="AN309" s="581" t="str">
        <f t="shared" ca="1" si="196"/>
        <v/>
      </c>
      <c r="AO309" s="581" t="str">
        <f t="shared" ca="1" si="196"/>
        <v/>
      </c>
      <c r="AP309" s="581" t="str">
        <f t="shared" ca="1" si="196"/>
        <v/>
      </c>
      <c r="AQ309" s="581" t="str">
        <f t="shared" ca="1" si="196"/>
        <v/>
      </c>
      <c r="AR309" s="581" t="str">
        <f t="shared" ca="1" si="196"/>
        <v/>
      </c>
      <c r="AS309" s="581" t="str">
        <f t="shared" ca="1" si="196"/>
        <v/>
      </c>
      <c r="AT309" s="581" t="str">
        <f t="shared" ca="1" si="196"/>
        <v/>
      </c>
      <c r="AU309" s="581" t="str">
        <f t="shared" ca="1" si="196"/>
        <v/>
      </c>
      <c r="AV309" s="581" t="str">
        <f t="shared" ca="1" si="196"/>
        <v/>
      </c>
      <c r="AW309" s="581" t="str">
        <f t="shared" ca="1" si="196"/>
        <v/>
      </c>
      <c r="AX309" s="581" t="str">
        <f t="shared" ca="1" si="196"/>
        <v/>
      </c>
      <c r="AY309" s="581" t="str">
        <f t="shared" ca="1" si="196"/>
        <v/>
      </c>
      <c r="AZ309" s="581" t="str">
        <f t="shared" ca="1" si="196"/>
        <v/>
      </c>
      <c r="BA309" s="581" t="str">
        <f t="shared" ca="1" si="196"/>
        <v/>
      </c>
      <c r="BB309" s="581" t="str">
        <f t="shared" ca="1" si="196"/>
        <v/>
      </c>
    </row>
    <row r="310" spans="1:242" hidden="1">
      <c r="A310" s="569">
        <v>64</v>
      </c>
      <c r="B310" s="1061"/>
      <c r="C310" s="633" t="s">
        <v>499</v>
      </c>
      <c r="D310" s="641"/>
      <c r="E310" s="581" t="str">
        <f ca="1">IF(AND($HE$10="",$HG$10=""),IF(AND(E302="",E276&lt;&gt;""),"&lt;"&amp;E314&amp;"&gt;要入力",IF(OR(E302=E306,E302="",E306=""),"","&lt;"&amp;E314&amp;"&gt;要修正("&amp;E302&amp;"→"&amp;E306&amp;")")),"")</f>
        <v/>
      </c>
      <c r="F310" s="581" t="str">
        <f t="shared" ref="F310:BB310" ca="1" si="197">IF(AND($HE$10="",$HG$10=""),IF(AND(F302="",F276&lt;&gt;""),"&lt;"&amp;F314&amp;"&gt;要入力",IF(OR(F302=F306,F302="",F306=""),"","&lt;"&amp;F314&amp;"&gt;要修正("&amp;F302&amp;"→"&amp;F306&amp;")")),"")</f>
        <v/>
      </c>
      <c r="G310" s="581" t="str">
        <f t="shared" ca="1" si="197"/>
        <v/>
      </c>
      <c r="H310" s="581" t="str">
        <f t="shared" ca="1" si="197"/>
        <v/>
      </c>
      <c r="I310" s="581" t="str">
        <f t="shared" ca="1" si="197"/>
        <v/>
      </c>
      <c r="J310" s="581" t="str">
        <f t="shared" ca="1" si="197"/>
        <v/>
      </c>
      <c r="K310" s="581" t="str">
        <f t="shared" ca="1" si="197"/>
        <v/>
      </c>
      <c r="L310" s="581" t="str">
        <f t="shared" ca="1" si="197"/>
        <v/>
      </c>
      <c r="M310" s="581" t="str">
        <f t="shared" ca="1" si="197"/>
        <v/>
      </c>
      <c r="N310" s="581" t="str">
        <f t="shared" ca="1" si="197"/>
        <v/>
      </c>
      <c r="O310" s="581" t="str">
        <f t="shared" ca="1" si="197"/>
        <v/>
      </c>
      <c r="P310" s="581" t="str">
        <f t="shared" ca="1" si="197"/>
        <v/>
      </c>
      <c r="Q310" s="581" t="str">
        <f t="shared" ca="1" si="197"/>
        <v/>
      </c>
      <c r="R310" s="581" t="str">
        <f t="shared" ca="1" si="197"/>
        <v/>
      </c>
      <c r="S310" s="581" t="str">
        <f t="shared" ca="1" si="197"/>
        <v/>
      </c>
      <c r="T310" s="581" t="str">
        <f t="shared" ca="1" si="197"/>
        <v/>
      </c>
      <c r="U310" s="581" t="str">
        <f t="shared" ca="1" si="197"/>
        <v/>
      </c>
      <c r="V310" s="581" t="str">
        <f t="shared" ca="1" si="197"/>
        <v/>
      </c>
      <c r="W310" s="581" t="str">
        <f t="shared" ca="1" si="197"/>
        <v/>
      </c>
      <c r="X310" s="581" t="str">
        <f t="shared" ca="1" si="197"/>
        <v/>
      </c>
      <c r="Y310" s="581" t="str">
        <f t="shared" ca="1" si="197"/>
        <v/>
      </c>
      <c r="Z310" s="581" t="str">
        <f t="shared" ca="1" si="197"/>
        <v/>
      </c>
      <c r="AA310" s="581" t="str">
        <f t="shared" ca="1" si="197"/>
        <v/>
      </c>
      <c r="AB310" s="581" t="str">
        <f t="shared" ca="1" si="197"/>
        <v/>
      </c>
      <c r="AC310" s="581" t="str">
        <f t="shared" ca="1" si="197"/>
        <v/>
      </c>
      <c r="AD310" s="581" t="str">
        <f t="shared" ca="1" si="197"/>
        <v/>
      </c>
      <c r="AE310" s="581" t="str">
        <f t="shared" ca="1" si="197"/>
        <v/>
      </c>
      <c r="AF310" s="581" t="str">
        <f t="shared" ca="1" si="197"/>
        <v/>
      </c>
      <c r="AG310" s="581" t="str">
        <f t="shared" ca="1" si="197"/>
        <v/>
      </c>
      <c r="AH310" s="581" t="str">
        <f t="shared" ca="1" si="197"/>
        <v/>
      </c>
      <c r="AI310" s="581" t="str">
        <f t="shared" ca="1" si="197"/>
        <v/>
      </c>
      <c r="AJ310" s="581" t="str">
        <f t="shared" ca="1" si="197"/>
        <v/>
      </c>
      <c r="AK310" s="581" t="str">
        <f t="shared" ca="1" si="197"/>
        <v/>
      </c>
      <c r="AL310" s="581" t="str">
        <f t="shared" ca="1" si="197"/>
        <v/>
      </c>
      <c r="AM310" s="581" t="str">
        <f t="shared" ca="1" si="197"/>
        <v/>
      </c>
      <c r="AN310" s="581" t="str">
        <f t="shared" ca="1" si="197"/>
        <v/>
      </c>
      <c r="AO310" s="581" t="str">
        <f t="shared" ca="1" si="197"/>
        <v/>
      </c>
      <c r="AP310" s="581" t="str">
        <f t="shared" ca="1" si="197"/>
        <v/>
      </c>
      <c r="AQ310" s="581" t="str">
        <f t="shared" ca="1" si="197"/>
        <v/>
      </c>
      <c r="AR310" s="581" t="str">
        <f t="shared" ca="1" si="197"/>
        <v/>
      </c>
      <c r="AS310" s="581" t="str">
        <f t="shared" ca="1" si="197"/>
        <v/>
      </c>
      <c r="AT310" s="581" t="str">
        <f t="shared" ca="1" si="197"/>
        <v/>
      </c>
      <c r="AU310" s="581" t="str">
        <f t="shared" ca="1" si="197"/>
        <v/>
      </c>
      <c r="AV310" s="581" t="str">
        <f t="shared" ca="1" si="197"/>
        <v/>
      </c>
      <c r="AW310" s="581" t="str">
        <f t="shared" ca="1" si="197"/>
        <v/>
      </c>
      <c r="AX310" s="581" t="str">
        <f t="shared" ca="1" si="197"/>
        <v/>
      </c>
      <c r="AY310" s="581" t="str">
        <f t="shared" ca="1" si="197"/>
        <v/>
      </c>
      <c r="AZ310" s="581" t="str">
        <f t="shared" ca="1" si="197"/>
        <v/>
      </c>
      <c r="BA310" s="581" t="str">
        <f t="shared" ca="1" si="197"/>
        <v/>
      </c>
      <c r="BB310" s="581" t="str">
        <f t="shared" ca="1" si="197"/>
        <v/>
      </c>
    </row>
    <row r="311" spans="1:242" ht="18.600000000000001" hidden="1" thickBot="1">
      <c r="A311" s="569">
        <v>65</v>
      </c>
      <c r="B311" s="1062"/>
      <c r="C311" s="636" t="s">
        <v>500</v>
      </c>
      <c r="D311" s="642"/>
      <c r="E311" s="637" t="str">
        <f ca="1">IF(AND($HE$10="",$HG$10=""),IF(AND(E303="",E288&lt;&gt;""),"&lt;"&amp;E315&amp;"&gt;要入力",IF(OR(E303=E307,E303="",E307=""),"","&lt;"&amp;E315&amp;"&gt;要修正("&amp;E303&amp;"→"&amp;E307&amp;")")),"")</f>
        <v/>
      </c>
      <c r="F311" s="637" t="str">
        <f t="shared" ref="F311:BB311" ca="1" si="198">IF(AND($HE$10="",$HG$10=""),IF(AND(F303="",F288&lt;&gt;""),"&lt;"&amp;F315&amp;"&gt;要入力",IF(OR(F303=F307,F303="",F307=""),"","&lt;"&amp;F315&amp;"&gt;要修正("&amp;F303&amp;"→"&amp;F307&amp;")")),"")</f>
        <v/>
      </c>
      <c r="G311" s="637" t="str">
        <f t="shared" ca="1" si="198"/>
        <v/>
      </c>
      <c r="H311" s="637" t="str">
        <f t="shared" ca="1" si="198"/>
        <v/>
      </c>
      <c r="I311" s="637" t="str">
        <f t="shared" ca="1" si="198"/>
        <v/>
      </c>
      <c r="J311" s="637" t="str">
        <f t="shared" ca="1" si="198"/>
        <v/>
      </c>
      <c r="K311" s="637" t="str">
        <f t="shared" ca="1" si="198"/>
        <v/>
      </c>
      <c r="L311" s="637" t="str">
        <f t="shared" ca="1" si="198"/>
        <v/>
      </c>
      <c r="M311" s="637" t="str">
        <f t="shared" ca="1" si="198"/>
        <v/>
      </c>
      <c r="N311" s="637" t="str">
        <f t="shared" ca="1" si="198"/>
        <v/>
      </c>
      <c r="O311" s="637" t="str">
        <f t="shared" ca="1" si="198"/>
        <v/>
      </c>
      <c r="P311" s="637" t="str">
        <f t="shared" ca="1" si="198"/>
        <v/>
      </c>
      <c r="Q311" s="637" t="str">
        <f t="shared" ca="1" si="198"/>
        <v/>
      </c>
      <c r="R311" s="637" t="str">
        <f t="shared" ca="1" si="198"/>
        <v/>
      </c>
      <c r="S311" s="637" t="str">
        <f t="shared" ca="1" si="198"/>
        <v/>
      </c>
      <c r="T311" s="637" t="str">
        <f t="shared" ca="1" si="198"/>
        <v/>
      </c>
      <c r="U311" s="637" t="str">
        <f t="shared" ca="1" si="198"/>
        <v/>
      </c>
      <c r="V311" s="637" t="str">
        <f t="shared" ca="1" si="198"/>
        <v/>
      </c>
      <c r="W311" s="637" t="str">
        <f t="shared" ca="1" si="198"/>
        <v/>
      </c>
      <c r="X311" s="637" t="str">
        <f t="shared" ca="1" si="198"/>
        <v/>
      </c>
      <c r="Y311" s="637" t="str">
        <f t="shared" ca="1" si="198"/>
        <v/>
      </c>
      <c r="Z311" s="637" t="str">
        <f t="shared" ca="1" si="198"/>
        <v/>
      </c>
      <c r="AA311" s="637" t="str">
        <f t="shared" ca="1" si="198"/>
        <v/>
      </c>
      <c r="AB311" s="637" t="str">
        <f t="shared" ca="1" si="198"/>
        <v/>
      </c>
      <c r="AC311" s="637" t="str">
        <f t="shared" ca="1" si="198"/>
        <v/>
      </c>
      <c r="AD311" s="637" t="str">
        <f t="shared" ca="1" si="198"/>
        <v/>
      </c>
      <c r="AE311" s="637" t="str">
        <f t="shared" ca="1" si="198"/>
        <v/>
      </c>
      <c r="AF311" s="637" t="str">
        <f t="shared" ca="1" si="198"/>
        <v/>
      </c>
      <c r="AG311" s="637" t="str">
        <f t="shared" ca="1" si="198"/>
        <v/>
      </c>
      <c r="AH311" s="637" t="str">
        <f t="shared" ca="1" si="198"/>
        <v/>
      </c>
      <c r="AI311" s="637" t="str">
        <f t="shared" ca="1" si="198"/>
        <v/>
      </c>
      <c r="AJ311" s="637" t="str">
        <f t="shared" ca="1" si="198"/>
        <v/>
      </c>
      <c r="AK311" s="637" t="str">
        <f t="shared" ca="1" si="198"/>
        <v/>
      </c>
      <c r="AL311" s="637" t="str">
        <f t="shared" ca="1" si="198"/>
        <v/>
      </c>
      <c r="AM311" s="637" t="str">
        <f t="shared" ca="1" si="198"/>
        <v/>
      </c>
      <c r="AN311" s="637" t="str">
        <f t="shared" ca="1" si="198"/>
        <v/>
      </c>
      <c r="AO311" s="637" t="str">
        <f t="shared" ca="1" si="198"/>
        <v/>
      </c>
      <c r="AP311" s="637" t="str">
        <f t="shared" ca="1" si="198"/>
        <v/>
      </c>
      <c r="AQ311" s="637" t="str">
        <f t="shared" ca="1" si="198"/>
        <v/>
      </c>
      <c r="AR311" s="637" t="str">
        <f t="shared" ca="1" si="198"/>
        <v/>
      </c>
      <c r="AS311" s="637" t="str">
        <f t="shared" ca="1" si="198"/>
        <v/>
      </c>
      <c r="AT311" s="637" t="str">
        <f t="shared" ca="1" si="198"/>
        <v/>
      </c>
      <c r="AU311" s="637" t="str">
        <f t="shared" ca="1" si="198"/>
        <v/>
      </c>
      <c r="AV311" s="637" t="str">
        <f t="shared" ca="1" si="198"/>
        <v/>
      </c>
      <c r="AW311" s="637" t="str">
        <f t="shared" ca="1" si="198"/>
        <v/>
      </c>
      <c r="AX311" s="637" t="str">
        <f t="shared" ca="1" si="198"/>
        <v/>
      </c>
      <c r="AY311" s="637" t="str">
        <f t="shared" ca="1" si="198"/>
        <v/>
      </c>
      <c r="AZ311" s="637" t="str">
        <f t="shared" ca="1" si="198"/>
        <v/>
      </c>
      <c r="BA311" s="637" t="str">
        <f t="shared" ca="1" si="198"/>
        <v/>
      </c>
      <c r="BB311" s="637" t="str">
        <f t="shared" ca="1" si="198"/>
        <v/>
      </c>
    </row>
    <row r="312" spans="1:242" ht="14.25" hidden="1" customHeight="1">
      <c r="B312" s="1060" t="s">
        <v>694</v>
      </c>
      <c r="C312" s="629" t="s">
        <v>497</v>
      </c>
      <c r="D312" s="640"/>
      <c r="E312" s="631" t="str">
        <f t="shared" ref="E312:AJ312" ca="1" si="199">IFERROR(ADDRESS(ROW(貼付け_2024実績)+99,E253+COLUMN(貼付け_2024実績),4),"")</f>
        <v/>
      </c>
      <c r="F312" s="631" t="str">
        <f t="shared" ca="1" si="199"/>
        <v/>
      </c>
      <c r="G312" s="631" t="str">
        <f t="shared" ca="1" si="199"/>
        <v/>
      </c>
      <c r="H312" s="631" t="str">
        <f t="shared" ca="1" si="199"/>
        <v/>
      </c>
      <c r="I312" s="631" t="str">
        <f t="shared" ca="1" si="199"/>
        <v/>
      </c>
      <c r="J312" s="631" t="str">
        <f t="shared" ca="1" si="199"/>
        <v/>
      </c>
      <c r="K312" s="631" t="str">
        <f t="shared" ca="1" si="199"/>
        <v/>
      </c>
      <c r="L312" s="631" t="str">
        <f t="shared" ca="1" si="199"/>
        <v/>
      </c>
      <c r="M312" s="631" t="str">
        <f t="shared" ca="1" si="199"/>
        <v/>
      </c>
      <c r="N312" s="631" t="str">
        <f t="shared" ca="1" si="199"/>
        <v/>
      </c>
      <c r="O312" s="631" t="str">
        <f t="shared" ca="1" si="199"/>
        <v/>
      </c>
      <c r="P312" s="631" t="str">
        <f t="shared" ca="1" si="199"/>
        <v/>
      </c>
      <c r="Q312" s="631" t="str">
        <f t="shared" ca="1" si="199"/>
        <v/>
      </c>
      <c r="R312" s="631" t="str">
        <f t="shared" ca="1" si="199"/>
        <v/>
      </c>
      <c r="S312" s="631" t="str">
        <f t="shared" ca="1" si="199"/>
        <v/>
      </c>
      <c r="T312" s="631" t="str">
        <f t="shared" ca="1" si="199"/>
        <v/>
      </c>
      <c r="U312" s="631" t="str">
        <f t="shared" ca="1" si="199"/>
        <v/>
      </c>
      <c r="V312" s="631" t="str">
        <f t="shared" ca="1" si="199"/>
        <v/>
      </c>
      <c r="W312" s="631" t="str">
        <f t="shared" ca="1" si="199"/>
        <v/>
      </c>
      <c r="X312" s="631" t="str">
        <f t="shared" ca="1" si="199"/>
        <v/>
      </c>
      <c r="Y312" s="631" t="str">
        <f t="shared" ca="1" si="199"/>
        <v/>
      </c>
      <c r="Z312" s="631" t="str">
        <f t="shared" ca="1" si="199"/>
        <v/>
      </c>
      <c r="AA312" s="631" t="str">
        <f t="shared" ca="1" si="199"/>
        <v/>
      </c>
      <c r="AB312" s="631" t="str">
        <f t="shared" ca="1" si="199"/>
        <v/>
      </c>
      <c r="AC312" s="631" t="str">
        <f t="shared" ca="1" si="199"/>
        <v/>
      </c>
      <c r="AD312" s="631" t="str">
        <f t="shared" ca="1" si="199"/>
        <v/>
      </c>
      <c r="AE312" s="631" t="str">
        <f t="shared" ca="1" si="199"/>
        <v/>
      </c>
      <c r="AF312" s="631" t="str">
        <f t="shared" ca="1" si="199"/>
        <v/>
      </c>
      <c r="AG312" s="631" t="str">
        <f t="shared" ca="1" si="199"/>
        <v/>
      </c>
      <c r="AH312" s="631" t="str">
        <f t="shared" ca="1" si="199"/>
        <v/>
      </c>
      <c r="AI312" s="631" t="str">
        <f t="shared" ca="1" si="199"/>
        <v/>
      </c>
      <c r="AJ312" s="631" t="str">
        <f t="shared" ca="1" si="199"/>
        <v/>
      </c>
      <c r="AK312" s="631" t="str">
        <f t="shared" ref="AK312:BB312" ca="1" si="200">IFERROR(ADDRESS(ROW(貼付け_2024実績)+99,AK253+COLUMN(貼付け_2024実績),4),"")</f>
        <v/>
      </c>
      <c r="AL312" s="631" t="str">
        <f t="shared" ca="1" si="200"/>
        <v/>
      </c>
      <c r="AM312" s="631" t="str">
        <f t="shared" ca="1" si="200"/>
        <v/>
      </c>
      <c r="AN312" s="631" t="str">
        <f t="shared" ca="1" si="200"/>
        <v/>
      </c>
      <c r="AO312" s="631" t="str">
        <f t="shared" ca="1" si="200"/>
        <v/>
      </c>
      <c r="AP312" s="631" t="str">
        <f t="shared" ca="1" si="200"/>
        <v/>
      </c>
      <c r="AQ312" s="631" t="str">
        <f t="shared" ca="1" si="200"/>
        <v/>
      </c>
      <c r="AR312" s="631" t="str">
        <f t="shared" ca="1" si="200"/>
        <v/>
      </c>
      <c r="AS312" s="631" t="str">
        <f t="shared" ca="1" si="200"/>
        <v/>
      </c>
      <c r="AT312" s="631" t="str">
        <f t="shared" ca="1" si="200"/>
        <v/>
      </c>
      <c r="AU312" s="631" t="str">
        <f t="shared" ca="1" si="200"/>
        <v/>
      </c>
      <c r="AV312" s="631" t="str">
        <f t="shared" ca="1" si="200"/>
        <v/>
      </c>
      <c r="AW312" s="631" t="str">
        <f t="shared" ca="1" si="200"/>
        <v/>
      </c>
      <c r="AX312" s="631" t="str">
        <f t="shared" ca="1" si="200"/>
        <v/>
      </c>
      <c r="AY312" s="631" t="str">
        <f t="shared" ca="1" si="200"/>
        <v/>
      </c>
      <c r="AZ312" s="631" t="str">
        <f t="shared" ca="1" si="200"/>
        <v/>
      </c>
      <c r="BA312" s="631" t="str">
        <f t="shared" ca="1" si="200"/>
        <v/>
      </c>
      <c r="BB312" s="631" t="str">
        <f t="shared" ca="1" si="200"/>
        <v/>
      </c>
    </row>
    <row r="313" spans="1:242" hidden="1">
      <c r="B313" s="1061"/>
      <c r="C313" s="633" t="s">
        <v>498</v>
      </c>
      <c r="D313" s="641"/>
      <c r="E313" s="581" t="str">
        <f t="shared" ref="E313:AJ313" ca="1" si="201">IFERROR(ADDRESS(ROW(貼付け_2024実績)+99,E265+COLUMN(貼付け_2024実績),4),"")</f>
        <v/>
      </c>
      <c r="F313" s="581" t="str">
        <f t="shared" ca="1" si="201"/>
        <v/>
      </c>
      <c r="G313" s="581" t="str">
        <f t="shared" ca="1" si="201"/>
        <v/>
      </c>
      <c r="H313" s="581" t="str">
        <f t="shared" ca="1" si="201"/>
        <v/>
      </c>
      <c r="I313" s="581" t="str">
        <f t="shared" ca="1" si="201"/>
        <v/>
      </c>
      <c r="J313" s="581" t="str">
        <f t="shared" ca="1" si="201"/>
        <v/>
      </c>
      <c r="K313" s="581" t="str">
        <f t="shared" ca="1" si="201"/>
        <v/>
      </c>
      <c r="L313" s="581" t="str">
        <f t="shared" ca="1" si="201"/>
        <v/>
      </c>
      <c r="M313" s="581" t="str">
        <f t="shared" ca="1" si="201"/>
        <v/>
      </c>
      <c r="N313" s="581" t="str">
        <f t="shared" ca="1" si="201"/>
        <v/>
      </c>
      <c r="O313" s="581" t="str">
        <f t="shared" ca="1" si="201"/>
        <v/>
      </c>
      <c r="P313" s="581" t="str">
        <f t="shared" ca="1" si="201"/>
        <v/>
      </c>
      <c r="Q313" s="581" t="str">
        <f t="shared" ca="1" si="201"/>
        <v/>
      </c>
      <c r="R313" s="581" t="str">
        <f t="shared" ca="1" si="201"/>
        <v/>
      </c>
      <c r="S313" s="581" t="str">
        <f t="shared" ca="1" si="201"/>
        <v/>
      </c>
      <c r="T313" s="581" t="str">
        <f t="shared" ca="1" si="201"/>
        <v/>
      </c>
      <c r="U313" s="581" t="str">
        <f t="shared" ca="1" si="201"/>
        <v/>
      </c>
      <c r="V313" s="581" t="str">
        <f t="shared" ca="1" si="201"/>
        <v/>
      </c>
      <c r="W313" s="581" t="str">
        <f t="shared" ca="1" si="201"/>
        <v/>
      </c>
      <c r="X313" s="581" t="str">
        <f t="shared" ca="1" si="201"/>
        <v/>
      </c>
      <c r="Y313" s="581" t="str">
        <f t="shared" ca="1" si="201"/>
        <v/>
      </c>
      <c r="Z313" s="581" t="str">
        <f t="shared" ca="1" si="201"/>
        <v/>
      </c>
      <c r="AA313" s="581" t="str">
        <f t="shared" ca="1" si="201"/>
        <v/>
      </c>
      <c r="AB313" s="581" t="str">
        <f t="shared" ca="1" si="201"/>
        <v/>
      </c>
      <c r="AC313" s="581" t="str">
        <f t="shared" ca="1" si="201"/>
        <v/>
      </c>
      <c r="AD313" s="581" t="str">
        <f t="shared" ca="1" si="201"/>
        <v/>
      </c>
      <c r="AE313" s="581" t="str">
        <f t="shared" ca="1" si="201"/>
        <v/>
      </c>
      <c r="AF313" s="581" t="str">
        <f t="shared" ca="1" si="201"/>
        <v/>
      </c>
      <c r="AG313" s="581" t="str">
        <f t="shared" ca="1" si="201"/>
        <v/>
      </c>
      <c r="AH313" s="581" t="str">
        <f t="shared" ca="1" si="201"/>
        <v/>
      </c>
      <c r="AI313" s="581" t="str">
        <f t="shared" ca="1" si="201"/>
        <v/>
      </c>
      <c r="AJ313" s="581" t="str">
        <f t="shared" ca="1" si="201"/>
        <v/>
      </c>
      <c r="AK313" s="581" t="str">
        <f t="shared" ref="AK313:BB313" ca="1" si="202">IFERROR(ADDRESS(ROW(貼付け_2024実績)+99,AK265+COLUMN(貼付け_2024実績),4),"")</f>
        <v/>
      </c>
      <c r="AL313" s="581" t="str">
        <f t="shared" ca="1" si="202"/>
        <v/>
      </c>
      <c r="AM313" s="581" t="str">
        <f t="shared" ca="1" si="202"/>
        <v/>
      </c>
      <c r="AN313" s="581" t="str">
        <f t="shared" ca="1" si="202"/>
        <v/>
      </c>
      <c r="AO313" s="581" t="str">
        <f t="shared" ca="1" si="202"/>
        <v/>
      </c>
      <c r="AP313" s="581" t="str">
        <f t="shared" ca="1" si="202"/>
        <v/>
      </c>
      <c r="AQ313" s="581" t="str">
        <f t="shared" ca="1" si="202"/>
        <v/>
      </c>
      <c r="AR313" s="581" t="str">
        <f t="shared" ca="1" si="202"/>
        <v/>
      </c>
      <c r="AS313" s="581" t="str">
        <f t="shared" ca="1" si="202"/>
        <v/>
      </c>
      <c r="AT313" s="581" t="str">
        <f t="shared" ca="1" si="202"/>
        <v/>
      </c>
      <c r="AU313" s="581" t="str">
        <f t="shared" ca="1" si="202"/>
        <v/>
      </c>
      <c r="AV313" s="581" t="str">
        <f t="shared" ca="1" si="202"/>
        <v/>
      </c>
      <c r="AW313" s="581" t="str">
        <f t="shared" ca="1" si="202"/>
        <v/>
      </c>
      <c r="AX313" s="581" t="str">
        <f t="shared" ca="1" si="202"/>
        <v/>
      </c>
      <c r="AY313" s="581" t="str">
        <f t="shared" ca="1" si="202"/>
        <v/>
      </c>
      <c r="AZ313" s="581" t="str">
        <f t="shared" ca="1" si="202"/>
        <v/>
      </c>
      <c r="BA313" s="581" t="str">
        <f t="shared" ca="1" si="202"/>
        <v/>
      </c>
      <c r="BB313" s="581" t="str">
        <f t="shared" ca="1" si="202"/>
        <v/>
      </c>
    </row>
    <row r="314" spans="1:242" hidden="1">
      <c r="B314" s="1061"/>
      <c r="C314" s="633" t="s">
        <v>499</v>
      </c>
      <c r="D314" s="641"/>
      <c r="E314" s="581" t="str">
        <f t="shared" ref="E314:AJ314" ca="1" si="203">IFERROR(ADDRESS(ROW(貼付け_2024実績)+99,E277+COLUMN(貼付け_2024実績),4),"")</f>
        <v/>
      </c>
      <c r="F314" s="581" t="str">
        <f t="shared" ca="1" si="203"/>
        <v/>
      </c>
      <c r="G314" s="581" t="str">
        <f t="shared" ca="1" si="203"/>
        <v/>
      </c>
      <c r="H314" s="581" t="str">
        <f t="shared" ca="1" si="203"/>
        <v/>
      </c>
      <c r="I314" s="581" t="str">
        <f t="shared" ca="1" si="203"/>
        <v/>
      </c>
      <c r="J314" s="581" t="str">
        <f t="shared" ca="1" si="203"/>
        <v/>
      </c>
      <c r="K314" s="581" t="str">
        <f t="shared" ca="1" si="203"/>
        <v/>
      </c>
      <c r="L314" s="581" t="str">
        <f t="shared" ca="1" si="203"/>
        <v/>
      </c>
      <c r="M314" s="581" t="str">
        <f t="shared" ca="1" si="203"/>
        <v/>
      </c>
      <c r="N314" s="581" t="str">
        <f t="shared" ca="1" si="203"/>
        <v/>
      </c>
      <c r="O314" s="581" t="str">
        <f t="shared" ca="1" si="203"/>
        <v/>
      </c>
      <c r="P314" s="581" t="str">
        <f t="shared" ca="1" si="203"/>
        <v/>
      </c>
      <c r="Q314" s="581" t="str">
        <f t="shared" ca="1" si="203"/>
        <v/>
      </c>
      <c r="R314" s="581" t="str">
        <f t="shared" ca="1" si="203"/>
        <v/>
      </c>
      <c r="S314" s="581" t="str">
        <f t="shared" ca="1" si="203"/>
        <v/>
      </c>
      <c r="T314" s="581" t="str">
        <f t="shared" ca="1" si="203"/>
        <v/>
      </c>
      <c r="U314" s="581" t="str">
        <f t="shared" ca="1" si="203"/>
        <v/>
      </c>
      <c r="V314" s="581" t="str">
        <f t="shared" ca="1" si="203"/>
        <v/>
      </c>
      <c r="W314" s="581" t="str">
        <f t="shared" ca="1" si="203"/>
        <v/>
      </c>
      <c r="X314" s="581" t="str">
        <f t="shared" ca="1" si="203"/>
        <v/>
      </c>
      <c r="Y314" s="581" t="str">
        <f t="shared" ca="1" si="203"/>
        <v/>
      </c>
      <c r="Z314" s="581" t="str">
        <f t="shared" ca="1" si="203"/>
        <v/>
      </c>
      <c r="AA314" s="581" t="str">
        <f t="shared" ca="1" si="203"/>
        <v/>
      </c>
      <c r="AB314" s="581" t="str">
        <f t="shared" ca="1" si="203"/>
        <v/>
      </c>
      <c r="AC314" s="581" t="str">
        <f t="shared" ca="1" si="203"/>
        <v/>
      </c>
      <c r="AD314" s="581" t="str">
        <f t="shared" ca="1" si="203"/>
        <v/>
      </c>
      <c r="AE314" s="581" t="str">
        <f t="shared" ca="1" si="203"/>
        <v/>
      </c>
      <c r="AF314" s="581" t="str">
        <f t="shared" ca="1" si="203"/>
        <v/>
      </c>
      <c r="AG314" s="581" t="str">
        <f t="shared" ca="1" si="203"/>
        <v/>
      </c>
      <c r="AH314" s="581" t="str">
        <f t="shared" ca="1" si="203"/>
        <v/>
      </c>
      <c r="AI314" s="581" t="str">
        <f t="shared" ca="1" si="203"/>
        <v/>
      </c>
      <c r="AJ314" s="581" t="str">
        <f t="shared" ca="1" si="203"/>
        <v/>
      </c>
      <c r="AK314" s="581" t="str">
        <f t="shared" ref="AK314:BB314" ca="1" si="204">IFERROR(ADDRESS(ROW(貼付け_2024実績)+99,AK277+COLUMN(貼付け_2024実績),4),"")</f>
        <v/>
      </c>
      <c r="AL314" s="581" t="str">
        <f t="shared" ca="1" si="204"/>
        <v/>
      </c>
      <c r="AM314" s="581" t="str">
        <f t="shared" ca="1" si="204"/>
        <v/>
      </c>
      <c r="AN314" s="581" t="str">
        <f t="shared" ca="1" si="204"/>
        <v/>
      </c>
      <c r="AO314" s="581" t="str">
        <f t="shared" ca="1" si="204"/>
        <v/>
      </c>
      <c r="AP314" s="581" t="str">
        <f t="shared" ca="1" si="204"/>
        <v/>
      </c>
      <c r="AQ314" s="581" t="str">
        <f t="shared" ca="1" si="204"/>
        <v/>
      </c>
      <c r="AR314" s="581" t="str">
        <f t="shared" ca="1" si="204"/>
        <v/>
      </c>
      <c r="AS314" s="581" t="str">
        <f t="shared" ca="1" si="204"/>
        <v/>
      </c>
      <c r="AT314" s="581" t="str">
        <f t="shared" ca="1" si="204"/>
        <v/>
      </c>
      <c r="AU314" s="581" t="str">
        <f t="shared" ca="1" si="204"/>
        <v/>
      </c>
      <c r="AV314" s="581" t="str">
        <f t="shared" ca="1" si="204"/>
        <v/>
      </c>
      <c r="AW314" s="581" t="str">
        <f t="shared" ca="1" si="204"/>
        <v/>
      </c>
      <c r="AX314" s="581" t="str">
        <f t="shared" ca="1" si="204"/>
        <v/>
      </c>
      <c r="AY314" s="581" t="str">
        <f t="shared" ca="1" si="204"/>
        <v/>
      </c>
      <c r="AZ314" s="581" t="str">
        <f t="shared" ca="1" si="204"/>
        <v/>
      </c>
      <c r="BA314" s="581" t="str">
        <f t="shared" ca="1" si="204"/>
        <v/>
      </c>
      <c r="BB314" s="581" t="str">
        <f t="shared" ca="1" si="204"/>
        <v/>
      </c>
    </row>
    <row r="315" spans="1:242" ht="18.600000000000001" hidden="1" thickBot="1">
      <c r="B315" s="1062"/>
      <c r="C315" s="636" t="s">
        <v>500</v>
      </c>
      <c r="D315" s="642"/>
      <c r="E315" s="637" t="str">
        <f t="shared" ref="E315:AJ315" ca="1" si="205">IFERROR(ADDRESS(ROW(貼付け_2024実績)+99,E289+COLUMN(貼付け_2024実績),4),"")</f>
        <v/>
      </c>
      <c r="F315" s="637" t="str">
        <f t="shared" ca="1" si="205"/>
        <v/>
      </c>
      <c r="G315" s="637" t="str">
        <f t="shared" ca="1" si="205"/>
        <v/>
      </c>
      <c r="H315" s="637" t="str">
        <f t="shared" ca="1" si="205"/>
        <v/>
      </c>
      <c r="I315" s="637" t="str">
        <f t="shared" ca="1" si="205"/>
        <v/>
      </c>
      <c r="J315" s="637" t="str">
        <f t="shared" ca="1" si="205"/>
        <v/>
      </c>
      <c r="K315" s="637" t="str">
        <f t="shared" ca="1" si="205"/>
        <v/>
      </c>
      <c r="L315" s="637" t="str">
        <f t="shared" ca="1" si="205"/>
        <v/>
      </c>
      <c r="M315" s="637" t="str">
        <f t="shared" ca="1" si="205"/>
        <v/>
      </c>
      <c r="N315" s="637" t="str">
        <f t="shared" ca="1" si="205"/>
        <v/>
      </c>
      <c r="O315" s="637" t="str">
        <f t="shared" ca="1" si="205"/>
        <v/>
      </c>
      <c r="P315" s="637" t="str">
        <f t="shared" ca="1" si="205"/>
        <v/>
      </c>
      <c r="Q315" s="637" t="str">
        <f t="shared" ca="1" si="205"/>
        <v/>
      </c>
      <c r="R315" s="637" t="str">
        <f t="shared" ca="1" si="205"/>
        <v/>
      </c>
      <c r="S315" s="637" t="str">
        <f t="shared" ca="1" si="205"/>
        <v/>
      </c>
      <c r="T315" s="637" t="str">
        <f t="shared" ca="1" si="205"/>
        <v/>
      </c>
      <c r="U315" s="637" t="str">
        <f t="shared" ca="1" si="205"/>
        <v/>
      </c>
      <c r="V315" s="637" t="str">
        <f t="shared" ca="1" si="205"/>
        <v/>
      </c>
      <c r="W315" s="637" t="str">
        <f t="shared" ca="1" si="205"/>
        <v/>
      </c>
      <c r="X315" s="637" t="str">
        <f t="shared" ca="1" si="205"/>
        <v/>
      </c>
      <c r="Y315" s="637" t="str">
        <f t="shared" ca="1" si="205"/>
        <v/>
      </c>
      <c r="Z315" s="637" t="str">
        <f t="shared" ca="1" si="205"/>
        <v/>
      </c>
      <c r="AA315" s="637" t="str">
        <f t="shared" ca="1" si="205"/>
        <v/>
      </c>
      <c r="AB315" s="637" t="str">
        <f t="shared" ca="1" si="205"/>
        <v/>
      </c>
      <c r="AC315" s="637" t="str">
        <f t="shared" ca="1" si="205"/>
        <v/>
      </c>
      <c r="AD315" s="637" t="str">
        <f t="shared" ca="1" si="205"/>
        <v/>
      </c>
      <c r="AE315" s="637" t="str">
        <f t="shared" ca="1" si="205"/>
        <v/>
      </c>
      <c r="AF315" s="637" t="str">
        <f t="shared" ca="1" si="205"/>
        <v/>
      </c>
      <c r="AG315" s="637" t="str">
        <f t="shared" ca="1" si="205"/>
        <v/>
      </c>
      <c r="AH315" s="637" t="str">
        <f t="shared" ca="1" si="205"/>
        <v/>
      </c>
      <c r="AI315" s="637" t="str">
        <f t="shared" ca="1" si="205"/>
        <v/>
      </c>
      <c r="AJ315" s="637" t="str">
        <f t="shared" ca="1" si="205"/>
        <v/>
      </c>
      <c r="AK315" s="637" t="str">
        <f t="shared" ref="AK315:BB315" ca="1" si="206">IFERROR(ADDRESS(ROW(貼付け_2024実績)+99,AK289+COLUMN(貼付け_2024実績),4),"")</f>
        <v/>
      </c>
      <c r="AL315" s="637" t="str">
        <f t="shared" ca="1" si="206"/>
        <v/>
      </c>
      <c r="AM315" s="637" t="str">
        <f t="shared" ca="1" si="206"/>
        <v/>
      </c>
      <c r="AN315" s="637" t="str">
        <f t="shared" ca="1" si="206"/>
        <v/>
      </c>
      <c r="AO315" s="637" t="str">
        <f t="shared" ca="1" si="206"/>
        <v/>
      </c>
      <c r="AP315" s="637" t="str">
        <f t="shared" ca="1" si="206"/>
        <v/>
      </c>
      <c r="AQ315" s="637" t="str">
        <f t="shared" ca="1" si="206"/>
        <v/>
      </c>
      <c r="AR315" s="637" t="str">
        <f t="shared" ca="1" si="206"/>
        <v/>
      </c>
      <c r="AS315" s="637" t="str">
        <f t="shared" ca="1" si="206"/>
        <v/>
      </c>
      <c r="AT315" s="637" t="str">
        <f t="shared" ca="1" si="206"/>
        <v/>
      </c>
      <c r="AU315" s="637" t="str">
        <f t="shared" ca="1" si="206"/>
        <v/>
      </c>
      <c r="AV315" s="637" t="str">
        <f t="shared" ca="1" si="206"/>
        <v/>
      </c>
      <c r="AW315" s="637" t="str">
        <f t="shared" ca="1" si="206"/>
        <v/>
      </c>
      <c r="AX315" s="637" t="str">
        <f t="shared" ca="1" si="206"/>
        <v/>
      </c>
      <c r="AY315" s="637" t="str">
        <f t="shared" ca="1" si="206"/>
        <v/>
      </c>
      <c r="AZ315" s="637" t="str">
        <f t="shared" ca="1" si="206"/>
        <v/>
      </c>
      <c r="BA315" s="637" t="str">
        <f t="shared" ca="1" si="206"/>
        <v/>
      </c>
      <c r="BB315" s="637" t="str">
        <f t="shared" ca="1" si="206"/>
        <v/>
      </c>
    </row>
    <row r="316" spans="1:242" ht="19.8" hidden="1">
      <c r="C316" s="666"/>
    </row>
    <row r="317" spans="1:242" s="154" customFormat="1" ht="20.100000000000001" hidden="1" customHeight="1">
      <c r="A317" s="173" t="s">
        <v>721</v>
      </c>
      <c r="B317" s="173"/>
      <c r="C317" s="179"/>
      <c r="D317" s="180"/>
      <c r="E317" s="181"/>
      <c r="F317" s="180"/>
      <c r="G317" s="180"/>
      <c r="H317" s="181"/>
      <c r="I317" s="180"/>
      <c r="J317" s="180"/>
      <c r="K317" s="181"/>
      <c r="L317" s="180"/>
      <c r="M317" s="180"/>
      <c r="N317" s="181"/>
      <c r="O317" s="180"/>
      <c r="P317" s="180"/>
      <c r="Q317" s="181"/>
      <c r="R317" s="180"/>
      <c r="S317" s="180"/>
      <c r="T317" s="181"/>
      <c r="U317" s="180"/>
      <c r="V317" s="180"/>
      <c r="W317" s="181"/>
      <c r="X317" s="180"/>
      <c r="Y317" s="180"/>
      <c r="Z317" s="181"/>
      <c r="AA317" s="180"/>
      <c r="AB317" s="180"/>
      <c r="AC317" s="181"/>
      <c r="AD317" s="180"/>
      <c r="AE317" s="180"/>
      <c r="AF317" s="181"/>
      <c r="AG317" s="180"/>
      <c r="AH317" s="180"/>
      <c r="AI317" s="181"/>
      <c r="AJ317" s="180"/>
      <c r="AK317" s="180"/>
      <c r="AL317" s="181"/>
      <c r="AM317" s="180"/>
      <c r="AN317" s="180"/>
      <c r="AS317" s="154" t="e">
        <f ca="1">MATCH(AR320,OFFSET(貼付け_2026実績,4,0,1,400),0)</f>
        <v>#N/A</v>
      </c>
      <c r="IE317" s="571"/>
      <c r="IF317" s="571"/>
      <c r="IG317" s="571"/>
      <c r="IH317" s="571"/>
    </row>
    <row r="318" spans="1:242" s="164" customFormat="1" ht="20.100000000000001" hidden="1" customHeight="1">
      <c r="A318" s="164">
        <v>0</v>
      </c>
      <c r="B318" s="573" t="s">
        <v>722</v>
      </c>
      <c r="E318" s="166"/>
      <c r="I318" s="166"/>
      <c r="IE318" s="579"/>
      <c r="IF318" s="579"/>
      <c r="IG318" s="579"/>
      <c r="IH318" s="579"/>
    </row>
    <row r="319" spans="1:242" s="164" customFormat="1" ht="20.100000000000001" hidden="1" customHeight="1">
      <c r="A319" s="164">
        <v>1</v>
      </c>
      <c r="B319" s="667"/>
      <c r="C319" s="668"/>
      <c r="D319" s="667" t="s">
        <v>723</v>
      </c>
      <c r="E319" s="669">
        <v>2024</v>
      </c>
      <c r="F319" s="670">
        <v>2025</v>
      </c>
      <c r="G319" s="669">
        <v>2026</v>
      </c>
      <c r="H319" s="671">
        <v>2027</v>
      </c>
      <c r="I319" s="672" t="s">
        <v>724</v>
      </c>
      <c r="J319" s="673" t="s">
        <v>725</v>
      </c>
      <c r="K319" s="669">
        <v>2024</v>
      </c>
      <c r="L319" s="670">
        <v>2025</v>
      </c>
      <c r="M319" s="669">
        <v>2026</v>
      </c>
      <c r="N319" s="670">
        <v>2027</v>
      </c>
      <c r="O319" s="674" t="s">
        <v>724</v>
      </c>
      <c r="P319" s="674" t="s">
        <v>726</v>
      </c>
      <c r="Q319" s="166"/>
      <c r="IE319" s="579"/>
      <c r="IF319" s="579"/>
      <c r="IG319" s="579"/>
      <c r="IH319" s="579"/>
    </row>
    <row r="320" spans="1:242" s="164" customFormat="1" ht="20.100000000000001" hidden="1" customHeight="1">
      <c r="A320" s="164">
        <v>2</v>
      </c>
      <c r="B320" s="675" t="s">
        <v>727</v>
      </c>
      <c r="C320" s="676" t="s">
        <v>728</v>
      </c>
      <c r="D320" s="675">
        <v>36</v>
      </c>
      <c r="E320" s="677" t="str">
        <f ca="1">IF(IFERROR(OFFSET(貼付け_2024実績,$D320,3),"")="","",OFFSET(貼付け_2024実績,$D320,3))</f>
        <v/>
      </c>
      <c r="F320" s="677" t="str">
        <f ca="1">IF(IFERROR(OFFSET(貼付け_2025実績,$D320,3),"")="","",OFFSET(貼付け_2025実績,$D320,3))</f>
        <v/>
      </c>
      <c r="G320" s="677" t="str">
        <f ca="1">IF(IFERROR(OFFSET(貼付け_2026実績,$D320,3),"")="","",OFFSET(貼付け_2026実績,$D320,3))</f>
        <v/>
      </c>
      <c r="H320" s="678" t="str">
        <f ca="1">IF(IFERROR(OFFSET(貼付け_2027実績,$D320,3),"")="","",OFFSET(貼付け_2027実績,$D320,3))</f>
        <v/>
      </c>
      <c r="I320" s="679" t="str">
        <f t="shared" ref="I320:I338" ca="1" si="207">IF(E320="","",E320)&amp;IF(OR(F320=E320,F320=""),"",","&amp;F320)&amp;IF(OR(G320=F320,G320=""),"",","&amp;G320)&amp;IF(OR(H320=G320,H320=""),"",","&amp;H320)</f>
        <v/>
      </c>
      <c r="J320" s="680">
        <v>200</v>
      </c>
      <c r="K320" s="681" t="str">
        <f ca="1">IF(IFERROR(OFFSET(貼付け_2024実績,$J320,13),"")="","",OFFSET(貼付け_2024実績,$J320,13))</f>
        <v/>
      </c>
      <c r="L320" s="681" t="str">
        <f ca="1">IF(IFERROR(OFFSET(貼付け_2025実績,$J320,13),"")="","",OFFSET(貼付け_2025実績,$J320,13))</f>
        <v/>
      </c>
      <c r="M320" s="681" t="str">
        <f ca="1">IF(IFERROR(OFFSET(貼付け_2026実績,$J320,13),"")="","",OFFSET(貼付け_2026実績,$J320,13))</f>
        <v/>
      </c>
      <c r="N320" s="681" t="str">
        <f ca="1">IF(IFERROR(OFFSET(貼付け_2027実績,$J320,13),"")="","",OFFSET(貼付け_2027実績,$J320,13))</f>
        <v/>
      </c>
      <c r="O320" s="682" t="str">
        <f t="shared" ref="O320:O337" ca="1" si="208">IF(K320="","",K320)&amp;IF(OR(L320=K320,L320=""),"",","&amp;L320)&amp;IF(OR(M320=L320,M320=""),"",","&amp;M320)&amp;IF(OR(N320=M320,N320=""),"",","&amp;N320)</f>
        <v/>
      </c>
      <c r="P320" s="682" t="str">
        <f t="shared" ref="P320:P337" ca="1" si="209">IF(I320=O320,I320,IF(OR(I320="",O320=""),I320&amp;O320,I320&amp;"/"&amp;O320))</f>
        <v/>
      </c>
      <c r="IE320" s="579"/>
      <c r="IF320" s="579"/>
      <c r="IG320" s="579"/>
      <c r="IH320" s="579"/>
    </row>
    <row r="321" spans="1:242" s="164" customFormat="1" ht="20.100000000000001" hidden="1" customHeight="1">
      <c r="A321" s="164">
        <v>3</v>
      </c>
      <c r="B321" s="683"/>
      <c r="C321" s="684"/>
      <c r="D321" s="683">
        <v>36</v>
      </c>
      <c r="E321" s="685" t="str">
        <f ca="1">IF(IFERROR(OFFSET(貼付け_2024実績,$D321,4),"")="","",OFFSET(貼付け_2024実績,$D321,4))</f>
        <v/>
      </c>
      <c r="F321" s="685" t="str">
        <f ca="1">IF(IFERROR(OFFSET(貼付け_2025実績,$D321,4),"")="","",OFFSET(貼付け_2025実績,$D321,4))</f>
        <v/>
      </c>
      <c r="G321" s="685" t="str">
        <f ca="1">IF(IFERROR(OFFSET(貼付け_2026実績,$D321,4),"")="","",OFFSET(貼付け_2026実績,$D321,4))</f>
        <v/>
      </c>
      <c r="H321" s="686" t="str">
        <f ca="1">IF(IFERROR(OFFSET(貼付け_2027実績,$D321,4),"")="","",OFFSET(貼付け_2027実績,$D321,4))</f>
        <v/>
      </c>
      <c r="I321" s="687" t="str">
        <f t="shared" ca="1" si="207"/>
        <v/>
      </c>
      <c r="J321" s="688">
        <v>200</v>
      </c>
      <c r="K321" s="685" t="str">
        <f ca="1">IF(IFERROR(OFFSET(貼付け_2024実績,$J321,14),"")="","",OFFSET(貼付け_2024実績,$J321,14))</f>
        <v/>
      </c>
      <c r="L321" s="685" t="str">
        <f ca="1">IF(IFERROR(OFFSET(貼付け_2025実績,$J321,14),"")="","",OFFSET(貼付け_2025実績,$J321,14))</f>
        <v/>
      </c>
      <c r="M321" s="685" t="str">
        <f ca="1">IF(IFERROR(OFFSET(貼付け_2026実績,$J321,14),"")="","",OFFSET(貼付け_2026実績,$J321,14))</f>
        <v/>
      </c>
      <c r="N321" s="685" t="str">
        <f ca="1">IF(IFERROR(OFFSET(貼付け_2027実績,$J321,14),"")="","",OFFSET(貼付け_2027実績,$J321,14))</f>
        <v/>
      </c>
      <c r="O321" s="687" t="str">
        <f t="shared" ca="1" si="208"/>
        <v/>
      </c>
      <c r="P321" s="687" t="str">
        <f t="shared" ca="1" si="209"/>
        <v/>
      </c>
      <c r="IE321" s="579"/>
      <c r="IF321" s="579"/>
      <c r="IG321" s="579"/>
      <c r="IH321" s="579"/>
    </row>
    <row r="322" spans="1:242" s="164" customFormat="1" ht="20.100000000000001" hidden="1" customHeight="1">
      <c r="A322" s="164">
        <v>4</v>
      </c>
      <c r="B322" s="683" t="s">
        <v>729</v>
      </c>
      <c r="C322" s="684" t="s">
        <v>460</v>
      </c>
      <c r="D322" s="683">
        <v>43</v>
      </c>
      <c r="E322" s="685" t="str">
        <f ca="1">IF(IFERROR(OFFSET(貼付け_2024実績,$D322,3),"")="","",OFFSET(貼付け_2024実績,$D322,3))</f>
        <v/>
      </c>
      <c r="F322" s="685" t="str">
        <f ca="1">IF(IFERROR(OFFSET(貼付け_2025実績,$D322,3),"")="","",OFFSET(貼付け_2025実績,$D322,3))</f>
        <v/>
      </c>
      <c r="G322" s="685" t="str">
        <f ca="1">IF(IFERROR(OFFSET(貼付け_2026実績,$D322,3),"")="","",OFFSET(貼付け_2026実績,$D322,3))</f>
        <v/>
      </c>
      <c r="H322" s="686" t="str">
        <f ca="1">IF(IFERROR(OFFSET(貼付け_2027実績,$D322,3),"")="","",OFFSET(貼付け_2027実績,$D322,3))</f>
        <v/>
      </c>
      <c r="I322" s="687" t="str">
        <f t="shared" ca="1" si="207"/>
        <v/>
      </c>
      <c r="J322" s="688"/>
      <c r="K322" s="689"/>
      <c r="L322" s="689"/>
      <c r="M322" s="689"/>
      <c r="N322" s="689"/>
      <c r="O322" s="690" t="str">
        <f t="shared" si="208"/>
        <v/>
      </c>
      <c r="P322" s="691" t="str">
        <f t="shared" ca="1" si="209"/>
        <v/>
      </c>
      <c r="IE322" s="579"/>
      <c r="IF322" s="579"/>
      <c r="IG322" s="579"/>
      <c r="IH322" s="579"/>
    </row>
    <row r="323" spans="1:242" s="164" customFormat="1" ht="20.100000000000001" hidden="1" customHeight="1">
      <c r="A323" s="164">
        <v>5</v>
      </c>
      <c r="B323" s="683"/>
      <c r="C323" s="684" t="s">
        <v>730</v>
      </c>
      <c r="D323" s="683">
        <v>54</v>
      </c>
      <c r="E323" s="685" t="str">
        <f ca="1">IF(IFERROR(OFFSET(貼付け_2024実績,$D323,3),"")="","",OFFSET(貼付け_2024実績,$D323,3))</f>
        <v/>
      </c>
      <c r="F323" s="685" t="str">
        <f ca="1">IF(IFERROR(OFFSET(貼付け_2025実績,$D323,3),"")="","",OFFSET(貼付け_2025実績,$D323,3))</f>
        <v/>
      </c>
      <c r="G323" s="685" t="str">
        <f ca="1">IF(IFERROR(OFFSET(貼付け_2026実績,$D323,3),"")="","",OFFSET(貼付け_2026実績,$D323,3))</f>
        <v/>
      </c>
      <c r="H323" s="686" t="str">
        <f ca="1">IF(IFERROR(OFFSET(貼付け_2027実績,$D323,3),"")="","",OFFSET(貼付け_2027実績,$D323,3))</f>
        <v/>
      </c>
      <c r="I323" s="687" t="str">
        <f t="shared" ca="1" si="207"/>
        <v/>
      </c>
      <c r="J323" s="688">
        <v>201</v>
      </c>
      <c r="K323" s="685" t="str">
        <f ca="1">IF(IFERROR(OFFSET(貼付け_2024実績,$J323,13),"")="","",OFFSET(貼付け_2024実績,$J323,13))</f>
        <v/>
      </c>
      <c r="L323" s="685" t="str">
        <f ca="1">IF(IFERROR(OFFSET(貼付け_2025実績,$J323,13),"")="","",OFFSET(貼付け_2025実績,$J323,13))</f>
        <v/>
      </c>
      <c r="M323" s="685" t="str">
        <f ca="1">IF(IFERROR(OFFSET(貼付け_2026実績,$J323,13),"")="","",OFFSET(貼付け_2026実績,$J323,13))</f>
        <v/>
      </c>
      <c r="N323" s="685" t="str">
        <f ca="1">IF(IFERROR(OFFSET(貼付け_2027実績,$J323,13),"")="","",OFFSET(貼付け_2027実績,$J323,13))</f>
        <v/>
      </c>
      <c r="O323" s="687" t="str">
        <f t="shared" ca="1" si="208"/>
        <v/>
      </c>
      <c r="P323" s="691" t="str">
        <f t="shared" ca="1" si="209"/>
        <v/>
      </c>
      <c r="IE323" s="579"/>
      <c r="IF323" s="579"/>
      <c r="IG323" s="579"/>
      <c r="IH323" s="579"/>
    </row>
    <row r="324" spans="1:242" s="164" customFormat="1" ht="20.100000000000001" hidden="1" customHeight="1">
      <c r="A324" s="164">
        <v>6</v>
      </c>
      <c r="B324" s="683"/>
      <c r="D324" s="683">
        <v>54</v>
      </c>
      <c r="E324" s="686" t="str">
        <f ca="1">IF(IFERROR(OFFSET(貼付け_2024実績,$D324,4),"")="","",OFFSET(貼付け_2024実績,$D324,4))</f>
        <v/>
      </c>
      <c r="F324" s="685" t="str">
        <f ca="1">IF(IFERROR(OFFSET(貼付け_2025実績,$D324,4),"")="","",OFFSET(貼付け_2025実績,$D324,4))</f>
        <v/>
      </c>
      <c r="G324" s="685" t="str">
        <f ca="1">IF(IFERROR(OFFSET(貼付け_2026実績,$D324,4),"")="","",OFFSET(貼付け_2026実績,$D324,4))</f>
        <v/>
      </c>
      <c r="H324" s="686" t="str">
        <f ca="1">IF(IFERROR(OFFSET(貼付け_2027実績,$D324,4),"")="","",OFFSET(貼付け_2027実績,$D324,4))</f>
        <v/>
      </c>
      <c r="I324" s="687" t="str">
        <f t="shared" ca="1" si="207"/>
        <v/>
      </c>
      <c r="J324" s="688">
        <v>201</v>
      </c>
      <c r="K324" s="685" t="str">
        <f ca="1">IF(IFERROR(OFFSET(貼付け_2024実績,$J324,14),"")="","",OFFSET(貼付け_2024実績,$J324,14))</f>
        <v/>
      </c>
      <c r="L324" s="685" t="str">
        <f ca="1">IF(IFERROR(OFFSET(貼付け_2025実績,$J324,14),"")="","",OFFSET(貼付け_2025実績,$J324,14))</f>
        <v/>
      </c>
      <c r="M324" s="685" t="str">
        <f ca="1">IF(IFERROR(OFFSET(貼付け_2026実績,$J324,14),"")="","",OFFSET(貼付け_2026実績,$J324,14))</f>
        <v/>
      </c>
      <c r="N324" s="685" t="str">
        <f ca="1">IF(IFERROR(OFFSET(貼付け_2027実績,$J324,14),"")="","",OFFSET(貼付け_2027実績,$J324,14))</f>
        <v/>
      </c>
      <c r="O324" s="687" t="str">
        <f t="shared" ca="1" si="208"/>
        <v/>
      </c>
      <c r="P324" s="691" t="str">
        <f t="shared" ca="1" si="209"/>
        <v/>
      </c>
      <c r="IE324" s="579"/>
      <c r="IF324" s="579"/>
      <c r="IG324" s="579"/>
      <c r="IH324" s="579"/>
    </row>
    <row r="325" spans="1:242" s="164" customFormat="1" ht="20.100000000000001" hidden="1" customHeight="1">
      <c r="A325" s="164">
        <v>7</v>
      </c>
      <c r="B325" s="683"/>
      <c r="C325" s="684" t="s">
        <v>731</v>
      </c>
      <c r="D325" s="683">
        <v>55</v>
      </c>
      <c r="E325" s="685" t="str">
        <f ca="1">IF(IFERROR(OFFSET(貼付け_2024実績,$D325,3),"")="","",OFFSET(貼付け_2024実績,$D325,3))</f>
        <v/>
      </c>
      <c r="F325" s="685" t="str">
        <f ca="1">IF(IFERROR(OFFSET(貼付け_2025実績,$D325,3),"")="","",OFFSET(貼付け_2025実績,$D325,3))</f>
        <v/>
      </c>
      <c r="G325" s="685" t="str">
        <f ca="1">IF(IFERROR(OFFSET(貼付け_2026実績,$D325,3),"")="","",OFFSET(貼付け_2026実績,$D325,3))</f>
        <v/>
      </c>
      <c r="H325" s="686" t="str">
        <f ca="1">IF(IFERROR(OFFSET(貼付け_2027実績,$D325,3),"")="","",OFFSET(貼付け_2027実績,$D325,3))</f>
        <v/>
      </c>
      <c r="I325" s="687" t="str">
        <f t="shared" ca="1" si="207"/>
        <v/>
      </c>
      <c r="J325" s="688"/>
      <c r="K325" s="689"/>
      <c r="L325" s="689"/>
      <c r="M325" s="689"/>
      <c r="N325" s="689"/>
      <c r="O325" s="690" t="str">
        <f t="shared" si="208"/>
        <v/>
      </c>
      <c r="P325" s="691" t="str">
        <f t="shared" ca="1" si="209"/>
        <v/>
      </c>
      <c r="IE325" s="579"/>
      <c r="IF325" s="579"/>
      <c r="IG325" s="579"/>
      <c r="IH325" s="579"/>
    </row>
    <row r="326" spans="1:242" s="164" customFormat="1" ht="20.100000000000001" hidden="1" customHeight="1">
      <c r="A326" s="164">
        <v>8</v>
      </c>
      <c r="B326" s="683"/>
      <c r="D326" s="683">
        <v>55</v>
      </c>
      <c r="E326" s="686" t="str">
        <f ca="1">IF(IFERROR(OFFSET(貼付け_2024実績,$D326,4),"")="","",OFFSET(貼付け_2024実績,$D326,4))</f>
        <v/>
      </c>
      <c r="F326" s="685" t="str">
        <f ca="1">IF(IFERROR(OFFSET(貼付け_2025実績,$D326,4),"")="","",OFFSET(貼付け_2025実績,$D326,4))</f>
        <v/>
      </c>
      <c r="G326" s="685" t="str">
        <f ca="1">IF(IFERROR(OFFSET(貼付け_2026実績,$D326,4),"")="","",OFFSET(貼付け_2026実績,$D326,4))</f>
        <v/>
      </c>
      <c r="H326" s="686" t="str">
        <f ca="1">IF(IFERROR(OFFSET(貼付け_2027実績,$D326,4),"")="","",OFFSET(貼付け_2027実績,$D326,4))</f>
        <v/>
      </c>
      <c r="I326" s="687" t="str">
        <f t="shared" ca="1" si="207"/>
        <v/>
      </c>
      <c r="J326" s="688"/>
      <c r="K326" s="689"/>
      <c r="L326" s="689"/>
      <c r="M326" s="689"/>
      <c r="N326" s="689"/>
      <c r="O326" s="690" t="str">
        <f t="shared" si="208"/>
        <v/>
      </c>
      <c r="P326" s="691" t="str">
        <f t="shared" ca="1" si="209"/>
        <v/>
      </c>
      <c r="IE326" s="579"/>
      <c r="IF326" s="579"/>
      <c r="IG326" s="579"/>
      <c r="IH326" s="579"/>
    </row>
    <row r="327" spans="1:242" s="164" customFormat="1" ht="20.100000000000001" hidden="1" customHeight="1">
      <c r="A327" s="164">
        <v>9</v>
      </c>
      <c r="B327" s="683" t="s">
        <v>732</v>
      </c>
      <c r="C327" s="684" t="s">
        <v>733</v>
      </c>
      <c r="D327" s="683">
        <v>64</v>
      </c>
      <c r="E327" s="685" t="str">
        <f ca="1">IF(IFERROR(OFFSET(貼付け_2024実績,$D327,3),"")="","",OFFSET(貼付け_2024実績,$D327,3))</f>
        <v/>
      </c>
      <c r="F327" s="685" t="str">
        <f ca="1">IF(IFERROR(OFFSET(貼付け_2025実績,$D327,3),"")="","",OFFSET(貼付け_2025実績,$D327,3))</f>
        <v/>
      </c>
      <c r="G327" s="685" t="str">
        <f ca="1">IF(IFERROR(OFFSET(貼付け_2026実績,$D327,3),"")="","",OFFSET(貼付け_2026実績,$D327,3))</f>
        <v/>
      </c>
      <c r="H327" s="686" t="str">
        <f ca="1">IF(IFERROR(OFFSET(貼付け_2027実績,$D327,3),"")="","",OFFSET(貼付け_2027実績,$D327,3))</f>
        <v/>
      </c>
      <c r="I327" s="687" t="str">
        <f t="shared" ca="1" si="207"/>
        <v/>
      </c>
      <c r="J327" s="688"/>
      <c r="K327" s="689"/>
      <c r="L327" s="689"/>
      <c r="M327" s="689"/>
      <c r="N327" s="689"/>
      <c r="O327" s="690" t="str">
        <f t="shared" si="208"/>
        <v/>
      </c>
      <c r="P327" s="691" t="str">
        <f t="shared" ca="1" si="209"/>
        <v/>
      </c>
      <c r="IE327" s="579"/>
      <c r="IF327" s="579"/>
      <c r="IG327" s="579"/>
      <c r="IH327" s="579"/>
    </row>
    <row r="328" spans="1:242" s="164" customFormat="1" ht="20.100000000000001" hidden="1" customHeight="1">
      <c r="A328" s="164">
        <v>10</v>
      </c>
      <c r="B328" s="683" t="s">
        <v>734</v>
      </c>
      <c r="C328" s="684" t="s">
        <v>735</v>
      </c>
      <c r="D328" s="683">
        <v>70</v>
      </c>
      <c r="E328" s="685" t="str">
        <f ca="1">IF(IFERROR(OFFSET(貼付け_2024実績,$D328,3),"")="","",OFFSET(貼付け_2024実績,$D328,3))</f>
        <v/>
      </c>
      <c r="F328" s="685" t="str">
        <f ca="1">IF(IFERROR(OFFSET(貼付け_2025実績,$D328,3),"")="","",OFFSET(貼付け_2025実績,$D328,3))</f>
        <v/>
      </c>
      <c r="G328" s="685" t="str">
        <f ca="1">IF(IFERROR(OFFSET(貼付け_2026実績,$D328,3),"")="","",OFFSET(貼付け_2026実績,$D328,3))</f>
        <v/>
      </c>
      <c r="H328" s="686" t="str">
        <f ca="1">IF(IFERROR(OFFSET(貼付け_2027実績,$D328,3),"")="","",OFFSET(貼付け_2027実績,$D328,3))</f>
        <v/>
      </c>
      <c r="I328" s="687" t="str">
        <f t="shared" ca="1" si="207"/>
        <v/>
      </c>
      <c r="J328" s="688"/>
      <c r="K328" s="689"/>
      <c r="L328" s="689"/>
      <c r="M328" s="689"/>
      <c r="N328" s="689"/>
      <c r="O328" s="690" t="str">
        <f t="shared" si="208"/>
        <v/>
      </c>
      <c r="P328" s="691" t="str">
        <f t="shared" ca="1" si="209"/>
        <v/>
      </c>
      <c r="IE328" s="579"/>
      <c r="IF328" s="579"/>
      <c r="IG328" s="579"/>
      <c r="IH328" s="579"/>
    </row>
    <row r="329" spans="1:242" s="164" customFormat="1" ht="20.100000000000001" hidden="1" customHeight="1">
      <c r="A329" s="164">
        <v>11</v>
      </c>
      <c r="B329" s="683"/>
      <c r="C329" s="684" t="s">
        <v>404</v>
      </c>
      <c r="D329" s="683">
        <v>71</v>
      </c>
      <c r="E329" s="685" t="str">
        <f ca="1">IF(IFERROR(OFFSET(貼付け_2024実績,$D329,3),"")="","",OFFSET(貼付け_2024実績,$D329,3))</f>
        <v/>
      </c>
      <c r="F329" s="685" t="str">
        <f ca="1">IF(IFERROR(OFFSET(貼付け_2025実績,$D329,3),"")="","",OFFSET(貼付け_2025実績,$D329,3))</f>
        <v/>
      </c>
      <c r="G329" s="685" t="str">
        <f ca="1">IF(IFERROR(OFFSET(貼付け_2026実績,$D329,3),"")="","",OFFSET(貼付け_2026実績,$D329,3))</f>
        <v/>
      </c>
      <c r="H329" s="686" t="str">
        <f ca="1">IF(IFERROR(OFFSET(貼付け_2027実績,$D329,3),"")="","",OFFSET(貼付け_2027実績,$D329,3))</f>
        <v/>
      </c>
      <c r="I329" s="687" t="str">
        <f t="shared" ca="1" si="207"/>
        <v/>
      </c>
      <c r="J329" s="688"/>
      <c r="K329" s="689"/>
      <c r="L329" s="689"/>
      <c r="M329" s="689"/>
      <c r="N329" s="689"/>
      <c r="O329" s="690" t="str">
        <f t="shared" si="208"/>
        <v/>
      </c>
      <c r="P329" s="691" t="str">
        <f t="shared" ca="1" si="209"/>
        <v/>
      </c>
      <c r="IE329" s="579"/>
      <c r="IF329" s="579"/>
      <c r="IG329" s="579"/>
      <c r="IH329" s="579"/>
    </row>
    <row r="330" spans="1:242" s="164" customFormat="1" ht="20.100000000000001" hidden="1" customHeight="1">
      <c r="A330" s="164">
        <v>12</v>
      </c>
      <c r="B330" s="683" t="s">
        <v>736</v>
      </c>
      <c r="C330" s="686" t="s">
        <v>737</v>
      </c>
      <c r="D330" s="683">
        <v>77</v>
      </c>
      <c r="E330" s="685" t="str">
        <f ca="1">IF(IFERROR(OFFSET(貼付け_2024実績,$D330,3),"")="","",OFFSET(貼付け_2024実績,$D330,3))</f>
        <v/>
      </c>
      <c r="F330" s="685" t="str">
        <f ca="1">IF(IFERROR(OFFSET(貼付け_2025実績,$D330,3),"")="","",OFFSET(貼付け_2025実績,$D330,3))</f>
        <v/>
      </c>
      <c r="G330" s="685" t="str">
        <f ca="1">IF(IFERROR(OFFSET(貼付け_2026実績,$D330,3),"")="","",OFFSET(貼付け_2026実績,$D330,3))</f>
        <v/>
      </c>
      <c r="H330" s="686" t="str">
        <f ca="1">IF(IFERROR(OFFSET(貼付け_2027実績,$D330,3),"")="","",OFFSET(貼付け_2027実績,$D330,3))</f>
        <v/>
      </c>
      <c r="I330" s="687" t="str">
        <f t="shared" ca="1" si="207"/>
        <v/>
      </c>
      <c r="J330" s="688">
        <v>202</v>
      </c>
      <c r="K330" s="685" t="str">
        <f t="shared" ref="K330:K337" ca="1" si="210">IF(IFERROR(OFFSET(貼付け_2024実績,$J330,13),"")="","",OFFSET(貼付け_2024実績,$J330,13))</f>
        <v/>
      </c>
      <c r="L330" s="685" t="str">
        <f t="shared" ref="L330:L337" ca="1" si="211">IF(IFERROR(OFFSET(貼付け_2025実績,$J330,13),"")="","",OFFSET(貼付け_2025実績,$J330,13))</f>
        <v/>
      </c>
      <c r="M330" s="685" t="str">
        <f t="shared" ref="M330:M337" ca="1" si="212">IF(IFERROR(OFFSET(貼付け_2026実績,$J330,13),"")="","",OFFSET(貼付け_2026実績,$J330,13))</f>
        <v/>
      </c>
      <c r="N330" s="685" t="str">
        <f t="shared" ref="N330:N337" ca="1" si="213">IF(IFERROR(OFFSET(貼付け_2027実績,$J330,13),"")="","",OFFSET(貼付け_2027実績,$J330,13))</f>
        <v/>
      </c>
      <c r="O330" s="687" t="str">
        <f t="shared" ca="1" si="208"/>
        <v/>
      </c>
      <c r="P330" s="691" t="str">
        <f t="shared" ca="1" si="209"/>
        <v/>
      </c>
      <c r="IE330" s="579"/>
      <c r="IF330" s="579"/>
      <c r="IG330" s="579"/>
      <c r="IH330" s="579"/>
    </row>
    <row r="331" spans="1:242" s="164" customFormat="1" ht="20.100000000000001" hidden="1" customHeight="1">
      <c r="A331" s="164">
        <v>13</v>
      </c>
      <c r="B331" s="683"/>
      <c r="C331" s="684" t="s">
        <v>738</v>
      </c>
      <c r="D331" s="683">
        <v>80</v>
      </c>
      <c r="E331" s="685" t="str">
        <f ca="1">IF(IFERROR(OFFSET(貼付け_2024実績,$D331,3),"")="","",OFFSET(貼付け_2024実績,$D331,3))</f>
        <v/>
      </c>
      <c r="F331" s="685" t="str">
        <f ca="1">IF(IFERROR(OFFSET(貼付け_2025実績,$D331,3),"")="","",OFFSET(貼付け_2025実績,$D331,3))</f>
        <v/>
      </c>
      <c r="G331" s="685" t="str">
        <f ca="1">IF(IFERROR(OFFSET(貼付け_2026実績,$D331,3),"")="","",OFFSET(貼付け_2026実績,$D331,3))</f>
        <v/>
      </c>
      <c r="H331" s="686" t="str">
        <f ca="1">IF(IFERROR(OFFSET(貼付け_2027実績,$D331,3),"")="","",OFFSET(貼付け_2027実績,$D331,3))</f>
        <v/>
      </c>
      <c r="I331" s="687" t="str">
        <f t="shared" ca="1" si="207"/>
        <v/>
      </c>
      <c r="J331" s="688">
        <v>203</v>
      </c>
      <c r="K331" s="685" t="str">
        <f t="shared" ca="1" si="210"/>
        <v/>
      </c>
      <c r="L331" s="685" t="str">
        <f t="shared" ca="1" si="211"/>
        <v/>
      </c>
      <c r="M331" s="685" t="str">
        <f t="shared" ca="1" si="212"/>
        <v/>
      </c>
      <c r="N331" s="685" t="str">
        <f t="shared" ca="1" si="213"/>
        <v/>
      </c>
      <c r="O331" s="687" t="str">
        <f t="shared" ca="1" si="208"/>
        <v/>
      </c>
      <c r="P331" s="691" t="str">
        <f t="shared" ca="1" si="209"/>
        <v/>
      </c>
      <c r="IE331" s="579"/>
      <c r="IF331" s="579"/>
      <c r="IG331" s="579"/>
      <c r="IH331" s="579"/>
    </row>
    <row r="332" spans="1:242" s="164" customFormat="1" ht="20.100000000000001" hidden="1" customHeight="1">
      <c r="A332" s="164">
        <v>14</v>
      </c>
      <c r="B332" s="683"/>
      <c r="C332" s="684" t="s">
        <v>739</v>
      </c>
      <c r="D332" s="683">
        <v>91</v>
      </c>
      <c r="E332" s="685" t="str">
        <f ca="1">IF(IFERROR(OFFSET(貼付け_2024実績,$D332,2),"")="","",OFFSET(貼付け_2024実績,$D332,2))</f>
        <v/>
      </c>
      <c r="F332" s="685" t="str">
        <f ca="1">IF(IFERROR(OFFSET(貼付け_2025実績,$D332,2),"")="","",OFFSET(貼付け_2025実績,$D332,2))</f>
        <v/>
      </c>
      <c r="G332" s="685" t="str">
        <f ca="1">IF(IFERROR(OFFSET(貼付け_2026実績,$D332,2),"")="","",OFFSET(貼付け_2026実績,$D332,2))</f>
        <v/>
      </c>
      <c r="H332" s="686" t="str">
        <f ca="1">IF(IFERROR(OFFSET(貼付け_2027実績,$D332,2),"")="","",OFFSET(貼付け_2027実績,$D332,2))</f>
        <v/>
      </c>
      <c r="I332" s="687" t="str">
        <f t="shared" ca="1" si="207"/>
        <v/>
      </c>
      <c r="J332" s="688">
        <v>204</v>
      </c>
      <c r="K332" s="685" t="str">
        <f t="shared" ca="1" si="210"/>
        <v/>
      </c>
      <c r="L332" s="685" t="str">
        <f t="shared" ca="1" si="211"/>
        <v/>
      </c>
      <c r="M332" s="685" t="str">
        <f t="shared" ca="1" si="212"/>
        <v/>
      </c>
      <c r="N332" s="685" t="str">
        <f t="shared" ca="1" si="213"/>
        <v/>
      </c>
      <c r="O332" s="687" t="str">
        <f t="shared" ca="1" si="208"/>
        <v/>
      </c>
      <c r="P332" s="691" t="str">
        <f t="shared" ca="1" si="209"/>
        <v/>
      </c>
      <c r="IE332" s="579"/>
      <c r="IF332" s="579"/>
      <c r="IG332" s="579"/>
      <c r="IH332" s="579"/>
    </row>
    <row r="333" spans="1:242" s="164" customFormat="1" ht="20.100000000000001" hidden="1" customHeight="1">
      <c r="A333" s="164">
        <v>15</v>
      </c>
      <c r="B333" s="683"/>
      <c r="C333" s="684" t="s">
        <v>740</v>
      </c>
      <c r="D333" s="683">
        <v>93</v>
      </c>
      <c r="E333" s="685" t="str">
        <f ca="1">IF(IFERROR(OFFSET(貼付け_2024実績,$D333,2),"")="","",OFFSET(貼付け_2024実績,$D333,2))</f>
        <v/>
      </c>
      <c r="F333" s="685" t="str">
        <f ca="1">IF(IFERROR(OFFSET(貼付け_2025実績,$D333,2),"")="","",OFFSET(貼付け_2025実績,$D333,2))</f>
        <v/>
      </c>
      <c r="G333" s="685" t="str">
        <f ca="1">IF(IFERROR(OFFSET(貼付け_2026実績,$D333,2),"")="","",OFFSET(貼付け_2026実績,$D333,2))</f>
        <v/>
      </c>
      <c r="H333" s="686" t="str">
        <f ca="1">IF(IFERROR(OFFSET(貼付け_2027実績,$D333,2),"")="","",OFFSET(貼付け_2027実績,$D333,2))</f>
        <v/>
      </c>
      <c r="I333" s="687" t="str">
        <f t="shared" ca="1" si="207"/>
        <v/>
      </c>
      <c r="J333" s="688">
        <v>206</v>
      </c>
      <c r="K333" s="685" t="str">
        <f t="shared" ca="1" si="210"/>
        <v/>
      </c>
      <c r="L333" s="685" t="str">
        <f t="shared" ca="1" si="211"/>
        <v/>
      </c>
      <c r="M333" s="685" t="str">
        <f t="shared" ca="1" si="212"/>
        <v/>
      </c>
      <c r="N333" s="685" t="str">
        <f t="shared" ca="1" si="213"/>
        <v/>
      </c>
      <c r="O333" s="687" t="str">
        <f t="shared" ca="1" si="208"/>
        <v/>
      </c>
      <c r="P333" s="691" t="str">
        <f t="shared" ca="1" si="209"/>
        <v/>
      </c>
      <c r="IE333" s="579"/>
      <c r="IF333" s="579"/>
      <c r="IG333" s="579"/>
      <c r="IH333" s="579"/>
    </row>
    <row r="334" spans="1:242" s="164" customFormat="1" ht="20.100000000000001" hidden="1" customHeight="1">
      <c r="A334" s="164">
        <v>16</v>
      </c>
      <c r="B334" s="683"/>
      <c r="C334" s="684" t="s">
        <v>741</v>
      </c>
      <c r="D334" s="683">
        <v>95</v>
      </c>
      <c r="E334" s="685" t="str">
        <f ca="1">IF(IFERROR(OFFSET(貼付け_2024実績,$D334,3),"")="","",OFFSET(貼付け_2024実績,$D334,3))</f>
        <v/>
      </c>
      <c r="F334" s="685" t="str">
        <f ca="1">IF(IFERROR(OFFSET(貼付け_2025実績,$D334,3),"")="","",OFFSET(貼付け_2025実績,$D334,3))</f>
        <v/>
      </c>
      <c r="G334" s="685" t="str">
        <f ca="1">IF(IFERROR(OFFSET(貼付け_2026実績,$D334,3),"")="","",OFFSET(貼付け_2026実績,$D334,3))</f>
        <v/>
      </c>
      <c r="H334" s="686" t="str">
        <f ca="1">IF(IFERROR(OFFSET(貼付け_2027実績,$D334,3),"")="","",OFFSET(貼付け_2027実績,$D334,3))</f>
        <v/>
      </c>
      <c r="I334" s="687" t="str">
        <f t="shared" ca="1" si="207"/>
        <v/>
      </c>
      <c r="J334" s="688">
        <v>208</v>
      </c>
      <c r="K334" s="685" t="str">
        <f t="shared" ca="1" si="210"/>
        <v/>
      </c>
      <c r="L334" s="685" t="str">
        <f t="shared" ca="1" si="211"/>
        <v/>
      </c>
      <c r="M334" s="685" t="str">
        <f t="shared" ca="1" si="212"/>
        <v/>
      </c>
      <c r="N334" s="685" t="str">
        <f t="shared" ca="1" si="213"/>
        <v/>
      </c>
      <c r="O334" s="687" t="str">
        <f t="shared" ca="1" si="208"/>
        <v/>
      </c>
      <c r="P334" s="691" t="str">
        <f t="shared" ca="1" si="209"/>
        <v/>
      </c>
      <c r="IE334" s="579"/>
      <c r="IF334" s="579"/>
      <c r="IG334" s="579"/>
      <c r="IH334" s="579"/>
    </row>
    <row r="335" spans="1:242" s="164" customFormat="1" ht="20.100000000000001" hidden="1" customHeight="1">
      <c r="A335" s="164">
        <v>17</v>
      </c>
      <c r="B335" s="683"/>
      <c r="C335" s="684" t="s">
        <v>742</v>
      </c>
      <c r="D335" s="683">
        <v>96</v>
      </c>
      <c r="E335" s="685" t="str">
        <f ca="1">IF(IFERROR(OFFSET(貼付け_2024実績,$D335,3),"")="","",OFFSET(貼付け_2024実績,$D335,3))</f>
        <v/>
      </c>
      <c r="F335" s="685" t="str">
        <f ca="1">IF(IFERROR(OFFSET(貼付け_2025実績,$D335,3),"")="","",OFFSET(貼付け_2025実績,$D335,3))</f>
        <v/>
      </c>
      <c r="G335" s="685" t="str">
        <f ca="1">IF(IFERROR(OFFSET(貼付け_2026実績,$D335,3),"")="","",OFFSET(貼付け_2026実績,$D335,3))</f>
        <v/>
      </c>
      <c r="H335" s="686" t="str">
        <f ca="1">IF(IFERROR(OFFSET(貼付け_2027実績,$D335,3),"")="","",OFFSET(貼付け_2027実績,$D335,3))</f>
        <v/>
      </c>
      <c r="I335" s="687" t="str">
        <f t="shared" ca="1" si="207"/>
        <v/>
      </c>
      <c r="J335" s="688">
        <v>209</v>
      </c>
      <c r="K335" s="685" t="str">
        <f t="shared" ca="1" si="210"/>
        <v/>
      </c>
      <c r="L335" s="685" t="str">
        <f t="shared" ca="1" si="211"/>
        <v/>
      </c>
      <c r="M335" s="685" t="str">
        <f t="shared" ca="1" si="212"/>
        <v/>
      </c>
      <c r="N335" s="685" t="str">
        <f t="shared" ca="1" si="213"/>
        <v/>
      </c>
      <c r="O335" s="687" t="str">
        <f t="shared" ca="1" si="208"/>
        <v/>
      </c>
      <c r="P335" s="691" t="str">
        <f t="shared" ca="1" si="209"/>
        <v/>
      </c>
      <c r="IE335" s="579"/>
      <c r="IF335" s="579"/>
      <c r="IG335" s="579"/>
      <c r="IH335" s="579"/>
    </row>
    <row r="336" spans="1:242" s="164" customFormat="1" ht="20.100000000000001" hidden="1" customHeight="1">
      <c r="A336" s="164">
        <v>18</v>
      </c>
      <c r="B336" s="683"/>
      <c r="C336" s="684" t="s">
        <v>743</v>
      </c>
      <c r="D336" s="683">
        <v>97</v>
      </c>
      <c r="E336" s="685" t="str">
        <f ca="1">IF(IFERROR(OFFSET(貼付け_2024実績,$D336,3),"")="","",OFFSET(貼付け_2024実績,$D336,3))</f>
        <v/>
      </c>
      <c r="F336" s="685" t="str">
        <f ca="1">IF(IFERROR(OFFSET(貼付け_2025実績,$D336,3),"")="","",OFFSET(貼付け_2025実績,$D336,3))</f>
        <v/>
      </c>
      <c r="G336" s="685" t="str">
        <f ca="1">IF(IFERROR(OFFSET(貼付け_2026実績,$D336,3),"")="","",OFFSET(貼付け_2026実績,$D336,3))</f>
        <v/>
      </c>
      <c r="H336" s="686" t="str">
        <f ca="1">IF(IFERROR(OFFSET(貼付け_2027実績,$D336,3),"")="","",OFFSET(貼付け_2027実績,$D336,3))</f>
        <v/>
      </c>
      <c r="I336" s="687" t="str">
        <f t="shared" ca="1" si="207"/>
        <v/>
      </c>
      <c r="J336" s="688">
        <v>210</v>
      </c>
      <c r="K336" s="685" t="str">
        <f t="shared" ca="1" si="210"/>
        <v/>
      </c>
      <c r="L336" s="685" t="str">
        <f t="shared" ca="1" si="211"/>
        <v/>
      </c>
      <c r="M336" s="685" t="str">
        <f t="shared" ca="1" si="212"/>
        <v/>
      </c>
      <c r="N336" s="685" t="str">
        <f t="shared" ca="1" si="213"/>
        <v/>
      </c>
      <c r="O336" s="687" t="str">
        <f t="shared" ca="1" si="208"/>
        <v/>
      </c>
      <c r="P336" s="691" t="str">
        <f t="shared" ca="1" si="209"/>
        <v/>
      </c>
      <c r="IE336" s="579"/>
      <c r="IF336" s="579"/>
      <c r="IG336" s="579"/>
      <c r="IH336" s="579"/>
    </row>
    <row r="337" spans="1:242" s="164" customFormat="1" ht="20.100000000000001" hidden="1" customHeight="1">
      <c r="A337" s="164">
        <v>19</v>
      </c>
      <c r="B337" s="683"/>
      <c r="C337" s="684" t="s">
        <v>744</v>
      </c>
      <c r="D337" s="683">
        <v>98</v>
      </c>
      <c r="E337" s="685" t="str">
        <f ca="1">IF(IFERROR(OFFSET(貼付け_2024実績,$D337,3),"")="","",OFFSET(貼付け_2024実績,$D337,3))</f>
        <v/>
      </c>
      <c r="F337" s="685" t="str">
        <f ca="1">IF(IFERROR(OFFSET(貼付け_2025実績,$D337,3),"")="","",OFFSET(貼付け_2025実績,$D337,3))</f>
        <v/>
      </c>
      <c r="G337" s="685" t="str">
        <f ca="1">IF(IFERROR(OFFSET(貼付け_2026実績,$D337,3),"")="","",OFFSET(貼付け_2026実績,$D337,3))</f>
        <v/>
      </c>
      <c r="H337" s="686" t="str">
        <f ca="1">IF(IFERROR(OFFSET(貼付け_2027実績,$D337,3),"")="","",OFFSET(貼付け_2027実績,$D337,3))</f>
        <v/>
      </c>
      <c r="I337" s="687" t="str">
        <f t="shared" ca="1" si="207"/>
        <v/>
      </c>
      <c r="J337" s="688">
        <v>211</v>
      </c>
      <c r="K337" s="685" t="str">
        <f t="shared" ca="1" si="210"/>
        <v/>
      </c>
      <c r="L337" s="685" t="str">
        <f t="shared" ca="1" si="211"/>
        <v/>
      </c>
      <c r="M337" s="685" t="str">
        <f t="shared" ca="1" si="212"/>
        <v/>
      </c>
      <c r="N337" s="685" t="str">
        <f t="shared" ca="1" si="213"/>
        <v/>
      </c>
      <c r="O337" s="687" t="str">
        <f t="shared" ca="1" si="208"/>
        <v/>
      </c>
      <c r="P337" s="691" t="str">
        <f t="shared" ca="1" si="209"/>
        <v/>
      </c>
      <c r="IE337" s="579"/>
      <c r="IF337" s="579"/>
      <c r="IG337" s="579"/>
      <c r="IH337" s="579"/>
    </row>
    <row r="338" spans="1:242" s="164" customFormat="1" ht="20.100000000000001" hidden="1" customHeight="1">
      <c r="A338" s="164">
        <v>20</v>
      </c>
      <c r="B338" s="692" t="s">
        <v>745</v>
      </c>
      <c r="C338" s="693" t="s">
        <v>746</v>
      </c>
      <c r="D338" s="692">
        <v>164</v>
      </c>
      <c r="E338" s="694" t="str">
        <f ca="1">IF(IFERROR(OFFSET(貼付け_2024実績,$D338,3),"")="","",OFFSET(貼付け_2024実績,$D338,3))</f>
        <v/>
      </c>
      <c r="F338" s="694" t="str">
        <f ca="1">IF(IFERROR(OFFSET(貼付け_2025実績,$D338,3),"")="","",OFFSET(貼付け_2025実績,$D338,3))</f>
        <v/>
      </c>
      <c r="G338" s="694" t="str">
        <f ca="1">IF(IFERROR(OFFSET(貼付け_2026実績,$D338,3),"")="","",OFFSET(貼付け_2026実績,$D338,3))</f>
        <v/>
      </c>
      <c r="H338" s="695" t="str">
        <f ca="1">IF(IFERROR(OFFSET(貼付け_2027実績,$D338,3),"")="","",OFFSET(貼付け_2027実績,$D338,3))</f>
        <v/>
      </c>
      <c r="I338" s="696" t="str">
        <f t="shared" ca="1" si="207"/>
        <v/>
      </c>
      <c r="J338" s="697"/>
      <c r="K338" s="698"/>
      <c r="L338" s="698"/>
      <c r="M338" s="698"/>
      <c r="N338" s="698"/>
      <c r="O338" s="699"/>
      <c r="P338" s="700" t="str">
        <f ca="1">IF(I338=Q338,I338,IF(OR(I338="",Q338=""),I338&amp;Q338,I338&amp;"/"&amp;Q338))</f>
        <v/>
      </c>
      <c r="IE338" s="579"/>
      <c r="IF338" s="579"/>
      <c r="IG338" s="579"/>
      <c r="IH338" s="579"/>
    </row>
    <row r="339" spans="1:242" s="164" customFormat="1" ht="20.100000000000001" hidden="1" customHeight="1">
      <c r="D339" s="166"/>
      <c r="IE339" s="579"/>
      <c r="IF339" s="579"/>
      <c r="IG339" s="579"/>
      <c r="IH339" s="579"/>
    </row>
    <row r="340" spans="1:242" s="164" customFormat="1" ht="20.100000000000001" hidden="1" customHeight="1">
      <c r="A340" s="164">
        <v>0</v>
      </c>
      <c r="B340" s="573" t="s">
        <v>747</v>
      </c>
      <c r="C340" s="164">
        <v>1</v>
      </c>
      <c r="D340" s="164">
        <v>2</v>
      </c>
      <c r="E340" s="164">
        <v>3</v>
      </c>
      <c r="F340" s="164">
        <v>4</v>
      </c>
      <c r="G340" s="164">
        <v>5</v>
      </c>
      <c r="IE340" s="579"/>
      <c r="IF340" s="579"/>
      <c r="IG340" s="579"/>
      <c r="IH340" s="579"/>
    </row>
    <row r="341" spans="1:242" s="164" customFormat="1" ht="20.100000000000001" hidden="1" customHeight="1">
      <c r="A341" s="164">
        <v>1</v>
      </c>
      <c r="C341" s="587">
        <v>2024</v>
      </c>
      <c r="D341" s="587">
        <v>2025</v>
      </c>
      <c r="E341" s="587">
        <v>2026</v>
      </c>
      <c r="F341" s="587">
        <v>2027</v>
      </c>
      <c r="G341" s="701" t="s">
        <v>748</v>
      </c>
      <c r="IE341" s="579"/>
      <c r="IF341" s="579"/>
      <c r="IG341" s="579"/>
      <c r="IH341" s="579"/>
    </row>
    <row r="342" spans="1:242" s="164" customFormat="1" ht="20.100000000000001" hidden="1" customHeight="1">
      <c r="A342" s="164">
        <v>2</v>
      </c>
      <c r="B342" s="587" t="s">
        <v>749</v>
      </c>
      <c r="C342" s="587" t="str">
        <f ca="1">IF(OFFSET(貼付け_2024実績,0,1)&lt;&gt;"",OFFSET(貼付け_2024実績,0,1),"")</f>
        <v/>
      </c>
      <c r="D342" s="587" t="str">
        <f ca="1">IF(OFFSET(貼付け_2025実績,0,1)&lt;&gt;"",OFFSET(貼付け_2025実績,0,1),"")</f>
        <v/>
      </c>
      <c r="E342" s="587" t="str">
        <f ca="1">IF(OFFSET(貼付け_2026実績,0,1)&lt;&gt;"",OFFSET(貼付け_2026実績,0,1),"")</f>
        <v/>
      </c>
      <c r="F342" s="587" t="str">
        <f ca="1">IF(OFFSET(貼付け_2027実績,0,1)&lt;&gt;"",OFFSET(貼付け_2027実績,0,1),"")</f>
        <v/>
      </c>
      <c r="G342" s="701" t="str">
        <f ca="1">IF(F342="",IF(E342="",IF(D342="",C342,D342),E342),F342)</f>
        <v/>
      </c>
      <c r="IE342" s="579"/>
      <c r="IF342" s="579"/>
      <c r="IG342" s="579"/>
      <c r="IH342" s="579"/>
    </row>
    <row r="343" spans="1:242" s="164" customFormat="1" ht="20.100000000000001" hidden="1" customHeight="1">
      <c r="A343" s="164">
        <v>3</v>
      </c>
      <c r="B343" s="587" t="s">
        <v>440</v>
      </c>
      <c r="C343" s="587" t="str">
        <f ca="1">IF(OFFSET(貼付け_2024実績,1,1)&lt;&gt;"",OFFSET(貼付け_2024実績,1,1),"")</f>
        <v/>
      </c>
      <c r="D343" s="587" t="str">
        <f ca="1">IF(OFFSET(貼付け_2025実績,1,1)&lt;&gt;"",OFFSET(貼付け_2025実績,1,1),"")</f>
        <v/>
      </c>
      <c r="E343" s="587" t="str">
        <f ca="1">IF(OFFSET(貼付け_2026実績,1,1)&lt;&gt;"",OFFSET(貼付け_2026実績,1,1),"")</f>
        <v/>
      </c>
      <c r="F343" s="587" t="str">
        <f ca="1">IF(OFFSET(貼付け_2027実績,1,1)&lt;&gt;"",OFFSET(貼付け_2027実績,1,1),"")</f>
        <v/>
      </c>
      <c r="G343" s="701" t="str">
        <f ca="1">IF(F343="",IF(E343="",IF(D343="",C343,D343),E343),F343)</f>
        <v/>
      </c>
      <c r="IE343" s="579"/>
      <c r="IF343" s="579"/>
      <c r="IG343" s="579"/>
      <c r="IH343" s="579"/>
    </row>
    <row r="344" spans="1:242" s="164" customFormat="1" ht="20.100000000000001" hidden="1" customHeight="1">
      <c r="A344" s="164">
        <v>4</v>
      </c>
      <c r="B344" s="587" t="s">
        <v>750</v>
      </c>
      <c r="C344" s="587" t="str">
        <f ca="1">IF(OFFSET(貼付け_2024実績,2,2)&lt;&gt;"",OFFSET(貼付け_2024実績,2,2),"")</f>
        <v/>
      </c>
      <c r="D344" s="587" t="str">
        <f ca="1">IF(OFFSET(貼付け_2025実績,2,2)&lt;&gt;"",OFFSET(貼付け_2025実績,2,2),"")</f>
        <v/>
      </c>
      <c r="E344" s="587" t="str">
        <f ca="1">IF(OFFSET(貼付け_2026実績,2,2)&lt;&gt;"",OFFSET(貼付け_2026実績,2,2),"")</f>
        <v/>
      </c>
      <c r="F344" s="587" t="str">
        <f ca="1">IF(OFFSET(貼付け_2027実績,2,2)&lt;&gt;"",OFFSET(貼付け_2027実績,2,2),"")</f>
        <v/>
      </c>
      <c r="G344" s="701" t="str">
        <f ca="1">IF(F344="",IF(E344="",IF(D344="",C344,D344),E344),F344)</f>
        <v/>
      </c>
      <c r="IE344" s="579"/>
      <c r="IF344" s="579"/>
      <c r="IG344" s="579"/>
      <c r="IH344" s="579"/>
    </row>
    <row r="345" spans="1:242" s="164" customFormat="1" ht="20.100000000000001" hidden="1" customHeight="1">
      <c r="A345" s="164">
        <v>5</v>
      </c>
      <c r="B345" s="587" t="s">
        <v>751</v>
      </c>
      <c r="C345" s="587" t="str">
        <f ca="1">IF(OFFSET(貼付け_2024実績,2,4)&lt;&gt;"",OFFSET(貼付け_2024実績,2,4),"")</f>
        <v/>
      </c>
      <c r="D345" s="587" t="str">
        <f ca="1">IF(OFFSET(貼付け_2025実績,2,4)&lt;&gt;"",OFFSET(貼付け_2025実績,2,4),"")</f>
        <v/>
      </c>
      <c r="E345" s="587" t="str">
        <f ca="1">IF(OFFSET(貼付け_2026実績,2,4)&lt;&gt;"",OFFSET(貼付け_2026実績,2,4),"")</f>
        <v/>
      </c>
      <c r="F345" s="587" t="str">
        <f ca="1">IF(OFFSET(貼付け_2027実績,2,4)&lt;&gt;"",OFFSET(貼付け_2027実績,2,4),"")</f>
        <v/>
      </c>
      <c r="G345" s="701" t="str">
        <f ca="1">IF(F345="",IF(E345="",IF(D345="",C345,D345),E345),F345)</f>
        <v/>
      </c>
      <c r="IE345" s="579"/>
      <c r="IF345" s="579"/>
      <c r="IG345" s="579"/>
      <c r="IH345" s="579"/>
    </row>
    <row r="346" spans="1:242" s="164" customFormat="1" ht="20.100000000000001" hidden="1" customHeight="1">
      <c r="A346" s="164">
        <v>6</v>
      </c>
      <c r="B346" s="587" t="s">
        <v>441</v>
      </c>
      <c r="C346" s="587" t="str">
        <f ca="1">IF(OFFSET(貼付け_2024実績,3,3)&lt;&gt;"",OFFSET(貼付け_2024実績,3,3),"")</f>
        <v/>
      </c>
      <c r="D346" s="587" t="str">
        <f ca="1">IF(OFFSET(貼付け_2025実績,3,3)&lt;&gt;"",OFFSET(貼付け_2025実績,3,3),"")</f>
        <v/>
      </c>
      <c r="E346" s="587" t="str">
        <f ca="1">IF(OFFSET(貼付け_2026実績,3,3)&lt;&gt;"",OFFSET(貼付け_2026実績,3,3),"")</f>
        <v/>
      </c>
      <c r="F346" s="587" t="str">
        <f ca="1">IF(OFFSET(貼付け_2027実績,3,3)&lt;&gt;"",OFFSET(貼付け_2027実績,3,3),"")</f>
        <v/>
      </c>
      <c r="G346" s="701" t="str">
        <f ca="1">IF(F346="",IF(E346="",IF(D346="",C346,D346),E346),F346)</f>
        <v/>
      </c>
      <c r="IE346" s="579"/>
      <c r="IF346" s="579"/>
      <c r="IG346" s="579"/>
      <c r="IH346" s="579"/>
    </row>
    <row r="347" spans="1:242" s="164" customFormat="1" ht="20.100000000000001" hidden="1" customHeight="1">
      <c r="A347" s="164">
        <v>7</v>
      </c>
      <c r="B347" s="587" t="s">
        <v>752</v>
      </c>
      <c r="C347" s="587" t="str">
        <f ca="1">OFFSET(貼付け_2024実績,0,4)</f>
        <v>要選択</v>
      </c>
      <c r="D347" s="587" t="str">
        <f ca="1">OFFSET(貼付け_2025実績,0,4)</f>
        <v>要選択</v>
      </c>
      <c r="E347" s="587" t="str">
        <f ca="1">OFFSET(貼付け_2026実績,0,4)</f>
        <v>要選択</v>
      </c>
      <c r="F347" s="587" t="str">
        <f ca="1">OFFSET(貼付け_2027実績,0,4)</f>
        <v>要選択</v>
      </c>
      <c r="G347" s="701">
        <f ca="1">IFERROR(MATCH(TRUE,INDEX(C347:F347&lt;&gt;"要選択",),0),1)+2024</f>
        <v>2025</v>
      </c>
      <c r="H347" s="164" t="s">
        <v>753</v>
      </c>
      <c r="IE347" s="579"/>
      <c r="IF347" s="579"/>
      <c r="IG347" s="579"/>
      <c r="IH347" s="579"/>
    </row>
    <row r="348" spans="1:242" s="164" customFormat="1" ht="20.100000000000001" hidden="1" customHeight="1">
      <c r="A348" s="164">
        <v>8</v>
      </c>
      <c r="B348" s="587" t="s">
        <v>754</v>
      </c>
      <c r="C348" s="587" t="str">
        <f ca="1">IF(OFFSET(貼付け_2024実績,1,6)="","",OFFSET(貼付け_2024実績,1,6))</f>
        <v/>
      </c>
      <c r="D348" s="587" t="str">
        <f ca="1">IF(OFFSET(貼付け_2025実績,1,6)="","",OFFSET(貼付け_2025実績,1,6))</f>
        <v/>
      </c>
      <c r="E348" s="587" t="str">
        <f ca="1">IF(OFFSET(貼付け_2026実績,1,6)="","",OFFSET(貼付け_2026実績,1,6))</f>
        <v/>
      </c>
      <c r="F348" s="587" t="str">
        <f ca="1">IF(OFFSET(貼付け_2027実績,1,6)="","",OFFSET(貼付け_2027実績,1,6))</f>
        <v/>
      </c>
      <c r="G348" s="701" t="str">
        <f t="shared" ref="G348:G355" ca="1" si="214">IF(F348="",IF(E348="",IF(D348="",C348,D348),E348),F348)</f>
        <v/>
      </c>
      <c r="IE348" s="579"/>
      <c r="IF348" s="579"/>
      <c r="IG348" s="579"/>
      <c r="IH348" s="579"/>
    </row>
    <row r="349" spans="1:242" s="164" customFormat="1" ht="20.100000000000001" hidden="1" customHeight="1">
      <c r="A349" s="164">
        <v>9</v>
      </c>
      <c r="B349" s="587" t="s">
        <v>755</v>
      </c>
      <c r="C349" s="587" t="str">
        <f ca="1">IF(OFFSET(貼付け_2024実績,2,6)="","",OFFSET(貼付け_2024実績,2,6))</f>
        <v/>
      </c>
      <c r="D349" s="587" t="str">
        <f ca="1">IF(OFFSET(貼付け_2025実績,2,6)="","",OFFSET(貼付け_2025実績,2,6))</f>
        <v/>
      </c>
      <c r="E349" s="587" t="str">
        <f ca="1">IF(OFFSET(貼付け_2026実績,2,6)="","",OFFSET(貼付け_2026実績,2,6))</f>
        <v/>
      </c>
      <c r="F349" s="587" t="str">
        <f ca="1">IF(OFFSET(貼付け_2027実績,2,6)="","",OFFSET(貼付け_2027実績,2,6))</f>
        <v/>
      </c>
      <c r="G349" s="701" t="str">
        <f t="shared" ca="1" si="214"/>
        <v/>
      </c>
      <c r="IE349" s="579"/>
      <c r="IF349" s="579"/>
      <c r="IG349" s="579"/>
      <c r="IH349" s="579"/>
    </row>
    <row r="350" spans="1:242" s="164" customFormat="1" ht="20.100000000000001" hidden="1" customHeight="1">
      <c r="A350" s="164">
        <v>10</v>
      </c>
      <c r="B350" s="587" t="s">
        <v>756</v>
      </c>
      <c r="C350" s="587" t="str">
        <f ca="1">IF(OFFSET(貼付け_2024実績,3,6)="","",OFFSET(貼付け_2024実績,3,6))</f>
        <v/>
      </c>
      <c r="D350" s="587" t="str">
        <f ca="1">IF(OFFSET(貼付け_2025実績,3,6)="","",OFFSET(貼付け_2025実績,3,6))</f>
        <v/>
      </c>
      <c r="E350" s="587" t="str">
        <f ca="1">IF(OFFSET(貼付け_2026実績,3,6)="","",OFFSET(貼付け_2026実績,3,6))</f>
        <v/>
      </c>
      <c r="F350" s="587" t="str">
        <f ca="1">IF(OFFSET(貼付け_2027実績,3,6)="","",OFFSET(貼付け_2027実績,3,6))</f>
        <v/>
      </c>
      <c r="G350" s="701" t="str">
        <f t="shared" ca="1" si="214"/>
        <v/>
      </c>
      <c r="IE350" s="579"/>
      <c r="IF350" s="579"/>
      <c r="IG350" s="579"/>
      <c r="IH350" s="579"/>
    </row>
    <row r="351" spans="1:242" s="164" customFormat="1" ht="20.100000000000001" hidden="1" customHeight="1">
      <c r="A351" s="164">
        <v>11</v>
      </c>
      <c r="B351" s="587" t="s">
        <v>757</v>
      </c>
      <c r="C351" s="587" t="str">
        <f ca="1">IF(OFFSET(貼付け_2024実績,1,8)="","",OFFSET(貼付け_2024実績,1,8))</f>
        <v/>
      </c>
      <c r="D351" s="587" t="str">
        <f ca="1">IF(OFFSET(貼付け_2025実績,1,8)="","",OFFSET(貼付け_2025実績,1,8))</f>
        <v/>
      </c>
      <c r="E351" s="587" t="str">
        <f ca="1">IF(OFFSET(貼付け_2026実績,1,8)="","",OFFSET(貼付け_2026実績,1,8))</f>
        <v/>
      </c>
      <c r="F351" s="587" t="str">
        <f ca="1">IF(OFFSET(貼付け_2027実績,1,8)="","",OFFSET(貼付け_2027実績,1,8))</f>
        <v/>
      </c>
      <c r="G351" s="701" t="str">
        <f t="shared" ca="1" si="214"/>
        <v/>
      </c>
      <c r="IE351" s="579"/>
      <c r="IF351" s="579"/>
      <c r="IG351" s="579"/>
      <c r="IH351" s="579"/>
    </row>
    <row r="352" spans="1:242" s="164" customFormat="1" ht="20.100000000000001" hidden="1" customHeight="1">
      <c r="A352" s="164">
        <v>12</v>
      </c>
      <c r="B352" s="587" t="s">
        <v>758</v>
      </c>
      <c r="C352" s="587" t="str">
        <f ca="1">IF(OFFSET(貼付け_2024実績,2,8)="","",OFFSET(貼付け_2024実績,2,8))</f>
        <v/>
      </c>
      <c r="D352" s="587" t="str">
        <f ca="1">IF(OFFSET(貼付け_2025実績,2,8)="","",OFFSET(貼付け_2025実績,2,8))</f>
        <v/>
      </c>
      <c r="E352" s="587" t="str">
        <f ca="1">IF(OFFSET(貼付け_2026実績,2,8)="","",OFFSET(貼付け_2026実績,2,8))</f>
        <v/>
      </c>
      <c r="F352" s="587" t="str">
        <f ca="1">IF(OFFSET(貼付け_2027実績,2,8)="","",OFFSET(貼付け_2027実績,2,8))</f>
        <v/>
      </c>
      <c r="G352" s="701" t="str">
        <f t="shared" ca="1" si="214"/>
        <v/>
      </c>
      <c r="IE352" s="579"/>
      <c r="IF352" s="579"/>
      <c r="IG352" s="579"/>
      <c r="IH352" s="579"/>
    </row>
    <row r="353" spans="1:242" s="164" customFormat="1" ht="20.100000000000001" hidden="1" customHeight="1">
      <c r="A353" s="164">
        <v>13</v>
      </c>
      <c r="B353" s="587" t="s">
        <v>759</v>
      </c>
      <c r="C353" s="587" t="str">
        <f ca="1">IF(OFFSET(貼付け_2024実績,0,1)="","",IF(C348="■","第１号該当事業者",IF(C349="■","第２号該当事業者",""))&amp;IF(OR(C348="■",C349="■"),IF(C350="■","かつ第３号該当事業者",""),"第３号該当事業者"))</f>
        <v/>
      </c>
      <c r="D353" s="587" t="str">
        <f ca="1">IF(OFFSET(貼付け_2025実績,0,1)="","",IF(D348="■","第１号該当事業者",IF(D349="■","第２号該当事業者",""))&amp;IF(OR(D348="■",D349="■"),IF(D350="■","かつ第３号該当事業者",""),"第３号該当事業者"))</f>
        <v/>
      </c>
      <c r="E353" s="587" t="str">
        <f ca="1">IF(OFFSET(貼付け_2026実績,0,1)="","",IF(E348="■","第１号該当事業者",IF(E349="■","第２号該当事業者",""))&amp;IF(OR(E348="■",E349="■"),IF(E350="■","かつ第３号該当事業者",""),"第３号該当事業者"))</f>
        <v/>
      </c>
      <c r="F353" s="587" t="str">
        <f ca="1">IF(OFFSET(貼付け_2027実績,0,1)="","",IF(F348="■","第１号該当事業者",IF(F349="■","第２号該当事業者",""))&amp;IF(OR(F348="■",F349="■"),IF(F350="■","かつ第３号該当事業者",""),"第３号該当事業者"))</f>
        <v/>
      </c>
      <c r="G353" s="701" t="str">
        <f t="shared" ca="1" si="214"/>
        <v/>
      </c>
      <c r="IE353" s="579"/>
      <c r="IF353" s="579"/>
      <c r="IG353" s="579"/>
      <c r="IH353" s="579"/>
    </row>
    <row r="354" spans="1:242" s="164" customFormat="1" ht="20.100000000000001" hidden="1" customHeight="1">
      <c r="A354" s="164">
        <v>14</v>
      </c>
      <c r="B354" s="587" t="s">
        <v>760</v>
      </c>
      <c r="C354" s="587" t="str">
        <f ca="1">IF(OFFSET(貼付け_2024実績,0,1)="","",IF(C351="■","工場等に関する削減計画策定者","")&amp;IF(C351="■",IF(C352="■","かつ自動車に関する削減計画策定者",""),"自動車に関する削減計画策定者"))</f>
        <v/>
      </c>
      <c r="D354" s="587" t="str">
        <f ca="1">IF(OFFSET(貼付け_2025実績,0,1)="","",IF(D351="■","工場等に関する削減計画策定者","")&amp;IF(D351="■",IF(D352="■","かつ自動車に関する削減計画策定者",""),"自動車に関する削減計画策定者"))</f>
        <v/>
      </c>
      <c r="E354" s="587" t="str">
        <f ca="1">IF(OFFSET(貼付け_2026実績,0,1)="","",IF(E351="■","工場等に関する削減計画策定者","")&amp;IF(E351="■",IF(E352="■","かつ自動車に関する削減計画策定者",""),"自動車に関する削減計画策定者"))</f>
        <v/>
      </c>
      <c r="F354" s="587" t="str">
        <f ca="1">IF(OFFSET(貼付け_2027実績,0,1)="","",IF(F351="■","工場等に関する削減計画策定者","")&amp;IF(F351="■",IF(F352="■","かつ自動車に関する削減計画策定者",""),"自動車に関する削減計画策定者"))</f>
        <v/>
      </c>
      <c r="G354" s="701" t="str">
        <f t="shared" ca="1" si="214"/>
        <v/>
      </c>
      <c r="IE354" s="579"/>
      <c r="IF354" s="579"/>
      <c r="IG354" s="579"/>
      <c r="IH354" s="579"/>
    </row>
    <row r="355" spans="1:242" s="164" customFormat="1" ht="20.100000000000001" hidden="1" customHeight="1">
      <c r="A355" s="164">
        <v>15</v>
      </c>
      <c r="B355" s="587" t="s">
        <v>681</v>
      </c>
      <c r="C355" s="587" t="str">
        <f ca="1">IF(OFFSET(貼付け_2024実績,0,1)="","",IF(OR(OFFSET(貼付け_2024実績,1,10)&lt;&gt;"",OFFSET(貼付け_2024実績,1,11)&lt;&gt;""),"単一の指標を設定","複数の指標を設定"))</f>
        <v/>
      </c>
      <c r="D355" s="587" t="str">
        <f ca="1">IF(OFFSET(貼付け_2025実績,0,1)="","",IF(OR(OFFSET(貼付け_2025実績,1,10)&lt;&gt;"",OFFSET(貼付け_2025実績,1,11)&lt;&gt;""),"単一の指標を設定","複数の指標を設定"))</f>
        <v/>
      </c>
      <c r="E355" s="587" t="str">
        <f ca="1">IF(OFFSET(貼付け_2026実績,0,1)="","",IF(OR(OFFSET(貼付け_2026実績,1,10)&lt;&gt;"",OFFSET(貼付け_2026実績,1,11)&lt;&gt;""),"単一の指標を設定","複数の指標を設定"))</f>
        <v/>
      </c>
      <c r="F355" s="587" t="str">
        <f ca="1">IF(OFFSET(貼付け_2027実績,0,1)="","",IF(OR(OFFSET(貼付け_2027実績,1,10)&lt;&gt;"",OFFSET(貼付け_2027実績,1,11)&lt;&gt;""),"単一の指標を設定","複数の指標を設定"))</f>
        <v/>
      </c>
      <c r="G355" s="701" t="str">
        <f t="shared" ca="1" si="214"/>
        <v/>
      </c>
      <c r="IE355" s="579"/>
      <c r="IF355" s="579"/>
      <c r="IG355" s="579"/>
      <c r="IH355" s="579"/>
    </row>
  </sheetData>
  <sheetProtection formatCells="0"/>
  <dataConsolidate/>
  <mergeCells count="44">
    <mergeCell ref="B300:B303"/>
    <mergeCell ref="B304:B307"/>
    <mergeCell ref="B308:B311"/>
    <mergeCell ref="B312:B315"/>
    <mergeCell ref="B284:B295"/>
    <mergeCell ref="F296:F297"/>
    <mergeCell ref="H296:H297"/>
    <mergeCell ref="J296:J297"/>
    <mergeCell ref="B298:D298"/>
    <mergeCell ref="B299:D299"/>
    <mergeCell ref="HC12:HD12"/>
    <mergeCell ref="HE12:HF12"/>
    <mergeCell ref="HG12:HJ12"/>
    <mergeCell ref="B272:B283"/>
    <mergeCell ref="HC13:HF13"/>
    <mergeCell ref="HG13:HJ13"/>
    <mergeCell ref="HC14:HD14"/>
    <mergeCell ref="HG14:HH14"/>
    <mergeCell ref="HC15:HD15"/>
    <mergeCell ref="HG15:HH15"/>
    <mergeCell ref="F226:F227"/>
    <mergeCell ref="G226:H226"/>
    <mergeCell ref="B247:D247"/>
    <mergeCell ref="B248:B259"/>
    <mergeCell ref="B260:B271"/>
    <mergeCell ref="HC10:HD10"/>
    <mergeCell ref="HE10:HF10"/>
    <mergeCell ref="HG10:HJ10"/>
    <mergeCell ref="HC11:HD11"/>
    <mergeCell ref="HE11:HF11"/>
    <mergeCell ref="HG11:HJ11"/>
    <mergeCell ref="B6:J6"/>
    <mergeCell ref="HL8:HL9"/>
    <mergeCell ref="HM8:HP8"/>
    <mergeCell ref="HQ8:HT8"/>
    <mergeCell ref="HU8:HX8"/>
    <mergeCell ref="HR9:HS9"/>
    <mergeCell ref="HV9:HW9"/>
    <mergeCell ref="HY8:IB8"/>
    <mergeCell ref="HC9:HD9"/>
    <mergeCell ref="HE9:HF9"/>
    <mergeCell ref="HG9:HJ9"/>
    <mergeCell ref="HN9:HO9"/>
    <mergeCell ref="HZ9:IA9"/>
  </mergeCells>
  <phoneticPr fontId="4"/>
  <dataValidations count="4">
    <dataValidation type="list" allowBlank="1" showInputMessage="1" showErrorMessage="1" sqref="HR10:HR59" xr:uid="{00000000-0002-0000-0400-000000000000}">
      <formula1>$BC$261:$DA$261</formula1>
    </dataValidation>
    <dataValidation type="list" allowBlank="1" showInputMessage="1" showErrorMessage="1" sqref="HN10:HN59" xr:uid="{00000000-0002-0000-0400-000001000000}">
      <formula1>$BC$249:$DA$249</formula1>
    </dataValidation>
    <dataValidation type="list" allowBlank="1" showInputMessage="1" showErrorMessage="1" sqref="HZ10:HZ59" xr:uid="{00000000-0002-0000-0400-000002000000}">
      <formula1>$BC$285:$DA$285</formula1>
    </dataValidation>
    <dataValidation type="list" allowBlank="1" showInputMessage="1" showErrorMessage="1" sqref="HV10:HV59" xr:uid="{00000000-0002-0000-0400-000003000000}">
      <formula1>$BC$273:$DA$273</formula1>
    </dataValidation>
  </dataValidations>
  <hyperlinks>
    <hyperlink ref="S4" location="A1_集計2024" display="集計(2024年度)" xr:uid="{00000000-0004-0000-0400-000000000000}"/>
    <hyperlink ref="T4" location="A1_原単位集計" display="A1_原単位集計" xr:uid="{00000000-0004-0000-0400-000001000000}"/>
    <hyperlink ref="B2" location="A.貼付_2028提出!B9" display="Ｂ９セルに2027年度排出量実績を貼付けてください。" xr:uid="{00000000-0004-0000-0400-000002000000}"/>
    <hyperlink ref="B6:J6" location="報告1面!R6" display="次に、「計画書本体」（Ｂ１シート）に必要事項を入力してください。" xr:uid="{00000000-0004-0000-0400-000003000000}"/>
  </hyperlink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400-000004000000}">
          <x14:formula1>
            <xm:f>'非表示_リスト(計画・実績報告)'!$G$49:$L$49</xm:f>
          </x14:formula1>
          <xm:sqref>K109:HB109</xm:sqref>
        </x14:dataValidation>
        <x14:dataValidation type="list" allowBlank="1" showInputMessage="1" xr:uid="{00000000-0002-0000-0400-000005000000}">
          <x14:formula1>
            <xm:f>'非表示_リスト(計画・実績報告)'!$G$33:$L$33</xm:f>
          </x14:formula1>
          <xm:sqref>HE10:HF10</xm:sqref>
        </x14:dataValidation>
        <x14:dataValidation type="list" allowBlank="1" showInputMessage="1" xr:uid="{00000000-0002-0000-0400-000006000000}">
          <x14:formula1>
            <xm:f>'非表示_リスト(計画・実績報告)'!$G$34:$L$34</xm:f>
          </x14:formula1>
          <xm:sqref>HG10:HJ10</xm:sqref>
        </x14:dataValidation>
        <x14:dataValidation type="list" allowBlank="1" showInputMessage="1" xr:uid="{00000000-0002-0000-0400-000007000000}">
          <x14:formula1>
            <xm:f>'非表示_リスト(計画・実績報告)'!$G$38:$L$38</xm:f>
          </x14:formula1>
          <xm:sqref>HE11:HF11</xm:sqref>
        </x14:dataValidation>
        <x14:dataValidation type="list" allowBlank="1" showInputMessage="1" xr:uid="{00000000-0002-0000-0400-000008000000}">
          <x14:formula1>
            <xm:f>'非表示_リスト(計画・実績報告)'!$G$39:$L$39</xm:f>
          </x14:formula1>
          <xm:sqref>HG11:HJ11</xm:sqref>
        </x14:dataValidation>
        <x14:dataValidation type="list" allowBlank="1" showInputMessage="1" xr:uid="{00000000-0002-0000-0400-000009000000}">
          <x14:formula1>
            <xm:f>'非表示_リスト(計画・実績報告)'!$G$41:$I$41</xm:f>
          </x14:formula1>
          <xm:sqref>I108</xm:sqref>
        </x14:dataValidation>
        <x14:dataValidation type="list" allowBlank="1" showInputMessage="1" xr:uid="{00000000-0002-0000-0400-00000A000000}">
          <x14:formula1>
            <xm:f>'非表示_リスト(計画・実績報告)'!$G$42:$I$42</xm:f>
          </x14:formula1>
          <xm:sqref>J108</xm:sqref>
        </x14:dataValidation>
        <x14:dataValidation type="list" allowBlank="1" showInputMessage="1" xr:uid="{00000000-0002-0000-0400-00000B000000}">
          <x14:formula1>
            <xm:f>'非表示_リスト(計画・実績報告)'!$G$44:$I$44</xm:f>
          </x14:formula1>
          <xm:sqref>I109</xm:sqref>
        </x14:dataValidation>
        <x14:dataValidation type="list" allowBlank="1" showInputMessage="1" xr:uid="{00000000-0002-0000-0400-00000C000000}">
          <x14:formula1>
            <xm:f>'非表示_リスト(計画・実績報告)'!$G$45:$I$45</xm:f>
          </x14:formula1>
          <xm:sqref>J109</xm:sqref>
        </x14:dataValidation>
        <x14:dataValidation type="list" allowBlank="1" showInputMessage="1" xr:uid="{00000000-0002-0000-0400-00000D000000}">
          <x14:formula1>
            <xm:f>'非表示_リスト(計画・実績報告)'!$G$47:$L$47</xm:f>
          </x14:formula1>
          <xm:sqref>K108:HB108</xm:sqref>
        </x14:dataValidation>
        <x14:dataValidation type="list" allowBlank="1" showInputMessage="1" xr:uid="{00000000-0002-0000-0400-00000E000000}">
          <x14:formula1>
            <xm:f>'非表示_リスト(計画・実績報告)'!$G$36:$L$36</xm:f>
          </x14:formula1>
          <xm:sqref>L11</xm:sqref>
        </x14:dataValidation>
        <x14:dataValidation type="list" allowBlank="1" showInputMessage="1" xr:uid="{00000000-0002-0000-0400-00000F000000}">
          <x14:formula1>
            <xm:f>'非表示_リスト(計画・実績報告)'!$G$37:$L$37</xm:f>
          </x14:formula1>
          <xm:sqref>M11</xm:sqref>
        </x14:dataValidation>
        <x14:dataValidation type="list" allowBlank="1" showInputMessage="1" xr:uid="{00000000-0002-0000-0400-000010000000}">
          <x14:formula1>
            <xm:f>'非表示_リスト(計画・実績報告)'!$G$31:$L$31</xm:f>
          </x14:formula1>
          <xm:sqref>L10</xm:sqref>
        </x14:dataValidation>
        <x14:dataValidation type="list" allowBlank="1" showInputMessage="1" xr:uid="{00000000-0002-0000-0400-000011000000}">
          <x14:formula1>
            <xm:f>'非表示_リスト(計画・実績報告)'!$G$32:$L$32</xm:f>
          </x14:formula1>
          <xm:sqref>M10</xm:sqref>
        </x14:dataValidation>
        <x14:dataValidation type="list" allowBlank="1" showInputMessage="1" showErrorMessage="1" xr:uid="{00000000-0002-0000-0400-000012000000}">
          <x14:formula1>
            <xm:f>'非表示_リスト(計画・実績報告)'!$G$29:$H$29</xm:f>
          </x14:formula1>
          <xm:sqref>J11</xm:sqref>
        </x14:dataValidation>
        <x14:dataValidation type="list" allowBlank="1" showInputMessage="1" showErrorMessage="1" xr:uid="{00000000-0002-0000-0400-000013000000}">
          <x14:formula1>
            <xm:f>'非表示_リスト(計画・実績報告)'!$G$28:$H$28</xm:f>
          </x14:formula1>
          <xm:sqref>J10</xm:sqref>
        </x14:dataValidation>
        <x14:dataValidation type="list" allowBlank="1" showInputMessage="1" showErrorMessage="1" xr:uid="{00000000-0002-0000-0400-000014000000}">
          <x14:formula1>
            <xm:f>'非表示_リスト(計画・実績報告)'!$G$20:$H$20</xm:f>
          </x14:formula1>
          <xm:sqref>H12</xm:sqref>
        </x14:dataValidation>
        <x14:dataValidation type="list" allowBlank="1" showInputMessage="1" showErrorMessage="1" xr:uid="{00000000-0002-0000-0400-000015000000}">
          <x14:formula1>
            <xm:f>'非表示_リスト(計画・実績報告)'!$G$19:$H$19</xm:f>
          </x14:formula1>
          <xm:sqref>H11</xm:sqref>
        </x14:dataValidation>
        <x14:dataValidation type="list" allowBlank="1" showInputMessage="1" showErrorMessage="1" xr:uid="{00000000-0002-0000-0400-000016000000}">
          <x14:formula1>
            <xm:f>'非表示_リスト(計画・実績報告)'!$G$18:$H$18</xm:f>
          </x14:formula1>
          <xm:sqref>H10</xm:sqref>
        </x14:dataValidation>
        <x14:dataValidation type="list" allowBlank="1" showInputMessage="1" xr:uid="{00000000-0002-0000-0400-000017000000}">
          <x14:formula1>
            <xm:f>'非表示_リスト(計画・実績報告)'!$G$7:$K$7</xm:f>
          </x14:formula1>
          <xm:sqref>F9</xm:sqref>
        </x14:dataValidation>
        <x14:dataValidation type="list" allowBlank="1" showInputMessage="1" showErrorMessage="1" xr:uid="{00000000-0002-0000-0400-000018000000}">
          <x14:formula1>
            <xm:f>'[計画書・実績報告書ファイル（大規模用）_2025ver3（案）保護未.xlsx]非表示_リスト'!#REF!</xm:f>
          </x14:formula1>
          <xm:sqref>N11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FFFF00"/>
    <pageSetUpPr fitToPage="1"/>
  </sheetPr>
  <dimension ref="A1:CE99"/>
  <sheetViews>
    <sheetView showGridLines="0" view="pageBreakPreview" zoomScaleNormal="85" zoomScaleSheetLayoutView="100" workbookViewId="0">
      <selection activeCell="Z1" sqref="Z1"/>
    </sheetView>
  </sheetViews>
  <sheetFormatPr defaultColWidth="8.6640625" defaultRowHeight="10.8" outlineLevelCol="1"/>
  <cols>
    <col min="1" max="1" width="0.6640625" style="7" customWidth="1"/>
    <col min="2" max="2" width="4.44140625" style="7" customWidth="1"/>
    <col min="3" max="4" width="5.6640625" style="7" customWidth="1"/>
    <col min="5" max="5" width="2.44140625" style="7" customWidth="1"/>
    <col min="6" max="6" width="5.21875" style="7" customWidth="1"/>
    <col min="7" max="7" width="5" style="7" customWidth="1"/>
    <col min="8" max="8" width="4.88671875" style="7" customWidth="1"/>
    <col min="9" max="9" width="2.6640625" style="7" customWidth="1"/>
    <col min="10" max="10" width="5" style="7" customWidth="1"/>
    <col min="11" max="11" width="2.6640625" style="7" customWidth="1"/>
    <col min="12" max="13" width="2.44140625" style="7" customWidth="1"/>
    <col min="14" max="14" width="2.6640625" style="7" customWidth="1"/>
    <col min="15" max="15" width="2.44140625" style="7" customWidth="1"/>
    <col min="16" max="16" width="5.6640625" style="7" customWidth="1"/>
    <col min="17" max="17" width="2.6640625" style="7" customWidth="1"/>
    <col min="18" max="18" width="3.21875" style="39" customWidth="1"/>
    <col min="19" max="24" width="3.109375" style="39" customWidth="1"/>
    <col min="25" max="25" width="3.77734375" style="7" customWidth="1"/>
    <col min="26" max="26" width="39.88671875" style="7" customWidth="1"/>
    <col min="27" max="27" width="5.77734375" style="63" hidden="1" customWidth="1" outlineLevel="1"/>
    <col min="28" max="28" width="92.21875" style="64" hidden="1" customWidth="1" outlineLevel="1"/>
    <col min="29" max="29" width="3.109375" style="26" customWidth="1" collapsed="1"/>
    <col min="30" max="30" width="1.109375" style="7" customWidth="1"/>
    <col min="31" max="31" width="4.44140625" style="7" customWidth="1"/>
    <col min="32" max="33" width="5.6640625" style="7" customWidth="1"/>
    <col min="34" max="34" width="2.6640625" style="7" customWidth="1"/>
    <col min="35" max="35" width="5.21875" style="7" customWidth="1"/>
    <col min="36" max="36" width="5" style="7" customWidth="1"/>
    <col min="37" max="37" width="4.88671875" style="7" customWidth="1"/>
    <col min="38" max="38" width="2.6640625" style="7" customWidth="1"/>
    <col min="39" max="39" width="5" style="7" customWidth="1"/>
    <col min="40" max="40" width="2.6640625" style="7" customWidth="1"/>
    <col min="41" max="42" width="2.44140625" style="7" customWidth="1"/>
    <col min="43" max="44" width="2.6640625" style="7" customWidth="1"/>
    <col min="45" max="45" width="5.6640625" style="7" customWidth="1"/>
    <col min="46" max="46" width="2.6640625" style="7" customWidth="1"/>
    <col min="47" max="47" width="3.21875" style="39" customWidth="1"/>
    <col min="48" max="48" width="3.109375" style="39" customWidth="1"/>
    <col min="49" max="49" width="4.109375" style="39" customWidth="1"/>
    <col min="50" max="50" width="3.109375" style="39" customWidth="1"/>
    <col min="51" max="51" width="3.6640625" style="39" customWidth="1"/>
    <col min="52" max="52" width="3.109375" style="39" customWidth="1"/>
    <col min="53" max="53" width="3" style="39" bestFit="1" customWidth="1"/>
    <col min="54" max="54" width="3.77734375" style="7" customWidth="1"/>
    <col min="55" max="55" width="9.6640625" style="7" customWidth="1"/>
    <col min="56" max="16384" width="8.6640625" style="7"/>
  </cols>
  <sheetData>
    <row r="1" spans="1:83" ht="12" customHeight="1">
      <c r="A1" s="1225" t="s">
        <v>122</v>
      </c>
      <c r="B1" s="1225"/>
      <c r="C1" s="1225"/>
      <c r="D1" s="1225"/>
      <c r="E1" s="1225"/>
      <c r="F1" s="1225"/>
      <c r="G1" s="1225"/>
      <c r="H1" s="1225"/>
      <c r="I1" s="1225"/>
      <c r="J1" s="1225"/>
      <c r="K1" s="1225"/>
      <c r="L1" s="1225"/>
      <c r="M1" s="1225"/>
      <c r="N1" s="1225"/>
      <c r="O1" s="1225"/>
      <c r="P1" s="1225"/>
      <c r="Q1" s="1225"/>
      <c r="R1" s="1225"/>
      <c r="S1" s="1225"/>
      <c r="T1" s="1225"/>
      <c r="U1" s="1225"/>
      <c r="V1" s="1225"/>
      <c r="W1" s="1225"/>
      <c r="X1" s="1225"/>
      <c r="Z1" s="122" t="s">
        <v>1534</v>
      </c>
      <c r="AA1" s="69"/>
      <c r="AB1" s="69" t="s">
        <v>281</v>
      </c>
      <c r="AC1" s="77"/>
      <c r="AD1" s="1225" t="s">
        <v>122</v>
      </c>
      <c r="AE1" s="1225"/>
      <c r="AF1" s="1225"/>
      <c r="AG1" s="1225"/>
      <c r="AH1" s="1225"/>
      <c r="AI1" s="1225"/>
      <c r="AJ1" s="1225"/>
      <c r="AK1" s="1225"/>
      <c r="AL1" s="1225"/>
      <c r="AM1" s="1225"/>
      <c r="AN1" s="1225"/>
      <c r="AO1" s="1225"/>
      <c r="AP1" s="1225"/>
      <c r="AQ1" s="1225"/>
      <c r="AR1" s="1225"/>
      <c r="AS1" s="1225"/>
      <c r="AT1" s="1225"/>
      <c r="AU1" s="1225"/>
      <c r="AV1" s="1225"/>
      <c r="AW1" s="1225"/>
      <c r="AX1" s="1225"/>
      <c r="AY1" s="1225"/>
      <c r="AZ1" s="1225"/>
      <c r="BA1" s="1225"/>
      <c r="CD1" s="7" t="s">
        <v>81</v>
      </c>
      <c r="CE1" s="97" t="s">
        <v>152</v>
      </c>
    </row>
    <row r="2" spans="1:83" ht="12" customHeight="1">
      <c r="A2" s="1185" t="s">
        <v>41</v>
      </c>
      <c r="B2" s="1185"/>
      <c r="C2" s="1185"/>
      <c r="D2" s="1185"/>
      <c r="E2" s="1185"/>
      <c r="F2" s="1185"/>
      <c r="G2" s="1185"/>
      <c r="H2" s="1185"/>
      <c r="I2" s="1185"/>
      <c r="J2" s="1185"/>
      <c r="K2" s="1185"/>
      <c r="L2" s="1185"/>
      <c r="M2" s="1185"/>
      <c r="N2" s="1185"/>
      <c r="O2" s="1185"/>
      <c r="P2" s="1185"/>
      <c r="Q2" s="1185"/>
      <c r="R2" s="1185"/>
      <c r="S2" s="1185"/>
      <c r="T2" s="1185"/>
      <c r="U2" s="1185"/>
      <c r="V2" s="1185"/>
      <c r="W2" s="1185"/>
      <c r="X2" s="1185"/>
      <c r="AD2" s="1185" t="s">
        <v>41</v>
      </c>
      <c r="AE2" s="1185"/>
      <c r="AF2" s="1185"/>
      <c r="AG2" s="1185"/>
      <c r="AH2" s="1185"/>
      <c r="AI2" s="1185"/>
      <c r="AJ2" s="1185"/>
      <c r="AK2" s="1185"/>
      <c r="AL2" s="1185"/>
      <c r="AM2" s="1185"/>
      <c r="AN2" s="1185"/>
      <c r="AO2" s="1185"/>
      <c r="AP2" s="1185"/>
      <c r="AQ2" s="1185"/>
      <c r="AR2" s="1185"/>
      <c r="AS2" s="1185"/>
      <c r="AT2" s="1185"/>
      <c r="AU2" s="1185"/>
      <c r="AV2" s="1185"/>
      <c r="AW2" s="1185"/>
      <c r="AX2" s="1185"/>
      <c r="AY2" s="1185"/>
      <c r="AZ2" s="1185"/>
      <c r="BA2" s="1185"/>
      <c r="CD2" s="7" t="s">
        <v>153</v>
      </c>
      <c r="CE2" s="97" t="s">
        <v>154</v>
      </c>
    </row>
    <row r="3" spans="1:83" ht="12" customHeight="1">
      <c r="A3" s="1226"/>
      <c r="B3" s="1226"/>
      <c r="C3" s="1226"/>
      <c r="D3" s="1226"/>
      <c r="E3" s="1226"/>
      <c r="F3" s="1226"/>
      <c r="G3" s="1226"/>
      <c r="H3" s="1226"/>
      <c r="I3" s="1226"/>
      <c r="J3" s="1226"/>
      <c r="K3" s="1226"/>
      <c r="L3" s="1226"/>
      <c r="M3" s="1226"/>
      <c r="N3" s="1226"/>
      <c r="O3" s="1226"/>
      <c r="P3" s="1226"/>
      <c r="Q3" s="1226"/>
      <c r="R3" s="1226"/>
      <c r="S3" s="1226"/>
      <c r="T3" s="1226"/>
      <c r="U3" s="1226"/>
      <c r="V3" s="1226"/>
      <c r="W3" s="1226"/>
      <c r="X3" s="1226"/>
      <c r="AD3" s="1226"/>
      <c r="AE3" s="1226"/>
      <c r="AF3" s="1226"/>
      <c r="AG3" s="1226"/>
      <c r="AH3" s="1226"/>
      <c r="AI3" s="1226"/>
      <c r="AJ3" s="1226"/>
      <c r="AK3" s="1226"/>
      <c r="AL3" s="1226"/>
      <c r="AM3" s="1226"/>
      <c r="AN3" s="1226"/>
      <c r="AO3" s="1226"/>
      <c r="AP3" s="1226"/>
      <c r="AQ3" s="1226"/>
      <c r="AR3" s="1226"/>
      <c r="AS3" s="1226"/>
      <c r="AT3" s="1226"/>
      <c r="AU3" s="1226"/>
      <c r="AV3" s="1226"/>
      <c r="AW3" s="1226"/>
      <c r="AX3" s="1226"/>
      <c r="AY3" s="1226"/>
      <c r="AZ3" s="1226"/>
      <c r="BA3" s="1226"/>
      <c r="CE3" s="97" t="s">
        <v>111</v>
      </c>
    </row>
    <row r="4" spans="1:83" s="8" customFormat="1" ht="20.100000000000001" customHeight="1">
      <c r="A4" s="1221" t="s">
        <v>85</v>
      </c>
      <c r="B4" s="1221"/>
      <c r="C4" s="1221"/>
      <c r="D4" s="1221"/>
      <c r="E4" s="1221"/>
      <c r="F4" s="1221"/>
      <c r="G4" s="1221"/>
      <c r="H4" s="1221"/>
      <c r="I4" s="1221"/>
      <c r="J4" s="1221"/>
      <c r="K4" s="1221"/>
      <c r="L4" s="1221"/>
      <c r="M4" s="1221"/>
      <c r="N4" s="1221"/>
      <c r="O4" s="1221"/>
      <c r="P4" s="1221"/>
      <c r="Q4" s="1221"/>
      <c r="R4" s="1221"/>
      <c r="S4" s="1221"/>
      <c r="T4" s="1221"/>
      <c r="U4" s="1221"/>
      <c r="V4" s="1221"/>
      <c r="W4" s="1221"/>
      <c r="X4" s="1221"/>
      <c r="Z4" s="111" t="s">
        <v>308</v>
      </c>
      <c r="AA4" s="70"/>
      <c r="AB4" s="65"/>
      <c r="AC4" s="49"/>
      <c r="AD4" s="1221" t="s">
        <v>85</v>
      </c>
      <c r="AE4" s="1221"/>
      <c r="AF4" s="1221"/>
      <c r="AG4" s="1221"/>
      <c r="AH4" s="1221"/>
      <c r="AI4" s="1221"/>
      <c r="AJ4" s="1221"/>
      <c r="AK4" s="1221"/>
      <c r="AL4" s="1221"/>
      <c r="AM4" s="1221"/>
      <c r="AN4" s="1221"/>
      <c r="AO4" s="1221"/>
      <c r="AP4" s="1221"/>
      <c r="AQ4" s="1221"/>
      <c r="AR4" s="1221"/>
      <c r="AS4" s="1221"/>
      <c r="AT4" s="1221"/>
      <c r="AU4" s="1221"/>
      <c r="AV4" s="1221"/>
      <c r="AW4" s="1221"/>
      <c r="AX4" s="1221"/>
      <c r="AY4" s="1221"/>
      <c r="AZ4" s="1221"/>
      <c r="BA4" s="1221"/>
      <c r="CE4" s="97" t="s">
        <v>112</v>
      </c>
    </row>
    <row r="5" spans="1:83">
      <c r="A5" s="1226"/>
      <c r="B5" s="1223" t="s">
        <v>11</v>
      </c>
      <c r="C5" s="1223"/>
      <c r="D5" s="1223"/>
      <c r="E5" s="1223"/>
      <c r="F5" s="1223"/>
      <c r="G5" s="1223"/>
      <c r="H5" s="1223"/>
      <c r="I5" s="1223"/>
      <c r="J5" s="1223"/>
      <c r="K5" s="1223"/>
      <c r="L5" s="1223"/>
      <c r="M5" s="1223"/>
      <c r="N5" s="1223"/>
      <c r="O5" s="1223"/>
      <c r="P5" s="1223"/>
      <c r="Q5" s="1223"/>
      <c r="R5" s="1223"/>
      <c r="S5" s="1223"/>
      <c r="T5" s="1223"/>
      <c r="U5" s="1223"/>
      <c r="V5" s="1223"/>
      <c r="W5" s="1223"/>
      <c r="X5" s="1223"/>
      <c r="AD5" s="1226"/>
      <c r="AE5" s="1223" t="s">
        <v>11</v>
      </c>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CE5" s="97" t="s">
        <v>155</v>
      </c>
    </row>
    <row r="6" spans="1:83" s="8" customFormat="1" ht="20.100000000000001" customHeight="1">
      <c r="A6" s="1226"/>
      <c r="B6" s="1224"/>
      <c r="C6" s="1224"/>
      <c r="D6" s="1224"/>
      <c r="E6" s="1224"/>
      <c r="F6" s="1224"/>
      <c r="G6" s="1224"/>
      <c r="H6" s="1224"/>
      <c r="I6" s="1224"/>
      <c r="J6" s="1224"/>
      <c r="K6" s="1224"/>
      <c r="L6" s="1224"/>
      <c r="M6" s="1224"/>
      <c r="N6" s="1224"/>
      <c r="O6" s="1224"/>
      <c r="P6" s="1224"/>
      <c r="Q6" s="1224"/>
      <c r="R6" s="1227"/>
      <c r="S6" s="1227"/>
      <c r="T6" s="118" t="s">
        <v>74</v>
      </c>
      <c r="U6" s="5"/>
      <c r="V6" s="118" t="s">
        <v>148</v>
      </c>
      <c r="W6" s="5"/>
      <c r="X6" s="118" t="s">
        <v>76</v>
      </c>
      <c r="AA6" s="70"/>
      <c r="AB6" s="65" t="s">
        <v>312</v>
      </c>
      <c r="AC6" s="49"/>
      <c r="AD6" s="1226"/>
      <c r="AE6" s="1224"/>
      <c r="AF6" s="1224"/>
      <c r="AG6" s="1224"/>
      <c r="AH6" s="1224"/>
      <c r="AI6" s="1224"/>
      <c r="AJ6" s="1224"/>
      <c r="AK6" s="1224"/>
      <c r="AL6" s="1224"/>
      <c r="AM6" s="1224"/>
      <c r="AN6" s="1224"/>
      <c r="AO6" s="1224"/>
      <c r="AP6" s="1224"/>
      <c r="AQ6" s="1224"/>
      <c r="AR6" s="1224"/>
      <c r="AS6" s="1224"/>
      <c r="AT6" s="1224"/>
      <c r="AU6" s="1228" t="str">
        <f>LEFT(Z1,4)</f>
        <v>2026</v>
      </c>
      <c r="AV6" s="1228"/>
      <c r="AW6" s="118" t="s">
        <v>74</v>
      </c>
      <c r="AX6" s="9">
        <v>7</v>
      </c>
      <c r="AY6" s="118" t="s">
        <v>75</v>
      </c>
      <c r="AZ6" s="9">
        <v>15</v>
      </c>
      <c r="BA6" s="118" t="s">
        <v>76</v>
      </c>
      <c r="CE6" s="97" t="s">
        <v>156</v>
      </c>
    </row>
    <row r="7" spans="1:83" s="8" customFormat="1" ht="20.100000000000001" customHeight="1">
      <c r="A7" s="1226"/>
      <c r="B7" s="1185" t="s">
        <v>47</v>
      </c>
      <c r="C7" s="1185"/>
      <c r="D7" s="1185"/>
      <c r="E7" s="1185"/>
      <c r="F7" s="1185"/>
      <c r="G7" s="1185"/>
      <c r="H7" s="1185"/>
      <c r="I7" s="1185"/>
      <c r="J7" s="1185"/>
      <c r="K7" s="1185"/>
      <c r="L7" s="1185"/>
      <c r="M7" s="1185"/>
      <c r="N7" s="1185"/>
      <c r="O7" s="1185"/>
      <c r="P7" s="1185"/>
      <c r="Q7" s="1185"/>
      <c r="R7" s="1185"/>
      <c r="S7" s="1185"/>
      <c r="T7" s="1185"/>
      <c r="U7" s="1185"/>
      <c r="V7" s="1185"/>
      <c r="W7" s="1185"/>
      <c r="X7" s="1185"/>
      <c r="AA7" s="70"/>
      <c r="AB7" s="65"/>
      <c r="AC7" s="49"/>
      <c r="AD7" s="1226"/>
      <c r="AE7" s="1185" t="s">
        <v>47</v>
      </c>
      <c r="AF7" s="1185"/>
      <c r="AG7" s="1185"/>
      <c r="AH7" s="1185"/>
      <c r="AI7" s="1185"/>
      <c r="AJ7" s="1185"/>
      <c r="AK7" s="1185"/>
      <c r="AL7" s="1185"/>
      <c r="AM7" s="1185"/>
      <c r="AN7" s="1185"/>
      <c r="AO7" s="1185"/>
      <c r="AP7" s="1185"/>
      <c r="AQ7" s="1185"/>
      <c r="AR7" s="1185"/>
      <c r="AS7" s="1185"/>
      <c r="AT7" s="1185"/>
      <c r="AU7" s="1185"/>
      <c r="AV7" s="1185"/>
      <c r="AW7" s="1185"/>
      <c r="AX7" s="1185"/>
      <c r="AY7" s="1185"/>
      <c r="AZ7" s="1185"/>
      <c r="BA7" s="1185"/>
      <c r="CE7" s="97" t="s">
        <v>157</v>
      </c>
    </row>
    <row r="8" spans="1:83" s="8" customFormat="1" ht="15" customHeight="1">
      <c r="A8" s="1226"/>
      <c r="B8" s="1186" t="s">
        <v>77</v>
      </c>
      <c r="C8" s="1186"/>
      <c r="D8" s="1186"/>
      <c r="E8" s="1186"/>
      <c r="F8" s="1186"/>
      <c r="G8" s="1186"/>
      <c r="H8" s="1186"/>
      <c r="I8" s="1186"/>
      <c r="J8" s="1186"/>
      <c r="K8" s="1186"/>
      <c r="L8" s="1186"/>
      <c r="M8" s="1088"/>
      <c r="N8" s="1088"/>
      <c r="O8" s="120" t="s">
        <v>158</v>
      </c>
      <c r="P8" s="117"/>
      <c r="Q8" s="1221"/>
      <c r="R8" s="1221"/>
      <c r="S8" s="1221"/>
      <c r="T8" s="1221"/>
      <c r="U8" s="1221"/>
      <c r="V8" s="1221"/>
      <c r="W8" s="1221"/>
      <c r="X8" s="1221"/>
      <c r="AA8" s="70"/>
      <c r="AB8" s="112" t="s">
        <v>310</v>
      </c>
      <c r="AC8" s="49"/>
      <c r="AD8" s="1226"/>
      <c r="AE8" s="1186" t="s">
        <v>77</v>
      </c>
      <c r="AF8" s="1186"/>
      <c r="AG8" s="1186"/>
      <c r="AH8" s="1186"/>
      <c r="AI8" s="1186"/>
      <c r="AJ8" s="1186"/>
      <c r="AK8" s="1186"/>
      <c r="AL8" s="1186"/>
      <c r="AM8" s="1186"/>
      <c r="AN8" s="1186"/>
      <c r="AO8" s="1186"/>
      <c r="AP8" s="1083" t="s">
        <v>159</v>
      </c>
      <c r="AQ8" s="1083"/>
      <c r="AR8" s="121" t="s">
        <v>160</v>
      </c>
      <c r="AS8" s="115" t="s">
        <v>161</v>
      </c>
      <c r="AT8" s="1222"/>
      <c r="AU8" s="1222"/>
      <c r="AV8" s="1222"/>
      <c r="AW8" s="1222"/>
      <c r="AX8" s="1222"/>
      <c r="AY8" s="1222"/>
      <c r="AZ8" s="1222"/>
      <c r="BA8" s="1222"/>
      <c r="CE8" s="97" t="s">
        <v>162</v>
      </c>
    </row>
    <row r="9" spans="1:83" s="8" customFormat="1" ht="15" customHeight="1">
      <c r="A9" s="1226"/>
      <c r="B9" s="1186" t="s">
        <v>78</v>
      </c>
      <c r="C9" s="1186"/>
      <c r="D9" s="1186"/>
      <c r="E9" s="1186"/>
      <c r="F9" s="1186"/>
      <c r="G9" s="1186"/>
      <c r="H9" s="1186"/>
      <c r="I9" s="1186"/>
      <c r="J9" s="1186"/>
      <c r="K9" s="1186"/>
      <c r="L9" s="1186"/>
      <c r="M9" s="1187" t="s">
        <v>319</v>
      </c>
      <c r="N9" s="1187"/>
      <c r="O9" s="1187"/>
      <c r="P9" s="1187"/>
      <c r="Q9" s="1187"/>
      <c r="R9" s="1187"/>
      <c r="S9" s="1187"/>
      <c r="T9" s="1187"/>
      <c r="U9" s="1187"/>
      <c r="V9" s="1187"/>
      <c r="W9" s="1187"/>
      <c r="X9" s="46"/>
      <c r="AA9" s="70"/>
      <c r="AB9" s="65"/>
      <c r="AC9" s="49"/>
      <c r="AD9" s="1226"/>
      <c r="AE9" s="1186" t="s">
        <v>78</v>
      </c>
      <c r="AF9" s="1186"/>
      <c r="AG9" s="1186"/>
      <c r="AH9" s="1186"/>
      <c r="AI9" s="1186"/>
      <c r="AJ9" s="1186"/>
      <c r="AK9" s="1186"/>
      <c r="AL9" s="1186"/>
      <c r="AM9" s="1186"/>
      <c r="AN9" s="1186"/>
      <c r="AO9" s="1186"/>
      <c r="AP9" s="1083" t="s">
        <v>123</v>
      </c>
      <c r="AQ9" s="1083"/>
      <c r="AR9" s="1083"/>
      <c r="AS9" s="1083"/>
      <c r="AT9" s="1083"/>
      <c r="AU9" s="1083"/>
      <c r="AV9" s="1083"/>
      <c r="AW9" s="1083"/>
      <c r="AX9" s="1083"/>
      <c r="AY9" s="1083"/>
      <c r="AZ9" s="1083"/>
      <c r="BA9" s="49"/>
      <c r="CE9" s="97" t="s">
        <v>163</v>
      </c>
    </row>
    <row r="10" spans="1:83" s="8" customFormat="1" ht="15" customHeight="1">
      <c r="A10" s="1226"/>
      <c r="B10" s="1186"/>
      <c r="C10" s="1186"/>
      <c r="D10" s="1186"/>
      <c r="E10" s="1186"/>
      <c r="F10" s="1186"/>
      <c r="G10" s="1186"/>
      <c r="H10" s="1186"/>
      <c r="I10" s="1186"/>
      <c r="J10" s="1186"/>
      <c r="K10" s="1186"/>
      <c r="L10" s="1186"/>
      <c r="M10" s="1187"/>
      <c r="N10" s="1187"/>
      <c r="O10" s="1187"/>
      <c r="P10" s="1187"/>
      <c r="Q10" s="1187"/>
      <c r="R10" s="1187"/>
      <c r="S10" s="1187"/>
      <c r="T10" s="1187"/>
      <c r="U10" s="1187"/>
      <c r="V10" s="1187"/>
      <c r="W10" s="1187"/>
      <c r="X10" s="46"/>
      <c r="AA10" s="70"/>
      <c r="AB10" s="65"/>
      <c r="AC10" s="49"/>
      <c r="AD10" s="1226"/>
      <c r="AE10" s="1186"/>
      <c r="AF10" s="1186"/>
      <c r="AG10" s="1186"/>
      <c r="AH10" s="1186"/>
      <c r="AI10" s="1186"/>
      <c r="AJ10" s="1186"/>
      <c r="AK10" s="1186"/>
      <c r="AL10" s="1186"/>
      <c r="AM10" s="1186"/>
      <c r="AN10" s="1186"/>
      <c r="AO10" s="1186"/>
      <c r="AP10" s="1083" t="s">
        <v>164</v>
      </c>
      <c r="AQ10" s="1083"/>
      <c r="AR10" s="1083"/>
      <c r="AS10" s="1083"/>
      <c r="AT10" s="1083"/>
      <c r="AU10" s="1083"/>
      <c r="AV10" s="1083"/>
      <c r="AW10" s="1083"/>
      <c r="AX10" s="1083"/>
      <c r="AY10" s="1083"/>
      <c r="AZ10" s="1083"/>
      <c r="BA10" s="49"/>
      <c r="CE10" s="97" t="s">
        <v>165</v>
      </c>
    </row>
    <row r="11" spans="1:83" s="8" customFormat="1" ht="15" customHeight="1">
      <c r="A11" s="1226"/>
      <c r="B11" s="1186" t="s">
        <v>79</v>
      </c>
      <c r="C11" s="1186"/>
      <c r="D11" s="1186"/>
      <c r="E11" s="1186"/>
      <c r="F11" s="1186"/>
      <c r="G11" s="1186"/>
      <c r="H11" s="1186"/>
      <c r="I11" s="1186"/>
      <c r="J11" s="1186"/>
      <c r="K11" s="1186"/>
      <c r="L11" s="1186"/>
      <c r="M11" s="1187"/>
      <c r="N11" s="1187"/>
      <c r="O11" s="1187"/>
      <c r="P11" s="1187"/>
      <c r="Q11" s="1187"/>
      <c r="R11" s="1187"/>
      <c r="S11" s="1187"/>
      <c r="T11" s="1187"/>
      <c r="U11" s="1187"/>
      <c r="V11" s="1187"/>
      <c r="W11" s="1187"/>
      <c r="X11" s="47"/>
      <c r="AA11" s="70"/>
      <c r="AB11" s="65"/>
      <c r="AC11" s="49"/>
      <c r="AD11" s="1226"/>
      <c r="AE11" s="1186" t="s">
        <v>79</v>
      </c>
      <c r="AF11" s="1186"/>
      <c r="AG11" s="1186"/>
      <c r="AH11" s="1186"/>
      <c r="AI11" s="1186"/>
      <c r="AJ11" s="1186"/>
      <c r="AK11" s="1186"/>
      <c r="AL11" s="1186"/>
      <c r="AM11" s="1186"/>
      <c r="AN11" s="1186"/>
      <c r="AO11" s="1186"/>
      <c r="AP11" s="1083" t="s">
        <v>124</v>
      </c>
      <c r="AQ11" s="1083"/>
      <c r="AR11" s="1083"/>
      <c r="AS11" s="1083"/>
      <c r="AT11" s="1083"/>
      <c r="AU11" s="1083"/>
      <c r="AV11" s="1083"/>
      <c r="AW11" s="1083"/>
      <c r="AX11" s="1083"/>
      <c r="AY11" s="1083"/>
      <c r="AZ11" s="1083"/>
      <c r="BA11" s="49"/>
      <c r="CE11" s="97" t="s">
        <v>166</v>
      </c>
    </row>
    <row r="12" spans="1:83" s="8" customFormat="1" ht="15" customHeight="1">
      <c r="A12" s="1226"/>
      <c r="B12" s="1186"/>
      <c r="C12" s="1186"/>
      <c r="D12" s="1186"/>
      <c r="E12" s="1186"/>
      <c r="F12" s="1186"/>
      <c r="G12" s="1186"/>
      <c r="H12" s="1186"/>
      <c r="I12" s="1186"/>
      <c r="J12" s="1186"/>
      <c r="K12" s="1186"/>
      <c r="L12" s="1186"/>
      <c r="M12" s="1187"/>
      <c r="N12" s="1187"/>
      <c r="O12" s="1187"/>
      <c r="P12" s="1187"/>
      <c r="Q12" s="1187"/>
      <c r="R12" s="1187"/>
      <c r="S12" s="1187"/>
      <c r="T12" s="1187"/>
      <c r="U12" s="1187"/>
      <c r="V12" s="1187"/>
      <c r="W12" s="1187"/>
      <c r="X12" s="118"/>
      <c r="AA12" s="70"/>
      <c r="AB12" s="65"/>
      <c r="AC12" s="49"/>
      <c r="AD12" s="1226"/>
      <c r="AE12" s="1186"/>
      <c r="AF12" s="1186"/>
      <c r="AG12" s="1186"/>
      <c r="AH12" s="1186"/>
      <c r="AI12" s="1186"/>
      <c r="AJ12" s="1186"/>
      <c r="AK12" s="1186"/>
      <c r="AL12" s="1186"/>
      <c r="AM12" s="1186"/>
      <c r="AN12" s="1186"/>
      <c r="AO12" s="1186"/>
      <c r="AP12" s="1083" t="s">
        <v>314</v>
      </c>
      <c r="AQ12" s="1083"/>
      <c r="AR12" s="1083"/>
      <c r="AS12" s="1083"/>
      <c r="AT12" s="1083"/>
      <c r="AU12" s="1083"/>
      <c r="AV12" s="1083"/>
      <c r="AW12" s="1083"/>
      <c r="AX12" s="1083"/>
      <c r="AY12" s="1083"/>
      <c r="AZ12" s="1083"/>
      <c r="BA12" s="121"/>
      <c r="CE12" s="97" t="s">
        <v>167</v>
      </c>
    </row>
    <row r="13" spans="1:83">
      <c r="A13" s="1226"/>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AD13" s="1226"/>
      <c r="AE13" s="1223"/>
      <c r="AF13" s="1223"/>
      <c r="AG13" s="1223"/>
      <c r="AH13" s="1223"/>
      <c r="AI13" s="1223"/>
      <c r="AJ13" s="1223"/>
      <c r="AK13" s="1223"/>
      <c r="AL13" s="1223"/>
      <c r="AM13" s="1223"/>
      <c r="AN13" s="1223"/>
      <c r="AO13" s="1223"/>
      <c r="AP13" s="1223"/>
      <c r="AQ13" s="1223"/>
      <c r="AR13" s="1223"/>
      <c r="AS13" s="1223"/>
      <c r="AT13" s="1223"/>
      <c r="AU13" s="1223"/>
      <c r="AV13" s="1223"/>
      <c r="AW13" s="1223"/>
      <c r="AX13" s="1223"/>
      <c r="AY13" s="1223"/>
      <c r="AZ13" s="1223"/>
      <c r="BA13" s="1223"/>
      <c r="CE13" s="97" t="s">
        <v>168</v>
      </c>
    </row>
    <row r="14" spans="1:83" ht="20.100000000000001" customHeight="1">
      <c r="A14" s="1226"/>
      <c r="B14" s="1185" t="s">
        <v>86</v>
      </c>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AD14" s="1226"/>
      <c r="AE14" s="1185" t="s">
        <v>86</v>
      </c>
      <c r="AF14" s="1185"/>
      <c r="AG14" s="1185"/>
      <c r="AH14" s="1185"/>
      <c r="AI14" s="1185"/>
      <c r="AJ14" s="1185"/>
      <c r="AK14" s="1185"/>
      <c r="AL14" s="1185"/>
      <c r="AM14" s="1185"/>
      <c r="AN14" s="1185"/>
      <c r="AO14" s="1185"/>
      <c r="AP14" s="1185"/>
      <c r="AQ14" s="1185"/>
      <c r="AR14" s="1185"/>
      <c r="AS14" s="1185"/>
      <c r="AT14" s="1185"/>
      <c r="AU14" s="1185"/>
      <c r="AV14" s="1185"/>
      <c r="AW14" s="1185"/>
      <c r="AX14" s="1185"/>
      <c r="AY14" s="1185"/>
      <c r="AZ14" s="1185"/>
      <c r="BA14" s="1185"/>
      <c r="CE14" s="97" t="s">
        <v>169</v>
      </c>
    </row>
    <row r="15" spans="1:83" ht="20.100000000000001" customHeight="1" thickBot="1">
      <c r="A15" s="1185" t="s">
        <v>44</v>
      </c>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AA15" s="71"/>
      <c r="AB15" s="66"/>
      <c r="AC15" s="15"/>
      <c r="AD15" s="1185" t="s">
        <v>44</v>
      </c>
      <c r="AE15" s="1185"/>
      <c r="AF15" s="1185"/>
      <c r="AG15" s="1185"/>
      <c r="AH15" s="1185"/>
      <c r="AI15" s="1185"/>
      <c r="AJ15" s="1185"/>
      <c r="AK15" s="1185"/>
      <c r="AL15" s="1185"/>
      <c r="AM15" s="1185"/>
      <c r="AN15" s="1185"/>
      <c r="AO15" s="1185"/>
      <c r="AP15" s="1185"/>
      <c r="AQ15" s="1185"/>
      <c r="AR15" s="1185"/>
      <c r="AS15" s="1185"/>
      <c r="AT15" s="1185"/>
      <c r="AU15" s="1185"/>
      <c r="AV15" s="1185"/>
      <c r="AW15" s="1185"/>
      <c r="AX15" s="1185"/>
      <c r="AY15" s="1185"/>
      <c r="AZ15" s="1185"/>
      <c r="BA15" s="1185"/>
      <c r="BC15" s="12"/>
      <c r="CE15" s="97" t="s">
        <v>170</v>
      </c>
    </row>
    <row r="16" spans="1:83" s="8" customFormat="1" ht="35.1" customHeight="1">
      <c r="A16" s="1188"/>
      <c r="B16" s="1189" t="s">
        <v>141</v>
      </c>
      <c r="C16" s="1190"/>
      <c r="D16" s="1190"/>
      <c r="E16" s="1191" t="str">
        <f ca="1">OFFSET(INDIRECT("貼付け_"&amp;$AU$6-1&amp;"実績"),1,1)&amp;" "&amp;OFFSET(INDIRECT("貼付け_"&amp;$AU$6-1&amp;"実績"),2,2)&amp;" "&amp;OFFSET(INDIRECT("貼付け_"&amp;$AU$6-1&amp;"実績"),2,4)</f>
        <v xml:space="preserve">  </v>
      </c>
      <c r="F16" s="1192"/>
      <c r="G16" s="1192"/>
      <c r="H16" s="1192"/>
      <c r="I16" s="1192"/>
      <c r="J16" s="1192"/>
      <c r="K16" s="1192"/>
      <c r="L16" s="1192"/>
      <c r="M16" s="1192"/>
      <c r="N16" s="1192"/>
      <c r="O16" s="1192"/>
      <c r="P16" s="1192"/>
      <c r="Q16" s="1192"/>
      <c r="R16" s="1192"/>
      <c r="S16" s="1192"/>
      <c r="T16" s="1192"/>
      <c r="U16" s="1192"/>
      <c r="V16" s="1192"/>
      <c r="W16" s="1192"/>
      <c r="X16" s="1193"/>
      <c r="Y16" s="28"/>
      <c r="AA16" s="72"/>
      <c r="AB16" s="67"/>
      <c r="AC16" s="13"/>
      <c r="AD16" s="1188"/>
      <c r="AE16" s="1194" t="s">
        <v>51</v>
      </c>
      <c r="AF16" s="1195"/>
      <c r="AG16" s="1195"/>
      <c r="AH16" s="1196" t="s">
        <v>315</v>
      </c>
      <c r="AI16" s="1197"/>
      <c r="AJ16" s="1197"/>
      <c r="AK16" s="1197"/>
      <c r="AL16" s="1197"/>
      <c r="AM16" s="1197"/>
      <c r="AN16" s="1197"/>
      <c r="AO16" s="1197"/>
      <c r="AP16" s="1197"/>
      <c r="AQ16" s="1197"/>
      <c r="AR16" s="1197"/>
      <c r="AS16" s="1197"/>
      <c r="AT16" s="1197"/>
      <c r="AU16" s="1197"/>
      <c r="AV16" s="1197"/>
      <c r="AW16" s="1197"/>
      <c r="AX16" s="1197"/>
      <c r="AY16" s="1197"/>
      <c r="AZ16" s="1197"/>
      <c r="BA16" s="1198"/>
      <c r="BB16" s="28"/>
      <c r="CE16" s="97" t="s">
        <v>113</v>
      </c>
    </row>
    <row r="17" spans="1:83" s="8" customFormat="1" ht="35.1" customHeight="1" thickBot="1">
      <c r="A17" s="1188"/>
      <c r="B17" s="1199" t="s">
        <v>142</v>
      </c>
      <c r="C17" s="1200"/>
      <c r="D17" s="1200"/>
      <c r="E17" s="1201">
        <f ca="1">OFFSET(INDIRECT("貼付け_"&amp;$AU$6-1&amp;"実績"),3,3)</f>
        <v>0</v>
      </c>
      <c r="F17" s="1202"/>
      <c r="G17" s="1202"/>
      <c r="H17" s="1202"/>
      <c r="I17" s="1202"/>
      <c r="J17" s="1202"/>
      <c r="K17" s="1202"/>
      <c r="L17" s="1202"/>
      <c r="M17" s="1202"/>
      <c r="N17" s="1202"/>
      <c r="O17" s="1202"/>
      <c r="P17" s="1202"/>
      <c r="Q17" s="1202"/>
      <c r="R17" s="1202"/>
      <c r="S17" s="1202"/>
      <c r="T17" s="1202"/>
      <c r="U17" s="1202"/>
      <c r="V17" s="1202"/>
      <c r="W17" s="1202"/>
      <c r="X17" s="1203"/>
      <c r="Y17" s="14" t="s">
        <v>147</v>
      </c>
      <c r="AA17" s="71"/>
      <c r="AB17" s="66"/>
      <c r="AC17" s="15"/>
      <c r="AD17" s="1188"/>
      <c r="AE17" s="1204" t="s">
        <v>80</v>
      </c>
      <c r="AF17" s="1205"/>
      <c r="AG17" s="1205"/>
      <c r="AH17" s="1206" t="s">
        <v>316</v>
      </c>
      <c r="AI17" s="1207"/>
      <c r="AJ17" s="1207"/>
      <c r="AK17" s="1207"/>
      <c r="AL17" s="1207"/>
      <c r="AM17" s="1207"/>
      <c r="AN17" s="1207"/>
      <c r="AO17" s="1207"/>
      <c r="AP17" s="1207"/>
      <c r="AQ17" s="1207"/>
      <c r="AR17" s="1207"/>
      <c r="AS17" s="1207"/>
      <c r="AT17" s="1207"/>
      <c r="AU17" s="1207"/>
      <c r="AV17" s="1207"/>
      <c r="AW17" s="1207"/>
      <c r="AX17" s="1207"/>
      <c r="AY17" s="1207"/>
      <c r="AZ17" s="1207"/>
      <c r="BA17" s="1208"/>
      <c r="BB17" s="14" t="s">
        <v>147</v>
      </c>
      <c r="CE17" s="97" t="s">
        <v>114</v>
      </c>
    </row>
    <row r="18" spans="1:83" s="18" customFormat="1" ht="24" customHeight="1">
      <c r="A18" s="1188"/>
      <c r="B18" s="1128" t="s">
        <v>271</v>
      </c>
      <c r="C18" s="1129"/>
      <c r="D18" s="1130"/>
      <c r="E18" s="1137">
        <f ca="1">OFFSET(INDIRECT("貼付け_"&amp;$AU$6-1&amp;"実績"),1,6)</f>
        <v>0</v>
      </c>
      <c r="F18" s="1139" t="s">
        <v>56</v>
      </c>
      <c r="G18" s="1140"/>
      <c r="H18" s="1140"/>
      <c r="I18" s="1140"/>
      <c r="J18" s="1140"/>
      <c r="K18" s="1140"/>
      <c r="L18" s="1140"/>
      <c r="M18" s="1140"/>
      <c r="N18" s="1140"/>
      <c r="O18" s="1140"/>
      <c r="P18" s="1140"/>
      <c r="Q18" s="1176" t="s">
        <v>146</v>
      </c>
      <c r="R18" s="1177"/>
      <c r="S18" s="1178"/>
      <c r="T18" s="1155">
        <f ca="1">IF(E18="□","",INDEX(参考2_エネ使用量経年!L95:O95,MATCH(報告1面!$AU$6-1,参考2_エネ使用量経年!L6:O6)))</f>
        <v>0</v>
      </c>
      <c r="U18" s="1156"/>
      <c r="V18" s="1156"/>
      <c r="W18" s="1156"/>
      <c r="X18" s="16" t="s">
        <v>145</v>
      </c>
      <c r="Y18" s="103"/>
      <c r="AA18" s="73"/>
      <c r="AB18" s="68" t="s">
        <v>295</v>
      </c>
      <c r="AC18" s="17"/>
      <c r="AD18" s="1188"/>
      <c r="AE18" s="1128" t="s">
        <v>40</v>
      </c>
      <c r="AF18" s="1129"/>
      <c r="AG18" s="1130"/>
      <c r="AH18" s="1209" t="s">
        <v>125</v>
      </c>
      <c r="AI18" s="1210" t="s">
        <v>56</v>
      </c>
      <c r="AJ18" s="1211"/>
      <c r="AK18" s="1211"/>
      <c r="AL18" s="1211"/>
      <c r="AM18" s="1211"/>
      <c r="AN18" s="1211"/>
      <c r="AO18" s="1211"/>
      <c r="AP18" s="1211"/>
      <c r="AQ18" s="1211"/>
      <c r="AR18" s="1211"/>
      <c r="AS18" s="1211"/>
      <c r="AT18" s="1212"/>
      <c r="AU18" s="1213" t="s">
        <v>171</v>
      </c>
      <c r="AV18" s="1214"/>
      <c r="AW18" s="1219">
        <v>5000</v>
      </c>
      <c r="AX18" s="1220"/>
      <c r="AY18" s="1220"/>
      <c r="AZ18" s="1220"/>
      <c r="BA18" s="50" t="s">
        <v>172</v>
      </c>
      <c r="BB18" s="100"/>
      <c r="CE18" s="97" t="s">
        <v>173</v>
      </c>
    </row>
    <row r="19" spans="1:83" s="18" customFormat="1" ht="24" customHeight="1">
      <c r="A19" s="1188"/>
      <c r="B19" s="1131"/>
      <c r="C19" s="1132"/>
      <c r="D19" s="1133"/>
      <c r="E19" s="1138"/>
      <c r="F19" s="1141"/>
      <c r="G19" s="1142"/>
      <c r="H19" s="1142"/>
      <c r="I19" s="1142"/>
      <c r="J19" s="1142"/>
      <c r="K19" s="1142"/>
      <c r="L19" s="1142"/>
      <c r="M19" s="1142"/>
      <c r="N19" s="1142"/>
      <c r="O19" s="1142"/>
      <c r="P19" s="1142"/>
      <c r="Q19" s="1179"/>
      <c r="R19" s="1180"/>
      <c r="S19" s="1181"/>
      <c r="T19" s="48" t="s">
        <v>174</v>
      </c>
      <c r="U19" s="1144">
        <f ca="1">IF(E18="□","",INDEX(参考2_エネ使用量経年!T95:W95,MATCH(報告1面!$AU$6-1,参考2_エネ使用量経年!T6:W6)))</f>
        <v>0</v>
      </c>
      <c r="V19" s="1144"/>
      <c r="W19" s="1144"/>
      <c r="X19" s="19" t="s">
        <v>145</v>
      </c>
      <c r="Y19" s="104"/>
      <c r="AA19" s="73"/>
      <c r="AB19" s="68" t="s">
        <v>305</v>
      </c>
      <c r="AC19" s="17"/>
      <c r="AD19" s="1188"/>
      <c r="AE19" s="1131"/>
      <c r="AF19" s="1132"/>
      <c r="AG19" s="1133"/>
      <c r="AH19" s="1146"/>
      <c r="AI19" s="1150"/>
      <c r="AJ19" s="1151"/>
      <c r="AK19" s="1151"/>
      <c r="AL19" s="1151"/>
      <c r="AM19" s="1151"/>
      <c r="AN19" s="1151"/>
      <c r="AO19" s="1151"/>
      <c r="AP19" s="1151"/>
      <c r="AQ19" s="1151"/>
      <c r="AR19" s="1151"/>
      <c r="AS19" s="1151"/>
      <c r="AT19" s="1152"/>
      <c r="AU19" s="1215"/>
      <c r="AV19" s="1216"/>
      <c r="AW19" s="51" t="s">
        <v>83</v>
      </c>
      <c r="AX19" s="1154">
        <v>3000</v>
      </c>
      <c r="AY19" s="1154"/>
      <c r="AZ19" s="1154"/>
      <c r="BA19" s="52" t="s">
        <v>175</v>
      </c>
      <c r="BB19" s="101" t="s">
        <v>144</v>
      </c>
      <c r="BC19" s="53"/>
      <c r="CE19" s="97" t="s">
        <v>176</v>
      </c>
    </row>
    <row r="20" spans="1:83" s="18" customFormat="1" ht="21.9" customHeight="1">
      <c r="A20" s="1188"/>
      <c r="B20" s="1131"/>
      <c r="C20" s="1132"/>
      <c r="D20" s="1133"/>
      <c r="E20" s="1157">
        <f ca="1">OFFSET(INDIRECT("貼付け_"&amp;$AU$6-1&amp;"実績"),2,6)</f>
        <v>0</v>
      </c>
      <c r="F20" s="1159" t="s">
        <v>57</v>
      </c>
      <c r="G20" s="1160"/>
      <c r="H20" s="1160"/>
      <c r="I20" s="1160"/>
      <c r="J20" s="1160"/>
      <c r="K20" s="1160"/>
      <c r="L20" s="1160"/>
      <c r="M20" s="1160"/>
      <c r="N20" s="1160"/>
      <c r="O20" s="1160"/>
      <c r="P20" s="1160"/>
      <c r="Q20" s="1179"/>
      <c r="R20" s="1180"/>
      <c r="S20" s="1181"/>
      <c r="T20" s="1143">
        <f ca="1">IF(E20="□","",INDEX(参考2_エネ使用量経年!L95:O95,MATCH(報告1面!$AU$6-1,参考2_エネ使用量経年!L6:O6)))</f>
        <v>0</v>
      </c>
      <c r="U20" s="1144"/>
      <c r="V20" s="1144"/>
      <c r="W20" s="1144"/>
      <c r="X20" s="20" t="s">
        <v>177</v>
      </c>
      <c r="Y20" s="104"/>
      <c r="AA20" s="73"/>
      <c r="AB20" s="68" t="s">
        <v>305</v>
      </c>
      <c r="AC20" s="17"/>
      <c r="AD20" s="1188"/>
      <c r="AE20" s="1131"/>
      <c r="AF20" s="1132"/>
      <c r="AG20" s="1133"/>
      <c r="AH20" s="1145" t="s">
        <v>178</v>
      </c>
      <c r="AI20" s="1147" t="s">
        <v>57</v>
      </c>
      <c r="AJ20" s="1148"/>
      <c r="AK20" s="1148"/>
      <c r="AL20" s="1148"/>
      <c r="AM20" s="1148"/>
      <c r="AN20" s="1148"/>
      <c r="AO20" s="1148"/>
      <c r="AP20" s="1148"/>
      <c r="AQ20" s="1148"/>
      <c r="AR20" s="1148"/>
      <c r="AS20" s="1148"/>
      <c r="AT20" s="1149"/>
      <c r="AU20" s="1215"/>
      <c r="AV20" s="1216"/>
      <c r="AW20" s="1153"/>
      <c r="AX20" s="1154"/>
      <c r="AY20" s="1154"/>
      <c r="AZ20" s="1154"/>
      <c r="BA20" s="54" t="s">
        <v>179</v>
      </c>
      <c r="BB20" s="101"/>
      <c r="CE20" s="97" t="s">
        <v>180</v>
      </c>
    </row>
    <row r="21" spans="1:83" s="18" customFormat="1" ht="21.9" customHeight="1">
      <c r="A21" s="1188"/>
      <c r="B21" s="1131"/>
      <c r="C21" s="1132"/>
      <c r="D21" s="1133"/>
      <c r="E21" s="1138"/>
      <c r="F21" s="1141"/>
      <c r="G21" s="1142"/>
      <c r="H21" s="1142"/>
      <c r="I21" s="1142"/>
      <c r="J21" s="1142"/>
      <c r="K21" s="1142"/>
      <c r="L21" s="1142"/>
      <c r="M21" s="1142"/>
      <c r="N21" s="1142"/>
      <c r="O21" s="1142"/>
      <c r="P21" s="1142"/>
      <c r="Q21" s="1182"/>
      <c r="R21" s="1183"/>
      <c r="S21" s="1184"/>
      <c r="T21" s="48" t="s">
        <v>181</v>
      </c>
      <c r="U21" s="1144">
        <f ca="1">IF(E20="□","",INDEX(参考2_エネ使用量経年!T95:W95,MATCH(報告1面!$AU$6-1,参考2_エネ使用量経年!T6:W6)))</f>
        <v>0</v>
      </c>
      <c r="V21" s="1144"/>
      <c r="W21" s="1144"/>
      <c r="X21" s="20" t="s">
        <v>177</v>
      </c>
      <c r="Y21" s="105"/>
      <c r="AA21" s="73"/>
      <c r="AB21" s="68"/>
      <c r="AC21" s="17"/>
      <c r="AD21" s="1188"/>
      <c r="AE21" s="1131"/>
      <c r="AF21" s="1132"/>
      <c r="AG21" s="1133"/>
      <c r="AH21" s="1146"/>
      <c r="AI21" s="1150"/>
      <c r="AJ21" s="1151"/>
      <c r="AK21" s="1151"/>
      <c r="AL21" s="1151"/>
      <c r="AM21" s="1151"/>
      <c r="AN21" s="1151"/>
      <c r="AO21" s="1151"/>
      <c r="AP21" s="1151"/>
      <c r="AQ21" s="1151"/>
      <c r="AR21" s="1151"/>
      <c r="AS21" s="1151"/>
      <c r="AT21" s="1152"/>
      <c r="AU21" s="1217"/>
      <c r="AV21" s="1218"/>
      <c r="AW21" s="51" t="s">
        <v>174</v>
      </c>
      <c r="AX21" s="1154"/>
      <c r="AY21" s="1154"/>
      <c r="AZ21" s="1154"/>
      <c r="BA21" s="54" t="s">
        <v>175</v>
      </c>
      <c r="BB21" s="101"/>
      <c r="CE21" s="97" t="s">
        <v>115</v>
      </c>
    </row>
    <row r="22" spans="1:83" s="18" customFormat="1" ht="21.9" customHeight="1">
      <c r="A22" s="1188"/>
      <c r="B22" s="1131"/>
      <c r="C22" s="1132"/>
      <c r="D22" s="1133"/>
      <c r="E22" s="1157">
        <f ca="1">OFFSET(INDIRECT("貼付け_"&amp;$AU$6-1&amp;"実績"),3,6)</f>
        <v>0</v>
      </c>
      <c r="F22" s="1159" t="s">
        <v>52</v>
      </c>
      <c r="G22" s="1160"/>
      <c r="H22" s="1160"/>
      <c r="I22" s="1160"/>
      <c r="J22" s="1160"/>
      <c r="K22" s="1160"/>
      <c r="L22" s="1160"/>
      <c r="M22" s="1160"/>
      <c r="N22" s="1160"/>
      <c r="O22" s="1160"/>
      <c r="P22" s="1160"/>
      <c r="Q22" s="1163" t="s">
        <v>39</v>
      </c>
      <c r="R22" s="1164"/>
      <c r="S22" s="1165"/>
      <c r="T22" s="1143">
        <f ca="1">IF(E22="□","",INDEX(参考2_エネ使用量経年!L118:O118,MATCH(報告1面!$AU$6-1,参考2_エネ使用量経年!L6:O6)))</f>
        <v>0</v>
      </c>
      <c r="U22" s="1144"/>
      <c r="V22" s="1144"/>
      <c r="W22" s="1144"/>
      <c r="X22" s="20" t="s">
        <v>6</v>
      </c>
      <c r="Y22" s="106"/>
      <c r="AA22" s="73"/>
      <c r="AB22" s="68" t="s">
        <v>296</v>
      </c>
      <c r="AC22" s="17"/>
      <c r="AD22" s="1188"/>
      <c r="AE22" s="1131"/>
      <c r="AF22" s="1132"/>
      <c r="AG22" s="1133"/>
      <c r="AH22" s="1145" t="s">
        <v>125</v>
      </c>
      <c r="AI22" s="1147" t="s">
        <v>52</v>
      </c>
      <c r="AJ22" s="1148"/>
      <c r="AK22" s="1148"/>
      <c r="AL22" s="1148"/>
      <c r="AM22" s="1148"/>
      <c r="AN22" s="1148"/>
      <c r="AO22" s="1148"/>
      <c r="AP22" s="1148"/>
      <c r="AQ22" s="1148"/>
      <c r="AR22" s="1148"/>
      <c r="AS22" s="1148"/>
      <c r="AT22" s="1149"/>
      <c r="AU22" s="1171" t="s">
        <v>39</v>
      </c>
      <c r="AV22" s="1172"/>
      <c r="AW22" s="1153">
        <v>170</v>
      </c>
      <c r="AX22" s="1154"/>
      <c r="AY22" s="1154"/>
      <c r="AZ22" s="1154"/>
      <c r="BA22" s="54" t="s">
        <v>6</v>
      </c>
      <c r="BB22" s="101"/>
      <c r="CE22" s="97" t="s">
        <v>182</v>
      </c>
    </row>
    <row r="23" spans="1:83" s="18" customFormat="1" ht="21.9" customHeight="1" thickBot="1">
      <c r="A23" s="1188"/>
      <c r="B23" s="1134"/>
      <c r="C23" s="1135"/>
      <c r="D23" s="1136"/>
      <c r="E23" s="1158"/>
      <c r="F23" s="1161"/>
      <c r="G23" s="1162"/>
      <c r="H23" s="1162"/>
      <c r="I23" s="1162"/>
      <c r="J23" s="1162"/>
      <c r="K23" s="1162"/>
      <c r="L23" s="1162"/>
      <c r="M23" s="1162"/>
      <c r="N23" s="1162"/>
      <c r="O23" s="1162"/>
      <c r="P23" s="1162"/>
      <c r="Q23" s="1166"/>
      <c r="R23" s="1167"/>
      <c r="S23" s="1168"/>
      <c r="T23" s="123" t="s">
        <v>149</v>
      </c>
      <c r="U23" s="1175">
        <f ca="1">IF(E22="□","",INDEX(参考2_エネ使用量経年!T118:W118,MATCH(報告1面!$AU$6-1,参考2_エネ使用量経年!T6:W6)))</f>
        <v>0</v>
      </c>
      <c r="V23" s="1175"/>
      <c r="W23" s="1175"/>
      <c r="X23" s="119" t="s">
        <v>6</v>
      </c>
      <c r="Y23" s="107"/>
      <c r="Z23" s="8"/>
      <c r="AA23" s="73"/>
      <c r="AB23" s="68"/>
      <c r="AC23" s="17"/>
      <c r="AD23" s="1188"/>
      <c r="AE23" s="1134"/>
      <c r="AF23" s="1135"/>
      <c r="AG23" s="1136"/>
      <c r="AH23" s="1169"/>
      <c r="AI23" s="1170"/>
      <c r="AJ23" s="1135"/>
      <c r="AK23" s="1135"/>
      <c r="AL23" s="1135"/>
      <c r="AM23" s="1135"/>
      <c r="AN23" s="1135"/>
      <c r="AO23" s="1135"/>
      <c r="AP23" s="1135"/>
      <c r="AQ23" s="1135"/>
      <c r="AR23" s="1135"/>
      <c r="AS23" s="1135"/>
      <c r="AT23" s="1136"/>
      <c r="AU23" s="1173"/>
      <c r="AV23" s="1174"/>
      <c r="AW23" s="55" t="s">
        <v>83</v>
      </c>
      <c r="AX23" s="1116">
        <v>110</v>
      </c>
      <c r="AY23" s="1116"/>
      <c r="AZ23" s="1116"/>
      <c r="BA23" s="56" t="s">
        <v>6</v>
      </c>
      <c r="BB23" s="102" t="s">
        <v>144</v>
      </c>
      <c r="BE23" s="8"/>
      <c r="CE23" s="97" t="s">
        <v>183</v>
      </c>
    </row>
    <row r="24" spans="1:83" ht="15.9" customHeight="1">
      <c r="A24" s="1188"/>
      <c r="B24" s="1117" t="s">
        <v>12</v>
      </c>
      <c r="C24" s="1120" t="s">
        <v>13</v>
      </c>
      <c r="D24" s="1121"/>
      <c r="E24" s="1" t="s">
        <v>280</v>
      </c>
      <c r="F24" s="1126" t="s">
        <v>14</v>
      </c>
      <c r="G24" s="1126"/>
      <c r="H24" s="1126"/>
      <c r="I24" s="1126"/>
      <c r="J24" s="1126"/>
      <c r="K24" s="1126"/>
      <c r="L24" s="1126"/>
      <c r="M24" s="1126"/>
      <c r="N24" s="1126"/>
      <c r="O24" s="2" t="s">
        <v>280</v>
      </c>
      <c r="P24" s="1126" t="s">
        <v>15</v>
      </c>
      <c r="Q24" s="1126"/>
      <c r="R24" s="1126"/>
      <c r="S24" s="1126"/>
      <c r="T24" s="1126"/>
      <c r="U24" s="1126"/>
      <c r="V24" s="1126"/>
      <c r="W24" s="1126"/>
      <c r="X24" s="1127"/>
      <c r="Y24" s="33"/>
      <c r="AA24" s="71"/>
      <c r="AB24" s="66"/>
      <c r="AC24" s="23"/>
      <c r="AD24" s="1188"/>
      <c r="AE24" s="1117" t="s">
        <v>12</v>
      </c>
      <c r="AF24" s="1120" t="s">
        <v>13</v>
      </c>
      <c r="AG24" s="1121"/>
      <c r="AH24" s="21" t="s">
        <v>178</v>
      </c>
      <c r="AI24" s="1126" t="s">
        <v>14</v>
      </c>
      <c r="AJ24" s="1126"/>
      <c r="AK24" s="1126"/>
      <c r="AL24" s="1126"/>
      <c r="AM24" s="1126"/>
      <c r="AN24" s="1126"/>
      <c r="AO24" s="1126"/>
      <c r="AP24" s="1126"/>
      <c r="AQ24" s="1126"/>
      <c r="AR24" s="22" t="s">
        <v>150</v>
      </c>
      <c r="AS24" s="1126" t="s">
        <v>15</v>
      </c>
      <c r="AT24" s="1126"/>
      <c r="AU24" s="1126"/>
      <c r="AV24" s="1126"/>
      <c r="AW24" s="1126"/>
      <c r="AX24" s="1126"/>
      <c r="AY24" s="1126"/>
      <c r="AZ24" s="1126"/>
      <c r="BA24" s="1127"/>
      <c r="BB24" s="33"/>
      <c r="CE24" s="97" t="s">
        <v>184</v>
      </c>
    </row>
    <row r="25" spans="1:83" ht="15.9" customHeight="1">
      <c r="A25" s="1188"/>
      <c r="B25" s="1118"/>
      <c r="C25" s="1122"/>
      <c r="D25" s="1123"/>
      <c r="E25" s="3" t="s">
        <v>280</v>
      </c>
      <c r="F25" s="1104" t="s">
        <v>16</v>
      </c>
      <c r="G25" s="1104"/>
      <c r="H25" s="1104"/>
      <c r="I25" s="1104"/>
      <c r="J25" s="1104"/>
      <c r="K25" s="1104"/>
      <c r="L25" s="1104"/>
      <c r="M25" s="1104"/>
      <c r="N25" s="1104"/>
      <c r="O25" s="4" t="s">
        <v>280</v>
      </c>
      <c r="P25" s="1104" t="s">
        <v>17</v>
      </c>
      <c r="Q25" s="1104"/>
      <c r="R25" s="1104"/>
      <c r="S25" s="1104"/>
      <c r="T25" s="1104"/>
      <c r="U25" s="1104"/>
      <c r="V25" s="1104"/>
      <c r="W25" s="1104"/>
      <c r="X25" s="1115"/>
      <c r="Y25" s="33"/>
      <c r="AD25" s="1188"/>
      <c r="AE25" s="1118"/>
      <c r="AF25" s="1122"/>
      <c r="AG25" s="1123"/>
      <c r="AH25" s="24" t="s">
        <v>150</v>
      </c>
      <c r="AI25" s="1104" t="s">
        <v>16</v>
      </c>
      <c r="AJ25" s="1104"/>
      <c r="AK25" s="1104"/>
      <c r="AL25" s="1104"/>
      <c r="AM25" s="1104"/>
      <c r="AN25" s="1104"/>
      <c r="AO25" s="1104"/>
      <c r="AP25" s="1104"/>
      <c r="AQ25" s="1104"/>
      <c r="AR25" s="25" t="s">
        <v>2</v>
      </c>
      <c r="AS25" s="1104" t="s">
        <v>17</v>
      </c>
      <c r="AT25" s="1104"/>
      <c r="AU25" s="1104"/>
      <c r="AV25" s="1104"/>
      <c r="AW25" s="1104"/>
      <c r="AX25" s="1104"/>
      <c r="AY25" s="1104"/>
      <c r="AZ25" s="1104"/>
      <c r="BA25" s="1115"/>
      <c r="BB25" s="33"/>
      <c r="CE25" s="97" t="s">
        <v>185</v>
      </c>
    </row>
    <row r="26" spans="1:83" ht="15.9" customHeight="1">
      <c r="A26" s="1188"/>
      <c r="B26" s="1118"/>
      <c r="C26" s="1122"/>
      <c r="D26" s="1123"/>
      <c r="E26" s="3" t="s">
        <v>280</v>
      </c>
      <c r="F26" s="1104" t="s">
        <v>18</v>
      </c>
      <c r="G26" s="1104"/>
      <c r="H26" s="1104"/>
      <c r="I26" s="1104"/>
      <c r="J26" s="1104"/>
      <c r="K26" s="1104"/>
      <c r="L26" s="1104"/>
      <c r="M26" s="1104"/>
      <c r="N26" s="1104"/>
      <c r="O26" s="4" t="s">
        <v>280</v>
      </c>
      <c r="P26" s="1104" t="s">
        <v>19</v>
      </c>
      <c r="Q26" s="1104"/>
      <c r="R26" s="1104"/>
      <c r="S26" s="1104"/>
      <c r="T26" s="1104"/>
      <c r="U26" s="1104"/>
      <c r="V26" s="1104"/>
      <c r="W26" s="1104"/>
      <c r="X26" s="1115"/>
      <c r="Y26" s="33"/>
      <c r="AD26" s="1188"/>
      <c r="AE26" s="1118"/>
      <c r="AF26" s="1122"/>
      <c r="AG26" s="1123"/>
      <c r="AH26" s="24" t="s">
        <v>150</v>
      </c>
      <c r="AI26" s="1104" t="s">
        <v>18</v>
      </c>
      <c r="AJ26" s="1104"/>
      <c r="AK26" s="1104"/>
      <c r="AL26" s="1104"/>
      <c r="AM26" s="1104"/>
      <c r="AN26" s="1104"/>
      <c r="AO26" s="1104"/>
      <c r="AP26" s="1104"/>
      <c r="AQ26" s="1104"/>
      <c r="AR26" s="25" t="s">
        <v>150</v>
      </c>
      <c r="AS26" s="1104" t="s">
        <v>19</v>
      </c>
      <c r="AT26" s="1104"/>
      <c r="AU26" s="1104"/>
      <c r="AV26" s="1104"/>
      <c r="AW26" s="1104"/>
      <c r="AX26" s="1104"/>
      <c r="AY26" s="1104"/>
      <c r="AZ26" s="1104"/>
      <c r="BA26" s="1115"/>
      <c r="BB26" s="33"/>
      <c r="CE26" s="97" t="s">
        <v>186</v>
      </c>
    </row>
    <row r="27" spans="1:83" ht="15.9" customHeight="1">
      <c r="A27" s="1188"/>
      <c r="B27" s="1118"/>
      <c r="C27" s="1122"/>
      <c r="D27" s="1123"/>
      <c r="E27" s="3" t="s">
        <v>280</v>
      </c>
      <c r="F27" s="1104" t="s">
        <v>20</v>
      </c>
      <c r="G27" s="1104"/>
      <c r="H27" s="1104"/>
      <c r="I27" s="1104"/>
      <c r="J27" s="1104"/>
      <c r="K27" s="1104"/>
      <c r="L27" s="1104"/>
      <c r="M27" s="1104"/>
      <c r="N27" s="1104"/>
      <c r="O27" s="4" t="s">
        <v>280</v>
      </c>
      <c r="P27" s="1104" t="s">
        <v>21</v>
      </c>
      <c r="Q27" s="1104"/>
      <c r="R27" s="1104"/>
      <c r="S27" s="1104"/>
      <c r="T27" s="1104"/>
      <c r="U27" s="1104"/>
      <c r="V27" s="1104"/>
      <c r="W27" s="1104"/>
      <c r="X27" s="1115"/>
      <c r="Y27" s="33"/>
      <c r="AD27" s="1188"/>
      <c r="AE27" s="1118"/>
      <c r="AF27" s="1122"/>
      <c r="AG27" s="1123"/>
      <c r="AH27" s="24" t="s">
        <v>150</v>
      </c>
      <c r="AI27" s="1104" t="s">
        <v>20</v>
      </c>
      <c r="AJ27" s="1104"/>
      <c r="AK27" s="1104"/>
      <c r="AL27" s="1104"/>
      <c r="AM27" s="1104"/>
      <c r="AN27" s="1104"/>
      <c r="AO27" s="1104"/>
      <c r="AP27" s="1104"/>
      <c r="AQ27" s="1104"/>
      <c r="AR27" s="25" t="s">
        <v>150</v>
      </c>
      <c r="AS27" s="1104" t="s">
        <v>21</v>
      </c>
      <c r="AT27" s="1104"/>
      <c r="AU27" s="1104"/>
      <c r="AV27" s="1104"/>
      <c r="AW27" s="1104"/>
      <c r="AX27" s="1104"/>
      <c r="AY27" s="1104"/>
      <c r="AZ27" s="1104"/>
      <c r="BA27" s="1115"/>
      <c r="BB27" s="33"/>
      <c r="CE27" s="97" t="s">
        <v>187</v>
      </c>
    </row>
    <row r="28" spans="1:83" ht="15.9" customHeight="1">
      <c r="A28" s="1188"/>
      <c r="B28" s="1118"/>
      <c r="C28" s="1122"/>
      <c r="D28" s="1123"/>
      <c r="E28" s="3" t="s">
        <v>280</v>
      </c>
      <c r="F28" s="1104" t="s">
        <v>22</v>
      </c>
      <c r="G28" s="1104"/>
      <c r="H28" s="1104"/>
      <c r="I28" s="1104"/>
      <c r="J28" s="1104"/>
      <c r="K28" s="1104"/>
      <c r="L28" s="1104"/>
      <c r="M28" s="1104"/>
      <c r="N28" s="1104"/>
      <c r="O28" s="4" t="s">
        <v>280</v>
      </c>
      <c r="P28" s="1104" t="s">
        <v>23</v>
      </c>
      <c r="Q28" s="1104"/>
      <c r="R28" s="1104"/>
      <c r="S28" s="1104"/>
      <c r="T28" s="1104"/>
      <c r="U28" s="1104"/>
      <c r="V28" s="1104"/>
      <c r="W28" s="1104"/>
      <c r="X28" s="1115"/>
      <c r="Y28" s="33"/>
      <c r="AD28" s="1188"/>
      <c r="AE28" s="1118"/>
      <c r="AF28" s="1122"/>
      <c r="AG28" s="1123"/>
      <c r="AH28" s="24" t="s">
        <v>125</v>
      </c>
      <c r="AI28" s="1104" t="s">
        <v>22</v>
      </c>
      <c r="AJ28" s="1104"/>
      <c r="AK28" s="1104"/>
      <c r="AL28" s="1104"/>
      <c r="AM28" s="1104"/>
      <c r="AN28" s="1104"/>
      <c r="AO28" s="1104"/>
      <c r="AP28" s="1104"/>
      <c r="AQ28" s="1104"/>
      <c r="AR28" s="25" t="s">
        <v>2</v>
      </c>
      <c r="AS28" s="1104" t="s">
        <v>23</v>
      </c>
      <c r="AT28" s="1104"/>
      <c r="AU28" s="1104"/>
      <c r="AV28" s="1104"/>
      <c r="AW28" s="1104"/>
      <c r="AX28" s="1104"/>
      <c r="AY28" s="1104"/>
      <c r="AZ28" s="1104"/>
      <c r="BA28" s="1115"/>
      <c r="BB28" s="33"/>
      <c r="CE28" s="97" t="s">
        <v>188</v>
      </c>
    </row>
    <row r="29" spans="1:83" ht="15.9" customHeight="1">
      <c r="A29" s="1188"/>
      <c r="B29" s="1118"/>
      <c r="C29" s="1122"/>
      <c r="D29" s="1123"/>
      <c r="E29" s="3" t="s">
        <v>280</v>
      </c>
      <c r="F29" s="1104" t="s">
        <v>24</v>
      </c>
      <c r="G29" s="1104"/>
      <c r="H29" s="1104"/>
      <c r="I29" s="1104"/>
      <c r="J29" s="1104"/>
      <c r="K29" s="1104"/>
      <c r="L29" s="1104"/>
      <c r="M29" s="1104"/>
      <c r="N29" s="1104"/>
      <c r="O29" s="4" t="s">
        <v>280</v>
      </c>
      <c r="P29" s="1104" t="s">
        <v>25</v>
      </c>
      <c r="Q29" s="1104"/>
      <c r="R29" s="1104"/>
      <c r="S29" s="1104"/>
      <c r="T29" s="1104"/>
      <c r="U29" s="1104"/>
      <c r="V29" s="1104"/>
      <c r="W29" s="1104"/>
      <c r="X29" s="1115"/>
      <c r="Y29" s="33"/>
      <c r="AD29" s="1188"/>
      <c r="AE29" s="1118"/>
      <c r="AF29" s="1122"/>
      <c r="AG29" s="1123"/>
      <c r="AH29" s="24" t="s">
        <v>153</v>
      </c>
      <c r="AI29" s="1104" t="s">
        <v>24</v>
      </c>
      <c r="AJ29" s="1104"/>
      <c r="AK29" s="1104"/>
      <c r="AL29" s="1104"/>
      <c r="AM29" s="1104"/>
      <c r="AN29" s="1104"/>
      <c r="AO29" s="1104"/>
      <c r="AP29" s="1104"/>
      <c r="AQ29" s="1104"/>
      <c r="AR29" s="25" t="s">
        <v>150</v>
      </c>
      <c r="AS29" s="1104" t="s">
        <v>25</v>
      </c>
      <c r="AT29" s="1104"/>
      <c r="AU29" s="1104"/>
      <c r="AV29" s="1104"/>
      <c r="AW29" s="1104"/>
      <c r="AX29" s="1104"/>
      <c r="AY29" s="1104"/>
      <c r="AZ29" s="1104"/>
      <c r="BA29" s="1115"/>
      <c r="BB29" s="33"/>
      <c r="CE29" s="97" t="s">
        <v>189</v>
      </c>
    </row>
    <row r="30" spans="1:83" ht="15.9" customHeight="1">
      <c r="A30" s="1188"/>
      <c r="B30" s="1118"/>
      <c r="C30" s="1122"/>
      <c r="D30" s="1123"/>
      <c r="E30" s="3" t="s">
        <v>280</v>
      </c>
      <c r="F30" s="1104" t="s">
        <v>26</v>
      </c>
      <c r="G30" s="1104"/>
      <c r="H30" s="1104"/>
      <c r="I30" s="1104"/>
      <c r="J30" s="1104"/>
      <c r="K30" s="1104"/>
      <c r="L30" s="1104"/>
      <c r="M30" s="1104"/>
      <c r="N30" s="1104"/>
      <c r="O30" s="4" t="s">
        <v>280</v>
      </c>
      <c r="P30" s="1104" t="s">
        <v>27</v>
      </c>
      <c r="Q30" s="1104"/>
      <c r="R30" s="1104"/>
      <c r="S30" s="1104"/>
      <c r="T30" s="1104"/>
      <c r="U30" s="1104"/>
      <c r="V30" s="1104"/>
      <c r="W30" s="1104"/>
      <c r="X30" s="1115"/>
      <c r="Y30" s="33"/>
      <c r="AD30" s="1188"/>
      <c r="AE30" s="1118"/>
      <c r="AF30" s="1122"/>
      <c r="AG30" s="1123"/>
      <c r="AH30" s="24" t="s">
        <v>2</v>
      </c>
      <c r="AI30" s="1104" t="s">
        <v>26</v>
      </c>
      <c r="AJ30" s="1104"/>
      <c r="AK30" s="1104"/>
      <c r="AL30" s="1104"/>
      <c r="AM30" s="1104"/>
      <c r="AN30" s="1104"/>
      <c r="AO30" s="1104"/>
      <c r="AP30" s="1104"/>
      <c r="AQ30" s="1104"/>
      <c r="AR30" s="25" t="s">
        <v>150</v>
      </c>
      <c r="AS30" s="1104" t="s">
        <v>27</v>
      </c>
      <c r="AT30" s="1104"/>
      <c r="AU30" s="1104"/>
      <c r="AV30" s="1104"/>
      <c r="AW30" s="1104"/>
      <c r="AX30" s="1104"/>
      <c r="AY30" s="1104"/>
      <c r="AZ30" s="1104"/>
      <c r="BA30" s="1115"/>
      <c r="BB30" s="33"/>
      <c r="CE30" s="97" t="s">
        <v>190</v>
      </c>
    </row>
    <row r="31" spans="1:83" ht="15.9" customHeight="1">
      <c r="A31" s="1188"/>
      <c r="B31" s="1118"/>
      <c r="C31" s="1122"/>
      <c r="D31" s="1123"/>
      <c r="E31" s="3" t="s">
        <v>280</v>
      </c>
      <c r="F31" s="1104" t="s">
        <v>28</v>
      </c>
      <c r="G31" s="1104"/>
      <c r="H31" s="1104"/>
      <c r="I31" s="1104"/>
      <c r="J31" s="1104"/>
      <c r="K31" s="1104"/>
      <c r="L31" s="1104"/>
      <c r="M31" s="1104"/>
      <c r="N31" s="1104"/>
      <c r="O31" s="4" t="s">
        <v>280</v>
      </c>
      <c r="P31" s="1104" t="s">
        <v>29</v>
      </c>
      <c r="Q31" s="1104"/>
      <c r="R31" s="1104"/>
      <c r="S31" s="1104"/>
      <c r="T31" s="1104"/>
      <c r="U31" s="1104"/>
      <c r="V31" s="1104"/>
      <c r="W31" s="1104"/>
      <c r="X31" s="1115"/>
      <c r="Y31" s="33"/>
      <c r="AD31" s="1188"/>
      <c r="AE31" s="1118"/>
      <c r="AF31" s="1122"/>
      <c r="AG31" s="1123"/>
      <c r="AH31" s="24" t="s">
        <v>150</v>
      </c>
      <c r="AI31" s="1104" t="s">
        <v>28</v>
      </c>
      <c r="AJ31" s="1104"/>
      <c r="AK31" s="1104"/>
      <c r="AL31" s="1104"/>
      <c r="AM31" s="1104"/>
      <c r="AN31" s="1104"/>
      <c r="AO31" s="1104"/>
      <c r="AP31" s="1104"/>
      <c r="AQ31" s="1104"/>
      <c r="AR31" s="25" t="s">
        <v>153</v>
      </c>
      <c r="AS31" s="1104" t="s">
        <v>29</v>
      </c>
      <c r="AT31" s="1104"/>
      <c r="AU31" s="1104"/>
      <c r="AV31" s="1104"/>
      <c r="AW31" s="1104"/>
      <c r="AX31" s="1104"/>
      <c r="AY31" s="1104"/>
      <c r="AZ31" s="1104"/>
      <c r="BA31" s="1115"/>
      <c r="BB31" s="33"/>
      <c r="CE31" s="97" t="s">
        <v>191</v>
      </c>
    </row>
    <row r="32" spans="1:83" ht="15.9" customHeight="1">
      <c r="A32" s="1188"/>
      <c r="B32" s="1118"/>
      <c r="C32" s="1122"/>
      <c r="D32" s="1123"/>
      <c r="E32" s="3" t="s">
        <v>280</v>
      </c>
      <c r="F32" s="1104" t="s">
        <v>30</v>
      </c>
      <c r="G32" s="1104"/>
      <c r="H32" s="1104"/>
      <c r="I32" s="1104"/>
      <c r="J32" s="1104"/>
      <c r="K32" s="1104"/>
      <c r="L32" s="1104"/>
      <c r="M32" s="1104"/>
      <c r="N32" s="1104"/>
      <c r="O32" s="4" t="s">
        <v>280</v>
      </c>
      <c r="P32" s="1104" t="s">
        <v>69</v>
      </c>
      <c r="Q32" s="1104"/>
      <c r="R32" s="1104"/>
      <c r="S32" s="1104"/>
      <c r="T32" s="1104"/>
      <c r="U32" s="1104"/>
      <c r="V32" s="1104"/>
      <c r="W32" s="1104"/>
      <c r="X32" s="1115"/>
      <c r="Y32" s="33"/>
      <c r="AD32" s="1188"/>
      <c r="AE32" s="1118"/>
      <c r="AF32" s="1122"/>
      <c r="AG32" s="1123"/>
      <c r="AH32" s="24" t="s">
        <v>153</v>
      </c>
      <c r="AI32" s="1104" t="s">
        <v>30</v>
      </c>
      <c r="AJ32" s="1104"/>
      <c r="AK32" s="1104"/>
      <c r="AL32" s="1104"/>
      <c r="AM32" s="1104"/>
      <c r="AN32" s="1104"/>
      <c r="AO32" s="1104"/>
      <c r="AP32" s="1104"/>
      <c r="AQ32" s="1104"/>
      <c r="AR32" s="25" t="s">
        <v>150</v>
      </c>
      <c r="AS32" s="1104" t="s">
        <v>69</v>
      </c>
      <c r="AT32" s="1104"/>
      <c r="AU32" s="1104"/>
      <c r="AV32" s="1104"/>
      <c r="AW32" s="1104"/>
      <c r="AX32" s="1104"/>
      <c r="AY32" s="1104"/>
      <c r="AZ32" s="1104"/>
      <c r="BA32" s="1115"/>
      <c r="BB32" s="33"/>
      <c r="CE32" s="97" t="s">
        <v>192</v>
      </c>
    </row>
    <row r="33" spans="1:83" ht="15.9" customHeight="1">
      <c r="A33" s="1188"/>
      <c r="B33" s="1118"/>
      <c r="C33" s="1124"/>
      <c r="D33" s="1125"/>
      <c r="E33" s="3" t="s">
        <v>280</v>
      </c>
      <c r="F33" s="1104" t="s">
        <v>31</v>
      </c>
      <c r="G33" s="1104"/>
      <c r="H33" s="1104"/>
      <c r="I33" s="1104"/>
      <c r="J33" s="1104"/>
      <c r="K33" s="1104"/>
      <c r="L33" s="1104"/>
      <c r="M33" s="1104"/>
      <c r="N33" s="1104"/>
      <c r="O33" s="1105"/>
      <c r="P33" s="1105"/>
      <c r="Q33" s="1105"/>
      <c r="R33" s="1105"/>
      <c r="S33" s="1105"/>
      <c r="T33" s="1105"/>
      <c r="U33" s="1105"/>
      <c r="V33" s="1105"/>
      <c r="W33" s="1105"/>
      <c r="X33" s="1106"/>
      <c r="Y33" s="33"/>
      <c r="AD33" s="1188"/>
      <c r="AE33" s="1118"/>
      <c r="AF33" s="1124"/>
      <c r="AG33" s="1125"/>
      <c r="AH33" s="24" t="s">
        <v>153</v>
      </c>
      <c r="AI33" s="1104" t="s">
        <v>31</v>
      </c>
      <c r="AJ33" s="1104"/>
      <c r="AK33" s="1104"/>
      <c r="AL33" s="1104"/>
      <c r="AM33" s="1104"/>
      <c r="AN33" s="1104"/>
      <c r="AO33" s="1104"/>
      <c r="AP33" s="1104"/>
      <c r="AQ33" s="1104"/>
      <c r="AR33" s="1105"/>
      <c r="AS33" s="1105"/>
      <c r="AT33" s="1105"/>
      <c r="AU33" s="1105"/>
      <c r="AV33" s="1105"/>
      <c r="AW33" s="1105"/>
      <c r="AX33" s="1105"/>
      <c r="AY33" s="1105"/>
      <c r="AZ33" s="1105"/>
      <c r="BA33" s="1106"/>
      <c r="BB33" s="33"/>
      <c r="CE33" s="97" t="s">
        <v>193</v>
      </c>
    </row>
    <row r="34" spans="1:83" ht="24.9" customHeight="1" thickBot="1">
      <c r="A34" s="1188"/>
      <c r="B34" s="1119"/>
      <c r="C34" s="1107" t="s">
        <v>0</v>
      </c>
      <c r="D34" s="1108"/>
      <c r="E34" s="1109"/>
      <c r="F34" s="1110"/>
      <c r="G34" s="1110"/>
      <c r="H34" s="1110"/>
      <c r="I34" s="1110"/>
      <c r="J34" s="1110"/>
      <c r="K34" s="1110"/>
      <c r="L34" s="1110"/>
      <c r="M34" s="1110"/>
      <c r="N34" s="1110"/>
      <c r="O34" s="1110"/>
      <c r="P34" s="1110"/>
      <c r="Q34" s="1110"/>
      <c r="R34" s="1110"/>
      <c r="S34" s="1110"/>
      <c r="T34" s="1110"/>
      <c r="U34" s="1110"/>
      <c r="V34" s="1110"/>
      <c r="W34" s="1110"/>
      <c r="X34" s="1111"/>
      <c r="Y34" s="33"/>
      <c r="AA34" s="71"/>
      <c r="AB34" s="66"/>
      <c r="AC34" s="27"/>
      <c r="AD34" s="1188"/>
      <c r="AE34" s="1119"/>
      <c r="AF34" s="1107" t="s">
        <v>0</v>
      </c>
      <c r="AG34" s="1108"/>
      <c r="AH34" s="1112" t="s">
        <v>126</v>
      </c>
      <c r="AI34" s="1113"/>
      <c r="AJ34" s="1113"/>
      <c r="AK34" s="1113"/>
      <c r="AL34" s="1113"/>
      <c r="AM34" s="1113"/>
      <c r="AN34" s="1113"/>
      <c r="AO34" s="1113"/>
      <c r="AP34" s="1113"/>
      <c r="AQ34" s="1113"/>
      <c r="AR34" s="1113"/>
      <c r="AS34" s="1113"/>
      <c r="AT34" s="1113"/>
      <c r="AU34" s="1113"/>
      <c r="AV34" s="1113"/>
      <c r="AW34" s="1113"/>
      <c r="AX34" s="1113"/>
      <c r="AY34" s="1113"/>
      <c r="AZ34" s="1113"/>
      <c r="BA34" s="1114"/>
      <c r="BB34" s="33"/>
      <c r="CE34" s="97" t="s">
        <v>194</v>
      </c>
    </row>
    <row r="35" spans="1:83" s="8" customFormat="1" ht="20.100000000000001" customHeight="1">
      <c r="A35" s="1188"/>
      <c r="B35" s="1091" t="s">
        <v>195</v>
      </c>
      <c r="C35" s="1092"/>
      <c r="D35" s="1093"/>
      <c r="E35" s="1099" t="s">
        <v>1</v>
      </c>
      <c r="F35" s="1092"/>
      <c r="G35" s="1092"/>
      <c r="H35" s="1100"/>
      <c r="I35" s="1100"/>
      <c r="J35" s="1100"/>
      <c r="K35" s="1100"/>
      <c r="L35" s="1100"/>
      <c r="M35" s="1100"/>
      <c r="N35" s="1100"/>
      <c r="O35" s="1100"/>
      <c r="P35" s="1100"/>
      <c r="Q35" s="1100"/>
      <c r="R35" s="1100"/>
      <c r="S35" s="1100"/>
      <c r="T35" s="1100"/>
      <c r="U35" s="1100"/>
      <c r="V35" s="1100"/>
      <c r="W35" s="1100"/>
      <c r="X35" s="1101"/>
      <c r="Y35" s="28"/>
      <c r="AA35" s="72"/>
      <c r="AB35" s="67"/>
      <c r="AC35" s="57"/>
      <c r="AD35" s="1188"/>
      <c r="AE35" s="1091" t="s">
        <v>196</v>
      </c>
      <c r="AF35" s="1092"/>
      <c r="AG35" s="1093"/>
      <c r="AH35" s="1099" t="s">
        <v>1</v>
      </c>
      <c r="AI35" s="1092"/>
      <c r="AJ35" s="1092"/>
      <c r="AK35" s="1102" t="s">
        <v>143</v>
      </c>
      <c r="AL35" s="1102"/>
      <c r="AM35" s="1102"/>
      <c r="AN35" s="1102"/>
      <c r="AO35" s="1102"/>
      <c r="AP35" s="1102"/>
      <c r="AQ35" s="1102"/>
      <c r="AR35" s="1102"/>
      <c r="AS35" s="1102"/>
      <c r="AT35" s="1102"/>
      <c r="AU35" s="1102"/>
      <c r="AV35" s="1102"/>
      <c r="AW35" s="1102"/>
      <c r="AX35" s="1102"/>
      <c r="AY35" s="1102"/>
      <c r="AZ35" s="1102"/>
      <c r="BA35" s="1103"/>
      <c r="BB35" s="28"/>
      <c r="CE35" s="97" t="s">
        <v>197</v>
      </c>
    </row>
    <row r="36" spans="1:83" s="8" customFormat="1" ht="20.100000000000001" customHeight="1">
      <c r="A36" s="1188"/>
      <c r="B36" s="1094"/>
      <c r="C36" s="1087"/>
      <c r="D36" s="1095"/>
      <c r="E36" s="1086" t="s">
        <v>32</v>
      </c>
      <c r="F36" s="1087"/>
      <c r="G36" s="1087"/>
      <c r="H36" s="148"/>
      <c r="I36" s="118" t="s">
        <v>151</v>
      </c>
      <c r="J36" s="148"/>
      <c r="K36" s="118" t="s">
        <v>151</v>
      </c>
      <c r="L36" s="1088"/>
      <c r="M36" s="1088"/>
      <c r="N36" s="1089"/>
      <c r="O36" s="1089"/>
      <c r="P36" s="1089"/>
      <c r="Q36" s="1089"/>
      <c r="R36" s="1089"/>
      <c r="S36" s="1089"/>
      <c r="T36" s="1089"/>
      <c r="U36" s="1089"/>
      <c r="V36" s="1089"/>
      <c r="W36" s="1089"/>
      <c r="X36" s="1090"/>
      <c r="AA36" s="70"/>
      <c r="AB36" s="112" t="s">
        <v>311</v>
      </c>
      <c r="AC36" s="49"/>
      <c r="AD36" s="1188"/>
      <c r="AE36" s="1094"/>
      <c r="AF36" s="1087"/>
      <c r="AG36" s="1095"/>
      <c r="AH36" s="1086" t="s">
        <v>32</v>
      </c>
      <c r="AI36" s="1087"/>
      <c r="AJ36" s="1087"/>
      <c r="AK36" s="115" t="s">
        <v>198</v>
      </c>
      <c r="AL36" s="116" t="s">
        <v>151</v>
      </c>
      <c r="AM36" s="115" t="s">
        <v>199</v>
      </c>
      <c r="AN36" s="116" t="s">
        <v>158</v>
      </c>
      <c r="AO36" s="1083" t="s">
        <v>200</v>
      </c>
      <c r="AP36" s="1083"/>
      <c r="AQ36" s="1084"/>
      <c r="AR36" s="1084"/>
      <c r="AS36" s="1084"/>
      <c r="AT36" s="1084"/>
      <c r="AU36" s="1084"/>
      <c r="AV36" s="1084"/>
      <c r="AW36" s="1084"/>
      <c r="AX36" s="1084"/>
      <c r="AY36" s="1084"/>
      <c r="AZ36" s="1084"/>
      <c r="BA36" s="1085"/>
      <c r="CE36" s="97" t="s">
        <v>201</v>
      </c>
    </row>
    <row r="37" spans="1:83" s="8" customFormat="1" ht="20.100000000000001" customHeight="1">
      <c r="A37" s="1188"/>
      <c r="B37" s="1094"/>
      <c r="C37" s="1087"/>
      <c r="D37" s="1095"/>
      <c r="E37" s="1086" t="s">
        <v>36</v>
      </c>
      <c r="F37" s="1087"/>
      <c r="G37" s="1087"/>
      <c r="H37" s="148"/>
      <c r="I37" s="118" t="s">
        <v>151</v>
      </c>
      <c r="J37" s="148"/>
      <c r="K37" s="118" t="s">
        <v>151</v>
      </c>
      <c r="L37" s="1088"/>
      <c r="M37" s="1088"/>
      <c r="N37" s="1089"/>
      <c r="O37" s="1089"/>
      <c r="P37" s="1089"/>
      <c r="Q37" s="1089"/>
      <c r="R37" s="1089"/>
      <c r="S37" s="1089"/>
      <c r="T37" s="1089"/>
      <c r="U37" s="1089"/>
      <c r="V37" s="1089"/>
      <c r="W37" s="1089"/>
      <c r="X37" s="1090"/>
      <c r="AA37" s="70"/>
      <c r="AB37" s="112" t="s">
        <v>311</v>
      </c>
      <c r="AC37" s="49"/>
      <c r="AD37" s="1188"/>
      <c r="AE37" s="1094"/>
      <c r="AF37" s="1087"/>
      <c r="AG37" s="1095"/>
      <c r="AH37" s="1086" t="s">
        <v>36</v>
      </c>
      <c r="AI37" s="1087"/>
      <c r="AJ37" s="1087"/>
      <c r="AK37" s="115" t="s">
        <v>202</v>
      </c>
      <c r="AL37" s="116" t="s">
        <v>82</v>
      </c>
      <c r="AM37" s="115" t="s">
        <v>203</v>
      </c>
      <c r="AN37" s="116" t="s">
        <v>151</v>
      </c>
      <c r="AO37" s="1083" t="s">
        <v>204</v>
      </c>
      <c r="AP37" s="1083"/>
      <c r="AQ37" s="1084"/>
      <c r="AR37" s="1084"/>
      <c r="AS37" s="1084"/>
      <c r="AT37" s="1084"/>
      <c r="AU37" s="1084"/>
      <c r="AV37" s="1084"/>
      <c r="AW37" s="1084"/>
      <c r="AX37" s="1084"/>
      <c r="AY37" s="1084"/>
      <c r="AZ37" s="1084"/>
      <c r="BA37" s="1085"/>
      <c r="CE37" s="97" t="s">
        <v>205</v>
      </c>
    </row>
    <row r="38" spans="1:83" s="8" customFormat="1" ht="20.100000000000001" customHeight="1">
      <c r="A38" s="1188"/>
      <c r="B38" s="1096"/>
      <c r="C38" s="1097"/>
      <c r="D38" s="1098"/>
      <c r="E38" s="1071" t="s">
        <v>33</v>
      </c>
      <c r="F38" s="1072"/>
      <c r="G38" s="1072"/>
      <c r="H38" s="1073"/>
      <c r="I38" s="1074"/>
      <c r="J38" s="1074"/>
      <c r="K38" s="1074"/>
      <c r="L38" s="1074"/>
      <c r="M38" s="1074"/>
      <c r="N38" s="1074"/>
      <c r="O38" s="1074"/>
      <c r="P38" s="1074"/>
      <c r="Q38" s="1074"/>
      <c r="R38" s="1074"/>
      <c r="S38" s="1074"/>
      <c r="T38" s="1074"/>
      <c r="U38" s="1074"/>
      <c r="V38" s="1074"/>
      <c r="W38" s="1074"/>
      <c r="X38" s="1075"/>
      <c r="AA38" s="70"/>
      <c r="AB38" s="65"/>
      <c r="AC38" s="49"/>
      <c r="AD38" s="1188"/>
      <c r="AE38" s="1096"/>
      <c r="AF38" s="1097"/>
      <c r="AG38" s="1098"/>
      <c r="AH38" s="1071" t="s">
        <v>33</v>
      </c>
      <c r="AI38" s="1072"/>
      <c r="AJ38" s="1072"/>
      <c r="AK38" s="1076" t="s">
        <v>206</v>
      </c>
      <c r="AL38" s="1076"/>
      <c r="AM38" s="1076"/>
      <c r="AN38" s="1076"/>
      <c r="AO38" s="1076"/>
      <c r="AP38" s="1076"/>
      <c r="AQ38" s="1076"/>
      <c r="AR38" s="1076"/>
      <c r="AS38" s="1076"/>
      <c r="AT38" s="1076"/>
      <c r="AU38" s="1076"/>
      <c r="AV38" s="1076"/>
      <c r="AW38" s="1076"/>
      <c r="AX38" s="1076"/>
      <c r="AY38" s="1076"/>
      <c r="AZ38" s="1076"/>
      <c r="BA38" s="1077"/>
      <c r="CE38" s="97" t="s">
        <v>207</v>
      </c>
    </row>
    <row r="39" spans="1:83" s="8" customFormat="1">
      <c r="B39" s="1078"/>
      <c r="C39" s="1078"/>
      <c r="D39" s="1078"/>
      <c r="E39" s="1078"/>
      <c r="F39" s="1078"/>
      <c r="G39" s="1078"/>
      <c r="H39" s="1078"/>
      <c r="I39" s="1078"/>
      <c r="J39" s="1078"/>
      <c r="K39" s="1078"/>
      <c r="L39" s="1078"/>
      <c r="M39" s="1078"/>
      <c r="N39" s="1078"/>
      <c r="O39" s="1078"/>
      <c r="P39" s="1078"/>
      <c r="Q39" s="1078"/>
      <c r="R39" s="1078"/>
      <c r="S39" s="1078"/>
      <c r="T39" s="1078"/>
      <c r="U39" s="1078"/>
      <c r="V39" s="1078"/>
      <c r="W39" s="1078"/>
      <c r="X39" s="1078"/>
      <c r="AA39" s="70"/>
      <c r="AB39" s="65"/>
      <c r="AC39" s="49"/>
      <c r="AE39" s="1078"/>
      <c r="AF39" s="1078"/>
      <c r="AG39" s="1078"/>
      <c r="AH39" s="1078"/>
      <c r="AI39" s="1078"/>
      <c r="AJ39" s="1078"/>
      <c r="AK39" s="1078"/>
      <c r="AL39" s="1078"/>
      <c r="AM39" s="1078"/>
      <c r="AN39" s="1078"/>
      <c r="AO39" s="1078"/>
      <c r="AP39" s="1078"/>
      <c r="AQ39" s="1078"/>
      <c r="AR39" s="1078"/>
      <c r="AS39" s="1078"/>
      <c r="AT39" s="1078"/>
      <c r="AU39" s="1078"/>
      <c r="AV39" s="1078"/>
      <c r="AW39" s="1078"/>
      <c r="AX39" s="1078"/>
      <c r="AY39" s="1078"/>
      <c r="AZ39" s="1078"/>
      <c r="BA39" s="1078"/>
      <c r="CE39" s="97" t="s">
        <v>208</v>
      </c>
    </row>
    <row r="40" spans="1:83" ht="90" customHeight="1">
      <c r="B40" s="29" t="s">
        <v>37</v>
      </c>
      <c r="C40" s="1065"/>
      <c r="D40" s="1065"/>
      <c r="E40" s="1065"/>
      <c r="F40" s="1065"/>
      <c r="G40" s="29" t="s">
        <v>38</v>
      </c>
      <c r="H40" s="1066" t="s">
        <v>209</v>
      </c>
      <c r="I40" s="1082"/>
      <c r="J40" s="1082"/>
      <c r="K40" s="1082"/>
      <c r="L40" s="1082"/>
      <c r="M40" s="1082"/>
      <c r="N40" s="1082"/>
      <c r="O40" s="1079" t="s">
        <v>309</v>
      </c>
      <c r="P40" s="1080"/>
      <c r="Q40" s="1080"/>
      <c r="R40" s="1080"/>
      <c r="S40" s="1080"/>
      <c r="T40" s="1080"/>
      <c r="U40" s="1080"/>
      <c r="V40" s="1080"/>
      <c r="W40" s="1080"/>
      <c r="X40" s="1081"/>
      <c r="AE40" s="29" t="s">
        <v>37</v>
      </c>
      <c r="AF40" s="1065"/>
      <c r="AG40" s="1065"/>
      <c r="AH40" s="1065"/>
      <c r="AI40" s="1065"/>
      <c r="AJ40" s="29" t="s">
        <v>38</v>
      </c>
      <c r="AK40" s="1066" t="s">
        <v>210</v>
      </c>
      <c r="AL40" s="1067"/>
      <c r="AM40" s="1067"/>
      <c r="AN40" s="1067"/>
      <c r="AO40" s="1067"/>
      <c r="AP40" s="1067"/>
      <c r="AQ40" s="1067"/>
      <c r="AR40" s="1067"/>
      <c r="AS40" s="1068" t="s">
        <v>307</v>
      </c>
      <c r="AT40" s="1069"/>
      <c r="AU40" s="1069"/>
      <c r="AV40" s="1069"/>
      <c r="AW40" s="1069"/>
      <c r="AX40" s="1069"/>
      <c r="AY40" s="1069"/>
      <c r="AZ40" s="1069"/>
      <c r="BA40" s="1070"/>
      <c r="CE40" s="97" t="s">
        <v>211</v>
      </c>
    </row>
    <row r="41" spans="1:83">
      <c r="C41" s="30"/>
      <c r="D41" s="30"/>
      <c r="E41" s="30"/>
      <c r="F41" s="30"/>
      <c r="G41" s="30"/>
      <c r="H41" s="30"/>
      <c r="I41" s="30"/>
      <c r="J41" s="30"/>
      <c r="K41" s="30"/>
      <c r="L41" s="30"/>
      <c r="M41" s="30"/>
      <c r="N41" s="30"/>
      <c r="O41" s="30"/>
      <c r="P41" s="30"/>
      <c r="Q41" s="30"/>
      <c r="R41" s="46"/>
      <c r="S41" s="46"/>
      <c r="AF41" s="30"/>
      <c r="AG41" s="30"/>
      <c r="AH41" s="30"/>
      <c r="AI41" s="30"/>
      <c r="AJ41" s="30"/>
      <c r="AK41" s="30"/>
      <c r="AL41" s="30"/>
      <c r="AM41" s="30"/>
      <c r="AN41" s="30"/>
      <c r="AO41" s="30"/>
      <c r="AP41" s="30"/>
      <c r="AQ41" s="30"/>
      <c r="AR41" s="30"/>
      <c r="AS41" s="30"/>
      <c r="AT41" s="30"/>
      <c r="AU41" s="46"/>
      <c r="AV41" s="46"/>
      <c r="CE41" s="97" t="s">
        <v>212</v>
      </c>
    </row>
    <row r="42" spans="1:83">
      <c r="CE42" s="97" t="s">
        <v>213</v>
      </c>
    </row>
    <row r="43" spans="1:83">
      <c r="CE43" s="97" t="s">
        <v>214</v>
      </c>
    </row>
    <row r="44" spans="1:83">
      <c r="CE44" s="97" t="s">
        <v>215</v>
      </c>
    </row>
    <row r="45" spans="1:83">
      <c r="CE45" s="97" t="s">
        <v>216</v>
      </c>
    </row>
    <row r="46" spans="1:83">
      <c r="CE46" s="97" t="s">
        <v>217</v>
      </c>
    </row>
    <row r="47" spans="1:83">
      <c r="CE47" s="97" t="s">
        <v>218</v>
      </c>
    </row>
    <row r="48" spans="1:83">
      <c r="CE48" s="97" t="s">
        <v>219</v>
      </c>
    </row>
    <row r="49" spans="83:83">
      <c r="CE49" s="97" t="s">
        <v>220</v>
      </c>
    </row>
    <row r="50" spans="83:83">
      <c r="CE50" s="97" t="s">
        <v>221</v>
      </c>
    </row>
    <row r="51" spans="83:83">
      <c r="CE51" s="97" t="s">
        <v>222</v>
      </c>
    </row>
    <row r="52" spans="83:83">
      <c r="CE52" s="97" t="s">
        <v>223</v>
      </c>
    </row>
    <row r="53" spans="83:83">
      <c r="CE53" s="97" t="s">
        <v>224</v>
      </c>
    </row>
    <row r="54" spans="83:83">
      <c r="CE54" s="97" t="s">
        <v>225</v>
      </c>
    </row>
    <row r="55" spans="83:83">
      <c r="CE55" s="97" t="s">
        <v>226</v>
      </c>
    </row>
    <row r="56" spans="83:83">
      <c r="CE56" s="97" t="s">
        <v>227</v>
      </c>
    </row>
    <row r="57" spans="83:83">
      <c r="CE57" s="97" t="s">
        <v>228</v>
      </c>
    </row>
    <row r="58" spans="83:83">
      <c r="CE58" s="97" t="s">
        <v>229</v>
      </c>
    </row>
    <row r="59" spans="83:83">
      <c r="CE59" s="97" t="s">
        <v>230</v>
      </c>
    </row>
    <row r="60" spans="83:83">
      <c r="CE60" s="97" t="s">
        <v>231</v>
      </c>
    </row>
    <row r="61" spans="83:83">
      <c r="CE61" s="97" t="s">
        <v>232</v>
      </c>
    </row>
    <row r="62" spans="83:83">
      <c r="CE62" s="97" t="s">
        <v>233</v>
      </c>
    </row>
    <row r="63" spans="83:83">
      <c r="CE63" s="97" t="s">
        <v>234</v>
      </c>
    </row>
    <row r="64" spans="83:83">
      <c r="CE64" s="97" t="s">
        <v>235</v>
      </c>
    </row>
    <row r="65" spans="83:83">
      <c r="CE65" s="97" t="s">
        <v>236</v>
      </c>
    </row>
    <row r="66" spans="83:83">
      <c r="CE66" s="97" t="s">
        <v>237</v>
      </c>
    </row>
    <row r="67" spans="83:83">
      <c r="CE67" s="97" t="s">
        <v>238</v>
      </c>
    </row>
    <row r="68" spans="83:83">
      <c r="CE68" s="97" t="s">
        <v>239</v>
      </c>
    </row>
    <row r="69" spans="83:83">
      <c r="CE69" s="97" t="s">
        <v>240</v>
      </c>
    </row>
    <row r="70" spans="83:83">
      <c r="CE70" s="97" t="s">
        <v>241</v>
      </c>
    </row>
    <row r="71" spans="83:83">
      <c r="CE71" s="97" t="s">
        <v>242</v>
      </c>
    </row>
    <row r="72" spans="83:83">
      <c r="CE72" s="97" t="s">
        <v>243</v>
      </c>
    </row>
    <row r="73" spans="83:83">
      <c r="CE73" s="97" t="s">
        <v>244</v>
      </c>
    </row>
    <row r="74" spans="83:83">
      <c r="CE74" s="97" t="s">
        <v>245</v>
      </c>
    </row>
    <row r="75" spans="83:83">
      <c r="CE75" s="97" t="s">
        <v>246</v>
      </c>
    </row>
    <row r="76" spans="83:83">
      <c r="CE76" s="97" t="s">
        <v>247</v>
      </c>
    </row>
    <row r="77" spans="83:83">
      <c r="CE77" s="97" t="s">
        <v>248</v>
      </c>
    </row>
    <row r="78" spans="83:83">
      <c r="CE78" s="97" t="s">
        <v>249</v>
      </c>
    </row>
    <row r="79" spans="83:83">
      <c r="CE79" s="97" t="s">
        <v>250</v>
      </c>
    </row>
    <row r="80" spans="83:83">
      <c r="CE80" s="97" t="s">
        <v>251</v>
      </c>
    </row>
    <row r="81" spans="83:83">
      <c r="CE81" s="97" t="s">
        <v>252</v>
      </c>
    </row>
    <row r="82" spans="83:83">
      <c r="CE82" s="97" t="s">
        <v>253</v>
      </c>
    </row>
    <row r="83" spans="83:83">
      <c r="CE83" s="97" t="s">
        <v>254</v>
      </c>
    </row>
    <row r="84" spans="83:83">
      <c r="CE84" s="97" t="s">
        <v>255</v>
      </c>
    </row>
    <row r="85" spans="83:83">
      <c r="CE85" s="97" t="s">
        <v>256</v>
      </c>
    </row>
    <row r="86" spans="83:83">
      <c r="CE86" s="97" t="s">
        <v>257</v>
      </c>
    </row>
    <row r="87" spans="83:83">
      <c r="CE87" s="97" t="s">
        <v>258</v>
      </c>
    </row>
    <row r="88" spans="83:83">
      <c r="CE88" s="97" t="s">
        <v>259</v>
      </c>
    </row>
    <row r="89" spans="83:83">
      <c r="CE89" s="97" t="s">
        <v>260</v>
      </c>
    </row>
    <row r="90" spans="83:83">
      <c r="CE90" s="97" t="s">
        <v>261</v>
      </c>
    </row>
    <row r="91" spans="83:83">
      <c r="CE91" s="97" t="s">
        <v>262</v>
      </c>
    </row>
    <row r="92" spans="83:83">
      <c r="CE92" s="97" t="s">
        <v>263</v>
      </c>
    </row>
    <row r="93" spans="83:83">
      <c r="CE93" s="97" t="s">
        <v>264</v>
      </c>
    </row>
    <row r="94" spans="83:83">
      <c r="CE94" s="97" t="s">
        <v>265</v>
      </c>
    </row>
    <row r="95" spans="83:83">
      <c r="CE95" s="97" t="s">
        <v>266</v>
      </c>
    </row>
    <row r="96" spans="83:83">
      <c r="CE96" s="97" t="s">
        <v>267</v>
      </c>
    </row>
    <row r="97" spans="83:83">
      <c r="CE97" s="97" t="s">
        <v>268</v>
      </c>
    </row>
    <row r="98" spans="83:83">
      <c r="CE98" s="97" t="s">
        <v>269</v>
      </c>
    </row>
    <row r="99" spans="83:83">
      <c r="CE99" s="97" t="s">
        <v>270</v>
      </c>
    </row>
  </sheetData>
  <sheetProtection algorithmName="SHA-512" hashValue="/hkxTZHknyyx4CA+yzNxs9/GthK4XYDUoUCvD5pM8YYQkU1Vb0iJUgGXKeeLd07faGWylYzTN+AWNx7boauOnA==" saltValue="PpgD+g+08GnMG2DD16QjCQ==" spinCount="100000" sheet="1" formatCells="0"/>
  <mergeCells count="160">
    <mergeCell ref="AE6:AT6"/>
    <mergeCell ref="A1:X1"/>
    <mergeCell ref="AD1:BA1"/>
    <mergeCell ref="A2:X2"/>
    <mergeCell ref="AD2:BA2"/>
    <mergeCell ref="A3:X3"/>
    <mergeCell ref="AD3:BA3"/>
    <mergeCell ref="A4:X4"/>
    <mergeCell ref="AD4:BA4"/>
    <mergeCell ref="A5:A14"/>
    <mergeCell ref="B5:X5"/>
    <mergeCell ref="AD5:AD14"/>
    <mergeCell ref="AE5:BA5"/>
    <mergeCell ref="B6:Q6"/>
    <mergeCell ref="R6:S6"/>
    <mergeCell ref="AU6:AV6"/>
    <mergeCell ref="B7:X7"/>
    <mergeCell ref="B9:L10"/>
    <mergeCell ref="M9:W9"/>
    <mergeCell ref="AE9:AO10"/>
    <mergeCell ref="AP9:AZ9"/>
    <mergeCell ref="M10:W10"/>
    <mergeCell ref="AP10:AZ10"/>
    <mergeCell ref="AE7:BA7"/>
    <mergeCell ref="B8:L8"/>
    <mergeCell ref="M8:N8"/>
    <mergeCell ref="Q8:X8"/>
    <mergeCell ref="AE8:AO8"/>
    <mergeCell ref="AP8:AQ8"/>
    <mergeCell ref="AT8:BA8"/>
    <mergeCell ref="B13:X13"/>
    <mergeCell ref="AE13:BA13"/>
    <mergeCell ref="B14:X14"/>
    <mergeCell ref="AE14:BA14"/>
    <mergeCell ref="A15:X15"/>
    <mergeCell ref="AD15:BA15"/>
    <mergeCell ref="B11:L12"/>
    <mergeCell ref="M11:W11"/>
    <mergeCell ref="AE11:AO12"/>
    <mergeCell ref="AP11:AZ11"/>
    <mergeCell ref="M12:W12"/>
    <mergeCell ref="AP12:AZ12"/>
    <mergeCell ref="A16:A38"/>
    <mergeCell ref="B16:D16"/>
    <mergeCell ref="E16:X16"/>
    <mergeCell ref="AD16:AD38"/>
    <mergeCell ref="AE16:AG16"/>
    <mergeCell ref="AH16:BA16"/>
    <mergeCell ref="B17:D17"/>
    <mergeCell ref="E17:X17"/>
    <mergeCell ref="AE17:AG17"/>
    <mergeCell ref="AH17:BA17"/>
    <mergeCell ref="AH18:AH19"/>
    <mergeCell ref="AI18:AT19"/>
    <mergeCell ref="AU18:AV21"/>
    <mergeCell ref="AW18:AZ18"/>
    <mergeCell ref="U19:W19"/>
    <mergeCell ref="AX19:AZ19"/>
    <mergeCell ref="T20:W20"/>
    <mergeCell ref="AH20:AH21"/>
    <mergeCell ref="AI20:AT21"/>
    <mergeCell ref="AW20:AZ20"/>
    <mergeCell ref="T18:W18"/>
    <mergeCell ref="AE18:AG23"/>
    <mergeCell ref="U21:W21"/>
    <mergeCell ref="AX21:AZ21"/>
    <mergeCell ref="E22:E23"/>
    <mergeCell ref="F22:P23"/>
    <mergeCell ref="Q22:S23"/>
    <mergeCell ref="T22:W22"/>
    <mergeCell ref="AH22:AH23"/>
    <mergeCell ref="AI22:AT23"/>
    <mergeCell ref="AU22:AV23"/>
    <mergeCell ref="AW22:AZ22"/>
    <mergeCell ref="U23:W23"/>
    <mergeCell ref="Q18:S21"/>
    <mergeCell ref="E20:E21"/>
    <mergeCell ref="F20:P21"/>
    <mergeCell ref="P25:X25"/>
    <mergeCell ref="AI25:AQ25"/>
    <mergeCell ref="AS25:BA25"/>
    <mergeCell ref="F26:N26"/>
    <mergeCell ref="P26:X26"/>
    <mergeCell ref="AI26:AQ26"/>
    <mergeCell ref="AS26:BA26"/>
    <mergeCell ref="AX23:AZ23"/>
    <mergeCell ref="B24:B34"/>
    <mergeCell ref="C24:D33"/>
    <mergeCell ref="F24:N24"/>
    <mergeCell ref="P24:X24"/>
    <mergeCell ref="AE24:AE34"/>
    <mergeCell ref="AF24:AG33"/>
    <mergeCell ref="AI24:AQ24"/>
    <mergeCell ref="AS24:BA24"/>
    <mergeCell ref="F25:N25"/>
    <mergeCell ref="B18:D23"/>
    <mergeCell ref="E18:E19"/>
    <mergeCell ref="F18:P19"/>
    <mergeCell ref="F29:N29"/>
    <mergeCell ref="P29:X29"/>
    <mergeCell ref="AI29:AQ29"/>
    <mergeCell ref="AS29:BA29"/>
    <mergeCell ref="F30:N30"/>
    <mergeCell ref="P30:X30"/>
    <mergeCell ref="AI30:AQ30"/>
    <mergeCell ref="AS30:BA30"/>
    <mergeCell ref="F27:N27"/>
    <mergeCell ref="P27:X27"/>
    <mergeCell ref="AI27:AQ27"/>
    <mergeCell ref="AS27:BA27"/>
    <mergeCell ref="F28:N28"/>
    <mergeCell ref="P28:X28"/>
    <mergeCell ref="AI28:AQ28"/>
    <mergeCell ref="AS28:BA28"/>
    <mergeCell ref="F33:N33"/>
    <mergeCell ref="O33:X33"/>
    <mergeCell ref="AI33:AQ33"/>
    <mergeCell ref="AR33:BA33"/>
    <mergeCell ref="C34:D34"/>
    <mergeCell ref="E34:X34"/>
    <mergeCell ref="AF34:AG34"/>
    <mergeCell ref="AH34:BA34"/>
    <mergeCell ref="F31:N31"/>
    <mergeCell ref="P31:X31"/>
    <mergeCell ref="AI31:AQ31"/>
    <mergeCell ref="AS31:BA31"/>
    <mergeCell ref="F32:N32"/>
    <mergeCell ref="P32:X32"/>
    <mergeCell ref="AI32:AQ32"/>
    <mergeCell ref="AS32:BA32"/>
    <mergeCell ref="AO36:AP36"/>
    <mergeCell ref="AQ36:BA36"/>
    <mergeCell ref="E37:G37"/>
    <mergeCell ref="L37:M37"/>
    <mergeCell ref="N37:X37"/>
    <mergeCell ref="AH37:AJ37"/>
    <mergeCell ref="AO37:AP37"/>
    <mergeCell ref="AQ37:BA37"/>
    <mergeCell ref="B35:D38"/>
    <mergeCell ref="E35:G35"/>
    <mergeCell ref="H35:X35"/>
    <mergeCell ref="AE35:AG38"/>
    <mergeCell ref="AH35:AJ35"/>
    <mergeCell ref="AK35:BA35"/>
    <mergeCell ref="E36:G36"/>
    <mergeCell ref="L36:M36"/>
    <mergeCell ref="N36:X36"/>
    <mergeCell ref="AH36:AJ36"/>
    <mergeCell ref="C40:F40"/>
    <mergeCell ref="AF40:AI40"/>
    <mergeCell ref="AK40:AR40"/>
    <mergeCell ref="AS40:BA40"/>
    <mergeCell ref="E38:G38"/>
    <mergeCell ref="H38:X38"/>
    <mergeCell ref="AH38:AJ38"/>
    <mergeCell ref="AK38:BA38"/>
    <mergeCell ref="B39:X39"/>
    <mergeCell ref="AE39:BA39"/>
    <mergeCell ref="O40:X40"/>
    <mergeCell ref="H40:N40"/>
  </mergeCells>
  <phoneticPr fontId="4"/>
  <conditionalFormatting sqref="E18:E21">
    <cfRule type="expression" dxfId="8" priority="8">
      <formula>AND($E$18="■",$E$20="■")</formula>
    </cfRule>
  </conditionalFormatting>
  <conditionalFormatting sqref="Y18:Y19">
    <cfRule type="expression" dxfId="7" priority="5">
      <formula>AND($E$18="■",$Y$18="",$Y$19="")</formula>
    </cfRule>
    <cfRule type="expression" dxfId="6" priority="6">
      <formula>AND($Y$18="○",$Y$19="○")</formula>
    </cfRule>
  </conditionalFormatting>
  <conditionalFormatting sqref="Y20:Y21">
    <cfRule type="expression" dxfId="5" priority="3">
      <formula>AND($E$20="■",$Y$20="",$Y$21="")</formula>
    </cfRule>
    <cfRule type="expression" dxfId="4" priority="4">
      <formula>AND($Y$20="○",$Y$21="○")</formula>
    </cfRule>
  </conditionalFormatting>
  <conditionalFormatting sqref="Y22:Y23">
    <cfRule type="expression" dxfId="3" priority="1">
      <formula>AND($E$22="■",$Y$22="",$Y$23="")</formula>
    </cfRule>
    <cfRule type="expression" dxfId="2" priority="2">
      <formula>AND($Y$22="○",$Y$23="○")</formula>
    </cfRule>
  </conditionalFormatting>
  <dataValidations count="25">
    <dataValidation imeMode="halfAlpha" allowBlank="1" showInputMessage="1" showErrorMessage="1" sqref="T22:W22 U21:W21 U23:W23 H38:X38 T18:W18 U19:W19 T20:W20" xr:uid="{00000000-0002-0000-0500-000000000000}"/>
    <dataValidation type="list" allowBlank="1" showInputMessage="1" showErrorMessage="1" sqref="E34:X34" xr:uid="{00000000-0002-0000-0500-000001000000}">
      <formula1>$CE$1:$CE$99</formula1>
    </dataValidation>
    <dataValidation type="list" allowBlank="1" showInputMessage="1" showErrorMessage="1" sqref="O24:O32 E24:E33" xr:uid="{00000000-0002-0000-0500-000002000000}">
      <formula1>$CD$1:$CD$2</formula1>
    </dataValidation>
    <dataValidation imeMode="halfAlpha" allowBlank="1" showInputMessage="1" showErrorMessage="1" prompt="半角数字で入力" sqref="K36:K37 I36:I37" xr:uid="{00000000-0002-0000-0500-000003000000}"/>
    <dataValidation type="list" allowBlank="1" showInputMessage="1" showErrorMessage="1" sqref="BB18:BB23 Y18:Y23" xr:uid="{00000000-0002-0000-0500-000004000000}">
      <formula1>"○"</formula1>
    </dataValidation>
    <dataValidation allowBlank="1" showInputMessage="1" showErrorMessage="1" prompt="社として、本制度の問い合わせや本県からの案内を受け取られるところをご記入ください。（委託先でも可）" sqref="AK35:BA35" xr:uid="{00000000-0002-0000-0500-000005000000}"/>
    <dataValidation allowBlank="1" showInputMessage="1" showErrorMessage="1" prompt="半角で入力してください。" sqref="AK38:BA38" xr:uid="{00000000-0002-0000-0500-000006000000}"/>
    <dataValidation allowBlank="1" showInputMessage="1" showErrorMessage="1" prompt="横浜市及び川崎市を除いた区域の使用台数の合計を半角数字で入力してください。" sqref="AX23:AZ23" xr:uid="{00000000-0002-0000-0500-000007000000}"/>
    <dataValidation allowBlank="1" showInputMessage="1" showErrorMessage="1" prompt="県内の使用台数の合計を半角数字で入力してください。" sqref="AW22:AZ22" xr:uid="{00000000-0002-0000-0500-000008000000}"/>
    <dataValidation allowBlank="1" showInputMessage="1" showErrorMessage="1" prompt="横浜市及び川崎市を除いた区域のエネルギー量の合計を半角数字で入力してください。" sqref="AX21:AZ21 AX19:AZ19" xr:uid="{00000000-0002-0000-0500-000009000000}"/>
    <dataValidation allowBlank="1" showInputMessage="1" showErrorMessage="1" prompt="県内のエネルギー量の合計を半角数字で入力してください。" sqref="AW20:AZ20 AW18:AZ18" xr:uid="{00000000-0002-0000-0500-00000A000000}"/>
    <dataValidation type="list" allowBlank="1" showInputMessage="1" showErrorMessage="1" promptTitle="プルダウン選択" prompt="該当する場合に■を選択してください。" sqref="AH18:AH23" xr:uid="{00000000-0002-0000-0500-00000B000000}">
      <formula1>$CD$1:$CD$2</formula1>
    </dataValidation>
    <dataValidation allowBlank="1" showInputMessage="1" showErrorMessage="1" prompt="法人の場合、2行目に代表者名をご記入ください（全角の場合は22文字以内）。" sqref="AP12:AZ12" xr:uid="{00000000-0002-0000-0500-00000C000000}"/>
    <dataValidation allowBlank="1" showInputMessage="1" showErrorMessage="1" prompt="法人の場合、1行目に法人名をご記入ください（全角の場合は22文字以内）。" sqref="AP11:AZ11" xr:uid="{00000000-0002-0000-0500-00000D000000}"/>
    <dataValidation allowBlank="1" showInputMessage="1" showErrorMessage="1" prompt="2行目に入居ビル等をご記入ください（全角の場合は22文字以内）。" sqref="AP10:AZ10" xr:uid="{00000000-0002-0000-0500-00000E000000}"/>
    <dataValidation allowBlank="1" showInputMessage="1" showErrorMessage="1" prompt="1行目に住所をご記入ください（全角の場合は22文字以内）。" sqref="AP9:AZ9" xr:uid="{00000000-0002-0000-0500-00000F000000}"/>
    <dataValidation allowBlank="1" showInputMessage="1" showErrorMessage="1" prompt="半角数字で入力してください。" sqref="AM36:AM37 AS8 AP8:AQ8 AK36:AK37 AO36:AP37" xr:uid="{00000000-0002-0000-0500-000010000000}"/>
    <dataValidation type="list" allowBlank="1" showInputMessage="1" showErrorMessage="1" promptTitle="プルダウン選択" prompt="該当する中分類を選択してください。" sqref="AH34:BA34" xr:uid="{00000000-0002-0000-0500-000011000000}">
      <formula1>$CE$1:$CE$99</formula1>
    </dataValidation>
    <dataValidation type="list" allowBlank="1" showInputMessage="1" showErrorMessage="1" promptTitle="プルダウン選択" prompt="該当する大分類を一つだけ選び、■を選択してください。" sqref="AR24:AR32 AH24:AH33" xr:uid="{00000000-0002-0000-0500-000012000000}">
      <formula1>$CD$1:$CD$2</formula1>
    </dataValidation>
    <dataValidation type="whole" imeMode="halfAlpha" allowBlank="1" showInputMessage="1" showErrorMessage="1" sqref="U6" xr:uid="{00000000-0002-0000-0500-000013000000}">
      <formula1>1</formula1>
      <formula2>12</formula2>
    </dataValidation>
    <dataValidation type="whole" imeMode="halfAlpha" allowBlank="1" showInputMessage="1" showErrorMessage="1" sqref="W6" xr:uid="{00000000-0002-0000-0500-000014000000}">
      <formula1>1</formula1>
      <formula2>31</formula2>
    </dataValidation>
    <dataValidation type="custom" imeMode="off" allowBlank="1" showInputMessage="1" showErrorMessage="1" sqref="M8:N8" xr:uid="{00000000-0002-0000-0500-000015000000}">
      <formula1>OR(LENB(M8)=0,LENB(M8)=3)</formula1>
    </dataValidation>
    <dataValidation type="custom" imeMode="off" allowBlank="1" showInputMessage="1" showErrorMessage="1" sqref="P8" xr:uid="{00000000-0002-0000-0500-000016000000}">
      <formula1>OR(LENB(P8)=0,LENB(P8)=4)</formula1>
    </dataValidation>
    <dataValidation type="custom" imeMode="off" allowBlank="1" showInputMessage="1" showErrorMessage="1" sqref="H36:H37 J36:J37 L36:M37" xr:uid="{00000000-0002-0000-0500-000017000000}">
      <formula1>NOT(COUNTIF(H36,"* *"))</formula1>
    </dataValidation>
    <dataValidation type="whole" imeMode="halfAlpha" operator="greaterThanOrEqual" allowBlank="1" showInputMessage="1" showErrorMessage="1" sqref="R6:S6" xr:uid="{00000000-0002-0000-0500-000018000000}">
      <formula1>LEFT(Z1,4)+1-1</formula1>
    </dataValidation>
  </dataValidations>
  <hyperlinks>
    <hyperlink ref="AK38" r:id="rId1" xr:uid="{00000000-0004-0000-0500-000000000000}"/>
  </hyperlinks>
  <printOptions horizontalCentered="1"/>
  <pageMargins left="0.70866141732283472" right="0.70866141732283472" top="0.74803149606299213" bottom="0.74803149606299213" header="0.31496062992125984" footer="0.31496062992125984"/>
  <pageSetup paperSize="9" scale="98" orientation="portrait" r:id="rId2"/>
  <headerFooter alignWithMargins="0">
    <oddFooter xml:space="preserve">&amp;R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180" r:id="rId5" name="Check Box 60">
              <controlPr defaultSize="0" autoFill="0" autoLine="0" autoPict="0">
                <anchor moveWithCells="1">
                  <from>
                    <xdr:col>25</xdr:col>
                    <xdr:colOff>220980</xdr:colOff>
                    <xdr:row>4</xdr:row>
                    <xdr:rowOff>30480</xdr:rowOff>
                  </from>
                  <to>
                    <xdr:col>25</xdr:col>
                    <xdr:colOff>502920</xdr:colOff>
                    <xdr:row>5</xdr:row>
                    <xdr:rowOff>182880</xdr:rowOff>
                  </to>
                </anchor>
              </controlPr>
            </control>
          </mc:Choice>
        </mc:AlternateContent>
        <mc:AlternateContent xmlns:mc="http://schemas.openxmlformats.org/markup-compatibility/2006">
          <mc:Choice Requires="x14">
            <control shapeId="5181" r:id="rId6" name="Check Box 61">
              <controlPr defaultSize="0" autoFill="0" autoLine="0" autoPict="0">
                <anchor moveWithCells="1">
                  <from>
                    <xdr:col>25</xdr:col>
                    <xdr:colOff>312420</xdr:colOff>
                    <xdr:row>6</xdr:row>
                    <xdr:rowOff>198120</xdr:rowOff>
                  </from>
                  <to>
                    <xdr:col>25</xdr:col>
                    <xdr:colOff>594360</xdr:colOff>
                    <xdr:row>8</xdr:row>
                    <xdr:rowOff>68580</xdr:rowOff>
                  </to>
                </anchor>
              </controlPr>
            </control>
          </mc:Choice>
        </mc:AlternateContent>
        <mc:AlternateContent xmlns:mc="http://schemas.openxmlformats.org/markup-compatibility/2006">
          <mc:Choice Requires="x14">
            <control shapeId="5182" r:id="rId7" name="Check Box 62">
              <controlPr defaultSize="0" autoFill="0" autoLine="0" autoPict="0">
                <anchor moveWithCells="1">
                  <from>
                    <xdr:col>25</xdr:col>
                    <xdr:colOff>342900</xdr:colOff>
                    <xdr:row>17</xdr:row>
                    <xdr:rowOff>22860</xdr:rowOff>
                  </from>
                  <to>
                    <xdr:col>25</xdr:col>
                    <xdr:colOff>617220</xdr:colOff>
                    <xdr:row>18</xdr:row>
                    <xdr:rowOff>22860</xdr:rowOff>
                  </to>
                </anchor>
              </controlPr>
            </control>
          </mc:Choice>
        </mc:AlternateContent>
        <mc:AlternateContent xmlns:mc="http://schemas.openxmlformats.org/markup-compatibility/2006">
          <mc:Choice Requires="x14">
            <control shapeId="5183" r:id="rId8" name="Check Box 63">
              <controlPr defaultSize="0" autoFill="0" autoLine="0" autoPict="0">
                <anchor moveWithCells="1">
                  <from>
                    <xdr:col>25</xdr:col>
                    <xdr:colOff>350520</xdr:colOff>
                    <xdr:row>21</xdr:row>
                    <xdr:rowOff>121920</xdr:rowOff>
                  </from>
                  <to>
                    <xdr:col>25</xdr:col>
                    <xdr:colOff>632460</xdr:colOff>
                    <xdr:row>22</xdr:row>
                    <xdr:rowOff>152400</xdr:rowOff>
                  </to>
                </anchor>
              </controlPr>
            </control>
          </mc:Choice>
        </mc:AlternateContent>
        <mc:AlternateContent xmlns:mc="http://schemas.openxmlformats.org/markup-compatibility/2006">
          <mc:Choice Requires="x14">
            <control shapeId="5184" r:id="rId9" name="Check Box 64">
              <controlPr defaultSize="0" autoFill="0" autoLine="0" autoPict="0">
                <anchor moveWithCells="1">
                  <from>
                    <xdr:col>25</xdr:col>
                    <xdr:colOff>266700</xdr:colOff>
                    <xdr:row>32</xdr:row>
                    <xdr:rowOff>121920</xdr:rowOff>
                  </from>
                  <to>
                    <xdr:col>25</xdr:col>
                    <xdr:colOff>533400</xdr:colOff>
                    <xdr:row>33</xdr:row>
                    <xdr:rowOff>228600</xdr:rowOff>
                  </to>
                </anchor>
              </controlPr>
            </control>
          </mc:Choice>
        </mc:AlternateContent>
        <mc:AlternateContent xmlns:mc="http://schemas.openxmlformats.org/markup-compatibility/2006">
          <mc:Choice Requires="x14">
            <control shapeId="5185" r:id="rId10" name="Check Box 65">
              <controlPr defaultSize="0" autoFill="0" autoLine="0" autoPict="0">
                <anchor moveWithCells="1">
                  <from>
                    <xdr:col>25</xdr:col>
                    <xdr:colOff>289560</xdr:colOff>
                    <xdr:row>34</xdr:row>
                    <xdr:rowOff>220980</xdr:rowOff>
                  </from>
                  <to>
                    <xdr:col>25</xdr:col>
                    <xdr:colOff>563880</xdr:colOff>
                    <xdr:row>36</xdr:row>
                    <xdr:rowOff>30480</xdr:rowOff>
                  </to>
                </anchor>
              </controlPr>
            </control>
          </mc:Choice>
        </mc:AlternateContent>
        <mc:AlternateContent xmlns:mc="http://schemas.openxmlformats.org/markup-compatibility/2006">
          <mc:Choice Requires="x14">
            <control shapeId="5186" r:id="rId11" name="Check Box 66">
              <controlPr defaultSize="0" autoFill="0" autoLine="0" autoPict="0">
                <anchor moveWithCells="1">
                  <from>
                    <xdr:col>25</xdr:col>
                    <xdr:colOff>304800</xdr:colOff>
                    <xdr:row>39</xdr:row>
                    <xdr:rowOff>251460</xdr:rowOff>
                  </from>
                  <to>
                    <xdr:col>25</xdr:col>
                    <xdr:colOff>579120</xdr:colOff>
                    <xdr:row>39</xdr:row>
                    <xdr:rowOff>556260</xdr:rowOff>
                  </to>
                </anchor>
              </controlPr>
            </control>
          </mc:Choice>
        </mc:AlternateContent>
        <mc:AlternateContent xmlns:mc="http://schemas.openxmlformats.org/markup-compatibility/2006">
          <mc:Choice Requires="x14">
            <control shapeId="5187" r:id="rId12" name="Check Box 67">
              <controlPr defaultSize="0" autoFill="0" autoLine="0" autoPict="0">
                <anchor moveWithCells="1">
                  <from>
                    <xdr:col>25</xdr:col>
                    <xdr:colOff>251460</xdr:colOff>
                    <xdr:row>7</xdr:row>
                    <xdr:rowOff>22860</xdr:rowOff>
                  </from>
                  <to>
                    <xdr:col>25</xdr:col>
                    <xdr:colOff>525780</xdr:colOff>
                    <xdr:row>8</xdr:row>
                    <xdr:rowOff>137160</xdr:rowOff>
                  </to>
                </anchor>
              </controlPr>
            </control>
          </mc:Choice>
        </mc:AlternateContent>
        <mc:AlternateContent xmlns:mc="http://schemas.openxmlformats.org/markup-compatibility/2006">
          <mc:Choice Requires="x14">
            <control shapeId="5188" r:id="rId13" name="Check Box 68">
              <controlPr defaultSize="0" autoFill="0" autoLine="0" autoPict="0">
                <anchor moveWithCells="1">
                  <from>
                    <xdr:col>25</xdr:col>
                    <xdr:colOff>251460</xdr:colOff>
                    <xdr:row>10</xdr:row>
                    <xdr:rowOff>83820</xdr:rowOff>
                  </from>
                  <to>
                    <xdr:col>25</xdr:col>
                    <xdr:colOff>533400</xdr:colOff>
                    <xdr:row>12</xdr:row>
                    <xdr:rowOff>0</xdr:rowOff>
                  </to>
                </anchor>
              </controlPr>
            </control>
          </mc:Choice>
        </mc:AlternateContent>
        <mc:AlternateContent xmlns:mc="http://schemas.openxmlformats.org/markup-compatibility/2006">
          <mc:Choice Requires="x14">
            <control shapeId="5189" r:id="rId14" name="Check Box 69">
              <controlPr defaultSize="0" autoFill="0" autoLine="0" autoPict="0">
                <anchor moveWithCells="1">
                  <from>
                    <xdr:col>25</xdr:col>
                    <xdr:colOff>251460</xdr:colOff>
                    <xdr:row>13</xdr:row>
                    <xdr:rowOff>121920</xdr:rowOff>
                  </from>
                  <to>
                    <xdr:col>25</xdr:col>
                    <xdr:colOff>533400</xdr:colOff>
                    <xdr:row>14</xdr:row>
                    <xdr:rowOff>198120</xdr:rowOff>
                  </to>
                </anchor>
              </controlPr>
            </control>
          </mc:Choice>
        </mc:AlternateContent>
        <mc:AlternateContent xmlns:mc="http://schemas.openxmlformats.org/markup-compatibility/2006">
          <mc:Choice Requires="x14">
            <control shapeId="5190" r:id="rId15" name="Check Box 70">
              <controlPr defaultSize="0" autoFill="0" autoLine="0" autoPict="0">
                <anchor moveWithCells="1">
                  <from>
                    <xdr:col>25</xdr:col>
                    <xdr:colOff>266700</xdr:colOff>
                    <xdr:row>16</xdr:row>
                    <xdr:rowOff>106680</xdr:rowOff>
                  </from>
                  <to>
                    <xdr:col>25</xdr:col>
                    <xdr:colOff>556260</xdr:colOff>
                    <xdr:row>16</xdr:row>
                    <xdr:rowOff>411480</xdr:rowOff>
                  </to>
                </anchor>
              </controlPr>
            </control>
          </mc:Choice>
        </mc:AlternateContent>
        <mc:AlternateContent xmlns:mc="http://schemas.openxmlformats.org/markup-compatibility/2006">
          <mc:Choice Requires="x14">
            <control shapeId="5191" r:id="rId16" name="Check Box 71">
              <controlPr defaultSize="0" autoFill="0" autoLine="0" autoPict="0">
                <anchor moveWithCells="1">
                  <from>
                    <xdr:col>25</xdr:col>
                    <xdr:colOff>289560</xdr:colOff>
                    <xdr:row>21</xdr:row>
                    <xdr:rowOff>38100</xdr:rowOff>
                  </from>
                  <to>
                    <xdr:col>25</xdr:col>
                    <xdr:colOff>571500</xdr:colOff>
                    <xdr:row>22</xdr:row>
                    <xdr:rowOff>76200</xdr:rowOff>
                  </to>
                </anchor>
              </controlPr>
            </control>
          </mc:Choice>
        </mc:AlternateContent>
        <mc:AlternateContent xmlns:mc="http://schemas.openxmlformats.org/markup-compatibility/2006">
          <mc:Choice Requires="x14">
            <control shapeId="5192" r:id="rId17" name="Check Box 72">
              <controlPr defaultSize="0" autoFill="0" autoLine="0" autoPict="0">
                <anchor moveWithCells="1">
                  <from>
                    <xdr:col>25</xdr:col>
                    <xdr:colOff>297180</xdr:colOff>
                    <xdr:row>26</xdr:row>
                    <xdr:rowOff>114300</xdr:rowOff>
                  </from>
                  <to>
                    <xdr:col>25</xdr:col>
                    <xdr:colOff>579120</xdr:colOff>
                    <xdr:row>28</xdr:row>
                    <xdr:rowOff>30480</xdr:rowOff>
                  </to>
                </anchor>
              </controlPr>
            </control>
          </mc:Choice>
        </mc:AlternateContent>
        <mc:AlternateContent xmlns:mc="http://schemas.openxmlformats.org/markup-compatibility/2006">
          <mc:Choice Requires="x14">
            <control shapeId="5193" r:id="rId18" name="Check Box 73">
              <controlPr defaultSize="0" autoFill="0" autoLine="0" autoPict="0">
                <anchor moveWithCells="1">
                  <from>
                    <xdr:col>25</xdr:col>
                    <xdr:colOff>274320</xdr:colOff>
                    <xdr:row>18</xdr:row>
                    <xdr:rowOff>152400</xdr:rowOff>
                  </from>
                  <to>
                    <xdr:col>25</xdr:col>
                    <xdr:colOff>556260</xdr:colOff>
                    <xdr:row>19</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indexed="13"/>
    <pageSetUpPr fitToPage="1"/>
  </sheetPr>
  <dimension ref="A1:AR39"/>
  <sheetViews>
    <sheetView showGridLines="0" view="pageBreakPreview" zoomScaleNormal="85" zoomScaleSheetLayoutView="100" workbookViewId="0">
      <selection activeCell="D3" sqref="D3"/>
    </sheetView>
  </sheetViews>
  <sheetFormatPr defaultColWidth="9" defaultRowHeight="10.8" outlineLevelCol="1"/>
  <cols>
    <col min="1" max="1" width="2.109375" style="7" customWidth="1"/>
    <col min="2" max="7" width="5.33203125" style="7" customWidth="1"/>
    <col min="8" max="8" width="5.6640625" style="7" customWidth="1"/>
    <col min="9" max="9" width="5.44140625" style="7" customWidth="1"/>
    <col min="10" max="13" width="5.33203125" style="7" customWidth="1"/>
    <col min="14" max="14" width="5.6640625" style="7" customWidth="1"/>
    <col min="15" max="17" width="5.33203125" style="7" customWidth="1"/>
    <col min="18" max="18" width="14.6640625" style="7" customWidth="1"/>
    <col min="19" max="19" width="11.6640625" style="7" customWidth="1"/>
    <col min="20" max="20" width="15.6640625" style="7" customWidth="1"/>
    <col min="21" max="21" width="9" style="7" hidden="1" customWidth="1" outlineLevel="1"/>
    <col min="22" max="22" width="61.88671875" style="7" hidden="1" customWidth="1" outlineLevel="1"/>
    <col min="23" max="23" width="3.77734375" style="7" customWidth="1" collapsed="1"/>
    <col min="24" max="24" width="3.109375" style="7" customWidth="1"/>
    <col min="25" max="25" width="2.109375" style="7" customWidth="1"/>
    <col min="26" max="28" width="5.33203125" style="7" customWidth="1"/>
    <col min="29" max="29" width="6.77734375" style="7" customWidth="1"/>
    <col min="30" max="31" width="5.33203125" style="7" customWidth="1"/>
    <col min="32" max="32" width="5.6640625" style="7" customWidth="1"/>
    <col min="33" max="33" width="5.44140625" style="7" customWidth="1"/>
    <col min="34" max="37" width="5.33203125" style="7" customWidth="1"/>
    <col min="38" max="38" width="5.6640625" style="7" customWidth="1"/>
    <col min="39" max="41" width="5.33203125" style="7" customWidth="1"/>
    <col min="42" max="16384" width="9" style="7"/>
  </cols>
  <sheetData>
    <row r="1" spans="1:41" ht="12" customHeight="1">
      <c r="A1" s="36" t="s">
        <v>34</v>
      </c>
      <c r="B1" s="36"/>
      <c r="C1" s="36"/>
      <c r="D1" s="36"/>
      <c r="E1" s="36"/>
      <c r="F1" s="36"/>
      <c r="G1" s="36"/>
      <c r="H1" s="36"/>
      <c r="I1" s="36"/>
      <c r="J1" s="36"/>
      <c r="K1" s="36"/>
      <c r="L1" s="36"/>
      <c r="M1" s="36"/>
      <c r="N1" s="36"/>
      <c r="O1" s="36"/>
      <c r="P1" s="36"/>
      <c r="Q1" s="113">
        <f>報告1面!$M$11</f>
        <v>0</v>
      </c>
      <c r="R1" s="60"/>
      <c r="S1" s="6"/>
      <c r="T1" s="108" t="str">
        <f>報告1面!$Z$1</f>
        <v>2026ver2</v>
      </c>
      <c r="U1" s="69" t="s">
        <v>282</v>
      </c>
      <c r="V1" s="69" t="s">
        <v>281</v>
      </c>
      <c r="Y1" s="1356" t="s">
        <v>34</v>
      </c>
      <c r="Z1" s="1356"/>
      <c r="AA1" s="1356"/>
      <c r="AB1" s="1356"/>
      <c r="AC1" s="1356"/>
      <c r="AD1" s="1356"/>
      <c r="AE1" s="1356"/>
      <c r="AF1" s="1356"/>
      <c r="AG1" s="1356"/>
      <c r="AH1" s="1356"/>
      <c r="AI1" s="1356"/>
      <c r="AJ1" s="1356"/>
      <c r="AK1" s="1356"/>
      <c r="AL1" s="1356"/>
      <c r="AM1" s="1356"/>
      <c r="AN1" s="1356"/>
      <c r="AO1" s="1356"/>
    </row>
    <row r="2" spans="1:41" s="31" customFormat="1" ht="15.75" customHeight="1" thickBot="1">
      <c r="A2" s="1185" t="s">
        <v>45</v>
      </c>
      <c r="B2" s="1185"/>
      <c r="C2" s="1185"/>
      <c r="D2" s="1185"/>
      <c r="E2" s="1185"/>
      <c r="F2" s="1185"/>
      <c r="G2" s="1185"/>
      <c r="H2" s="1185"/>
      <c r="I2" s="1185"/>
      <c r="J2" s="1185"/>
      <c r="K2" s="1185"/>
      <c r="L2" s="1185"/>
      <c r="M2" s="1185"/>
      <c r="N2" s="1185"/>
      <c r="O2" s="1185"/>
      <c r="P2" s="1185"/>
      <c r="Q2" s="1185"/>
      <c r="U2" s="63"/>
      <c r="V2" s="64"/>
      <c r="W2" s="11"/>
      <c r="X2" s="34"/>
      <c r="Y2" s="1185" t="s">
        <v>45</v>
      </c>
      <c r="Z2" s="1185"/>
      <c r="AA2" s="1185"/>
      <c r="AB2" s="1185"/>
      <c r="AC2" s="1185"/>
      <c r="AD2" s="1185"/>
      <c r="AE2" s="1185"/>
      <c r="AF2" s="1185"/>
      <c r="AG2" s="1185"/>
      <c r="AH2" s="1185"/>
      <c r="AI2" s="1185"/>
      <c r="AJ2" s="1185"/>
      <c r="AK2" s="1185"/>
      <c r="AL2" s="1185"/>
      <c r="AM2" s="1185"/>
      <c r="AN2" s="1185"/>
      <c r="AO2" s="1185"/>
    </row>
    <row r="3" spans="1:41" ht="18.75" customHeight="1">
      <c r="A3" s="1226"/>
      <c r="B3" s="1272"/>
      <c r="C3" s="1078"/>
      <c r="D3" s="58"/>
      <c r="E3" s="86" t="s">
        <v>4</v>
      </c>
      <c r="F3" s="86" t="s">
        <v>70</v>
      </c>
      <c r="G3" s="58"/>
      <c r="H3" s="1299" t="s">
        <v>4</v>
      </c>
      <c r="I3" s="1299"/>
      <c r="J3" s="1300"/>
      <c r="K3" s="1286" t="s">
        <v>42</v>
      </c>
      <c r="L3" s="1287"/>
      <c r="M3" s="1273"/>
      <c r="N3" s="1274"/>
      <c r="O3" s="125">
        <f>LEFT(T1,4)-1</f>
        <v>2025</v>
      </c>
      <c r="P3" s="1299" t="s">
        <v>4</v>
      </c>
      <c r="Q3" s="1300"/>
      <c r="R3" s="34"/>
      <c r="S3" s="34"/>
      <c r="U3" s="63"/>
      <c r="V3" s="114" t="s">
        <v>313</v>
      </c>
      <c r="W3" s="34"/>
      <c r="X3" s="34"/>
      <c r="Y3" s="1226"/>
      <c r="Z3" s="1272"/>
      <c r="AA3" s="1078"/>
      <c r="AB3" s="62">
        <f>LEFT(T1,4)-3</f>
        <v>2023</v>
      </c>
      <c r="AC3" s="86" t="s">
        <v>4</v>
      </c>
      <c r="AD3" s="86" t="s">
        <v>70</v>
      </c>
      <c r="AE3" s="62">
        <f>LEFT(T1,4)+1</f>
        <v>2027</v>
      </c>
      <c r="AF3" s="1299" t="s">
        <v>4</v>
      </c>
      <c r="AG3" s="1299"/>
      <c r="AH3" s="1300"/>
      <c r="AI3" s="1286" t="s">
        <v>42</v>
      </c>
      <c r="AJ3" s="1287"/>
      <c r="AK3" s="1273"/>
      <c r="AL3" s="1274"/>
      <c r="AM3" s="32">
        <f>O3</f>
        <v>2025</v>
      </c>
      <c r="AN3" s="1299" t="s">
        <v>4</v>
      </c>
      <c r="AO3" s="1300"/>
    </row>
    <row r="4" spans="1:41" ht="12" customHeight="1">
      <c r="A4" s="1226"/>
      <c r="B4" s="1234"/>
      <c r="C4" s="1234"/>
      <c r="D4" s="1234"/>
      <c r="E4" s="1234"/>
      <c r="F4" s="1234"/>
      <c r="G4" s="1234"/>
      <c r="H4" s="1234"/>
      <c r="I4" s="1234"/>
      <c r="J4" s="1234"/>
      <c r="K4" s="1234"/>
      <c r="L4" s="1234"/>
      <c r="M4" s="1234"/>
      <c r="N4" s="1234"/>
      <c r="O4" s="1234"/>
      <c r="P4" s="1234"/>
      <c r="Q4" s="1234"/>
      <c r="R4" s="34"/>
      <c r="S4" s="34"/>
      <c r="U4" s="70"/>
      <c r="V4" s="65"/>
      <c r="W4" s="8"/>
      <c r="X4" s="8"/>
      <c r="Y4" s="1226"/>
      <c r="Z4" s="1234"/>
      <c r="AA4" s="1234"/>
      <c r="AB4" s="1234"/>
      <c r="AC4" s="1234"/>
      <c r="AD4" s="1234"/>
      <c r="AE4" s="1234"/>
      <c r="AF4" s="1234"/>
      <c r="AG4" s="1234"/>
      <c r="AH4" s="1234"/>
      <c r="AI4" s="1234"/>
      <c r="AJ4" s="1234"/>
      <c r="AK4" s="1234"/>
      <c r="AL4" s="1234"/>
      <c r="AM4" s="1234"/>
      <c r="AN4" s="1234"/>
      <c r="AO4" s="1234"/>
    </row>
    <row r="5" spans="1:41" s="34" customFormat="1" ht="16.5" customHeight="1">
      <c r="A5" s="1185" t="s">
        <v>302</v>
      </c>
      <c r="B5" s="1185"/>
      <c r="C5" s="1185"/>
      <c r="D5" s="1185"/>
      <c r="E5" s="1185"/>
      <c r="F5" s="1185"/>
      <c r="G5" s="1185"/>
      <c r="H5" s="1185"/>
      <c r="I5" s="1185"/>
      <c r="J5" s="1185"/>
      <c r="K5" s="1185"/>
      <c r="L5" s="1185"/>
      <c r="M5" s="1185"/>
      <c r="N5" s="1185"/>
      <c r="O5" s="1185"/>
      <c r="P5" s="1185"/>
      <c r="Q5" s="1185"/>
      <c r="R5" s="88"/>
      <c r="S5" s="88"/>
      <c r="T5" s="88"/>
      <c r="U5" s="63"/>
      <c r="V5" s="64"/>
      <c r="W5" s="7"/>
      <c r="X5" s="7"/>
      <c r="Y5" s="1185" t="s">
        <v>302</v>
      </c>
      <c r="Z5" s="1185"/>
      <c r="AA5" s="1185"/>
      <c r="AB5" s="1185"/>
      <c r="AC5" s="1185"/>
      <c r="AD5" s="1185"/>
      <c r="AE5" s="1185"/>
      <c r="AF5" s="1185"/>
      <c r="AG5" s="1185"/>
      <c r="AH5" s="1185"/>
      <c r="AI5" s="1185"/>
      <c r="AJ5" s="1185"/>
      <c r="AK5" s="1185"/>
      <c r="AL5" s="1185"/>
      <c r="AM5" s="1185"/>
      <c r="AN5" s="1185"/>
      <c r="AO5" s="1185"/>
    </row>
    <row r="6" spans="1:41" s="34" customFormat="1" ht="18" customHeight="1">
      <c r="A6" s="1311"/>
      <c r="B6" s="1128" t="s">
        <v>116</v>
      </c>
      <c r="C6" s="1130"/>
      <c r="D6" s="1099" t="s">
        <v>3</v>
      </c>
      <c r="E6" s="1093"/>
      <c r="F6" s="1297"/>
      <c r="G6" s="1298"/>
      <c r="H6" s="126" t="str">
        <f ca="1">IF(OR(報告1面!E18="■",報告1面!E20="■"),D3-1,"")</f>
        <v/>
      </c>
      <c r="I6" s="1288" t="s">
        <v>4</v>
      </c>
      <c r="J6" s="1289"/>
      <c r="K6" s="1294"/>
      <c r="L6" s="1180"/>
      <c r="M6" s="1180"/>
      <c r="N6" s="1180"/>
      <c r="O6" s="1180"/>
      <c r="P6" s="1180"/>
      <c r="Q6" s="1180"/>
      <c r="R6" s="88"/>
      <c r="S6" s="88"/>
      <c r="T6" s="88"/>
      <c r="U6" s="70"/>
      <c r="V6" s="34" t="s">
        <v>285</v>
      </c>
      <c r="W6" s="8"/>
      <c r="X6" s="8"/>
      <c r="Y6" s="1311"/>
      <c r="Z6" s="1128" t="s">
        <v>116</v>
      </c>
      <c r="AA6" s="1130"/>
      <c r="AB6" s="1099" t="s">
        <v>3</v>
      </c>
      <c r="AC6" s="1093"/>
      <c r="AD6" s="1297"/>
      <c r="AE6" s="1298"/>
      <c r="AF6" s="99">
        <f>AB3-1</f>
        <v>2022</v>
      </c>
      <c r="AG6" s="1288" t="s">
        <v>4</v>
      </c>
      <c r="AH6" s="1289"/>
      <c r="AI6" s="1294"/>
      <c r="AJ6" s="1180"/>
      <c r="AK6" s="1180"/>
      <c r="AL6" s="1180"/>
      <c r="AM6" s="1180"/>
      <c r="AN6" s="1180"/>
      <c r="AO6" s="1180"/>
    </row>
    <row r="7" spans="1:41" s="34" customFormat="1" ht="18" customHeight="1">
      <c r="A7" s="1311"/>
      <c r="B7" s="1131"/>
      <c r="C7" s="1133"/>
      <c r="D7" s="1301"/>
      <c r="E7" s="1302"/>
      <c r="F7" s="82" t="s">
        <v>88</v>
      </c>
      <c r="G7" s="78"/>
      <c r="H7" s="83" t="s">
        <v>89</v>
      </c>
      <c r="I7" s="78"/>
      <c r="J7" s="80" t="s">
        <v>71</v>
      </c>
      <c r="K7" s="1295"/>
      <c r="L7" s="1296"/>
      <c r="M7" s="1296"/>
      <c r="N7" s="1296"/>
      <c r="O7" s="1296"/>
      <c r="P7" s="1296"/>
      <c r="Q7" s="1296"/>
      <c r="R7" s="1389"/>
      <c r="S7" s="1389"/>
      <c r="T7" s="92"/>
      <c r="V7" s="34" t="s">
        <v>284</v>
      </c>
      <c r="W7" s="8"/>
      <c r="X7" s="8"/>
      <c r="Y7" s="1311"/>
      <c r="Z7" s="1131"/>
      <c r="AA7" s="1133"/>
      <c r="AB7" s="1301"/>
      <c r="AC7" s="1302"/>
      <c r="AD7" s="82" t="s">
        <v>88</v>
      </c>
      <c r="AE7" s="78"/>
      <c r="AF7" s="83" t="s">
        <v>89</v>
      </c>
      <c r="AG7" s="78"/>
      <c r="AH7" s="80" t="s">
        <v>71</v>
      </c>
      <c r="AI7" s="1295"/>
      <c r="AJ7" s="1296"/>
      <c r="AK7" s="1296"/>
      <c r="AL7" s="1296"/>
      <c r="AM7" s="1296"/>
      <c r="AN7" s="1296"/>
      <c r="AO7" s="1296"/>
    </row>
    <row r="8" spans="1:41" s="34" customFormat="1" ht="18" customHeight="1">
      <c r="A8" s="1311"/>
      <c r="B8" s="1131"/>
      <c r="C8" s="1133"/>
      <c r="D8" s="1147" t="s">
        <v>58</v>
      </c>
      <c r="E8" s="1277"/>
      <c r="F8" s="1270"/>
      <c r="G8" s="1271"/>
      <c r="H8" s="1271"/>
      <c r="I8" s="1283" t="s">
        <v>90</v>
      </c>
      <c r="J8" s="1284"/>
      <c r="K8" s="1210" t="s">
        <v>59</v>
      </c>
      <c r="L8" s="1246"/>
      <c r="M8" s="1280"/>
      <c r="N8" s="1281"/>
      <c r="O8" s="1281"/>
      <c r="P8" s="1129" t="s">
        <v>91</v>
      </c>
      <c r="Q8" s="1303"/>
      <c r="R8" s="1229" t="s">
        <v>275</v>
      </c>
      <c r="S8" s="1229" t="s">
        <v>277</v>
      </c>
      <c r="T8" s="92"/>
      <c r="V8" s="34" t="s">
        <v>287</v>
      </c>
      <c r="W8" s="8"/>
      <c r="X8" s="8"/>
      <c r="Y8" s="1311"/>
      <c r="Z8" s="1131"/>
      <c r="AA8" s="1133"/>
      <c r="AB8" s="1147" t="s">
        <v>58</v>
      </c>
      <c r="AC8" s="1277"/>
      <c r="AD8" s="1357">
        <v>7180</v>
      </c>
      <c r="AE8" s="1358"/>
      <c r="AF8" s="1358"/>
      <c r="AG8" s="1283" t="s">
        <v>90</v>
      </c>
      <c r="AH8" s="1284"/>
      <c r="AI8" s="1210" t="s">
        <v>59</v>
      </c>
      <c r="AJ8" s="1246"/>
      <c r="AK8" s="1359">
        <v>6940</v>
      </c>
      <c r="AL8" s="1360"/>
      <c r="AM8" s="1360"/>
      <c r="AN8" s="1129" t="s">
        <v>90</v>
      </c>
      <c r="AO8" s="1303"/>
    </row>
    <row r="9" spans="1:41" s="34" customFormat="1" ht="18" customHeight="1">
      <c r="A9" s="1311"/>
      <c r="B9" s="1131"/>
      <c r="C9" s="1133"/>
      <c r="D9" s="1278"/>
      <c r="E9" s="1279"/>
      <c r="F9" s="1292"/>
      <c r="G9" s="1293"/>
      <c r="H9" s="1293"/>
      <c r="I9" s="1285"/>
      <c r="J9" s="1279"/>
      <c r="K9" s="1282"/>
      <c r="L9" s="1276"/>
      <c r="M9" s="1307"/>
      <c r="N9" s="1308"/>
      <c r="O9" s="1308"/>
      <c r="P9" s="1304"/>
      <c r="Q9" s="1305"/>
      <c r="R9" s="1230"/>
      <c r="S9" s="1231"/>
      <c r="T9" s="1390" t="s">
        <v>283</v>
      </c>
      <c r="W9" s="8"/>
      <c r="X9" s="8"/>
      <c r="Y9" s="1311"/>
      <c r="Z9" s="1131"/>
      <c r="AA9" s="1133"/>
      <c r="AB9" s="1278"/>
      <c r="AC9" s="1279"/>
      <c r="AD9" s="1361">
        <v>6910</v>
      </c>
      <c r="AE9" s="1362"/>
      <c r="AF9" s="1362"/>
      <c r="AG9" s="1285"/>
      <c r="AH9" s="1279"/>
      <c r="AI9" s="1282"/>
      <c r="AJ9" s="1276"/>
      <c r="AK9" s="1363">
        <v>6680</v>
      </c>
      <c r="AL9" s="1364"/>
      <c r="AM9" s="1364"/>
      <c r="AN9" s="1304"/>
      <c r="AO9" s="1305"/>
    </row>
    <row r="10" spans="1:41" ht="18" customHeight="1">
      <c r="A10" s="1311"/>
      <c r="B10" s="1131"/>
      <c r="C10" s="1133"/>
      <c r="D10" s="1147" t="s">
        <v>94</v>
      </c>
      <c r="E10" s="1277"/>
      <c r="F10" s="1290" t="str">
        <f>IF(OR(報告1面!Y18="○",報告1面!Y20="○"),INDEX(参考3_排出量経年!L116:O116,MATCH($O$3,参考3_排出量経年!L5:O5)),IF(OR(報告1面!Y19="○",報告1面!Y21="○"),INDEX(参考3_排出量経年!T116:W116,MATCH($O$3,参考3_排出量経年!T5:W5)),""))</f>
        <v/>
      </c>
      <c r="G10" s="1291"/>
      <c r="H10" s="1291"/>
      <c r="I10" s="1283" t="s">
        <v>90</v>
      </c>
      <c r="J10" s="1306"/>
      <c r="K10" s="1177"/>
      <c r="L10" s="1177"/>
      <c r="M10" s="1177"/>
      <c r="N10" s="1177"/>
      <c r="O10" s="1177"/>
      <c r="P10" s="1177"/>
      <c r="Q10" s="1177"/>
      <c r="R10" s="145" t="str">
        <f ca="1">IFERROR(HLOOKUP($O$3-1&amp;"年度排出量（大_1,2号_基礎）",INDIRECT("A.貼付_"&amp;O3+1&amp;"提出!$Q$9:$HB$11"),3,FALSE),"")</f>
        <v/>
      </c>
      <c r="S10" s="93" t="e">
        <f ca="1">F10/R10*100-100</f>
        <v>#VALUE!</v>
      </c>
      <c r="T10" s="1390"/>
      <c r="W10" s="8"/>
      <c r="X10" s="8"/>
      <c r="Y10" s="1311"/>
      <c r="Z10" s="1131"/>
      <c r="AA10" s="1133"/>
      <c r="AB10" s="1147" t="s">
        <v>94</v>
      </c>
      <c r="AC10" s="1277"/>
      <c r="AD10" s="1357">
        <v>7110</v>
      </c>
      <c r="AE10" s="1358"/>
      <c r="AF10" s="1358"/>
      <c r="AG10" s="1283" t="s">
        <v>90</v>
      </c>
      <c r="AH10" s="1306"/>
      <c r="AI10" s="1177"/>
      <c r="AJ10" s="1177"/>
      <c r="AK10" s="1177"/>
      <c r="AL10" s="1177"/>
      <c r="AM10" s="1177"/>
      <c r="AN10" s="1177"/>
      <c r="AO10" s="1177"/>
    </row>
    <row r="11" spans="1:41" ht="18" customHeight="1" thickBot="1">
      <c r="A11" s="1311"/>
      <c r="B11" s="1275"/>
      <c r="C11" s="1276"/>
      <c r="D11" s="1282"/>
      <c r="E11" s="1276"/>
      <c r="F11" s="1309" t="str">
        <f>IF(OR(報告1面!Y18="○",報告1面!Y20="○"),INDEX(参考3_排出量経年!L227:O227,MATCH(報告1面!$AU$6-1,参考3_排出量経年!L5:O5)),IF(OR(報告1面!Y19="○",報告1面!Y21="○"),INDEX(参考3_排出量経年!T227:W227,MATCH(報告1面!$AU$6-1,参考3_排出量経年!T5:W5)),""))</f>
        <v/>
      </c>
      <c r="G11" s="1310"/>
      <c r="H11" s="1310"/>
      <c r="I11" s="1304"/>
      <c r="J11" s="1305"/>
      <c r="K11" s="1304"/>
      <c r="L11" s="1304"/>
      <c r="M11" s="1304"/>
      <c r="N11" s="1304"/>
      <c r="O11" s="1304"/>
      <c r="P11" s="1304"/>
      <c r="Q11" s="1304"/>
      <c r="R11" s="145" t="str">
        <f ca="1">IFERROR(HLOOKUP($O$3-1&amp;"年度排出量（大_1,2号_調整後）",INDIRECT("A.貼付_"&amp;O3+1&amp;"提出!$Q$9:$HB$11"),3,FALSE),"")</f>
        <v/>
      </c>
      <c r="S11" s="140" t="e">
        <f ca="1">F11/R11*100-100</f>
        <v>#VALUE!</v>
      </c>
      <c r="T11" s="1390"/>
      <c r="W11" s="8"/>
      <c r="X11" s="8"/>
      <c r="Y11" s="1311"/>
      <c r="Z11" s="1275"/>
      <c r="AA11" s="1276"/>
      <c r="AB11" s="1282"/>
      <c r="AC11" s="1276"/>
      <c r="AD11" s="1363">
        <v>6840</v>
      </c>
      <c r="AE11" s="1364"/>
      <c r="AF11" s="1364"/>
      <c r="AG11" s="1304"/>
      <c r="AH11" s="1305"/>
      <c r="AI11" s="1304"/>
      <c r="AJ11" s="1304"/>
      <c r="AK11" s="1304"/>
      <c r="AL11" s="1304"/>
      <c r="AM11" s="1304"/>
      <c r="AN11" s="1304"/>
      <c r="AO11" s="1304"/>
    </row>
    <row r="12" spans="1:41" ht="30" customHeight="1" thickBot="1">
      <c r="A12" s="1311"/>
      <c r="B12" s="1128" t="s">
        <v>117</v>
      </c>
      <c r="C12" s="1237"/>
      <c r="D12" s="1315" t="s">
        <v>60</v>
      </c>
      <c r="E12" s="1316"/>
      <c r="F12" s="1351"/>
      <c r="G12" s="1352"/>
      <c r="H12" s="1352"/>
      <c r="I12" s="1352"/>
      <c r="J12" s="1353"/>
      <c r="K12" s="1318" t="s">
        <v>49</v>
      </c>
      <c r="L12" s="1319"/>
      <c r="M12" s="1324" t="str">
        <f>IF(F12="","",P8&amp;"/")</f>
        <v/>
      </c>
      <c r="N12" s="1325"/>
      <c r="O12" s="1346"/>
      <c r="P12" s="1346"/>
      <c r="Q12" s="151"/>
      <c r="R12" s="138" t="s">
        <v>1260</v>
      </c>
      <c r="S12" s="149"/>
      <c r="W12" s="8"/>
      <c r="X12" s="8"/>
      <c r="Y12" s="1311"/>
      <c r="Z12" s="1128" t="s">
        <v>117</v>
      </c>
      <c r="AA12" s="1237"/>
      <c r="AB12" s="1315" t="s">
        <v>60</v>
      </c>
      <c r="AC12" s="1316"/>
      <c r="AD12" s="1365" t="s">
        <v>317</v>
      </c>
      <c r="AE12" s="1366"/>
      <c r="AF12" s="1366"/>
      <c r="AG12" s="1366"/>
      <c r="AH12" s="1367"/>
      <c r="AI12" s="1318" t="s">
        <v>49</v>
      </c>
      <c r="AJ12" s="1319"/>
      <c r="AK12" s="1324" t="str">
        <f>IF(AD12="","",AN8&amp;"/")</f>
        <v>tCO2/</v>
      </c>
      <c r="AL12" s="1325"/>
      <c r="AM12" s="1368" t="s">
        <v>129</v>
      </c>
      <c r="AN12" s="1368"/>
      <c r="AO12" s="35"/>
    </row>
    <row r="13" spans="1:41" ht="18" customHeight="1">
      <c r="A13" s="1311"/>
      <c r="B13" s="1131"/>
      <c r="C13" s="1238"/>
      <c r="D13" s="1147" t="s">
        <v>50</v>
      </c>
      <c r="E13" s="1277"/>
      <c r="F13" s="1339"/>
      <c r="G13" s="1340"/>
      <c r="H13" s="1340"/>
      <c r="I13" s="1332" t="str">
        <f>M12&amp;O12</f>
        <v/>
      </c>
      <c r="J13" s="1332"/>
      <c r="K13" s="1247" t="s">
        <v>61</v>
      </c>
      <c r="L13" s="1265"/>
      <c r="M13" s="1354"/>
      <c r="N13" s="1355"/>
      <c r="O13" s="1355"/>
      <c r="P13" s="1332" t="str">
        <f>M12&amp;O12</f>
        <v/>
      </c>
      <c r="Q13" s="1344"/>
      <c r="R13" s="1229" t="s">
        <v>276</v>
      </c>
      <c r="S13" s="1232" t="s">
        <v>277</v>
      </c>
      <c r="V13" s="34" t="s">
        <v>288</v>
      </c>
      <c r="Y13" s="1311"/>
      <c r="Z13" s="1131"/>
      <c r="AA13" s="1238"/>
      <c r="AB13" s="1147" t="s">
        <v>50</v>
      </c>
      <c r="AC13" s="1277"/>
      <c r="AD13" s="1369">
        <v>0.67400000000000004</v>
      </c>
      <c r="AE13" s="1370"/>
      <c r="AF13" s="1370"/>
      <c r="AG13" s="1257" t="str">
        <f>AK12&amp;AM12</f>
        <v>tCO2/㎡×時間</v>
      </c>
      <c r="AH13" s="1257"/>
      <c r="AI13" s="1247" t="s">
        <v>61</v>
      </c>
      <c r="AJ13" s="1265"/>
      <c r="AK13" s="1371">
        <v>0.65400000000000003</v>
      </c>
      <c r="AL13" s="1372"/>
      <c r="AM13" s="1372"/>
      <c r="AN13" s="1257" t="str">
        <f>AK12&amp;AM12</f>
        <v>tCO2/㎡×時間</v>
      </c>
      <c r="AO13" s="1266"/>
    </row>
    <row r="14" spans="1:41" ht="18" customHeight="1" thickBot="1">
      <c r="A14" s="1311"/>
      <c r="B14" s="1131"/>
      <c r="C14" s="1238"/>
      <c r="D14" s="1278"/>
      <c r="E14" s="1279"/>
      <c r="F14" s="1347"/>
      <c r="G14" s="1348"/>
      <c r="H14" s="1348"/>
      <c r="I14" s="1341"/>
      <c r="J14" s="1341"/>
      <c r="K14" s="1282"/>
      <c r="L14" s="1276"/>
      <c r="M14" s="1349"/>
      <c r="N14" s="1350"/>
      <c r="O14" s="1350"/>
      <c r="P14" s="1333"/>
      <c r="Q14" s="1345"/>
      <c r="R14" s="1230"/>
      <c r="S14" s="1231"/>
      <c r="T14" s="1390" t="s">
        <v>318</v>
      </c>
      <c r="Y14" s="1311"/>
      <c r="Z14" s="1131"/>
      <c r="AA14" s="1238"/>
      <c r="AB14" s="1278"/>
      <c r="AC14" s="1279"/>
      <c r="AD14" s="1373">
        <v>0.64200000000000002</v>
      </c>
      <c r="AE14" s="1374"/>
      <c r="AF14" s="1374"/>
      <c r="AG14" s="1285"/>
      <c r="AH14" s="1285"/>
      <c r="AI14" s="1282"/>
      <c r="AJ14" s="1276"/>
      <c r="AK14" s="1375">
        <v>0.623</v>
      </c>
      <c r="AL14" s="1376"/>
      <c r="AM14" s="1376"/>
      <c r="AN14" s="1304"/>
      <c r="AO14" s="1305"/>
    </row>
    <row r="15" spans="1:41" ht="18" customHeight="1" thickBot="1">
      <c r="A15" s="1311"/>
      <c r="B15" s="1239"/>
      <c r="C15" s="1238"/>
      <c r="D15" s="1247" t="s">
        <v>95</v>
      </c>
      <c r="E15" s="1248"/>
      <c r="F15" s="1337" t="str">
        <f>IFERROR(ROUND(F10/S12,2-INT(LOG(F10/S12))),"")</f>
        <v/>
      </c>
      <c r="G15" s="1338"/>
      <c r="H15" s="1338"/>
      <c r="I15" s="1332" t="str">
        <f>M12&amp;O12</f>
        <v/>
      </c>
      <c r="J15" s="1332"/>
      <c r="K15" s="1342"/>
      <c r="L15" s="1343"/>
      <c r="M15" s="1343"/>
      <c r="N15" s="1343"/>
      <c r="O15" s="1343"/>
      <c r="P15" s="1343"/>
      <c r="Q15" s="1343"/>
      <c r="R15" s="75"/>
      <c r="S15" s="94" t="e">
        <f>F15/R15*100-100</f>
        <v>#VALUE!</v>
      </c>
      <c r="T15" s="1390"/>
      <c r="Y15" s="1311"/>
      <c r="Z15" s="1239"/>
      <c r="AA15" s="1238"/>
      <c r="AB15" s="1247" t="s">
        <v>95</v>
      </c>
      <c r="AC15" s="1248"/>
      <c r="AD15" s="1369">
        <v>0.66500000000000004</v>
      </c>
      <c r="AE15" s="1370"/>
      <c r="AF15" s="1370"/>
      <c r="AG15" s="1257" t="str">
        <f>AK12&amp;AM12</f>
        <v>tCO2/㎡×時間</v>
      </c>
      <c r="AH15" s="1257"/>
      <c r="AI15" s="1342"/>
      <c r="AJ15" s="1343"/>
      <c r="AK15" s="1343"/>
      <c r="AL15" s="1343"/>
      <c r="AM15" s="1343"/>
      <c r="AN15" s="1343"/>
      <c r="AO15" s="1343"/>
    </row>
    <row r="16" spans="1:41" ht="18" customHeight="1" thickBot="1">
      <c r="A16" s="1311"/>
      <c r="B16" s="1275"/>
      <c r="C16" s="1304"/>
      <c r="D16" s="1282"/>
      <c r="E16" s="1276"/>
      <c r="F16" s="1313" t="str">
        <f>IFERROR(ROUND(F11/S12,2-INT(LOG(F11/S12))),"")</f>
        <v/>
      </c>
      <c r="G16" s="1314"/>
      <c r="H16" s="1314"/>
      <c r="I16" s="1333"/>
      <c r="J16" s="1333"/>
      <c r="K16" s="1275"/>
      <c r="L16" s="1304"/>
      <c r="M16" s="1304"/>
      <c r="N16" s="1304"/>
      <c r="O16" s="1304"/>
      <c r="P16" s="1304"/>
      <c r="Q16" s="1304"/>
      <c r="R16" s="76"/>
      <c r="S16" s="94" t="e">
        <f>F16/R16*100-100</f>
        <v>#VALUE!</v>
      </c>
      <c r="T16" s="1390"/>
      <c r="W16" s="80"/>
      <c r="X16" s="80"/>
      <c r="Y16" s="1311"/>
      <c r="Z16" s="1275"/>
      <c r="AA16" s="1304"/>
      <c r="AB16" s="1282"/>
      <c r="AC16" s="1276"/>
      <c r="AD16" s="1382" t="s">
        <v>278</v>
      </c>
      <c r="AE16" s="1376"/>
      <c r="AF16" s="1376"/>
      <c r="AG16" s="1304"/>
      <c r="AH16" s="1304"/>
      <c r="AI16" s="1275"/>
      <c r="AJ16" s="1304"/>
      <c r="AK16" s="1304"/>
      <c r="AL16" s="1304"/>
      <c r="AM16" s="1304"/>
      <c r="AN16" s="1304"/>
      <c r="AO16" s="1304"/>
    </row>
    <row r="17" spans="1:44" ht="330" customHeight="1">
      <c r="A17" s="1311"/>
      <c r="B17" s="1128" t="s">
        <v>62</v>
      </c>
      <c r="C17" s="1129"/>
      <c r="D17" s="1129"/>
      <c r="E17" s="1129"/>
      <c r="F17" s="1334" t="s">
        <v>326</v>
      </c>
      <c r="G17" s="1335"/>
      <c r="H17" s="1335"/>
      <c r="I17" s="1335"/>
      <c r="J17" s="1335"/>
      <c r="K17" s="1335"/>
      <c r="L17" s="1335"/>
      <c r="M17" s="1335"/>
      <c r="N17" s="1335"/>
      <c r="O17" s="1335"/>
      <c r="P17" s="1335"/>
      <c r="Q17" s="1336"/>
      <c r="R17" s="95"/>
      <c r="S17" s="96"/>
      <c r="W17" s="8"/>
      <c r="X17" s="8"/>
      <c r="Y17" s="1311"/>
      <c r="Z17" s="1128" t="s">
        <v>62</v>
      </c>
      <c r="AA17" s="1129"/>
      <c r="AB17" s="1129"/>
      <c r="AC17" s="1129"/>
      <c r="AD17" s="1377" t="s">
        <v>321</v>
      </c>
      <c r="AE17" s="1378"/>
      <c r="AF17" s="1378"/>
      <c r="AG17" s="1378"/>
      <c r="AH17" s="1378"/>
      <c r="AI17" s="1378"/>
      <c r="AJ17" s="1378"/>
      <c r="AK17" s="1378"/>
      <c r="AL17" s="1378"/>
      <c r="AM17" s="1378"/>
      <c r="AN17" s="1378"/>
      <c r="AO17" s="1379"/>
    </row>
    <row r="18" spans="1:44">
      <c r="A18" s="1311"/>
      <c r="B18" s="1317"/>
      <c r="C18" s="1317"/>
      <c r="D18" s="1317"/>
      <c r="E18" s="1317"/>
      <c r="F18" s="1317"/>
      <c r="G18" s="1317"/>
      <c r="H18" s="1317"/>
      <c r="I18" s="1317"/>
      <c r="J18" s="1317"/>
      <c r="K18" s="1317"/>
      <c r="L18" s="1317"/>
      <c r="M18" s="1317"/>
      <c r="N18" s="1317"/>
      <c r="O18" s="1317"/>
      <c r="P18" s="1317"/>
      <c r="Q18" s="1317"/>
      <c r="R18" s="34"/>
      <c r="S18" s="34"/>
      <c r="W18" s="18"/>
      <c r="X18" s="18"/>
      <c r="Y18" s="1311"/>
      <c r="Z18" s="1317"/>
      <c r="AA18" s="1317"/>
      <c r="AB18" s="1317"/>
      <c r="AC18" s="1317"/>
      <c r="AD18" s="1317"/>
      <c r="AE18" s="1317"/>
      <c r="AF18" s="1317"/>
      <c r="AG18" s="1317"/>
      <c r="AH18" s="1317"/>
      <c r="AI18" s="1317"/>
      <c r="AJ18" s="1317"/>
      <c r="AK18" s="1317"/>
      <c r="AL18" s="1317"/>
      <c r="AM18" s="1317"/>
      <c r="AN18" s="1317"/>
      <c r="AO18" s="1317"/>
    </row>
    <row r="19" spans="1:44" s="34" customFormat="1" ht="18" customHeight="1">
      <c r="A19" s="1311"/>
      <c r="B19" s="1128" t="s">
        <v>118</v>
      </c>
      <c r="C19" s="1237"/>
      <c r="D19" s="1210" t="s">
        <v>92</v>
      </c>
      <c r="E19" s="1130"/>
      <c r="F19" s="1210" t="s">
        <v>63</v>
      </c>
      <c r="G19" s="1246"/>
      <c r="H19" s="1321"/>
      <c r="I19" s="1320"/>
      <c r="J19" s="1129" t="s">
        <v>93</v>
      </c>
      <c r="K19" s="1237"/>
      <c r="L19" s="1210" t="s">
        <v>87</v>
      </c>
      <c r="M19" s="1130"/>
      <c r="N19" s="1320"/>
      <c r="O19" s="1320"/>
      <c r="P19" s="1129" t="s">
        <v>93</v>
      </c>
      <c r="Q19" s="1269"/>
      <c r="V19" s="34" t="s">
        <v>286</v>
      </c>
      <c r="W19" s="18"/>
      <c r="X19" s="18"/>
      <c r="Y19" s="1311"/>
      <c r="Z19" s="1128" t="s">
        <v>118</v>
      </c>
      <c r="AA19" s="1237"/>
      <c r="AB19" s="1210" t="s">
        <v>92</v>
      </c>
      <c r="AC19" s="1130"/>
      <c r="AD19" s="1210" t="s">
        <v>63</v>
      </c>
      <c r="AE19" s="1246"/>
      <c r="AF19" s="1380"/>
      <c r="AG19" s="1381"/>
      <c r="AH19" s="1129" t="s">
        <v>90</v>
      </c>
      <c r="AI19" s="1237"/>
      <c r="AJ19" s="1210" t="s">
        <v>87</v>
      </c>
      <c r="AK19" s="1130"/>
      <c r="AL19" s="1381"/>
      <c r="AM19" s="1381"/>
      <c r="AN19" s="1129" t="s">
        <v>90</v>
      </c>
      <c r="AO19" s="1269"/>
    </row>
    <row r="20" spans="1:44" s="34" customFormat="1" ht="18" customHeight="1">
      <c r="A20" s="1311"/>
      <c r="B20" s="1131"/>
      <c r="C20" s="1238"/>
      <c r="D20" s="1240"/>
      <c r="E20" s="1133"/>
      <c r="F20" s="1241"/>
      <c r="G20" s="1242"/>
      <c r="H20" s="1328"/>
      <c r="I20" s="1329"/>
      <c r="J20" s="1264"/>
      <c r="K20" s="1264"/>
      <c r="L20" s="1245"/>
      <c r="M20" s="1249"/>
      <c r="N20" s="1326"/>
      <c r="O20" s="1327"/>
      <c r="P20" s="1236"/>
      <c r="Q20" s="1267"/>
      <c r="V20" s="34" t="s">
        <v>289</v>
      </c>
      <c r="W20" s="18"/>
      <c r="X20" s="18"/>
      <c r="Y20" s="1311"/>
      <c r="Z20" s="1131"/>
      <c r="AA20" s="1238"/>
      <c r="AB20" s="1240"/>
      <c r="AC20" s="1133"/>
      <c r="AD20" s="1241"/>
      <c r="AE20" s="1242"/>
      <c r="AF20" s="1383"/>
      <c r="AG20" s="1384"/>
      <c r="AH20" s="1264"/>
      <c r="AI20" s="1264"/>
      <c r="AJ20" s="1245"/>
      <c r="AK20" s="1249"/>
      <c r="AL20" s="1385"/>
      <c r="AM20" s="1386"/>
      <c r="AN20" s="1236"/>
      <c r="AO20" s="1267"/>
    </row>
    <row r="21" spans="1:44" s="34" customFormat="1" ht="18" customHeight="1">
      <c r="A21" s="1311"/>
      <c r="B21" s="1239"/>
      <c r="C21" s="1238"/>
      <c r="D21" s="1240"/>
      <c r="E21" s="1133"/>
      <c r="F21" s="1147" t="s">
        <v>96</v>
      </c>
      <c r="G21" s="1277"/>
      <c r="H21" s="1330"/>
      <c r="I21" s="1331"/>
      <c r="J21" s="1257" t="s">
        <v>93</v>
      </c>
      <c r="K21" s="1243"/>
      <c r="L21" s="1233"/>
      <c r="M21" s="1234"/>
      <c r="N21" s="1234"/>
      <c r="O21" s="1234"/>
      <c r="P21" s="1234"/>
      <c r="Q21" s="1234"/>
      <c r="W21" s="18"/>
      <c r="X21" s="18"/>
      <c r="Y21" s="1311"/>
      <c r="Z21" s="1239"/>
      <c r="AA21" s="1238"/>
      <c r="AB21" s="1240"/>
      <c r="AC21" s="1133"/>
      <c r="AD21" s="1147" t="s">
        <v>96</v>
      </c>
      <c r="AE21" s="1277"/>
      <c r="AF21" s="1387"/>
      <c r="AG21" s="1388"/>
      <c r="AH21" s="1257" t="s">
        <v>90</v>
      </c>
      <c r="AI21" s="1243"/>
      <c r="AJ21" s="1233"/>
      <c r="AK21" s="1234"/>
      <c r="AL21" s="1234"/>
      <c r="AM21" s="1234"/>
      <c r="AN21" s="1234"/>
      <c r="AO21" s="1234"/>
    </row>
    <row r="22" spans="1:44" s="34" customFormat="1" ht="18" customHeight="1">
      <c r="A22" s="1311"/>
      <c r="B22" s="1239"/>
      <c r="C22" s="1238"/>
      <c r="D22" s="1241"/>
      <c r="E22" s="1242"/>
      <c r="F22" s="1241"/>
      <c r="G22" s="1242"/>
      <c r="H22" s="1328"/>
      <c r="I22" s="1329"/>
      <c r="J22" s="1264"/>
      <c r="K22" s="1264"/>
      <c r="L22" s="1235"/>
      <c r="M22" s="1236"/>
      <c r="N22" s="1236"/>
      <c r="O22" s="1236"/>
      <c r="P22" s="1236"/>
      <c r="Q22" s="1236"/>
      <c r="W22" s="18"/>
      <c r="X22" s="18"/>
      <c r="Y22" s="1311"/>
      <c r="Z22" s="1239"/>
      <c r="AA22" s="1238"/>
      <c r="AB22" s="1241"/>
      <c r="AC22" s="1242"/>
      <c r="AD22" s="1241"/>
      <c r="AE22" s="1242"/>
      <c r="AF22" s="1383"/>
      <c r="AG22" s="1384"/>
      <c r="AH22" s="1264"/>
      <c r="AI22" s="1264"/>
      <c r="AJ22" s="1235"/>
      <c r="AK22" s="1236"/>
      <c r="AL22" s="1236"/>
      <c r="AM22" s="1236"/>
      <c r="AN22" s="1236"/>
      <c r="AO22" s="1236"/>
    </row>
    <row r="23" spans="1:44" s="34" customFormat="1" ht="24" customHeight="1">
      <c r="A23" s="1311"/>
      <c r="B23" s="1239"/>
      <c r="C23" s="1238"/>
      <c r="D23" s="1147" t="s">
        <v>72</v>
      </c>
      <c r="E23" s="1243"/>
      <c r="F23" s="1322" t="s">
        <v>60</v>
      </c>
      <c r="G23" s="1323"/>
      <c r="H23" s="1254"/>
      <c r="I23" s="1255"/>
      <c r="J23" s="1255"/>
      <c r="K23" s="1256"/>
      <c r="L23" s="1318" t="s">
        <v>49</v>
      </c>
      <c r="M23" s="1319"/>
      <c r="N23" s="1324" t="str">
        <f>IF(H23="","",P19&amp;"/")</f>
        <v/>
      </c>
      <c r="O23" s="1325"/>
      <c r="P23" s="1252"/>
      <c r="Q23" s="1253"/>
      <c r="W23" s="18"/>
      <c r="X23" s="18"/>
      <c r="Y23" s="1311"/>
      <c r="Z23" s="1239"/>
      <c r="AA23" s="1238"/>
      <c r="AB23" s="1147" t="s">
        <v>72</v>
      </c>
      <c r="AC23" s="1243"/>
      <c r="AD23" s="1322" t="s">
        <v>60</v>
      </c>
      <c r="AE23" s="1323"/>
      <c r="AF23" s="1394"/>
      <c r="AG23" s="1395"/>
      <c r="AH23" s="1395"/>
      <c r="AI23" s="1396"/>
      <c r="AJ23" s="1318" t="s">
        <v>49</v>
      </c>
      <c r="AK23" s="1319"/>
      <c r="AL23" s="1324" t="str">
        <f>IF(AF23="","",AN19&amp;"/")</f>
        <v/>
      </c>
      <c r="AM23" s="1325"/>
      <c r="AN23" s="1397"/>
      <c r="AO23" s="1398"/>
      <c r="AR23" s="80"/>
    </row>
    <row r="24" spans="1:44" s="36" customFormat="1" ht="18" customHeight="1">
      <c r="A24" s="1311"/>
      <c r="B24" s="1239"/>
      <c r="C24" s="1238"/>
      <c r="D24" s="1244"/>
      <c r="E24" s="1238"/>
      <c r="F24" s="1147" t="s">
        <v>50</v>
      </c>
      <c r="G24" s="1277"/>
      <c r="H24" s="1250"/>
      <c r="I24" s="1251"/>
      <c r="J24" s="1257" t="str">
        <f>N23&amp;P23</f>
        <v/>
      </c>
      <c r="K24" s="1257"/>
      <c r="L24" s="1247" t="s">
        <v>61</v>
      </c>
      <c r="M24" s="1265"/>
      <c r="N24" s="1268"/>
      <c r="O24" s="1268"/>
      <c r="P24" s="1257" t="str">
        <f>N23&amp;P23</f>
        <v/>
      </c>
      <c r="Q24" s="1266"/>
      <c r="W24" s="7"/>
      <c r="X24" s="7"/>
      <c r="Y24" s="1311"/>
      <c r="Z24" s="1239"/>
      <c r="AA24" s="1238"/>
      <c r="AB24" s="1244"/>
      <c r="AC24" s="1238"/>
      <c r="AD24" s="1147" t="s">
        <v>50</v>
      </c>
      <c r="AE24" s="1277"/>
      <c r="AF24" s="1399"/>
      <c r="AG24" s="1391"/>
      <c r="AH24" s="1257" t="str">
        <f>AL23&amp;AN23</f>
        <v/>
      </c>
      <c r="AI24" s="1257"/>
      <c r="AJ24" s="1247" t="s">
        <v>61</v>
      </c>
      <c r="AK24" s="1265"/>
      <c r="AL24" s="1400"/>
      <c r="AM24" s="1400"/>
      <c r="AN24" s="1257" t="str">
        <f>AL23&amp;AN23</f>
        <v/>
      </c>
      <c r="AO24" s="1266"/>
    </row>
    <row r="25" spans="1:44" s="36" customFormat="1" ht="18" customHeight="1">
      <c r="A25" s="1311"/>
      <c r="B25" s="1239"/>
      <c r="C25" s="1238"/>
      <c r="D25" s="1244"/>
      <c r="E25" s="1238"/>
      <c r="F25" s="1241"/>
      <c r="G25" s="1242"/>
      <c r="H25" s="1260"/>
      <c r="I25" s="1261"/>
      <c r="J25" s="1264"/>
      <c r="K25" s="1264"/>
      <c r="L25" s="1245"/>
      <c r="M25" s="1249"/>
      <c r="N25" s="1262"/>
      <c r="O25" s="1263"/>
      <c r="P25" s="1236"/>
      <c r="Q25" s="1267"/>
      <c r="W25" s="7"/>
      <c r="X25" s="7"/>
      <c r="Y25" s="1311"/>
      <c r="Z25" s="1239"/>
      <c r="AA25" s="1238"/>
      <c r="AB25" s="1244"/>
      <c r="AC25" s="1238"/>
      <c r="AD25" s="1241"/>
      <c r="AE25" s="1242"/>
      <c r="AF25" s="1401"/>
      <c r="AG25" s="1402"/>
      <c r="AH25" s="1264"/>
      <c r="AI25" s="1264"/>
      <c r="AJ25" s="1245"/>
      <c r="AK25" s="1249"/>
      <c r="AL25" s="1392"/>
      <c r="AM25" s="1393"/>
      <c r="AN25" s="1236"/>
      <c r="AO25" s="1267"/>
    </row>
    <row r="26" spans="1:44" s="36" customFormat="1" ht="18" customHeight="1">
      <c r="A26" s="1311"/>
      <c r="B26" s="1239"/>
      <c r="C26" s="1238"/>
      <c r="D26" s="1244"/>
      <c r="E26" s="1238"/>
      <c r="F26" s="1247" t="s">
        <v>95</v>
      </c>
      <c r="G26" s="1248"/>
      <c r="H26" s="1251"/>
      <c r="I26" s="1251"/>
      <c r="J26" s="1257" t="str">
        <f>N23&amp;P23</f>
        <v/>
      </c>
      <c r="K26" s="1257"/>
      <c r="L26" s="1233"/>
      <c r="M26" s="1234"/>
      <c r="N26" s="1234"/>
      <c r="O26" s="1234"/>
      <c r="P26" s="1234"/>
      <c r="Q26" s="1234"/>
      <c r="W26" s="7"/>
      <c r="X26" s="7"/>
      <c r="Y26" s="1311"/>
      <c r="Z26" s="1239"/>
      <c r="AA26" s="1238"/>
      <c r="AB26" s="1244"/>
      <c r="AC26" s="1238"/>
      <c r="AD26" s="1247" t="s">
        <v>95</v>
      </c>
      <c r="AE26" s="1248"/>
      <c r="AF26" s="1391"/>
      <c r="AG26" s="1391"/>
      <c r="AH26" s="1257" t="str">
        <f>AL23&amp;AN23</f>
        <v/>
      </c>
      <c r="AI26" s="1257"/>
      <c r="AJ26" s="1233"/>
      <c r="AK26" s="1234"/>
      <c r="AL26" s="1234"/>
      <c r="AM26" s="1234"/>
      <c r="AN26" s="1234"/>
      <c r="AO26" s="1234"/>
    </row>
    <row r="27" spans="1:44" s="36" customFormat="1" ht="18" customHeight="1" thickBot="1">
      <c r="A27" s="1312"/>
      <c r="B27" s="1235"/>
      <c r="C27" s="1236"/>
      <c r="D27" s="1245"/>
      <c r="E27" s="1236"/>
      <c r="F27" s="1245"/>
      <c r="G27" s="1249"/>
      <c r="H27" s="1262"/>
      <c r="I27" s="1263"/>
      <c r="J27" s="1236"/>
      <c r="K27" s="1236"/>
      <c r="L27" s="1258"/>
      <c r="M27" s="1259"/>
      <c r="N27" s="1259"/>
      <c r="O27" s="1259"/>
      <c r="P27" s="1259"/>
      <c r="Q27" s="1259"/>
      <c r="W27" s="11"/>
      <c r="X27" s="34"/>
      <c r="Y27" s="1312"/>
      <c r="Z27" s="1235"/>
      <c r="AA27" s="1236"/>
      <c r="AB27" s="1245"/>
      <c r="AC27" s="1236"/>
      <c r="AD27" s="1245"/>
      <c r="AE27" s="1249"/>
      <c r="AF27" s="1392"/>
      <c r="AG27" s="1393"/>
      <c r="AH27" s="1236"/>
      <c r="AI27" s="1236"/>
      <c r="AJ27" s="1258"/>
      <c r="AK27" s="1259"/>
      <c r="AL27" s="1259"/>
      <c r="AM27" s="1259"/>
      <c r="AN27" s="1259"/>
      <c r="AO27" s="1259"/>
    </row>
    <row r="34" spans="23:24">
      <c r="W34" s="34"/>
      <c r="X34" s="34"/>
    </row>
    <row r="35" spans="23:24">
      <c r="W35" s="8"/>
      <c r="X35" s="8"/>
    </row>
    <row r="36" spans="23:24">
      <c r="W36" s="8"/>
      <c r="X36" s="8"/>
    </row>
    <row r="37" spans="23:24">
      <c r="W37" s="8"/>
      <c r="X37" s="8"/>
    </row>
    <row r="38" spans="23:24">
      <c r="W38" s="8"/>
      <c r="X38" s="8"/>
    </row>
    <row r="39" spans="23:24">
      <c r="W39" s="8"/>
      <c r="X39" s="8"/>
    </row>
  </sheetData>
  <sheetProtection algorithmName="SHA-512" hashValue="ziI/SYMeDlRvMz1djDyvivQJThiZnnh/0OJ0S57+L1J9NBE76CfagaZULl/WH7vzWU19WKYXYRW3zkTqzajDqw==" saltValue="2KT6t4h7MNTOeVefTOFezQ==" spinCount="100000" sheet="1" formatCells="0"/>
  <mergeCells count="176">
    <mergeCell ref="R7:S7"/>
    <mergeCell ref="T9:T11"/>
    <mergeCell ref="T14:T16"/>
    <mergeCell ref="AD26:AE27"/>
    <mergeCell ref="AF26:AG26"/>
    <mergeCell ref="AH26:AI27"/>
    <mergeCell ref="AJ26:AO27"/>
    <mergeCell ref="AF27:AG27"/>
    <mergeCell ref="AD23:AE23"/>
    <mergeCell ref="AF23:AI23"/>
    <mergeCell ref="AJ23:AK23"/>
    <mergeCell ref="AL23:AM23"/>
    <mergeCell ref="AN23:AO23"/>
    <mergeCell ref="AD24:AE25"/>
    <mergeCell ref="AF24:AG24"/>
    <mergeCell ref="AH24:AI25"/>
    <mergeCell ref="AJ24:AK25"/>
    <mergeCell ref="AL24:AM24"/>
    <mergeCell ref="AN24:AO25"/>
    <mergeCell ref="AF25:AG25"/>
    <mergeCell ref="AL25:AM25"/>
    <mergeCell ref="AB15:AC16"/>
    <mergeCell ref="AD15:AF15"/>
    <mergeCell ref="AG15:AH16"/>
    <mergeCell ref="AI15:AO16"/>
    <mergeCell ref="AD16:AF16"/>
    <mergeCell ref="AN19:AO20"/>
    <mergeCell ref="AF20:AG20"/>
    <mergeCell ref="AL20:AM20"/>
    <mergeCell ref="AD21:AE22"/>
    <mergeCell ref="AF21:AG21"/>
    <mergeCell ref="AH21:AI22"/>
    <mergeCell ref="AJ21:AO22"/>
    <mergeCell ref="AF22:AG22"/>
    <mergeCell ref="Z17:AC17"/>
    <mergeCell ref="AD17:AO17"/>
    <mergeCell ref="Z18:AO18"/>
    <mergeCell ref="Z19:AA27"/>
    <mergeCell ref="AB19:AC22"/>
    <mergeCell ref="AD19:AE20"/>
    <mergeCell ref="AF19:AG19"/>
    <mergeCell ref="AH19:AI20"/>
    <mergeCell ref="AJ19:AK20"/>
    <mergeCell ref="AL19:AM19"/>
    <mergeCell ref="AB23:AC27"/>
    <mergeCell ref="AK12:AL12"/>
    <mergeCell ref="AM12:AN12"/>
    <mergeCell ref="AB13:AC14"/>
    <mergeCell ref="AD13:AF13"/>
    <mergeCell ref="AG13:AH14"/>
    <mergeCell ref="AI13:AJ14"/>
    <mergeCell ref="AK13:AM13"/>
    <mergeCell ref="AN13:AO14"/>
    <mergeCell ref="AD14:AF14"/>
    <mergeCell ref="AK14:AM14"/>
    <mergeCell ref="Y5:AO5"/>
    <mergeCell ref="Y6:Y27"/>
    <mergeCell ref="Z6:AA11"/>
    <mergeCell ref="AB6:AC7"/>
    <mergeCell ref="AD6:AE6"/>
    <mergeCell ref="AG6:AH6"/>
    <mergeCell ref="AI6:AO7"/>
    <mergeCell ref="AB8:AC9"/>
    <mergeCell ref="AD8:AF8"/>
    <mergeCell ref="AG8:AH9"/>
    <mergeCell ref="AI8:AJ9"/>
    <mergeCell ref="AK8:AM8"/>
    <mergeCell ref="AN8:AO9"/>
    <mergeCell ref="AD9:AF9"/>
    <mergeCell ref="AK9:AM9"/>
    <mergeCell ref="AB10:AC11"/>
    <mergeCell ref="AD10:AF10"/>
    <mergeCell ref="AG10:AH11"/>
    <mergeCell ref="AI10:AO11"/>
    <mergeCell ref="AD11:AF11"/>
    <mergeCell ref="Z12:AA16"/>
    <mergeCell ref="AB12:AC12"/>
    <mergeCell ref="AD12:AH12"/>
    <mergeCell ref="AI12:AJ12"/>
    <mergeCell ref="Y1:AO1"/>
    <mergeCell ref="Y2:AO2"/>
    <mergeCell ref="Y3:Y4"/>
    <mergeCell ref="Z3:AA3"/>
    <mergeCell ref="AF3:AH3"/>
    <mergeCell ref="AI3:AJ3"/>
    <mergeCell ref="AK3:AL3"/>
    <mergeCell ref="AN3:AO3"/>
    <mergeCell ref="Z4:AO4"/>
    <mergeCell ref="B17:E17"/>
    <mergeCell ref="F17:Q17"/>
    <mergeCell ref="B12:C16"/>
    <mergeCell ref="D13:E14"/>
    <mergeCell ref="F15:H15"/>
    <mergeCell ref="F13:H13"/>
    <mergeCell ref="D15:E16"/>
    <mergeCell ref="I13:J14"/>
    <mergeCell ref="K15:Q16"/>
    <mergeCell ref="P13:Q14"/>
    <mergeCell ref="M12:N12"/>
    <mergeCell ref="O12:P12"/>
    <mergeCell ref="F14:H14"/>
    <mergeCell ref="M14:O14"/>
    <mergeCell ref="K12:L12"/>
    <mergeCell ref="F12:J12"/>
    <mergeCell ref="M13:O13"/>
    <mergeCell ref="K13:L14"/>
    <mergeCell ref="A2:Q2"/>
    <mergeCell ref="A3:A4"/>
    <mergeCell ref="P3:Q3"/>
    <mergeCell ref="B4:Q4"/>
    <mergeCell ref="A6:A27"/>
    <mergeCell ref="F16:H16"/>
    <mergeCell ref="H27:I27"/>
    <mergeCell ref="F24:G25"/>
    <mergeCell ref="D12:E12"/>
    <mergeCell ref="B18:Q18"/>
    <mergeCell ref="L23:M23"/>
    <mergeCell ref="N19:O19"/>
    <mergeCell ref="H19:I19"/>
    <mergeCell ref="F23:G23"/>
    <mergeCell ref="F21:G22"/>
    <mergeCell ref="N23:O23"/>
    <mergeCell ref="N20:O20"/>
    <mergeCell ref="H20:I20"/>
    <mergeCell ref="J19:K20"/>
    <mergeCell ref="L19:M20"/>
    <mergeCell ref="J21:K22"/>
    <mergeCell ref="H21:I21"/>
    <mergeCell ref="H22:I22"/>
    <mergeCell ref="I15:J16"/>
    <mergeCell ref="B3:C3"/>
    <mergeCell ref="M3:N3"/>
    <mergeCell ref="B6:C11"/>
    <mergeCell ref="D8:E9"/>
    <mergeCell ref="M8:O8"/>
    <mergeCell ref="D10:E11"/>
    <mergeCell ref="I8:J9"/>
    <mergeCell ref="K8:L9"/>
    <mergeCell ref="K3:L3"/>
    <mergeCell ref="I6:J6"/>
    <mergeCell ref="F10:H10"/>
    <mergeCell ref="F9:H9"/>
    <mergeCell ref="A5:Q5"/>
    <mergeCell ref="K6:Q7"/>
    <mergeCell ref="F6:G6"/>
    <mergeCell ref="H3:J3"/>
    <mergeCell ref="D6:E7"/>
    <mergeCell ref="P8:Q9"/>
    <mergeCell ref="I10:J11"/>
    <mergeCell ref="K10:Q11"/>
    <mergeCell ref="M9:O9"/>
    <mergeCell ref="F11:H11"/>
    <mergeCell ref="R8:R9"/>
    <mergeCell ref="S8:S9"/>
    <mergeCell ref="R13:R14"/>
    <mergeCell ref="S13:S14"/>
    <mergeCell ref="L21:Q22"/>
    <mergeCell ref="B19:C27"/>
    <mergeCell ref="D19:E22"/>
    <mergeCell ref="D23:E27"/>
    <mergeCell ref="F19:G20"/>
    <mergeCell ref="F26:G27"/>
    <mergeCell ref="H24:I24"/>
    <mergeCell ref="P23:Q23"/>
    <mergeCell ref="H23:K23"/>
    <mergeCell ref="J26:K27"/>
    <mergeCell ref="L26:Q27"/>
    <mergeCell ref="H25:I25"/>
    <mergeCell ref="N25:O25"/>
    <mergeCell ref="H26:I26"/>
    <mergeCell ref="J24:K25"/>
    <mergeCell ref="L24:M25"/>
    <mergeCell ref="P24:Q25"/>
    <mergeCell ref="N24:O24"/>
    <mergeCell ref="P19:Q20"/>
    <mergeCell ref="F8:H8"/>
  </mergeCells>
  <phoneticPr fontId="4"/>
  <conditionalFormatting sqref="N19:O20 H19:I22 H23:K23 P23:Q23 N24:O25 H24:I27">
    <cfRule type="notContainsBlanks" dxfId="1" priority="1">
      <formula>LEN(TRIM(H19))&gt;0</formula>
    </cfRule>
  </conditionalFormatting>
  <dataValidations xWindow="401" yWindow="582" count="14">
    <dataValidation type="whole" allowBlank="1" showInputMessage="1" showErrorMessage="1" promptTitle="通常記入不要" prompt="計画書に記載した年度を、半角数字で転記してください。（和暦）" sqref="AE7 AG7" xr:uid="{00000000-0002-0000-0600-000000000000}">
      <formula1>1</formula1>
      <formula2>99</formula2>
    </dataValidation>
    <dataValidation allowBlank="1" showInputMessage="1" showErrorMessage="1" prompt="計画書に記載した数値を半角で転記してください。" sqref="AF19:AG20 AL24:AM25 AL19:AM20 AF24:AG25 AD13:AF14 AK13:AM14 AK8:AM9 AD8:AF9" xr:uid="{00000000-0002-0000-0600-000001000000}"/>
    <dataValidation allowBlank="1" showInputMessage="1" showErrorMessage="1" prompt="基礎排出係数を使用して算出した有効数字3桁の排出量を半角で入力してください。" sqref="AF21:AG21 AD10:AF10" xr:uid="{00000000-0002-0000-0600-000002000000}"/>
    <dataValidation allowBlank="1" showInputMessage="1" showErrorMessage="1" prompt="調整後排出係数を使用して算出した有効数字3桁の排出量を半角で入力してください。" sqref="AF22:AG22 AD11:AF11" xr:uid="{00000000-0002-0000-0600-000003000000}"/>
    <dataValidation allowBlank="1" showInputMessage="1" showErrorMessage="1" prompt="調整後排出係数に基づく排出量原単位を、原則として有効数字3桁半角で入力してください。" sqref="AF27:AG27 AD16:AF16" xr:uid="{00000000-0002-0000-0600-000004000000}"/>
    <dataValidation allowBlank="1" showInputMessage="1" showErrorMessage="1" prompt="「原単位の指標の種類」に記入した指標の単位を入力してください。" sqref="AN23:AO23 AM12:AN12" xr:uid="{00000000-0002-0000-0600-000005000000}"/>
    <dataValidation allowBlank="1" showInputMessage="1" showErrorMessage="1" prompt="全角1,000文字（24行）まで入力できます。" sqref="AD17:AO17" xr:uid="{00000000-0002-0000-0600-000006000000}"/>
    <dataValidation allowBlank="1" showInputMessage="1" showErrorMessage="1" prompt="基礎排出係数に基づく排出量原単位を、原則として有効数字3桁半角で入力してください。" sqref="AF26:AG26 AD15:AF15" xr:uid="{00000000-0002-0000-0600-000007000000}"/>
    <dataValidation type="whole" imeMode="halfAlpha" allowBlank="1" showInputMessage="1" showErrorMessage="1" prompt="西暦4ケタ・半角数字で入力" sqref="AB3 AE3" xr:uid="{00000000-0002-0000-0600-000008000000}">
      <formula1>2010</formula1>
      <formula2>2030</formula2>
    </dataValidation>
    <dataValidation imeMode="halfAlpha" allowBlank="1" showInputMessage="1" showErrorMessage="1" sqref="F8:H11 M8:O9 M13:O14 F13:H16 N24:O25 H6 N19:O20 H19:I22 H24:I27" xr:uid="{00000000-0002-0000-0600-000009000000}"/>
    <dataValidation type="whole" imeMode="halfAlpha" allowBlank="1" showInputMessage="1" showErrorMessage="1" promptTitle="通常記入不要" prompt="基準排出量に3年間の平均値を使用する場合のみ、算定期間の初年度を西暦4ケタ・半角数字で入力" sqref="G7" xr:uid="{00000000-0002-0000-0600-00000A000000}">
      <formula1>2010</formula1>
      <formula2>2030</formula2>
    </dataValidation>
    <dataValidation type="whole" imeMode="halfAlpha" allowBlank="1" showInputMessage="1" showErrorMessage="1" promptTitle="通常記入不要" prompt="基準排出量に3年間の平均値を使用する場合のみ、算定期間の最終年度（計画書の提出年度の前年度）を西暦4ケタ・半角数字で入力" sqref="I7" xr:uid="{00000000-0002-0000-0600-00000B000000}">
      <formula1>2010</formula1>
      <formula2>2030</formula2>
    </dataValidation>
    <dataValidation type="whole" imeMode="halfAlpha" allowBlank="1" showInputMessage="1" showErrorMessage="1" sqref="G3" xr:uid="{00000000-0002-0000-0600-00000C000000}">
      <formula1>LEFT(T1,4)-1+1</formula1>
      <formula2>D3+4</formula2>
    </dataValidation>
    <dataValidation type="whole" imeMode="halfAlpha" allowBlank="1" showInputMessage="1" showErrorMessage="1" sqref="D3" xr:uid="{00000000-0002-0000-0600-00000D000000}">
      <formula1>LEFT(T1,4)-4</formula1>
      <formula2>LEFT(T1,4)-1</formula2>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17</xdr:col>
                    <xdr:colOff>335280</xdr:colOff>
                    <xdr:row>1</xdr:row>
                    <xdr:rowOff>137160</xdr:rowOff>
                  </from>
                  <to>
                    <xdr:col>17</xdr:col>
                    <xdr:colOff>655320</xdr:colOff>
                    <xdr:row>2</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17</xdr:col>
                    <xdr:colOff>342900</xdr:colOff>
                    <xdr:row>16</xdr:row>
                    <xdr:rowOff>2430780</xdr:rowOff>
                  </from>
                  <to>
                    <xdr:col>17</xdr:col>
                    <xdr:colOff>655320</xdr:colOff>
                    <xdr:row>16</xdr:row>
                    <xdr:rowOff>2727960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17</xdr:col>
                    <xdr:colOff>495300</xdr:colOff>
                    <xdr:row>18</xdr:row>
                    <xdr:rowOff>0</xdr:rowOff>
                  </from>
                  <to>
                    <xdr:col>17</xdr:col>
                    <xdr:colOff>807720</xdr:colOff>
                    <xdr:row>19</xdr:row>
                    <xdr:rowOff>68580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tabColor indexed="13"/>
    <pageSetUpPr fitToPage="1"/>
  </sheetPr>
  <dimension ref="A1:AV39"/>
  <sheetViews>
    <sheetView showGridLines="0" view="pageBreakPreview" topLeftCell="C1" zoomScaleNormal="85" zoomScaleSheetLayoutView="100" workbookViewId="0">
      <selection activeCell="F5" sqref="F5:H5"/>
    </sheetView>
  </sheetViews>
  <sheetFormatPr defaultColWidth="9" defaultRowHeight="10.8" outlineLevelCol="1"/>
  <cols>
    <col min="1" max="1" width="2.109375" style="7" customWidth="1"/>
    <col min="2" max="2" width="5.33203125" style="34" customWidth="1"/>
    <col min="3" max="4" width="5.33203125" style="7" customWidth="1"/>
    <col min="5" max="5" width="6.33203125" style="39" customWidth="1"/>
    <col min="6" max="6" width="5.33203125" style="39" customWidth="1"/>
    <col min="7" max="17" width="5.33203125" style="7" customWidth="1"/>
    <col min="18" max="18" width="14" style="7" customWidth="1"/>
    <col min="19" max="19" width="11.44140625" style="7" customWidth="1"/>
    <col min="20" max="20" width="16.88671875" style="7" customWidth="1"/>
    <col min="21" max="21" width="9" style="7" hidden="1" customWidth="1" outlineLevel="1"/>
    <col min="22" max="22" width="66.21875" style="7" hidden="1" customWidth="1" outlineLevel="1"/>
    <col min="23" max="23" width="3.109375" style="7" customWidth="1" collapsed="1"/>
    <col min="24" max="24" width="3.109375" style="7" customWidth="1"/>
    <col min="25" max="25" width="2.109375" style="7" customWidth="1"/>
    <col min="26" max="26" width="5.33203125" style="34" customWidth="1"/>
    <col min="27" max="28" width="5.33203125" style="7" customWidth="1"/>
    <col min="29" max="29" width="6.77734375" style="39" customWidth="1"/>
    <col min="30" max="30" width="5.33203125" style="39" customWidth="1"/>
    <col min="31" max="41" width="5.33203125" style="7" customWidth="1"/>
    <col min="42" max="42" width="4.77734375" style="7" customWidth="1"/>
    <col min="43" max="16384" width="9" style="7"/>
  </cols>
  <sheetData>
    <row r="1" spans="1:48" ht="12" customHeight="1">
      <c r="A1" s="36" t="s">
        <v>35</v>
      </c>
      <c r="B1" s="36"/>
      <c r="C1" s="36"/>
      <c r="D1" s="36"/>
      <c r="E1" s="36"/>
      <c r="F1" s="36"/>
      <c r="G1" s="36"/>
      <c r="H1" s="36"/>
      <c r="I1" s="36"/>
      <c r="J1" s="36"/>
      <c r="K1" s="36"/>
      <c r="L1" s="36"/>
      <c r="M1" s="36"/>
      <c r="N1" s="36"/>
      <c r="O1" s="36"/>
      <c r="P1" s="36"/>
      <c r="Q1" s="113">
        <f>報告1面!$M$11</f>
        <v>0</v>
      </c>
      <c r="T1" s="108" t="str">
        <f>報告1面!$Z$1</f>
        <v>2026ver2</v>
      </c>
      <c r="U1" s="69" t="s">
        <v>282</v>
      </c>
      <c r="V1" s="69" t="s">
        <v>281</v>
      </c>
      <c r="W1" s="6"/>
      <c r="X1" s="6"/>
      <c r="Y1" s="1356" t="s">
        <v>35</v>
      </c>
      <c r="Z1" s="1356"/>
      <c r="AA1" s="1356"/>
      <c r="AB1" s="1356"/>
      <c r="AC1" s="1356"/>
      <c r="AD1" s="1356"/>
      <c r="AE1" s="1356"/>
      <c r="AF1" s="1356"/>
      <c r="AG1" s="1356"/>
      <c r="AH1" s="1356"/>
      <c r="AI1" s="1356"/>
      <c r="AJ1" s="1356"/>
      <c r="AK1" s="1356"/>
      <c r="AL1" s="1356"/>
      <c r="AM1" s="1356"/>
      <c r="AN1" s="1356"/>
      <c r="AO1" s="1356"/>
    </row>
    <row r="2" spans="1:48" s="34" customFormat="1" ht="15" customHeight="1" thickBot="1">
      <c r="A2" s="1185" t="s">
        <v>303</v>
      </c>
      <c r="B2" s="1185"/>
      <c r="C2" s="1185"/>
      <c r="D2" s="1185"/>
      <c r="E2" s="1185"/>
      <c r="F2" s="1185"/>
      <c r="G2" s="1185"/>
      <c r="H2" s="1185"/>
      <c r="I2" s="1185"/>
      <c r="J2" s="1185"/>
      <c r="K2" s="1185"/>
      <c r="L2" s="1185"/>
      <c r="M2" s="1185"/>
      <c r="N2" s="1185"/>
      <c r="O2" s="1185"/>
      <c r="P2" s="1185"/>
      <c r="Q2" s="1185"/>
      <c r="W2" s="7"/>
      <c r="X2" s="7"/>
      <c r="Y2" s="1185" t="s">
        <v>303</v>
      </c>
      <c r="Z2" s="1185"/>
      <c r="AA2" s="1185"/>
      <c r="AB2" s="1185"/>
      <c r="AC2" s="1185"/>
      <c r="AD2" s="1185"/>
      <c r="AE2" s="1185"/>
      <c r="AF2" s="1185"/>
      <c r="AG2" s="1185"/>
      <c r="AH2" s="1185"/>
      <c r="AI2" s="1185"/>
      <c r="AJ2" s="1185"/>
      <c r="AK2" s="1185"/>
      <c r="AL2" s="1185"/>
      <c r="AM2" s="1185"/>
      <c r="AN2" s="1185"/>
      <c r="AO2" s="1185"/>
    </row>
    <row r="3" spans="1:48" s="34" customFormat="1" ht="18" customHeight="1">
      <c r="A3" s="1311"/>
      <c r="B3" s="1128" t="s">
        <v>119</v>
      </c>
      <c r="C3" s="1130"/>
      <c r="D3" s="1099" t="s">
        <v>3</v>
      </c>
      <c r="E3" s="1093"/>
      <c r="F3" s="1297"/>
      <c r="G3" s="1298"/>
      <c r="H3" s="126" t="str">
        <f>IF(報告2面!D3="","",IF(報告1面!E22="■",報告2面!D3-1,""))</f>
        <v/>
      </c>
      <c r="I3" s="1288" t="s">
        <v>4</v>
      </c>
      <c r="J3" s="1289"/>
      <c r="K3" s="1294"/>
      <c r="L3" s="1180"/>
      <c r="M3" s="1180"/>
      <c r="N3" s="1180"/>
      <c r="O3" s="1180"/>
      <c r="P3" s="1180"/>
      <c r="Q3" s="1180"/>
      <c r="V3" s="34" t="s">
        <v>285</v>
      </c>
      <c r="W3" s="61"/>
      <c r="Y3" s="1311"/>
      <c r="Z3" s="1128" t="s">
        <v>119</v>
      </c>
      <c r="AA3" s="1130"/>
      <c r="AB3" s="1099" t="s">
        <v>3</v>
      </c>
      <c r="AC3" s="1093"/>
      <c r="AD3" s="1297"/>
      <c r="AE3" s="1298"/>
      <c r="AF3" s="98">
        <f>LEFT(T1,4)-4</f>
        <v>2022</v>
      </c>
      <c r="AG3" s="1288" t="s">
        <v>4</v>
      </c>
      <c r="AH3" s="1289"/>
      <c r="AI3" s="1294"/>
      <c r="AJ3" s="1180"/>
      <c r="AK3" s="1180"/>
      <c r="AL3" s="1180"/>
      <c r="AM3" s="1180"/>
      <c r="AN3" s="1180"/>
      <c r="AO3" s="1180"/>
    </row>
    <row r="4" spans="1:48" s="34" customFormat="1" ht="18" customHeight="1">
      <c r="A4" s="1311"/>
      <c r="B4" s="1131"/>
      <c r="C4" s="1133"/>
      <c r="D4" s="1301"/>
      <c r="E4" s="1302"/>
      <c r="F4" s="82" t="s">
        <v>88</v>
      </c>
      <c r="G4" s="78"/>
      <c r="H4" s="83" t="s">
        <v>89</v>
      </c>
      <c r="I4" s="78"/>
      <c r="J4" s="80" t="s">
        <v>71</v>
      </c>
      <c r="K4" s="1295"/>
      <c r="L4" s="1296"/>
      <c r="M4" s="1296"/>
      <c r="N4" s="1296"/>
      <c r="O4" s="1296"/>
      <c r="P4" s="1296"/>
      <c r="Q4" s="1296"/>
      <c r="V4" s="34" t="s">
        <v>284</v>
      </c>
      <c r="W4" s="8"/>
      <c r="X4" s="8"/>
      <c r="Y4" s="1311"/>
      <c r="Z4" s="1131"/>
      <c r="AA4" s="1133"/>
      <c r="AB4" s="1301"/>
      <c r="AC4" s="1302"/>
      <c r="AD4" s="82" t="s">
        <v>88</v>
      </c>
      <c r="AE4" s="78"/>
      <c r="AF4" s="83" t="s">
        <v>89</v>
      </c>
      <c r="AG4" s="78"/>
      <c r="AH4" s="80" t="s">
        <v>71</v>
      </c>
      <c r="AI4" s="1295"/>
      <c r="AJ4" s="1296"/>
      <c r="AK4" s="1296"/>
      <c r="AL4" s="1296"/>
      <c r="AM4" s="1296"/>
      <c r="AN4" s="1296"/>
      <c r="AO4" s="1296"/>
    </row>
    <row r="5" spans="1:48" s="34" customFormat="1" ht="36" customHeight="1">
      <c r="A5" s="1311"/>
      <c r="B5" s="1131"/>
      <c r="C5" s="1133"/>
      <c r="D5" s="1322" t="s">
        <v>58</v>
      </c>
      <c r="E5" s="1323"/>
      <c r="F5" s="1416"/>
      <c r="G5" s="1424"/>
      <c r="H5" s="1424"/>
      <c r="I5" s="1473" t="s">
        <v>90</v>
      </c>
      <c r="J5" s="1474"/>
      <c r="K5" s="1446" t="s">
        <v>59</v>
      </c>
      <c r="L5" s="1475"/>
      <c r="M5" s="1425"/>
      <c r="N5" s="1425"/>
      <c r="O5" s="1425"/>
      <c r="P5" s="1417" t="s">
        <v>91</v>
      </c>
      <c r="Q5" s="1418"/>
      <c r="R5" s="146" t="s">
        <v>275</v>
      </c>
      <c r="S5" s="87" t="s">
        <v>277</v>
      </c>
      <c r="V5" s="34" t="s">
        <v>293</v>
      </c>
      <c r="W5" s="7"/>
      <c r="X5" s="7"/>
      <c r="Y5" s="1311"/>
      <c r="Z5" s="1131"/>
      <c r="AA5" s="1133"/>
      <c r="AB5" s="1322" t="s">
        <v>58</v>
      </c>
      <c r="AC5" s="1323"/>
      <c r="AD5" s="1491">
        <v>3980</v>
      </c>
      <c r="AE5" s="1492"/>
      <c r="AF5" s="1492"/>
      <c r="AG5" s="1473" t="s">
        <v>90</v>
      </c>
      <c r="AH5" s="1474"/>
      <c r="AI5" s="1446" t="s">
        <v>59</v>
      </c>
      <c r="AJ5" s="1475"/>
      <c r="AK5" s="1490">
        <v>3830</v>
      </c>
      <c r="AL5" s="1490"/>
      <c r="AM5" s="1490"/>
      <c r="AN5" s="1417" t="s">
        <v>90</v>
      </c>
      <c r="AO5" s="1418"/>
    </row>
    <row r="6" spans="1:48" ht="36" customHeight="1">
      <c r="A6" s="1311"/>
      <c r="B6" s="1403"/>
      <c r="C6" s="1404"/>
      <c r="D6" s="1422" t="s">
        <v>94</v>
      </c>
      <c r="E6" s="1423"/>
      <c r="F6" s="1440" t="str">
        <f>IF(報告1面!Y22="○",INDEX(参考3_排出量経年!L273:O273,MATCH(報告2面!O3,参考3_排出量経年!L5:O5)),IF(報告1面!Y23="○",INDEX(参考3_排出量経年!T273:W273,MATCH(報告2面!O3,参考3_排出量経年!T5:W5)),""))</f>
        <v/>
      </c>
      <c r="G6" s="1487"/>
      <c r="H6" s="1487"/>
      <c r="I6" s="1441" t="s">
        <v>90</v>
      </c>
      <c r="J6" s="1489"/>
      <c r="K6" s="1485"/>
      <c r="L6" s="1486"/>
      <c r="M6" s="1486"/>
      <c r="N6" s="1486"/>
      <c r="O6" s="1486"/>
      <c r="P6" s="1486"/>
      <c r="Q6" s="1486"/>
      <c r="R6" s="145" t="str">
        <f ca="1">IFERROR(HLOOKUP(報告2面!$O$3-1&amp;"年度排出量（大_3号_基礎）",INDIRECT("A.貼付_"&amp;報告2面!O3+1&amp;"提出!$Q$9:$HB$11"),3,FALSE),"")</f>
        <v/>
      </c>
      <c r="S6" s="141" t="e">
        <f ca="1">F6/R6*100-100</f>
        <v>#VALUE!</v>
      </c>
      <c r="T6" s="90" t="s">
        <v>290</v>
      </c>
      <c r="W6" s="8"/>
      <c r="X6" s="8"/>
      <c r="Y6" s="1311"/>
      <c r="Z6" s="1403"/>
      <c r="AA6" s="1404"/>
      <c r="AB6" s="1422" t="s">
        <v>94</v>
      </c>
      <c r="AC6" s="1423"/>
      <c r="AD6" s="1491">
        <v>3940</v>
      </c>
      <c r="AE6" s="1492"/>
      <c r="AF6" s="1492"/>
      <c r="AG6" s="1441" t="s">
        <v>90</v>
      </c>
      <c r="AH6" s="1489"/>
      <c r="AI6" s="1485"/>
      <c r="AJ6" s="1486"/>
      <c r="AK6" s="1486"/>
      <c r="AL6" s="1486"/>
      <c r="AM6" s="1486"/>
      <c r="AN6" s="1486"/>
      <c r="AO6" s="1486"/>
    </row>
    <row r="7" spans="1:48" ht="36" customHeight="1">
      <c r="A7" s="1311"/>
      <c r="B7" s="1128" t="s">
        <v>120</v>
      </c>
      <c r="C7" s="1246"/>
      <c r="D7" s="1322" t="s">
        <v>60</v>
      </c>
      <c r="E7" s="1323"/>
      <c r="F7" s="1478" t="str">
        <f>IFERROR(IF(報告1面!Y22="○",INDEX(参考2_エネ使用量経年!L163:O163,MATCH(報告2面!O3,参考2_エネ使用量経年!L6:O6)),IF(報告1面!Y23="○",INDEX(参考2_エネ使用量経年!T163:W163,MATCH(報告2面!O3,参考2_エネ使用量経年!T6:W6)),"")),"")</f>
        <v/>
      </c>
      <c r="G7" s="1479"/>
      <c r="H7" s="1479"/>
      <c r="I7" s="1479"/>
      <c r="J7" s="1480"/>
      <c r="K7" s="1318" t="s">
        <v>49</v>
      </c>
      <c r="L7" s="1319"/>
      <c r="M7" s="1419" t="str">
        <f>IF(F7="","",P5&amp;"/")</f>
        <v/>
      </c>
      <c r="N7" s="1420"/>
      <c r="O7" s="1421" t="str">
        <f>IFERROR(IF(報告1面!Y22="○",INDEX(参考2_エネ使用量経年!L164:O164,MATCH(報告2面!O3,参考2_エネ使用量経年!L6:O6)),IF(報告1面!Y23="○",INDEX(参考2_エネ使用量経年!T164:W164,MATCH(報告2面!O3,参考2_エネ使用量経年!T6:W6)),"")),"")</f>
        <v/>
      </c>
      <c r="P7" s="1421"/>
      <c r="Q7" s="127"/>
      <c r="R7" s="139"/>
      <c r="S7" s="143"/>
      <c r="W7" s="8"/>
      <c r="X7" s="8"/>
      <c r="Y7" s="1311"/>
      <c r="Z7" s="1128" t="s">
        <v>120</v>
      </c>
      <c r="AA7" s="1246"/>
      <c r="AB7" s="1322" t="s">
        <v>60</v>
      </c>
      <c r="AC7" s="1323"/>
      <c r="AD7" s="1430" t="s">
        <v>130</v>
      </c>
      <c r="AE7" s="1431"/>
      <c r="AF7" s="1431"/>
      <c r="AG7" s="1431"/>
      <c r="AH7" s="1432"/>
      <c r="AI7" s="1318" t="s">
        <v>49</v>
      </c>
      <c r="AJ7" s="1319"/>
      <c r="AK7" s="1324" t="str">
        <f>IF(AD7="","",AN5&amp;"/")</f>
        <v>tCO2/</v>
      </c>
      <c r="AL7" s="1325"/>
      <c r="AM7" s="1500" t="s">
        <v>131</v>
      </c>
      <c r="AN7" s="1500"/>
      <c r="AO7" s="35"/>
    </row>
    <row r="8" spans="1:48" ht="36" customHeight="1" thickBot="1">
      <c r="A8" s="1311"/>
      <c r="B8" s="1131"/>
      <c r="C8" s="1429"/>
      <c r="D8" s="1322" t="s">
        <v>50</v>
      </c>
      <c r="E8" s="1323"/>
      <c r="F8" s="1449"/>
      <c r="G8" s="1450"/>
      <c r="H8" s="1450"/>
      <c r="I8" s="1257" t="str">
        <f>M7&amp;O7</f>
        <v/>
      </c>
      <c r="J8" s="1257"/>
      <c r="K8" s="1448" t="s">
        <v>61</v>
      </c>
      <c r="L8" s="1434"/>
      <c r="M8" s="1488"/>
      <c r="N8" s="1426"/>
      <c r="O8" s="1426"/>
      <c r="P8" s="1441" t="str">
        <f>M7&amp;O7</f>
        <v/>
      </c>
      <c r="Q8" s="1442"/>
      <c r="R8" s="87" t="s">
        <v>276</v>
      </c>
      <c r="S8" s="142" t="s">
        <v>277</v>
      </c>
      <c r="W8" s="8"/>
      <c r="X8" s="8"/>
      <c r="Y8" s="1311"/>
      <c r="Z8" s="1131"/>
      <c r="AA8" s="1429"/>
      <c r="AB8" s="1322" t="s">
        <v>50</v>
      </c>
      <c r="AC8" s="1323"/>
      <c r="AD8" s="1501">
        <v>0.61199999999999999</v>
      </c>
      <c r="AE8" s="1494"/>
      <c r="AF8" s="1494"/>
      <c r="AG8" s="1257" t="str">
        <f>AK7&amp;AM7</f>
        <v>tCO2/千km</v>
      </c>
      <c r="AH8" s="1257"/>
      <c r="AI8" s="1448" t="s">
        <v>61</v>
      </c>
      <c r="AJ8" s="1434"/>
      <c r="AK8" s="1502">
        <v>0.59399999999999997</v>
      </c>
      <c r="AL8" s="1502"/>
      <c r="AM8" s="1502"/>
      <c r="AN8" s="1441" t="str">
        <f>AK7&amp;AM7</f>
        <v>tCO2/千km</v>
      </c>
      <c r="AO8" s="1442"/>
    </row>
    <row r="9" spans="1:48" ht="36" customHeight="1" thickBot="1">
      <c r="A9" s="1311"/>
      <c r="B9" s="1239"/>
      <c r="C9" s="1429"/>
      <c r="D9" s="1247" t="s">
        <v>95</v>
      </c>
      <c r="E9" s="1248"/>
      <c r="F9" s="1481" t="str">
        <f>IFERROR(IF(報告1面!Y22="○",ROUND(F6/INDEX(参考2_エネ使用量経年!L165:O165,MATCH(報告2面!O3,参考2_エネ使用量経年!L6:O6)),2-INT(LOG(F6/INDEX(参考2_エネ使用量経年!L165:O165,MATCH(報告2面!O3,参考2_エネ使用量経年!L6:O6))))),IF(報告1面!Y23="○",ROUND(F6/INDEX(参考2_エネ使用量経年!T165:W165,MATCH(報告2面!O3,参考2_エネ使用量経年!T6:W6)),2-INT(LOG(F6/INDEX(参考2_エネ使用量経年!T165:W165,MATCH(報告2面!O3,参考2_エネ使用量経年!T6:W6))))),"")),"")</f>
        <v/>
      </c>
      <c r="G9" s="1482"/>
      <c r="H9" s="1482"/>
      <c r="I9" s="1483" t="str">
        <f>M7&amp;O7</f>
        <v/>
      </c>
      <c r="J9" s="1484"/>
      <c r="K9" s="1427"/>
      <c r="L9" s="1428"/>
      <c r="M9" s="1428"/>
      <c r="N9" s="1428"/>
      <c r="O9" s="1428"/>
      <c r="P9" s="1428"/>
      <c r="Q9" s="1428"/>
      <c r="R9" s="79"/>
      <c r="S9" s="89" t="e">
        <f>F9/R9*100-100</f>
        <v>#VALUE!</v>
      </c>
      <c r="T9" s="90" t="s">
        <v>318</v>
      </c>
      <c r="W9" s="8"/>
      <c r="X9" s="8"/>
      <c r="Y9" s="1311"/>
      <c r="Z9" s="1239"/>
      <c r="AA9" s="1429"/>
      <c r="AB9" s="1247" t="s">
        <v>95</v>
      </c>
      <c r="AC9" s="1248"/>
      <c r="AD9" s="1493" t="s">
        <v>278</v>
      </c>
      <c r="AE9" s="1494"/>
      <c r="AF9" s="1494"/>
      <c r="AG9" s="1495" t="str">
        <f>AK7&amp;AM7</f>
        <v>tCO2/千km</v>
      </c>
      <c r="AH9" s="1496"/>
      <c r="AI9" s="1427"/>
      <c r="AJ9" s="1428"/>
      <c r="AK9" s="1428"/>
      <c r="AL9" s="1428"/>
      <c r="AM9" s="1428"/>
      <c r="AN9" s="1428"/>
      <c r="AO9" s="1428"/>
    </row>
    <row r="10" spans="1:48" ht="288" customHeight="1">
      <c r="A10" s="1311"/>
      <c r="B10" s="1128" t="s">
        <v>62</v>
      </c>
      <c r="C10" s="1129"/>
      <c r="D10" s="1129"/>
      <c r="E10" s="1130"/>
      <c r="F10" s="1334" t="s">
        <v>325</v>
      </c>
      <c r="G10" s="1335"/>
      <c r="H10" s="1335"/>
      <c r="I10" s="1335"/>
      <c r="J10" s="1335"/>
      <c r="K10" s="1335"/>
      <c r="L10" s="1335"/>
      <c r="M10" s="1335"/>
      <c r="N10" s="1335"/>
      <c r="O10" s="1335"/>
      <c r="P10" s="1335"/>
      <c r="Q10" s="1336"/>
      <c r="R10" s="1451"/>
      <c r="S10" s="1452"/>
      <c r="T10" s="91"/>
      <c r="U10" s="91"/>
      <c r="V10" s="91"/>
      <c r="W10" s="8"/>
      <c r="X10" s="8"/>
      <c r="Y10" s="1311"/>
      <c r="Z10" s="1128" t="s">
        <v>62</v>
      </c>
      <c r="AA10" s="1129"/>
      <c r="AB10" s="1129"/>
      <c r="AC10" s="1130"/>
      <c r="AD10" s="1497" t="s">
        <v>322</v>
      </c>
      <c r="AE10" s="1498"/>
      <c r="AF10" s="1498"/>
      <c r="AG10" s="1498"/>
      <c r="AH10" s="1498"/>
      <c r="AI10" s="1498"/>
      <c r="AJ10" s="1498"/>
      <c r="AK10" s="1498"/>
      <c r="AL10" s="1498"/>
      <c r="AM10" s="1498"/>
      <c r="AN10" s="1498"/>
      <c r="AO10" s="1499"/>
      <c r="AQ10" s="1104"/>
      <c r="AR10" s="1104"/>
      <c r="AS10" s="1104"/>
      <c r="AT10" s="1104"/>
      <c r="AU10" s="1104"/>
      <c r="AV10" s="1104"/>
    </row>
    <row r="11" spans="1:48" ht="15" customHeight="1">
      <c r="A11" s="1311"/>
      <c r="B11" s="1128" t="s">
        <v>65</v>
      </c>
      <c r="C11" s="1130"/>
      <c r="D11" s="1438" t="s">
        <v>8</v>
      </c>
      <c r="E11" s="1438"/>
      <c r="F11" s="1438"/>
      <c r="G11" s="1438"/>
      <c r="H11" s="1438"/>
      <c r="I11" s="1438"/>
      <c r="J11" s="1438"/>
      <c r="K11" s="1438"/>
      <c r="L11" s="1438"/>
      <c r="M11" s="1438" t="s">
        <v>64</v>
      </c>
      <c r="N11" s="1438"/>
      <c r="O11" s="1467"/>
      <c r="P11" s="1233"/>
      <c r="Q11" s="1234"/>
      <c r="W11" s="8"/>
      <c r="X11" s="8"/>
      <c r="Y11" s="1311"/>
      <c r="Z11" s="1128" t="s">
        <v>65</v>
      </c>
      <c r="AA11" s="1130"/>
      <c r="AB11" s="1438" t="s">
        <v>8</v>
      </c>
      <c r="AC11" s="1438"/>
      <c r="AD11" s="1438"/>
      <c r="AE11" s="1438"/>
      <c r="AF11" s="1438"/>
      <c r="AG11" s="1438"/>
      <c r="AH11" s="1438"/>
      <c r="AI11" s="1438"/>
      <c r="AJ11" s="1438"/>
      <c r="AK11" s="1438" t="s">
        <v>64</v>
      </c>
      <c r="AL11" s="1438"/>
      <c r="AM11" s="1467"/>
      <c r="AN11" s="1233"/>
      <c r="AO11" s="1234"/>
    </row>
    <row r="12" spans="1:48" ht="15" customHeight="1">
      <c r="A12" s="1311"/>
      <c r="B12" s="1131"/>
      <c r="C12" s="1133"/>
      <c r="D12" s="1408" t="s">
        <v>5</v>
      </c>
      <c r="E12" s="1408"/>
      <c r="F12" s="1408"/>
      <c r="G12" s="1408"/>
      <c r="H12" s="1408"/>
      <c r="I12" s="1408"/>
      <c r="J12" s="1439" t="str">
        <f ca="1">IF(報告1面!E22="□","",IF(AND(報告1面!Y22="○",報告1面!Y23=""),報告1面!T22,IF(AND(報告1面!Y22="",報告1面!Y23="○"),報告1面!U23,"")))</f>
        <v/>
      </c>
      <c r="K12" s="1440"/>
      <c r="L12" s="85" t="s">
        <v>6</v>
      </c>
      <c r="M12" s="1468"/>
      <c r="N12" s="1469"/>
      <c r="O12" s="1470"/>
      <c r="P12" s="1454"/>
      <c r="Q12" s="1226"/>
      <c r="V12" s="34" t="s">
        <v>294</v>
      </c>
      <c r="W12" s="8"/>
      <c r="X12" s="8"/>
      <c r="Y12" s="1311"/>
      <c r="Z12" s="1131"/>
      <c r="AA12" s="1133"/>
      <c r="AB12" s="1408" t="s">
        <v>5</v>
      </c>
      <c r="AC12" s="1408"/>
      <c r="AD12" s="1408"/>
      <c r="AE12" s="1408"/>
      <c r="AF12" s="1408"/>
      <c r="AG12" s="1408"/>
      <c r="AH12" s="1476">
        <v>110</v>
      </c>
      <c r="AI12" s="1477"/>
      <c r="AJ12" s="85" t="s">
        <v>6</v>
      </c>
      <c r="AK12" s="1468"/>
      <c r="AL12" s="1469"/>
      <c r="AM12" s="1470"/>
      <c r="AN12" s="1454"/>
      <c r="AO12" s="1226"/>
    </row>
    <row r="13" spans="1:48" ht="15" customHeight="1">
      <c r="A13" s="1311"/>
      <c r="B13" s="1131"/>
      <c r="C13" s="1133"/>
      <c r="D13" s="1408" t="s">
        <v>53</v>
      </c>
      <c r="E13" s="1408"/>
      <c r="F13" s="1408"/>
      <c r="G13" s="1408"/>
      <c r="H13" s="1408"/>
      <c r="I13" s="1408"/>
      <c r="J13" s="1415"/>
      <c r="K13" s="1416"/>
      <c r="L13" s="85" t="s">
        <v>6</v>
      </c>
      <c r="M13" s="1411" t="str">
        <f ca="1">IF(J12="","",J13/$J$12*100)</f>
        <v/>
      </c>
      <c r="N13" s="1412"/>
      <c r="O13" s="20" t="s">
        <v>97</v>
      </c>
      <c r="P13" s="1454"/>
      <c r="Q13" s="1226"/>
      <c r="Y13" s="1311"/>
      <c r="Z13" s="1131"/>
      <c r="AA13" s="1133"/>
      <c r="AB13" s="1408" t="s">
        <v>53</v>
      </c>
      <c r="AC13" s="1408"/>
      <c r="AD13" s="1408"/>
      <c r="AE13" s="1408"/>
      <c r="AF13" s="1408"/>
      <c r="AG13" s="1408"/>
      <c r="AH13" s="1476">
        <v>3</v>
      </c>
      <c r="AI13" s="1477"/>
      <c r="AJ13" s="85" t="s">
        <v>6</v>
      </c>
      <c r="AK13" s="1503">
        <f>IF(AH12="","",AH13/$AH$12*100)</f>
        <v>2.7272727272727271</v>
      </c>
      <c r="AL13" s="1504"/>
      <c r="AM13" s="20" t="s">
        <v>97</v>
      </c>
      <c r="AN13" s="1454"/>
      <c r="AO13" s="1226"/>
    </row>
    <row r="14" spans="1:48" ht="15" customHeight="1">
      <c r="A14" s="1311"/>
      <c r="B14" s="1131"/>
      <c r="C14" s="1133"/>
      <c r="D14" s="1435" t="s">
        <v>98</v>
      </c>
      <c r="E14" s="1436"/>
      <c r="F14" s="1436"/>
      <c r="G14" s="1436"/>
      <c r="H14" s="1436"/>
      <c r="I14" s="1437"/>
      <c r="J14" s="1415"/>
      <c r="K14" s="1416"/>
      <c r="L14" s="85" t="s">
        <v>6</v>
      </c>
      <c r="M14" s="1411" t="str">
        <f ca="1">IF(J12="","",J14/$J$12*100)</f>
        <v/>
      </c>
      <c r="N14" s="1412"/>
      <c r="O14" s="20" t="s">
        <v>97</v>
      </c>
      <c r="P14" s="1454"/>
      <c r="Q14" s="1226"/>
      <c r="Y14" s="1311"/>
      <c r="Z14" s="1131"/>
      <c r="AA14" s="1133"/>
      <c r="AB14" s="1435" t="s">
        <v>98</v>
      </c>
      <c r="AC14" s="1436"/>
      <c r="AD14" s="1436"/>
      <c r="AE14" s="1436"/>
      <c r="AF14" s="1436"/>
      <c r="AG14" s="1437"/>
      <c r="AH14" s="1476">
        <v>2</v>
      </c>
      <c r="AI14" s="1477"/>
      <c r="AJ14" s="85" t="s">
        <v>6</v>
      </c>
      <c r="AK14" s="1503">
        <f>IF(AH12="","",AH14/$AH$12*100)</f>
        <v>1.8181818181818181</v>
      </c>
      <c r="AL14" s="1504"/>
      <c r="AM14" s="20" t="s">
        <v>97</v>
      </c>
      <c r="AN14" s="1454"/>
      <c r="AO14" s="1226"/>
    </row>
    <row r="15" spans="1:48" ht="15" customHeight="1">
      <c r="A15" s="1311"/>
      <c r="B15" s="1131"/>
      <c r="C15" s="1133"/>
      <c r="D15" s="1408" t="s">
        <v>99</v>
      </c>
      <c r="E15" s="1408"/>
      <c r="F15" s="1408"/>
      <c r="G15" s="1408"/>
      <c r="H15" s="1408"/>
      <c r="I15" s="1408"/>
      <c r="J15" s="1415"/>
      <c r="K15" s="1416"/>
      <c r="L15" s="85" t="s">
        <v>6</v>
      </c>
      <c r="M15" s="1411" t="str">
        <f ca="1">IF(J12="","",J15/$J$12*100)</f>
        <v/>
      </c>
      <c r="N15" s="1412"/>
      <c r="O15" s="20" t="s">
        <v>97</v>
      </c>
      <c r="P15" s="1454"/>
      <c r="Q15" s="1226"/>
      <c r="Y15" s="1311"/>
      <c r="Z15" s="1131"/>
      <c r="AA15" s="1133"/>
      <c r="AB15" s="1408" t="s">
        <v>99</v>
      </c>
      <c r="AC15" s="1408"/>
      <c r="AD15" s="1408"/>
      <c r="AE15" s="1408"/>
      <c r="AF15" s="1408"/>
      <c r="AG15" s="1408"/>
      <c r="AH15" s="1476">
        <v>5</v>
      </c>
      <c r="AI15" s="1477"/>
      <c r="AJ15" s="85" t="s">
        <v>6</v>
      </c>
      <c r="AK15" s="1503">
        <f>IF(AH12="","",AH15/$AH$12*100)</f>
        <v>4.5454545454545459</v>
      </c>
      <c r="AL15" s="1504"/>
      <c r="AM15" s="20" t="s">
        <v>97</v>
      </c>
      <c r="AN15" s="1454"/>
      <c r="AO15" s="1226"/>
    </row>
    <row r="16" spans="1:48" ht="15" customHeight="1">
      <c r="A16" s="1311"/>
      <c r="B16" s="1403"/>
      <c r="C16" s="1404"/>
      <c r="D16" s="1407" t="s">
        <v>54</v>
      </c>
      <c r="E16" s="1407"/>
      <c r="F16" s="1407"/>
      <c r="G16" s="1407"/>
      <c r="H16" s="1407"/>
      <c r="I16" s="1407"/>
      <c r="J16" s="1413"/>
      <c r="K16" s="1414"/>
      <c r="L16" s="37" t="s">
        <v>6</v>
      </c>
      <c r="M16" s="1409" t="str">
        <f ca="1">IF(J12="","",J16/$J$12*100)</f>
        <v/>
      </c>
      <c r="N16" s="1410"/>
      <c r="O16" s="38" t="s">
        <v>97</v>
      </c>
      <c r="P16" s="1454"/>
      <c r="Q16" s="1226"/>
      <c r="S16" s="34"/>
      <c r="W16" s="80"/>
      <c r="X16" s="80"/>
      <c r="Y16" s="1311"/>
      <c r="Z16" s="1403"/>
      <c r="AA16" s="1404"/>
      <c r="AB16" s="1407" t="s">
        <v>54</v>
      </c>
      <c r="AC16" s="1407"/>
      <c r="AD16" s="1407"/>
      <c r="AE16" s="1407"/>
      <c r="AF16" s="1407"/>
      <c r="AG16" s="1407"/>
      <c r="AH16" s="1507">
        <v>0</v>
      </c>
      <c r="AI16" s="1508"/>
      <c r="AJ16" s="37" t="s">
        <v>6</v>
      </c>
      <c r="AK16" s="1509">
        <f>IF(AH12="","",AH16/$AH$12*100)</f>
        <v>0</v>
      </c>
      <c r="AL16" s="1510"/>
      <c r="AM16" s="38" t="s">
        <v>97</v>
      </c>
      <c r="AN16" s="1454"/>
      <c r="AO16" s="1226"/>
    </row>
    <row r="17" spans="1:44" ht="11.25" customHeight="1">
      <c r="A17" s="1311"/>
      <c r="B17" s="1455"/>
      <c r="C17" s="1455"/>
      <c r="D17" s="1455"/>
      <c r="E17" s="1455"/>
      <c r="F17" s="1455"/>
      <c r="G17" s="1455"/>
      <c r="H17" s="1455"/>
      <c r="I17" s="1455"/>
      <c r="J17" s="1455"/>
      <c r="K17" s="1455"/>
      <c r="L17" s="1455"/>
      <c r="M17" s="1455"/>
      <c r="N17" s="1455"/>
      <c r="O17" s="1455"/>
      <c r="P17" s="1455"/>
      <c r="Q17" s="1455"/>
      <c r="W17" s="8"/>
      <c r="X17" s="8"/>
      <c r="Y17" s="1311"/>
      <c r="Z17" s="1455"/>
      <c r="AA17" s="1455"/>
      <c r="AB17" s="1455"/>
      <c r="AC17" s="1455"/>
      <c r="AD17" s="1455"/>
      <c r="AE17" s="1455"/>
      <c r="AF17" s="1455"/>
      <c r="AG17" s="1455"/>
      <c r="AH17" s="1455"/>
      <c r="AI17" s="1455"/>
      <c r="AJ17" s="1455"/>
      <c r="AK17" s="1455"/>
      <c r="AL17" s="1455"/>
      <c r="AM17" s="1455"/>
      <c r="AN17" s="1455"/>
      <c r="AO17" s="1455"/>
    </row>
    <row r="18" spans="1:44" ht="36" customHeight="1">
      <c r="A18" s="1311"/>
      <c r="B18" s="1128" t="s">
        <v>121</v>
      </c>
      <c r="C18" s="1246"/>
      <c r="D18" s="1318" t="s">
        <v>55</v>
      </c>
      <c r="E18" s="1319"/>
      <c r="F18" s="1318" t="s">
        <v>63</v>
      </c>
      <c r="G18" s="1462"/>
      <c r="H18" s="1463"/>
      <c r="I18" s="1464"/>
      <c r="J18" s="1129" t="s">
        <v>93</v>
      </c>
      <c r="K18" s="1237"/>
      <c r="L18" s="1446" t="s">
        <v>87</v>
      </c>
      <c r="M18" s="1447"/>
      <c r="N18" s="1425"/>
      <c r="O18" s="1425"/>
      <c r="P18" s="1417" t="s">
        <v>93</v>
      </c>
      <c r="Q18" s="1453"/>
      <c r="V18" s="34" t="s">
        <v>291</v>
      </c>
      <c r="W18" s="18"/>
      <c r="X18" s="18"/>
      <c r="Y18" s="1311"/>
      <c r="Z18" s="1128" t="s">
        <v>121</v>
      </c>
      <c r="AA18" s="1246"/>
      <c r="AB18" s="1318" t="s">
        <v>55</v>
      </c>
      <c r="AC18" s="1319"/>
      <c r="AD18" s="1318" t="s">
        <v>63</v>
      </c>
      <c r="AE18" s="1462"/>
      <c r="AF18" s="1511"/>
      <c r="AG18" s="1512"/>
      <c r="AH18" s="1129" t="s">
        <v>90</v>
      </c>
      <c r="AI18" s="1237"/>
      <c r="AJ18" s="1446" t="s">
        <v>87</v>
      </c>
      <c r="AK18" s="1447"/>
      <c r="AL18" s="1505"/>
      <c r="AM18" s="1505"/>
      <c r="AN18" s="1417" t="s">
        <v>90</v>
      </c>
      <c r="AO18" s="1453"/>
    </row>
    <row r="19" spans="1:44" ht="36" customHeight="1">
      <c r="A19" s="1311"/>
      <c r="B19" s="1239"/>
      <c r="C19" s="1429"/>
      <c r="D19" s="1147"/>
      <c r="E19" s="1257"/>
      <c r="F19" s="1322" t="s">
        <v>94</v>
      </c>
      <c r="G19" s="1323"/>
      <c r="H19" s="1416"/>
      <c r="I19" s="1424"/>
      <c r="J19" s="1257" t="s">
        <v>90</v>
      </c>
      <c r="K19" s="1266"/>
      <c r="L19" s="1405"/>
      <c r="M19" s="1406"/>
      <c r="N19" s="1406"/>
      <c r="O19" s="1406"/>
      <c r="P19" s="1406"/>
      <c r="Q19" s="1406"/>
      <c r="V19" s="34" t="s">
        <v>292</v>
      </c>
      <c r="W19" s="18"/>
      <c r="X19" s="18"/>
      <c r="Y19" s="1311"/>
      <c r="Z19" s="1239"/>
      <c r="AA19" s="1429"/>
      <c r="AB19" s="1147"/>
      <c r="AC19" s="1257"/>
      <c r="AD19" s="1322" t="s">
        <v>94</v>
      </c>
      <c r="AE19" s="1323"/>
      <c r="AF19" s="1477"/>
      <c r="AG19" s="1506"/>
      <c r="AH19" s="1257" t="s">
        <v>90</v>
      </c>
      <c r="AI19" s="1266"/>
      <c r="AJ19" s="1405"/>
      <c r="AK19" s="1406"/>
      <c r="AL19" s="1406"/>
      <c r="AM19" s="1406"/>
      <c r="AN19" s="1406"/>
      <c r="AO19" s="1406"/>
    </row>
    <row r="20" spans="1:44" ht="26.25" customHeight="1">
      <c r="A20" s="1311"/>
      <c r="B20" s="1239"/>
      <c r="C20" s="1429"/>
      <c r="D20" s="1322" t="s">
        <v>66</v>
      </c>
      <c r="E20" s="1456"/>
      <c r="F20" s="1322" t="s">
        <v>60</v>
      </c>
      <c r="G20" s="1323"/>
      <c r="H20" s="1443"/>
      <c r="I20" s="1444"/>
      <c r="J20" s="1444"/>
      <c r="K20" s="1445"/>
      <c r="L20" s="1318" t="s">
        <v>49</v>
      </c>
      <c r="M20" s="1319"/>
      <c r="N20" s="1324" t="str">
        <f>IF(H20="","",P18&amp;"/")</f>
        <v/>
      </c>
      <c r="O20" s="1325"/>
      <c r="P20" s="1252"/>
      <c r="Q20" s="1253"/>
      <c r="R20" s="8"/>
      <c r="T20" s="8"/>
      <c r="W20" s="18"/>
      <c r="X20" s="18"/>
      <c r="Y20" s="1311"/>
      <c r="Z20" s="1239"/>
      <c r="AA20" s="1429"/>
      <c r="AB20" s="1322" t="s">
        <v>66</v>
      </c>
      <c r="AC20" s="1456"/>
      <c r="AD20" s="1322" t="s">
        <v>60</v>
      </c>
      <c r="AE20" s="1323"/>
      <c r="AF20" s="1516"/>
      <c r="AG20" s="1517"/>
      <c r="AH20" s="1517"/>
      <c r="AI20" s="1518"/>
      <c r="AJ20" s="1318" t="s">
        <v>49</v>
      </c>
      <c r="AK20" s="1319"/>
      <c r="AL20" s="1324" t="str">
        <f>IF(AF20="","",AN18&amp;"/")</f>
        <v/>
      </c>
      <c r="AM20" s="1325"/>
      <c r="AN20" s="1397"/>
      <c r="AO20" s="1398"/>
      <c r="AR20" s="8"/>
    </row>
    <row r="21" spans="1:44" ht="36" customHeight="1">
      <c r="A21" s="1311"/>
      <c r="B21" s="1239"/>
      <c r="C21" s="1429"/>
      <c r="D21" s="1457"/>
      <c r="E21" s="1456"/>
      <c r="F21" s="1322" t="s">
        <v>50</v>
      </c>
      <c r="G21" s="1323"/>
      <c r="H21" s="1449"/>
      <c r="I21" s="1450"/>
      <c r="J21" s="1132" t="str">
        <f>N20&amp;P20</f>
        <v/>
      </c>
      <c r="K21" s="1132"/>
      <c r="L21" s="1448" t="s">
        <v>61</v>
      </c>
      <c r="M21" s="1434"/>
      <c r="N21" s="1426"/>
      <c r="O21" s="1426"/>
      <c r="P21" s="1471" t="str">
        <f>N20&amp;P20</f>
        <v/>
      </c>
      <c r="Q21" s="1472"/>
      <c r="W21" s="18"/>
      <c r="X21" s="18"/>
      <c r="Y21" s="1311"/>
      <c r="Z21" s="1239"/>
      <c r="AA21" s="1429"/>
      <c r="AB21" s="1457"/>
      <c r="AC21" s="1456"/>
      <c r="AD21" s="1322" t="s">
        <v>50</v>
      </c>
      <c r="AE21" s="1323"/>
      <c r="AF21" s="1519"/>
      <c r="AG21" s="1520"/>
      <c r="AH21" s="1132" t="str">
        <f>AL20&amp;AN20</f>
        <v/>
      </c>
      <c r="AI21" s="1132"/>
      <c r="AJ21" s="1448" t="s">
        <v>61</v>
      </c>
      <c r="AK21" s="1434"/>
      <c r="AL21" s="1513"/>
      <c r="AM21" s="1513"/>
      <c r="AN21" s="1471" t="str">
        <f>AL20&amp;AN20</f>
        <v/>
      </c>
      <c r="AO21" s="1472"/>
    </row>
    <row r="22" spans="1:44" ht="36" customHeight="1" thickBot="1">
      <c r="A22" s="1311"/>
      <c r="B22" s="1433"/>
      <c r="C22" s="1434"/>
      <c r="D22" s="1458"/>
      <c r="E22" s="1459"/>
      <c r="F22" s="1465" t="s">
        <v>95</v>
      </c>
      <c r="G22" s="1466"/>
      <c r="H22" s="1460"/>
      <c r="I22" s="1461"/>
      <c r="J22" s="1441" t="str">
        <f>N20&amp;P20</f>
        <v/>
      </c>
      <c r="K22" s="1442"/>
      <c r="L22" s="1233"/>
      <c r="M22" s="1234"/>
      <c r="N22" s="1234"/>
      <c r="O22" s="1234"/>
      <c r="P22" s="1234"/>
      <c r="Q22" s="1234"/>
      <c r="W22" s="11"/>
      <c r="X22" s="34"/>
      <c r="Y22" s="1311"/>
      <c r="Z22" s="1433"/>
      <c r="AA22" s="1434"/>
      <c r="AB22" s="1458"/>
      <c r="AC22" s="1459"/>
      <c r="AD22" s="1465" t="s">
        <v>95</v>
      </c>
      <c r="AE22" s="1466"/>
      <c r="AF22" s="1514"/>
      <c r="AG22" s="1515"/>
      <c r="AH22" s="1441" t="str">
        <f>AL20&amp;AN20</f>
        <v/>
      </c>
      <c r="AI22" s="1442"/>
      <c r="AJ22" s="1233"/>
      <c r="AK22" s="1234"/>
      <c r="AL22" s="1234"/>
      <c r="AM22" s="1234"/>
      <c r="AN22" s="1234"/>
      <c r="AO22" s="1234"/>
    </row>
    <row r="23" spans="1:44">
      <c r="W23" s="18"/>
      <c r="X23" s="18"/>
    </row>
    <row r="34" spans="23:24">
      <c r="W34" s="34"/>
      <c r="X34" s="34"/>
    </row>
    <row r="35" spans="23:24">
      <c r="W35" s="8"/>
      <c r="X35" s="8"/>
    </row>
    <row r="36" spans="23:24">
      <c r="W36" s="8"/>
      <c r="X36" s="8"/>
    </row>
    <row r="37" spans="23:24">
      <c r="W37" s="8"/>
      <c r="X37" s="8"/>
    </row>
    <row r="38" spans="23:24">
      <c r="W38" s="8"/>
      <c r="X38" s="8"/>
    </row>
    <row r="39" spans="23:24">
      <c r="W39" s="8"/>
      <c r="X39" s="8"/>
    </row>
  </sheetData>
  <sheetProtection algorithmName="SHA-512" hashValue="i+179x7zJnvknwwdSzh9/kyixunYdAFDFugUqB14I3B390WjkXJ+Dak1OXFC7zO2VvWDbtUCFJ1KYuVpTU4Cfg==" saltValue="Jhq47LTPu9o2h42j9+rWBQ==" spinCount="100000" sheet="1" formatCells="0"/>
  <mergeCells count="169">
    <mergeCell ref="AD20:AE20"/>
    <mergeCell ref="AF20:AI20"/>
    <mergeCell ref="AJ20:AK20"/>
    <mergeCell ref="AL20:AM20"/>
    <mergeCell ref="AN20:AO20"/>
    <mergeCell ref="AD21:AE21"/>
    <mergeCell ref="AF21:AG21"/>
    <mergeCell ref="AH21:AI21"/>
    <mergeCell ref="AJ21:AK21"/>
    <mergeCell ref="AL18:AM18"/>
    <mergeCell ref="AN18:AO18"/>
    <mergeCell ref="AD19:AE19"/>
    <mergeCell ref="AF19:AG19"/>
    <mergeCell ref="AH19:AI19"/>
    <mergeCell ref="AJ19:AO19"/>
    <mergeCell ref="AB16:AG16"/>
    <mergeCell ref="AH16:AI16"/>
    <mergeCell ref="AK16:AL16"/>
    <mergeCell ref="Z17:AO17"/>
    <mergeCell ref="Z18:AA22"/>
    <mergeCell ref="AB18:AC19"/>
    <mergeCell ref="AD18:AE18"/>
    <mergeCell ref="AF18:AG18"/>
    <mergeCell ref="AH18:AI18"/>
    <mergeCell ref="AJ18:AK18"/>
    <mergeCell ref="AN11:AO16"/>
    <mergeCell ref="AL21:AM21"/>
    <mergeCell ref="AN21:AO21"/>
    <mergeCell ref="AD22:AE22"/>
    <mergeCell ref="AF22:AG22"/>
    <mergeCell ref="AH22:AI22"/>
    <mergeCell ref="AJ22:AO22"/>
    <mergeCell ref="AB20:AC22"/>
    <mergeCell ref="AK15:AL15"/>
    <mergeCell ref="Z11:AA16"/>
    <mergeCell ref="AB11:AJ11"/>
    <mergeCell ref="AK11:AM11"/>
    <mergeCell ref="AB12:AG12"/>
    <mergeCell ref="AH12:AI12"/>
    <mergeCell ref="AK12:AM12"/>
    <mergeCell ref="AB13:AG13"/>
    <mergeCell ref="AH13:AI13"/>
    <mergeCell ref="AK13:AL13"/>
    <mergeCell ref="AM7:AN7"/>
    <mergeCell ref="AB8:AC8"/>
    <mergeCell ref="AD8:AF8"/>
    <mergeCell ref="AG8:AH8"/>
    <mergeCell ref="AI8:AJ8"/>
    <mergeCell ref="AK8:AM8"/>
    <mergeCell ref="AN8:AO8"/>
    <mergeCell ref="AB14:AG14"/>
    <mergeCell ref="AH14:AI14"/>
    <mergeCell ref="AK14:AL14"/>
    <mergeCell ref="AK5:AM5"/>
    <mergeCell ref="AN5:AO5"/>
    <mergeCell ref="AB6:AC6"/>
    <mergeCell ref="AD6:AF6"/>
    <mergeCell ref="AG6:AH6"/>
    <mergeCell ref="AI6:AO6"/>
    <mergeCell ref="Y1:AO1"/>
    <mergeCell ref="Y2:AO2"/>
    <mergeCell ref="Y3:Y22"/>
    <mergeCell ref="Z3:AA6"/>
    <mergeCell ref="AB3:AC4"/>
    <mergeCell ref="AD3:AE3"/>
    <mergeCell ref="AG3:AH3"/>
    <mergeCell ref="AI3:AO4"/>
    <mergeCell ref="AB5:AC5"/>
    <mergeCell ref="AD5:AF5"/>
    <mergeCell ref="AB9:AC9"/>
    <mergeCell ref="AD9:AF9"/>
    <mergeCell ref="AG9:AH9"/>
    <mergeCell ref="AI9:AO9"/>
    <mergeCell ref="Z10:AC10"/>
    <mergeCell ref="AD10:AO10"/>
    <mergeCell ref="AI7:AJ7"/>
    <mergeCell ref="AK7:AL7"/>
    <mergeCell ref="AG5:AH5"/>
    <mergeCell ref="AI5:AJ5"/>
    <mergeCell ref="AB15:AG15"/>
    <mergeCell ref="AH15:AI15"/>
    <mergeCell ref="B7:C9"/>
    <mergeCell ref="D7:E7"/>
    <mergeCell ref="F7:J7"/>
    <mergeCell ref="D9:E9"/>
    <mergeCell ref="F9:H9"/>
    <mergeCell ref="I9:J9"/>
    <mergeCell ref="J14:K14"/>
    <mergeCell ref="K8:L8"/>
    <mergeCell ref="F8:H8"/>
    <mergeCell ref="K5:L5"/>
    <mergeCell ref="K7:L7"/>
    <mergeCell ref="K6:Q6"/>
    <mergeCell ref="P8:Q8"/>
    <mergeCell ref="B10:E10"/>
    <mergeCell ref="F6:H6"/>
    <mergeCell ref="D8:E8"/>
    <mergeCell ref="I8:J8"/>
    <mergeCell ref="M8:O8"/>
    <mergeCell ref="I5:J5"/>
    <mergeCell ref="I6:J6"/>
    <mergeCell ref="P18:Q18"/>
    <mergeCell ref="M13:N13"/>
    <mergeCell ref="M14:N14"/>
    <mergeCell ref="P11:Q16"/>
    <mergeCell ref="B17:Q17"/>
    <mergeCell ref="B11:C16"/>
    <mergeCell ref="J18:K18"/>
    <mergeCell ref="D20:E22"/>
    <mergeCell ref="F20:G20"/>
    <mergeCell ref="H22:I22"/>
    <mergeCell ref="D18:E19"/>
    <mergeCell ref="F18:G18"/>
    <mergeCell ref="H18:I18"/>
    <mergeCell ref="F19:G19"/>
    <mergeCell ref="H19:I19"/>
    <mergeCell ref="F22:G22"/>
    <mergeCell ref="D13:I13"/>
    <mergeCell ref="M11:O11"/>
    <mergeCell ref="M12:O12"/>
    <mergeCell ref="P21:Q21"/>
    <mergeCell ref="AQ10:AV10"/>
    <mergeCell ref="K9:Q9"/>
    <mergeCell ref="Z7:AA9"/>
    <mergeCell ref="AB7:AC7"/>
    <mergeCell ref="AD7:AH7"/>
    <mergeCell ref="B18:C22"/>
    <mergeCell ref="D14:I14"/>
    <mergeCell ref="D11:L11"/>
    <mergeCell ref="J13:K13"/>
    <mergeCell ref="F10:Q10"/>
    <mergeCell ref="J12:K12"/>
    <mergeCell ref="J19:K19"/>
    <mergeCell ref="J22:K22"/>
    <mergeCell ref="H20:K20"/>
    <mergeCell ref="L18:M18"/>
    <mergeCell ref="L21:M21"/>
    <mergeCell ref="L20:M20"/>
    <mergeCell ref="F21:G21"/>
    <mergeCell ref="D12:I12"/>
    <mergeCell ref="H21:I21"/>
    <mergeCell ref="J21:K21"/>
    <mergeCell ref="L22:Q22"/>
    <mergeCell ref="R10:S10"/>
    <mergeCell ref="N18:O18"/>
    <mergeCell ref="A2:Q2"/>
    <mergeCell ref="F3:G3"/>
    <mergeCell ref="K3:Q4"/>
    <mergeCell ref="D3:E4"/>
    <mergeCell ref="I3:J3"/>
    <mergeCell ref="B3:C6"/>
    <mergeCell ref="A3:A22"/>
    <mergeCell ref="L19:Q19"/>
    <mergeCell ref="N20:O20"/>
    <mergeCell ref="D16:I16"/>
    <mergeCell ref="D15:I15"/>
    <mergeCell ref="M16:N16"/>
    <mergeCell ref="M15:N15"/>
    <mergeCell ref="J16:K16"/>
    <mergeCell ref="J15:K15"/>
    <mergeCell ref="P5:Q5"/>
    <mergeCell ref="M7:N7"/>
    <mergeCell ref="O7:P7"/>
    <mergeCell ref="D6:E6"/>
    <mergeCell ref="D5:E5"/>
    <mergeCell ref="F5:H5"/>
    <mergeCell ref="M5:O5"/>
    <mergeCell ref="P20:Q20"/>
    <mergeCell ref="N21:O21"/>
  </mergeCells>
  <phoneticPr fontId="4"/>
  <conditionalFormatting sqref="N18:O18 H18:I19 H20:K20 P20:Q20 N21:O21 H21:I22">
    <cfRule type="notContainsBlanks" dxfId="0" priority="1">
      <formula>LEN(TRIM(H18))&gt;0</formula>
    </cfRule>
  </conditionalFormatting>
  <dataValidations count="11">
    <dataValidation type="whole" allowBlank="1" showInputMessage="1" showErrorMessage="1" promptTitle="通常記入不要" prompt="計画書に記載した年度を、半角数字で転記してください。（和暦）" sqref="AG4 AE4" xr:uid="{00000000-0002-0000-0700-000000000000}">
      <formula1>1</formula1>
      <formula2>99</formula2>
    </dataValidation>
    <dataValidation allowBlank="1" showInputMessage="1" showErrorMessage="1" prompt="計画書に記載した数値を半角で転記してください。" sqref="AF21:AG21 AL21:AM21 AF18:AG18 AL18:AM18 AK8:AM8 AD8:AF8 AD5:AF5 AK5:AM5" xr:uid="{00000000-0002-0000-0700-000001000000}"/>
    <dataValidation allowBlank="1" showInputMessage="1" showErrorMessage="1" prompt="有効数字3桁の数値を半角で入力してください。" sqref="AF19:AG19 AD6:AF6" xr:uid="{00000000-0002-0000-0700-000002000000}"/>
    <dataValidation allowBlank="1" showInputMessage="1" showErrorMessage="1" prompt="「原単位の指標の種類」に記入した指標の単位を入力してください。" sqref="AM7:AN7 AN20:AO20" xr:uid="{00000000-0002-0000-0700-000003000000}"/>
    <dataValidation allowBlank="1" showInputMessage="1" showErrorMessage="1" prompt="半角で入力してください。" sqref="AH12:AI15" xr:uid="{00000000-0002-0000-0700-000004000000}"/>
    <dataValidation allowBlank="1" showInputMessage="1" showErrorMessage="1" prompt="全角1,000文字（24行）まで入力できます。" sqref="AD10:AO10" xr:uid="{00000000-0002-0000-0700-000005000000}"/>
    <dataValidation allowBlank="1" showInputMessage="1" showErrorMessage="1" promptTitle="通常該当なし" prompt="半角で入力してください。" sqref="AH16:AI16" xr:uid="{00000000-0002-0000-0700-000006000000}"/>
    <dataValidation allowBlank="1" showInputMessage="1" showErrorMessage="1" prompt="原則として有効数字3桁半角で入力してください。" sqref="AF22:AG22 AD9:AF9" xr:uid="{00000000-0002-0000-0700-000007000000}"/>
    <dataValidation imeMode="halfAlpha" allowBlank="1" showInputMessage="1" showErrorMessage="1" sqref="H3 M5:O5 F5:H6 M8:O8 F8:H9 J12:K16 H18:I19 N18:O18 N21:O21 H21:I22" xr:uid="{00000000-0002-0000-0700-000008000000}"/>
    <dataValidation type="whole" imeMode="halfAlpha" allowBlank="1" showInputMessage="1" showErrorMessage="1" promptTitle="通常記入不要" prompt="基準排出量に3年間の平均値を使用する場合のみ、算定期間の初年度を西暦4ケタ・半角数字で入力" sqref="G4" xr:uid="{00000000-0002-0000-0700-000009000000}">
      <formula1>2010</formula1>
      <formula2>2030</formula2>
    </dataValidation>
    <dataValidation type="whole" imeMode="halfAlpha" allowBlank="1" showInputMessage="1" showErrorMessage="1" promptTitle="通常記入不要" prompt="基準排出量に3年間の平均値を使用する場合のみ、算定期間の最終年度（計画書の提出年度の前年度）を西暦4ケタ・半角数字で入力" sqref="I4" xr:uid="{00000000-0002-0000-0700-00000A000000}">
      <formula1>2010</formula1>
      <formula2>2030</formula2>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1" r:id="rId4" name="Check Box 9">
              <controlPr defaultSize="0" autoFill="0" autoLine="0" autoPict="0">
                <anchor moveWithCells="1">
                  <from>
                    <xdr:col>17</xdr:col>
                    <xdr:colOff>335280</xdr:colOff>
                    <xdr:row>9</xdr:row>
                    <xdr:rowOff>2537460</xdr:rowOff>
                  </from>
                  <to>
                    <xdr:col>17</xdr:col>
                    <xdr:colOff>647700</xdr:colOff>
                    <xdr:row>9</xdr:row>
                    <xdr:rowOff>2827020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17</xdr:col>
                    <xdr:colOff>457200</xdr:colOff>
                    <xdr:row>18</xdr:row>
                    <xdr:rowOff>68580</xdr:rowOff>
                  </from>
                  <to>
                    <xdr:col>17</xdr:col>
                    <xdr:colOff>769620</xdr:colOff>
                    <xdr:row>18</xdr:row>
                    <xdr:rowOff>365760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17</xdr:col>
                    <xdr:colOff>327660</xdr:colOff>
                    <xdr:row>13</xdr:row>
                    <xdr:rowOff>0</xdr:rowOff>
                  </from>
                  <to>
                    <xdr:col>17</xdr:col>
                    <xdr:colOff>655320</xdr:colOff>
                    <xdr:row>14</xdr:row>
                    <xdr:rowOff>106680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17</xdr:col>
                    <xdr:colOff>99060</xdr:colOff>
                    <xdr:row>6</xdr:row>
                    <xdr:rowOff>7620</xdr:rowOff>
                  </from>
                  <to>
                    <xdr:col>17</xdr:col>
                    <xdr:colOff>419100</xdr:colOff>
                    <xdr:row>6</xdr:row>
                    <xdr:rowOff>266700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53"/>
    <pageSetUpPr fitToPage="1"/>
  </sheetPr>
  <dimension ref="A1:AU34"/>
  <sheetViews>
    <sheetView showGridLines="0" view="pageBreakPreview" zoomScaleNormal="85" zoomScaleSheetLayoutView="100" workbookViewId="0">
      <selection activeCell="F5" sqref="F5:T5"/>
    </sheetView>
  </sheetViews>
  <sheetFormatPr defaultColWidth="9" defaultRowHeight="10.8" outlineLevelCol="1"/>
  <cols>
    <col min="1" max="1" width="1.6640625" style="8" customWidth="1"/>
    <col min="2" max="2" width="2.21875" style="8" customWidth="1"/>
    <col min="3" max="5" width="5.33203125" style="8" customWidth="1"/>
    <col min="6" max="6" width="6.6640625" style="8" customWidth="1"/>
    <col min="7" max="8" width="5.33203125" style="8" customWidth="1"/>
    <col min="9" max="9" width="3.6640625" style="45" customWidth="1"/>
    <col min="10" max="10" width="2.33203125" style="8" customWidth="1"/>
    <col min="11" max="11" width="3.6640625" style="8" customWidth="1"/>
    <col min="12" max="12" width="2.33203125" style="8" customWidth="1"/>
    <col min="13" max="14" width="5.33203125" style="8" customWidth="1"/>
    <col min="15" max="15" width="4.44140625" style="8" customWidth="1"/>
    <col min="16" max="19" width="5.33203125" style="8" customWidth="1"/>
    <col min="20" max="20" width="3.77734375" style="80" customWidth="1"/>
    <col min="21" max="21" width="13.88671875" style="8" customWidth="1"/>
    <col min="22" max="22" width="11.21875" style="8" customWidth="1"/>
    <col min="23" max="23" width="15.88671875" style="8" customWidth="1"/>
    <col min="24" max="24" width="9" style="8" hidden="1" customWidth="1" outlineLevel="1"/>
    <col min="25" max="25" width="83.21875" style="8" hidden="1" customWidth="1" outlineLevel="1"/>
    <col min="26" max="26" width="3.109375" style="7" customWidth="1" collapsed="1"/>
    <col min="27" max="27" width="3.109375" style="7" customWidth="1"/>
    <col min="28" max="28" width="1.6640625" style="8" customWidth="1"/>
    <col min="29" max="29" width="2.21875" style="8" customWidth="1"/>
    <col min="30" max="32" width="5.33203125" style="8" customWidth="1"/>
    <col min="33" max="33" width="6.88671875" style="8" customWidth="1"/>
    <col min="34" max="35" width="5.33203125" style="8" customWidth="1"/>
    <col min="36" max="36" width="3.6640625" style="45" customWidth="1"/>
    <col min="37" max="37" width="2.33203125" style="8" customWidth="1"/>
    <col min="38" max="38" width="3.6640625" style="8" customWidth="1"/>
    <col min="39" max="39" width="2.33203125" style="8" customWidth="1"/>
    <col min="40" max="41" width="5.33203125" style="8" customWidth="1"/>
    <col min="42" max="42" width="4.44140625" style="8" customWidth="1"/>
    <col min="43" max="43" width="5.33203125" style="8" customWidth="1"/>
    <col min="44" max="44" width="7.109375" style="8" customWidth="1"/>
    <col min="45" max="46" width="5.33203125" style="8" customWidth="1"/>
    <col min="47" max="47" width="4.44140625" style="80" customWidth="1"/>
    <col min="48" max="48" width="10.33203125" style="8" customWidth="1"/>
    <col min="49" max="16384" width="9" style="8"/>
  </cols>
  <sheetData>
    <row r="1" spans="1:47" ht="12" customHeight="1">
      <c r="A1" s="36" t="s">
        <v>46</v>
      </c>
      <c r="B1" s="36"/>
      <c r="C1" s="36"/>
      <c r="D1" s="36"/>
      <c r="E1" s="36"/>
      <c r="F1" s="36"/>
      <c r="G1" s="36"/>
      <c r="H1" s="36"/>
      <c r="I1" s="36"/>
      <c r="J1" s="36"/>
      <c r="K1" s="36"/>
      <c r="L1" s="36"/>
      <c r="M1" s="36"/>
      <c r="N1" s="36"/>
      <c r="O1" s="36"/>
      <c r="P1" s="113">
        <f>報告1面!$M$11</f>
        <v>0</v>
      </c>
      <c r="Q1" s="36"/>
      <c r="R1" s="36"/>
      <c r="S1" s="36"/>
      <c r="T1" s="82" t="str">
        <f ca="1">RIGHT(CELL("filename",A3),LEN(CELL("filename",A3))-FIND("]",CELL("filename",A3)))</f>
        <v>報告4面個別票</v>
      </c>
      <c r="W1" s="109" t="str">
        <f>報告1面!$Z$1</f>
        <v>2026ver2</v>
      </c>
      <c r="X1" s="69" t="s">
        <v>282</v>
      </c>
      <c r="Y1" s="69" t="s">
        <v>281</v>
      </c>
      <c r="AA1" s="6"/>
      <c r="AB1" s="1356" t="s">
        <v>46</v>
      </c>
      <c r="AC1" s="1356"/>
      <c r="AD1" s="1356"/>
      <c r="AE1" s="1356"/>
      <c r="AF1" s="1356"/>
      <c r="AG1" s="1356"/>
      <c r="AH1" s="1356"/>
      <c r="AI1" s="1356"/>
      <c r="AJ1" s="1356"/>
      <c r="AK1" s="1356"/>
      <c r="AL1" s="1356"/>
      <c r="AM1" s="1356"/>
      <c r="AN1" s="1356"/>
      <c r="AO1" s="1356"/>
      <c r="AP1" s="1356"/>
      <c r="AQ1" s="1356"/>
      <c r="AR1" s="1356"/>
      <c r="AS1" s="1356"/>
      <c r="AT1" s="1356"/>
      <c r="AU1" s="1356"/>
    </row>
    <row r="2" spans="1:47" ht="12" customHeight="1">
      <c r="A2" s="1185" t="s">
        <v>43</v>
      </c>
      <c r="B2" s="1185"/>
      <c r="C2" s="1185"/>
      <c r="D2" s="1185"/>
      <c r="E2" s="1185"/>
      <c r="F2" s="1185"/>
      <c r="G2" s="1185"/>
      <c r="H2" s="1185"/>
      <c r="I2" s="1185"/>
      <c r="J2" s="1185"/>
      <c r="K2" s="1185"/>
      <c r="L2" s="1185"/>
      <c r="M2" s="1185"/>
      <c r="N2" s="1185"/>
      <c r="O2" s="1185"/>
      <c r="P2" s="1185"/>
      <c r="Q2" s="1185"/>
      <c r="R2" s="1185"/>
      <c r="S2" s="1185"/>
      <c r="T2" s="1185"/>
      <c r="AB2" s="1185" t="s">
        <v>43</v>
      </c>
      <c r="AC2" s="1185"/>
      <c r="AD2" s="1185"/>
      <c r="AE2" s="1185"/>
      <c r="AF2" s="1185"/>
      <c r="AG2" s="1185"/>
      <c r="AH2" s="1185"/>
      <c r="AI2" s="1185"/>
      <c r="AJ2" s="1185"/>
      <c r="AK2" s="1185"/>
      <c r="AL2" s="1185"/>
      <c r="AM2" s="1185"/>
      <c r="AN2" s="1185"/>
      <c r="AO2" s="1185"/>
      <c r="AP2" s="1185"/>
      <c r="AQ2" s="1185"/>
      <c r="AR2" s="1185"/>
      <c r="AS2" s="1185"/>
      <c r="AT2" s="1185"/>
      <c r="AU2" s="1185"/>
    </row>
    <row r="3" spans="1:47" s="84" customFormat="1" ht="15" customHeight="1">
      <c r="A3" s="1185" t="s">
        <v>304</v>
      </c>
      <c r="B3" s="1185"/>
      <c r="C3" s="1185"/>
      <c r="D3" s="1185"/>
      <c r="E3" s="1185"/>
      <c r="F3" s="1185"/>
      <c r="G3" s="1185"/>
      <c r="H3" s="1185"/>
      <c r="I3" s="1185"/>
      <c r="J3" s="1185"/>
      <c r="K3" s="1185"/>
      <c r="L3" s="1185"/>
      <c r="M3" s="1185"/>
      <c r="N3" s="1185"/>
      <c r="O3" s="1185"/>
      <c r="P3" s="1185"/>
      <c r="Q3" s="1185"/>
      <c r="R3" s="1185"/>
      <c r="S3" s="1185"/>
      <c r="T3" s="1185"/>
      <c r="AB3" s="1185" t="s">
        <v>304</v>
      </c>
      <c r="AC3" s="1185"/>
      <c r="AD3" s="1185"/>
      <c r="AE3" s="1185"/>
      <c r="AF3" s="1185"/>
      <c r="AG3" s="1185"/>
      <c r="AH3" s="1185"/>
      <c r="AI3" s="1185"/>
      <c r="AJ3" s="1185"/>
      <c r="AK3" s="1185"/>
      <c r="AL3" s="1185"/>
      <c r="AM3" s="1185"/>
      <c r="AN3" s="1185"/>
      <c r="AO3" s="1185"/>
      <c r="AP3" s="1185"/>
      <c r="AQ3" s="1185"/>
      <c r="AR3" s="1185"/>
      <c r="AS3" s="1185"/>
      <c r="AT3" s="1185"/>
      <c r="AU3" s="1185"/>
    </row>
    <row r="4" spans="1:47" s="84" customFormat="1" ht="11.4" thickBot="1">
      <c r="A4" s="1544"/>
      <c r="B4" s="1534" t="s">
        <v>101</v>
      </c>
      <c r="C4" s="1534"/>
      <c r="D4" s="1534"/>
      <c r="E4" s="1534"/>
      <c r="F4" s="1534"/>
      <c r="G4" s="1534"/>
      <c r="H4" s="1534"/>
      <c r="I4" s="1534"/>
      <c r="J4" s="1534"/>
      <c r="K4" s="1534"/>
      <c r="L4" s="1534"/>
      <c r="M4" s="1534"/>
      <c r="N4" s="1534"/>
      <c r="O4" s="1534"/>
      <c r="P4" s="1534"/>
      <c r="Q4" s="1534"/>
      <c r="R4" s="1534"/>
      <c r="S4" s="1534"/>
      <c r="T4" s="1534"/>
      <c r="Z4" s="40"/>
      <c r="AA4" s="80"/>
      <c r="AB4" s="1544"/>
      <c r="AC4" s="1534" t="s">
        <v>101</v>
      </c>
      <c r="AD4" s="1534"/>
      <c r="AE4" s="1534"/>
      <c r="AF4" s="1534"/>
      <c r="AG4" s="1534"/>
      <c r="AH4" s="1534"/>
      <c r="AI4" s="1534"/>
      <c r="AJ4" s="1534"/>
      <c r="AK4" s="1534"/>
      <c r="AL4" s="1534"/>
      <c r="AM4" s="1534"/>
      <c r="AN4" s="1534"/>
      <c r="AO4" s="1534"/>
      <c r="AP4" s="1534"/>
      <c r="AQ4" s="1534"/>
      <c r="AR4" s="1534"/>
      <c r="AS4" s="1534"/>
      <c r="AT4" s="1534"/>
      <c r="AU4" s="1534"/>
    </row>
    <row r="5" spans="1:47" ht="30" customHeight="1">
      <c r="A5" s="1544"/>
      <c r="B5" s="1188"/>
      <c r="C5" s="1558" t="s">
        <v>7</v>
      </c>
      <c r="D5" s="1559"/>
      <c r="E5" s="1560"/>
      <c r="F5" s="1521"/>
      <c r="G5" s="1521"/>
      <c r="H5" s="1521"/>
      <c r="I5" s="1521"/>
      <c r="J5" s="1521"/>
      <c r="K5" s="1521"/>
      <c r="L5" s="1521"/>
      <c r="M5" s="1521"/>
      <c r="N5" s="1521"/>
      <c r="O5" s="1521"/>
      <c r="P5" s="1521"/>
      <c r="Q5" s="1521"/>
      <c r="R5" s="1521"/>
      <c r="S5" s="1521"/>
      <c r="T5" s="1522"/>
      <c r="V5" s="80"/>
      <c r="Z5" s="34"/>
      <c r="AA5" s="34"/>
      <c r="AB5" s="1544"/>
      <c r="AC5" s="1188"/>
      <c r="AD5" s="1558" t="s">
        <v>7</v>
      </c>
      <c r="AE5" s="1559"/>
      <c r="AF5" s="1560"/>
      <c r="AG5" s="1562" t="s">
        <v>132</v>
      </c>
      <c r="AH5" s="1562"/>
      <c r="AI5" s="1562"/>
      <c r="AJ5" s="1562"/>
      <c r="AK5" s="1562"/>
      <c r="AL5" s="1562"/>
      <c r="AM5" s="1562"/>
      <c r="AN5" s="1562"/>
      <c r="AO5" s="1562"/>
      <c r="AP5" s="1562"/>
      <c r="AQ5" s="1562"/>
      <c r="AR5" s="1562"/>
      <c r="AS5" s="1562"/>
      <c r="AT5" s="1562"/>
      <c r="AU5" s="1563"/>
    </row>
    <row r="6" spans="1:47" ht="30" customHeight="1">
      <c r="A6" s="1544"/>
      <c r="B6" s="1188"/>
      <c r="C6" s="1535" t="s">
        <v>10</v>
      </c>
      <c r="D6" s="1536"/>
      <c r="E6" s="1536"/>
      <c r="F6" s="1552" t="s">
        <v>320</v>
      </c>
      <c r="G6" s="1552"/>
      <c r="H6" s="1552"/>
      <c r="I6" s="1552"/>
      <c r="J6" s="1552"/>
      <c r="K6" s="1552"/>
      <c r="L6" s="1552"/>
      <c r="M6" s="1552"/>
      <c r="N6" s="1552"/>
      <c r="O6" s="1552"/>
      <c r="P6" s="1552"/>
      <c r="Q6" s="1552"/>
      <c r="R6" s="1552"/>
      <c r="S6" s="1552"/>
      <c r="T6" s="1553"/>
      <c r="X6" s="8" t="str">
        <f>IF(AND(F6&lt;&gt;"",COUNTIF(F6,"神奈川県*")&lt;1),"NG","OK")</f>
        <v>OK</v>
      </c>
      <c r="Y6" s="110" t="s">
        <v>306</v>
      </c>
      <c r="Z6" s="8"/>
      <c r="AA6" s="8"/>
      <c r="AB6" s="1544"/>
      <c r="AC6" s="1188"/>
      <c r="AD6" s="1535" t="s">
        <v>10</v>
      </c>
      <c r="AE6" s="1536"/>
      <c r="AF6" s="1536"/>
      <c r="AG6" s="1564" t="s">
        <v>133</v>
      </c>
      <c r="AH6" s="1564"/>
      <c r="AI6" s="1564"/>
      <c r="AJ6" s="1564"/>
      <c r="AK6" s="1564"/>
      <c r="AL6" s="1564"/>
      <c r="AM6" s="1564"/>
      <c r="AN6" s="1564"/>
      <c r="AO6" s="1564"/>
      <c r="AP6" s="1564"/>
      <c r="AQ6" s="1564"/>
      <c r="AR6" s="1564"/>
      <c r="AS6" s="1564"/>
      <c r="AT6" s="1564"/>
      <c r="AU6" s="1565"/>
    </row>
    <row r="7" spans="1:47" ht="30" customHeight="1">
      <c r="A7" s="1544"/>
      <c r="B7" s="1188"/>
      <c r="C7" s="1554" t="s">
        <v>9</v>
      </c>
      <c r="D7" s="1555"/>
      <c r="E7" s="1556"/>
      <c r="F7" s="1446" t="s">
        <v>67</v>
      </c>
      <c r="G7" s="1447"/>
      <c r="H7" s="1547"/>
      <c r="I7" s="1425"/>
      <c r="J7" s="1425"/>
      <c r="K7" s="1425"/>
      <c r="L7" s="1425"/>
      <c r="M7" s="41" t="s">
        <v>73</v>
      </c>
      <c r="N7" s="1485"/>
      <c r="O7" s="1486"/>
      <c r="P7" s="1486"/>
      <c r="Q7" s="1486"/>
      <c r="R7" s="1486"/>
      <c r="S7" s="1486"/>
      <c r="T7" s="1486"/>
      <c r="Y7" s="34" t="s">
        <v>299</v>
      </c>
      <c r="Z7" s="8"/>
      <c r="AA7" s="8"/>
      <c r="AB7" s="1544"/>
      <c r="AC7" s="1188"/>
      <c r="AD7" s="1554" t="s">
        <v>9</v>
      </c>
      <c r="AE7" s="1555"/>
      <c r="AF7" s="1556"/>
      <c r="AG7" s="1446" t="s">
        <v>67</v>
      </c>
      <c r="AH7" s="1447"/>
      <c r="AI7" s="1566">
        <v>1000</v>
      </c>
      <c r="AJ7" s="1490"/>
      <c r="AK7" s="1490"/>
      <c r="AL7" s="1490"/>
      <c r="AM7" s="1490"/>
      <c r="AN7" s="41" t="s">
        <v>73</v>
      </c>
      <c r="AO7" s="1485"/>
      <c r="AP7" s="1486"/>
      <c r="AQ7" s="1486"/>
      <c r="AR7" s="1486"/>
      <c r="AS7" s="1486"/>
      <c r="AT7" s="1486"/>
      <c r="AU7" s="1486"/>
    </row>
    <row r="8" spans="1:47" ht="18" customHeight="1">
      <c r="A8" s="1544"/>
      <c r="B8" s="1188"/>
      <c r="C8" s="1091" t="s">
        <v>102</v>
      </c>
      <c r="D8" s="1092"/>
      <c r="E8" s="1093"/>
      <c r="F8" s="1099" t="s">
        <v>1</v>
      </c>
      <c r="G8" s="1092"/>
      <c r="H8" s="1092"/>
      <c r="I8" s="1100"/>
      <c r="J8" s="1100"/>
      <c r="K8" s="1100"/>
      <c r="L8" s="1100"/>
      <c r="M8" s="1100"/>
      <c r="N8" s="1100"/>
      <c r="O8" s="1100"/>
      <c r="P8" s="1100"/>
      <c r="Q8" s="1100"/>
      <c r="R8" s="1100"/>
      <c r="S8" s="1100"/>
      <c r="T8" s="1101"/>
      <c r="Z8" s="8"/>
      <c r="AA8" s="8"/>
      <c r="AB8" s="1544"/>
      <c r="AC8" s="1188"/>
      <c r="AD8" s="1091" t="s">
        <v>102</v>
      </c>
      <c r="AE8" s="1092"/>
      <c r="AF8" s="1093"/>
      <c r="AG8" s="1099" t="s">
        <v>1</v>
      </c>
      <c r="AH8" s="1092"/>
      <c r="AI8" s="1092"/>
      <c r="AJ8" s="1567" t="s">
        <v>134</v>
      </c>
      <c r="AK8" s="1567"/>
      <c r="AL8" s="1567"/>
      <c r="AM8" s="1567"/>
      <c r="AN8" s="1567"/>
      <c r="AO8" s="1567"/>
      <c r="AP8" s="1567"/>
      <c r="AQ8" s="1567"/>
      <c r="AR8" s="1567"/>
      <c r="AS8" s="1567"/>
      <c r="AT8" s="1567"/>
      <c r="AU8" s="1568"/>
    </row>
    <row r="9" spans="1:47" ht="18" customHeight="1">
      <c r="A9" s="1544"/>
      <c r="B9" s="1188"/>
      <c r="C9" s="1094"/>
      <c r="D9" s="1087"/>
      <c r="E9" s="1095"/>
      <c r="F9" s="1086" t="s">
        <v>32</v>
      </c>
      <c r="G9" s="1087"/>
      <c r="H9" s="1087"/>
      <c r="I9" s="148"/>
      <c r="J9" s="81" t="s">
        <v>84</v>
      </c>
      <c r="K9" s="148"/>
      <c r="L9" s="81" t="s">
        <v>84</v>
      </c>
      <c r="M9" s="148"/>
      <c r="N9" s="1180"/>
      <c r="O9" s="1180"/>
      <c r="P9" s="1180"/>
      <c r="Q9" s="1180"/>
      <c r="R9" s="1180"/>
      <c r="S9" s="1180"/>
      <c r="T9" s="1551"/>
      <c r="Y9" s="112" t="s">
        <v>311</v>
      </c>
      <c r="Z9" s="8"/>
      <c r="AA9" s="8"/>
      <c r="AB9" s="1544"/>
      <c r="AC9" s="1188"/>
      <c r="AD9" s="1094"/>
      <c r="AE9" s="1087"/>
      <c r="AF9" s="1095"/>
      <c r="AG9" s="1086" t="s">
        <v>32</v>
      </c>
      <c r="AH9" s="1087"/>
      <c r="AI9" s="1087"/>
      <c r="AJ9" s="10" t="s">
        <v>135</v>
      </c>
      <c r="AK9" s="81" t="s">
        <v>82</v>
      </c>
      <c r="AL9" s="10" t="s">
        <v>127</v>
      </c>
      <c r="AM9" s="81" t="s">
        <v>82</v>
      </c>
      <c r="AN9" s="10" t="s">
        <v>136</v>
      </c>
      <c r="AO9" s="1180"/>
      <c r="AP9" s="1180"/>
      <c r="AQ9" s="1180"/>
      <c r="AR9" s="1180"/>
      <c r="AS9" s="1180"/>
      <c r="AT9" s="1180"/>
      <c r="AU9" s="1551"/>
    </row>
    <row r="10" spans="1:47" ht="18" customHeight="1">
      <c r="A10" s="1544"/>
      <c r="B10" s="1188"/>
      <c r="C10" s="1094"/>
      <c r="D10" s="1087"/>
      <c r="E10" s="1095"/>
      <c r="F10" s="1086" t="s">
        <v>36</v>
      </c>
      <c r="G10" s="1087"/>
      <c r="H10" s="1087"/>
      <c r="I10" s="148"/>
      <c r="J10" s="81" t="s">
        <v>84</v>
      </c>
      <c r="K10" s="148"/>
      <c r="L10" s="81" t="s">
        <v>84</v>
      </c>
      <c r="M10" s="148"/>
      <c r="N10" s="1180"/>
      <c r="O10" s="1180"/>
      <c r="P10" s="1180"/>
      <c r="Q10" s="1180"/>
      <c r="R10" s="1180"/>
      <c r="S10" s="1180"/>
      <c r="T10" s="1551"/>
      <c r="Y10" s="112" t="s">
        <v>311</v>
      </c>
      <c r="Z10" s="8"/>
      <c r="AA10" s="8"/>
      <c r="AB10" s="1544"/>
      <c r="AC10" s="1188"/>
      <c r="AD10" s="1094"/>
      <c r="AE10" s="1087"/>
      <c r="AF10" s="1095"/>
      <c r="AG10" s="1086" t="s">
        <v>36</v>
      </c>
      <c r="AH10" s="1087"/>
      <c r="AI10" s="1087"/>
      <c r="AJ10" s="10" t="s">
        <v>135</v>
      </c>
      <c r="AK10" s="81" t="s">
        <v>82</v>
      </c>
      <c r="AL10" s="10" t="s">
        <v>128</v>
      </c>
      <c r="AM10" s="81" t="s">
        <v>82</v>
      </c>
      <c r="AN10" s="10" t="s">
        <v>137</v>
      </c>
      <c r="AO10" s="1180"/>
      <c r="AP10" s="1180"/>
      <c r="AQ10" s="1180"/>
      <c r="AR10" s="1180"/>
      <c r="AS10" s="1180"/>
      <c r="AT10" s="1180"/>
      <c r="AU10" s="1551"/>
    </row>
    <row r="11" spans="1:47" ht="18" customHeight="1">
      <c r="A11" s="1544"/>
      <c r="B11" s="1188"/>
      <c r="C11" s="1096"/>
      <c r="D11" s="1097"/>
      <c r="E11" s="1098"/>
      <c r="F11" s="1071" t="s">
        <v>33</v>
      </c>
      <c r="G11" s="1072"/>
      <c r="H11" s="1072"/>
      <c r="I11" s="1548"/>
      <c r="J11" s="1549"/>
      <c r="K11" s="1549"/>
      <c r="L11" s="1549"/>
      <c r="M11" s="1549"/>
      <c r="N11" s="1549"/>
      <c r="O11" s="1549"/>
      <c r="P11" s="1549"/>
      <c r="Q11" s="1549"/>
      <c r="R11" s="1549"/>
      <c r="S11" s="1549"/>
      <c r="T11" s="1550"/>
      <c r="Y11" s="34" t="s">
        <v>300</v>
      </c>
      <c r="Z11" s="8"/>
      <c r="AA11" s="8"/>
      <c r="AB11" s="1544"/>
      <c r="AC11" s="1188"/>
      <c r="AD11" s="1096"/>
      <c r="AE11" s="1097"/>
      <c r="AF11" s="1098"/>
      <c r="AG11" s="1071" t="s">
        <v>33</v>
      </c>
      <c r="AH11" s="1072"/>
      <c r="AI11" s="1072"/>
      <c r="AJ11" s="1571" t="s">
        <v>138</v>
      </c>
      <c r="AK11" s="1571"/>
      <c r="AL11" s="1571"/>
      <c r="AM11" s="1571"/>
      <c r="AN11" s="1571"/>
      <c r="AO11" s="1571"/>
      <c r="AP11" s="1571"/>
      <c r="AQ11" s="1571"/>
      <c r="AR11" s="1571"/>
      <c r="AS11" s="1571"/>
      <c r="AT11" s="1571"/>
      <c r="AU11" s="1572"/>
    </row>
    <row r="12" spans="1:47">
      <c r="A12" s="1544"/>
      <c r="B12" s="1544"/>
      <c r="C12" s="1544"/>
      <c r="D12" s="1544"/>
      <c r="E12" s="1544"/>
      <c r="F12" s="1544"/>
      <c r="G12" s="1544"/>
      <c r="H12" s="1544"/>
      <c r="I12" s="1544"/>
      <c r="J12" s="1544"/>
      <c r="K12" s="1544"/>
      <c r="L12" s="1544"/>
      <c r="M12" s="1544"/>
      <c r="N12" s="1544"/>
      <c r="O12" s="1544"/>
      <c r="P12" s="1544"/>
      <c r="Q12" s="1544"/>
      <c r="R12" s="1544"/>
      <c r="S12" s="1544"/>
      <c r="T12" s="1544"/>
      <c r="Y12" s="34" t="s">
        <v>299</v>
      </c>
      <c r="Z12" s="8"/>
      <c r="AA12" s="8"/>
      <c r="AB12" s="1544"/>
      <c r="AC12" s="1544"/>
      <c r="AD12" s="1544"/>
      <c r="AE12" s="1544"/>
      <c r="AF12" s="1544"/>
      <c r="AG12" s="1544"/>
      <c r="AH12" s="1544"/>
      <c r="AI12" s="1544"/>
      <c r="AJ12" s="1544"/>
      <c r="AK12" s="1544"/>
      <c r="AL12" s="1544"/>
      <c r="AM12" s="1544"/>
      <c r="AN12" s="1544"/>
      <c r="AO12" s="1544"/>
      <c r="AP12" s="1544"/>
      <c r="AQ12" s="1544"/>
      <c r="AR12" s="1544"/>
      <c r="AS12" s="1544"/>
      <c r="AT12" s="1544"/>
      <c r="AU12" s="1544"/>
    </row>
    <row r="13" spans="1:47" s="84" customFormat="1">
      <c r="A13" s="1544"/>
      <c r="B13" s="1534" t="s">
        <v>105</v>
      </c>
      <c r="C13" s="1534"/>
      <c r="D13" s="1534"/>
      <c r="E13" s="1534"/>
      <c r="F13" s="1534"/>
      <c r="G13" s="1534"/>
      <c r="H13" s="1534"/>
      <c r="I13" s="1534"/>
      <c r="J13" s="1534"/>
      <c r="K13" s="1534"/>
      <c r="L13" s="1534"/>
      <c r="M13" s="1534"/>
      <c r="N13" s="1534"/>
      <c r="O13" s="1534"/>
      <c r="P13" s="1534"/>
      <c r="Q13" s="1534"/>
      <c r="R13" s="1534"/>
      <c r="S13" s="1534"/>
      <c r="T13" s="1534"/>
      <c r="Z13" s="7"/>
      <c r="AA13" s="7"/>
      <c r="AB13" s="1544"/>
      <c r="AC13" s="1534" t="s">
        <v>105</v>
      </c>
      <c r="AD13" s="1534"/>
      <c r="AE13" s="1534"/>
      <c r="AF13" s="1534"/>
      <c r="AG13" s="1534"/>
      <c r="AH13" s="1534"/>
      <c r="AI13" s="1534"/>
      <c r="AJ13" s="1534"/>
      <c r="AK13" s="1534"/>
      <c r="AL13" s="1534"/>
      <c r="AM13" s="1534"/>
      <c r="AN13" s="1534"/>
      <c r="AO13" s="1534"/>
      <c r="AP13" s="1534"/>
      <c r="AQ13" s="1534"/>
      <c r="AR13" s="1534"/>
      <c r="AS13" s="1534"/>
      <c r="AT13" s="1534"/>
      <c r="AU13" s="1534"/>
    </row>
    <row r="14" spans="1:47" s="34" customFormat="1" ht="36" customHeight="1" thickBot="1">
      <c r="A14" s="1544"/>
      <c r="B14" s="1311"/>
      <c r="C14" s="1523" t="s">
        <v>106</v>
      </c>
      <c r="D14" s="1319"/>
      <c r="E14" s="1545" t="s">
        <v>103</v>
      </c>
      <c r="F14" s="1546"/>
      <c r="G14" s="1463"/>
      <c r="H14" s="1464"/>
      <c r="I14" s="1464"/>
      <c r="J14" s="1464"/>
      <c r="K14" s="1525" t="s">
        <v>104</v>
      </c>
      <c r="L14" s="1525"/>
      <c r="M14" s="1526"/>
      <c r="N14" s="1446" t="s">
        <v>68</v>
      </c>
      <c r="O14" s="1447"/>
      <c r="P14" s="1547"/>
      <c r="Q14" s="1425"/>
      <c r="R14" s="1425"/>
      <c r="S14" s="1417" t="s">
        <v>100</v>
      </c>
      <c r="T14" s="1453"/>
      <c r="U14" s="87" t="s">
        <v>275</v>
      </c>
      <c r="V14" s="87" t="s">
        <v>277</v>
      </c>
      <c r="Y14" s="34" t="s">
        <v>298</v>
      </c>
      <c r="Z14" s="7"/>
      <c r="AA14" s="7"/>
      <c r="AB14" s="1544"/>
      <c r="AC14" s="1311"/>
      <c r="AD14" s="1523" t="s">
        <v>106</v>
      </c>
      <c r="AE14" s="1319"/>
      <c r="AF14" s="1545" t="s">
        <v>103</v>
      </c>
      <c r="AG14" s="1546"/>
      <c r="AH14" s="1573">
        <v>4110</v>
      </c>
      <c r="AI14" s="1574"/>
      <c r="AJ14" s="1574"/>
      <c r="AK14" s="1574"/>
      <c r="AL14" s="1525" t="s">
        <v>90</v>
      </c>
      <c r="AM14" s="1525"/>
      <c r="AN14" s="1526"/>
      <c r="AO14" s="1446" t="s">
        <v>68</v>
      </c>
      <c r="AP14" s="1447"/>
      <c r="AQ14" s="1566">
        <v>3980</v>
      </c>
      <c r="AR14" s="1490"/>
      <c r="AS14" s="1490"/>
      <c r="AT14" s="1417" t="s">
        <v>90</v>
      </c>
      <c r="AU14" s="1453"/>
    </row>
    <row r="15" spans="1:47" s="34" customFormat="1" ht="36" customHeight="1" thickBot="1">
      <c r="A15" s="1544"/>
      <c r="B15" s="1311"/>
      <c r="C15" s="1524"/>
      <c r="D15" s="1423"/>
      <c r="E15" s="1422" t="s">
        <v>108</v>
      </c>
      <c r="F15" s="1423"/>
      <c r="G15" s="1527" t="str">
        <f ca="1">IFERROR(OFFSET(参考3_排出量経年!$AB$4,112,MATCH(F5,参考3_排出量経年!4:4,0)-29+報告2面!O3-2024),"")</f>
        <v/>
      </c>
      <c r="H15" s="1528"/>
      <c r="I15" s="1528"/>
      <c r="J15" s="1528"/>
      <c r="K15" s="1538" t="s">
        <v>110</v>
      </c>
      <c r="L15" s="1538"/>
      <c r="M15" s="1539"/>
      <c r="N15" s="1405"/>
      <c r="O15" s="1406"/>
      <c r="P15" s="1406"/>
      <c r="Q15" s="1406"/>
      <c r="R15" s="1406"/>
      <c r="S15" s="1406"/>
      <c r="T15" s="1406"/>
      <c r="U15" s="74"/>
      <c r="V15" s="141" t="e">
        <f ca="1">G15/U15*100-100</f>
        <v>#VALUE!</v>
      </c>
      <c r="W15" s="88" t="s">
        <v>297</v>
      </c>
      <c r="Z15" s="7"/>
      <c r="AA15" s="7"/>
      <c r="AB15" s="1544"/>
      <c r="AC15" s="1311"/>
      <c r="AD15" s="1524"/>
      <c r="AE15" s="1423"/>
      <c r="AF15" s="1422" t="s">
        <v>108</v>
      </c>
      <c r="AG15" s="1423"/>
      <c r="AH15" s="1569">
        <v>4070</v>
      </c>
      <c r="AI15" s="1570"/>
      <c r="AJ15" s="1570"/>
      <c r="AK15" s="1570"/>
      <c r="AL15" s="1538" t="s">
        <v>90</v>
      </c>
      <c r="AM15" s="1538"/>
      <c r="AN15" s="1539"/>
      <c r="AO15" s="1405"/>
      <c r="AP15" s="1406"/>
      <c r="AQ15" s="1406"/>
      <c r="AR15" s="1406"/>
      <c r="AS15" s="1406"/>
      <c r="AT15" s="1406"/>
      <c r="AU15" s="1406"/>
    </row>
    <row r="16" spans="1:47" s="34" customFormat="1" ht="36" customHeight="1" thickBot="1">
      <c r="A16" s="1544"/>
      <c r="B16" s="1311"/>
      <c r="C16" s="1128" t="s">
        <v>107</v>
      </c>
      <c r="D16" s="1130"/>
      <c r="E16" s="1322" t="s">
        <v>60</v>
      </c>
      <c r="F16" s="1323"/>
      <c r="G16" s="1540"/>
      <c r="H16" s="1346"/>
      <c r="I16" s="1346"/>
      <c r="J16" s="1346"/>
      <c r="K16" s="1346"/>
      <c r="L16" s="1346"/>
      <c r="M16" s="1541"/>
      <c r="N16" s="1318" t="s">
        <v>49</v>
      </c>
      <c r="O16" s="1319"/>
      <c r="P16" s="1324" t="str">
        <f>IF(G16="","",S14&amp;"/")</f>
        <v/>
      </c>
      <c r="Q16" s="1325"/>
      <c r="R16" s="1531"/>
      <c r="S16" s="1531"/>
      <c r="T16" s="151"/>
      <c r="U16" s="139" t="s">
        <v>1261</v>
      </c>
      <c r="V16" s="150"/>
      <c r="Z16" s="80"/>
      <c r="AA16" s="80"/>
      <c r="AB16" s="1544"/>
      <c r="AC16" s="1311"/>
      <c r="AD16" s="1128" t="s">
        <v>107</v>
      </c>
      <c r="AE16" s="1130"/>
      <c r="AF16" s="1322" t="s">
        <v>60</v>
      </c>
      <c r="AG16" s="1323"/>
      <c r="AH16" s="1578" t="s">
        <v>139</v>
      </c>
      <c r="AI16" s="1579"/>
      <c r="AJ16" s="1579"/>
      <c r="AK16" s="1579"/>
      <c r="AL16" s="1579"/>
      <c r="AM16" s="1579"/>
      <c r="AN16" s="1580"/>
      <c r="AO16" s="1318" t="s">
        <v>49</v>
      </c>
      <c r="AP16" s="1319"/>
      <c r="AQ16" s="1324" t="str">
        <f>IF(AH16="","",AT14&amp;"/")</f>
        <v>tCO2/</v>
      </c>
      <c r="AR16" s="1325"/>
      <c r="AS16" s="1500" t="s">
        <v>140</v>
      </c>
      <c r="AT16" s="1500"/>
      <c r="AU16" s="35"/>
    </row>
    <row r="17" spans="1:47" s="36" customFormat="1" ht="36" customHeight="1" thickBot="1">
      <c r="A17" s="1544"/>
      <c r="B17" s="1311"/>
      <c r="C17" s="1131"/>
      <c r="D17" s="1133"/>
      <c r="E17" s="1322" t="s">
        <v>50</v>
      </c>
      <c r="F17" s="1323"/>
      <c r="G17" s="1542"/>
      <c r="H17" s="1543"/>
      <c r="I17" s="1543"/>
      <c r="J17" s="1543"/>
      <c r="K17" s="1495" t="str">
        <f>P16&amp;R16</f>
        <v/>
      </c>
      <c r="L17" s="1495"/>
      <c r="M17" s="1323"/>
      <c r="N17" s="1448" t="s">
        <v>61</v>
      </c>
      <c r="O17" s="1434"/>
      <c r="P17" s="1537"/>
      <c r="Q17" s="1537"/>
      <c r="R17" s="1537"/>
      <c r="S17" s="1529" t="str">
        <f>P16&amp;R16</f>
        <v/>
      </c>
      <c r="T17" s="1530"/>
      <c r="U17" s="87" t="s">
        <v>276</v>
      </c>
      <c r="V17" s="142" t="s">
        <v>277</v>
      </c>
      <c r="Z17" s="8"/>
      <c r="AA17" s="8"/>
      <c r="AB17" s="1544"/>
      <c r="AC17" s="1311"/>
      <c r="AD17" s="1131"/>
      <c r="AE17" s="1133"/>
      <c r="AF17" s="1322" t="s">
        <v>50</v>
      </c>
      <c r="AG17" s="1323"/>
      <c r="AH17" s="1581">
        <v>0.41399999999999998</v>
      </c>
      <c r="AI17" s="1577"/>
      <c r="AJ17" s="1577"/>
      <c r="AK17" s="1577"/>
      <c r="AL17" s="1495" t="str">
        <f>AQ16&amp;AS16</f>
        <v>tCO2/トン</v>
      </c>
      <c r="AM17" s="1495"/>
      <c r="AN17" s="1323"/>
      <c r="AO17" s="1448" t="s">
        <v>61</v>
      </c>
      <c r="AP17" s="1434"/>
      <c r="AQ17" s="1575">
        <v>0.40200000000000002</v>
      </c>
      <c r="AR17" s="1575"/>
      <c r="AS17" s="1575"/>
      <c r="AT17" s="1529" t="str">
        <f>AQ16&amp;AS16</f>
        <v>tCO2/トン</v>
      </c>
      <c r="AU17" s="1530"/>
    </row>
    <row r="18" spans="1:47" s="36" customFormat="1" ht="36" customHeight="1" thickBot="1">
      <c r="A18" s="1544"/>
      <c r="B18" s="1311"/>
      <c r="C18" s="1131"/>
      <c r="D18" s="1133"/>
      <c r="E18" s="1465" t="s">
        <v>95</v>
      </c>
      <c r="F18" s="1466"/>
      <c r="G18" s="1532" t="str">
        <f ca="1">IFERROR(ROUND(G15/V16,2-INT(LOG(G15/V16))),"")</f>
        <v/>
      </c>
      <c r="H18" s="1533"/>
      <c r="I18" s="1533"/>
      <c r="J18" s="1533"/>
      <c r="K18" s="1483" t="str">
        <f>P16&amp;R16</f>
        <v/>
      </c>
      <c r="L18" s="1483"/>
      <c r="M18" s="1484"/>
      <c r="N18" s="1405"/>
      <c r="O18" s="1406"/>
      <c r="P18" s="1406"/>
      <c r="Q18" s="1406"/>
      <c r="R18" s="1406"/>
      <c r="S18" s="1406"/>
      <c r="T18" s="1406"/>
      <c r="U18" s="79"/>
      <c r="V18" s="89" t="e">
        <f ca="1">G18/U18*100-100</f>
        <v>#VALUE!</v>
      </c>
      <c r="W18" s="90" t="s">
        <v>318</v>
      </c>
      <c r="Z18" s="18"/>
      <c r="AA18" s="18"/>
      <c r="AB18" s="1544"/>
      <c r="AC18" s="1311"/>
      <c r="AD18" s="1131"/>
      <c r="AE18" s="1133"/>
      <c r="AF18" s="1465" t="s">
        <v>95</v>
      </c>
      <c r="AG18" s="1466"/>
      <c r="AH18" s="1576" t="s">
        <v>279</v>
      </c>
      <c r="AI18" s="1577"/>
      <c r="AJ18" s="1577"/>
      <c r="AK18" s="1577"/>
      <c r="AL18" s="1495" t="str">
        <f>AQ16&amp;AS16</f>
        <v>tCO2/トン</v>
      </c>
      <c r="AM18" s="1495"/>
      <c r="AN18" s="1496"/>
      <c r="AO18" s="1405"/>
      <c r="AP18" s="1406"/>
      <c r="AQ18" s="1406"/>
      <c r="AR18" s="1406"/>
      <c r="AS18" s="1406"/>
      <c r="AT18" s="1406"/>
      <c r="AU18" s="1406"/>
    </row>
    <row r="19" spans="1:47" s="7" customFormat="1" ht="300" customHeight="1" thickBot="1">
      <c r="A19" s="1544"/>
      <c r="B19" s="1311"/>
      <c r="C19" s="1128" t="s">
        <v>62</v>
      </c>
      <c r="D19" s="1129"/>
      <c r="E19" s="1129"/>
      <c r="F19" s="1130"/>
      <c r="G19" s="1334" t="s">
        <v>324</v>
      </c>
      <c r="H19" s="1335"/>
      <c r="I19" s="1335"/>
      <c r="J19" s="1335"/>
      <c r="K19" s="1335"/>
      <c r="L19" s="1335"/>
      <c r="M19" s="1335"/>
      <c r="N19" s="1335"/>
      <c r="O19" s="1335"/>
      <c r="P19" s="1335"/>
      <c r="Q19" s="1335"/>
      <c r="R19" s="1335"/>
      <c r="S19" s="1335"/>
      <c r="T19" s="1336"/>
      <c r="U19" s="1451"/>
      <c r="V19" s="1452"/>
      <c r="Z19" s="34"/>
      <c r="AA19" s="34"/>
      <c r="AB19" s="1544"/>
      <c r="AC19" s="1311"/>
      <c r="AD19" s="1128" t="s">
        <v>62</v>
      </c>
      <c r="AE19" s="1129"/>
      <c r="AF19" s="1129"/>
      <c r="AG19" s="1130"/>
      <c r="AH19" s="1497" t="s">
        <v>323</v>
      </c>
      <c r="AI19" s="1498"/>
      <c r="AJ19" s="1498"/>
      <c r="AK19" s="1498"/>
      <c r="AL19" s="1498"/>
      <c r="AM19" s="1498"/>
      <c r="AN19" s="1498"/>
      <c r="AO19" s="1498"/>
      <c r="AP19" s="1498"/>
      <c r="AQ19" s="1498"/>
      <c r="AR19" s="1498"/>
      <c r="AS19" s="1498"/>
      <c r="AT19" s="1498"/>
      <c r="AU19" s="1499"/>
    </row>
    <row r="20" spans="1:47" ht="7.5" customHeight="1">
      <c r="A20" s="1544"/>
      <c r="B20" s="1311"/>
      <c r="C20" s="1298"/>
      <c r="D20" s="1298"/>
      <c r="E20" s="1298"/>
      <c r="F20" s="1298"/>
      <c r="G20" s="1298"/>
      <c r="H20" s="1298"/>
      <c r="I20" s="1298"/>
      <c r="J20" s="1298"/>
      <c r="K20" s="1298"/>
      <c r="L20" s="1298"/>
      <c r="M20" s="1298"/>
      <c r="N20" s="1298"/>
      <c r="O20" s="1298"/>
      <c r="P20" s="1298"/>
      <c r="Q20" s="1298"/>
      <c r="R20" s="1298"/>
      <c r="S20" s="1298"/>
      <c r="T20" s="1298"/>
      <c r="Z20" s="42"/>
      <c r="AA20" s="59"/>
      <c r="AB20" s="1544"/>
      <c r="AC20" s="1311"/>
      <c r="AD20" s="1298"/>
      <c r="AE20" s="1298"/>
      <c r="AF20" s="1298"/>
      <c r="AG20" s="1298"/>
      <c r="AH20" s="1298"/>
      <c r="AI20" s="1298"/>
      <c r="AJ20" s="1298"/>
      <c r="AK20" s="1298"/>
      <c r="AL20" s="1298"/>
      <c r="AM20" s="1298"/>
      <c r="AN20" s="1298"/>
      <c r="AO20" s="1298"/>
      <c r="AP20" s="1298"/>
      <c r="AQ20" s="1298"/>
      <c r="AR20" s="1298"/>
      <c r="AS20" s="1298"/>
      <c r="AT20" s="1298"/>
      <c r="AU20" s="1298"/>
    </row>
    <row r="21" spans="1:47" ht="11.25" customHeight="1">
      <c r="A21" s="1544"/>
      <c r="B21" s="59"/>
      <c r="C21" s="43" t="s">
        <v>109</v>
      </c>
      <c r="D21" s="1557" t="s">
        <v>272</v>
      </c>
      <c r="E21" s="1557"/>
      <c r="F21" s="1557"/>
      <c r="G21" s="1557"/>
      <c r="H21" s="1557"/>
      <c r="I21" s="1557"/>
      <c r="J21" s="1557"/>
      <c r="K21" s="1557"/>
      <c r="L21" s="1557"/>
      <c r="M21" s="1557"/>
      <c r="N21" s="1557"/>
      <c r="O21" s="1557"/>
      <c r="P21" s="1557"/>
      <c r="Q21" s="1557"/>
      <c r="R21" s="1557"/>
      <c r="S21" s="1557"/>
      <c r="T21" s="1557"/>
      <c r="AB21" s="1544"/>
      <c r="AC21" s="59"/>
      <c r="AD21" s="43" t="s">
        <v>109</v>
      </c>
      <c r="AE21" s="1557" t="s">
        <v>272</v>
      </c>
      <c r="AF21" s="1557"/>
      <c r="AG21" s="1557"/>
      <c r="AH21" s="1557"/>
      <c r="AI21" s="1557"/>
      <c r="AJ21" s="1557"/>
      <c r="AK21" s="1557"/>
      <c r="AL21" s="1557"/>
      <c r="AM21" s="1557"/>
      <c r="AN21" s="1557"/>
      <c r="AO21" s="1557"/>
      <c r="AP21" s="1557"/>
      <c r="AQ21" s="1557"/>
      <c r="AR21" s="1557"/>
      <c r="AS21" s="1557"/>
      <c r="AT21" s="1557"/>
      <c r="AU21" s="1557"/>
    </row>
    <row r="22" spans="1:47" ht="11.25" customHeight="1">
      <c r="A22" s="1544"/>
      <c r="B22" s="1561"/>
      <c r="C22" s="44" t="s">
        <v>274</v>
      </c>
      <c r="D22" s="1557" t="s">
        <v>48</v>
      </c>
      <c r="E22" s="1557"/>
      <c r="F22" s="1557"/>
      <c r="G22" s="1557"/>
      <c r="H22" s="1557"/>
      <c r="I22" s="1557"/>
      <c r="J22" s="1557"/>
      <c r="K22" s="1557"/>
      <c r="L22" s="1557"/>
      <c r="M22" s="1557"/>
      <c r="N22" s="1557"/>
      <c r="O22" s="1557"/>
      <c r="P22" s="1557"/>
      <c r="Q22" s="1557"/>
      <c r="R22" s="1557"/>
      <c r="S22" s="1557"/>
      <c r="T22" s="1557"/>
      <c r="Z22" s="18"/>
      <c r="AA22" s="18"/>
      <c r="AB22" s="1544"/>
      <c r="AC22" s="1561"/>
      <c r="AD22" s="44" t="s">
        <v>274</v>
      </c>
      <c r="AE22" s="1557" t="s">
        <v>48</v>
      </c>
      <c r="AF22" s="1557"/>
      <c r="AG22" s="1557"/>
      <c r="AH22" s="1557"/>
      <c r="AI22" s="1557"/>
      <c r="AJ22" s="1557"/>
      <c r="AK22" s="1557"/>
      <c r="AL22" s="1557"/>
      <c r="AM22" s="1557"/>
      <c r="AN22" s="1557"/>
      <c r="AO22" s="1557"/>
      <c r="AP22" s="1557"/>
      <c r="AQ22" s="1557"/>
      <c r="AR22" s="1557"/>
      <c r="AS22" s="1557"/>
      <c r="AT22" s="1557"/>
      <c r="AU22" s="1557"/>
    </row>
    <row r="23" spans="1:47" ht="37.200000000000003" customHeight="1">
      <c r="A23" s="1544"/>
      <c r="B23" s="1561"/>
      <c r="C23" s="44" t="s">
        <v>273</v>
      </c>
      <c r="D23" s="1557" t="s">
        <v>301</v>
      </c>
      <c r="E23" s="1557"/>
      <c r="F23" s="1557"/>
      <c r="G23" s="1557"/>
      <c r="H23" s="1557"/>
      <c r="I23" s="1557"/>
      <c r="J23" s="1557"/>
      <c r="K23" s="1557"/>
      <c r="L23" s="1557"/>
      <c r="M23" s="1557"/>
      <c r="N23" s="1557"/>
      <c r="O23" s="1557"/>
      <c r="P23" s="1557"/>
      <c r="Q23" s="1557"/>
      <c r="R23" s="1557"/>
      <c r="S23" s="1557"/>
      <c r="T23" s="1557"/>
      <c r="AB23" s="1544"/>
      <c r="AC23" s="1561"/>
      <c r="AD23" s="44" t="s">
        <v>273</v>
      </c>
      <c r="AE23" s="1557" t="s">
        <v>301</v>
      </c>
      <c r="AF23" s="1557"/>
      <c r="AG23" s="1557"/>
      <c r="AH23" s="1557"/>
      <c r="AI23" s="1557"/>
      <c r="AJ23" s="1557"/>
      <c r="AK23" s="1557"/>
      <c r="AL23" s="1557"/>
      <c r="AM23" s="1557"/>
      <c r="AN23" s="1557"/>
      <c r="AO23" s="1557"/>
      <c r="AP23" s="1557"/>
      <c r="AQ23" s="1557"/>
      <c r="AR23" s="1557"/>
      <c r="AS23" s="1557"/>
      <c r="AT23" s="1557"/>
      <c r="AU23" s="1557"/>
    </row>
    <row r="29" spans="1:47">
      <c r="Z29" s="34"/>
      <c r="AA29" s="34"/>
    </row>
    <row r="30" spans="1:47">
      <c r="Z30" s="8"/>
      <c r="AA30" s="8"/>
    </row>
    <row r="31" spans="1:47">
      <c r="Z31" s="8"/>
      <c r="AA31" s="8"/>
    </row>
    <row r="32" spans="1:47">
      <c r="Z32" s="8"/>
      <c r="AA32" s="8"/>
    </row>
    <row r="33" spans="26:27">
      <c r="Z33" s="8"/>
      <c r="AA33" s="8"/>
    </row>
    <row r="34" spans="26:27">
      <c r="Z34" s="8"/>
      <c r="AA34" s="8"/>
    </row>
  </sheetData>
  <sheetProtection algorithmName="SHA-512" hashValue="zmIx93nY4oJo7cphbkTb/qoHZR0zwzIfTXKoaKiwGjYPtZ4v2NXos+oirUOtEyPlVL7rUyMVH3WHZYoXoNVaYg==" saltValue="+zj40wQsMybG+3dyU6LvSg==" spinCount="100000" sheet="1" formatCells="0"/>
  <mergeCells count="120">
    <mergeCell ref="AC22:AC23"/>
    <mergeCell ref="AD20:AU20"/>
    <mergeCell ref="AE21:AU21"/>
    <mergeCell ref="AE22:AU22"/>
    <mergeCell ref="AE23:AU23"/>
    <mergeCell ref="AO16:AP16"/>
    <mergeCell ref="AQ16:AR16"/>
    <mergeCell ref="AS16:AT16"/>
    <mergeCell ref="AF17:AG17"/>
    <mergeCell ref="AH17:AK17"/>
    <mergeCell ref="AL17:AN17"/>
    <mergeCell ref="AO17:AP17"/>
    <mergeCell ref="AD19:AG19"/>
    <mergeCell ref="AH19:AU19"/>
    <mergeCell ref="AT14:AU14"/>
    <mergeCell ref="AF15:AG15"/>
    <mergeCell ref="AH15:AK15"/>
    <mergeCell ref="AL15:AN15"/>
    <mergeCell ref="AO15:AU15"/>
    <mergeCell ref="AO10:AU10"/>
    <mergeCell ref="AG11:AI11"/>
    <mergeCell ref="AJ11:AU11"/>
    <mergeCell ref="AC12:AU12"/>
    <mergeCell ref="AC13:AU13"/>
    <mergeCell ref="AC14:AC20"/>
    <mergeCell ref="AD14:AE15"/>
    <mergeCell ref="AF14:AG14"/>
    <mergeCell ref="AH14:AK14"/>
    <mergeCell ref="AL14:AN14"/>
    <mergeCell ref="AQ17:AS17"/>
    <mergeCell ref="AT17:AU17"/>
    <mergeCell ref="AF18:AG18"/>
    <mergeCell ref="AH18:AK18"/>
    <mergeCell ref="AL18:AN18"/>
    <mergeCell ref="AO18:AU18"/>
    <mergeCell ref="AD16:AE18"/>
    <mergeCell ref="AF16:AG16"/>
    <mergeCell ref="AH16:AN16"/>
    <mergeCell ref="A2:T2"/>
    <mergeCell ref="A3:T3"/>
    <mergeCell ref="AB1:AU1"/>
    <mergeCell ref="AB2:AU2"/>
    <mergeCell ref="AB3:AU3"/>
    <mergeCell ref="AB4:AB23"/>
    <mergeCell ref="AC4:AU4"/>
    <mergeCell ref="AC5:AC11"/>
    <mergeCell ref="AD5:AF5"/>
    <mergeCell ref="AG5:AU5"/>
    <mergeCell ref="AD6:AF6"/>
    <mergeCell ref="AG6:AU6"/>
    <mergeCell ref="AD7:AF7"/>
    <mergeCell ref="AG7:AH7"/>
    <mergeCell ref="AI7:AM7"/>
    <mergeCell ref="AO7:AU7"/>
    <mergeCell ref="AD8:AF11"/>
    <mergeCell ref="AG8:AI8"/>
    <mergeCell ref="AJ8:AU8"/>
    <mergeCell ref="AG9:AI9"/>
    <mergeCell ref="AO9:AU9"/>
    <mergeCell ref="AG10:AI10"/>
    <mergeCell ref="AO14:AP14"/>
    <mergeCell ref="AQ14:AS14"/>
    <mergeCell ref="A4:A23"/>
    <mergeCell ref="E14:F14"/>
    <mergeCell ref="C8:E11"/>
    <mergeCell ref="B12:T12"/>
    <mergeCell ref="P14:R14"/>
    <mergeCell ref="I11:T11"/>
    <mergeCell ref="B5:B11"/>
    <mergeCell ref="N9:T9"/>
    <mergeCell ref="F6:T6"/>
    <mergeCell ref="B14:B20"/>
    <mergeCell ref="C20:T20"/>
    <mergeCell ref="C7:E7"/>
    <mergeCell ref="D21:T21"/>
    <mergeCell ref="D22:T22"/>
    <mergeCell ref="N15:T15"/>
    <mergeCell ref="N18:T18"/>
    <mergeCell ref="F7:G7"/>
    <mergeCell ref="H7:L7"/>
    <mergeCell ref="F9:H9"/>
    <mergeCell ref="N10:T10"/>
    <mergeCell ref="N7:T7"/>
    <mergeCell ref="C5:E5"/>
    <mergeCell ref="B22:B23"/>
    <mergeCell ref="D23:T23"/>
    <mergeCell ref="N17:O17"/>
    <mergeCell ref="B4:T4"/>
    <mergeCell ref="C6:E6"/>
    <mergeCell ref="P17:R17"/>
    <mergeCell ref="K15:M15"/>
    <mergeCell ref="P16:Q16"/>
    <mergeCell ref="G16:M16"/>
    <mergeCell ref="G17:J17"/>
    <mergeCell ref="E16:F16"/>
    <mergeCell ref="B13:T13"/>
    <mergeCell ref="U19:V19"/>
    <mergeCell ref="F5:T5"/>
    <mergeCell ref="C14:D15"/>
    <mergeCell ref="E15:F15"/>
    <mergeCell ref="C19:F19"/>
    <mergeCell ref="S14:T14"/>
    <mergeCell ref="I8:T8"/>
    <mergeCell ref="C16:D18"/>
    <mergeCell ref="E17:F17"/>
    <mergeCell ref="K18:M18"/>
    <mergeCell ref="E18:F18"/>
    <mergeCell ref="K17:M17"/>
    <mergeCell ref="N14:O14"/>
    <mergeCell ref="G14:J14"/>
    <mergeCell ref="N16:O16"/>
    <mergeCell ref="K14:M14"/>
    <mergeCell ref="G15:J15"/>
    <mergeCell ref="G19:T19"/>
    <mergeCell ref="S17:T17"/>
    <mergeCell ref="F11:H11"/>
    <mergeCell ref="F8:H8"/>
    <mergeCell ref="R16:S16"/>
    <mergeCell ref="F10:H10"/>
    <mergeCell ref="G18:J18"/>
  </mergeCells>
  <phoneticPr fontId="4"/>
  <dataValidations count="10">
    <dataValidation allowBlank="1" showInputMessage="1" showErrorMessage="1" prompt="半角数字で入力してください。" sqref="AN9:AN10 AI7:AM7 AJ9:AJ10 AL9:AL10" xr:uid="{00000000-0002-0000-0800-000000000000}"/>
    <dataValidation allowBlank="1" showInputMessage="1" showErrorMessage="1" prompt="半角で入力してください。" sqref="AJ11:AU11" xr:uid="{00000000-0002-0000-0800-000001000000}"/>
    <dataValidation allowBlank="1" showInputMessage="1" showErrorMessage="1" prompt="計画書に記載した数値を半角で転記してください。" sqref="AH17:AK17 AQ17:AS17 AQ14:AS14 AH14:AK14" xr:uid="{00000000-0002-0000-0800-000002000000}"/>
    <dataValidation allowBlank="1" showInputMessage="1" showErrorMessage="1" prompt="「原単位の指標の種類」に記入した指標の単位を入力してください。" sqref="AS16:AT16" xr:uid="{00000000-0002-0000-0800-000003000000}"/>
    <dataValidation allowBlank="1" showInputMessage="1" showErrorMessage="1" prompt="有効数字3桁の数値を半角で入力してください。" sqref="AH15:AK15" xr:uid="{00000000-0002-0000-0800-000004000000}"/>
    <dataValidation allowBlank="1" showInputMessage="1" showErrorMessage="1" prompt="全角1,000文字（24行）まで入力できます。" sqref="AH19:AU19" xr:uid="{00000000-0002-0000-0800-000005000000}"/>
    <dataValidation allowBlank="1" showInputMessage="1" showErrorMessage="1" prompt="原則として有効数字3桁半角で入力してください。" sqref="AH18:AK18" xr:uid="{00000000-0002-0000-0800-000006000000}"/>
    <dataValidation imeMode="halfAlpha" allowBlank="1" showInputMessage="1" showErrorMessage="1" sqref="H7:L7 P17:R17 P14:R14 G14:J15 G17:J18 K11 J9:J11 I11 L9:L11 N9:T11 M11" xr:uid="{00000000-0002-0000-0800-000007000000}"/>
    <dataValidation type="custom" imeMode="off" allowBlank="1" showInputMessage="1" showErrorMessage="1" sqref="I9:I10 K9:K10 M9:M10" xr:uid="{00000000-0002-0000-0800-000008000000}">
      <formula1>NOT(COUNTIF(I9,"* *"))</formula1>
    </dataValidation>
    <dataValidation allowBlank="1" showInputMessage="1" showErrorMessage="1" prompt="指定工場等の住所を都道府県名に続けて入力してください。" sqref="F6:T6" xr:uid="{00000000-0002-0000-0800-000009000000}"/>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20</xdr:col>
                    <xdr:colOff>182880</xdr:colOff>
                    <xdr:row>6</xdr:row>
                    <xdr:rowOff>7620</xdr:rowOff>
                  </from>
                  <to>
                    <xdr:col>20</xdr:col>
                    <xdr:colOff>495300</xdr:colOff>
                    <xdr:row>6</xdr:row>
                    <xdr:rowOff>266700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20</xdr:col>
                    <xdr:colOff>381000</xdr:colOff>
                    <xdr:row>18</xdr:row>
                    <xdr:rowOff>1965960</xdr:rowOff>
                  </from>
                  <to>
                    <xdr:col>20</xdr:col>
                    <xdr:colOff>693420</xdr:colOff>
                    <xdr:row>18</xdr:row>
                    <xdr:rowOff>2270760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指定工場をドロップダウンリストから選択してください。_x000a_指定工場が複数ある場合はこのシートを必要数コピーしてください。" xr:uid="{00000000-0002-0000-0800-00000A000000}">
          <x14:formula1>
            <xm:f>OFFSET('非表示_リスト(計画・実績報告)'!$G$158,,,,COUNTIF('非表示_リスト(計画・実績報告)'!$G$158:$P$158,"&gt;*"))</xm:f>
          </x14:formula1>
          <xm:sqref>F5:T5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53</vt:i4>
      </vt:variant>
    </vt:vector>
  </HeadingPairs>
  <TitlesOfParts>
    <vt:vector size="64" baseType="lpstr">
      <vt:lpstr>非表示_リスト(計画・実績報告)</vt:lpstr>
      <vt:lpstr>A.貼付_2025提出</vt:lpstr>
      <vt:lpstr>A.貼付_2026提出</vt:lpstr>
      <vt:lpstr>A.貼付_2027提出</vt:lpstr>
      <vt:lpstr>A.貼付_2028提出</vt:lpstr>
      <vt:lpstr>報告1面</vt:lpstr>
      <vt:lpstr>報告2面</vt:lpstr>
      <vt:lpstr>報告3面</vt:lpstr>
      <vt:lpstr>報告4面個別票</vt:lpstr>
      <vt:lpstr>参考2_エネ使用量経年</vt:lpstr>
      <vt:lpstr>参考3_排出量経年</vt:lpstr>
      <vt:lpstr>A1_その他欄集計</vt:lpstr>
      <vt:lpstr>A1_基礎情報集計</vt:lpstr>
      <vt:lpstr>A1_原単位2024</vt:lpstr>
      <vt:lpstr>A1_原単位2025</vt:lpstr>
      <vt:lpstr>A1_原単位2026</vt:lpstr>
      <vt:lpstr>A1_原単位2027</vt:lpstr>
      <vt:lpstr>A1_集計2024</vt:lpstr>
      <vt:lpstr>A1_集計2025</vt:lpstr>
      <vt:lpstr>A1_集計2026</vt:lpstr>
      <vt:lpstr>A1_集計2027</vt:lpstr>
      <vt:lpstr>A1_名称2024</vt:lpstr>
      <vt:lpstr>A1_名称2025</vt:lpstr>
      <vt:lpstr>A1_名称2026</vt:lpstr>
      <vt:lpstr>A1_名称2027</vt:lpstr>
      <vt:lpstr>報告1面!Print_Area</vt:lpstr>
      <vt:lpstr>報告2面!Print_Area</vt:lpstr>
      <vt:lpstr>報告3面!Print_Area</vt:lpstr>
      <vt:lpstr>報告4面個別票!Print_Area</vt:lpstr>
      <vt:lpstr>エネ_12</vt:lpstr>
      <vt:lpstr>エネ_3</vt:lpstr>
      <vt:lpstr>サービス業</vt:lpstr>
      <vt:lpstr>医療・福祉</vt:lpstr>
      <vt:lpstr>運輸業・郵便業</vt:lpstr>
      <vt:lpstr>卸売業・小売業</vt:lpstr>
      <vt:lpstr>外部供給エネ</vt:lpstr>
      <vt:lpstr>外部供給排出量</vt:lpstr>
      <vt:lpstr>学術研究・専門・技術サービス業</vt:lpstr>
      <vt:lpstr>基礎_12</vt:lpstr>
      <vt:lpstr>基礎_3</vt:lpstr>
      <vt:lpstr>漁業</vt:lpstr>
      <vt:lpstr>教育・学習支援業</vt:lpstr>
      <vt:lpstr>金融業・保険業</vt:lpstr>
      <vt:lpstr>建設業</vt:lpstr>
      <vt:lpstr>公務</vt:lpstr>
      <vt:lpstr>鉱業・採石業・砂利採取業</vt:lpstr>
      <vt:lpstr>宿泊業・飲食サービス業</vt:lpstr>
      <vt:lpstr>情報通信業</vt:lpstr>
      <vt:lpstr>生活関連サービス業・娯楽業</vt:lpstr>
      <vt:lpstr>製造業</vt:lpstr>
      <vt:lpstr>調整後_12</vt:lpstr>
      <vt:lpstr>調整後_3</vt:lpstr>
      <vt:lpstr>貼付け_2024実績</vt:lpstr>
      <vt:lpstr>貼付け_2025実績</vt:lpstr>
      <vt:lpstr>貼付け_2026実績</vt:lpstr>
      <vt:lpstr>貼付け_2027実績</vt:lpstr>
      <vt:lpstr>貼付け_報告対象年度実績</vt:lpstr>
      <vt:lpstr>電気・ガス・熱供給・水道</vt:lpstr>
      <vt:lpstr>農業・林業</vt:lpstr>
      <vt:lpstr>販売エネ</vt:lpstr>
      <vt:lpstr>不動産業・物品賃貸業</vt:lpstr>
      <vt:lpstr>複合サービス事業</vt:lpstr>
      <vt:lpstr>分類不能の産業</vt:lpstr>
      <vt:lpstr>未利用熱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2025-05-21T08:50:53Z</dcterms:created>
  <dcterms:modified xsi:type="dcterms:W3CDTF">2026-05-18T08:51:21Z</dcterms:modified>
</cp:coreProperties>
</file>